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Data\Learning\Software_Programming\GitHub_Nelio92\Tasks_Automation_Code\Reports\output_20260126_190236__dpll_txpa_corr\"/>
    </mc:Choice>
  </mc:AlternateContent>
  <xr:revisionPtr revIDLastSave="0" documentId="13_ncr:1_{4DDD6B33-81D3-416A-AC91-40CEDE26E46C}" xr6:coauthVersionLast="36" xr6:coauthVersionMax="36" xr10:uidLastSave="{00000000-0000-0000-0000-000000000000}"/>
  <bookViews>
    <workbookView xWindow="240" yWindow="20" windowWidth="16100" windowHeight="9660" activeTab="1" xr2:uid="{00000000-000D-0000-FFFF-FFFF00000000}"/>
  </bookViews>
  <sheets>
    <sheet name="Meta" sheetId="1" r:id="rId1"/>
    <sheet name="Summary_All" sheetId="2" r:id="rId2"/>
    <sheet name="20251231000436_3FT6Y121H01_0482" sheetId="3" r:id="rId3"/>
    <sheet name="20251231112652_3FT6Y119H04_0554" sheetId="4" r:id="rId4"/>
    <sheet name="3FT6Y578R01_012_S11P_2025111109" sheetId="5" r:id="rId5"/>
    <sheet name="3FT6Y578R04_015_S21P_2025121808" sheetId="6" r:id="rId6"/>
    <sheet name="3FT6Y578R04_015_S31P_2025121903" sheetId="7" r:id="rId7"/>
  </sheets>
  <definedNames>
    <definedName name="_xlnm._FilterDatabase" localSheetId="2" hidden="1">'20251231000436_3FT6Y121H01_0482'!$A$1:$AC$1015</definedName>
    <definedName name="_xlnm._FilterDatabase" localSheetId="1" hidden="1">Summary_All!$A$1:$AC$5071</definedName>
  </definedNames>
  <calcPr calcId="191029"/>
</workbook>
</file>

<file path=xl/calcChain.xml><?xml version="1.0" encoding="utf-8"?>
<calcChain xmlns="http://schemas.openxmlformats.org/spreadsheetml/2006/main">
  <c r="AC1015" i="7" l="1"/>
  <c r="AC1014" i="7"/>
  <c r="AC1013" i="7"/>
  <c r="AC1012" i="7"/>
  <c r="AC1011" i="7"/>
  <c r="AC1010" i="7"/>
  <c r="AC1009" i="7"/>
  <c r="AC1008" i="7"/>
  <c r="AC1007" i="7"/>
  <c r="AC1006" i="7"/>
  <c r="AC1005" i="7"/>
  <c r="AC1004" i="7"/>
  <c r="AC1003" i="7"/>
  <c r="AC1002" i="7"/>
  <c r="AC1001" i="7"/>
  <c r="AC1000" i="7"/>
  <c r="AC999" i="7"/>
  <c r="AC998" i="7"/>
  <c r="AC997" i="7"/>
  <c r="AC996" i="7"/>
  <c r="AC995" i="7"/>
  <c r="AC994" i="7"/>
  <c r="AC993" i="7"/>
  <c r="AC992" i="7"/>
  <c r="AC991" i="7"/>
  <c r="AC990" i="7"/>
  <c r="AC989" i="7"/>
  <c r="AC988" i="7"/>
  <c r="AC987" i="7"/>
  <c r="AC986" i="7"/>
  <c r="AC985" i="7"/>
  <c r="AC984" i="7"/>
  <c r="AC983" i="7"/>
  <c r="AC982" i="7"/>
  <c r="AC981" i="7"/>
  <c r="AC980" i="7"/>
  <c r="AC979" i="7"/>
  <c r="AC978" i="7"/>
  <c r="AC977" i="7"/>
  <c r="AC976" i="7"/>
  <c r="AC975" i="7"/>
  <c r="AC974" i="7"/>
  <c r="AC973" i="7"/>
  <c r="AC972" i="7"/>
  <c r="AC971" i="7"/>
  <c r="AC970" i="7"/>
  <c r="AC969" i="7"/>
  <c r="AC968" i="7"/>
  <c r="AC967" i="7"/>
  <c r="AC966" i="7"/>
  <c r="AC965" i="7"/>
  <c r="AC964" i="7"/>
  <c r="AC963" i="7"/>
  <c r="AC962" i="7"/>
  <c r="AC961" i="7"/>
  <c r="AC960" i="7"/>
  <c r="AC959" i="7"/>
  <c r="AC958" i="7"/>
  <c r="AC957" i="7"/>
  <c r="AC956" i="7"/>
  <c r="AC955" i="7"/>
  <c r="AC954" i="7"/>
  <c r="AC953" i="7"/>
  <c r="AC952" i="7"/>
  <c r="AC951" i="7"/>
  <c r="AC950" i="7"/>
  <c r="AC949" i="7"/>
  <c r="AC948" i="7"/>
  <c r="AC947" i="7"/>
  <c r="AC946" i="7"/>
  <c r="AC945" i="7"/>
  <c r="AC944" i="7"/>
  <c r="AC943" i="7"/>
  <c r="AC942" i="7"/>
  <c r="AC941" i="7"/>
  <c r="AC940" i="7"/>
  <c r="AC939" i="7"/>
  <c r="AC938" i="7"/>
  <c r="AC937" i="7"/>
  <c r="AC936" i="7"/>
  <c r="AC935" i="7"/>
  <c r="AC934" i="7"/>
  <c r="AC933" i="7"/>
  <c r="AC932" i="7"/>
  <c r="AC931" i="7"/>
  <c r="AC930" i="7"/>
  <c r="AC929" i="7"/>
  <c r="AC928" i="7"/>
  <c r="AC927" i="7"/>
  <c r="AC926" i="7"/>
  <c r="AC925" i="7"/>
  <c r="AC924" i="7"/>
  <c r="AC923" i="7"/>
  <c r="AC922" i="7"/>
  <c r="AC921" i="7"/>
  <c r="AC920" i="7"/>
  <c r="AC919" i="7"/>
  <c r="AC918" i="7"/>
  <c r="AC917" i="7"/>
  <c r="AC916" i="7"/>
  <c r="AC915" i="7"/>
  <c r="AC914" i="7"/>
  <c r="AC913" i="7"/>
  <c r="AC912" i="7"/>
  <c r="AC911" i="7"/>
  <c r="AC910" i="7"/>
  <c r="AC909" i="7"/>
  <c r="AC908" i="7"/>
  <c r="AC907" i="7"/>
  <c r="AC906" i="7"/>
  <c r="AC905" i="7"/>
  <c r="AC904" i="7"/>
  <c r="AC903" i="7"/>
  <c r="AC902" i="7"/>
  <c r="AC901" i="7"/>
  <c r="AC900" i="7"/>
  <c r="AC899" i="7"/>
  <c r="AC898" i="7"/>
  <c r="AC897" i="7"/>
  <c r="AC896" i="7"/>
  <c r="AC895" i="7"/>
  <c r="AC894" i="7"/>
  <c r="AC893" i="7"/>
  <c r="AC892" i="7"/>
  <c r="AC891" i="7"/>
  <c r="AC890" i="7"/>
  <c r="AC889" i="7"/>
  <c r="AC888" i="7"/>
  <c r="AC887" i="7"/>
  <c r="AC886" i="7"/>
  <c r="AC885" i="7"/>
  <c r="AC884" i="7"/>
  <c r="AC883" i="7"/>
  <c r="AC882" i="7"/>
  <c r="AC881" i="7"/>
  <c r="AC880" i="7"/>
  <c r="AC879" i="7"/>
  <c r="AC878" i="7"/>
  <c r="AC877" i="7"/>
  <c r="AC876" i="7"/>
  <c r="AC875" i="7"/>
  <c r="AC874" i="7"/>
  <c r="AC873" i="7"/>
  <c r="AC872" i="7"/>
  <c r="AC871" i="7"/>
  <c r="AC870" i="7"/>
  <c r="AC869" i="7"/>
  <c r="AC868" i="7"/>
  <c r="AC867" i="7"/>
  <c r="AC866" i="7"/>
  <c r="AC865" i="7"/>
  <c r="AC864" i="7"/>
  <c r="AC863" i="7"/>
  <c r="AC862" i="7"/>
  <c r="AC861" i="7"/>
  <c r="AC860" i="7"/>
  <c r="AC859" i="7"/>
  <c r="AC858" i="7"/>
  <c r="AC857" i="7"/>
  <c r="AC856" i="7"/>
  <c r="AC855" i="7"/>
  <c r="AC854" i="7"/>
  <c r="AC853" i="7"/>
  <c r="AC852" i="7"/>
  <c r="AC851" i="7"/>
  <c r="AC850" i="7"/>
  <c r="AC849" i="7"/>
  <c r="AC848" i="7"/>
  <c r="AC847" i="7"/>
  <c r="AC846" i="7"/>
  <c r="AC845" i="7"/>
  <c r="AC844" i="7"/>
  <c r="AC843" i="7"/>
  <c r="AC842" i="7"/>
  <c r="AC841" i="7"/>
  <c r="AC840" i="7"/>
  <c r="AC839" i="7"/>
  <c r="AC838" i="7"/>
  <c r="AC837" i="7"/>
  <c r="AC836" i="7"/>
  <c r="AC835" i="7"/>
  <c r="AC834" i="7"/>
  <c r="AC833" i="7"/>
  <c r="AC832" i="7"/>
  <c r="AC831" i="7"/>
  <c r="AC830" i="7"/>
  <c r="AC829" i="7"/>
  <c r="AC828" i="7"/>
  <c r="AC827" i="7"/>
  <c r="AC826" i="7"/>
  <c r="AC825" i="7"/>
  <c r="AC824" i="7"/>
  <c r="AC823" i="7"/>
  <c r="AC822" i="7"/>
  <c r="AC821" i="7"/>
  <c r="AC820" i="7"/>
  <c r="AC819" i="7"/>
  <c r="AC818" i="7"/>
  <c r="AC817" i="7"/>
  <c r="AC816" i="7"/>
  <c r="AC815" i="7"/>
  <c r="AC814" i="7"/>
  <c r="AC813" i="7"/>
  <c r="AC812" i="7"/>
  <c r="AC811" i="7"/>
  <c r="AC810" i="7"/>
  <c r="AC809" i="7"/>
  <c r="AC808" i="7"/>
  <c r="AC807" i="7"/>
  <c r="AC806" i="7"/>
  <c r="AC805" i="7"/>
  <c r="AC804" i="7"/>
  <c r="AC803" i="7"/>
  <c r="AC802" i="7"/>
  <c r="AC801" i="7"/>
  <c r="AC800" i="7"/>
  <c r="AC799" i="7"/>
  <c r="AC798" i="7"/>
  <c r="AC797" i="7"/>
  <c r="AC796" i="7"/>
  <c r="AC795" i="7"/>
  <c r="AC794" i="7"/>
  <c r="AC793" i="7"/>
  <c r="AC792" i="7"/>
  <c r="AC791" i="7"/>
  <c r="AC790" i="7"/>
  <c r="AC789" i="7"/>
  <c r="AC788" i="7"/>
  <c r="AC787" i="7"/>
  <c r="AC786" i="7"/>
  <c r="AC785" i="7"/>
  <c r="AC784" i="7"/>
  <c r="AC783" i="7"/>
  <c r="AC782" i="7"/>
  <c r="AC781" i="7"/>
  <c r="AC780" i="7"/>
  <c r="AC779" i="7"/>
  <c r="AC778" i="7"/>
  <c r="AC777" i="7"/>
  <c r="AC776" i="7"/>
  <c r="AC775" i="7"/>
  <c r="AC774" i="7"/>
  <c r="AC773" i="7"/>
  <c r="AC772" i="7"/>
  <c r="AC771" i="7"/>
  <c r="AC770" i="7"/>
  <c r="AC769" i="7"/>
  <c r="AC768" i="7"/>
  <c r="AC767" i="7"/>
  <c r="AC766" i="7"/>
  <c r="AC765" i="7"/>
  <c r="AC764" i="7"/>
  <c r="AC763" i="7"/>
  <c r="AC762" i="7"/>
  <c r="AC761" i="7"/>
  <c r="AC760" i="7"/>
  <c r="AC759" i="7"/>
  <c r="AC758" i="7"/>
  <c r="AC757" i="7"/>
  <c r="AC756" i="7"/>
  <c r="AC755" i="7"/>
  <c r="AC754" i="7"/>
  <c r="AC753" i="7"/>
  <c r="AC752" i="7"/>
  <c r="AC751" i="7"/>
  <c r="AC750" i="7"/>
  <c r="AC749" i="7"/>
  <c r="AC748" i="7"/>
  <c r="AC747" i="7"/>
  <c r="AC746" i="7"/>
  <c r="AC745" i="7"/>
  <c r="AC744" i="7"/>
  <c r="AC743" i="7"/>
  <c r="AC742" i="7"/>
  <c r="AC741" i="7"/>
  <c r="AC740" i="7"/>
  <c r="AC739" i="7"/>
  <c r="AC738" i="7"/>
  <c r="AC737" i="7"/>
  <c r="AC736" i="7"/>
  <c r="AC735" i="7"/>
  <c r="AC734" i="7"/>
  <c r="AC733" i="7"/>
  <c r="AC732" i="7"/>
  <c r="AC731" i="7"/>
  <c r="AC730" i="7"/>
  <c r="AC729" i="7"/>
  <c r="AC728" i="7"/>
  <c r="AC727" i="7"/>
  <c r="AC726" i="7"/>
  <c r="AC725" i="7"/>
  <c r="AC724" i="7"/>
  <c r="AC723" i="7"/>
  <c r="AC722" i="7"/>
  <c r="AC721" i="7"/>
  <c r="AC720" i="7"/>
  <c r="AC719" i="7"/>
  <c r="AC718" i="7"/>
  <c r="AC717" i="7"/>
  <c r="AC716" i="7"/>
  <c r="AC715" i="7"/>
  <c r="AC714" i="7"/>
  <c r="AC713" i="7"/>
  <c r="AC712" i="7"/>
  <c r="AC711" i="7"/>
  <c r="AC710" i="7"/>
  <c r="AC709" i="7"/>
  <c r="AC708" i="7"/>
  <c r="AC707" i="7"/>
  <c r="AC706" i="7"/>
  <c r="AC705" i="7"/>
  <c r="AC704" i="7"/>
  <c r="AC703" i="7"/>
  <c r="AC702" i="7"/>
  <c r="AC701" i="7"/>
  <c r="AC700" i="7"/>
  <c r="AC699" i="7"/>
  <c r="AC698" i="7"/>
  <c r="AC697" i="7"/>
  <c r="AC696" i="7"/>
  <c r="AC695" i="7"/>
  <c r="AC694" i="7"/>
  <c r="AC693" i="7"/>
  <c r="AC692" i="7"/>
  <c r="AC691" i="7"/>
  <c r="AC690" i="7"/>
  <c r="AC689" i="7"/>
  <c r="AC688" i="7"/>
  <c r="AC687" i="7"/>
  <c r="AC686" i="7"/>
  <c r="AC685" i="7"/>
  <c r="AC684" i="7"/>
  <c r="AC683" i="7"/>
  <c r="AC682" i="7"/>
  <c r="AC681" i="7"/>
  <c r="AC680" i="7"/>
  <c r="AC679" i="7"/>
  <c r="AC678" i="7"/>
  <c r="AC677" i="7"/>
  <c r="AC676" i="7"/>
  <c r="AC675" i="7"/>
  <c r="AC674" i="7"/>
  <c r="AC673" i="7"/>
  <c r="AC672" i="7"/>
  <c r="AC671" i="7"/>
  <c r="AC670" i="7"/>
  <c r="AC669" i="7"/>
  <c r="AC668" i="7"/>
  <c r="AC667" i="7"/>
  <c r="AC666" i="7"/>
  <c r="AC665" i="7"/>
  <c r="AC664" i="7"/>
  <c r="AC663" i="7"/>
  <c r="AC662" i="7"/>
  <c r="AC661" i="7"/>
  <c r="AC660" i="7"/>
  <c r="AC659" i="7"/>
  <c r="AC658" i="7"/>
  <c r="AC657" i="7"/>
  <c r="AC656" i="7"/>
  <c r="AC655" i="7"/>
  <c r="AC654" i="7"/>
  <c r="AC653" i="7"/>
  <c r="AC652" i="7"/>
  <c r="AC651" i="7"/>
  <c r="AC650" i="7"/>
  <c r="AC649" i="7"/>
  <c r="AC648" i="7"/>
  <c r="AC647" i="7"/>
  <c r="AC646" i="7"/>
  <c r="AC645" i="7"/>
  <c r="AC644" i="7"/>
  <c r="AC643" i="7"/>
  <c r="AC642" i="7"/>
  <c r="AC641" i="7"/>
  <c r="AC640" i="7"/>
  <c r="AC639" i="7"/>
  <c r="AC638" i="7"/>
  <c r="AC637" i="7"/>
  <c r="AC636" i="7"/>
  <c r="AC635" i="7"/>
  <c r="AC634" i="7"/>
  <c r="AC633" i="7"/>
  <c r="AC632" i="7"/>
  <c r="AC631" i="7"/>
  <c r="AC630" i="7"/>
  <c r="AC629" i="7"/>
  <c r="AC628" i="7"/>
  <c r="AC627" i="7"/>
  <c r="AC626" i="7"/>
  <c r="AC625" i="7"/>
  <c r="AC624" i="7"/>
  <c r="AC623" i="7"/>
  <c r="AC622" i="7"/>
  <c r="AC621" i="7"/>
  <c r="AC620" i="7"/>
  <c r="AC619" i="7"/>
  <c r="AC618" i="7"/>
  <c r="AC617" i="7"/>
  <c r="AC616" i="7"/>
  <c r="AC615" i="7"/>
  <c r="AC614" i="7"/>
  <c r="AC613" i="7"/>
  <c r="AC612" i="7"/>
  <c r="AC611" i="7"/>
  <c r="AC610" i="7"/>
  <c r="AC609" i="7"/>
  <c r="AC608" i="7"/>
  <c r="AC607" i="7"/>
  <c r="AC606" i="7"/>
  <c r="AC605" i="7"/>
  <c r="AC604" i="7"/>
  <c r="AC603" i="7"/>
  <c r="AC602" i="7"/>
  <c r="AC601" i="7"/>
  <c r="AC600" i="7"/>
  <c r="AC599" i="7"/>
  <c r="AC598" i="7"/>
  <c r="AC597" i="7"/>
  <c r="AC596" i="7"/>
  <c r="AC595" i="7"/>
  <c r="AC594" i="7"/>
  <c r="AC593" i="7"/>
  <c r="AC592" i="7"/>
  <c r="AC591" i="7"/>
  <c r="AC590" i="7"/>
  <c r="AC589" i="7"/>
  <c r="AC588" i="7"/>
  <c r="AC587" i="7"/>
  <c r="AC586" i="7"/>
  <c r="AC585" i="7"/>
  <c r="AC584" i="7"/>
  <c r="AC583" i="7"/>
  <c r="AC582" i="7"/>
  <c r="AC581" i="7"/>
  <c r="AC580" i="7"/>
  <c r="AC579" i="7"/>
  <c r="AC578" i="7"/>
  <c r="AC577" i="7"/>
  <c r="AC576" i="7"/>
  <c r="AC575" i="7"/>
  <c r="AC574" i="7"/>
  <c r="AC573" i="7"/>
  <c r="AC572" i="7"/>
  <c r="AC571" i="7"/>
  <c r="AC570" i="7"/>
  <c r="AC569" i="7"/>
  <c r="AC568" i="7"/>
  <c r="AC567" i="7"/>
  <c r="AC566" i="7"/>
  <c r="AC565" i="7"/>
  <c r="AC564" i="7"/>
  <c r="AC563" i="7"/>
  <c r="AC562" i="7"/>
  <c r="AC561" i="7"/>
  <c r="AC560" i="7"/>
  <c r="AC559" i="7"/>
  <c r="AC558" i="7"/>
  <c r="AC557" i="7"/>
  <c r="AC556" i="7"/>
  <c r="AC555" i="7"/>
  <c r="AC554" i="7"/>
  <c r="AC553" i="7"/>
  <c r="AC552" i="7"/>
  <c r="AC551" i="7"/>
  <c r="AC550" i="7"/>
  <c r="AC549" i="7"/>
  <c r="AC548" i="7"/>
  <c r="AC547" i="7"/>
  <c r="AC546" i="7"/>
  <c r="AC545" i="7"/>
  <c r="AC544" i="7"/>
  <c r="AC543" i="7"/>
  <c r="AC542" i="7"/>
  <c r="AC541" i="7"/>
  <c r="AC540" i="7"/>
  <c r="AC539" i="7"/>
  <c r="AC538" i="7"/>
  <c r="AC537" i="7"/>
  <c r="AC536" i="7"/>
  <c r="AC535" i="7"/>
  <c r="AC534" i="7"/>
  <c r="AC533" i="7"/>
  <c r="AC532" i="7"/>
  <c r="AC531" i="7"/>
  <c r="AC530" i="7"/>
  <c r="AC529" i="7"/>
  <c r="AC528" i="7"/>
  <c r="AC527" i="7"/>
  <c r="AC526" i="7"/>
  <c r="AC525" i="7"/>
  <c r="AC524" i="7"/>
  <c r="AC523" i="7"/>
  <c r="AC522" i="7"/>
  <c r="AC521" i="7"/>
  <c r="AC520" i="7"/>
  <c r="AC519" i="7"/>
  <c r="AC518" i="7"/>
  <c r="AC517" i="7"/>
  <c r="AC516" i="7"/>
  <c r="AC515" i="7"/>
  <c r="AC514" i="7"/>
  <c r="AC513" i="7"/>
  <c r="AC512" i="7"/>
  <c r="AC511" i="7"/>
  <c r="AC510" i="7"/>
  <c r="AC509" i="7"/>
  <c r="AC508" i="7"/>
  <c r="AC507" i="7"/>
  <c r="AC506" i="7"/>
  <c r="AC505" i="7"/>
  <c r="AC504" i="7"/>
  <c r="AC503" i="7"/>
  <c r="AC502" i="7"/>
  <c r="AC501" i="7"/>
  <c r="AC500" i="7"/>
  <c r="AC499" i="7"/>
  <c r="AC498" i="7"/>
  <c r="AC497" i="7"/>
  <c r="AC496" i="7"/>
  <c r="AC495" i="7"/>
  <c r="AC494" i="7"/>
  <c r="AC493" i="7"/>
  <c r="AC492" i="7"/>
  <c r="AC491" i="7"/>
  <c r="AC490" i="7"/>
  <c r="AC489" i="7"/>
  <c r="AC488" i="7"/>
  <c r="AC487" i="7"/>
  <c r="AC486" i="7"/>
  <c r="AC485" i="7"/>
  <c r="AC484" i="7"/>
  <c r="AC483" i="7"/>
  <c r="AC482" i="7"/>
  <c r="AC481" i="7"/>
  <c r="AC480" i="7"/>
  <c r="AC479" i="7"/>
  <c r="AC478" i="7"/>
  <c r="AC477" i="7"/>
  <c r="AC476" i="7"/>
  <c r="AC475" i="7"/>
  <c r="AC474" i="7"/>
  <c r="AC473" i="7"/>
  <c r="AC472" i="7"/>
  <c r="AC471" i="7"/>
  <c r="AC470" i="7"/>
  <c r="AC469" i="7"/>
  <c r="AC468" i="7"/>
  <c r="AC467" i="7"/>
  <c r="AC466" i="7"/>
  <c r="AC465" i="7"/>
  <c r="AC464" i="7"/>
  <c r="AC463" i="7"/>
  <c r="AC462" i="7"/>
  <c r="AC461" i="7"/>
  <c r="AC460" i="7"/>
  <c r="AC459" i="7"/>
  <c r="AC458" i="7"/>
  <c r="AC457" i="7"/>
  <c r="AC456" i="7"/>
  <c r="AC455" i="7"/>
  <c r="AC454" i="7"/>
  <c r="AC453" i="7"/>
  <c r="AC452" i="7"/>
  <c r="AC451" i="7"/>
  <c r="AC450" i="7"/>
  <c r="AC449" i="7"/>
  <c r="AC448" i="7"/>
  <c r="AC447" i="7"/>
  <c r="AC446" i="7"/>
  <c r="AC445" i="7"/>
  <c r="AC444" i="7"/>
  <c r="AC443" i="7"/>
  <c r="AC442" i="7"/>
  <c r="AC441" i="7"/>
  <c r="AC440" i="7"/>
  <c r="AC439" i="7"/>
  <c r="AC438" i="7"/>
  <c r="AC437" i="7"/>
  <c r="AC436" i="7"/>
  <c r="AC435" i="7"/>
  <c r="AC434" i="7"/>
  <c r="AC433" i="7"/>
  <c r="AC432" i="7"/>
  <c r="AC431" i="7"/>
  <c r="AC430" i="7"/>
  <c r="AC429" i="7"/>
  <c r="AC428" i="7"/>
  <c r="AC427" i="7"/>
  <c r="AC426" i="7"/>
  <c r="AC425" i="7"/>
  <c r="AC424" i="7"/>
  <c r="AC423" i="7"/>
  <c r="AC422" i="7"/>
  <c r="AC421" i="7"/>
  <c r="AC420" i="7"/>
  <c r="AC419" i="7"/>
  <c r="AC418" i="7"/>
  <c r="AC417" i="7"/>
  <c r="AC416" i="7"/>
  <c r="AC415" i="7"/>
  <c r="AC414" i="7"/>
  <c r="AC413" i="7"/>
  <c r="AC412" i="7"/>
  <c r="AC411" i="7"/>
  <c r="AC410" i="7"/>
  <c r="AC409" i="7"/>
  <c r="AC408" i="7"/>
  <c r="AC407" i="7"/>
  <c r="AC406" i="7"/>
  <c r="AC405" i="7"/>
  <c r="AC404" i="7"/>
  <c r="AC403" i="7"/>
  <c r="AC402" i="7"/>
  <c r="AC401" i="7"/>
  <c r="AC400" i="7"/>
  <c r="AC399" i="7"/>
  <c r="AC398" i="7"/>
  <c r="AC397" i="7"/>
  <c r="AC396" i="7"/>
  <c r="AC395" i="7"/>
  <c r="AC394" i="7"/>
  <c r="AC393" i="7"/>
  <c r="AC392" i="7"/>
  <c r="AC391" i="7"/>
  <c r="AC390" i="7"/>
  <c r="AC389" i="7"/>
  <c r="AC388" i="7"/>
  <c r="AC387" i="7"/>
  <c r="AC386" i="7"/>
  <c r="AC385" i="7"/>
  <c r="AC384" i="7"/>
  <c r="AC383" i="7"/>
  <c r="AC382" i="7"/>
  <c r="AC381" i="7"/>
  <c r="AC380" i="7"/>
  <c r="AC379" i="7"/>
  <c r="AC378" i="7"/>
  <c r="AC377" i="7"/>
  <c r="AC376" i="7"/>
  <c r="AC375" i="7"/>
  <c r="AC374" i="7"/>
  <c r="AC373" i="7"/>
  <c r="AC372" i="7"/>
  <c r="AC371" i="7"/>
  <c r="AC370" i="7"/>
  <c r="AC369" i="7"/>
  <c r="AC368" i="7"/>
  <c r="AC367" i="7"/>
  <c r="AC366" i="7"/>
  <c r="AC365" i="7"/>
  <c r="AC364" i="7"/>
  <c r="AC363" i="7"/>
  <c r="AC362" i="7"/>
  <c r="AC361" i="7"/>
  <c r="AC360" i="7"/>
  <c r="AC359" i="7"/>
  <c r="AC358" i="7"/>
  <c r="AC357" i="7"/>
  <c r="AC356" i="7"/>
  <c r="AC355" i="7"/>
  <c r="AC354" i="7"/>
  <c r="AC353" i="7"/>
  <c r="AC352" i="7"/>
  <c r="AC351" i="7"/>
  <c r="AC350" i="7"/>
  <c r="AC349" i="7"/>
  <c r="AC348" i="7"/>
  <c r="AC347" i="7"/>
  <c r="AC346" i="7"/>
  <c r="AC345" i="7"/>
  <c r="AC344" i="7"/>
  <c r="AC343" i="7"/>
  <c r="AC342" i="7"/>
  <c r="AC341" i="7"/>
  <c r="AC340" i="7"/>
  <c r="AC339" i="7"/>
  <c r="AC338" i="7"/>
  <c r="AC337" i="7"/>
  <c r="AC336" i="7"/>
  <c r="AC335" i="7"/>
  <c r="AC334" i="7"/>
  <c r="AC333" i="7"/>
  <c r="AC332" i="7"/>
  <c r="AC331" i="7"/>
  <c r="AC330" i="7"/>
  <c r="AC329" i="7"/>
  <c r="AC328" i="7"/>
  <c r="AC327" i="7"/>
  <c r="AC326" i="7"/>
  <c r="AC325" i="7"/>
  <c r="AC324" i="7"/>
  <c r="AC323" i="7"/>
  <c r="AC322" i="7"/>
  <c r="AC321" i="7"/>
  <c r="AC320" i="7"/>
  <c r="AC319" i="7"/>
  <c r="AC318" i="7"/>
  <c r="AC317" i="7"/>
  <c r="AC316" i="7"/>
  <c r="AC315" i="7"/>
  <c r="AC314" i="7"/>
  <c r="AC313" i="7"/>
  <c r="AC312" i="7"/>
  <c r="AC311" i="7"/>
  <c r="AC310" i="7"/>
  <c r="AC309" i="7"/>
  <c r="AC308" i="7"/>
  <c r="AC307" i="7"/>
  <c r="AC306" i="7"/>
  <c r="AC305" i="7"/>
  <c r="AC304" i="7"/>
  <c r="AC303" i="7"/>
  <c r="AC302" i="7"/>
  <c r="AC301" i="7"/>
  <c r="AC300" i="7"/>
  <c r="AC299" i="7"/>
  <c r="AC298" i="7"/>
  <c r="AC297" i="7"/>
  <c r="AC296" i="7"/>
  <c r="AC295" i="7"/>
  <c r="AC294" i="7"/>
  <c r="AC293" i="7"/>
  <c r="AC292" i="7"/>
  <c r="AC291" i="7"/>
  <c r="AC290" i="7"/>
  <c r="AC289" i="7"/>
  <c r="AC288" i="7"/>
  <c r="AC287" i="7"/>
  <c r="AC286" i="7"/>
  <c r="AC285" i="7"/>
  <c r="AC284" i="7"/>
  <c r="AC283" i="7"/>
  <c r="AC282" i="7"/>
  <c r="AC281" i="7"/>
  <c r="AC280" i="7"/>
  <c r="AC279" i="7"/>
  <c r="AC278" i="7"/>
  <c r="AC277" i="7"/>
  <c r="AC276" i="7"/>
  <c r="AC275" i="7"/>
  <c r="AC274" i="7"/>
  <c r="AC273" i="7"/>
  <c r="AC272" i="7"/>
  <c r="AC271" i="7"/>
  <c r="AC270" i="7"/>
  <c r="AC269" i="7"/>
  <c r="AC268" i="7"/>
  <c r="AC267" i="7"/>
  <c r="AC266" i="7"/>
  <c r="AC265" i="7"/>
  <c r="AC264" i="7"/>
  <c r="AC263" i="7"/>
  <c r="AC262" i="7"/>
  <c r="AC261" i="7"/>
  <c r="AC260" i="7"/>
  <c r="AC259" i="7"/>
  <c r="AC258" i="7"/>
  <c r="AC257" i="7"/>
  <c r="AC256" i="7"/>
  <c r="AC255" i="7"/>
  <c r="AC254" i="7"/>
  <c r="AC253" i="7"/>
  <c r="AC252" i="7"/>
  <c r="AC251" i="7"/>
  <c r="AC250" i="7"/>
  <c r="AC249" i="7"/>
  <c r="AC248" i="7"/>
  <c r="AC247" i="7"/>
  <c r="AC246" i="7"/>
  <c r="AC245" i="7"/>
  <c r="AC244" i="7"/>
  <c r="AC243" i="7"/>
  <c r="AC242" i="7"/>
  <c r="AC241" i="7"/>
  <c r="AC240" i="7"/>
  <c r="AC239" i="7"/>
  <c r="AC238" i="7"/>
  <c r="AC237" i="7"/>
  <c r="AC236" i="7"/>
  <c r="AC235" i="7"/>
  <c r="AC234" i="7"/>
  <c r="AC233" i="7"/>
  <c r="AC232" i="7"/>
  <c r="AC231" i="7"/>
  <c r="AC230" i="7"/>
  <c r="AC229" i="7"/>
  <c r="AC228" i="7"/>
  <c r="AC227" i="7"/>
  <c r="AC226" i="7"/>
  <c r="AC225" i="7"/>
  <c r="AC224" i="7"/>
  <c r="AC223" i="7"/>
  <c r="AC222" i="7"/>
  <c r="AC221" i="7"/>
  <c r="AC220" i="7"/>
  <c r="AC219" i="7"/>
  <c r="AC218" i="7"/>
  <c r="AC217" i="7"/>
  <c r="AC216" i="7"/>
  <c r="AC215" i="7"/>
  <c r="AC214" i="7"/>
  <c r="AC213" i="7"/>
  <c r="AC212" i="7"/>
  <c r="AC211" i="7"/>
  <c r="AC210" i="7"/>
  <c r="AC209" i="7"/>
  <c r="AC208" i="7"/>
  <c r="AC207" i="7"/>
  <c r="AC206" i="7"/>
  <c r="AC205" i="7"/>
  <c r="AC204" i="7"/>
  <c r="AC203" i="7"/>
  <c r="AC202" i="7"/>
  <c r="AC201" i="7"/>
  <c r="AC200" i="7"/>
  <c r="AC199" i="7"/>
  <c r="AC198" i="7"/>
  <c r="AC197" i="7"/>
  <c r="AC196" i="7"/>
  <c r="AC195" i="7"/>
  <c r="AC194" i="7"/>
  <c r="AC193" i="7"/>
  <c r="AC192" i="7"/>
  <c r="AC191" i="7"/>
  <c r="AC190" i="7"/>
  <c r="AC189" i="7"/>
  <c r="AC188" i="7"/>
  <c r="AC187" i="7"/>
  <c r="AC186" i="7"/>
  <c r="AC185" i="7"/>
  <c r="AC184" i="7"/>
  <c r="AC183" i="7"/>
  <c r="AC182" i="7"/>
  <c r="AC181" i="7"/>
  <c r="AC180" i="7"/>
  <c r="AC179" i="7"/>
  <c r="AC178" i="7"/>
  <c r="AC177" i="7"/>
  <c r="AC176" i="7"/>
  <c r="AC175" i="7"/>
  <c r="AC174" i="7"/>
  <c r="AC173" i="7"/>
  <c r="AC172" i="7"/>
  <c r="AC171" i="7"/>
  <c r="AC170" i="7"/>
  <c r="AC169" i="7"/>
  <c r="AC168" i="7"/>
  <c r="AC167" i="7"/>
  <c r="AC166" i="7"/>
  <c r="AC165" i="7"/>
  <c r="AC164" i="7"/>
  <c r="AC163" i="7"/>
  <c r="AC162" i="7"/>
  <c r="AC161" i="7"/>
  <c r="AC160" i="7"/>
  <c r="AC159" i="7"/>
  <c r="AC158" i="7"/>
  <c r="AC157" i="7"/>
  <c r="AC156" i="7"/>
  <c r="AC155" i="7"/>
  <c r="AC154" i="7"/>
  <c r="AC153" i="7"/>
  <c r="AC152" i="7"/>
  <c r="AC151" i="7"/>
  <c r="AC150" i="7"/>
  <c r="AC149" i="7"/>
  <c r="AC148" i="7"/>
  <c r="AC147" i="7"/>
  <c r="AC146" i="7"/>
  <c r="AC145" i="7"/>
  <c r="AC144" i="7"/>
  <c r="AC143" i="7"/>
  <c r="AC142" i="7"/>
  <c r="AC141" i="7"/>
  <c r="AC140" i="7"/>
  <c r="AC139" i="7"/>
  <c r="AC138" i="7"/>
  <c r="AC137" i="7"/>
  <c r="AC136" i="7"/>
  <c r="AC135" i="7"/>
  <c r="AC134" i="7"/>
  <c r="AC133" i="7"/>
  <c r="AC132" i="7"/>
  <c r="AC131" i="7"/>
  <c r="AC130" i="7"/>
  <c r="AC129" i="7"/>
  <c r="AC128" i="7"/>
  <c r="AC127" i="7"/>
  <c r="AC126" i="7"/>
  <c r="AC125" i="7"/>
  <c r="AC124" i="7"/>
  <c r="AC123" i="7"/>
  <c r="AC122" i="7"/>
  <c r="AC121" i="7"/>
  <c r="AC120" i="7"/>
  <c r="AC119" i="7"/>
  <c r="AC118" i="7"/>
  <c r="AC117" i="7"/>
  <c r="AC116" i="7"/>
  <c r="AC115" i="7"/>
  <c r="AC114" i="7"/>
  <c r="AC113" i="7"/>
  <c r="AC112" i="7"/>
  <c r="AC111" i="7"/>
  <c r="AC110" i="7"/>
  <c r="AC109" i="7"/>
  <c r="AC108" i="7"/>
  <c r="AC107" i="7"/>
  <c r="AC106" i="7"/>
  <c r="AC105" i="7"/>
  <c r="AC104" i="7"/>
  <c r="AC103" i="7"/>
  <c r="AC102" i="7"/>
  <c r="AC101" i="7"/>
  <c r="AC100" i="7"/>
  <c r="AC99" i="7"/>
  <c r="AC98" i="7"/>
  <c r="AC97" i="7"/>
  <c r="AC96" i="7"/>
  <c r="AC95" i="7"/>
  <c r="AC94" i="7"/>
  <c r="AC93" i="7"/>
  <c r="AC92" i="7"/>
  <c r="AC91" i="7"/>
  <c r="AC90" i="7"/>
  <c r="AC89" i="7"/>
  <c r="AC88" i="7"/>
  <c r="AC87" i="7"/>
  <c r="AC86" i="7"/>
  <c r="AC85" i="7"/>
  <c r="AC84" i="7"/>
  <c r="AC83" i="7"/>
  <c r="AC82" i="7"/>
  <c r="AC81" i="7"/>
  <c r="AC80" i="7"/>
  <c r="AC79" i="7"/>
  <c r="AC78" i="7"/>
  <c r="AC77" i="7"/>
  <c r="AC76" i="7"/>
  <c r="AC75" i="7"/>
  <c r="AC74" i="7"/>
  <c r="AC73" i="7"/>
  <c r="AC72" i="7"/>
  <c r="AC71" i="7"/>
  <c r="AC70" i="7"/>
  <c r="AC69" i="7"/>
  <c r="AC68" i="7"/>
  <c r="AC67" i="7"/>
  <c r="AC66" i="7"/>
  <c r="AC65" i="7"/>
  <c r="AC64" i="7"/>
  <c r="AC63" i="7"/>
  <c r="AC62" i="7"/>
  <c r="AC61" i="7"/>
  <c r="AC60" i="7"/>
  <c r="AC59" i="7"/>
  <c r="AC58" i="7"/>
  <c r="AC57" i="7"/>
  <c r="AC56" i="7"/>
  <c r="AC55" i="7"/>
  <c r="AC54" i="7"/>
  <c r="AC53" i="7"/>
  <c r="AC52" i="7"/>
  <c r="AC51" i="7"/>
  <c r="AC50" i="7"/>
  <c r="AC49" i="7"/>
  <c r="AC48" i="7"/>
  <c r="AC47" i="7"/>
  <c r="AC46" i="7"/>
  <c r="AC45" i="7"/>
  <c r="AC44" i="7"/>
  <c r="AC43" i="7"/>
  <c r="AC42" i="7"/>
  <c r="AC41" i="7"/>
  <c r="AC40" i="7"/>
  <c r="AC39" i="7"/>
  <c r="AC38" i="7"/>
  <c r="AC37" i="7"/>
  <c r="AC36" i="7"/>
  <c r="AC35" i="7"/>
  <c r="AC34" i="7"/>
  <c r="AC33" i="7"/>
  <c r="AC32" i="7"/>
  <c r="AC31" i="7"/>
  <c r="AC30" i="7"/>
  <c r="AC29" i="7"/>
  <c r="AC28" i="7"/>
  <c r="AC27" i="7"/>
  <c r="AC26" i="7"/>
  <c r="AC25" i="7"/>
  <c r="AC24" i="7"/>
  <c r="AC23" i="7"/>
  <c r="AC22" i="7"/>
  <c r="AC21" i="7"/>
  <c r="AC20" i="7"/>
  <c r="AC19" i="7"/>
  <c r="AC18" i="7"/>
  <c r="AC17" i="7"/>
  <c r="AC16" i="7"/>
  <c r="AC15" i="7"/>
  <c r="AC14" i="7"/>
  <c r="AC13" i="7"/>
  <c r="AC12" i="7"/>
  <c r="AC11" i="7"/>
  <c r="AC10" i="7"/>
  <c r="AC9" i="7"/>
  <c r="AC8" i="7"/>
  <c r="AC7" i="7"/>
  <c r="AC6" i="7"/>
  <c r="AC5" i="7"/>
  <c r="AC4" i="7"/>
  <c r="AC3" i="7"/>
  <c r="AC2" i="7"/>
  <c r="AC1015" i="6"/>
  <c r="AC1014" i="6"/>
  <c r="AC1013" i="6"/>
  <c r="AC1012" i="6"/>
  <c r="AC1011" i="6"/>
  <c r="AC1010" i="6"/>
  <c r="AC1009" i="6"/>
  <c r="AC1008" i="6"/>
  <c r="AC1007" i="6"/>
  <c r="AC1006" i="6"/>
  <c r="AC1005" i="6"/>
  <c r="AC1004" i="6"/>
  <c r="AC1003" i="6"/>
  <c r="AC1002" i="6"/>
  <c r="AC1001" i="6"/>
  <c r="AC1000" i="6"/>
  <c r="AC999" i="6"/>
  <c r="AC998" i="6"/>
  <c r="AC997" i="6"/>
  <c r="AC996" i="6"/>
  <c r="AC995" i="6"/>
  <c r="AC994" i="6"/>
  <c r="AC993" i="6"/>
  <c r="AC992" i="6"/>
  <c r="AC991" i="6"/>
  <c r="AC990" i="6"/>
  <c r="AC989" i="6"/>
  <c r="AC988" i="6"/>
  <c r="AC987" i="6"/>
  <c r="AC986" i="6"/>
  <c r="AC985" i="6"/>
  <c r="AC984" i="6"/>
  <c r="AC983" i="6"/>
  <c r="AC982" i="6"/>
  <c r="AC981" i="6"/>
  <c r="AC980" i="6"/>
  <c r="AC979" i="6"/>
  <c r="AC978" i="6"/>
  <c r="AC977" i="6"/>
  <c r="AC976" i="6"/>
  <c r="AC975" i="6"/>
  <c r="AC974" i="6"/>
  <c r="AC973" i="6"/>
  <c r="AC972" i="6"/>
  <c r="AC971" i="6"/>
  <c r="AC970" i="6"/>
  <c r="AC969" i="6"/>
  <c r="AC968" i="6"/>
  <c r="AC967" i="6"/>
  <c r="AC966" i="6"/>
  <c r="AC965" i="6"/>
  <c r="AC964" i="6"/>
  <c r="AC963" i="6"/>
  <c r="AC962" i="6"/>
  <c r="AC961" i="6"/>
  <c r="AC960" i="6"/>
  <c r="AC959" i="6"/>
  <c r="AC958" i="6"/>
  <c r="AC957" i="6"/>
  <c r="AC956" i="6"/>
  <c r="AC955" i="6"/>
  <c r="AC954" i="6"/>
  <c r="AC953" i="6"/>
  <c r="AC952" i="6"/>
  <c r="AC951" i="6"/>
  <c r="AC950" i="6"/>
  <c r="AC949" i="6"/>
  <c r="AC948" i="6"/>
  <c r="AC947" i="6"/>
  <c r="AC946" i="6"/>
  <c r="AC945" i="6"/>
  <c r="AC944" i="6"/>
  <c r="AC943" i="6"/>
  <c r="AC942" i="6"/>
  <c r="AC941" i="6"/>
  <c r="AC940" i="6"/>
  <c r="AC939" i="6"/>
  <c r="AC938" i="6"/>
  <c r="AC937" i="6"/>
  <c r="AC936" i="6"/>
  <c r="AC935" i="6"/>
  <c r="AC934" i="6"/>
  <c r="AC933" i="6"/>
  <c r="AC932" i="6"/>
  <c r="AC931" i="6"/>
  <c r="AC930" i="6"/>
  <c r="AC929" i="6"/>
  <c r="AC928" i="6"/>
  <c r="AC927" i="6"/>
  <c r="AC926" i="6"/>
  <c r="AC925" i="6"/>
  <c r="AC924" i="6"/>
  <c r="AC923" i="6"/>
  <c r="AC922" i="6"/>
  <c r="AC921" i="6"/>
  <c r="AC920" i="6"/>
  <c r="AC919" i="6"/>
  <c r="AC918" i="6"/>
  <c r="AC917" i="6"/>
  <c r="AC916" i="6"/>
  <c r="AC915" i="6"/>
  <c r="AC914" i="6"/>
  <c r="AC913" i="6"/>
  <c r="AC912" i="6"/>
  <c r="AC911" i="6"/>
  <c r="AC910" i="6"/>
  <c r="AC909" i="6"/>
  <c r="AC908" i="6"/>
  <c r="AC907" i="6"/>
  <c r="AC906" i="6"/>
  <c r="AC905" i="6"/>
  <c r="AC904" i="6"/>
  <c r="AC903" i="6"/>
  <c r="AC902" i="6"/>
  <c r="AC901" i="6"/>
  <c r="AC900" i="6"/>
  <c r="AC899" i="6"/>
  <c r="AC898" i="6"/>
  <c r="AC897" i="6"/>
  <c r="AC896" i="6"/>
  <c r="AC895" i="6"/>
  <c r="AC894" i="6"/>
  <c r="AC893" i="6"/>
  <c r="AC892" i="6"/>
  <c r="AC891" i="6"/>
  <c r="AC890" i="6"/>
  <c r="AC889" i="6"/>
  <c r="AC888" i="6"/>
  <c r="AC887" i="6"/>
  <c r="AC886" i="6"/>
  <c r="AC885" i="6"/>
  <c r="AC884" i="6"/>
  <c r="AC883" i="6"/>
  <c r="AC882" i="6"/>
  <c r="AC881" i="6"/>
  <c r="AC880" i="6"/>
  <c r="AC879" i="6"/>
  <c r="AC878" i="6"/>
  <c r="AC877" i="6"/>
  <c r="AC876" i="6"/>
  <c r="AC875" i="6"/>
  <c r="AC874" i="6"/>
  <c r="AC873" i="6"/>
  <c r="AC872" i="6"/>
  <c r="AC871" i="6"/>
  <c r="AC870" i="6"/>
  <c r="AC869" i="6"/>
  <c r="AC868" i="6"/>
  <c r="AC867" i="6"/>
  <c r="AC866" i="6"/>
  <c r="AC865" i="6"/>
  <c r="AC864" i="6"/>
  <c r="AC863" i="6"/>
  <c r="AC862" i="6"/>
  <c r="AC861" i="6"/>
  <c r="AC860" i="6"/>
  <c r="AC859" i="6"/>
  <c r="AC858" i="6"/>
  <c r="AC857" i="6"/>
  <c r="AC856" i="6"/>
  <c r="AC855" i="6"/>
  <c r="AC854" i="6"/>
  <c r="AC853" i="6"/>
  <c r="AC852" i="6"/>
  <c r="AC851" i="6"/>
  <c r="AC850" i="6"/>
  <c r="AC849" i="6"/>
  <c r="AC848" i="6"/>
  <c r="AC847" i="6"/>
  <c r="AC846" i="6"/>
  <c r="AC845" i="6"/>
  <c r="AC844" i="6"/>
  <c r="AC843" i="6"/>
  <c r="AC842" i="6"/>
  <c r="AC841" i="6"/>
  <c r="AC840" i="6"/>
  <c r="AC839" i="6"/>
  <c r="AC838" i="6"/>
  <c r="AC837" i="6"/>
  <c r="AC836" i="6"/>
  <c r="AC835" i="6"/>
  <c r="AC834" i="6"/>
  <c r="AC833" i="6"/>
  <c r="AC832" i="6"/>
  <c r="AC831" i="6"/>
  <c r="AC830" i="6"/>
  <c r="AC829" i="6"/>
  <c r="AC828" i="6"/>
  <c r="AC827" i="6"/>
  <c r="AC826" i="6"/>
  <c r="AC825" i="6"/>
  <c r="AC824" i="6"/>
  <c r="AC823" i="6"/>
  <c r="AC822" i="6"/>
  <c r="AC821" i="6"/>
  <c r="AC820" i="6"/>
  <c r="AC819" i="6"/>
  <c r="AC818" i="6"/>
  <c r="AC817" i="6"/>
  <c r="AC816" i="6"/>
  <c r="AC815" i="6"/>
  <c r="AC814" i="6"/>
  <c r="AC813" i="6"/>
  <c r="AC812" i="6"/>
  <c r="AC811" i="6"/>
  <c r="AC810" i="6"/>
  <c r="AC809" i="6"/>
  <c r="AC808" i="6"/>
  <c r="AC807" i="6"/>
  <c r="AC806" i="6"/>
  <c r="AC805" i="6"/>
  <c r="AC804" i="6"/>
  <c r="AC803" i="6"/>
  <c r="AC802" i="6"/>
  <c r="AC801" i="6"/>
  <c r="AC800" i="6"/>
  <c r="AC799" i="6"/>
  <c r="AC798" i="6"/>
  <c r="AC797" i="6"/>
  <c r="AC796" i="6"/>
  <c r="AC795" i="6"/>
  <c r="AC794" i="6"/>
  <c r="AC793" i="6"/>
  <c r="AC792" i="6"/>
  <c r="AC791" i="6"/>
  <c r="AC790" i="6"/>
  <c r="AC789" i="6"/>
  <c r="AC788" i="6"/>
  <c r="AC787" i="6"/>
  <c r="AC786" i="6"/>
  <c r="AC785" i="6"/>
  <c r="AC784" i="6"/>
  <c r="AC783" i="6"/>
  <c r="AC782" i="6"/>
  <c r="AC781" i="6"/>
  <c r="AC780" i="6"/>
  <c r="AC779" i="6"/>
  <c r="AC778" i="6"/>
  <c r="AC777" i="6"/>
  <c r="AC776" i="6"/>
  <c r="AC775" i="6"/>
  <c r="AC774" i="6"/>
  <c r="AC773" i="6"/>
  <c r="AC772" i="6"/>
  <c r="AC771" i="6"/>
  <c r="AC770" i="6"/>
  <c r="AC769" i="6"/>
  <c r="AC768" i="6"/>
  <c r="AC767" i="6"/>
  <c r="AC766" i="6"/>
  <c r="AC765" i="6"/>
  <c r="AC764" i="6"/>
  <c r="AC763" i="6"/>
  <c r="AC762" i="6"/>
  <c r="AC761" i="6"/>
  <c r="AC760" i="6"/>
  <c r="AC759" i="6"/>
  <c r="AC758" i="6"/>
  <c r="AC757" i="6"/>
  <c r="AC756" i="6"/>
  <c r="AC755" i="6"/>
  <c r="AC754" i="6"/>
  <c r="AC753" i="6"/>
  <c r="AC752" i="6"/>
  <c r="AC751" i="6"/>
  <c r="AC750" i="6"/>
  <c r="AC749" i="6"/>
  <c r="AC748" i="6"/>
  <c r="AC747" i="6"/>
  <c r="AC746" i="6"/>
  <c r="AC745" i="6"/>
  <c r="AC744" i="6"/>
  <c r="AC743" i="6"/>
  <c r="AC742" i="6"/>
  <c r="AC741" i="6"/>
  <c r="AC740" i="6"/>
  <c r="AC739" i="6"/>
  <c r="AC738" i="6"/>
  <c r="AC737" i="6"/>
  <c r="AC736" i="6"/>
  <c r="AC735" i="6"/>
  <c r="AC734" i="6"/>
  <c r="AC733" i="6"/>
  <c r="AC732" i="6"/>
  <c r="AC731" i="6"/>
  <c r="AC730" i="6"/>
  <c r="AC729" i="6"/>
  <c r="AC728" i="6"/>
  <c r="AC727" i="6"/>
  <c r="AC726" i="6"/>
  <c r="AC725" i="6"/>
  <c r="AC724" i="6"/>
  <c r="AC723" i="6"/>
  <c r="AC722" i="6"/>
  <c r="AC721" i="6"/>
  <c r="AC720" i="6"/>
  <c r="AC719" i="6"/>
  <c r="AC718" i="6"/>
  <c r="AC717" i="6"/>
  <c r="AC716" i="6"/>
  <c r="AC715" i="6"/>
  <c r="AC714" i="6"/>
  <c r="AC713" i="6"/>
  <c r="AC712" i="6"/>
  <c r="AC711" i="6"/>
  <c r="AC710" i="6"/>
  <c r="AC709" i="6"/>
  <c r="AC708" i="6"/>
  <c r="AC707" i="6"/>
  <c r="AC706" i="6"/>
  <c r="AC705" i="6"/>
  <c r="AC704" i="6"/>
  <c r="AC703" i="6"/>
  <c r="AC702" i="6"/>
  <c r="AC701" i="6"/>
  <c r="AC700" i="6"/>
  <c r="AC699" i="6"/>
  <c r="AC698" i="6"/>
  <c r="AC697" i="6"/>
  <c r="AC696" i="6"/>
  <c r="AC695" i="6"/>
  <c r="AC694" i="6"/>
  <c r="AC693" i="6"/>
  <c r="AC692" i="6"/>
  <c r="AC691" i="6"/>
  <c r="AC690" i="6"/>
  <c r="AC689" i="6"/>
  <c r="AC688" i="6"/>
  <c r="AC687" i="6"/>
  <c r="AC686" i="6"/>
  <c r="AC685" i="6"/>
  <c r="AC684" i="6"/>
  <c r="AC683" i="6"/>
  <c r="AC682" i="6"/>
  <c r="AC681" i="6"/>
  <c r="AC680" i="6"/>
  <c r="AC679" i="6"/>
  <c r="AC678" i="6"/>
  <c r="AC677" i="6"/>
  <c r="AC676" i="6"/>
  <c r="AC675" i="6"/>
  <c r="AC674" i="6"/>
  <c r="AC673" i="6"/>
  <c r="AC672" i="6"/>
  <c r="AC671" i="6"/>
  <c r="AC670" i="6"/>
  <c r="AC669" i="6"/>
  <c r="AC668" i="6"/>
  <c r="AC667" i="6"/>
  <c r="AC666" i="6"/>
  <c r="AC665" i="6"/>
  <c r="AC664" i="6"/>
  <c r="AC663" i="6"/>
  <c r="AC662" i="6"/>
  <c r="AC661" i="6"/>
  <c r="AC660" i="6"/>
  <c r="AC659" i="6"/>
  <c r="AC658" i="6"/>
  <c r="AC657" i="6"/>
  <c r="AC656" i="6"/>
  <c r="AC655" i="6"/>
  <c r="AC654" i="6"/>
  <c r="AC653" i="6"/>
  <c r="AC652" i="6"/>
  <c r="AC651" i="6"/>
  <c r="AC650" i="6"/>
  <c r="AC649" i="6"/>
  <c r="AC648" i="6"/>
  <c r="AC647" i="6"/>
  <c r="AC646" i="6"/>
  <c r="AC645" i="6"/>
  <c r="AC644" i="6"/>
  <c r="AC643" i="6"/>
  <c r="AC642" i="6"/>
  <c r="AC641" i="6"/>
  <c r="AC640" i="6"/>
  <c r="AC639" i="6"/>
  <c r="AC638" i="6"/>
  <c r="AC637" i="6"/>
  <c r="AC636" i="6"/>
  <c r="AC635" i="6"/>
  <c r="AC634" i="6"/>
  <c r="AC633" i="6"/>
  <c r="AC632" i="6"/>
  <c r="AC631" i="6"/>
  <c r="AC630" i="6"/>
  <c r="AC629" i="6"/>
  <c r="AC628" i="6"/>
  <c r="AC627" i="6"/>
  <c r="AC626" i="6"/>
  <c r="AC625" i="6"/>
  <c r="AC624" i="6"/>
  <c r="AC623" i="6"/>
  <c r="AC622" i="6"/>
  <c r="AC621" i="6"/>
  <c r="AC620" i="6"/>
  <c r="AC619" i="6"/>
  <c r="AC618" i="6"/>
  <c r="AC617" i="6"/>
  <c r="AC616" i="6"/>
  <c r="AC615" i="6"/>
  <c r="AC614" i="6"/>
  <c r="AC613" i="6"/>
  <c r="AC612" i="6"/>
  <c r="AC611" i="6"/>
  <c r="AC610" i="6"/>
  <c r="AC609" i="6"/>
  <c r="AC608" i="6"/>
  <c r="AC607" i="6"/>
  <c r="AC606" i="6"/>
  <c r="AC605" i="6"/>
  <c r="AC604" i="6"/>
  <c r="AC603" i="6"/>
  <c r="AC602" i="6"/>
  <c r="AC601" i="6"/>
  <c r="AC600" i="6"/>
  <c r="AC599" i="6"/>
  <c r="AC598" i="6"/>
  <c r="AC597" i="6"/>
  <c r="AC596" i="6"/>
  <c r="AC595" i="6"/>
  <c r="AC594" i="6"/>
  <c r="AC593" i="6"/>
  <c r="AC592" i="6"/>
  <c r="AC591" i="6"/>
  <c r="AC590" i="6"/>
  <c r="AC589" i="6"/>
  <c r="AC588" i="6"/>
  <c r="AC587" i="6"/>
  <c r="AC586" i="6"/>
  <c r="AC585" i="6"/>
  <c r="AC584" i="6"/>
  <c r="AC583" i="6"/>
  <c r="AC582" i="6"/>
  <c r="AC581" i="6"/>
  <c r="AC580" i="6"/>
  <c r="AC579" i="6"/>
  <c r="AC578" i="6"/>
  <c r="AC577" i="6"/>
  <c r="AC576" i="6"/>
  <c r="AC575" i="6"/>
  <c r="AC574" i="6"/>
  <c r="AC573" i="6"/>
  <c r="AC572" i="6"/>
  <c r="AC571" i="6"/>
  <c r="AC570" i="6"/>
  <c r="AC569" i="6"/>
  <c r="AC568" i="6"/>
  <c r="AC567" i="6"/>
  <c r="AC566" i="6"/>
  <c r="AC565" i="6"/>
  <c r="AC564" i="6"/>
  <c r="AC563" i="6"/>
  <c r="AC562" i="6"/>
  <c r="AC561" i="6"/>
  <c r="AC560" i="6"/>
  <c r="AC559" i="6"/>
  <c r="AC558" i="6"/>
  <c r="AC557" i="6"/>
  <c r="AC556" i="6"/>
  <c r="AC555" i="6"/>
  <c r="AC554" i="6"/>
  <c r="AC553" i="6"/>
  <c r="AC552" i="6"/>
  <c r="AC551" i="6"/>
  <c r="AC550" i="6"/>
  <c r="AC549" i="6"/>
  <c r="AC548" i="6"/>
  <c r="AC547" i="6"/>
  <c r="AC546" i="6"/>
  <c r="AC545" i="6"/>
  <c r="AC544" i="6"/>
  <c r="AC543" i="6"/>
  <c r="AC542" i="6"/>
  <c r="AC541" i="6"/>
  <c r="AC540" i="6"/>
  <c r="AC539" i="6"/>
  <c r="AC538" i="6"/>
  <c r="AC537" i="6"/>
  <c r="AC536" i="6"/>
  <c r="AC535" i="6"/>
  <c r="AC534" i="6"/>
  <c r="AC533" i="6"/>
  <c r="AC532" i="6"/>
  <c r="AC531" i="6"/>
  <c r="AC530" i="6"/>
  <c r="AC529" i="6"/>
  <c r="AC528" i="6"/>
  <c r="AC527" i="6"/>
  <c r="AC526" i="6"/>
  <c r="AC525" i="6"/>
  <c r="AC524" i="6"/>
  <c r="AC523" i="6"/>
  <c r="AC522" i="6"/>
  <c r="AC521" i="6"/>
  <c r="AC520" i="6"/>
  <c r="AC519" i="6"/>
  <c r="AC518" i="6"/>
  <c r="AC517" i="6"/>
  <c r="AC516" i="6"/>
  <c r="AC515" i="6"/>
  <c r="AC514" i="6"/>
  <c r="AC513" i="6"/>
  <c r="AC512" i="6"/>
  <c r="AC511" i="6"/>
  <c r="AC510" i="6"/>
  <c r="AC509" i="6"/>
  <c r="AC508" i="6"/>
  <c r="AC507" i="6"/>
  <c r="AC506" i="6"/>
  <c r="AC505" i="6"/>
  <c r="AC504" i="6"/>
  <c r="AC503" i="6"/>
  <c r="AC502" i="6"/>
  <c r="AC501" i="6"/>
  <c r="AC500" i="6"/>
  <c r="AC499" i="6"/>
  <c r="AC498" i="6"/>
  <c r="AC497" i="6"/>
  <c r="AC496" i="6"/>
  <c r="AC495" i="6"/>
  <c r="AC494" i="6"/>
  <c r="AC493" i="6"/>
  <c r="AC492" i="6"/>
  <c r="AC491" i="6"/>
  <c r="AC490" i="6"/>
  <c r="AC489" i="6"/>
  <c r="AC488" i="6"/>
  <c r="AC487" i="6"/>
  <c r="AC486" i="6"/>
  <c r="AC485" i="6"/>
  <c r="AC484" i="6"/>
  <c r="AC483" i="6"/>
  <c r="AC482" i="6"/>
  <c r="AC481" i="6"/>
  <c r="AC480" i="6"/>
  <c r="AC479" i="6"/>
  <c r="AC478" i="6"/>
  <c r="AC477" i="6"/>
  <c r="AC476" i="6"/>
  <c r="AC475" i="6"/>
  <c r="AC474" i="6"/>
  <c r="AC473" i="6"/>
  <c r="AC472" i="6"/>
  <c r="AC471" i="6"/>
  <c r="AC470" i="6"/>
  <c r="AC469" i="6"/>
  <c r="AC468" i="6"/>
  <c r="AC467" i="6"/>
  <c r="AC466" i="6"/>
  <c r="AC465" i="6"/>
  <c r="AC464" i="6"/>
  <c r="AC463" i="6"/>
  <c r="AC462" i="6"/>
  <c r="AC461" i="6"/>
  <c r="AC460" i="6"/>
  <c r="AC459" i="6"/>
  <c r="AC458" i="6"/>
  <c r="AC457" i="6"/>
  <c r="AC456" i="6"/>
  <c r="AC455" i="6"/>
  <c r="AC454" i="6"/>
  <c r="AC453" i="6"/>
  <c r="AC452" i="6"/>
  <c r="AC451" i="6"/>
  <c r="AC450" i="6"/>
  <c r="AC449" i="6"/>
  <c r="AC448" i="6"/>
  <c r="AC447" i="6"/>
  <c r="AC446" i="6"/>
  <c r="AC445" i="6"/>
  <c r="AC444" i="6"/>
  <c r="AC443" i="6"/>
  <c r="AC442" i="6"/>
  <c r="AC441" i="6"/>
  <c r="AC440" i="6"/>
  <c r="AC439" i="6"/>
  <c r="AC438" i="6"/>
  <c r="AC437" i="6"/>
  <c r="AC436" i="6"/>
  <c r="AC435" i="6"/>
  <c r="AC434" i="6"/>
  <c r="AC433" i="6"/>
  <c r="AC432" i="6"/>
  <c r="AC431" i="6"/>
  <c r="AC430" i="6"/>
  <c r="AC429" i="6"/>
  <c r="AC428" i="6"/>
  <c r="AC427" i="6"/>
  <c r="AC426" i="6"/>
  <c r="AC425" i="6"/>
  <c r="AC424" i="6"/>
  <c r="AC423" i="6"/>
  <c r="AC422" i="6"/>
  <c r="AC421" i="6"/>
  <c r="AC420" i="6"/>
  <c r="AC419" i="6"/>
  <c r="AC418" i="6"/>
  <c r="AC417" i="6"/>
  <c r="AC416" i="6"/>
  <c r="AC415" i="6"/>
  <c r="AC414" i="6"/>
  <c r="AC413" i="6"/>
  <c r="AC412" i="6"/>
  <c r="AC411" i="6"/>
  <c r="AC410" i="6"/>
  <c r="AC409" i="6"/>
  <c r="AC408" i="6"/>
  <c r="AC407" i="6"/>
  <c r="AC406" i="6"/>
  <c r="AC405" i="6"/>
  <c r="AC404" i="6"/>
  <c r="AC403" i="6"/>
  <c r="AC402" i="6"/>
  <c r="AC401" i="6"/>
  <c r="AC400" i="6"/>
  <c r="AC399" i="6"/>
  <c r="AC398" i="6"/>
  <c r="AC397" i="6"/>
  <c r="AC396" i="6"/>
  <c r="AC395" i="6"/>
  <c r="AC394" i="6"/>
  <c r="AC393" i="6"/>
  <c r="AC392" i="6"/>
  <c r="AC391" i="6"/>
  <c r="AC390" i="6"/>
  <c r="AC389" i="6"/>
  <c r="AC388" i="6"/>
  <c r="AC387" i="6"/>
  <c r="AC386" i="6"/>
  <c r="AC385" i="6"/>
  <c r="AC384" i="6"/>
  <c r="AC383" i="6"/>
  <c r="AC382" i="6"/>
  <c r="AC381" i="6"/>
  <c r="AC380" i="6"/>
  <c r="AC379" i="6"/>
  <c r="AC378" i="6"/>
  <c r="AC377" i="6"/>
  <c r="AC376" i="6"/>
  <c r="AC375" i="6"/>
  <c r="AC374" i="6"/>
  <c r="AC373" i="6"/>
  <c r="AC372" i="6"/>
  <c r="AC371" i="6"/>
  <c r="AC370" i="6"/>
  <c r="AC369" i="6"/>
  <c r="AC368" i="6"/>
  <c r="AC367" i="6"/>
  <c r="AC366" i="6"/>
  <c r="AC365" i="6"/>
  <c r="AC364" i="6"/>
  <c r="AC363" i="6"/>
  <c r="AC362" i="6"/>
  <c r="AC361" i="6"/>
  <c r="AC360" i="6"/>
  <c r="AC359" i="6"/>
  <c r="AC358" i="6"/>
  <c r="AC357" i="6"/>
  <c r="AC356" i="6"/>
  <c r="AC355" i="6"/>
  <c r="AC354" i="6"/>
  <c r="AC353" i="6"/>
  <c r="AC352" i="6"/>
  <c r="AC351" i="6"/>
  <c r="AC350" i="6"/>
  <c r="AC349" i="6"/>
  <c r="AC348" i="6"/>
  <c r="AC347" i="6"/>
  <c r="AC346" i="6"/>
  <c r="AC345" i="6"/>
  <c r="AC344" i="6"/>
  <c r="AC343" i="6"/>
  <c r="AC342" i="6"/>
  <c r="AC341" i="6"/>
  <c r="AC340" i="6"/>
  <c r="AC339" i="6"/>
  <c r="AC338" i="6"/>
  <c r="AC337" i="6"/>
  <c r="AC336" i="6"/>
  <c r="AC335" i="6"/>
  <c r="AC334" i="6"/>
  <c r="AC333" i="6"/>
  <c r="AC332" i="6"/>
  <c r="AC331" i="6"/>
  <c r="AC330" i="6"/>
  <c r="AC329" i="6"/>
  <c r="AC328" i="6"/>
  <c r="AC327" i="6"/>
  <c r="AC326" i="6"/>
  <c r="AC325" i="6"/>
  <c r="AC324" i="6"/>
  <c r="AC323" i="6"/>
  <c r="AC322" i="6"/>
  <c r="AC321" i="6"/>
  <c r="AC320" i="6"/>
  <c r="AC319" i="6"/>
  <c r="AC318" i="6"/>
  <c r="AC317" i="6"/>
  <c r="AC316" i="6"/>
  <c r="AC315" i="6"/>
  <c r="AC314" i="6"/>
  <c r="AC313" i="6"/>
  <c r="AC312" i="6"/>
  <c r="AC311" i="6"/>
  <c r="AC310" i="6"/>
  <c r="AC309" i="6"/>
  <c r="AC308" i="6"/>
  <c r="AC307" i="6"/>
  <c r="AC306" i="6"/>
  <c r="AC305" i="6"/>
  <c r="AC304" i="6"/>
  <c r="AC303" i="6"/>
  <c r="AC302" i="6"/>
  <c r="AC301" i="6"/>
  <c r="AC300" i="6"/>
  <c r="AC299" i="6"/>
  <c r="AC298" i="6"/>
  <c r="AC297" i="6"/>
  <c r="AC296" i="6"/>
  <c r="AC295" i="6"/>
  <c r="AC294" i="6"/>
  <c r="AC293" i="6"/>
  <c r="AC292" i="6"/>
  <c r="AC291" i="6"/>
  <c r="AC290" i="6"/>
  <c r="AC289" i="6"/>
  <c r="AC288" i="6"/>
  <c r="AC287" i="6"/>
  <c r="AC286" i="6"/>
  <c r="AC285" i="6"/>
  <c r="AC284" i="6"/>
  <c r="AC283" i="6"/>
  <c r="AC282" i="6"/>
  <c r="AC281" i="6"/>
  <c r="AC280" i="6"/>
  <c r="AC279" i="6"/>
  <c r="AC278" i="6"/>
  <c r="AC277" i="6"/>
  <c r="AC276" i="6"/>
  <c r="AC275" i="6"/>
  <c r="AC274" i="6"/>
  <c r="AC273" i="6"/>
  <c r="AC272" i="6"/>
  <c r="AC271" i="6"/>
  <c r="AC270" i="6"/>
  <c r="AC269" i="6"/>
  <c r="AC268" i="6"/>
  <c r="AC267" i="6"/>
  <c r="AC266" i="6"/>
  <c r="AC265" i="6"/>
  <c r="AC264" i="6"/>
  <c r="AC263" i="6"/>
  <c r="AC262" i="6"/>
  <c r="AC261" i="6"/>
  <c r="AC260" i="6"/>
  <c r="AC259" i="6"/>
  <c r="AC258" i="6"/>
  <c r="AC257" i="6"/>
  <c r="AC256" i="6"/>
  <c r="AC255" i="6"/>
  <c r="AC254" i="6"/>
  <c r="AC253" i="6"/>
  <c r="AC252" i="6"/>
  <c r="AC251" i="6"/>
  <c r="AC250" i="6"/>
  <c r="AC249" i="6"/>
  <c r="AC248" i="6"/>
  <c r="AC247" i="6"/>
  <c r="AC246" i="6"/>
  <c r="AC245" i="6"/>
  <c r="AC244" i="6"/>
  <c r="AC243" i="6"/>
  <c r="AC242" i="6"/>
  <c r="AC241" i="6"/>
  <c r="AC240" i="6"/>
  <c r="AC239" i="6"/>
  <c r="AC238" i="6"/>
  <c r="AC237" i="6"/>
  <c r="AC236" i="6"/>
  <c r="AC235" i="6"/>
  <c r="AC234" i="6"/>
  <c r="AC233" i="6"/>
  <c r="AC232" i="6"/>
  <c r="AC231" i="6"/>
  <c r="AC230" i="6"/>
  <c r="AC229" i="6"/>
  <c r="AC228" i="6"/>
  <c r="AC227" i="6"/>
  <c r="AC226" i="6"/>
  <c r="AC225" i="6"/>
  <c r="AC224" i="6"/>
  <c r="AC223" i="6"/>
  <c r="AC222" i="6"/>
  <c r="AC221" i="6"/>
  <c r="AC220" i="6"/>
  <c r="AC219" i="6"/>
  <c r="AC218" i="6"/>
  <c r="AC217" i="6"/>
  <c r="AC216" i="6"/>
  <c r="AC215" i="6"/>
  <c r="AC214" i="6"/>
  <c r="AC213" i="6"/>
  <c r="AC212" i="6"/>
  <c r="AC211" i="6"/>
  <c r="AC210" i="6"/>
  <c r="AC209" i="6"/>
  <c r="AC208" i="6"/>
  <c r="AC207" i="6"/>
  <c r="AC206" i="6"/>
  <c r="AC205" i="6"/>
  <c r="AC204" i="6"/>
  <c r="AC203" i="6"/>
  <c r="AC202" i="6"/>
  <c r="AC201" i="6"/>
  <c r="AC200" i="6"/>
  <c r="AC199" i="6"/>
  <c r="AC198" i="6"/>
  <c r="AC197" i="6"/>
  <c r="AC196" i="6"/>
  <c r="AC195" i="6"/>
  <c r="AC194" i="6"/>
  <c r="AC193" i="6"/>
  <c r="AC192" i="6"/>
  <c r="AC191" i="6"/>
  <c r="AC190" i="6"/>
  <c r="AC189" i="6"/>
  <c r="AC188" i="6"/>
  <c r="AC187" i="6"/>
  <c r="AC186" i="6"/>
  <c r="AC185" i="6"/>
  <c r="AC184" i="6"/>
  <c r="AC183" i="6"/>
  <c r="AC182" i="6"/>
  <c r="AC181" i="6"/>
  <c r="AC180" i="6"/>
  <c r="AC179" i="6"/>
  <c r="AC178" i="6"/>
  <c r="AC177" i="6"/>
  <c r="AC176" i="6"/>
  <c r="AC175" i="6"/>
  <c r="AC174" i="6"/>
  <c r="AC173" i="6"/>
  <c r="AC172" i="6"/>
  <c r="AC171" i="6"/>
  <c r="AC170" i="6"/>
  <c r="AC169" i="6"/>
  <c r="AC168" i="6"/>
  <c r="AC167" i="6"/>
  <c r="AC166" i="6"/>
  <c r="AC165" i="6"/>
  <c r="AC164" i="6"/>
  <c r="AC163" i="6"/>
  <c r="AC162" i="6"/>
  <c r="AC161" i="6"/>
  <c r="AC160" i="6"/>
  <c r="AC159" i="6"/>
  <c r="AC158" i="6"/>
  <c r="AC157" i="6"/>
  <c r="AC156" i="6"/>
  <c r="AC155" i="6"/>
  <c r="AC154" i="6"/>
  <c r="AC153" i="6"/>
  <c r="AC152" i="6"/>
  <c r="AC151" i="6"/>
  <c r="AC150" i="6"/>
  <c r="AC149" i="6"/>
  <c r="AC148" i="6"/>
  <c r="AC147" i="6"/>
  <c r="AC146" i="6"/>
  <c r="AC145" i="6"/>
  <c r="AC144" i="6"/>
  <c r="AC143" i="6"/>
  <c r="AC142" i="6"/>
  <c r="AC141" i="6"/>
  <c r="AC140" i="6"/>
  <c r="AC139" i="6"/>
  <c r="AC138" i="6"/>
  <c r="AC137" i="6"/>
  <c r="AC136" i="6"/>
  <c r="AC135" i="6"/>
  <c r="AC134" i="6"/>
  <c r="AC133" i="6"/>
  <c r="AC132" i="6"/>
  <c r="AC131" i="6"/>
  <c r="AC130" i="6"/>
  <c r="AC129" i="6"/>
  <c r="AC128" i="6"/>
  <c r="AC127" i="6"/>
  <c r="AC126" i="6"/>
  <c r="AC125" i="6"/>
  <c r="AC124" i="6"/>
  <c r="AC123" i="6"/>
  <c r="AC122" i="6"/>
  <c r="AC121" i="6"/>
  <c r="AC120" i="6"/>
  <c r="AC119" i="6"/>
  <c r="AC118" i="6"/>
  <c r="AC117" i="6"/>
  <c r="AC116" i="6"/>
  <c r="AC115" i="6"/>
  <c r="AC114" i="6"/>
  <c r="AC113" i="6"/>
  <c r="AC112" i="6"/>
  <c r="AC111" i="6"/>
  <c r="AC110" i="6"/>
  <c r="AC109" i="6"/>
  <c r="AC108" i="6"/>
  <c r="AC107" i="6"/>
  <c r="AC106" i="6"/>
  <c r="AC105" i="6"/>
  <c r="AC104" i="6"/>
  <c r="AC103" i="6"/>
  <c r="AC102" i="6"/>
  <c r="AC101" i="6"/>
  <c r="AC100" i="6"/>
  <c r="AC99" i="6"/>
  <c r="AC98" i="6"/>
  <c r="AC97" i="6"/>
  <c r="AC96" i="6"/>
  <c r="AC95" i="6"/>
  <c r="AC94" i="6"/>
  <c r="AC93" i="6"/>
  <c r="AC92" i="6"/>
  <c r="AC91" i="6"/>
  <c r="AC90" i="6"/>
  <c r="AC89" i="6"/>
  <c r="AC88" i="6"/>
  <c r="AC87" i="6"/>
  <c r="AC86" i="6"/>
  <c r="AC85" i="6"/>
  <c r="AC84" i="6"/>
  <c r="AC83" i="6"/>
  <c r="AC82" i="6"/>
  <c r="AC81" i="6"/>
  <c r="AC80" i="6"/>
  <c r="AC79" i="6"/>
  <c r="AC78" i="6"/>
  <c r="AC77" i="6"/>
  <c r="AC76" i="6"/>
  <c r="AC75" i="6"/>
  <c r="AC74" i="6"/>
  <c r="AC73" i="6"/>
  <c r="AC72" i="6"/>
  <c r="AC71" i="6"/>
  <c r="AC70" i="6"/>
  <c r="AC69" i="6"/>
  <c r="AC68" i="6"/>
  <c r="AC67" i="6"/>
  <c r="AC66" i="6"/>
  <c r="AC65" i="6"/>
  <c r="AC64" i="6"/>
  <c r="AC63" i="6"/>
  <c r="AC62" i="6"/>
  <c r="AC61" i="6"/>
  <c r="AC60" i="6"/>
  <c r="AC59" i="6"/>
  <c r="AC58" i="6"/>
  <c r="AC57" i="6"/>
  <c r="AC56" i="6"/>
  <c r="AC55" i="6"/>
  <c r="AC54" i="6"/>
  <c r="AC53" i="6"/>
  <c r="AC52" i="6"/>
  <c r="AC51" i="6"/>
  <c r="AC50" i="6"/>
  <c r="AC49" i="6"/>
  <c r="AC48" i="6"/>
  <c r="AC47" i="6"/>
  <c r="AC46" i="6"/>
  <c r="AC45" i="6"/>
  <c r="AC44" i="6"/>
  <c r="AC43" i="6"/>
  <c r="AC42" i="6"/>
  <c r="AC41" i="6"/>
  <c r="AC40" i="6"/>
  <c r="AC39" i="6"/>
  <c r="AC38" i="6"/>
  <c r="AC37" i="6"/>
  <c r="AC36" i="6"/>
  <c r="AC35" i="6"/>
  <c r="AC34" i="6"/>
  <c r="AC33" i="6"/>
  <c r="AC32" i="6"/>
  <c r="AC31" i="6"/>
  <c r="AC30" i="6"/>
  <c r="AC29" i="6"/>
  <c r="AC28" i="6"/>
  <c r="AC27" i="6"/>
  <c r="AC26" i="6"/>
  <c r="AC25" i="6"/>
  <c r="AC24" i="6"/>
  <c r="AC23" i="6"/>
  <c r="AC22" i="6"/>
  <c r="AC21" i="6"/>
  <c r="AC20" i="6"/>
  <c r="AC19" i="6"/>
  <c r="AC18" i="6"/>
  <c r="AC17" i="6"/>
  <c r="AC16" i="6"/>
  <c r="AC15" i="6"/>
  <c r="AC14" i="6"/>
  <c r="AC13" i="6"/>
  <c r="AC12" i="6"/>
  <c r="AC11" i="6"/>
  <c r="AC10" i="6"/>
  <c r="AC9" i="6"/>
  <c r="AC8" i="6"/>
  <c r="AC7" i="6"/>
  <c r="AC6" i="6"/>
  <c r="AC5" i="6"/>
  <c r="AC4" i="6"/>
  <c r="AC3" i="6"/>
  <c r="AC2" i="6"/>
  <c r="AC1015" i="5"/>
  <c r="AC1014" i="5"/>
  <c r="AC1013" i="5"/>
  <c r="AC1012" i="5"/>
  <c r="AC1011" i="5"/>
  <c r="AC1010" i="5"/>
  <c r="AC1009" i="5"/>
  <c r="AC1008" i="5"/>
  <c r="AC1007" i="5"/>
  <c r="AC1006" i="5"/>
  <c r="AC1005" i="5"/>
  <c r="AC1004" i="5"/>
  <c r="AC1003" i="5"/>
  <c r="AC1002" i="5"/>
  <c r="AC1001" i="5"/>
  <c r="AC1000" i="5"/>
  <c r="AC999" i="5"/>
  <c r="AC998" i="5"/>
  <c r="AC997" i="5"/>
  <c r="AC996" i="5"/>
  <c r="AC995" i="5"/>
  <c r="AC994" i="5"/>
  <c r="AC993" i="5"/>
  <c r="AC992" i="5"/>
  <c r="AC991" i="5"/>
  <c r="AC990" i="5"/>
  <c r="AC989" i="5"/>
  <c r="AC988" i="5"/>
  <c r="AC987" i="5"/>
  <c r="AC986" i="5"/>
  <c r="AC985" i="5"/>
  <c r="AC984" i="5"/>
  <c r="AC983" i="5"/>
  <c r="AC982" i="5"/>
  <c r="AC981" i="5"/>
  <c r="AC980" i="5"/>
  <c r="AC979" i="5"/>
  <c r="AC978" i="5"/>
  <c r="AC977" i="5"/>
  <c r="AC976" i="5"/>
  <c r="AC975" i="5"/>
  <c r="AC974" i="5"/>
  <c r="AC973" i="5"/>
  <c r="AC972" i="5"/>
  <c r="AC971" i="5"/>
  <c r="AC970" i="5"/>
  <c r="AC969" i="5"/>
  <c r="AC968" i="5"/>
  <c r="AC967" i="5"/>
  <c r="AC966" i="5"/>
  <c r="AC965" i="5"/>
  <c r="AC964" i="5"/>
  <c r="AC963" i="5"/>
  <c r="AC962" i="5"/>
  <c r="AC961" i="5"/>
  <c r="AC960" i="5"/>
  <c r="AC959" i="5"/>
  <c r="AC958" i="5"/>
  <c r="AC957" i="5"/>
  <c r="AC956" i="5"/>
  <c r="AC955" i="5"/>
  <c r="AC954" i="5"/>
  <c r="AC953" i="5"/>
  <c r="AC952" i="5"/>
  <c r="AC951" i="5"/>
  <c r="AC950" i="5"/>
  <c r="AC949" i="5"/>
  <c r="AC948" i="5"/>
  <c r="AC947" i="5"/>
  <c r="AC946" i="5"/>
  <c r="AC945" i="5"/>
  <c r="AC944" i="5"/>
  <c r="AC943" i="5"/>
  <c r="AC942" i="5"/>
  <c r="AC941" i="5"/>
  <c r="AC940" i="5"/>
  <c r="AC939" i="5"/>
  <c r="AC938" i="5"/>
  <c r="AC937" i="5"/>
  <c r="AC936" i="5"/>
  <c r="AC935" i="5"/>
  <c r="AC934" i="5"/>
  <c r="AC933" i="5"/>
  <c r="AC932" i="5"/>
  <c r="AC931" i="5"/>
  <c r="AC930" i="5"/>
  <c r="AC929" i="5"/>
  <c r="AC928" i="5"/>
  <c r="AC927" i="5"/>
  <c r="AC926" i="5"/>
  <c r="AC925" i="5"/>
  <c r="AC924" i="5"/>
  <c r="AC923" i="5"/>
  <c r="AC922" i="5"/>
  <c r="AC921" i="5"/>
  <c r="AC920" i="5"/>
  <c r="AC919" i="5"/>
  <c r="AC918" i="5"/>
  <c r="AC917" i="5"/>
  <c r="AC916" i="5"/>
  <c r="AC915" i="5"/>
  <c r="AC914" i="5"/>
  <c r="AC913" i="5"/>
  <c r="AC912" i="5"/>
  <c r="AC911" i="5"/>
  <c r="AC910" i="5"/>
  <c r="AC909" i="5"/>
  <c r="AC908" i="5"/>
  <c r="AC907" i="5"/>
  <c r="AC906" i="5"/>
  <c r="AC905" i="5"/>
  <c r="AC904" i="5"/>
  <c r="AC903" i="5"/>
  <c r="AC902" i="5"/>
  <c r="AC901" i="5"/>
  <c r="AC900" i="5"/>
  <c r="AC899" i="5"/>
  <c r="AC898" i="5"/>
  <c r="AC897" i="5"/>
  <c r="AC896" i="5"/>
  <c r="AC895" i="5"/>
  <c r="AC894" i="5"/>
  <c r="AC893" i="5"/>
  <c r="AC892" i="5"/>
  <c r="AC891" i="5"/>
  <c r="AC890" i="5"/>
  <c r="AC889" i="5"/>
  <c r="AC888" i="5"/>
  <c r="AC887" i="5"/>
  <c r="AC886" i="5"/>
  <c r="AC885" i="5"/>
  <c r="AC884" i="5"/>
  <c r="AC883" i="5"/>
  <c r="AC882" i="5"/>
  <c r="AC881" i="5"/>
  <c r="AC880" i="5"/>
  <c r="AC879" i="5"/>
  <c r="AC878" i="5"/>
  <c r="AC877" i="5"/>
  <c r="AC876" i="5"/>
  <c r="AC875" i="5"/>
  <c r="AC874" i="5"/>
  <c r="AC873" i="5"/>
  <c r="AC872" i="5"/>
  <c r="AC871" i="5"/>
  <c r="AC870" i="5"/>
  <c r="AC869" i="5"/>
  <c r="AC868" i="5"/>
  <c r="AC867" i="5"/>
  <c r="AC866" i="5"/>
  <c r="AC865" i="5"/>
  <c r="AC864" i="5"/>
  <c r="AC863" i="5"/>
  <c r="AC862" i="5"/>
  <c r="AC861" i="5"/>
  <c r="AC860" i="5"/>
  <c r="AC859" i="5"/>
  <c r="AC858" i="5"/>
  <c r="AC857" i="5"/>
  <c r="AC856" i="5"/>
  <c r="AC855" i="5"/>
  <c r="AC854" i="5"/>
  <c r="AC853" i="5"/>
  <c r="AC852" i="5"/>
  <c r="AC851" i="5"/>
  <c r="AC850" i="5"/>
  <c r="AC849" i="5"/>
  <c r="AC848" i="5"/>
  <c r="AC847" i="5"/>
  <c r="AC846" i="5"/>
  <c r="AC845" i="5"/>
  <c r="AC844" i="5"/>
  <c r="AC843" i="5"/>
  <c r="AC842" i="5"/>
  <c r="AC841" i="5"/>
  <c r="AC840" i="5"/>
  <c r="AC839" i="5"/>
  <c r="AC838" i="5"/>
  <c r="AC837" i="5"/>
  <c r="AC836" i="5"/>
  <c r="AC835" i="5"/>
  <c r="AC834" i="5"/>
  <c r="AC833" i="5"/>
  <c r="AC832" i="5"/>
  <c r="AC831" i="5"/>
  <c r="AC830" i="5"/>
  <c r="AC829" i="5"/>
  <c r="AC828" i="5"/>
  <c r="AC827" i="5"/>
  <c r="AC826" i="5"/>
  <c r="AC825" i="5"/>
  <c r="AC824" i="5"/>
  <c r="AC823" i="5"/>
  <c r="AC822" i="5"/>
  <c r="AC821" i="5"/>
  <c r="AC820" i="5"/>
  <c r="AC819" i="5"/>
  <c r="AC818" i="5"/>
  <c r="AC817" i="5"/>
  <c r="AC816" i="5"/>
  <c r="AC815" i="5"/>
  <c r="AC814" i="5"/>
  <c r="AC813" i="5"/>
  <c r="AC812" i="5"/>
  <c r="AC811" i="5"/>
  <c r="AC810" i="5"/>
  <c r="AC809" i="5"/>
  <c r="AC808" i="5"/>
  <c r="AC807" i="5"/>
  <c r="AC806" i="5"/>
  <c r="AC805" i="5"/>
  <c r="AC804" i="5"/>
  <c r="AC803" i="5"/>
  <c r="AC802" i="5"/>
  <c r="AC801" i="5"/>
  <c r="AC800" i="5"/>
  <c r="AC799" i="5"/>
  <c r="AC798" i="5"/>
  <c r="AC797" i="5"/>
  <c r="AC796" i="5"/>
  <c r="AC795" i="5"/>
  <c r="AC794" i="5"/>
  <c r="AC793" i="5"/>
  <c r="AC792" i="5"/>
  <c r="AC791" i="5"/>
  <c r="AC790" i="5"/>
  <c r="AC789" i="5"/>
  <c r="AC788" i="5"/>
  <c r="AC787" i="5"/>
  <c r="AC786" i="5"/>
  <c r="AC785" i="5"/>
  <c r="AC784" i="5"/>
  <c r="AC783" i="5"/>
  <c r="AC782" i="5"/>
  <c r="AC781" i="5"/>
  <c r="AC780" i="5"/>
  <c r="AC779" i="5"/>
  <c r="AC778" i="5"/>
  <c r="AC777" i="5"/>
  <c r="AC776" i="5"/>
  <c r="AC775" i="5"/>
  <c r="AC774" i="5"/>
  <c r="AC773" i="5"/>
  <c r="AC772" i="5"/>
  <c r="AC771" i="5"/>
  <c r="AC770" i="5"/>
  <c r="AC769" i="5"/>
  <c r="AC768" i="5"/>
  <c r="AC767" i="5"/>
  <c r="AC766" i="5"/>
  <c r="AC765" i="5"/>
  <c r="AC764" i="5"/>
  <c r="AC763" i="5"/>
  <c r="AC762" i="5"/>
  <c r="AC761" i="5"/>
  <c r="AC760" i="5"/>
  <c r="AC759" i="5"/>
  <c r="AC758" i="5"/>
  <c r="AC757" i="5"/>
  <c r="AC756" i="5"/>
  <c r="AC755" i="5"/>
  <c r="AC754" i="5"/>
  <c r="AC753" i="5"/>
  <c r="AC752" i="5"/>
  <c r="AC751" i="5"/>
  <c r="AC750" i="5"/>
  <c r="AC749" i="5"/>
  <c r="AC748" i="5"/>
  <c r="AC747" i="5"/>
  <c r="AC746" i="5"/>
  <c r="AC745" i="5"/>
  <c r="AC744" i="5"/>
  <c r="AC743" i="5"/>
  <c r="AC742" i="5"/>
  <c r="AC741" i="5"/>
  <c r="AC740" i="5"/>
  <c r="AC739" i="5"/>
  <c r="AC738" i="5"/>
  <c r="AC737" i="5"/>
  <c r="AC736" i="5"/>
  <c r="AC735" i="5"/>
  <c r="AC734" i="5"/>
  <c r="AC733" i="5"/>
  <c r="AC732" i="5"/>
  <c r="AC731" i="5"/>
  <c r="AC730" i="5"/>
  <c r="AC729" i="5"/>
  <c r="AC728" i="5"/>
  <c r="AC727" i="5"/>
  <c r="AC726" i="5"/>
  <c r="AC725" i="5"/>
  <c r="AC724" i="5"/>
  <c r="AC723" i="5"/>
  <c r="AC722" i="5"/>
  <c r="AC721" i="5"/>
  <c r="AC720" i="5"/>
  <c r="AC719" i="5"/>
  <c r="AC718" i="5"/>
  <c r="AC717" i="5"/>
  <c r="AC716" i="5"/>
  <c r="AC715" i="5"/>
  <c r="AC714" i="5"/>
  <c r="AC713" i="5"/>
  <c r="AC712" i="5"/>
  <c r="AC711" i="5"/>
  <c r="AC710" i="5"/>
  <c r="AC709" i="5"/>
  <c r="AC708" i="5"/>
  <c r="AC707" i="5"/>
  <c r="AC706" i="5"/>
  <c r="AC705" i="5"/>
  <c r="AC704" i="5"/>
  <c r="AC703" i="5"/>
  <c r="AC702" i="5"/>
  <c r="AC701" i="5"/>
  <c r="AC700" i="5"/>
  <c r="AC699" i="5"/>
  <c r="AC698" i="5"/>
  <c r="AC697" i="5"/>
  <c r="AC696" i="5"/>
  <c r="AC695" i="5"/>
  <c r="AC694" i="5"/>
  <c r="AC693" i="5"/>
  <c r="AC692" i="5"/>
  <c r="AC691" i="5"/>
  <c r="AC690" i="5"/>
  <c r="AC689" i="5"/>
  <c r="AC688" i="5"/>
  <c r="AC687" i="5"/>
  <c r="AC686" i="5"/>
  <c r="AC685" i="5"/>
  <c r="AC684" i="5"/>
  <c r="AC683" i="5"/>
  <c r="AC682" i="5"/>
  <c r="AC681" i="5"/>
  <c r="AC680" i="5"/>
  <c r="AC679" i="5"/>
  <c r="AC678" i="5"/>
  <c r="AC677" i="5"/>
  <c r="AC676" i="5"/>
  <c r="AC675" i="5"/>
  <c r="AC674" i="5"/>
  <c r="AC673" i="5"/>
  <c r="AC672" i="5"/>
  <c r="AC671" i="5"/>
  <c r="AC670" i="5"/>
  <c r="AC669" i="5"/>
  <c r="AC668" i="5"/>
  <c r="AC667" i="5"/>
  <c r="AC666" i="5"/>
  <c r="AC665" i="5"/>
  <c r="AC664" i="5"/>
  <c r="AC663" i="5"/>
  <c r="AC662" i="5"/>
  <c r="AC661" i="5"/>
  <c r="AC660" i="5"/>
  <c r="AC659" i="5"/>
  <c r="AC658" i="5"/>
  <c r="AC657" i="5"/>
  <c r="AC656" i="5"/>
  <c r="AC655" i="5"/>
  <c r="AC654" i="5"/>
  <c r="AC653" i="5"/>
  <c r="AC652" i="5"/>
  <c r="AC651" i="5"/>
  <c r="AC650" i="5"/>
  <c r="AC649" i="5"/>
  <c r="AC648" i="5"/>
  <c r="AC647" i="5"/>
  <c r="AC646" i="5"/>
  <c r="AC645" i="5"/>
  <c r="AC644" i="5"/>
  <c r="AC643" i="5"/>
  <c r="AC642" i="5"/>
  <c r="AC641" i="5"/>
  <c r="AC640" i="5"/>
  <c r="AC639" i="5"/>
  <c r="AC638" i="5"/>
  <c r="AC637" i="5"/>
  <c r="AC636" i="5"/>
  <c r="AC635" i="5"/>
  <c r="AC634" i="5"/>
  <c r="AC633" i="5"/>
  <c r="AC632" i="5"/>
  <c r="AC631" i="5"/>
  <c r="AC630" i="5"/>
  <c r="AC629" i="5"/>
  <c r="AC628" i="5"/>
  <c r="AC627" i="5"/>
  <c r="AC626" i="5"/>
  <c r="AC625" i="5"/>
  <c r="AC624" i="5"/>
  <c r="AC623" i="5"/>
  <c r="AC622" i="5"/>
  <c r="AC621" i="5"/>
  <c r="AC620" i="5"/>
  <c r="AC619" i="5"/>
  <c r="AC618" i="5"/>
  <c r="AC617" i="5"/>
  <c r="AC616" i="5"/>
  <c r="AC615" i="5"/>
  <c r="AC614" i="5"/>
  <c r="AC613" i="5"/>
  <c r="AC612" i="5"/>
  <c r="AC611" i="5"/>
  <c r="AC610" i="5"/>
  <c r="AC609" i="5"/>
  <c r="AC608" i="5"/>
  <c r="AC607" i="5"/>
  <c r="AC606" i="5"/>
  <c r="AC605" i="5"/>
  <c r="AC604" i="5"/>
  <c r="AC603" i="5"/>
  <c r="AC602" i="5"/>
  <c r="AC601" i="5"/>
  <c r="AC600" i="5"/>
  <c r="AC599" i="5"/>
  <c r="AC598" i="5"/>
  <c r="AC597" i="5"/>
  <c r="AC596" i="5"/>
  <c r="AC595" i="5"/>
  <c r="AC594" i="5"/>
  <c r="AC593" i="5"/>
  <c r="AC592" i="5"/>
  <c r="AC591" i="5"/>
  <c r="AC590" i="5"/>
  <c r="AC589" i="5"/>
  <c r="AC588" i="5"/>
  <c r="AC587" i="5"/>
  <c r="AC586" i="5"/>
  <c r="AC585" i="5"/>
  <c r="AC584" i="5"/>
  <c r="AC583" i="5"/>
  <c r="AC582" i="5"/>
  <c r="AC581" i="5"/>
  <c r="AC580" i="5"/>
  <c r="AC579" i="5"/>
  <c r="AC578" i="5"/>
  <c r="AC577" i="5"/>
  <c r="AC576" i="5"/>
  <c r="AC575" i="5"/>
  <c r="AC574" i="5"/>
  <c r="AC573" i="5"/>
  <c r="AC572" i="5"/>
  <c r="AC571" i="5"/>
  <c r="AC570" i="5"/>
  <c r="AC569" i="5"/>
  <c r="AC568" i="5"/>
  <c r="AC567" i="5"/>
  <c r="AC566" i="5"/>
  <c r="AC565" i="5"/>
  <c r="AC564" i="5"/>
  <c r="AC563" i="5"/>
  <c r="AC562" i="5"/>
  <c r="AC561" i="5"/>
  <c r="AC560" i="5"/>
  <c r="AC559" i="5"/>
  <c r="AC558" i="5"/>
  <c r="AC557" i="5"/>
  <c r="AC556" i="5"/>
  <c r="AC555" i="5"/>
  <c r="AC554" i="5"/>
  <c r="AC553" i="5"/>
  <c r="AC552" i="5"/>
  <c r="AC551" i="5"/>
  <c r="AC550" i="5"/>
  <c r="AC549" i="5"/>
  <c r="AC548" i="5"/>
  <c r="AC547" i="5"/>
  <c r="AC546" i="5"/>
  <c r="AC545" i="5"/>
  <c r="AC544" i="5"/>
  <c r="AC543" i="5"/>
  <c r="AC542" i="5"/>
  <c r="AC541" i="5"/>
  <c r="AC540" i="5"/>
  <c r="AC539" i="5"/>
  <c r="AC538" i="5"/>
  <c r="AC537" i="5"/>
  <c r="AC536" i="5"/>
  <c r="AC535" i="5"/>
  <c r="AC534" i="5"/>
  <c r="AC533" i="5"/>
  <c r="AC532" i="5"/>
  <c r="AC531" i="5"/>
  <c r="AC530" i="5"/>
  <c r="AC529" i="5"/>
  <c r="AC528" i="5"/>
  <c r="AC527" i="5"/>
  <c r="AC526" i="5"/>
  <c r="AC525" i="5"/>
  <c r="AC524" i="5"/>
  <c r="AC523" i="5"/>
  <c r="AC522" i="5"/>
  <c r="AC521" i="5"/>
  <c r="AC520" i="5"/>
  <c r="AC519" i="5"/>
  <c r="AC518" i="5"/>
  <c r="AC517" i="5"/>
  <c r="AC516" i="5"/>
  <c r="AC515" i="5"/>
  <c r="AC514" i="5"/>
  <c r="AC513" i="5"/>
  <c r="AC512" i="5"/>
  <c r="AC511" i="5"/>
  <c r="AC510" i="5"/>
  <c r="AC509" i="5"/>
  <c r="AC508" i="5"/>
  <c r="AC507" i="5"/>
  <c r="AC506" i="5"/>
  <c r="AC505" i="5"/>
  <c r="AC504" i="5"/>
  <c r="AC503" i="5"/>
  <c r="AC502" i="5"/>
  <c r="AC501" i="5"/>
  <c r="AC500" i="5"/>
  <c r="AC499" i="5"/>
  <c r="AC498" i="5"/>
  <c r="AC497" i="5"/>
  <c r="AC496" i="5"/>
  <c r="AC495" i="5"/>
  <c r="AC494" i="5"/>
  <c r="AC493" i="5"/>
  <c r="AC492" i="5"/>
  <c r="AC491" i="5"/>
  <c r="AC490" i="5"/>
  <c r="AC489" i="5"/>
  <c r="AC488" i="5"/>
  <c r="AC487" i="5"/>
  <c r="AC486" i="5"/>
  <c r="AC485" i="5"/>
  <c r="AC484" i="5"/>
  <c r="AC483" i="5"/>
  <c r="AC482" i="5"/>
  <c r="AC481" i="5"/>
  <c r="AC480" i="5"/>
  <c r="AC479" i="5"/>
  <c r="AC478" i="5"/>
  <c r="AC477" i="5"/>
  <c r="AC476" i="5"/>
  <c r="AC475" i="5"/>
  <c r="AC474" i="5"/>
  <c r="AC473" i="5"/>
  <c r="AC472" i="5"/>
  <c r="AC471" i="5"/>
  <c r="AC470" i="5"/>
  <c r="AC469" i="5"/>
  <c r="AC468" i="5"/>
  <c r="AC467" i="5"/>
  <c r="AC466" i="5"/>
  <c r="AC465" i="5"/>
  <c r="AC464" i="5"/>
  <c r="AC463" i="5"/>
  <c r="AC462" i="5"/>
  <c r="AC461" i="5"/>
  <c r="AC460" i="5"/>
  <c r="AC459" i="5"/>
  <c r="AC458" i="5"/>
  <c r="AC457" i="5"/>
  <c r="AC456" i="5"/>
  <c r="AC455" i="5"/>
  <c r="AC454" i="5"/>
  <c r="AC453" i="5"/>
  <c r="AC452" i="5"/>
  <c r="AC451" i="5"/>
  <c r="AC450" i="5"/>
  <c r="AC449" i="5"/>
  <c r="AC448" i="5"/>
  <c r="AC447" i="5"/>
  <c r="AC446" i="5"/>
  <c r="AC445" i="5"/>
  <c r="AC444" i="5"/>
  <c r="AC443" i="5"/>
  <c r="AC442" i="5"/>
  <c r="AC441" i="5"/>
  <c r="AC440" i="5"/>
  <c r="AC439" i="5"/>
  <c r="AC438" i="5"/>
  <c r="AC437" i="5"/>
  <c r="AC436" i="5"/>
  <c r="AC435" i="5"/>
  <c r="AC434" i="5"/>
  <c r="AC433" i="5"/>
  <c r="AC432" i="5"/>
  <c r="AC431" i="5"/>
  <c r="AC430" i="5"/>
  <c r="AC429" i="5"/>
  <c r="AC428" i="5"/>
  <c r="AC427" i="5"/>
  <c r="AC426" i="5"/>
  <c r="AC425" i="5"/>
  <c r="AC424" i="5"/>
  <c r="AC423" i="5"/>
  <c r="AC422" i="5"/>
  <c r="AC421" i="5"/>
  <c r="AC420" i="5"/>
  <c r="AC419" i="5"/>
  <c r="AC418" i="5"/>
  <c r="AC417" i="5"/>
  <c r="AC416" i="5"/>
  <c r="AC415" i="5"/>
  <c r="AC414" i="5"/>
  <c r="AC413" i="5"/>
  <c r="AC412" i="5"/>
  <c r="AC411" i="5"/>
  <c r="AC410" i="5"/>
  <c r="AC409" i="5"/>
  <c r="AC408" i="5"/>
  <c r="AC407" i="5"/>
  <c r="AC406" i="5"/>
  <c r="AC405" i="5"/>
  <c r="AC404" i="5"/>
  <c r="AC403" i="5"/>
  <c r="AC402" i="5"/>
  <c r="AC401" i="5"/>
  <c r="AC400" i="5"/>
  <c r="AC399" i="5"/>
  <c r="AC398" i="5"/>
  <c r="AC397" i="5"/>
  <c r="AC396" i="5"/>
  <c r="AC395" i="5"/>
  <c r="AC394" i="5"/>
  <c r="AC393" i="5"/>
  <c r="AC392" i="5"/>
  <c r="AC391" i="5"/>
  <c r="AC390" i="5"/>
  <c r="AC389" i="5"/>
  <c r="AC388" i="5"/>
  <c r="AC387" i="5"/>
  <c r="AC386" i="5"/>
  <c r="AC385" i="5"/>
  <c r="AC384" i="5"/>
  <c r="AC383" i="5"/>
  <c r="AC382" i="5"/>
  <c r="AC381" i="5"/>
  <c r="AC380" i="5"/>
  <c r="AC379" i="5"/>
  <c r="AC378" i="5"/>
  <c r="AC377" i="5"/>
  <c r="AC376" i="5"/>
  <c r="AC375" i="5"/>
  <c r="AC374" i="5"/>
  <c r="AC373" i="5"/>
  <c r="AC372" i="5"/>
  <c r="AC371" i="5"/>
  <c r="AC370" i="5"/>
  <c r="AC369" i="5"/>
  <c r="AC368" i="5"/>
  <c r="AC367" i="5"/>
  <c r="AC366" i="5"/>
  <c r="AC365" i="5"/>
  <c r="AC364" i="5"/>
  <c r="AC363" i="5"/>
  <c r="AC362" i="5"/>
  <c r="AC361" i="5"/>
  <c r="AC360" i="5"/>
  <c r="AC359" i="5"/>
  <c r="AC358" i="5"/>
  <c r="AC357" i="5"/>
  <c r="AC356" i="5"/>
  <c r="AC355" i="5"/>
  <c r="AC354" i="5"/>
  <c r="AC353" i="5"/>
  <c r="AC352" i="5"/>
  <c r="AC351" i="5"/>
  <c r="AC350" i="5"/>
  <c r="AC349" i="5"/>
  <c r="AC348" i="5"/>
  <c r="AC347" i="5"/>
  <c r="AC346" i="5"/>
  <c r="AC345" i="5"/>
  <c r="AC344" i="5"/>
  <c r="AC343" i="5"/>
  <c r="AC342" i="5"/>
  <c r="AC341" i="5"/>
  <c r="AC340" i="5"/>
  <c r="AC339" i="5"/>
  <c r="AC338" i="5"/>
  <c r="AC337" i="5"/>
  <c r="AC336" i="5"/>
  <c r="AC335" i="5"/>
  <c r="AC334" i="5"/>
  <c r="AC333" i="5"/>
  <c r="AC332" i="5"/>
  <c r="AC331" i="5"/>
  <c r="AC330" i="5"/>
  <c r="AC329" i="5"/>
  <c r="AC328" i="5"/>
  <c r="AC327" i="5"/>
  <c r="AC326" i="5"/>
  <c r="AC325" i="5"/>
  <c r="AC324" i="5"/>
  <c r="AC323" i="5"/>
  <c r="AC322" i="5"/>
  <c r="AC321" i="5"/>
  <c r="AC320" i="5"/>
  <c r="AC319" i="5"/>
  <c r="AC318" i="5"/>
  <c r="AC317" i="5"/>
  <c r="AC316" i="5"/>
  <c r="AC315" i="5"/>
  <c r="AC314" i="5"/>
  <c r="AC313" i="5"/>
  <c r="AC312" i="5"/>
  <c r="AC311" i="5"/>
  <c r="AC310" i="5"/>
  <c r="AC309" i="5"/>
  <c r="AC308" i="5"/>
  <c r="AC307" i="5"/>
  <c r="AC306" i="5"/>
  <c r="AC305" i="5"/>
  <c r="AC304" i="5"/>
  <c r="AC303" i="5"/>
  <c r="AC302" i="5"/>
  <c r="AC301" i="5"/>
  <c r="AC300" i="5"/>
  <c r="AC299" i="5"/>
  <c r="AC298" i="5"/>
  <c r="AC297" i="5"/>
  <c r="AC296" i="5"/>
  <c r="AC295" i="5"/>
  <c r="AC294" i="5"/>
  <c r="AC293" i="5"/>
  <c r="AC292" i="5"/>
  <c r="AC291" i="5"/>
  <c r="AC290" i="5"/>
  <c r="AC289" i="5"/>
  <c r="AC288" i="5"/>
  <c r="AC287" i="5"/>
  <c r="AC286" i="5"/>
  <c r="AC285" i="5"/>
  <c r="AC284" i="5"/>
  <c r="AC283" i="5"/>
  <c r="AC282" i="5"/>
  <c r="AC281" i="5"/>
  <c r="AC280" i="5"/>
  <c r="AC279" i="5"/>
  <c r="AC278" i="5"/>
  <c r="AC277" i="5"/>
  <c r="AC276" i="5"/>
  <c r="AC275" i="5"/>
  <c r="AC274" i="5"/>
  <c r="AC273" i="5"/>
  <c r="AC272" i="5"/>
  <c r="AC271" i="5"/>
  <c r="AC270" i="5"/>
  <c r="AC269" i="5"/>
  <c r="AC268" i="5"/>
  <c r="AC267" i="5"/>
  <c r="AC266" i="5"/>
  <c r="AC265" i="5"/>
  <c r="AC264" i="5"/>
  <c r="AC263" i="5"/>
  <c r="AC262" i="5"/>
  <c r="AC261" i="5"/>
  <c r="AC260" i="5"/>
  <c r="AC259" i="5"/>
  <c r="AC258" i="5"/>
  <c r="AC257" i="5"/>
  <c r="AC256" i="5"/>
  <c r="AC255" i="5"/>
  <c r="AC254" i="5"/>
  <c r="AC253" i="5"/>
  <c r="AC252" i="5"/>
  <c r="AC251" i="5"/>
  <c r="AC250" i="5"/>
  <c r="AC249" i="5"/>
  <c r="AC248" i="5"/>
  <c r="AC247" i="5"/>
  <c r="AC246" i="5"/>
  <c r="AC245" i="5"/>
  <c r="AC244" i="5"/>
  <c r="AC243" i="5"/>
  <c r="AC242" i="5"/>
  <c r="AC241" i="5"/>
  <c r="AC240" i="5"/>
  <c r="AC239" i="5"/>
  <c r="AC238" i="5"/>
  <c r="AC237" i="5"/>
  <c r="AC236" i="5"/>
  <c r="AC235" i="5"/>
  <c r="AC234" i="5"/>
  <c r="AC233" i="5"/>
  <c r="AC232" i="5"/>
  <c r="AC231" i="5"/>
  <c r="AC230" i="5"/>
  <c r="AC229" i="5"/>
  <c r="AC228" i="5"/>
  <c r="AC227" i="5"/>
  <c r="AC226" i="5"/>
  <c r="AC225" i="5"/>
  <c r="AC224" i="5"/>
  <c r="AC223" i="5"/>
  <c r="AC222" i="5"/>
  <c r="AC221" i="5"/>
  <c r="AC220" i="5"/>
  <c r="AC219" i="5"/>
  <c r="AC218" i="5"/>
  <c r="AC217" i="5"/>
  <c r="AC216" i="5"/>
  <c r="AC215" i="5"/>
  <c r="AC214" i="5"/>
  <c r="AC213" i="5"/>
  <c r="AC212" i="5"/>
  <c r="AC211" i="5"/>
  <c r="AC210" i="5"/>
  <c r="AC209" i="5"/>
  <c r="AC208" i="5"/>
  <c r="AC207" i="5"/>
  <c r="AC206" i="5"/>
  <c r="AC205" i="5"/>
  <c r="AC204" i="5"/>
  <c r="AC203" i="5"/>
  <c r="AC202" i="5"/>
  <c r="AC201" i="5"/>
  <c r="AC200" i="5"/>
  <c r="AC199" i="5"/>
  <c r="AC198" i="5"/>
  <c r="AC197" i="5"/>
  <c r="AC196" i="5"/>
  <c r="AC195" i="5"/>
  <c r="AC194" i="5"/>
  <c r="AC193" i="5"/>
  <c r="AC192" i="5"/>
  <c r="AC191" i="5"/>
  <c r="AC190" i="5"/>
  <c r="AC189" i="5"/>
  <c r="AC188" i="5"/>
  <c r="AC187" i="5"/>
  <c r="AC186" i="5"/>
  <c r="AC185" i="5"/>
  <c r="AC184" i="5"/>
  <c r="AC183" i="5"/>
  <c r="AC182" i="5"/>
  <c r="AC181" i="5"/>
  <c r="AC180" i="5"/>
  <c r="AC179" i="5"/>
  <c r="AC178" i="5"/>
  <c r="AC177" i="5"/>
  <c r="AC176" i="5"/>
  <c r="AC175" i="5"/>
  <c r="AC174" i="5"/>
  <c r="AC173" i="5"/>
  <c r="AC172" i="5"/>
  <c r="AC171" i="5"/>
  <c r="AC170" i="5"/>
  <c r="AC169" i="5"/>
  <c r="AC168" i="5"/>
  <c r="AC167" i="5"/>
  <c r="AC166" i="5"/>
  <c r="AC165" i="5"/>
  <c r="AC164" i="5"/>
  <c r="AC163" i="5"/>
  <c r="AC162" i="5"/>
  <c r="AC161" i="5"/>
  <c r="AC160" i="5"/>
  <c r="AC159" i="5"/>
  <c r="AC158" i="5"/>
  <c r="AC157" i="5"/>
  <c r="AC156" i="5"/>
  <c r="AC155" i="5"/>
  <c r="AC154" i="5"/>
  <c r="AC153" i="5"/>
  <c r="AC152" i="5"/>
  <c r="AC151" i="5"/>
  <c r="AC150" i="5"/>
  <c r="AC149" i="5"/>
  <c r="AC148" i="5"/>
  <c r="AC147" i="5"/>
  <c r="AC146" i="5"/>
  <c r="AC145" i="5"/>
  <c r="AC144" i="5"/>
  <c r="AC143" i="5"/>
  <c r="AC142" i="5"/>
  <c r="AC141" i="5"/>
  <c r="AC140" i="5"/>
  <c r="AC139" i="5"/>
  <c r="AC138" i="5"/>
  <c r="AC137" i="5"/>
  <c r="AC136" i="5"/>
  <c r="AC135" i="5"/>
  <c r="AC134" i="5"/>
  <c r="AC133" i="5"/>
  <c r="AC132" i="5"/>
  <c r="AC131" i="5"/>
  <c r="AC130" i="5"/>
  <c r="AC129" i="5"/>
  <c r="AC128" i="5"/>
  <c r="AC127" i="5"/>
  <c r="AC126" i="5"/>
  <c r="AC125" i="5"/>
  <c r="AC124" i="5"/>
  <c r="AC123" i="5"/>
  <c r="AC122" i="5"/>
  <c r="AC121" i="5"/>
  <c r="AC120" i="5"/>
  <c r="AC119" i="5"/>
  <c r="AC118" i="5"/>
  <c r="AC117" i="5"/>
  <c r="AC116" i="5"/>
  <c r="AC115" i="5"/>
  <c r="AC114" i="5"/>
  <c r="AC113" i="5"/>
  <c r="AC112" i="5"/>
  <c r="AC111" i="5"/>
  <c r="AC110" i="5"/>
  <c r="AC109" i="5"/>
  <c r="AC108" i="5"/>
  <c r="AC107" i="5"/>
  <c r="AC106" i="5"/>
  <c r="AC105" i="5"/>
  <c r="AC104" i="5"/>
  <c r="AC103" i="5"/>
  <c r="AC102" i="5"/>
  <c r="AC101" i="5"/>
  <c r="AC100" i="5"/>
  <c r="AC99" i="5"/>
  <c r="AC98" i="5"/>
  <c r="AC97" i="5"/>
  <c r="AC96" i="5"/>
  <c r="AC95" i="5"/>
  <c r="AC94" i="5"/>
  <c r="AC93" i="5"/>
  <c r="AC92" i="5"/>
  <c r="AC91" i="5"/>
  <c r="AC90" i="5"/>
  <c r="AC89" i="5"/>
  <c r="AC88" i="5"/>
  <c r="AC87" i="5"/>
  <c r="AC86" i="5"/>
  <c r="AC85" i="5"/>
  <c r="AC84" i="5"/>
  <c r="AC83" i="5"/>
  <c r="AC82" i="5"/>
  <c r="AC81" i="5"/>
  <c r="AC80" i="5"/>
  <c r="AC79" i="5"/>
  <c r="AC78" i="5"/>
  <c r="AC77" i="5"/>
  <c r="AC76" i="5"/>
  <c r="AC75" i="5"/>
  <c r="AC74" i="5"/>
  <c r="AC73" i="5"/>
  <c r="AC72" i="5"/>
  <c r="AC71" i="5"/>
  <c r="AC70" i="5"/>
  <c r="AC69" i="5"/>
  <c r="AC68" i="5"/>
  <c r="AC67" i="5"/>
  <c r="AC66" i="5"/>
  <c r="AC65" i="5"/>
  <c r="AC64" i="5"/>
  <c r="AC63" i="5"/>
  <c r="AC62" i="5"/>
  <c r="AC61" i="5"/>
  <c r="AC60" i="5"/>
  <c r="AC59" i="5"/>
  <c r="AC58" i="5"/>
  <c r="AC57" i="5"/>
  <c r="AC56" i="5"/>
  <c r="AC55" i="5"/>
  <c r="AC54" i="5"/>
  <c r="AC53" i="5"/>
  <c r="AC52" i="5"/>
  <c r="AC51" i="5"/>
  <c r="AC50" i="5"/>
  <c r="AC49" i="5"/>
  <c r="AC48" i="5"/>
  <c r="AC47" i="5"/>
  <c r="AC46" i="5"/>
  <c r="AC45" i="5"/>
  <c r="AC44" i="5"/>
  <c r="AC43" i="5"/>
  <c r="AC42" i="5"/>
  <c r="AC41" i="5"/>
  <c r="AC40" i="5"/>
  <c r="AC39" i="5"/>
  <c r="AC38" i="5"/>
  <c r="AC37" i="5"/>
  <c r="AC36" i="5"/>
  <c r="AC35" i="5"/>
  <c r="AC34" i="5"/>
  <c r="AC33" i="5"/>
  <c r="AC32" i="5"/>
  <c r="AC31" i="5"/>
  <c r="AC30" i="5"/>
  <c r="AC29" i="5"/>
  <c r="AC28" i="5"/>
  <c r="AC27" i="5"/>
  <c r="AC26" i="5"/>
  <c r="AC25" i="5"/>
  <c r="AC24" i="5"/>
  <c r="AC23" i="5"/>
  <c r="AC22" i="5"/>
  <c r="AC21" i="5"/>
  <c r="AC20" i="5"/>
  <c r="AC19" i="5"/>
  <c r="AC18" i="5"/>
  <c r="AC17" i="5"/>
  <c r="AC16" i="5"/>
  <c r="AC15" i="5"/>
  <c r="AC14" i="5"/>
  <c r="AC13" i="5"/>
  <c r="AC12" i="5"/>
  <c r="AC11" i="5"/>
  <c r="AC10" i="5"/>
  <c r="AC9" i="5"/>
  <c r="AC8" i="5"/>
  <c r="AC7" i="5"/>
  <c r="AC6" i="5"/>
  <c r="AC5" i="5"/>
  <c r="AC4" i="5"/>
  <c r="AC3" i="5"/>
  <c r="AC2" i="5"/>
  <c r="AC1015" i="4"/>
  <c r="AC1014" i="4"/>
  <c r="AC1013" i="4"/>
  <c r="AC1012" i="4"/>
  <c r="AC1011" i="4"/>
  <c r="AC1010" i="4"/>
  <c r="AC1009" i="4"/>
  <c r="AC1008" i="4"/>
  <c r="AC1007" i="4"/>
  <c r="AC1006" i="4"/>
  <c r="AC1005" i="4"/>
  <c r="AC1004" i="4"/>
  <c r="AC1003" i="4"/>
  <c r="AC1002" i="4"/>
  <c r="AC1001" i="4"/>
  <c r="AC1000" i="4"/>
  <c r="AC999" i="4"/>
  <c r="AC998" i="4"/>
  <c r="AC997" i="4"/>
  <c r="AC996" i="4"/>
  <c r="AC995" i="4"/>
  <c r="AC994" i="4"/>
  <c r="AC993" i="4"/>
  <c r="AC992" i="4"/>
  <c r="AC991" i="4"/>
  <c r="AC990" i="4"/>
  <c r="AC989" i="4"/>
  <c r="AC988" i="4"/>
  <c r="AC987" i="4"/>
  <c r="AC986" i="4"/>
  <c r="AC985" i="4"/>
  <c r="AC984" i="4"/>
  <c r="AC983" i="4"/>
  <c r="AC982" i="4"/>
  <c r="AC981" i="4"/>
  <c r="AC980" i="4"/>
  <c r="AC979" i="4"/>
  <c r="AC978" i="4"/>
  <c r="AC977" i="4"/>
  <c r="AC976" i="4"/>
  <c r="AC975" i="4"/>
  <c r="AC974" i="4"/>
  <c r="AC973" i="4"/>
  <c r="AC972" i="4"/>
  <c r="AC971" i="4"/>
  <c r="AC970" i="4"/>
  <c r="AC969" i="4"/>
  <c r="AC968" i="4"/>
  <c r="AC967" i="4"/>
  <c r="AC966" i="4"/>
  <c r="AC965" i="4"/>
  <c r="AC964" i="4"/>
  <c r="AC963" i="4"/>
  <c r="AC962" i="4"/>
  <c r="AC961" i="4"/>
  <c r="AC960" i="4"/>
  <c r="AC959" i="4"/>
  <c r="AC958" i="4"/>
  <c r="AC957" i="4"/>
  <c r="AC956" i="4"/>
  <c r="AC955" i="4"/>
  <c r="AC954" i="4"/>
  <c r="AC953" i="4"/>
  <c r="AC952" i="4"/>
  <c r="AC951" i="4"/>
  <c r="AC950" i="4"/>
  <c r="AC949" i="4"/>
  <c r="AC948" i="4"/>
  <c r="AC947" i="4"/>
  <c r="AC946" i="4"/>
  <c r="AC945" i="4"/>
  <c r="AC944" i="4"/>
  <c r="AC943" i="4"/>
  <c r="AC942" i="4"/>
  <c r="AC941" i="4"/>
  <c r="AC940" i="4"/>
  <c r="AC939" i="4"/>
  <c r="AC938" i="4"/>
  <c r="AC937" i="4"/>
  <c r="AC936" i="4"/>
  <c r="AC935" i="4"/>
  <c r="AC934" i="4"/>
  <c r="AC933" i="4"/>
  <c r="AC932" i="4"/>
  <c r="AC931" i="4"/>
  <c r="AC930" i="4"/>
  <c r="AC929" i="4"/>
  <c r="AC928" i="4"/>
  <c r="AC927" i="4"/>
  <c r="AC926" i="4"/>
  <c r="AC925" i="4"/>
  <c r="AC924" i="4"/>
  <c r="AC923" i="4"/>
  <c r="AC922" i="4"/>
  <c r="AC921" i="4"/>
  <c r="AC920" i="4"/>
  <c r="AC919" i="4"/>
  <c r="AC918" i="4"/>
  <c r="AC917" i="4"/>
  <c r="AC916" i="4"/>
  <c r="AC915" i="4"/>
  <c r="AC914" i="4"/>
  <c r="AC913" i="4"/>
  <c r="AC912" i="4"/>
  <c r="AC911" i="4"/>
  <c r="AC910" i="4"/>
  <c r="AC909" i="4"/>
  <c r="AC908" i="4"/>
  <c r="AC907" i="4"/>
  <c r="AC906" i="4"/>
  <c r="AC905" i="4"/>
  <c r="AC904" i="4"/>
  <c r="AC903" i="4"/>
  <c r="AC902" i="4"/>
  <c r="AC901" i="4"/>
  <c r="AC900" i="4"/>
  <c r="AC899" i="4"/>
  <c r="AC898" i="4"/>
  <c r="AC897" i="4"/>
  <c r="AC896" i="4"/>
  <c r="AC895" i="4"/>
  <c r="AC894" i="4"/>
  <c r="AC893" i="4"/>
  <c r="AC892" i="4"/>
  <c r="AC891" i="4"/>
  <c r="AC890" i="4"/>
  <c r="AC889" i="4"/>
  <c r="AC888" i="4"/>
  <c r="AC887" i="4"/>
  <c r="AC886" i="4"/>
  <c r="AC885" i="4"/>
  <c r="AC884" i="4"/>
  <c r="AC883" i="4"/>
  <c r="AC882" i="4"/>
  <c r="AC881" i="4"/>
  <c r="AC880" i="4"/>
  <c r="AC879" i="4"/>
  <c r="AC878" i="4"/>
  <c r="AC877" i="4"/>
  <c r="AC876" i="4"/>
  <c r="AC875" i="4"/>
  <c r="AC874" i="4"/>
  <c r="AC873" i="4"/>
  <c r="AC872" i="4"/>
  <c r="AC871" i="4"/>
  <c r="AC870" i="4"/>
  <c r="AC869" i="4"/>
  <c r="AC868" i="4"/>
  <c r="AC867" i="4"/>
  <c r="AC866" i="4"/>
  <c r="AC865" i="4"/>
  <c r="AC864" i="4"/>
  <c r="AC863" i="4"/>
  <c r="AC862" i="4"/>
  <c r="AC861" i="4"/>
  <c r="AC860" i="4"/>
  <c r="AC859" i="4"/>
  <c r="AC858" i="4"/>
  <c r="AC857" i="4"/>
  <c r="AC856" i="4"/>
  <c r="AC855" i="4"/>
  <c r="AC854" i="4"/>
  <c r="AC853" i="4"/>
  <c r="AC852" i="4"/>
  <c r="AC851" i="4"/>
  <c r="AC850" i="4"/>
  <c r="AC849" i="4"/>
  <c r="AC848" i="4"/>
  <c r="AC847" i="4"/>
  <c r="AC846" i="4"/>
  <c r="AC845" i="4"/>
  <c r="AC844" i="4"/>
  <c r="AC843" i="4"/>
  <c r="AC842" i="4"/>
  <c r="AC841" i="4"/>
  <c r="AC840" i="4"/>
  <c r="AC839" i="4"/>
  <c r="AC838" i="4"/>
  <c r="AC837" i="4"/>
  <c r="AC836" i="4"/>
  <c r="AC835" i="4"/>
  <c r="AC834" i="4"/>
  <c r="AC833" i="4"/>
  <c r="AC832" i="4"/>
  <c r="AC831" i="4"/>
  <c r="AC830" i="4"/>
  <c r="AC829" i="4"/>
  <c r="AC828" i="4"/>
  <c r="AC827" i="4"/>
  <c r="AC826" i="4"/>
  <c r="AC825" i="4"/>
  <c r="AC824" i="4"/>
  <c r="AC823" i="4"/>
  <c r="AC822" i="4"/>
  <c r="AC821" i="4"/>
  <c r="AC820" i="4"/>
  <c r="AC819" i="4"/>
  <c r="AC818" i="4"/>
  <c r="AC817" i="4"/>
  <c r="AC816" i="4"/>
  <c r="AC815" i="4"/>
  <c r="AC814" i="4"/>
  <c r="AC813" i="4"/>
  <c r="AC812" i="4"/>
  <c r="AC811" i="4"/>
  <c r="AC810" i="4"/>
  <c r="AC809" i="4"/>
  <c r="AC808" i="4"/>
  <c r="AC807" i="4"/>
  <c r="AC806" i="4"/>
  <c r="AC805" i="4"/>
  <c r="AC804" i="4"/>
  <c r="AC803" i="4"/>
  <c r="AC802" i="4"/>
  <c r="AC801" i="4"/>
  <c r="AC800" i="4"/>
  <c r="AC799" i="4"/>
  <c r="AC798" i="4"/>
  <c r="AC797" i="4"/>
  <c r="AC796" i="4"/>
  <c r="AC795" i="4"/>
  <c r="AC794" i="4"/>
  <c r="AC793" i="4"/>
  <c r="AC792" i="4"/>
  <c r="AC791" i="4"/>
  <c r="AC790" i="4"/>
  <c r="AC789" i="4"/>
  <c r="AC788" i="4"/>
  <c r="AC787" i="4"/>
  <c r="AC786" i="4"/>
  <c r="AC785" i="4"/>
  <c r="AC784" i="4"/>
  <c r="AC783" i="4"/>
  <c r="AC782" i="4"/>
  <c r="AC781" i="4"/>
  <c r="AC780" i="4"/>
  <c r="AC779" i="4"/>
  <c r="AC778" i="4"/>
  <c r="AC777" i="4"/>
  <c r="AC776" i="4"/>
  <c r="AC775" i="4"/>
  <c r="AC774" i="4"/>
  <c r="AC773" i="4"/>
  <c r="AC772" i="4"/>
  <c r="AC771" i="4"/>
  <c r="AC770" i="4"/>
  <c r="AC769" i="4"/>
  <c r="AC768" i="4"/>
  <c r="AC767" i="4"/>
  <c r="AC766" i="4"/>
  <c r="AC765" i="4"/>
  <c r="AC764" i="4"/>
  <c r="AC763" i="4"/>
  <c r="AC762" i="4"/>
  <c r="AC761" i="4"/>
  <c r="AC760" i="4"/>
  <c r="AC759" i="4"/>
  <c r="AC758" i="4"/>
  <c r="AC757" i="4"/>
  <c r="AC756" i="4"/>
  <c r="AC755" i="4"/>
  <c r="AC754" i="4"/>
  <c r="AC753" i="4"/>
  <c r="AC752" i="4"/>
  <c r="AC751" i="4"/>
  <c r="AC750" i="4"/>
  <c r="AC749" i="4"/>
  <c r="AC748" i="4"/>
  <c r="AC747" i="4"/>
  <c r="AC746" i="4"/>
  <c r="AC745" i="4"/>
  <c r="AC744" i="4"/>
  <c r="AC743" i="4"/>
  <c r="AC742" i="4"/>
  <c r="AC741" i="4"/>
  <c r="AC740" i="4"/>
  <c r="AC739" i="4"/>
  <c r="AC738" i="4"/>
  <c r="AC737" i="4"/>
  <c r="AC736" i="4"/>
  <c r="AC735" i="4"/>
  <c r="AC734" i="4"/>
  <c r="AC733" i="4"/>
  <c r="AC732" i="4"/>
  <c r="AC731" i="4"/>
  <c r="AC730" i="4"/>
  <c r="AC729" i="4"/>
  <c r="AC728" i="4"/>
  <c r="AC727" i="4"/>
  <c r="AC726" i="4"/>
  <c r="AC725" i="4"/>
  <c r="AC724" i="4"/>
  <c r="AC723" i="4"/>
  <c r="AC722" i="4"/>
  <c r="AC721" i="4"/>
  <c r="AC720" i="4"/>
  <c r="AC719" i="4"/>
  <c r="AC718" i="4"/>
  <c r="AC717" i="4"/>
  <c r="AC716" i="4"/>
  <c r="AC715" i="4"/>
  <c r="AC714" i="4"/>
  <c r="AC713" i="4"/>
  <c r="AC712" i="4"/>
  <c r="AC711" i="4"/>
  <c r="AC710" i="4"/>
  <c r="AC709" i="4"/>
  <c r="AC708" i="4"/>
  <c r="AC707" i="4"/>
  <c r="AC706" i="4"/>
  <c r="AC705" i="4"/>
  <c r="AC704" i="4"/>
  <c r="AC703" i="4"/>
  <c r="AC702" i="4"/>
  <c r="AC701" i="4"/>
  <c r="AC700" i="4"/>
  <c r="AC699" i="4"/>
  <c r="AC698" i="4"/>
  <c r="AC697" i="4"/>
  <c r="AC696" i="4"/>
  <c r="AC695" i="4"/>
  <c r="AC694" i="4"/>
  <c r="AC693" i="4"/>
  <c r="AC692" i="4"/>
  <c r="AC691" i="4"/>
  <c r="AC690" i="4"/>
  <c r="AC689" i="4"/>
  <c r="AC688" i="4"/>
  <c r="AC687" i="4"/>
  <c r="AC686" i="4"/>
  <c r="AC685" i="4"/>
  <c r="AC684" i="4"/>
  <c r="AC683" i="4"/>
  <c r="AC682" i="4"/>
  <c r="AC681" i="4"/>
  <c r="AC680" i="4"/>
  <c r="AC679" i="4"/>
  <c r="AC678" i="4"/>
  <c r="AC677" i="4"/>
  <c r="AC676" i="4"/>
  <c r="AC675" i="4"/>
  <c r="AC674" i="4"/>
  <c r="AC673" i="4"/>
  <c r="AC672" i="4"/>
  <c r="AC671" i="4"/>
  <c r="AC670" i="4"/>
  <c r="AC669" i="4"/>
  <c r="AC668" i="4"/>
  <c r="AC667" i="4"/>
  <c r="AC666" i="4"/>
  <c r="AC665" i="4"/>
  <c r="AC664" i="4"/>
  <c r="AC663" i="4"/>
  <c r="AC662" i="4"/>
  <c r="AC661" i="4"/>
  <c r="AC660" i="4"/>
  <c r="AC659" i="4"/>
  <c r="AC658" i="4"/>
  <c r="AC657" i="4"/>
  <c r="AC656" i="4"/>
  <c r="AC655" i="4"/>
  <c r="AC654" i="4"/>
  <c r="AC653" i="4"/>
  <c r="AC652" i="4"/>
  <c r="AC651" i="4"/>
  <c r="AC650" i="4"/>
  <c r="AC649" i="4"/>
  <c r="AC648" i="4"/>
  <c r="AC647" i="4"/>
  <c r="AC646" i="4"/>
  <c r="AC645" i="4"/>
  <c r="AC644" i="4"/>
  <c r="AC643" i="4"/>
  <c r="AC642" i="4"/>
  <c r="AC641" i="4"/>
  <c r="AC640" i="4"/>
  <c r="AC639" i="4"/>
  <c r="AC638" i="4"/>
  <c r="AC637" i="4"/>
  <c r="AC636" i="4"/>
  <c r="AC635" i="4"/>
  <c r="AC634" i="4"/>
  <c r="AC633" i="4"/>
  <c r="AC632" i="4"/>
  <c r="AC631" i="4"/>
  <c r="AC630" i="4"/>
  <c r="AC629" i="4"/>
  <c r="AC628" i="4"/>
  <c r="AC627" i="4"/>
  <c r="AC626" i="4"/>
  <c r="AC625" i="4"/>
  <c r="AC624" i="4"/>
  <c r="AC623" i="4"/>
  <c r="AC622" i="4"/>
  <c r="AC621" i="4"/>
  <c r="AC620" i="4"/>
  <c r="AC619" i="4"/>
  <c r="AC618" i="4"/>
  <c r="AC617" i="4"/>
  <c r="AC616" i="4"/>
  <c r="AC615" i="4"/>
  <c r="AC614" i="4"/>
  <c r="AC613" i="4"/>
  <c r="AC612" i="4"/>
  <c r="AC611" i="4"/>
  <c r="AC610" i="4"/>
  <c r="AC609" i="4"/>
  <c r="AC608" i="4"/>
  <c r="AC607" i="4"/>
  <c r="AC606" i="4"/>
  <c r="AC605" i="4"/>
  <c r="AC604" i="4"/>
  <c r="AC603" i="4"/>
  <c r="AC602" i="4"/>
  <c r="AC601" i="4"/>
  <c r="AC600" i="4"/>
  <c r="AC599" i="4"/>
  <c r="AC598" i="4"/>
  <c r="AC597" i="4"/>
  <c r="AC596" i="4"/>
  <c r="AC595" i="4"/>
  <c r="AC594" i="4"/>
  <c r="AC593" i="4"/>
  <c r="AC592" i="4"/>
  <c r="AC591" i="4"/>
  <c r="AC590" i="4"/>
  <c r="AC589" i="4"/>
  <c r="AC588" i="4"/>
  <c r="AC587" i="4"/>
  <c r="AC586" i="4"/>
  <c r="AC585" i="4"/>
  <c r="AC584" i="4"/>
  <c r="AC583" i="4"/>
  <c r="AC582" i="4"/>
  <c r="AC581" i="4"/>
  <c r="AC580" i="4"/>
  <c r="AC579" i="4"/>
  <c r="AC578" i="4"/>
  <c r="AC577" i="4"/>
  <c r="AC576" i="4"/>
  <c r="AC575" i="4"/>
  <c r="AC574" i="4"/>
  <c r="AC573" i="4"/>
  <c r="AC572" i="4"/>
  <c r="AC571" i="4"/>
  <c r="AC570" i="4"/>
  <c r="AC569" i="4"/>
  <c r="AC568" i="4"/>
  <c r="AC567" i="4"/>
  <c r="AC566" i="4"/>
  <c r="AC565" i="4"/>
  <c r="AC564" i="4"/>
  <c r="AC563" i="4"/>
  <c r="AC562" i="4"/>
  <c r="AC561" i="4"/>
  <c r="AC560" i="4"/>
  <c r="AC559" i="4"/>
  <c r="AC558" i="4"/>
  <c r="AC557" i="4"/>
  <c r="AC556" i="4"/>
  <c r="AC555" i="4"/>
  <c r="AC554" i="4"/>
  <c r="AC553" i="4"/>
  <c r="AC552" i="4"/>
  <c r="AC551" i="4"/>
  <c r="AC550" i="4"/>
  <c r="AC549" i="4"/>
  <c r="AC548" i="4"/>
  <c r="AC547" i="4"/>
  <c r="AC546" i="4"/>
  <c r="AC545" i="4"/>
  <c r="AC544" i="4"/>
  <c r="AC543" i="4"/>
  <c r="AC542" i="4"/>
  <c r="AC541" i="4"/>
  <c r="AC540" i="4"/>
  <c r="AC539" i="4"/>
  <c r="AC538" i="4"/>
  <c r="AC537" i="4"/>
  <c r="AC536" i="4"/>
  <c r="AC535" i="4"/>
  <c r="AC534" i="4"/>
  <c r="AC533" i="4"/>
  <c r="AC532" i="4"/>
  <c r="AC531" i="4"/>
  <c r="AC530" i="4"/>
  <c r="AC529" i="4"/>
  <c r="AC528" i="4"/>
  <c r="AC527" i="4"/>
  <c r="AC526" i="4"/>
  <c r="AC525" i="4"/>
  <c r="AC524" i="4"/>
  <c r="AC523" i="4"/>
  <c r="AC522" i="4"/>
  <c r="AC521" i="4"/>
  <c r="AC520" i="4"/>
  <c r="AC519" i="4"/>
  <c r="AC518" i="4"/>
  <c r="AC517" i="4"/>
  <c r="AC516" i="4"/>
  <c r="AC515" i="4"/>
  <c r="AC514" i="4"/>
  <c r="AC513" i="4"/>
  <c r="AC512" i="4"/>
  <c r="AC511" i="4"/>
  <c r="AC510" i="4"/>
  <c r="AC509" i="4"/>
  <c r="AC508" i="4"/>
  <c r="AC507" i="4"/>
  <c r="AC506" i="4"/>
  <c r="AC505" i="4"/>
  <c r="AC504" i="4"/>
  <c r="AC503" i="4"/>
  <c r="AC502" i="4"/>
  <c r="AC501" i="4"/>
  <c r="AC500" i="4"/>
  <c r="AC499" i="4"/>
  <c r="AC498" i="4"/>
  <c r="AC497" i="4"/>
  <c r="AC496" i="4"/>
  <c r="AC495" i="4"/>
  <c r="AC494" i="4"/>
  <c r="AC493" i="4"/>
  <c r="AC492" i="4"/>
  <c r="AC491" i="4"/>
  <c r="AC490" i="4"/>
  <c r="AC489" i="4"/>
  <c r="AC488" i="4"/>
  <c r="AC487" i="4"/>
  <c r="AC486" i="4"/>
  <c r="AC485" i="4"/>
  <c r="AC484" i="4"/>
  <c r="AC483" i="4"/>
  <c r="AC482" i="4"/>
  <c r="AC481" i="4"/>
  <c r="AC480" i="4"/>
  <c r="AC479" i="4"/>
  <c r="AC478" i="4"/>
  <c r="AC477" i="4"/>
  <c r="AC476" i="4"/>
  <c r="AC475" i="4"/>
  <c r="AC474" i="4"/>
  <c r="AC473" i="4"/>
  <c r="AC472" i="4"/>
  <c r="AC471" i="4"/>
  <c r="AC470" i="4"/>
  <c r="AC469" i="4"/>
  <c r="AC468" i="4"/>
  <c r="AC467" i="4"/>
  <c r="AC466" i="4"/>
  <c r="AC465" i="4"/>
  <c r="AC464" i="4"/>
  <c r="AC463" i="4"/>
  <c r="AC462" i="4"/>
  <c r="AC461" i="4"/>
  <c r="AC460" i="4"/>
  <c r="AC459" i="4"/>
  <c r="AC458" i="4"/>
  <c r="AC457" i="4"/>
  <c r="AC456" i="4"/>
  <c r="AC455" i="4"/>
  <c r="AC454" i="4"/>
  <c r="AC453" i="4"/>
  <c r="AC452" i="4"/>
  <c r="AC451" i="4"/>
  <c r="AC450" i="4"/>
  <c r="AC449" i="4"/>
  <c r="AC448" i="4"/>
  <c r="AC447" i="4"/>
  <c r="AC446" i="4"/>
  <c r="AC445" i="4"/>
  <c r="AC444" i="4"/>
  <c r="AC443" i="4"/>
  <c r="AC442" i="4"/>
  <c r="AC441" i="4"/>
  <c r="AC440" i="4"/>
  <c r="AC439" i="4"/>
  <c r="AC438" i="4"/>
  <c r="AC437" i="4"/>
  <c r="AC436" i="4"/>
  <c r="AC435" i="4"/>
  <c r="AC434" i="4"/>
  <c r="AC433" i="4"/>
  <c r="AC432" i="4"/>
  <c r="AC431" i="4"/>
  <c r="AC430" i="4"/>
  <c r="AC429" i="4"/>
  <c r="AC428" i="4"/>
  <c r="AC427" i="4"/>
  <c r="AC426" i="4"/>
  <c r="AC425" i="4"/>
  <c r="AC424" i="4"/>
  <c r="AC423" i="4"/>
  <c r="AC422" i="4"/>
  <c r="AC421" i="4"/>
  <c r="AC420" i="4"/>
  <c r="AC419" i="4"/>
  <c r="AC418" i="4"/>
  <c r="AC417" i="4"/>
  <c r="AC416" i="4"/>
  <c r="AC415" i="4"/>
  <c r="AC414" i="4"/>
  <c r="AC413" i="4"/>
  <c r="AC412" i="4"/>
  <c r="AC411" i="4"/>
  <c r="AC410" i="4"/>
  <c r="AC409" i="4"/>
  <c r="AC408" i="4"/>
  <c r="AC407" i="4"/>
  <c r="AC406" i="4"/>
  <c r="AC405" i="4"/>
  <c r="AC404" i="4"/>
  <c r="AC403" i="4"/>
  <c r="AC402" i="4"/>
  <c r="AC401" i="4"/>
  <c r="AC400" i="4"/>
  <c r="AC399" i="4"/>
  <c r="AC398" i="4"/>
  <c r="AC397" i="4"/>
  <c r="AC396" i="4"/>
  <c r="AC395" i="4"/>
  <c r="AC394" i="4"/>
  <c r="AC393" i="4"/>
  <c r="AC392" i="4"/>
  <c r="AC391" i="4"/>
  <c r="AC390" i="4"/>
  <c r="AC389" i="4"/>
  <c r="AC388" i="4"/>
  <c r="AC387" i="4"/>
  <c r="AC386" i="4"/>
  <c r="AC385" i="4"/>
  <c r="AC384" i="4"/>
  <c r="AC383" i="4"/>
  <c r="AC382" i="4"/>
  <c r="AC381" i="4"/>
  <c r="AC380" i="4"/>
  <c r="AC379" i="4"/>
  <c r="AC378" i="4"/>
  <c r="AC377" i="4"/>
  <c r="AC376" i="4"/>
  <c r="AC375" i="4"/>
  <c r="AC374" i="4"/>
  <c r="AC373" i="4"/>
  <c r="AC372" i="4"/>
  <c r="AC371" i="4"/>
  <c r="AC370" i="4"/>
  <c r="AC369" i="4"/>
  <c r="AC368" i="4"/>
  <c r="AC367" i="4"/>
  <c r="AC366" i="4"/>
  <c r="AC365" i="4"/>
  <c r="AC364" i="4"/>
  <c r="AC363" i="4"/>
  <c r="AC362" i="4"/>
  <c r="AC361" i="4"/>
  <c r="AC360" i="4"/>
  <c r="AC359" i="4"/>
  <c r="AC358" i="4"/>
  <c r="AC357" i="4"/>
  <c r="AC356" i="4"/>
  <c r="AC355" i="4"/>
  <c r="AC354" i="4"/>
  <c r="AC353" i="4"/>
  <c r="AC352" i="4"/>
  <c r="AC351" i="4"/>
  <c r="AC350" i="4"/>
  <c r="AC349" i="4"/>
  <c r="AC348" i="4"/>
  <c r="AC347" i="4"/>
  <c r="AC346" i="4"/>
  <c r="AC345" i="4"/>
  <c r="AC344" i="4"/>
  <c r="AC343" i="4"/>
  <c r="AC342" i="4"/>
  <c r="AC341" i="4"/>
  <c r="AC340" i="4"/>
  <c r="AC339" i="4"/>
  <c r="AC338" i="4"/>
  <c r="AC337" i="4"/>
  <c r="AC336" i="4"/>
  <c r="AC335" i="4"/>
  <c r="AC334" i="4"/>
  <c r="AC333" i="4"/>
  <c r="AC332" i="4"/>
  <c r="AC331" i="4"/>
  <c r="AC330" i="4"/>
  <c r="AC329" i="4"/>
  <c r="AC328" i="4"/>
  <c r="AC327" i="4"/>
  <c r="AC326" i="4"/>
  <c r="AC325" i="4"/>
  <c r="AC324" i="4"/>
  <c r="AC323" i="4"/>
  <c r="AC322" i="4"/>
  <c r="AC321" i="4"/>
  <c r="AC320" i="4"/>
  <c r="AC319" i="4"/>
  <c r="AC318" i="4"/>
  <c r="AC317" i="4"/>
  <c r="AC316" i="4"/>
  <c r="AC315" i="4"/>
  <c r="AC314" i="4"/>
  <c r="AC313" i="4"/>
  <c r="AC312" i="4"/>
  <c r="AC311" i="4"/>
  <c r="AC310" i="4"/>
  <c r="AC309" i="4"/>
  <c r="AC308" i="4"/>
  <c r="AC307" i="4"/>
  <c r="AC306" i="4"/>
  <c r="AC305" i="4"/>
  <c r="AC304" i="4"/>
  <c r="AC303" i="4"/>
  <c r="AC302" i="4"/>
  <c r="AC301" i="4"/>
  <c r="AC300" i="4"/>
  <c r="AC299" i="4"/>
  <c r="AC298" i="4"/>
  <c r="AC297" i="4"/>
  <c r="AC296" i="4"/>
  <c r="AC295" i="4"/>
  <c r="AC294" i="4"/>
  <c r="AC293" i="4"/>
  <c r="AC292" i="4"/>
  <c r="AC291" i="4"/>
  <c r="AC290" i="4"/>
  <c r="AC289" i="4"/>
  <c r="AC288" i="4"/>
  <c r="AC287" i="4"/>
  <c r="AC286" i="4"/>
  <c r="AC285" i="4"/>
  <c r="AC284" i="4"/>
  <c r="AC283" i="4"/>
  <c r="AC282" i="4"/>
  <c r="AC281" i="4"/>
  <c r="AC280" i="4"/>
  <c r="AC279" i="4"/>
  <c r="AC278" i="4"/>
  <c r="AC277" i="4"/>
  <c r="AC276" i="4"/>
  <c r="AC275" i="4"/>
  <c r="AC274" i="4"/>
  <c r="AC273" i="4"/>
  <c r="AC272" i="4"/>
  <c r="AC271" i="4"/>
  <c r="AC270" i="4"/>
  <c r="AC269" i="4"/>
  <c r="AC268" i="4"/>
  <c r="AC267" i="4"/>
  <c r="AC266" i="4"/>
  <c r="AC265" i="4"/>
  <c r="AC264" i="4"/>
  <c r="AC263" i="4"/>
  <c r="AC262" i="4"/>
  <c r="AC261" i="4"/>
  <c r="AC260" i="4"/>
  <c r="AC259" i="4"/>
  <c r="AC258" i="4"/>
  <c r="AC257" i="4"/>
  <c r="AC256" i="4"/>
  <c r="AC255" i="4"/>
  <c r="AC254" i="4"/>
  <c r="AC253" i="4"/>
  <c r="AC252" i="4"/>
  <c r="AC251" i="4"/>
  <c r="AC250" i="4"/>
  <c r="AC249" i="4"/>
  <c r="AC248" i="4"/>
  <c r="AC247" i="4"/>
  <c r="AC246" i="4"/>
  <c r="AC245" i="4"/>
  <c r="AC244" i="4"/>
  <c r="AC243" i="4"/>
  <c r="AC242" i="4"/>
  <c r="AC241" i="4"/>
  <c r="AC240" i="4"/>
  <c r="AC239" i="4"/>
  <c r="AC238" i="4"/>
  <c r="AC237" i="4"/>
  <c r="AC236" i="4"/>
  <c r="AC235" i="4"/>
  <c r="AC234" i="4"/>
  <c r="AC233" i="4"/>
  <c r="AC232" i="4"/>
  <c r="AC231" i="4"/>
  <c r="AC230" i="4"/>
  <c r="AC229" i="4"/>
  <c r="AC228" i="4"/>
  <c r="AC227" i="4"/>
  <c r="AC226" i="4"/>
  <c r="AC225" i="4"/>
  <c r="AC224" i="4"/>
  <c r="AC223" i="4"/>
  <c r="AC222" i="4"/>
  <c r="AC221" i="4"/>
  <c r="AC220" i="4"/>
  <c r="AC219" i="4"/>
  <c r="AC218" i="4"/>
  <c r="AC217" i="4"/>
  <c r="AC216" i="4"/>
  <c r="AC215" i="4"/>
  <c r="AC214" i="4"/>
  <c r="AC213" i="4"/>
  <c r="AC212" i="4"/>
  <c r="AC211" i="4"/>
  <c r="AC210" i="4"/>
  <c r="AC209" i="4"/>
  <c r="AC208" i="4"/>
  <c r="AC207" i="4"/>
  <c r="AC206" i="4"/>
  <c r="AC205" i="4"/>
  <c r="AC204" i="4"/>
  <c r="AC203" i="4"/>
  <c r="AC202" i="4"/>
  <c r="AC201" i="4"/>
  <c r="AC200" i="4"/>
  <c r="AC199" i="4"/>
  <c r="AC198" i="4"/>
  <c r="AC197" i="4"/>
  <c r="AC196" i="4"/>
  <c r="AC195" i="4"/>
  <c r="AC194" i="4"/>
  <c r="AC193" i="4"/>
  <c r="AC192" i="4"/>
  <c r="AC191" i="4"/>
  <c r="AC190" i="4"/>
  <c r="AC189" i="4"/>
  <c r="AC188" i="4"/>
  <c r="AC187" i="4"/>
  <c r="AC186" i="4"/>
  <c r="AC185" i="4"/>
  <c r="AC184" i="4"/>
  <c r="AC183" i="4"/>
  <c r="AC182" i="4"/>
  <c r="AC181" i="4"/>
  <c r="AC180" i="4"/>
  <c r="AC179" i="4"/>
  <c r="AC178" i="4"/>
  <c r="AC177" i="4"/>
  <c r="AC176" i="4"/>
  <c r="AC175" i="4"/>
  <c r="AC174" i="4"/>
  <c r="AC173" i="4"/>
  <c r="AC172" i="4"/>
  <c r="AC171" i="4"/>
  <c r="AC170" i="4"/>
  <c r="AC169" i="4"/>
  <c r="AC168" i="4"/>
  <c r="AC167" i="4"/>
  <c r="AC166" i="4"/>
  <c r="AC165" i="4"/>
  <c r="AC164" i="4"/>
  <c r="AC163" i="4"/>
  <c r="AC162" i="4"/>
  <c r="AC161" i="4"/>
  <c r="AC160" i="4"/>
  <c r="AC159" i="4"/>
  <c r="AC158" i="4"/>
  <c r="AC157" i="4"/>
  <c r="AC156" i="4"/>
  <c r="AC155" i="4"/>
  <c r="AC154" i="4"/>
  <c r="AC153" i="4"/>
  <c r="AC152" i="4"/>
  <c r="AC151" i="4"/>
  <c r="AC150" i="4"/>
  <c r="AC149" i="4"/>
  <c r="AC148" i="4"/>
  <c r="AC147" i="4"/>
  <c r="AC146" i="4"/>
  <c r="AC145" i="4"/>
  <c r="AC144" i="4"/>
  <c r="AC143" i="4"/>
  <c r="AC142" i="4"/>
  <c r="AC141" i="4"/>
  <c r="AC140" i="4"/>
  <c r="AC139" i="4"/>
  <c r="AC138" i="4"/>
  <c r="AC137" i="4"/>
  <c r="AC136" i="4"/>
  <c r="AC135" i="4"/>
  <c r="AC134" i="4"/>
  <c r="AC133" i="4"/>
  <c r="AC132" i="4"/>
  <c r="AC131" i="4"/>
  <c r="AC130" i="4"/>
  <c r="AC129" i="4"/>
  <c r="AC128" i="4"/>
  <c r="AC127" i="4"/>
  <c r="AC126" i="4"/>
  <c r="AC125" i="4"/>
  <c r="AC124" i="4"/>
  <c r="AC123" i="4"/>
  <c r="AC122" i="4"/>
  <c r="AC121" i="4"/>
  <c r="AC120" i="4"/>
  <c r="AC119" i="4"/>
  <c r="AC118" i="4"/>
  <c r="AC117" i="4"/>
  <c r="AC116" i="4"/>
  <c r="AC115" i="4"/>
  <c r="AC114" i="4"/>
  <c r="AC113" i="4"/>
  <c r="AC112" i="4"/>
  <c r="AC111" i="4"/>
  <c r="AC110" i="4"/>
  <c r="AC109" i="4"/>
  <c r="AC108" i="4"/>
  <c r="AC107" i="4"/>
  <c r="AC106" i="4"/>
  <c r="AC105" i="4"/>
  <c r="AC104" i="4"/>
  <c r="AC103" i="4"/>
  <c r="AC102" i="4"/>
  <c r="AC101" i="4"/>
  <c r="AC100" i="4"/>
  <c r="AC99" i="4"/>
  <c r="AC98" i="4"/>
  <c r="AC97" i="4"/>
  <c r="AC96" i="4"/>
  <c r="AC95" i="4"/>
  <c r="AC94" i="4"/>
  <c r="AC93" i="4"/>
  <c r="AC92" i="4"/>
  <c r="AC91" i="4"/>
  <c r="AC90" i="4"/>
  <c r="AC89" i="4"/>
  <c r="AC88" i="4"/>
  <c r="AC87" i="4"/>
  <c r="AC86" i="4"/>
  <c r="AC85" i="4"/>
  <c r="AC84" i="4"/>
  <c r="AC83" i="4"/>
  <c r="AC82" i="4"/>
  <c r="AC81" i="4"/>
  <c r="AC80" i="4"/>
  <c r="AC79" i="4"/>
  <c r="AC78" i="4"/>
  <c r="AC77" i="4"/>
  <c r="AC76" i="4"/>
  <c r="AC75" i="4"/>
  <c r="AC74" i="4"/>
  <c r="AC73" i="4"/>
  <c r="AC72" i="4"/>
  <c r="AC71" i="4"/>
  <c r="AC70" i="4"/>
  <c r="AC69" i="4"/>
  <c r="AC68" i="4"/>
  <c r="AC67" i="4"/>
  <c r="AC66" i="4"/>
  <c r="AC65" i="4"/>
  <c r="AC64" i="4"/>
  <c r="AC63" i="4"/>
  <c r="AC62" i="4"/>
  <c r="AC61" i="4"/>
  <c r="AC60" i="4"/>
  <c r="AC59" i="4"/>
  <c r="AC58" i="4"/>
  <c r="AC57" i="4"/>
  <c r="AC56" i="4"/>
  <c r="AC55" i="4"/>
  <c r="AC54" i="4"/>
  <c r="AC53" i="4"/>
  <c r="AC52" i="4"/>
  <c r="AC51" i="4"/>
  <c r="AC50" i="4"/>
  <c r="AC49" i="4"/>
  <c r="AC48" i="4"/>
  <c r="AC47" i="4"/>
  <c r="AC46" i="4"/>
  <c r="AC45" i="4"/>
  <c r="AC44" i="4"/>
  <c r="AC43" i="4"/>
  <c r="AC42" i="4"/>
  <c r="AC41" i="4"/>
  <c r="AC40" i="4"/>
  <c r="AC39" i="4"/>
  <c r="AC38" i="4"/>
  <c r="AC37" i="4"/>
  <c r="AC36" i="4"/>
  <c r="AC35" i="4"/>
  <c r="AC34" i="4"/>
  <c r="AC33" i="4"/>
  <c r="AC32" i="4"/>
  <c r="AC31" i="4"/>
  <c r="AC30" i="4"/>
  <c r="AC29" i="4"/>
  <c r="AC28" i="4"/>
  <c r="AC27" i="4"/>
  <c r="AC26" i="4"/>
  <c r="AC25" i="4"/>
  <c r="AC24" i="4"/>
  <c r="AC23" i="4"/>
  <c r="AC22" i="4"/>
  <c r="AC21" i="4"/>
  <c r="AC20" i="4"/>
  <c r="AC19" i="4"/>
  <c r="AC18" i="4"/>
  <c r="AC17" i="4"/>
  <c r="AC16" i="4"/>
  <c r="AC15" i="4"/>
  <c r="AC14" i="4"/>
  <c r="AC13" i="4"/>
  <c r="AC12" i="4"/>
  <c r="AC11" i="4"/>
  <c r="AC10" i="4"/>
  <c r="AC9" i="4"/>
  <c r="AC8" i="4"/>
  <c r="AC7" i="4"/>
  <c r="AC6" i="4"/>
  <c r="AC5" i="4"/>
  <c r="AC4" i="4"/>
  <c r="AC3" i="4"/>
  <c r="AC2" i="4"/>
  <c r="AC1015" i="3"/>
  <c r="AC1014" i="3"/>
  <c r="AC1013" i="3"/>
  <c r="AC1012" i="3"/>
  <c r="AC1011" i="3"/>
  <c r="AC1010" i="3"/>
  <c r="AC1009" i="3"/>
  <c r="AC1008" i="3"/>
  <c r="AC1007" i="3"/>
  <c r="AC1006" i="3"/>
  <c r="AC1005" i="3"/>
  <c r="AC1004" i="3"/>
  <c r="AC1003" i="3"/>
  <c r="AC1002" i="3"/>
  <c r="AC1001" i="3"/>
  <c r="AC1000" i="3"/>
  <c r="AC999" i="3"/>
  <c r="AC998" i="3"/>
  <c r="AC997" i="3"/>
  <c r="AC996" i="3"/>
  <c r="AC995" i="3"/>
  <c r="AC994" i="3"/>
  <c r="AC993" i="3"/>
  <c r="AC992" i="3"/>
  <c r="AC991" i="3"/>
  <c r="AC990" i="3"/>
  <c r="AC989" i="3"/>
  <c r="AC988" i="3"/>
  <c r="AC987" i="3"/>
  <c r="AC986" i="3"/>
  <c r="AC985" i="3"/>
  <c r="AC984" i="3"/>
  <c r="AC983" i="3"/>
  <c r="AC982" i="3"/>
  <c r="AC981" i="3"/>
  <c r="AC980" i="3"/>
  <c r="AC979" i="3"/>
  <c r="AC978" i="3"/>
  <c r="AC977" i="3"/>
  <c r="AC976" i="3"/>
  <c r="AC975" i="3"/>
  <c r="AC974" i="3"/>
  <c r="AC973" i="3"/>
  <c r="AC972" i="3"/>
  <c r="AC971" i="3"/>
  <c r="AC970" i="3"/>
  <c r="AC969" i="3"/>
  <c r="AC968" i="3"/>
  <c r="AC967" i="3"/>
  <c r="AC966" i="3"/>
  <c r="AC965" i="3"/>
  <c r="AC964" i="3"/>
  <c r="AC963" i="3"/>
  <c r="AC962" i="3"/>
  <c r="AC961" i="3"/>
  <c r="AC960" i="3"/>
  <c r="AC959" i="3"/>
  <c r="AC958" i="3"/>
  <c r="AC957" i="3"/>
  <c r="AC956" i="3"/>
  <c r="AC955" i="3"/>
  <c r="AC954" i="3"/>
  <c r="AC953" i="3"/>
  <c r="AC952" i="3"/>
  <c r="AC951" i="3"/>
  <c r="AC950" i="3"/>
  <c r="AC949" i="3"/>
  <c r="AC948" i="3"/>
  <c r="AC947" i="3"/>
  <c r="AC946" i="3"/>
  <c r="AC945" i="3"/>
  <c r="AC944" i="3"/>
  <c r="AC943" i="3"/>
  <c r="AC942" i="3"/>
  <c r="AC941" i="3"/>
  <c r="AC940" i="3"/>
  <c r="AC939" i="3"/>
  <c r="AC938" i="3"/>
  <c r="AC937" i="3"/>
  <c r="AC936" i="3"/>
  <c r="AC935" i="3"/>
  <c r="AC934" i="3"/>
  <c r="AC933" i="3"/>
  <c r="AC932" i="3"/>
  <c r="AC931" i="3"/>
  <c r="AC930" i="3"/>
  <c r="AC929" i="3"/>
  <c r="AC928" i="3"/>
  <c r="AC927" i="3"/>
  <c r="AC926" i="3"/>
  <c r="AC925" i="3"/>
  <c r="AC924" i="3"/>
  <c r="AC923" i="3"/>
  <c r="AC922" i="3"/>
  <c r="AC921" i="3"/>
  <c r="AC920" i="3"/>
  <c r="AC919" i="3"/>
  <c r="AC918" i="3"/>
  <c r="AC917" i="3"/>
  <c r="AC916" i="3"/>
  <c r="AC915" i="3"/>
  <c r="AC914" i="3"/>
  <c r="AC913" i="3"/>
  <c r="AC912" i="3"/>
  <c r="AC911" i="3"/>
  <c r="AC910" i="3"/>
  <c r="AC909" i="3"/>
  <c r="AC908" i="3"/>
  <c r="AC907" i="3"/>
  <c r="AC906" i="3"/>
  <c r="AC905" i="3"/>
  <c r="AC904" i="3"/>
  <c r="AC903" i="3"/>
  <c r="AC902" i="3"/>
  <c r="AC901" i="3"/>
  <c r="AC900" i="3"/>
  <c r="AC899" i="3"/>
  <c r="AC898" i="3"/>
  <c r="AC897" i="3"/>
  <c r="AC896" i="3"/>
  <c r="AC895" i="3"/>
  <c r="AC894" i="3"/>
  <c r="AC893" i="3"/>
  <c r="AC892" i="3"/>
  <c r="AC891" i="3"/>
  <c r="AC890" i="3"/>
  <c r="AC889" i="3"/>
  <c r="AC888" i="3"/>
  <c r="AC887" i="3"/>
  <c r="AC886" i="3"/>
  <c r="AC885" i="3"/>
  <c r="AC884" i="3"/>
  <c r="AC883" i="3"/>
  <c r="AC882" i="3"/>
  <c r="AC881" i="3"/>
  <c r="AC880" i="3"/>
  <c r="AC879" i="3"/>
  <c r="AC878" i="3"/>
  <c r="AC877" i="3"/>
  <c r="AC876" i="3"/>
  <c r="AC875" i="3"/>
  <c r="AC874" i="3"/>
  <c r="AC873" i="3"/>
  <c r="AC872" i="3"/>
  <c r="AC871" i="3"/>
  <c r="AC870" i="3"/>
  <c r="AC869" i="3"/>
  <c r="AC868" i="3"/>
  <c r="AC867" i="3"/>
  <c r="AC866" i="3"/>
  <c r="AC865" i="3"/>
  <c r="AC864" i="3"/>
  <c r="AC863" i="3"/>
  <c r="AC862" i="3"/>
  <c r="AC861" i="3"/>
  <c r="AC860" i="3"/>
  <c r="AC859" i="3"/>
  <c r="AC858" i="3"/>
  <c r="AC857" i="3"/>
  <c r="AC856" i="3"/>
  <c r="AC855" i="3"/>
  <c r="AC854" i="3"/>
  <c r="AC853" i="3"/>
  <c r="AC852" i="3"/>
  <c r="AC851" i="3"/>
  <c r="AC850" i="3"/>
  <c r="AC849" i="3"/>
  <c r="AC848" i="3"/>
  <c r="AC847" i="3"/>
  <c r="AC846" i="3"/>
  <c r="AC845" i="3"/>
  <c r="AC844" i="3"/>
  <c r="AC843" i="3"/>
  <c r="AC842" i="3"/>
  <c r="AC841" i="3"/>
  <c r="AC840" i="3"/>
  <c r="AC839" i="3"/>
  <c r="AC838" i="3"/>
  <c r="AC837" i="3"/>
  <c r="AC836" i="3"/>
  <c r="AC835" i="3"/>
  <c r="AC834" i="3"/>
  <c r="AC833" i="3"/>
  <c r="AC832" i="3"/>
  <c r="AC831" i="3"/>
  <c r="AC830" i="3"/>
  <c r="AC829" i="3"/>
  <c r="AC828" i="3"/>
  <c r="AC827" i="3"/>
  <c r="AC826" i="3"/>
  <c r="AC825" i="3"/>
  <c r="AC824" i="3"/>
  <c r="AC823" i="3"/>
  <c r="AC822" i="3"/>
  <c r="AC821" i="3"/>
  <c r="AC820" i="3"/>
  <c r="AC819" i="3"/>
  <c r="AC818" i="3"/>
  <c r="AC817" i="3"/>
  <c r="AC816" i="3"/>
  <c r="AC815" i="3"/>
  <c r="AC814" i="3"/>
  <c r="AC813" i="3"/>
  <c r="AC812" i="3"/>
  <c r="AC811" i="3"/>
  <c r="AC810" i="3"/>
  <c r="AC809" i="3"/>
  <c r="AC808" i="3"/>
  <c r="AC807" i="3"/>
  <c r="AC806" i="3"/>
  <c r="AC805" i="3"/>
  <c r="AC804" i="3"/>
  <c r="AC803" i="3"/>
  <c r="AC802" i="3"/>
  <c r="AC801" i="3"/>
  <c r="AC800" i="3"/>
  <c r="AC799" i="3"/>
  <c r="AC798" i="3"/>
  <c r="AC797" i="3"/>
  <c r="AC796" i="3"/>
  <c r="AC795" i="3"/>
  <c r="AC794" i="3"/>
  <c r="AC793" i="3"/>
  <c r="AC792" i="3"/>
  <c r="AC791" i="3"/>
  <c r="AC790" i="3"/>
  <c r="AC789" i="3"/>
  <c r="AC788" i="3"/>
  <c r="AC787" i="3"/>
  <c r="AC786" i="3"/>
  <c r="AC785" i="3"/>
  <c r="AC784" i="3"/>
  <c r="AC783" i="3"/>
  <c r="AC782" i="3"/>
  <c r="AC781" i="3"/>
  <c r="AC780" i="3"/>
  <c r="AC779" i="3"/>
  <c r="AC778" i="3"/>
  <c r="AC777" i="3"/>
  <c r="AC776" i="3"/>
  <c r="AC775" i="3"/>
  <c r="AC774" i="3"/>
  <c r="AC773" i="3"/>
  <c r="AC772" i="3"/>
  <c r="AC771" i="3"/>
  <c r="AC770" i="3"/>
  <c r="AC769" i="3"/>
  <c r="AC768" i="3"/>
  <c r="AC767" i="3"/>
  <c r="AC766" i="3"/>
  <c r="AC765" i="3"/>
  <c r="AC764" i="3"/>
  <c r="AC763" i="3"/>
  <c r="AC762" i="3"/>
  <c r="AC761" i="3"/>
  <c r="AC760" i="3"/>
  <c r="AC759" i="3"/>
  <c r="AC758" i="3"/>
  <c r="AC757" i="3"/>
  <c r="AC756" i="3"/>
  <c r="AC755" i="3"/>
  <c r="AC754" i="3"/>
  <c r="AC753" i="3"/>
  <c r="AC752" i="3"/>
  <c r="AC751" i="3"/>
  <c r="AC750" i="3"/>
  <c r="AC749" i="3"/>
  <c r="AC748" i="3"/>
  <c r="AC747" i="3"/>
  <c r="AC746" i="3"/>
  <c r="AC745" i="3"/>
  <c r="AC744" i="3"/>
  <c r="AC743" i="3"/>
  <c r="AC742" i="3"/>
  <c r="AC741" i="3"/>
  <c r="AC740" i="3"/>
  <c r="AC739" i="3"/>
  <c r="AC738" i="3"/>
  <c r="AC737" i="3"/>
  <c r="AC736" i="3"/>
  <c r="AC735" i="3"/>
  <c r="AC734" i="3"/>
  <c r="AC733" i="3"/>
  <c r="AC732" i="3"/>
  <c r="AC731" i="3"/>
  <c r="AC730" i="3"/>
  <c r="AC729" i="3"/>
  <c r="AC728" i="3"/>
  <c r="AC727" i="3"/>
  <c r="AC726" i="3"/>
  <c r="AC725" i="3"/>
  <c r="AC724" i="3"/>
  <c r="AC723" i="3"/>
  <c r="AC722" i="3"/>
  <c r="AC721" i="3"/>
  <c r="AC720" i="3"/>
  <c r="AC719" i="3"/>
  <c r="AC718" i="3"/>
  <c r="AC717" i="3"/>
  <c r="AC716" i="3"/>
  <c r="AC715" i="3"/>
  <c r="AC714" i="3"/>
  <c r="AC713" i="3"/>
  <c r="AC712" i="3"/>
  <c r="AC711" i="3"/>
  <c r="AC710" i="3"/>
  <c r="AC709" i="3"/>
  <c r="AC708" i="3"/>
  <c r="AC707" i="3"/>
  <c r="AC706" i="3"/>
  <c r="AC705" i="3"/>
  <c r="AC704" i="3"/>
  <c r="AC703" i="3"/>
  <c r="AC702" i="3"/>
  <c r="AC701" i="3"/>
  <c r="AC700" i="3"/>
  <c r="AC699" i="3"/>
  <c r="AC698" i="3"/>
  <c r="AC697" i="3"/>
  <c r="AC696" i="3"/>
  <c r="AC695" i="3"/>
  <c r="AC694" i="3"/>
  <c r="AC693" i="3"/>
  <c r="AC692" i="3"/>
  <c r="AC691" i="3"/>
  <c r="AC690" i="3"/>
  <c r="AC689" i="3"/>
  <c r="AC688" i="3"/>
  <c r="AC687" i="3"/>
  <c r="AC686" i="3"/>
  <c r="AC685" i="3"/>
  <c r="AC684" i="3"/>
  <c r="AC683" i="3"/>
  <c r="AC682" i="3"/>
  <c r="AC681" i="3"/>
  <c r="AC680" i="3"/>
  <c r="AC679" i="3"/>
  <c r="AC678" i="3"/>
  <c r="AC677" i="3"/>
  <c r="AC676" i="3"/>
  <c r="AC675" i="3"/>
  <c r="AC674" i="3"/>
  <c r="AC673" i="3"/>
  <c r="AC672" i="3"/>
  <c r="AC671" i="3"/>
  <c r="AC670" i="3"/>
  <c r="AC669" i="3"/>
  <c r="AC668" i="3"/>
  <c r="AC667" i="3"/>
  <c r="AC666" i="3"/>
  <c r="AC665" i="3"/>
  <c r="AC664" i="3"/>
  <c r="AC663" i="3"/>
  <c r="AC662" i="3"/>
  <c r="AC661" i="3"/>
  <c r="AC660" i="3"/>
  <c r="AC659" i="3"/>
  <c r="AC658" i="3"/>
  <c r="AC657" i="3"/>
  <c r="AC656" i="3"/>
  <c r="AC655" i="3"/>
  <c r="AC654" i="3"/>
  <c r="AC653" i="3"/>
  <c r="AC652" i="3"/>
  <c r="AC651" i="3"/>
  <c r="AC650" i="3"/>
  <c r="AC649" i="3"/>
  <c r="AC648" i="3"/>
  <c r="AC647" i="3"/>
  <c r="AC646" i="3"/>
  <c r="AC645" i="3"/>
  <c r="AC644" i="3"/>
  <c r="AC643" i="3"/>
  <c r="AC642" i="3"/>
  <c r="AC641" i="3"/>
  <c r="AC640" i="3"/>
  <c r="AC639" i="3"/>
  <c r="AC638" i="3"/>
  <c r="AC637" i="3"/>
  <c r="AC636" i="3"/>
  <c r="AC635" i="3"/>
  <c r="AC634" i="3"/>
  <c r="AC633" i="3"/>
  <c r="AC632" i="3"/>
  <c r="AC631" i="3"/>
  <c r="AC630" i="3"/>
  <c r="AC629" i="3"/>
  <c r="AC628" i="3"/>
  <c r="AC627" i="3"/>
  <c r="AC626" i="3"/>
  <c r="AC625" i="3"/>
  <c r="AC624" i="3"/>
  <c r="AC623" i="3"/>
  <c r="AC622" i="3"/>
  <c r="AC621" i="3"/>
  <c r="AC620" i="3"/>
  <c r="AC619" i="3"/>
  <c r="AC618" i="3"/>
  <c r="AC617" i="3"/>
  <c r="AC616" i="3"/>
  <c r="AC615" i="3"/>
  <c r="AC614" i="3"/>
  <c r="AC613" i="3"/>
  <c r="AC612" i="3"/>
  <c r="AC611" i="3"/>
  <c r="AC610" i="3"/>
  <c r="AC609" i="3"/>
  <c r="AC608" i="3"/>
  <c r="AC607" i="3"/>
  <c r="AC606" i="3"/>
  <c r="AC605" i="3"/>
  <c r="AC604" i="3"/>
  <c r="AC603" i="3"/>
  <c r="AC602" i="3"/>
  <c r="AC601" i="3"/>
  <c r="AC600" i="3"/>
  <c r="AC599" i="3"/>
  <c r="AC598" i="3"/>
  <c r="AC597" i="3"/>
  <c r="AC596" i="3"/>
  <c r="AC595" i="3"/>
  <c r="AC594" i="3"/>
  <c r="AC593" i="3"/>
  <c r="AC592" i="3"/>
  <c r="AC591" i="3"/>
  <c r="AC590" i="3"/>
  <c r="AC589" i="3"/>
  <c r="AC588" i="3"/>
  <c r="AC587" i="3"/>
  <c r="AC586" i="3"/>
  <c r="AC585" i="3"/>
  <c r="AC584" i="3"/>
  <c r="AC583" i="3"/>
  <c r="AC582" i="3"/>
  <c r="AC581" i="3"/>
  <c r="AC580" i="3"/>
  <c r="AC579" i="3"/>
  <c r="AC578" i="3"/>
  <c r="AC577" i="3"/>
  <c r="AC576" i="3"/>
  <c r="AC575" i="3"/>
  <c r="AC574" i="3"/>
  <c r="AC573" i="3"/>
  <c r="AC572" i="3"/>
  <c r="AC571" i="3"/>
  <c r="AC570" i="3"/>
  <c r="AC569" i="3"/>
  <c r="AC568" i="3"/>
  <c r="AC567" i="3"/>
  <c r="AC566" i="3"/>
  <c r="AC565" i="3"/>
  <c r="AC564" i="3"/>
  <c r="AC563" i="3"/>
  <c r="AC562" i="3"/>
  <c r="AC561" i="3"/>
  <c r="AC560" i="3"/>
  <c r="AC559" i="3"/>
  <c r="AC558" i="3"/>
  <c r="AC557" i="3"/>
  <c r="AC556" i="3"/>
  <c r="AC555" i="3"/>
  <c r="AC554" i="3"/>
  <c r="AC553" i="3"/>
  <c r="AC552" i="3"/>
  <c r="AC551" i="3"/>
  <c r="AC550" i="3"/>
  <c r="AC549" i="3"/>
  <c r="AC548" i="3"/>
  <c r="AC547" i="3"/>
  <c r="AC546" i="3"/>
  <c r="AC545" i="3"/>
  <c r="AC544" i="3"/>
  <c r="AC543" i="3"/>
  <c r="AC542" i="3"/>
  <c r="AC541" i="3"/>
  <c r="AC540" i="3"/>
  <c r="AC539" i="3"/>
  <c r="AC538" i="3"/>
  <c r="AC537" i="3"/>
  <c r="AC536" i="3"/>
  <c r="AC535" i="3"/>
  <c r="AC534" i="3"/>
  <c r="AC533" i="3"/>
  <c r="AC532" i="3"/>
  <c r="AC531" i="3"/>
  <c r="AC530" i="3"/>
  <c r="AC529" i="3"/>
  <c r="AC528" i="3"/>
  <c r="AC527" i="3"/>
  <c r="AC526" i="3"/>
  <c r="AC525" i="3"/>
  <c r="AC524" i="3"/>
  <c r="AC523" i="3"/>
  <c r="AC522" i="3"/>
  <c r="AC521" i="3"/>
  <c r="AC520" i="3"/>
  <c r="AC519" i="3"/>
  <c r="AC518" i="3"/>
  <c r="AC517" i="3"/>
  <c r="AC516" i="3"/>
  <c r="AC515" i="3"/>
  <c r="AC514" i="3"/>
  <c r="AC513" i="3"/>
  <c r="AC512" i="3"/>
  <c r="AC511" i="3"/>
  <c r="AC510" i="3"/>
  <c r="AC509" i="3"/>
  <c r="AC508" i="3"/>
  <c r="AC507" i="3"/>
  <c r="AC506" i="3"/>
  <c r="AC505" i="3"/>
  <c r="AC504" i="3"/>
  <c r="AC503" i="3"/>
  <c r="AC502" i="3"/>
  <c r="AC501" i="3"/>
  <c r="AC500" i="3"/>
  <c r="AC499" i="3"/>
  <c r="AC498" i="3"/>
  <c r="AC497" i="3"/>
  <c r="AC496" i="3"/>
  <c r="AC495" i="3"/>
  <c r="AC494" i="3"/>
  <c r="AC493" i="3"/>
  <c r="AC492" i="3"/>
  <c r="AC491" i="3"/>
  <c r="AC490" i="3"/>
  <c r="AC489" i="3"/>
  <c r="AC488" i="3"/>
  <c r="AC487" i="3"/>
  <c r="AC486" i="3"/>
  <c r="AC485" i="3"/>
  <c r="AC484" i="3"/>
  <c r="AC483" i="3"/>
  <c r="AC482" i="3"/>
  <c r="AC481" i="3"/>
  <c r="AC480" i="3"/>
  <c r="AC479" i="3"/>
  <c r="AC478" i="3"/>
  <c r="AC477" i="3"/>
  <c r="AC476" i="3"/>
  <c r="AC475" i="3"/>
  <c r="AC474" i="3"/>
  <c r="AC473" i="3"/>
  <c r="AC472" i="3"/>
  <c r="AC471" i="3"/>
  <c r="AC470" i="3"/>
  <c r="AC469" i="3"/>
  <c r="AC468" i="3"/>
  <c r="AC467" i="3"/>
  <c r="AC466" i="3"/>
  <c r="AC465" i="3"/>
  <c r="AC464" i="3"/>
  <c r="AC463" i="3"/>
  <c r="AC462" i="3"/>
  <c r="AC461" i="3"/>
  <c r="AC460" i="3"/>
  <c r="AC459" i="3"/>
  <c r="AC458" i="3"/>
  <c r="AC457" i="3"/>
  <c r="AC456" i="3"/>
  <c r="AC455" i="3"/>
  <c r="AC454" i="3"/>
  <c r="AC453" i="3"/>
  <c r="AC452" i="3"/>
  <c r="AC451" i="3"/>
  <c r="AC450" i="3"/>
  <c r="AC449" i="3"/>
  <c r="AC448" i="3"/>
  <c r="AC447" i="3"/>
  <c r="AC446" i="3"/>
  <c r="AC445" i="3"/>
  <c r="AC444" i="3"/>
  <c r="AC443" i="3"/>
  <c r="AC442" i="3"/>
  <c r="AC441" i="3"/>
  <c r="AC440" i="3"/>
  <c r="AC439" i="3"/>
  <c r="AC438" i="3"/>
  <c r="AC437" i="3"/>
  <c r="AC436" i="3"/>
  <c r="AC435" i="3"/>
  <c r="AC434" i="3"/>
  <c r="AC433" i="3"/>
  <c r="AC432" i="3"/>
  <c r="AC431" i="3"/>
  <c r="AC430" i="3"/>
  <c r="AC429" i="3"/>
  <c r="AC428" i="3"/>
  <c r="AC427" i="3"/>
  <c r="AC426" i="3"/>
  <c r="AC425" i="3"/>
  <c r="AC424" i="3"/>
  <c r="AC423" i="3"/>
  <c r="AC422" i="3"/>
  <c r="AC421" i="3"/>
  <c r="AC420" i="3"/>
  <c r="AC419" i="3"/>
  <c r="AC418" i="3"/>
  <c r="AC417" i="3"/>
  <c r="AC416" i="3"/>
  <c r="AC415" i="3"/>
  <c r="AC414" i="3"/>
  <c r="AC413" i="3"/>
  <c r="AC412" i="3"/>
  <c r="AC411" i="3"/>
  <c r="AC410" i="3"/>
  <c r="AC409" i="3"/>
  <c r="AC408" i="3"/>
  <c r="AC407" i="3"/>
  <c r="AC406" i="3"/>
  <c r="AC405" i="3"/>
  <c r="AC404" i="3"/>
  <c r="AC403" i="3"/>
  <c r="AC402" i="3"/>
  <c r="AC401" i="3"/>
  <c r="AC400" i="3"/>
  <c r="AC399" i="3"/>
  <c r="AC398" i="3"/>
  <c r="AC397" i="3"/>
  <c r="AC396" i="3"/>
  <c r="AC395" i="3"/>
  <c r="AC394" i="3"/>
  <c r="AC393" i="3"/>
  <c r="AC392" i="3"/>
  <c r="AC391" i="3"/>
  <c r="AC390" i="3"/>
  <c r="AC389" i="3"/>
  <c r="AC388" i="3"/>
  <c r="AC387" i="3"/>
  <c r="AC386" i="3"/>
  <c r="AC385" i="3"/>
  <c r="AC384" i="3"/>
  <c r="AC383" i="3"/>
  <c r="AC382" i="3"/>
  <c r="AC381" i="3"/>
  <c r="AC380" i="3"/>
  <c r="AC379" i="3"/>
  <c r="AC378" i="3"/>
  <c r="AC377" i="3"/>
  <c r="AC376" i="3"/>
  <c r="AC375" i="3"/>
  <c r="AC374" i="3"/>
  <c r="AC373" i="3"/>
  <c r="AC372" i="3"/>
  <c r="AC371" i="3"/>
  <c r="AC370" i="3"/>
  <c r="AC369" i="3"/>
  <c r="AC368" i="3"/>
  <c r="AC367" i="3"/>
  <c r="AC366" i="3"/>
  <c r="AC365" i="3"/>
  <c r="AC364" i="3"/>
  <c r="AC363" i="3"/>
  <c r="AC362" i="3"/>
  <c r="AC361" i="3"/>
  <c r="AC360" i="3"/>
  <c r="AC359" i="3"/>
  <c r="AC358" i="3"/>
  <c r="AC357" i="3"/>
  <c r="AC356" i="3"/>
  <c r="AC355" i="3"/>
  <c r="AC354" i="3"/>
  <c r="AC353" i="3"/>
  <c r="AC352" i="3"/>
  <c r="AC351" i="3"/>
  <c r="AC350" i="3"/>
  <c r="AC349" i="3"/>
  <c r="AC348" i="3"/>
  <c r="AC347" i="3"/>
  <c r="AC346" i="3"/>
  <c r="AC345" i="3"/>
  <c r="AC344" i="3"/>
  <c r="AC343" i="3"/>
  <c r="AC342" i="3"/>
  <c r="AC341" i="3"/>
  <c r="AC340" i="3"/>
  <c r="AC339" i="3"/>
  <c r="AC338" i="3"/>
  <c r="AC337" i="3"/>
  <c r="AC336" i="3"/>
  <c r="AC335" i="3"/>
  <c r="AC334" i="3"/>
  <c r="AC333" i="3"/>
  <c r="AC332" i="3"/>
  <c r="AC331" i="3"/>
  <c r="AC330" i="3"/>
  <c r="AC329" i="3"/>
  <c r="AC328" i="3"/>
  <c r="AC327" i="3"/>
  <c r="AC326" i="3"/>
  <c r="AC325" i="3"/>
  <c r="AC324" i="3"/>
  <c r="AC323" i="3"/>
  <c r="AC322" i="3"/>
  <c r="AC321" i="3"/>
  <c r="AC320" i="3"/>
  <c r="AC319" i="3"/>
  <c r="AC318" i="3"/>
  <c r="AC317" i="3"/>
  <c r="AC316" i="3"/>
  <c r="AC315" i="3"/>
  <c r="AC314" i="3"/>
  <c r="AC313" i="3"/>
  <c r="AC312" i="3"/>
  <c r="AC311" i="3"/>
  <c r="AC310" i="3"/>
  <c r="AC309" i="3"/>
  <c r="AC308" i="3"/>
  <c r="AC307" i="3"/>
  <c r="AC306" i="3"/>
  <c r="AC305" i="3"/>
  <c r="AC304" i="3"/>
  <c r="AC303" i="3"/>
  <c r="AC302" i="3"/>
  <c r="AC301" i="3"/>
  <c r="AC300" i="3"/>
  <c r="AC299" i="3"/>
  <c r="AC298" i="3"/>
  <c r="AC297" i="3"/>
  <c r="AC296" i="3"/>
  <c r="AC295" i="3"/>
  <c r="AC294" i="3"/>
  <c r="AC293" i="3"/>
  <c r="AC292" i="3"/>
  <c r="AC291" i="3"/>
  <c r="AC290" i="3"/>
  <c r="AC289" i="3"/>
  <c r="AC288" i="3"/>
  <c r="AC287" i="3"/>
  <c r="AC286" i="3"/>
  <c r="AC285" i="3"/>
  <c r="AC284" i="3"/>
  <c r="AC283" i="3"/>
  <c r="AC282" i="3"/>
  <c r="AC281" i="3"/>
  <c r="AC280" i="3"/>
  <c r="AC279" i="3"/>
  <c r="AC278" i="3"/>
  <c r="AC277" i="3"/>
  <c r="AC276" i="3"/>
  <c r="AC275" i="3"/>
  <c r="AC274" i="3"/>
  <c r="AC273" i="3"/>
  <c r="AC272" i="3"/>
  <c r="AC271" i="3"/>
  <c r="AC270" i="3"/>
  <c r="AC269" i="3"/>
  <c r="AC268" i="3"/>
  <c r="AC267" i="3"/>
  <c r="AC266" i="3"/>
  <c r="AC265" i="3"/>
  <c r="AC264" i="3"/>
  <c r="AC263" i="3"/>
  <c r="AC262" i="3"/>
  <c r="AC261" i="3"/>
  <c r="AC260" i="3"/>
  <c r="AC259" i="3"/>
  <c r="AC258" i="3"/>
  <c r="AC257" i="3"/>
  <c r="AC256" i="3"/>
  <c r="AC255" i="3"/>
  <c r="AC254" i="3"/>
  <c r="AC253" i="3"/>
  <c r="AC252" i="3"/>
  <c r="AC251" i="3"/>
  <c r="AC250" i="3"/>
  <c r="AC249" i="3"/>
  <c r="AC248" i="3"/>
  <c r="AC247" i="3"/>
  <c r="AC246" i="3"/>
  <c r="AC245" i="3"/>
  <c r="AC244" i="3"/>
  <c r="AC243" i="3"/>
  <c r="AC242" i="3"/>
  <c r="AC241" i="3"/>
  <c r="AC240" i="3"/>
  <c r="AC239" i="3"/>
  <c r="AC238" i="3"/>
  <c r="AC237" i="3"/>
  <c r="AC236" i="3"/>
  <c r="AC235" i="3"/>
  <c r="AC234" i="3"/>
  <c r="AC233" i="3"/>
  <c r="AC232" i="3"/>
  <c r="AC231" i="3"/>
  <c r="AC230" i="3"/>
  <c r="AC229" i="3"/>
  <c r="AC228" i="3"/>
  <c r="AC227" i="3"/>
  <c r="AC226" i="3"/>
  <c r="AC225" i="3"/>
  <c r="AC224" i="3"/>
  <c r="AC223" i="3"/>
  <c r="AC222" i="3"/>
  <c r="AC221" i="3"/>
  <c r="AC220" i="3"/>
  <c r="AC219" i="3"/>
  <c r="AC218" i="3"/>
  <c r="AC217" i="3"/>
  <c r="AC216" i="3"/>
  <c r="AC215" i="3"/>
  <c r="AC214" i="3"/>
  <c r="AC213" i="3"/>
  <c r="AC212" i="3"/>
  <c r="AC211" i="3"/>
  <c r="AC210" i="3"/>
  <c r="AC209" i="3"/>
  <c r="AC208" i="3"/>
  <c r="AC207" i="3"/>
  <c r="AC206" i="3"/>
  <c r="AC205" i="3"/>
  <c r="AC204" i="3"/>
  <c r="AC203" i="3"/>
  <c r="AC202" i="3"/>
  <c r="AC201" i="3"/>
  <c r="AC200" i="3"/>
  <c r="AC199" i="3"/>
  <c r="AC198" i="3"/>
  <c r="AC197" i="3"/>
  <c r="AC196" i="3"/>
  <c r="AC195" i="3"/>
  <c r="AC194" i="3"/>
  <c r="AC193" i="3"/>
  <c r="AC192" i="3"/>
  <c r="AC191" i="3"/>
  <c r="AC190" i="3"/>
  <c r="AC189" i="3"/>
  <c r="AC188" i="3"/>
  <c r="AC187" i="3"/>
  <c r="AC186" i="3"/>
  <c r="AC185" i="3"/>
  <c r="AC184" i="3"/>
  <c r="AC183" i="3"/>
  <c r="AC182" i="3"/>
  <c r="AC181" i="3"/>
  <c r="AC180" i="3"/>
  <c r="AC179" i="3"/>
  <c r="AC178" i="3"/>
  <c r="AC177" i="3"/>
  <c r="AC176" i="3"/>
  <c r="AC175" i="3"/>
  <c r="AC174" i="3"/>
  <c r="AC173" i="3"/>
  <c r="AC172" i="3"/>
  <c r="AC171" i="3"/>
  <c r="AC170" i="3"/>
  <c r="AC169" i="3"/>
  <c r="AC168" i="3"/>
  <c r="AC167" i="3"/>
  <c r="AC166" i="3"/>
  <c r="AC165" i="3"/>
  <c r="AC164" i="3"/>
  <c r="AC163" i="3"/>
  <c r="AC162" i="3"/>
  <c r="AC161" i="3"/>
  <c r="AC160" i="3"/>
  <c r="AC159" i="3"/>
  <c r="AC158" i="3"/>
  <c r="AC157" i="3"/>
  <c r="AC156" i="3"/>
  <c r="AC155" i="3"/>
  <c r="AC154" i="3"/>
  <c r="AC153" i="3"/>
  <c r="AC152" i="3"/>
  <c r="AC151" i="3"/>
  <c r="AC150" i="3"/>
  <c r="AC149" i="3"/>
  <c r="AC148" i="3"/>
  <c r="AC147" i="3"/>
  <c r="AC146" i="3"/>
  <c r="AC145" i="3"/>
  <c r="AC144" i="3"/>
  <c r="AC143" i="3"/>
  <c r="AC142" i="3"/>
  <c r="AC141" i="3"/>
  <c r="AC140" i="3"/>
  <c r="AC139" i="3"/>
  <c r="AC138" i="3"/>
  <c r="AC137" i="3"/>
  <c r="AC136" i="3"/>
  <c r="AC135" i="3"/>
  <c r="AC134" i="3"/>
  <c r="AC133" i="3"/>
  <c r="AC132" i="3"/>
  <c r="AC131" i="3"/>
  <c r="AC130" i="3"/>
  <c r="AC129" i="3"/>
  <c r="AC128" i="3"/>
  <c r="AC127" i="3"/>
  <c r="AC126" i="3"/>
  <c r="AC125" i="3"/>
  <c r="AC124" i="3"/>
  <c r="AC123" i="3"/>
  <c r="AC122" i="3"/>
  <c r="AC121" i="3"/>
  <c r="AC120" i="3"/>
  <c r="AC119" i="3"/>
  <c r="AC118" i="3"/>
  <c r="AC117" i="3"/>
  <c r="AC116" i="3"/>
  <c r="AC115" i="3"/>
  <c r="AC114" i="3"/>
  <c r="AC113" i="3"/>
  <c r="AC112" i="3"/>
  <c r="AC111" i="3"/>
  <c r="AC110" i="3"/>
  <c r="AC109" i="3"/>
  <c r="AC108" i="3"/>
  <c r="AC107" i="3"/>
  <c r="AC106" i="3"/>
  <c r="AC105" i="3"/>
  <c r="AC104" i="3"/>
  <c r="AC103" i="3"/>
  <c r="AC102" i="3"/>
  <c r="AC101" i="3"/>
  <c r="AC100" i="3"/>
  <c r="AC99" i="3"/>
  <c r="AC98" i="3"/>
  <c r="AC97" i="3"/>
  <c r="AC96" i="3"/>
  <c r="AC95" i="3"/>
  <c r="AC94" i="3"/>
  <c r="AC93" i="3"/>
  <c r="AC92" i="3"/>
  <c r="AC91" i="3"/>
  <c r="AC90" i="3"/>
  <c r="AC89" i="3"/>
  <c r="AC88" i="3"/>
  <c r="AC87" i="3"/>
  <c r="AC86" i="3"/>
  <c r="AC85" i="3"/>
  <c r="AC84" i="3"/>
  <c r="AC83" i="3"/>
  <c r="AC82" i="3"/>
  <c r="AC81" i="3"/>
  <c r="AC80" i="3"/>
  <c r="AC79" i="3"/>
  <c r="AC78" i="3"/>
  <c r="AC77" i="3"/>
  <c r="AC76" i="3"/>
  <c r="AC75" i="3"/>
  <c r="AC74" i="3"/>
  <c r="AC73" i="3"/>
  <c r="AC72" i="3"/>
  <c r="AC71" i="3"/>
  <c r="AC70" i="3"/>
  <c r="AC69" i="3"/>
  <c r="AC68" i="3"/>
  <c r="AC67" i="3"/>
  <c r="AC66" i="3"/>
  <c r="AC65" i="3"/>
  <c r="AC64" i="3"/>
  <c r="AC63" i="3"/>
  <c r="AC62" i="3"/>
  <c r="AC61" i="3"/>
  <c r="AC60" i="3"/>
  <c r="AC59" i="3"/>
  <c r="AC58" i="3"/>
  <c r="AC57" i="3"/>
  <c r="AC56" i="3"/>
  <c r="AC55" i="3"/>
  <c r="AC54" i="3"/>
  <c r="AC53" i="3"/>
  <c r="AC52" i="3"/>
  <c r="AC51" i="3"/>
  <c r="AC50" i="3"/>
  <c r="AC49" i="3"/>
  <c r="AC48" i="3"/>
  <c r="AC47" i="3"/>
  <c r="AC46" i="3"/>
  <c r="AC45" i="3"/>
  <c r="AC44" i="3"/>
  <c r="AC43" i="3"/>
  <c r="AC42" i="3"/>
  <c r="AC41" i="3"/>
  <c r="AC40" i="3"/>
  <c r="AC39" i="3"/>
  <c r="AC38" i="3"/>
  <c r="AC37" i="3"/>
  <c r="AC36" i="3"/>
  <c r="AC35" i="3"/>
  <c r="AC34" i="3"/>
  <c r="AC33" i="3"/>
  <c r="AC32" i="3"/>
  <c r="AC31" i="3"/>
  <c r="AC30" i="3"/>
  <c r="AC29" i="3"/>
  <c r="AC28" i="3"/>
  <c r="AC27" i="3"/>
  <c r="AC26" i="3"/>
  <c r="AC25" i="3"/>
  <c r="AC24" i="3"/>
  <c r="AC23" i="3"/>
  <c r="AC22" i="3"/>
  <c r="AC21" i="3"/>
  <c r="AC20" i="3"/>
  <c r="AC19" i="3"/>
  <c r="AC18" i="3"/>
  <c r="AC17" i="3"/>
  <c r="AC16" i="3"/>
  <c r="AC15" i="3"/>
  <c r="AC14" i="3"/>
  <c r="AC13" i="3"/>
  <c r="AC12" i="3"/>
  <c r="AC11" i="3"/>
  <c r="AC10" i="3"/>
  <c r="AC9" i="3"/>
  <c r="AC8" i="3"/>
  <c r="AC7" i="3"/>
  <c r="AC6" i="3"/>
  <c r="AC5" i="3"/>
  <c r="AC4" i="3"/>
  <c r="AC3" i="3"/>
  <c r="AC2" i="3"/>
  <c r="AC5071" i="2"/>
  <c r="AC5070" i="2"/>
  <c r="AC5069" i="2"/>
  <c r="AC5068" i="2"/>
  <c r="AC5067" i="2"/>
  <c r="AC5066" i="2"/>
  <c r="AC5065" i="2"/>
  <c r="AC5064" i="2"/>
  <c r="AC5063" i="2"/>
  <c r="AC5062" i="2"/>
  <c r="AC5061" i="2"/>
  <c r="AC5060" i="2"/>
  <c r="AC5059" i="2"/>
  <c r="AC5058" i="2"/>
  <c r="AC5057" i="2"/>
  <c r="AC5056" i="2"/>
  <c r="AC5055" i="2"/>
  <c r="AC5054" i="2"/>
  <c r="AC5053" i="2"/>
  <c r="AC5052" i="2"/>
  <c r="AC5051" i="2"/>
  <c r="AC5050" i="2"/>
  <c r="AC5049" i="2"/>
  <c r="AC5048" i="2"/>
  <c r="AC5047" i="2"/>
  <c r="AC5046" i="2"/>
  <c r="AC5045" i="2"/>
  <c r="AC5044" i="2"/>
  <c r="AC5043" i="2"/>
  <c r="AC5042" i="2"/>
  <c r="AC5041" i="2"/>
  <c r="AC5040" i="2"/>
  <c r="AC5039" i="2"/>
  <c r="AC5038" i="2"/>
  <c r="AC5037" i="2"/>
  <c r="AC5036" i="2"/>
  <c r="AC5035" i="2"/>
  <c r="AC5034" i="2"/>
  <c r="AC5033" i="2"/>
  <c r="AC5032" i="2"/>
  <c r="AC5031" i="2"/>
  <c r="AC5030" i="2"/>
  <c r="AC5029" i="2"/>
  <c r="AC5028" i="2"/>
  <c r="AC5027" i="2"/>
  <c r="AC5026" i="2"/>
  <c r="AC5025" i="2"/>
  <c r="AC5024" i="2"/>
  <c r="AC5023" i="2"/>
  <c r="AC5022" i="2"/>
  <c r="AC5021" i="2"/>
  <c r="AC5020" i="2"/>
  <c r="AC5019" i="2"/>
  <c r="AC5018" i="2"/>
  <c r="AC5017" i="2"/>
  <c r="AC5016" i="2"/>
  <c r="AC5015" i="2"/>
  <c r="AC5014" i="2"/>
  <c r="AC5013" i="2"/>
  <c r="AC5012" i="2"/>
  <c r="AC5011" i="2"/>
  <c r="AC5010" i="2"/>
  <c r="AC5009" i="2"/>
  <c r="AC5008" i="2"/>
  <c r="AC5007" i="2"/>
  <c r="AC5006" i="2"/>
  <c r="AC5005" i="2"/>
  <c r="AC5004" i="2"/>
  <c r="AC5003" i="2"/>
  <c r="AC5002" i="2"/>
  <c r="AC5001" i="2"/>
  <c r="AC5000" i="2"/>
  <c r="AC4999" i="2"/>
  <c r="AC4998" i="2"/>
  <c r="AC4997" i="2"/>
  <c r="AC4996" i="2"/>
  <c r="AC4995" i="2"/>
  <c r="AC4994" i="2"/>
  <c r="AC4993" i="2"/>
  <c r="AC4992" i="2"/>
  <c r="AC4991" i="2"/>
  <c r="AC4990" i="2"/>
  <c r="AC4989" i="2"/>
  <c r="AC4988" i="2"/>
  <c r="AC4987" i="2"/>
  <c r="AC4986" i="2"/>
  <c r="AC4985" i="2"/>
  <c r="AC4984" i="2"/>
  <c r="AC4983" i="2"/>
  <c r="AC4982" i="2"/>
  <c r="AC4981" i="2"/>
  <c r="AC4980" i="2"/>
  <c r="AC4979" i="2"/>
  <c r="AC4978" i="2"/>
  <c r="AC4977" i="2"/>
  <c r="AC4976" i="2"/>
  <c r="AC4975" i="2"/>
  <c r="AC4974" i="2"/>
  <c r="AC4973" i="2"/>
  <c r="AC4972" i="2"/>
  <c r="AC4971" i="2"/>
  <c r="AC4970" i="2"/>
  <c r="AC4969" i="2"/>
  <c r="AC4968" i="2"/>
  <c r="AC4967" i="2"/>
  <c r="AC4966" i="2"/>
  <c r="AC4965" i="2"/>
  <c r="AC4964" i="2"/>
  <c r="AC4963" i="2"/>
  <c r="AC4962" i="2"/>
  <c r="AC4961" i="2"/>
  <c r="AC4960" i="2"/>
  <c r="AC4959" i="2"/>
  <c r="AC4958" i="2"/>
  <c r="AC4957" i="2"/>
  <c r="AC4956" i="2"/>
  <c r="AC4955" i="2"/>
  <c r="AC4954" i="2"/>
  <c r="AC4953" i="2"/>
  <c r="AC4952" i="2"/>
  <c r="AC4951" i="2"/>
  <c r="AC4950" i="2"/>
  <c r="AC4949" i="2"/>
  <c r="AC4948" i="2"/>
  <c r="AC4947" i="2"/>
  <c r="AC4946" i="2"/>
  <c r="AC4945" i="2"/>
  <c r="AC4944" i="2"/>
  <c r="AC4943" i="2"/>
  <c r="AC4942" i="2"/>
  <c r="AC4941" i="2"/>
  <c r="AC4940" i="2"/>
  <c r="AC4939" i="2"/>
  <c r="AC4938" i="2"/>
  <c r="AC4937" i="2"/>
  <c r="AC4936" i="2"/>
  <c r="AC4935" i="2"/>
  <c r="AC4934" i="2"/>
  <c r="AC4933" i="2"/>
  <c r="AC4932" i="2"/>
  <c r="AC4931" i="2"/>
  <c r="AC4930" i="2"/>
  <c r="AC4929" i="2"/>
  <c r="AC4928" i="2"/>
  <c r="AC4927" i="2"/>
  <c r="AC4926" i="2"/>
  <c r="AC4925" i="2"/>
  <c r="AC4924" i="2"/>
  <c r="AC4923" i="2"/>
  <c r="AC4922" i="2"/>
  <c r="AC4921" i="2"/>
  <c r="AC4920" i="2"/>
  <c r="AC4919" i="2"/>
  <c r="AC4918" i="2"/>
  <c r="AC4917" i="2"/>
  <c r="AC4916" i="2"/>
  <c r="AC4915" i="2"/>
  <c r="AC4914" i="2"/>
  <c r="AC4913" i="2"/>
  <c r="AC4912" i="2"/>
  <c r="AC4911" i="2"/>
  <c r="AC4910" i="2"/>
  <c r="AC4909" i="2"/>
  <c r="AC4908" i="2"/>
  <c r="AC4907" i="2"/>
  <c r="AC4906" i="2"/>
  <c r="AC4905" i="2"/>
  <c r="AC4904" i="2"/>
  <c r="AC4903" i="2"/>
  <c r="AC4902" i="2"/>
  <c r="AC4901" i="2"/>
  <c r="AC4900" i="2"/>
  <c r="AC4899" i="2"/>
  <c r="AC4898" i="2"/>
  <c r="AC4897" i="2"/>
  <c r="AC4896" i="2"/>
  <c r="AC4895" i="2"/>
  <c r="AC4894" i="2"/>
  <c r="AC4893" i="2"/>
  <c r="AC4892" i="2"/>
  <c r="AC4891" i="2"/>
  <c r="AC4890" i="2"/>
  <c r="AC4889" i="2"/>
  <c r="AC4888" i="2"/>
  <c r="AC4887" i="2"/>
  <c r="AC4886" i="2"/>
  <c r="AC4885" i="2"/>
  <c r="AC4884" i="2"/>
  <c r="AC4883" i="2"/>
  <c r="AC4882" i="2"/>
  <c r="AC4881" i="2"/>
  <c r="AC4880" i="2"/>
  <c r="AC4879" i="2"/>
  <c r="AC4878" i="2"/>
  <c r="AC4877" i="2"/>
  <c r="AC4876" i="2"/>
  <c r="AC4875" i="2"/>
  <c r="AC4874" i="2"/>
  <c r="AC4873" i="2"/>
  <c r="AC4872" i="2"/>
  <c r="AC4871" i="2"/>
  <c r="AC4870" i="2"/>
  <c r="AC4869" i="2"/>
  <c r="AC4868" i="2"/>
  <c r="AC4867" i="2"/>
  <c r="AC4866" i="2"/>
  <c r="AC4865" i="2"/>
  <c r="AC4864" i="2"/>
  <c r="AC4863" i="2"/>
  <c r="AC4862" i="2"/>
  <c r="AC4861" i="2"/>
  <c r="AC4860" i="2"/>
  <c r="AC4859" i="2"/>
  <c r="AC4858" i="2"/>
  <c r="AC4857" i="2"/>
  <c r="AC4856" i="2"/>
  <c r="AC4855" i="2"/>
  <c r="AC4854" i="2"/>
  <c r="AC4853" i="2"/>
  <c r="AC4852" i="2"/>
  <c r="AC4851" i="2"/>
  <c r="AC4850" i="2"/>
  <c r="AC4849" i="2"/>
  <c r="AC4848" i="2"/>
  <c r="AC4847" i="2"/>
  <c r="AC4846" i="2"/>
  <c r="AC4845" i="2"/>
  <c r="AC4844" i="2"/>
  <c r="AC4843" i="2"/>
  <c r="AC4842" i="2"/>
  <c r="AC4841" i="2"/>
  <c r="AC4840" i="2"/>
  <c r="AC4839" i="2"/>
  <c r="AC4838" i="2"/>
  <c r="AC4837" i="2"/>
  <c r="AC4836" i="2"/>
  <c r="AC4835" i="2"/>
  <c r="AC4834" i="2"/>
  <c r="AC4833" i="2"/>
  <c r="AC4832" i="2"/>
  <c r="AC4831" i="2"/>
  <c r="AC4830" i="2"/>
  <c r="AC4829" i="2"/>
  <c r="AC4828" i="2"/>
  <c r="AC4827" i="2"/>
  <c r="AC4826" i="2"/>
  <c r="AC4825" i="2"/>
  <c r="AC4824" i="2"/>
  <c r="AC4823" i="2"/>
  <c r="AC4822" i="2"/>
  <c r="AC4821" i="2"/>
  <c r="AC4820" i="2"/>
  <c r="AC4819" i="2"/>
  <c r="AC4818" i="2"/>
  <c r="AC4817" i="2"/>
  <c r="AC4816" i="2"/>
  <c r="AC4815" i="2"/>
  <c r="AC4814" i="2"/>
  <c r="AC4813" i="2"/>
  <c r="AC4812" i="2"/>
  <c r="AC4811" i="2"/>
  <c r="AC4810" i="2"/>
  <c r="AC4809" i="2"/>
  <c r="AC4808" i="2"/>
  <c r="AC4807" i="2"/>
  <c r="AC4806" i="2"/>
  <c r="AC4805" i="2"/>
  <c r="AC4804" i="2"/>
  <c r="AC4803" i="2"/>
  <c r="AC4802" i="2"/>
  <c r="AC4801" i="2"/>
  <c r="AC4800" i="2"/>
  <c r="AC4799" i="2"/>
  <c r="AC4798" i="2"/>
  <c r="AC4797" i="2"/>
  <c r="AC4796" i="2"/>
  <c r="AC4795" i="2"/>
  <c r="AC4794" i="2"/>
  <c r="AC4793" i="2"/>
  <c r="AC4792" i="2"/>
  <c r="AC4791" i="2"/>
  <c r="AC4790" i="2"/>
  <c r="AC4789" i="2"/>
  <c r="AC4788" i="2"/>
  <c r="AC4787" i="2"/>
  <c r="AC4786" i="2"/>
  <c r="AC4785" i="2"/>
  <c r="AC4784" i="2"/>
  <c r="AC4783" i="2"/>
  <c r="AC4782" i="2"/>
  <c r="AC4781" i="2"/>
  <c r="AC4780" i="2"/>
  <c r="AC4779" i="2"/>
  <c r="AC4778" i="2"/>
  <c r="AC4777" i="2"/>
  <c r="AC4776" i="2"/>
  <c r="AC4775" i="2"/>
  <c r="AC4774" i="2"/>
  <c r="AC4773" i="2"/>
  <c r="AC4772" i="2"/>
  <c r="AC4771" i="2"/>
  <c r="AC4770" i="2"/>
  <c r="AC4769" i="2"/>
  <c r="AC4768" i="2"/>
  <c r="AC4767" i="2"/>
  <c r="AC4766" i="2"/>
  <c r="AC4765" i="2"/>
  <c r="AC4764" i="2"/>
  <c r="AC4763" i="2"/>
  <c r="AC4762" i="2"/>
  <c r="AC4761" i="2"/>
  <c r="AC4760" i="2"/>
  <c r="AC4759" i="2"/>
  <c r="AC4758" i="2"/>
  <c r="AC4757" i="2"/>
  <c r="AC4756" i="2"/>
  <c r="AC4755" i="2"/>
  <c r="AC4754" i="2"/>
  <c r="AC4753" i="2"/>
  <c r="AC4752" i="2"/>
  <c r="AC4751" i="2"/>
  <c r="AC4750" i="2"/>
  <c r="AC4749" i="2"/>
  <c r="AC4748" i="2"/>
  <c r="AC4747" i="2"/>
  <c r="AC4746" i="2"/>
  <c r="AC4745" i="2"/>
  <c r="AC4744" i="2"/>
  <c r="AC4743" i="2"/>
  <c r="AC4742" i="2"/>
  <c r="AC4741" i="2"/>
  <c r="AC4740" i="2"/>
  <c r="AC4739" i="2"/>
  <c r="AC4738" i="2"/>
  <c r="AC4737" i="2"/>
  <c r="AC4736" i="2"/>
  <c r="AC4735" i="2"/>
  <c r="AC4734" i="2"/>
  <c r="AC4733" i="2"/>
  <c r="AC4732" i="2"/>
  <c r="AC4731" i="2"/>
  <c r="AC4730" i="2"/>
  <c r="AC4729" i="2"/>
  <c r="AC4728" i="2"/>
  <c r="AC4727" i="2"/>
  <c r="AC4726" i="2"/>
  <c r="AC4725" i="2"/>
  <c r="AC4724" i="2"/>
  <c r="AC4723" i="2"/>
  <c r="AC4722" i="2"/>
  <c r="AC4721" i="2"/>
  <c r="AC4720" i="2"/>
  <c r="AC4719" i="2"/>
  <c r="AC4718" i="2"/>
  <c r="AC4717" i="2"/>
  <c r="AC4716" i="2"/>
  <c r="AC4715" i="2"/>
  <c r="AC4714" i="2"/>
  <c r="AC4713" i="2"/>
  <c r="AC4712" i="2"/>
  <c r="AC4711" i="2"/>
  <c r="AC4710" i="2"/>
  <c r="AC4709" i="2"/>
  <c r="AC4708" i="2"/>
  <c r="AC4707" i="2"/>
  <c r="AC4706" i="2"/>
  <c r="AC4705" i="2"/>
  <c r="AC4704" i="2"/>
  <c r="AC4703" i="2"/>
  <c r="AC4702" i="2"/>
  <c r="AC4701" i="2"/>
  <c r="AC4700" i="2"/>
  <c r="AC4699" i="2"/>
  <c r="AC4698" i="2"/>
  <c r="AC4697" i="2"/>
  <c r="AC4696" i="2"/>
  <c r="AC4695" i="2"/>
  <c r="AC4694" i="2"/>
  <c r="AC4693" i="2"/>
  <c r="AC4692" i="2"/>
  <c r="AC4691" i="2"/>
  <c r="AC4690" i="2"/>
  <c r="AC4689" i="2"/>
  <c r="AC4688" i="2"/>
  <c r="AC4687" i="2"/>
  <c r="AC4686" i="2"/>
  <c r="AC4685" i="2"/>
  <c r="AC4684" i="2"/>
  <c r="AC4683" i="2"/>
  <c r="AC4682" i="2"/>
  <c r="AC4681" i="2"/>
  <c r="AC4680" i="2"/>
  <c r="AC4679" i="2"/>
  <c r="AC4678" i="2"/>
  <c r="AC4677" i="2"/>
  <c r="AC4676" i="2"/>
  <c r="AC4675" i="2"/>
  <c r="AC4674" i="2"/>
  <c r="AC4673" i="2"/>
  <c r="AC4672" i="2"/>
  <c r="AC4671" i="2"/>
  <c r="AC4670" i="2"/>
  <c r="AC4669" i="2"/>
  <c r="AC4668" i="2"/>
  <c r="AC4667" i="2"/>
  <c r="AC4666" i="2"/>
  <c r="AC4665" i="2"/>
  <c r="AC4664" i="2"/>
  <c r="AC4663" i="2"/>
  <c r="AC4662" i="2"/>
  <c r="AC4661" i="2"/>
  <c r="AC4660" i="2"/>
  <c r="AC4659" i="2"/>
  <c r="AC4658" i="2"/>
  <c r="AC4657" i="2"/>
  <c r="AC4656" i="2"/>
  <c r="AC4655" i="2"/>
  <c r="AC4654" i="2"/>
  <c r="AC4653" i="2"/>
  <c r="AC4652" i="2"/>
  <c r="AC4651" i="2"/>
  <c r="AC4650" i="2"/>
  <c r="AC4649" i="2"/>
  <c r="AC4648" i="2"/>
  <c r="AC4647" i="2"/>
  <c r="AC4646" i="2"/>
  <c r="AC4645" i="2"/>
  <c r="AC4644" i="2"/>
  <c r="AC4643" i="2"/>
  <c r="AC4642" i="2"/>
  <c r="AC4641" i="2"/>
  <c r="AC4640" i="2"/>
  <c r="AC4639" i="2"/>
  <c r="AC4638" i="2"/>
  <c r="AC4637" i="2"/>
  <c r="AC4636" i="2"/>
  <c r="AC4635" i="2"/>
  <c r="AC4634" i="2"/>
  <c r="AC4633" i="2"/>
  <c r="AC4632" i="2"/>
  <c r="AC4631" i="2"/>
  <c r="AC4630" i="2"/>
  <c r="AC4629" i="2"/>
  <c r="AC4628" i="2"/>
  <c r="AC4627" i="2"/>
  <c r="AC4626" i="2"/>
  <c r="AC4625" i="2"/>
  <c r="AC4624" i="2"/>
  <c r="AC4623" i="2"/>
  <c r="AC4622" i="2"/>
  <c r="AC4621" i="2"/>
  <c r="AC4620" i="2"/>
  <c r="AC4619" i="2"/>
  <c r="AC4618" i="2"/>
  <c r="AC4617" i="2"/>
  <c r="AC4616" i="2"/>
  <c r="AC4615" i="2"/>
  <c r="AC4614" i="2"/>
  <c r="AC4613" i="2"/>
  <c r="AC4612" i="2"/>
  <c r="AC4611" i="2"/>
  <c r="AC4610" i="2"/>
  <c r="AC4609" i="2"/>
  <c r="AC4608" i="2"/>
  <c r="AC4607" i="2"/>
  <c r="AC4606" i="2"/>
  <c r="AC4605" i="2"/>
  <c r="AC4604" i="2"/>
  <c r="AC4603" i="2"/>
  <c r="AC4602" i="2"/>
  <c r="AC4601" i="2"/>
  <c r="AC4600" i="2"/>
  <c r="AC4599" i="2"/>
  <c r="AC4598" i="2"/>
  <c r="AC4597" i="2"/>
  <c r="AC4596" i="2"/>
  <c r="AC4595" i="2"/>
  <c r="AC4594" i="2"/>
  <c r="AC4593" i="2"/>
  <c r="AC4592" i="2"/>
  <c r="AC4591" i="2"/>
  <c r="AC4590" i="2"/>
  <c r="AC4589" i="2"/>
  <c r="AC4588" i="2"/>
  <c r="AC4587" i="2"/>
  <c r="AC4586" i="2"/>
  <c r="AC4585" i="2"/>
  <c r="AC4584" i="2"/>
  <c r="AC4583" i="2"/>
  <c r="AC4582" i="2"/>
  <c r="AC4581" i="2"/>
  <c r="AC4580" i="2"/>
  <c r="AC4579" i="2"/>
  <c r="AC4578" i="2"/>
  <c r="AC4577" i="2"/>
  <c r="AC4576" i="2"/>
  <c r="AC4575" i="2"/>
  <c r="AC4574" i="2"/>
  <c r="AC4573" i="2"/>
  <c r="AC4572" i="2"/>
  <c r="AC4571" i="2"/>
  <c r="AC4570" i="2"/>
  <c r="AC4569" i="2"/>
  <c r="AC4568" i="2"/>
  <c r="AC4567" i="2"/>
  <c r="AC4566" i="2"/>
  <c r="AC4565" i="2"/>
  <c r="AC4564" i="2"/>
  <c r="AC4563" i="2"/>
  <c r="AC4562" i="2"/>
  <c r="AC4561" i="2"/>
  <c r="AC4560" i="2"/>
  <c r="AC4559" i="2"/>
  <c r="AC4558" i="2"/>
  <c r="AC4557" i="2"/>
  <c r="AC4556" i="2"/>
  <c r="AC4555" i="2"/>
  <c r="AC4554" i="2"/>
  <c r="AC4553" i="2"/>
  <c r="AC4552" i="2"/>
  <c r="AC4551" i="2"/>
  <c r="AC4550" i="2"/>
  <c r="AC4549" i="2"/>
  <c r="AC4548" i="2"/>
  <c r="AC4547" i="2"/>
  <c r="AC4546" i="2"/>
  <c r="AC4545" i="2"/>
  <c r="AC4544" i="2"/>
  <c r="AC4543" i="2"/>
  <c r="AC4542" i="2"/>
  <c r="AC4541" i="2"/>
  <c r="AC4540" i="2"/>
  <c r="AC4539" i="2"/>
  <c r="AC4538" i="2"/>
  <c r="AC4537" i="2"/>
  <c r="AC4536" i="2"/>
  <c r="AC4535" i="2"/>
  <c r="AC4534" i="2"/>
  <c r="AC4533" i="2"/>
  <c r="AC4532" i="2"/>
  <c r="AC4531" i="2"/>
  <c r="AC4530" i="2"/>
  <c r="AC4529" i="2"/>
  <c r="AC4528" i="2"/>
  <c r="AC4527" i="2"/>
  <c r="AC4526" i="2"/>
  <c r="AC4525" i="2"/>
  <c r="AC4524" i="2"/>
  <c r="AC4523" i="2"/>
  <c r="AC4522" i="2"/>
  <c r="AC4521" i="2"/>
  <c r="AC4520" i="2"/>
  <c r="AC4519" i="2"/>
  <c r="AC4518" i="2"/>
  <c r="AC4517" i="2"/>
  <c r="AC4516" i="2"/>
  <c r="AC4515" i="2"/>
  <c r="AC4514" i="2"/>
  <c r="AC4513" i="2"/>
  <c r="AC4512" i="2"/>
  <c r="AC4511" i="2"/>
  <c r="AC4510" i="2"/>
  <c r="AC4509" i="2"/>
  <c r="AC4508" i="2"/>
  <c r="AC4507" i="2"/>
  <c r="AC4506" i="2"/>
  <c r="AC4505" i="2"/>
  <c r="AC4504" i="2"/>
  <c r="AC4503" i="2"/>
  <c r="AC4502" i="2"/>
  <c r="AC4501" i="2"/>
  <c r="AC4500" i="2"/>
  <c r="AC4499" i="2"/>
  <c r="AC4498" i="2"/>
  <c r="AC4497" i="2"/>
  <c r="AC4496" i="2"/>
  <c r="AC4495" i="2"/>
  <c r="AC4494" i="2"/>
  <c r="AC4493" i="2"/>
  <c r="AC4492" i="2"/>
  <c r="AC4491" i="2"/>
  <c r="AC4490" i="2"/>
  <c r="AC4489" i="2"/>
  <c r="AC4488" i="2"/>
  <c r="AC4487" i="2"/>
  <c r="AC4486" i="2"/>
  <c r="AC4485" i="2"/>
  <c r="AC4484" i="2"/>
  <c r="AC4483" i="2"/>
  <c r="AC4482" i="2"/>
  <c r="AC4481" i="2"/>
  <c r="AC4480" i="2"/>
  <c r="AC4479" i="2"/>
  <c r="AC4478" i="2"/>
  <c r="AC4477" i="2"/>
  <c r="AC4476" i="2"/>
  <c r="AC4475" i="2"/>
  <c r="AC4474" i="2"/>
  <c r="AC4473" i="2"/>
  <c r="AC4472" i="2"/>
  <c r="AC4471" i="2"/>
  <c r="AC4470" i="2"/>
  <c r="AC4469" i="2"/>
  <c r="AC4468" i="2"/>
  <c r="AC4467" i="2"/>
  <c r="AC4466" i="2"/>
  <c r="AC4465" i="2"/>
  <c r="AC4464" i="2"/>
  <c r="AC4463" i="2"/>
  <c r="AC4462" i="2"/>
  <c r="AC4461" i="2"/>
  <c r="AC4460" i="2"/>
  <c r="AC4459" i="2"/>
  <c r="AC4458" i="2"/>
  <c r="AC4457" i="2"/>
  <c r="AC4456" i="2"/>
  <c r="AC4455" i="2"/>
  <c r="AC4454" i="2"/>
  <c r="AC4453" i="2"/>
  <c r="AC4452" i="2"/>
  <c r="AC4451" i="2"/>
  <c r="AC4450" i="2"/>
  <c r="AC4449" i="2"/>
  <c r="AC4448" i="2"/>
  <c r="AC4447" i="2"/>
  <c r="AC4446" i="2"/>
  <c r="AC4445" i="2"/>
  <c r="AC4444" i="2"/>
  <c r="AC4443" i="2"/>
  <c r="AC4442" i="2"/>
  <c r="AC4441" i="2"/>
  <c r="AC4440" i="2"/>
  <c r="AC4439" i="2"/>
  <c r="AC4438" i="2"/>
  <c r="AC4437" i="2"/>
  <c r="AC4436" i="2"/>
  <c r="AC4435" i="2"/>
  <c r="AC4434" i="2"/>
  <c r="AC4433" i="2"/>
  <c r="AC4432" i="2"/>
  <c r="AC4431" i="2"/>
  <c r="AC4430" i="2"/>
  <c r="AC4429" i="2"/>
  <c r="AC4428" i="2"/>
  <c r="AC4427" i="2"/>
  <c r="AC4426" i="2"/>
  <c r="AC4425" i="2"/>
  <c r="AC4424" i="2"/>
  <c r="AC4423" i="2"/>
  <c r="AC4422" i="2"/>
  <c r="AC4421" i="2"/>
  <c r="AC4420" i="2"/>
  <c r="AC4419" i="2"/>
  <c r="AC4418" i="2"/>
  <c r="AC4417" i="2"/>
  <c r="AC4416" i="2"/>
  <c r="AC4415" i="2"/>
  <c r="AC4414" i="2"/>
  <c r="AC4413" i="2"/>
  <c r="AC4412" i="2"/>
  <c r="AC4411" i="2"/>
  <c r="AC4410" i="2"/>
  <c r="AC4409" i="2"/>
  <c r="AC4408" i="2"/>
  <c r="AC4407" i="2"/>
  <c r="AC4406" i="2"/>
  <c r="AC4405" i="2"/>
  <c r="AC4404" i="2"/>
  <c r="AC4403" i="2"/>
  <c r="AC4402" i="2"/>
  <c r="AC4401" i="2"/>
  <c r="AC4400" i="2"/>
  <c r="AC4399" i="2"/>
  <c r="AC4398" i="2"/>
  <c r="AC4397" i="2"/>
  <c r="AC4396" i="2"/>
  <c r="AC4395" i="2"/>
  <c r="AC4394" i="2"/>
  <c r="AC4393" i="2"/>
  <c r="AC4392" i="2"/>
  <c r="AC4391" i="2"/>
  <c r="AC4390" i="2"/>
  <c r="AC4389" i="2"/>
  <c r="AC4388" i="2"/>
  <c r="AC4387" i="2"/>
  <c r="AC4386" i="2"/>
  <c r="AC4385" i="2"/>
  <c r="AC4384" i="2"/>
  <c r="AC4383" i="2"/>
  <c r="AC4382" i="2"/>
  <c r="AC4381" i="2"/>
  <c r="AC4380" i="2"/>
  <c r="AC4379" i="2"/>
  <c r="AC4378" i="2"/>
  <c r="AC4377" i="2"/>
  <c r="AC4376" i="2"/>
  <c r="AC4375" i="2"/>
  <c r="AC4374" i="2"/>
  <c r="AC4373" i="2"/>
  <c r="AC4372" i="2"/>
  <c r="AC4371" i="2"/>
  <c r="AC4370" i="2"/>
  <c r="AC4369" i="2"/>
  <c r="AC4368" i="2"/>
  <c r="AC4367" i="2"/>
  <c r="AC4366" i="2"/>
  <c r="AC4365" i="2"/>
  <c r="AC4364" i="2"/>
  <c r="AC4363" i="2"/>
  <c r="AC4362" i="2"/>
  <c r="AC4361" i="2"/>
  <c r="AC4360" i="2"/>
  <c r="AC4359" i="2"/>
  <c r="AC4358" i="2"/>
  <c r="AC4357" i="2"/>
  <c r="AC4356" i="2"/>
  <c r="AC4355" i="2"/>
  <c r="AC4354" i="2"/>
  <c r="AC4353" i="2"/>
  <c r="AC4352" i="2"/>
  <c r="AC4351" i="2"/>
  <c r="AC4350" i="2"/>
  <c r="AC4349" i="2"/>
  <c r="AC4348" i="2"/>
  <c r="AC4347" i="2"/>
  <c r="AC4346" i="2"/>
  <c r="AC4345" i="2"/>
  <c r="AC4344" i="2"/>
  <c r="AC4343" i="2"/>
  <c r="AC4342" i="2"/>
  <c r="AC4341" i="2"/>
  <c r="AC4340" i="2"/>
  <c r="AC4339" i="2"/>
  <c r="AC4338" i="2"/>
  <c r="AC4337" i="2"/>
  <c r="AC4336" i="2"/>
  <c r="AC4335" i="2"/>
  <c r="AC4334" i="2"/>
  <c r="AC4333" i="2"/>
  <c r="AC4332" i="2"/>
  <c r="AC4331" i="2"/>
  <c r="AC4330" i="2"/>
  <c r="AC4329" i="2"/>
  <c r="AC4328" i="2"/>
  <c r="AC4327" i="2"/>
  <c r="AC4326" i="2"/>
  <c r="AC4325" i="2"/>
  <c r="AC4324" i="2"/>
  <c r="AC4323" i="2"/>
  <c r="AC4322" i="2"/>
  <c r="AC4321" i="2"/>
  <c r="AC4320" i="2"/>
  <c r="AC4319" i="2"/>
  <c r="AC4318" i="2"/>
  <c r="AC4317" i="2"/>
  <c r="AC4316" i="2"/>
  <c r="AC4315" i="2"/>
  <c r="AC4314" i="2"/>
  <c r="AC4313" i="2"/>
  <c r="AC4312" i="2"/>
  <c r="AC4311" i="2"/>
  <c r="AC4310" i="2"/>
  <c r="AC4309" i="2"/>
  <c r="AC4308" i="2"/>
  <c r="AC4307" i="2"/>
  <c r="AC4306" i="2"/>
  <c r="AC4305" i="2"/>
  <c r="AC4304" i="2"/>
  <c r="AC4303" i="2"/>
  <c r="AC4302" i="2"/>
  <c r="AC4301" i="2"/>
  <c r="AC4300" i="2"/>
  <c r="AC4299" i="2"/>
  <c r="AC4298" i="2"/>
  <c r="AC4297" i="2"/>
  <c r="AC4296" i="2"/>
  <c r="AC4295" i="2"/>
  <c r="AC4294" i="2"/>
  <c r="AC4293" i="2"/>
  <c r="AC4292" i="2"/>
  <c r="AC4291" i="2"/>
  <c r="AC4290" i="2"/>
  <c r="AC4289" i="2"/>
  <c r="AC4288" i="2"/>
  <c r="AC4287" i="2"/>
  <c r="AC4286" i="2"/>
  <c r="AC4285" i="2"/>
  <c r="AC4284" i="2"/>
  <c r="AC4283" i="2"/>
  <c r="AC4282" i="2"/>
  <c r="AC4281" i="2"/>
  <c r="AC4280" i="2"/>
  <c r="AC4279" i="2"/>
  <c r="AC4278" i="2"/>
  <c r="AC4277" i="2"/>
  <c r="AC4276" i="2"/>
  <c r="AC4275" i="2"/>
  <c r="AC4274" i="2"/>
  <c r="AC4273" i="2"/>
  <c r="AC4272" i="2"/>
  <c r="AC4271" i="2"/>
  <c r="AC4270" i="2"/>
  <c r="AC4269" i="2"/>
  <c r="AC4268" i="2"/>
  <c r="AC4267" i="2"/>
  <c r="AC4266" i="2"/>
  <c r="AC4265" i="2"/>
  <c r="AC4264" i="2"/>
  <c r="AC4263" i="2"/>
  <c r="AC4262" i="2"/>
  <c r="AC4261" i="2"/>
  <c r="AC4260" i="2"/>
  <c r="AC4259" i="2"/>
  <c r="AC4258" i="2"/>
  <c r="AC4257" i="2"/>
  <c r="AC4256" i="2"/>
  <c r="AC4255" i="2"/>
  <c r="AC4254" i="2"/>
  <c r="AC4253" i="2"/>
  <c r="AC4252" i="2"/>
  <c r="AC4251" i="2"/>
  <c r="AC4250" i="2"/>
  <c r="AC4249" i="2"/>
  <c r="AC4248" i="2"/>
  <c r="AC4247" i="2"/>
  <c r="AC4246" i="2"/>
  <c r="AC4245" i="2"/>
  <c r="AC4244" i="2"/>
  <c r="AC4243" i="2"/>
  <c r="AC4242" i="2"/>
  <c r="AC4241" i="2"/>
  <c r="AC4240" i="2"/>
  <c r="AC4239" i="2"/>
  <c r="AC4238" i="2"/>
  <c r="AC4237" i="2"/>
  <c r="AC4236" i="2"/>
  <c r="AC4235" i="2"/>
  <c r="AC4234" i="2"/>
  <c r="AC4233" i="2"/>
  <c r="AC4232" i="2"/>
  <c r="AC4231" i="2"/>
  <c r="AC4230" i="2"/>
  <c r="AC4229" i="2"/>
  <c r="AC4228" i="2"/>
  <c r="AC4227" i="2"/>
  <c r="AC4226" i="2"/>
  <c r="AC4225" i="2"/>
  <c r="AC4224" i="2"/>
  <c r="AC4223" i="2"/>
  <c r="AC4222" i="2"/>
  <c r="AC4221" i="2"/>
  <c r="AC4220" i="2"/>
  <c r="AC4219" i="2"/>
  <c r="AC4218" i="2"/>
  <c r="AC4217" i="2"/>
  <c r="AC4216" i="2"/>
  <c r="AC4215" i="2"/>
  <c r="AC4214" i="2"/>
  <c r="AC4213" i="2"/>
  <c r="AC4212" i="2"/>
  <c r="AC4211" i="2"/>
  <c r="AC4210" i="2"/>
  <c r="AC4209" i="2"/>
  <c r="AC4208" i="2"/>
  <c r="AC4207" i="2"/>
  <c r="AC4206" i="2"/>
  <c r="AC4205" i="2"/>
  <c r="AC4204" i="2"/>
  <c r="AC4203" i="2"/>
  <c r="AC4202" i="2"/>
  <c r="AC4201" i="2"/>
  <c r="AC4200" i="2"/>
  <c r="AC4199" i="2"/>
  <c r="AC4198" i="2"/>
  <c r="AC4197" i="2"/>
  <c r="AC4196" i="2"/>
  <c r="AC4195" i="2"/>
  <c r="AC4194" i="2"/>
  <c r="AC4193" i="2"/>
  <c r="AC4192" i="2"/>
  <c r="AC4191" i="2"/>
  <c r="AC4190" i="2"/>
  <c r="AC4189" i="2"/>
  <c r="AC4188" i="2"/>
  <c r="AC4187" i="2"/>
  <c r="AC4186" i="2"/>
  <c r="AC4185" i="2"/>
  <c r="AC4184" i="2"/>
  <c r="AC4183" i="2"/>
  <c r="AC4182" i="2"/>
  <c r="AC4181" i="2"/>
  <c r="AC4180" i="2"/>
  <c r="AC4179" i="2"/>
  <c r="AC4178" i="2"/>
  <c r="AC4177" i="2"/>
  <c r="AC4176" i="2"/>
  <c r="AC4175" i="2"/>
  <c r="AC4174" i="2"/>
  <c r="AC4173" i="2"/>
  <c r="AC4172" i="2"/>
  <c r="AC4171" i="2"/>
  <c r="AC4170" i="2"/>
  <c r="AC4169" i="2"/>
  <c r="AC4168" i="2"/>
  <c r="AC4167" i="2"/>
  <c r="AC4166" i="2"/>
  <c r="AC4165" i="2"/>
  <c r="AC4164" i="2"/>
  <c r="AC4163" i="2"/>
  <c r="AC4162" i="2"/>
  <c r="AC4161" i="2"/>
  <c r="AC4160" i="2"/>
  <c r="AC4159" i="2"/>
  <c r="AC4158" i="2"/>
  <c r="AC4157" i="2"/>
  <c r="AC4156" i="2"/>
  <c r="AC4155" i="2"/>
  <c r="AC4154" i="2"/>
  <c r="AC4153" i="2"/>
  <c r="AC4152" i="2"/>
  <c r="AC4151" i="2"/>
  <c r="AC4150" i="2"/>
  <c r="AC4149" i="2"/>
  <c r="AC4148" i="2"/>
  <c r="AC4147" i="2"/>
  <c r="AC4146" i="2"/>
  <c r="AC4145" i="2"/>
  <c r="AC4144" i="2"/>
  <c r="AC4143" i="2"/>
  <c r="AC4142" i="2"/>
  <c r="AC4141" i="2"/>
  <c r="AC4140" i="2"/>
  <c r="AC4139" i="2"/>
  <c r="AC4138" i="2"/>
  <c r="AC4137" i="2"/>
  <c r="AC4136" i="2"/>
  <c r="AC4135" i="2"/>
  <c r="AC4134" i="2"/>
  <c r="AC4133" i="2"/>
  <c r="AC4132" i="2"/>
  <c r="AC4131" i="2"/>
  <c r="AC4130" i="2"/>
  <c r="AC4129" i="2"/>
  <c r="AC4128" i="2"/>
  <c r="AC4127" i="2"/>
  <c r="AC4126" i="2"/>
  <c r="AC4125" i="2"/>
  <c r="AC4124" i="2"/>
  <c r="AC4123" i="2"/>
  <c r="AC4122" i="2"/>
  <c r="AC4121" i="2"/>
  <c r="AC4120" i="2"/>
  <c r="AC4119" i="2"/>
  <c r="AC4118" i="2"/>
  <c r="AC4117" i="2"/>
  <c r="AC4116" i="2"/>
  <c r="AC4115" i="2"/>
  <c r="AC4114" i="2"/>
  <c r="AC4113" i="2"/>
  <c r="AC4112" i="2"/>
  <c r="AC4111" i="2"/>
  <c r="AC4110" i="2"/>
  <c r="AC4109" i="2"/>
  <c r="AC4108" i="2"/>
  <c r="AC4107" i="2"/>
  <c r="AC4106" i="2"/>
  <c r="AC4105" i="2"/>
  <c r="AC4104" i="2"/>
  <c r="AC4103" i="2"/>
  <c r="AC4102" i="2"/>
  <c r="AC4101" i="2"/>
  <c r="AC4100" i="2"/>
  <c r="AC4099" i="2"/>
  <c r="AC4098" i="2"/>
  <c r="AC4097" i="2"/>
  <c r="AC4096" i="2"/>
  <c r="AC4095" i="2"/>
  <c r="AC4094" i="2"/>
  <c r="AC4093" i="2"/>
  <c r="AC4092" i="2"/>
  <c r="AC4091" i="2"/>
  <c r="AC4090" i="2"/>
  <c r="AC4089" i="2"/>
  <c r="AC4088" i="2"/>
  <c r="AC4087" i="2"/>
  <c r="AC4086" i="2"/>
  <c r="AC4085" i="2"/>
  <c r="AC4084" i="2"/>
  <c r="AC4083" i="2"/>
  <c r="AC4082" i="2"/>
  <c r="AC4081" i="2"/>
  <c r="AC4080" i="2"/>
  <c r="AC4079" i="2"/>
  <c r="AC4078" i="2"/>
  <c r="AC4077" i="2"/>
  <c r="AC4076" i="2"/>
  <c r="AC4075" i="2"/>
  <c r="AC4074" i="2"/>
  <c r="AC4073" i="2"/>
  <c r="AC4072" i="2"/>
  <c r="AC4071" i="2"/>
  <c r="AC4070" i="2"/>
  <c r="AC4069" i="2"/>
  <c r="AC4068" i="2"/>
  <c r="AC4067" i="2"/>
  <c r="AC4066" i="2"/>
  <c r="AC4065" i="2"/>
  <c r="AC4064" i="2"/>
  <c r="AC4063" i="2"/>
  <c r="AC4062" i="2"/>
  <c r="AC4061" i="2"/>
  <c r="AC4060" i="2"/>
  <c r="AC4059" i="2"/>
  <c r="AC4058" i="2"/>
  <c r="AC4057" i="2"/>
  <c r="AC4056" i="2"/>
  <c r="AC4055" i="2"/>
  <c r="AC4054" i="2"/>
  <c r="AC4053" i="2"/>
  <c r="AC4052" i="2"/>
  <c r="AC4051" i="2"/>
  <c r="AC4050" i="2"/>
  <c r="AC4049" i="2"/>
  <c r="AC4048" i="2"/>
  <c r="AC4047" i="2"/>
  <c r="AC4046" i="2"/>
  <c r="AC4045" i="2"/>
  <c r="AC4044" i="2"/>
  <c r="AC4043" i="2"/>
  <c r="AC4042" i="2"/>
  <c r="AC4041" i="2"/>
  <c r="AC4040" i="2"/>
  <c r="AC4039" i="2"/>
  <c r="AC4038" i="2"/>
  <c r="AC4037" i="2"/>
  <c r="AC4036" i="2"/>
  <c r="AC4035" i="2"/>
  <c r="AC4034" i="2"/>
  <c r="AC4033" i="2"/>
  <c r="AC4032" i="2"/>
  <c r="AC4031" i="2"/>
  <c r="AC4030" i="2"/>
  <c r="AC4029" i="2"/>
  <c r="AC4028" i="2"/>
  <c r="AC4027" i="2"/>
  <c r="AC4026" i="2"/>
  <c r="AC4025" i="2"/>
  <c r="AC4024" i="2"/>
  <c r="AC4023" i="2"/>
  <c r="AC4022" i="2"/>
  <c r="AC4021" i="2"/>
  <c r="AC4020" i="2"/>
  <c r="AC4019" i="2"/>
  <c r="AC4018" i="2"/>
  <c r="AC4017" i="2"/>
  <c r="AC4016" i="2"/>
  <c r="AC4015" i="2"/>
  <c r="AC4014" i="2"/>
  <c r="AC4013" i="2"/>
  <c r="AC4012" i="2"/>
  <c r="AC4011" i="2"/>
  <c r="AC4010" i="2"/>
  <c r="AC4009" i="2"/>
  <c r="AC4008" i="2"/>
  <c r="AC4007" i="2"/>
  <c r="AC4006" i="2"/>
  <c r="AC4005" i="2"/>
  <c r="AC4004" i="2"/>
  <c r="AC4003" i="2"/>
  <c r="AC4002" i="2"/>
  <c r="AC4001" i="2"/>
  <c r="AC4000" i="2"/>
  <c r="AC3999" i="2"/>
  <c r="AC3998" i="2"/>
  <c r="AC3997" i="2"/>
  <c r="AC3996" i="2"/>
  <c r="AC3995" i="2"/>
  <c r="AC3994" i="2"/>
  <c r="AC3993" i="2"/>
  <c r="AC3992" i="2"/>
  <c r="AC3991" i="2"/>
  <c r="AC3990" i="2"/>
  <c r="AC3989" i="2"/>
  <c r="AC3988" i="2"/>
  <c r="AC3987" i="2"/>
  <c r="AC3986" i="2"/>
  <c r="AC3985" i="2"/>
  <c r="AC3984" i="2"/>
  <c r="AC3983" i="2"/>
  <c r="AC3982" i="2"/>
  <c r="AC3981" i="2"/>
  <c r="AC3980" i="2"/>
  <c r="AC3979" i="2"/>
  <c r="AC3978" i="2"/>
  <c r="AC3977" i="2"/>
  <c r="AC3976" i="2"/>
  <c r="AC3975" i="2"/>
  <c r="AC3974" i="2"/>
  <c r="AC3973" i="2"/>
  <c r="AC3972" i="2"/>
  <c r="AC3971" i="2"/>
  <c r="AC3970" i="2"/>
  <c r="AC3969" i="2"/>
  <c r="AC3968" i="2"/>
  <c r="AC3967" i="2"/>
  <c r="AC3966" i="2"/>
  <c r="AC3965" i="2"/>
  <c r="AC3964" i="2"/>
  <c r="AC3963" i="2"/>
  <c r="AC3962" i="2"/>
  <c r="AC3961" i="2"/>
  <c r="AC3960" i="2"/>
  <c r="AC3959" i="2"/>
  <c r="AC3958" i="2"/>
  <c r="AC3957" i="2"/>
  <c r="AC3956" i="2"/>
  <c r="AC3955" i="2"/>
  <c r="AC3954" i="2"/>
  <c r="AC3953" i="2"/>
  <c r="AC3952" i="2"/>
  <c r="AC3951" i="2"/>
  <c r="AC3950" i="2"/>
  <c r="AC3949" i="2"/>
  <c r="AC3948" i="2"/>
  <c r="AC3947" i="2"/>
  <c r="AC3946" i="2"/>
  <c r="AC3945" i="2"/>
  <c r="AC3944" i="2"/>
  <c r="AC3943" i="2"/>
  <c r="AC3942" i="2"/>
  <c r="AC3941" i="2"/>
  <c r="AC3940" i="2"/>
  <c r="AC3939" i="2"/>
  <c r="AC3938" i="2"/>
  <c r="AC3937" i="2"/>
  <c r="AC3936" i="2"/>
  <c r="AC3935" i="2"/>
  <c r="AC3934" i="2"/>
  <c r="AC3933" i="2"/>
  <c r="AC3932" i="2"/>
  <c r="AC3931" i="2"/>
  <c r="AC3930" i="2"/>
  <c r="AC3929" i="2"/>
  <c r="AC3928" i="2"/>
  <c r="AC3927" i="2"/>
  <c r="AC3926" i="2"/>
  <c r="AC3925" i="2"/>
  <c r="AC3924" i="2"/>
  <c r="AC3923" i="2"/>
  <c r="AC3922" i="2"/>
  <c r="AC3921" i="2"/>
  <c r="AC3920" i="2"/>
  <c r="AC3919" i="2"/>
  <c r="AC3918" i="2"/>
  <c r="AC3917" i="2"/>
  <c r="AC3916" i="2"/>
  <c r="AC3915" i="2"/>
  <c r="AC3914" i="2"/>
  <c r="AC3913" i="2"/>
  <c r="AC3912" i="2"/>
  <c r="AC3911" i="2"/>
  <c r="AC3910" i="2"/>
  <c r="AC3909" i="2"/>
  <c r="AC3908" i="2"/>
  <c r="AC3907" i="2"/>
  <c r="AC3906" i="2"/>
  <c r="AC3905" i="2"/>
  <c r="AC3904" i="2"/>
  <c r="AC3903" i="2"/>
  <c r="AC3902" i="2"/>
  <c r="AC3901" i="2"/>
  <c r="AC3900" i="2"/>
  <c r="AC3899" i="2"/>
  <c r="AC3898" i="2"/>
  <c r="AC3897" i="2"/>
  <c r="AC3896" i="2"/>
  <c r="AC3895" i="2"/>
  <c r="AC3894" i="2"/>
  <c r="AC3893" i="2"/>
  <c r="AC3892" i="2"/>
  <c r="AC3891" i="2"/>
  <c r="AC3890" i="2"/>
  <c r="AC3889" i="2"/>
  <c r="AC3888" i="2"/>
  <c r="AC3887" i="2"/>
  <c r="AC3886" i="2"/>
  <c r="AC3885" i="2"/>
  <c r="AC3884" i="2"/>
  <c r="AC3883" i="2"/>
  <c r="AC3882" i="2"/>
  <c r="AC3881" i="2"/>
  <c r="AC3880" i="2"/>
  <c r="AC3879" i="2"/>
  <c r="AC3878" i="2"/>
  <c r="AC3877" i="2"/>
  <c r="AC3876" i="2"/>
  <c r="AC3875" i="2"/>
  <c r="AC3874" i="2"/>
  <c r="AC3873" i="2"/>
  <c r="AC3872" i="2"/>
  <c r="AC3871" i="2"/>
  <c r="AC3870" i="2"/>
  <c r="AC3869" i="2"/>
  <c r="AC3868" i="2"/>
  <c r="AC3867" i="2"/>
  <c r="AC3866" i="2"/>
  <c r="AC3865" i="2"/>
  <c r="AC3864" i="2"/>
  <c r="AC3863" i="2"/>
  <c r="AC3862" i="2"/>
  <c r="AC3861" i="2"/>
  <c r="AC3860" i="2"/>
  <c r="AC3859" i="2"/>
  <c r="AC3858" i="2"/>
  <c r="AC3857" i="2"/>
  <c r="AC3856" i="2"/>
  <c r="AC3855" i="2"/>
  <c r="AC3854" i="2"/>
  <c r="AC3853" i="2"/>
  <c r="AC3852" i="2"/>
  <c r="AC3851" i="2"/>
  <c r="AC3850" i="2"/>
  <c r="AC3849" i="2"/>
  <c r="AC3848" i="2"/>
  <c r="AC3847" i="2"/>
  <c r="AC3846" i="2"/>
  <c r="AC3845" i="2"/>
  <c r="AC3844" i="2"/>
  <c r="AC3843" i="2"/>
  <c r="AC3842" i="2"/>
  <c r="AC3841" i="2"/>
  <c r="AC3840" i="2"/>
  <c r="AC3839" i="2"/>
  <c r="AC3838" i="2"/>
  <c r="AC3837" i="2"/>
  <c r="AC3836" i="2"/>
  <c r="AC3835" i="2"/>
  <c r="AC3834" i="2"/>
  <c r="AC3833" i="2"/>
  <c r="AC3832" i="2"/>
  <c r="AC3831" i="2"/>
  <c r="AC3830" i="2"/>
  <c r="AC3829" i="2"/>
  <c r="AC3828" i="2"/>
  <c r="AC3827" i="2"/>
  <c r="AC3826" i="2"/>
  <c r="AC3825" i="2"/>
  <c r="AC3824" i="2"/>
  <c r="AC3823" i="2"/>
  <c r="AC3822" i="2"/>
  <c r="AC3821" i="2"/>
  <c r="AC3820" i="2"/>
  <c r="AC3819" i="2"/>
  <c r="AC3818" i="2"/>
  <c r="AC3817" i="2"/>
  <c r="AC3816" i="2"/>
  <c r="AC3815" i="2"/>
  <c r="AC3814" i="2"/>
  <c r="AC3813" i="2"/>
  <c r="AC3812" i="2"/>
  <c r="AC3811" i="2"/>
  <c r="AC3810" i="2"/>
  <c r="AC3809" i="2"/>
  <c r="AC3808" i="2"/>
  <c r="AC3807" i="2"/>
  <c r="AC3806" i="2"/>
  <c r="AC3805" i="2"/>
  <c r="AC3804" i="2"/>
  <c r="AC3803" i="2"/>
  <c r="AC3802" i="2"/>
  <c r="AC3801" i="2"/>
  <c r="AC3800" i="2"/>
  <c r="AC3799" i="2"/>
  <c r="AC3798" i="2"/>
  <c r="AC3797" i="2"/>
  <c r="AC3796" i="2"/>
  <c r="AC3795" i="2"/>
  <c r="AC3794" i="2"/>
  <c r="AC3793" i="2"/>
  <c r="AC3792" i="2"/>
  <c r="AC3791" i="2"/>
  <c r="AC3790" i="2"/>
  <c r="AC3789" i="2"/>
  <c r="AC3788" i="2"/>
  <c r="AC3787" i="2"/>
  <c r="AC3786" i="2"/>
  <c r="AC3785" i="2"/>
  <c r="AC3784" i="2"/>
  <c r="AC3783" i="2"/>
  <c r="AC3782" i="2"/>
  <c r="AC3781" i="2"/>
  <c r="AC3780" i="2"/>
  <c r="AC3779" i="2"/>
  <c r="AC3778" i="2"/>
  <c r="AC3777" i="2"/>
  <c r="AC3776" i="2"/>
  <c r="AC3775" i="2"/>
  <c r="AC3774" i="2"/>
  <c r="AC3773" i="2"/>
  <c r="AC3772" i="2"/>
  <c r="AC3771" i="2"/>
  <c r="AC3770" i="2"/>
  <c r="AC3769" i="2"/>
  <c r="AC3768" i="2"/>
  <c r="AC3767" i="2"/>
  <c r="AC3766" i="2"/>
  <c r="AC3765" i="2"/>
  <c r="AC3764" i="2"/>
  <c r="AC3763" i="2"/>
  <c r="AC3762" i="2"/>
  <c r="AC3761" i="2"/>
  <c r="AC3760" i="2"/>
  <c r="AC3759" i="2"/>
  <c r="AC3758" i="2"/>
  <c r="AC3757" i="2"/>
  <c r="AC3756" i="2"/>
  <c r="AC3755" i="2"/>
  <c r="AC3754" i="2"/>
  <c r="AC3753" i="2"/>
  <c r="AC3752" i="2"/>
  <c r="AC3751" i="2"/>
  <c r="AC3750" i="2"/>
  <c r="AC3749" i="2"/>
  <c r="AC3748" i="2"/>
  <c r="AC3747" i="2"/>
  <c r="AC3746" i="2"/>
  <c r="AC3745" i="2"/>
  <c r="AC3744" i="2"/>
  <c r="AC3743" i="2"/>
  <c r="AC3742" i="2"/>
  <c r="AC3741" i="2"/>
  <c r="AC3740" i="2"/>
  <c r="AC3739" i="2"/>
  <c r="AC3738" i="2"/>
  <c r="AC3737" i="2"/>
  <c r="AC3736" i="2"/>
  <c r="AC3735" i="2"/>
  <c r="AC3734" i="2"/>
  <c r="AC3733" i="2"/>
  <c r="AC3732" i="2"/>
  <c r="AC3731" i="2"/>
  <c r="AC3730" i="2"/>
  <c r="AC3729" i="2"/>
  <c r="AC3728" i="2"/>
  <c r="AC3727" i="2"/>
  <c r="AC3726" i="2"/>
  <c r="AC3725" i="2"/>
  <c r="AC3724" i="2"/>
  <c r="AC3723" i="2"/>
  <c r="AC3722" i="2"/>
  <c r="AC3721" i="2"/>
  <c r="AC3720" i="2"/>
  <c r="AC3719" i="2"/>
  <c r="AC3718" i="2"/>
  <c r="AC3717" i="2"/>
  <c r="AC3716" i="2"/>
  <c r="AC3715" i="2"/>
  <c r="AC3714" i="2"/>
  <c r="AC3713" i="2"/>
  <c r="AC3712" i="2"/>
  <c r="AC3711" i="2"/>
  <c r="AC3710" i="2"/>
  <c r="AC3709" i="2"/>
  <c r="AC3708" i="2"/>
  <c r="AC3707" i="2"/>
  <c r="AC3706" i="2"/>
  <c r="AC3705" i="2"/>
  <c r="AC3704" i="2"/>
  <c r="AC3703" i="2"/>
  <c r="AC3702" i="2"/>
  <c r="AC3701" i="2"/>
  <c r="AC3700" i="2"/>
  <c r="AC3699" i="2"/>
  <c r="AC3698" i="2"/>
  <c r="AC3697" i="2"/>
  <c r="AC3696" i="2"/>
  <c r="AC3695" i="2"/>
  <c r="AC3694" i="2"/>
  <c r="AC3693" i="2"/>
  <c r="AC3692" i="2"/>
  <c r="AC3691" i="2"/>
  <c r="AC3690" i="2"/>
  <c r="AC3689" i="2"/>
  <c r="AC3688" i="2"/>
  <c r="AC3687" i="2"/>
  <c r="AC3686" i="2"/>
  <c r="AC3685" i="2"/>
  <c r="AC3684" i="2"/>
  <c r="AC3683" i="2"/>
  <c r="AC3682" i="2"/>
  <c r="AC3681" i="2"/>
  <c r="AC3680" i="2"/>
  <c r="AC3679" i="2"/>
  <c r="AC3678" i="2"/>
  <c r="AC3677" i="2"/>
  <c r="AC3676" i="2"/>
  <c r="AC3675" i="2"/>
  <c r="AC3674" i="2"/>
  <c r="AC3673" i="2"/>
  <c r="AC3672" i="2"/>
  <c r="AC3671" i="2"/>
  <c r="AC3670" i="2"/>
  <c r="AC3669" i="2"/>
  <c r="AC3668" i="2"/>
  <c r="AC3667" i="2"/>
  <c r="AC3666" i="2"/>
  <c r="AC3665" i="2"/>
  <c r="AC3664" i="2"/>
  <c r="AC3663" i="2"/>
  <c r="AC3662" i="2"/>
  <c r="AC3661" i="2"/>
  <c r="AC3660" i="2"/>
  <c r="AC3659" i="2"/>
  <c r="AC3658" i="2"/>
  <c r="AC3657" i="2"/>
  <c r="AC3656" i="2"/>
  <c r="AC3655" i="2"/>
  <c r="AC3654" i="2"/>
  <c r="AC3653" i="2"/>
  <c r="AC3652" i="2"/>
  <c r="AC3651" i="2"/>
  <c r="AC3650" i="2"/>
  <c r="AC3649" i="2"/>
  <c r="AC3648" i="2"/>
  <c r="AC3647" i="2"/>
  <c r="AC3646" i="2"/>
  <c r="AC3645" i="2"/>
  <c r="AC3644" i="2"/>
  <c r="AC3643" i="2"/>
  <c r="AC3642" i="2"/>
  <c r="AC3641" i="2"/>
  <c r="AC3640" i="2"/>
  <c r="AC3639" i="2"/>
  <c r="AC3638" i="2"/>
  <c r="AC3637" i="2"/>
  <c r="AC3636" i="2"/>
  <c r="AC3635" i="2"/>
  <c r="AC3634" i="2"/>
  <c r="AC3633" i="2"/>
  <c r="AC3632" i="2"/>
  <c r="AC3631" i="2"/>
  <c r="AC3630" i="2"/>
  <c r="AC3629" i="2"/>
  <c r="AC3628" i="2"/>
  <c r="AC3627" i="2"/>
  <c r="AC3626" i="2"/>
  <c r="AC3625" i="2"/>
  <c r="AC3624" i="2"/>
  <c r="AC3623" i="2"/>
  <c r="AC3622" i="2"/>
  <c r="AC3621" i="2"/>
  <c r="AC3620" i="2"/>
  <c r="AC3619" i="2"/>
  <c r="AC3618" i="2"/>
  <c r="AC3617" i="2"/>
  <c r="AC3616" i="2"/>
  <c r="AC3615" i="2"/>
  <c r="AC3614" i="2"/>
  <c r="AC3613" i="2"/>
  <c r="AC3612" i="2"/>
  <c r="AC3611" i="2"/>
  <c r="AC3610" i="2"/>
  <c r="AC3609" i="2"/>
  <c r="AC3608" i="2"/>
  <c r="AC3607" i="2"/>
  <c r="AC3606" i="2"/>
  <c r="AC3605" i="2"/>
  <c r="AC3604" i="2"/>
  <c r="AC3603" i="2"/>
  <c r="AC3602" i="2"/>
  <c r="AC3601" i="2"/>
  <c r="AC3600" i="2"/>
  <c r="AC3599" i="2"/>
  <c r="AC3598" i="2"/>
  <c r="AC3597" i="2"/>
  <c r="AC3596" i="2"/>
  <c r="AC3595" i="2"/>
  <c r="AC3594" i="2"/>
  <c r="AC3593" i="2"/>
  <c r="AC3592" i="2"/>
  <c r="AC3591" i="2"/>
  <c r="AC3590" i="2"/>
  <c r="AC3589" i="2"/>
  <c r="AC3588" i="2"/>
  <c r="AC3587" i="2"/>
  <c r="AC3586" i="2"/>
  <c r="AC3585" i="2"/>
  <c r="AC3584" i="2"/>
  <c r="AC3583" i="2"/>
  <c r="AC3582" i="2"/>
  <c r="AC3581" i="2"/>
  <c r="AC3580" i="2"/>
  <c r="AC3579" i="2"/>
  <c r="AC3578" i="2"/>
  <c r="AC3577" i="2"/>
  <c r="AC3576" i="2"/>
  <c r="AC3575" i="2"/>
  <c r="AC3574" i="2"/>
  <c r="AC3573" i="2"/>
  <c r="AC3572" i="2"/>
  <c r="AC3571" i="2"/>
  <c r="AC3570" i="2"/>
  <c r="AC3569" i="2"/>
  <c r="AC3568" i="2"/>
  <c r="AC3567" i="2"/>
  <c r="AC3566" i="2"/>
  <c r="AC3565" i="2"/>
  <c r="AC3564" i="2"/>
  <c r="AC3563" i="2"/>
  <c r="AC3562" i="2"/>
  <c r="AC3561" i="2"/>
  <c r="AC3560" i="2"/>
  <c r="AC3559" i="2"/>
  <c r="AC3558" i="2"/>
  <c r="AC3557" i="2"/>
  <c r="AC3556" i="2"/>
  <c r="AC3555" i="2"/>
  <c r="AC3554" i="2"/>
  <c r="AC3553" i="2"/>
  <c r="AC3552" i="2"/>
  <c r="AC3551" i="2"/>
  <c r="AC3550" i="2"/>
  <c r="AC3549" i="2"/>
  <c r="AC3548" i="2"/>
  <c r="AC3547" i="2"/>
  <c r="AC3546" i="2"/>
  <c r="AC3545" i="2"/>
  <c r="AC3544" i="2"/>
  <c r="AC3543" i="2"/>
  <c r="AC3542" i="2"/>
  <c r="AC3541" i="2"/>
  <c r="AC3540" i="2"/>
  <c r="AC3539" i="2"/>
  <c r="AC3538" i="2"/>
  <c r="AC3537" i="2"/>
  <c r="AC3536" i="2"/>
  <c r="AC3535" i="2"/>
  <c r="AC3534" i="2"/>
  <c r="AC3533" i="2"/>
  <c r="AC3532" i="2"/>
  <c r="AC3531" i="2"/>
  <c r="AC3530" i="2"/>
  <c r="AC3529" i="2"/>
  <c r="AC3528" i="2"/>
  <c r="AC3527" i="2"/>
  <c r="AC3526" i="2"/>
  <c r="AC3525" i="2"/>
  <c r="AC3524" i="2"/>
  <c r="AC3523" i="2"/>
  <c r="AC3522" i="2"/>
  <c r="AC3521" i="2"/>
  <c r="AC3520" i="2"/>
  <c r="AC3519" i="2"/>
  <c r="AC3518" i="2"/>
  <c r="AC3517" i="2"/>
  <c r="AC3516" i="2"/>
  <c r="AC3515" i="2"/>
  <c r="AC3514" i="2"/>
  <c r="AC3513" i="2"/>
  <c r="AC3512" i="2"/>
  <c r="AC3511" i="2"/>
  <c r="AC3510" i="2"/>
  <c r="AC3509" i="2"/>
  <c r="AC3508" i="2"/>
  <c r="AC3507" i="2"/>
  <c r="AC3506" i="2"/>
  <c r="AC3505" i="2"/>
  <c r="AC3504" i="2"/>
  <c r="AC3503" i="2"/>
  <c r="AC3502" i="2"/>
  <c r="AC3501" i="2"/>
  <c r="AC3500" i="2"/>
  <c r="AC3499" i="2"/>
  <c r="AC3498" i="2"/>
  <c r="AC3497" i="2"/>
  <c r="AC3496" i="2"/>
  <c r="AC3495" i="2"/>
  <c r="AC3494" i="2"/>
  <c r="AC3493" i="2"/>
  <c r="AC3492" i="2"/>
  <c r="AC3491" i="2"/>
  <c r="AC3490" i="2"/>
  <c r="AC3489" i="2"/>
  <c r="AC3488" i="2"/>
  <c r="AC3487" i="2"/>
  <c r="AC3486" i="2"/>
  <c r="AC3485" i="2"/>
  <c r="AC3484" i="2"/>
  <c r="AC3483" i="2"/>
  <c r="AC3482" i="2"/>
  <c r="AC3481" i="2"/>
  <c r="AC3480" i="2"/>
  <c r="AC3479" i="2"/>
  <c r="AC3478" i="2"/>
  <c r="AC3477" i="2"/>
  <c r="AC3476" i="2"/>
  <c r="AC3475" i="2"/>
  <c r="AC3474" i="2"/>
  <c r="AC3473" i="2"/>
  <c r="AC3472" i="2"/>
  <c r="AC3471" i="2"/>
  <c r="AC3470" i="2"/>
  <c r="AC3469" i="2"/>
  <c r="AC3468" i="2"/>
  <c r="AC3467" i="2"/>
  <c r="AC3466" i="2"/>
  <c r="AC3465" i="2"/>
  <c r="AC3464" i="2"/>
  <c r="AC3463" i="2"/>
  <c r="AC3462" i="2"/>
  <c r="AC3461" i="2"/>
  <c r="AC3460" i="2"/>
  <c r="AC3459" i="2"/>
  <c r="AC3458" i="2"/>
  <c r="AC3457" i="2"/>
  <c r="AC3456" i="2"/>
  <c r="AC3455" i="2"/>
  <c r="AC3454" i="2"/>
  <c r="AC3453" i="2"/>
  <c r="AC3452" i="2"/>
  <c r="AC3451" i="2"/>
  <c r="AC3450" i="2"/>
  <c r="AC3449" i="2"/>
  <c r="AC3448" i="2"/>
  <c r="AC3447" i="2"/>
  <c r="AC3446" i="2"/>
  <c r="AC3445" i="2"/>
  <c r="AC3444" i="2"/>
  <c r="AC3443" i="2"/>
  <c r="AC3442" i="2"/>
  <c r="AC3441" i="2"/>
  <c r="AC3440" i="2"/>
  <c r="AC3439" i="2"/>
  <c r="AC3438" i="2"/>
  <c r="AC3437" i="2"/>
  <c r="AC3436" i="2"/>
  <c r="AC3435" i="2"/>
  <c r="AC3434" i="2"/>
  <c r="AC3433" i="2"/>
  <c r="AC3432" i="2"/>
  <c r="AC3431" i="2"/>
  <c r="AC3430" i="2"/>
  <c r="AC3429" i="2"/>
  <c r="AC3428" i="2"/>
  <c r="AC3427" i="2"/>
  <c r="AC3426" i="2"/>
  <c r="AC3425" i="2"/>
  <c r="AC3424" i="2"/>
  <c r="AC3423" i="2"/>
  <c r="AC3422" i="2"/>
  <c r="AC3421" i="2"/>
  <c r="AC3420" i="2"/>
  <c r="AC3419" i="2"/>
  <c r="AC3418" i="2"/>
  <c r="AC3417" i="2"/>
  <c r="AC3416" i="2"/>
  <c r="AC3415" i="2"/>
  <c r="AC3414" i="2"/>
  <c r="AC3413" i="2"/>
  <c r="AC3412" i="2"/>
  <c r="AC3411" i="2"/>
  <c r="AC3410" i="2"/>
  <c r="AC3409" i="2"/>
  <c r="AC3408" i="2"/>
  <c r="AC3407" i="2"/>
  <c r="AC3406" i="2"/>
  <c r="AC3405" i="2"/>
  <c r="AC3404" i="2"/>
  <c r="AC3403" i="2"/>
  <c r="AC3402" i="2"/>
  <c r="AC3401" i="2"/>
  <c r="AC3400" i="2"/>
  <c r="AC3399" i="2"/>
  <c r="AC3398" i="2"/>
  <c r="AC3397" i="2"/>
  <c r="AC3396" i="2"/>
  <c r="AC3395" i="2"/>
  <c r="AC3394" i="2"/>
  <c r="AC3393" i="2"/>
  <c r="AC3392" i="2"/>
  <c r="AC3391" i="2"/>
  <c r="AC3390" i="2"/>
  <c r="AC3389" i="2"/>
  <c r="AC3388" i="2"/>
  <c r="AC3387" i="2"/>
  <c r="AC3386" i="2"/>
  <c r="AC3385" i="2"/>
  <c r="AC3384" i="2"/>
  <c r="AC3383" i="2"/>
  <c r="AC3382" i="2"/>
  <c r="AC3381" i="2"/>
  <c r="AC3380" i="2"/>
  <c r="AC3379" i="2"/>
  <c r="AC3378" i="2"/>
  <c r="AC3377" i="2"/>
  <c r="AC3376" i="2"/>
  <c r="AC3375" i="2"/>
  <c r="AC3374" i="2"/>
  <c r="AC3373" i="2"/>
  <c r="AC3372" i="2"/>
  <c r="AC3371" i="2"/>
  <c r="AC3370" i="2"/>
  <c r="AC3369" i="2"/>
  <c r="AC3368" i="2"/>
  <c r="AC3367" i="2"/>
  <c r="AC3366" i="2"/>
  <c r="AC3365" i="2"/>
  <c r="AC3364" i="2"/>
  <c r="AC3363" i="2"/>
  <c r="AC3362" i="2"/>
  <c r="AC3361" i="2"/>
  <c r="AC3360" i="2"/>
  <c r="AC3359" i="2"/>
  <c r="AC3358" i="2"/>
  <c r="AC3357" i="2"/>
  <c r="AC3356" i="2"/>
  <c r="AC3355" i="2"/>
  <c r="AC3354" i="2"/>
  <c r="AC3353" i="2"/>
  <c r="AC3352" i="2"/>
  <c r="AC3351" i="2"/>
  <c r="AC3350" i="2"/>
  <c r="AC3349" i="2"/>
  <c r="AC3348" i="2"/>
  <c r="AC3347" i="2"/>
  <c r="AC3346" i="2"/>
  <c r="AC3345" i="2"/>
  <c r="AC3344" i="2"/>
  <c r="AC3343" i="2"/>
  <c r="AC3342" i="2"/>
  <c r="AC3341" i="2"/>
  <c r="AC3340" i="2"/>
  <c r="AC3339" i="2"/>
  <c r="AC3338" i="2"/>
  <c r="AC3337" i="2"/>
  <c r="AC3336" i="2"/>
  <c r="AC3335" i="2"/>
  <c r="AC3334" i="2"/>
  <c r="AC3333" i="2"/>
  <c r="AC3332" i="2"/>
  <c r="AC3331" i="2"/>
  <c r="AC3330" i="2"/>
  <c r="AC3329" i="2"/>
  <c r="AC3328" i="2"/>
  <c r="AC3327" i="2"/>
  <c r="AC3326" i="2"/>
  <c r="AC3325" i="2"/>
  <c r="AC3324" i="2"/>
  <c r="AC3323" i="2"/>
  <c r="AC3322" i="2"/>
  <c r="AC3321" i="2"/>
  <c r="AC3320" i="2"/>
  <c r="AC3319" i="2"/>
  <c r="AC3318" i="2"/>
  <c r="AC3317" i="2"/>
  <c r="AC3316" i="2"/>
  <c r="AC3315" i="2"/>
  <c r="AC3314" i="2"/>
  <c r="AC3313" i="2"/>
  <c r="AC3312" i="2"/>
  <c r="AC3311" i="2"/>
  <c r="AC3310" i="2"/>
  <c r="AC3309" i="2"/>
  <c r="AC3308" i="2"/>
  <c r="AC3307" i="2"/>
  <c r="AC3306" i="2"/>
  <c r="AC3305" i="2"/>
  <c r="AC3304" i="2"/>
  <c r="AC3303" i="2"/>
  <c r="AC3302" i="2"/>
  <c r="AC3301" i="2"/>
  <c r="AC3300" i="2"/>
  <c r="AC3299" i="2"/>
  <c r="AC3298" i="2"/>
  <c r="AC3297" i="2"/>
  <c r="AC3296" i="2"/>
  <c r="AC3295" i="2"/>
  <c r="AC3294" i="2"/>
  <c r="AC3293" i="2"/>
  <c r="AC3292" i="2"/>
  <c r="AC3291" i="2"/>
  <c r="AC3290" i="2"/>
  <c r="AC3289" i="2"/>
  <c r="AC3288" i="2"/>
  <c r="AC3287" i="2"/>
  <c r="AC3286" i="2"/>
  <c r="AC3285" i="2"/>
  <c r="AC3284" i="2"/>
  <c r="AC3283" i="2"/>
  <c r="AC3282" i="2"/>
  <c r="AC3281" i="2"/>
  <c r="AC3280" i="2"/>
  <c r="AC3279" i="2"/>
  <c r="AC3278" i="2"/>
  <c r="AC3277" i="2"/>
  <c r="AC3276" i="2"/>
  <c r="AC3275" i="2"/>
  <c r="AC3274" i="2"/>
  <c r="AC3273" i="2"/>
  <c r="AC3272" i="2"/>
  <c r="AC3271" i="2"/>
  <c r="AC3270" i="2"/>
  <c r="AC3269" i="2"/>
  <c r="AC3268" i="2"/>
  <c r="AC3267" i="2"/>
  <c r="AC3266" i="2"/>
  <c r="AC3265" i="2"/>
  <c r="AC3264" i="2"/>
  <c r="AC3263" i="2"/>
  <c r="AC3262" i="2"/>
  <c r="AC3261" i="2"/>
  <c r="AC3260" i="2"/>
  <c r="AC3259" i="2"/>
  <c r="AC3258" i="2"/>
  <c r="AC3257" i="2"/>
  <c r="AC3256" i="2"/>
  <c r="AC3255" i="2"/>
  <c r="AC3254" i="2"/>
  <c r="AC3253" i="2"/>
  <c r="AC3252" i="2"/>
  <c r="AC3251" i="2"/>
  <c r="AC3250" i="2"/>
  <c r="AC3249" i="2"/>
  <c r="AC3248" i="2"/>
  <c r="AC3247" i="2"/>
  <c r="AC3246" i="2"/>
  <c r="AC3245" i="2"/>
  <c r="AC3244" i="2"/>
  <c r="AC3243" i="2"/>
  <c r="AC3242" i="2"/>
  <c r="AC3241" i="2"/>
  <c r="AC3240" i="2"/>
  <c r="AC3239" i="2"/>
  <c r="AC3238" i="2"/>
  <c r="AC3237" i="2"/>
  <c r="AC3236" i="2"/>
  <c r="AC3235" i="2"/>
  <c r="AC3234" i="2"/>
  <c r="AC3233" i="2"/>
  <c r="AC3232" i="2"/>
  <c r="AC3231" i="2"/>
  <c r="AC3230" i="2"/>
  <c r="AC3229" i="2"/>
  <c r="AC3228" i="2"/>
  <c r="AC3227" i="2"/>
  <c r="AC3226" i="2"/>
  <c r="AC3225" i="2"/>
  <c r="AC3224" i="2"/>
  <c r="AC3223" i="2"/>
  <c r="AC3222" i="2"/>
  <c r="AC3221" i="2"/>
  <c r="AC3220" i="2"/>
  <c r="AC3219" i="2"/>
  <c r="AC3218" i="2"/>
  <c r="AC3217" i="2"/>
  <c r="AC3216" i="2"/>
  <c r="AC3215" i="2"/>
  <c r="AC3214" i="2"/>
  <c r="AC3213" i="2"/>
  <c r="AC3212" i="2"/>
  <c r="AC3211" i="2"/>
  <c r="AC3210" i="2"/>
  <c r="AC3209" i="2"/>
  <c r="AC3208" i="2"/>
  <c r="AC3207" i="2"/>
  <c r="AC3206" i="2"/>
  <c r="AC3205" i="2"/>
  <c r="AC3204" i="2"/>
  <c r="AC3203" i="2"/>
  <c r="AC3202" i="2"/>
  <c r="AC3201" i="2"/>
  <c r="AC3200" i="2"/>
  <c r="AC3199" i="2"/>
  <c r="AC3198" i="2"/>
  <c r="AC3197" i="2"/>
  <c r="AC3196" i="2"/>
  <c r="AC3195" i="2"/>
  <c r="AC3194" i="2"/>
  <c r="AC3193" i="2"/>
  <c r="AC3192" i="2"/>
  <c r="AC3191" i="2"/>
  <c r="AC3190" i="2"/>
  <c r="AC3189" i="2"/>
  <c r="AC3188" i="2"/>
  <c r="AC3187" i="2"/>
  <c r="AC3186" i="2"/>
  <c r="AC3185" i="2"/>
  <c r="AC3184" i="2"/>
  <c r="AC3183" i="2"/>
  <c r="AC3182" i="2"/>
  <c r="AC3181" i="2"/>
  <c r="AC3180" i="2"/>
  <c r="AC3179" i="2"/>
  <c r="AC3178" i="2"/>
  <c r="AC3177" i="2"/>
  <c r="AC3176" i="2"/>
  <c r="AC3175" i="2"/>
  <c r="AC3174" i="2"/>
  <c r="AC3173" i="2"/>
  <c r="AC3172" i="2"/>
  <c r="AC3171" i="2"/>
  <c r="AC3170" i="2"/>
  <c r="AC3169" i="2"/>
  <c r="AC3168" i="2"/>
  <c r="AC3167" i="2"/>
  <c r="AC3166" i="2"/>
  <c r="AC3165" i="2"/>
  <c r="AC3164" i="2"/>
  <c r="AC3163" i="2"/>
  <c r="AC3162" i="2"/>
  <c r="AC3161" i="2"/>
  <c r="AC3160" i="2"/>
  <c r="AC3159" i="2"/>
  <c r="AC3158" i="2"/>
  <c r="AC3157" i="2"/>
  <c r="AC3156" i="2"/>
  <c r="AC3155" i="2"/>
  <c r="AC3154" i="2"/>
  <c r="AC3153" i="2"/>
  <c r="AC3152" i="2"/>
  <c r="AC3151" i="2"/>
  <c r="AC3150" i="2"/>
  <c r="AC3149" i="2"/>
  <c r="AC3148" i="2"/>
  <c r="AC3147" i="2"/>
  <c r="AC3146" i="2"/>
  <c r="AC3145" i="2"/>
  <c r="AC3144" i="2"/>
  <c r="AC3143" i="2"/>
  <c r="AC3142" i="2"/>
  <c r="AC3141" i="2"/>
  <c r="AC3140" i="2"/>
  <c r="AC3139" i="2"/>
  <c r="AC3138" i="2"/>
  <c r="AC3137" i="2"/>
  <c r="AC3136" i="2"/>
  <c r="AC3135" i="2"/>
  <c r="AC3134" i="2"/>
  <c r="AC3133" i="2"/>
  <c r="AC3132" i="2"/>
  <c r="AC3131" i="2"/>
  <c r="AC3130" i="2"/>
  <c r="AC3129" i="2"/>
  <c r="AC3128" i="2"/>
  <c r="AC3127" i="2"/>
  <c r="AC3126" i="2"/>
  <c r="AC3125" i="2"/>
  <c r="AC3124" i="2"/>
  <c r="AC3123" i="2"/>
  <c r="AC3122" i="2"/>
  <c r="AC3121" i="2"/>
  <c r="AC3120" i="2"/>
  <c r="AC3119" i="2"/>
  <c r="AC3118" i="2"/>
  <c r="AC3117" i="2"/>
  <c r="AC3116" i="2"/>
  <c r="AC3115" i="2"/>
  <c r="AC3114" i="2"/>
  <c r="AC3113" i="2"/>
  <c r="AC3112" i="2"/>
  <c r="AC3111" i="2"/>
  <c r="AC3110" i="2"/>
  <c r="AC3109" i="2"/>
  <c r="AC3108" i="2"/>
  <c r="AC3107" i="2"/>
  <c r="AC3106" i="2"/>
  <c r="AC3105" i="2"/>
  <c r="AC3104" i="2"/>
  <c r="AC3103" i="2"/>
  <c r="AC3102" i="2"/>
  <c r="AC3101" i="2"/>
  <c r="AC3100" i="2"/>
  <c r="AC3099" i="2"/>
  <c r="AC3098" i="2"/>
  <c r="AC3097" i="2"/>
  <c r="AC3096" i="2"/>
  <c r="AC3095" i="2"/>
  <c r="AC3094" i="2"/>
  <c r="AC3093" i="2"/>
  <c r="AC3092" i="2"/>
  <c r="AC3091" i="2"/>
  <c r="AC3090" i="2"/>
  <c r="AC3089" i="2"/>
  <c r="AC3088" i="2"/>
  <c r="AC3087" i="2"/>
  <c r="AC3086" i="2"/>
  <c r="AC3085" i="2"/>
  <c r="AC3084" i="2"/>
  <c r="AC3083" i="2"/>
  <c r="AC3082" i="2"/>
  <c r="AC3081" i="2"/>
  <c r="AC3080" i="2"/>
  <c r="AC3079" i="2"/>
  <c r="AC3078" i="2"/>
  <c r="AC3077" i="2"/>
  <c r="AC3076" i="2"/>
  <c r="AC3075" i="2"/>
  <c r="AC3074" i="2"/>
  <c r="AC3073" i="2"/>
  <c r="AC3072" i="2"/>
  <c r="AC3071" i="2"/>
  <c r="AC3070" i="2"/>
  <c r="AC3069" i="2"/>
  <c r="AC3068" i="2"/>
  <c r="AC3067" i="2"/>
  <c r="AC3066" i="2"/>
  <c r="AC3065" i="2"/>
  <c r="AC3064" i="2"/>
  <c r="AC3063" i="2"/>
  <c r="AC3062" i="2"/>
  <c r="AC3061" i="2"/>
  <c r="AC3060" i="2"/>
  <c r="AC3059" i="2"/>
  <c r="AC3058" i="2"/>
  <c r="AC3057" i="2"/>
  <c r="AC3056" i="2"/>
  <c r="AC3055" i="2"/>
  <c r="AC3054" i="2"/>
  <c r="AC3053" i="2"/>
  <c r="AC3052" i="2"/>
  <c r="AC3051" i="2"/>
  <c r="AC3050" i="2"/>
  <c r="AC3049" i="2"/>
  <c r="AC3048" i="2"/>
  <c r="AC3047" i="2"/>
  <c r="AC3046" i="2"/>
  <c r="AC3045" i="2"/>
  <c r="AC3044" i="2"/>
  <c r="AC3043" i="2"/>
  <c r="AC3042" i="2"/>
  <c r="AC3041" i="2"/>
  <c r="AC3040" i="2"/>
  <c r="AC3039" i="2"/>
  <c r="AC3038" i="2"/>
  <c r="AC3037" i="2"/>
  <c r="AC3036" i="2"/>
  <c r="AC3035" i="2"/>
  <c r="AC3034" i="2"/>
  <c r="AC3033" i="2"/>
  <c r="AC3032" i="2"/>
  <c r="AC3031" i="2"/>
  <c r="AC3030" i="2"/>
  <c r="AC3029" i="2"/>
  <c r="AC3028" i="2"/>
  <c r="AC3027" i="2"/>
  <c r="AC3026" i="2"/>
  <c r="AC3025" i="2"/>
  <c r="AC3024" i="2"/>
  <c r="AC3023" i="2"/>
  <c r="AC3022" i="2"/>
  <c r="AC3021" i="2"/>
  <c r="AC3020" i="2"/>
  <c r="AC3019" i="2"/>
  <c r="AC3018" i="2"/>
  <c r="AC3017" i="2"/>
  <c r="AC3016" i="2"/>
  <c r="AC3015" i="2"/>
  <c r="AC3014" i="2"/>
  <c r="AC3013" i="2"/>
  <c r="AC3012" i="2"/>
  <c r="AC3011" i="2"/>
  <c r="AC3010" i="2"/>
  <c r="AC3009" i="2"/>
  <c r="AC3008" i="2"/>
  <c r="AC3007" i="2"/>
  <c r="AC3006" i="2"/>
  <c r="AC3005" i="2"/>
  <c r="AC3004" i="2"/>
  <c r="AC3003" i="2"/>
  <c r="AC3002" i="2"/>
  <c r="AC3001" i="2"/>
  <c r="AC3000" i="2"/>
  <c r="AC2999" i="2"/>
  <c r="AC2998" i="2"/>
  <c r="AC2997" i="2"/>
  <c r="AC2996" i="2"/>
  <c r="AC2995" i="2"/>
  <c r="AC2994" i="2"/>
  <c r="AC2993" i="2"/>
  <c r="AC2992" i="2"/>
  <c r="AC2991" i="2"/>
  <c r="AC2990" i="2"/>
  <c r="AC2989" i="2"/>
  <c r="AC2988" i="2"/>
  <c r="AC2987" i="2"/>
  <c r="AC2986" i="2"/>
  <c r="AC2985" i="2"/>
  <c r="AC2984" i="2"/>
  <c r="AC2983" i="2"/>
  <c r="AC2982" i="2"/>
  <c r="AC2981" i="2"/>
  <c r="AC2980" i="2"/>
  <c r="AC2979" i="2"/>
  <c r="AC2978" i="2"/>
  <c r="AC2977" i="2"/>
  <c r="AC2976" i="2"/>
  <c r="AC2975" i="2"/>
  <c r="AC2974" i="2"/>
  <c r="AC2973" i="2"/>
  <c r="AC2972" i="2"/>
  <c r="AC2971" i="2"/>
  <c r="AC2970" i="2"/>
  <c r="AC2969" i="2"/>
  <c r="AC2968" i="2"/>
  <c r="AC2967" i="2"/>
  <c r="AC2966" i="2"/>
  <c r="AC2965" i="2"/>
  <c r="AC2964" i="2"/>
  <c r="AC2963" i="2"/>
  <c r="AC2962" i="2"/>
  <c r="AC2961" i="2"/>
  <c r="AC2960" i="2"/>
  <c r="AC2959" i="2"/>
  <c r="AC2958" i="2"/>
  <c r="AC2957" i="2"/>
  <c r="AC2956" i="2"/>
  <c r="AC2955" i="2"/>
  <c r="AC2954" i="2"/>
  <c r="AC2953" i="2"/>
  <c r="AC2952" i="2"/>
  <c r="AC2951" i="2"/>
  <c r="AC2950" i="2"/>
  <c r="AC2949" i="2"/>
  <c r="AC2948" i="2"/>
  <c r="AC2947" i="2"/>
  <c r="AC2946" i="2"/>
  <c r="AC2945" i="2"/>
  <c r="AC2944" i="2"/>
  <c r="AC2943" i="2"/>
  <c r="AC2942" i="2"/>
  <c r="AC2941" i="2"/>
  <c r="AC2940" i="2"/>
  <c r="AC2939" i="2"/>
  <c r="AC2938" i="2"/>
  <c r="AC2937" i="2"/>
  <c r="AC2936" i="2"/>
  <c r="AC2935" i="2"/>
  <c r="AC2934" i="2"/>
  <c r="AC2933" i="2"/>
  <c r="AC2932" i="2"/>
  <c r="AC2931" i="2"/>
  <c r="AC2930" i="2"/>
  <c r="AC2929" i="2"/>
  <c r="AC2928" i="2"/>
  <c r="AC2927" i="2"/>
  <c r="AC2926" i="2"/>
  <c r="AC2925" i="2"/>
  <c r="AC2924" i="2"/>
  <c r="AC2923" i="2"/>
  <c r="AC2922" i="2"/>
  <c r="AC2921" i="2"/>
  <c r="AC2920" i="2"/>
  <c r="AC2919" i="2"/>
  <c r="AC2918" i="2"/>
  <c r="AC2917" i="2"/>
  <c r="AC2916" i="2"/>
  <c r="AC2915" i="2"/>
  <c r="AC2914" i="2"/>
  <c r="AC2913" i="2"/>
  <c r="AC2912" i="2"/>
  <c r="AC2911" i="2"/>
  <c r="AC2910" i="2"/>
  <c r="AC2909" i="2"/>
  <c r="AC2908" i="2"/>
  <c r="AC2907" i="2"/>
  <c r="AC2906" i="2"/>
  <c r="AC2905" i="2"/>
  <c r="AC2904" i="2"/>
  <c r="AC2903" i="2"/>
  <c r="AC2902" i="2"/>
  <c r="AC2901" i="2"/>
  <c r="AC2900" i="2"/>
  <c r="AC2899" i="2"/>
  <c r="AC2898" i="2"/>
  <c r="AC2897" i="2"/>
  <c r="AC2896" i="2"/>
  <c r="AC2895" i="2"/>
  <c r="AC2894" i="2"/>
  <c r="AC2893" i="2"/>
  <c r="AC2892" i="2"/>
  <c r="AC2891" i="2"/>
  <c r="AC2890" i="2"/>
  <c r="AC2889" i="2"/>
  <c r="AC2888" i="2"/>
  <c r="AC2887" i="2"/>
  <c r="AC2886" i="2"/>
  <c r="AC2885" i="2"/>
  <c r="AC2884" i="2"/>
  <c r="AC2883" i="2"/>
  <c r="AC2882" i="2"/>
  <c r="AC2881" i="2"/>
  <c r="AC2880" i="2"/>
  <c r="AC2879" i="2"/>
  <c r="AC2878" i="2"/>
  <c r="AC2877" i="2"/>
  <c r="AC2876" i="2"/>
  <c r="AC2875" i="2"/>
  <c r="AC2874" i="2"/>
  <c r="AC2873" i="2"/>
  <c r="AC2872" i="2"/>
  <c r="AC2871" i="2"/>
  <c r="AC2870" i="2"/>
  <c r="AC2869" i="2"/>
  <c r="AC2868" i="2"/>
  <c r="AC2867" i="2"/>
  <c r="AC2866" i="2"/>
  <c r="AC2865" i="2"/>
  <c r="AC2864" i="2"/>
  <c r="AC2863" i="2"/>
  <c r="AC2862" i="2"/>
  <c r="AC2861" i="2"/>
  <c r="AC2860" i="2"/>
  <c r="AC2859" i="2"/>
  <c r="AC2858" i="2"/>
  <c r="AC2857" i="2"/>
  <c r="AC2856" i="2"/>
  <c r="AC2855" i="2"/>
  <c r="AC2854" i="2"/>
  <c r="AC2853" i="2"/>
  <c r="AC2852" i="2"/>
  <c r="AC2851" i="2"/>
  <c r="AC2850" i="2"/>
  <c r="AC2849" i="2"/>
  <c r="AC2848" i="2"/>
  <c r="AC2847" i="2"/>
  <c r="AC2846" i="2"/>
  <c r="AC2845" i="2"/>
  <c r="AC2844" i="2"/>
  <c r="AC2843" i="2"/>
  <c r="AC2842" i="2"/>
  <c r="AC2841" i="2"/>
  <c r="AC2840" i="2"/>
  <c r="AC2839" i="2"/>
  <c r="AC2838" i="2"/>
  <c r="AC2837" i="2"/>
  <c r="AC2836" i="2"/>
  <c r="AC2835" i="2"/>
  <c r="AC2834" i="2"/>
  <c r="AC2833" i="2"/>
  <c r="AC2832" i="2"/>
  <c r="AC2831" i="2"/>
  <c r="AC2830" i="2"/>
  <c r="AC2829" i="2"/>
  <c r="AC2828" i="2"/>
  <c r="AC2827" i="2"/>
  <c r="AC2826" i="2"/>
  <c r="AC2825" i="2"/>
  <c r="AC2824" i="2"/>
  <c r="AC2823" i="2"/>
  <c r="AC2822" i="2"/>
  <c r="AC2821" i="2"/>
  <c r="AC2820" i="2"/>
  <c r="AC2819" i="2"/>
  <c r="AC2818" i="2"/>
  <c r="AC2817" i="2"/>
  <c r="AC2816" i="2"/>
  <c r="AC2815" i="2"/>
  <c r="AC2814" i="2"/>
  <c r="AC2813" i="2"/>
  <c r="AC2812" i="2"/>
  <c r="AC2811" i="2"/>
  <c r="AC2810" i="2"/>
  <c r="AC2809" i="2"/>
  <c r="AC2808" i="2"/>
  <c r="AC2807" i="2"/>
  <c r="AC2806" i="2"/>
  <c r="AC2805" i="2"/>
  <c r="AC2804" i="2"/>
  <c r="AC2803" i="2"/>
  <c r="AC2802" i="2"/>
  <c r="AC2801" i="2"/>
  <c r="AC2800" i="2"/>
  <c r="AC2799" i="2"/>
  <c r="AC2798" i="2"/>
  <c r="AC2797" i="2"/>
  <c r="AC2796" i="2"/>
  <c r="AC2795" i="2"/>
  <c r="AC2794" i="2"/>
  <c r="AC2793" i="2"/>
  <c r="AC2792" i="2"/>
  <c r="AC2791" i="2"/>
  <c r="AC2790" i="2"/>
  <c r="AC2789" i="2"/>
  <c r="AC2788" i="2"/>
  <c r="AC2787" i="2"/>
  <c r="AC2786" i="2"/>
  <c r="AC2785" i="2"/>
  <c r="AC2784" i="2"/>
  <c r="AC2783" i="2"/>
  <c r="AC2782" i="2"/>
  <c r="AC2781" i="2"/>
  <c r="AC2780" i="2"/>
  <c r="AC2779" i="2"/>
  <c r="AC2778" i="2"/>
  <c r="AC2777" i="2"/>
  <c r="AC2776" i="2"/>
  <c r="AC2775" i="2"/>
  <c r="AC2774" i="2"/>
  <c r="AC2773" i="2"/>
  <c r="AC2772" i="2"/>
  <c r="AC2771" i="2"/>
  <c r="AC2770" i="2"/>
  <c r="AC2769" i="2"/>
  <c r="AC2768" i="2"/>
  <c r="AC2767" i="2"/>
  <c r="AC2766" i="2"/>
  <c r="AC2765" i="2"/>
  <c r="AC2764" i="2"/>
  <c r="AC2763" i="2"/>
  <c r="AC2762" i="2"/>
  <c r="AC2761" i="2"/>
  <c r="AC2760" i="2"/>
  <c r="AC2759" i="2"/>
  <c r="AC2758" i="2"/>
  <c r="AC2757" i="2"/>
  <c r="AC2756" i="2"/>
  <c r="AC2755" i="2"/>
  <c r="AC2754" i="2"/>
  <c r="AC2753" i="2"/>
  <c r="AC2752" i="2"/>
  <c r="AC2751" i="2"/>
  <c r="AC2750" i="2"/>
  <c r="AC2749" i="2"/>
  <c r="AC2748" i="2"/>
  <c r="AC2747" i="2"/>
  <c r="AC2746" i="2"/>
  <c r="AC2745" i="2"/>
  <c r="AC2744" i="2"/>
  <c r="AC2743" i="2"/>
  <c r="AC2742" i="2"/>
  <c r="AC2741" i="2"/>
  <c r="AC2740" i="2"/>
  <c r="AC2739" i="2"/>
  <c r="AC2738" i="2"/>
  <c r="AC2737" i="2"/>
  <c r="AC2736" i="2"/>
  <c r="AC2735" i="2"/>
  <c r="AC2734" i="2"/>
  <c r="AC2733" i="2"/>
  <c r="AC2732" i="2"/>
  <c r="AC2731" i="2"/>
  <c r="AC2730" i="2"/>
  <c r="AC2729" i="2"/>
  <c r="AC2728" i="2"/>
  <c r="AC2727" i="2"/>
  <c r="AC2726" i="2"/>
  <c r="AC2725" i="2"/>
  <c r="AC2724" i="2"/>
  <c r="AC2723" i="2"/>
  <c r="AC2722" i="2"/>
  <c r="AC2721" i="2"/>
  <c r="AC2720" i="2"/>
  <c r="AC2719" i="2"/>
  <c r="AC2718" i="2"/>
  <c r="AC2717" i="2"/>
  <c r="AC2716" i="2"/>
  <c r="AC2715" i="2"/>
  <c r="AC2714" i="2"/>
  <c r="AC2713" i="2"/>
  <c r="AC2712" i="2"/>
  <c r="AC2711" i="2"/>
  <c r="AC2710" i="2"/>
  <c r="AC2709" i="2"/>
  <c r="AC2708" i="2"/>
  <c r="AC2707" i="2"/>
  <c r="AC2706" i="2"/>
  <c r="AC2705" i="2"/>
  <c r="AC2704" i="2"/>
  <c r="AC2703" i="2"/>
  <c r="AC2702" i="2"/>
  <c r="AC2701" i="2"/>
  <c r="AC2700" i="2"/>
  <c r="AC2699" i="2"/>
  <c r="AC2698" i="2"/>
  <c r="AC2697" i="2"/>
  <c r="AC2696" i="2"/>
  <c r="AC2695" i="2"/>
  <c r="AC2694" i="2"/>
  <c r="AC2693" i="2"/>
  <c r="AC2692" i="2"/>
  <c r="AC2691" i="2"/>
  <c r="AC2690" i="2"/>
  <c r="AC2689" i="2"/>
  <c r="AC2688" i="2"/>
  <c r="AC2687" i="2"/>
  <c r="AC2686" i="2"/>
  <c r="AC2685" i="2"/>
  <c r="AC2684" i="2"/>
  <c r="AC2683" i="2"/>
  <c r="AC2682" i="2"/>
  <c r="AC2681" i="2"/>
  <c r="AC2680" i="2"/>
  <c r="AC2679" i="2"/>
  <c r="AC2678" i="2"/>
  <c r="AC2677" i="2"/>
  <c r="AC2676" i="2"/>
  <c r="AC2675" i="2"/>
  <c r="AC2674" i="2"/>
  <c r="AC2673" i="2"/>
  <c r="AC2672" i="2"/>
  <c r="AC2671" i="2"/>
  <c r="AC2670" i="2"/>
  <c r="AC2669" i="2"/>
  <c r="AC2668" i="2"/>
  <c r="AC2667" i="2"/>
  <c r="AC2666" i="2"/>
  <c r="AC2665" i="2"/>
  <c r="AC2664" i="2"/>
  <c r="AC2663" i="2"/>
  <c r="AC2662" i="2"/>
  <c r="AC2661" i="2"/>
  <c r="AC2660" i="2"/>
  <c r="AC2659" i="2"/>
  <c r="AC2658" i="2"/>
  <c r="AC2657" i="2"/>
  <c r="AC2656" i="2"/>
  <c r="AC2655" i="2"/>
  <c r="AC2654" i="2"/>
  <c r="AC2653" i="2"/>
  <c r="AC2652" i="2"/>
  <c r="AC2651" i="2"/>
  <c r="AC2650" i="2"/>
  <c r="AC2649" i="2"/>
  <c r="AC2648" i="2"/>
  <c r="AC2647" i="2"/>
  <c r="AC2646" i="2"/>
  <c r="AC2645" i="2"/>
  <c r="AC2644" i="2"/>
  <c r="AC2643" i="2"/>
  <c r="AC2642" i="2"/>
  <c r="AC2641" i="2"/>
  <c r="AC2640" i="2"/>
  <c r="AC2639" i="2"/>
  <c r="AC2638" i="2"/>
  <c r="AC2637" i="2"/>
  <c r="AC2636" i="2"/>
  <c r="AC2635" i="2"/>
  <c r="AC2634" i="2"/>
  <c r="AC2633" i="2"/>
  <c r="AC2632" i="2"/>
  <c r="AC2631" i="2"/>
  <c r="AC2630" i="2"/>
  <c r="AC2629" i="2"/>
  <c r="AC2628" i="2"/>
  <c r="AC2627" i="2"/>
  <c r="AC2626" i="2"/>
  <c r="AC2625" i="2"/>
  <c r="AC2624" i="2"/>
  <c r="AC2623" i="2"/>
  <c r="AC2622" i="2"/>
  <c r="AC2621" i="2"/>
  <c r="AC2620" i="2"/>
  <c r="AC2619" i="2"/>
  <c r="AC2618" i="2"/>
  <c r="AC2617" i="2"/>
  <c r="AC2616" i="2"/>
  <c r="AC2615" i="2"/>
  <c r="AC2614" i="2"/>
  <c r="AC2613" i="2"/>
  <c r="AC2612" i="2"/>
  <c r="AC2611" i="2"/>
  <c r="AC2610" i="2"/>
  <c r="AC2609" i="2"/>
  <c r="AC2608" i="2"/>
  <c r="AC2607" i="2"/>
  <c r="AC2606" i="2"/>
  <c r="AC2605" i="2"/>
  <c r="AC2604" i="2"/>
  <c r="AC2603" i="2"/>
  <c r="AC2602" i="2"/>
  <c r="AC2601" i="2"/>
  <c r="AC2600" i="2"/>
  <c r="AC2599" i="2"/>
  <c r="AC2598" i="2"/>
  <c r="AC2597" i="2"/>
  <c r="AC2596" i="2"/>
  <c r="AC2595" i="2"/>
  <c r="AC2594" i="2"/>
  <c r="AC2593" i="2"/>
  <c r="AC2592" i="2"/>
  <c r="AC2591" i="2"/>
  <c r="AC2590" i="2"/>
  <c r="AC2589" i="2"/>
  <c r="AC2588" i="2"/>
  <c r="AC2587" i="2"/>
  <c r="AC2586" i="2"/>
  <c r="AC2585" i="2"/>
  <c r="AC2584" i="2"/>
  <c r="AC2583" i="2"/>
  <c r="AC2582" i="2"/>
  <c r="AC2581" i="2"/>
  <c r="AC2580" i="2"/>
  <c r="AC2579" i="2"/>
  <c r="AC2578" i="2"/>
  <c r="AC2577" i="2"/>
  <c r="AC2576" i="2"/>
  <c r="AC2575" i="2"/>
  <c r="AC2574" i="2"/>
  <c r="AC2573" i="2"/>
  <c r="AC2572" i="2"/>
  <c r="AC2571" i="2"/>
  <c r="AC2570" i="2"/>
  <c r="AC2569" i="2"/>
  <c r="AC2568" i="2"/>
  <c r="AC2567" i="2"/>
  <c r="AC2566" i="2"/>
  <c r="AC2565" i="2"/>
  <c r="AC2564" i="2"/>
  <c r="AC2563" i="2"/>
  <c r="AC2562" i="2"/>
  <c r="AC2561" i="2"/>
  <c r="AC2560" i="2"/>
  <c r="AC2559" i="2"/>
  <c r="AC2558" i="2"/>
  <c r="AC2557" i="2"/>
  <c r="AC2556" i="2"/>
  <c r="AC2555" i="2"/>
  <c r="AC2554" i="2"/>
  <c r="AC2553" i="2"/>
  <c r="AC2552" i="2"/>
  <c r="AC2551" i="2"/>
  <c r="AC2550" i="2"/>
  <c r="AC2549" i="2"/>
  <c r="AC2548" i="2"/>
  <c r="AC2547" i="2"/>
  <c r="AC2546" i="2"/>
  <c r="AC2545" i="2"/>
  <c r="AC2544" i="2"/>
  <c r="AC2543" i="2"/>
  <c r="AC2542" i="2"/>
  <c r="AC2541" i="2"/>
  <c r="AC2540" i="2"/>
  <c r="AC2539" i="2"/>
  <c r="AC2538" i="2"/>
  <c r="AC2537" i="2"/>
  <c r="AC2536" i="2"/>
  <c r="AC2535" i="2"/>
  <c r="AC2534" i="2"/>
  <c r="AC2533" i="2"/>
  <c r="AC2532" i="2"/>
  <c r="AC2531" i="2"/>
  <c r="AC2530" i="2"/>
  <c r="AC2529" i="2"/>
  <c r="AC2528" i="2"/>
  <c r="AC2527" i="2"/>
  <c r="AC2526" i="2"/>
  <c r="AC2525" i="2"/>
  <c r="AC2524" i="2"/>
  <c r="AC2523" i="2"/>
  <c r="AC2522" i="2"/>
  <c r="AC2521" i="2"/>
  <c r="AC2520" i="2"/>
  <c r="AC2519" i="2"/>
  <c r="AC2518" i="2"/>
  <c r="AC2517" i="2"/>
  <c r="AC2516" i="2"/>
  <c r="AC2515" i="2"/>
  <c r="AC2514" i="2"/>
  <c r="AC2513" i="2"/>
  <c r="AC2512" i="2"/>
  <c r="AC2511" i="2"/>
  <c r="AC2510" i="2"/>
  <c r="AC2509" i="2"/>
  <c r="AC2508" i="2"/>
  <c r="AC2507" i="2"/>
  <c r="AC2506" i="2"/>
  <c r="AC2505" i="2"/>
  <c r="AC2504" i="2"/>
  <c r="AC2503" i="2"/>
  <c r="AC2502" i="2"/>
  <c r="AC2501" i="2"/>
  <c r="AC2500" i="2"/>
  <c r="AC2499" i="2"/>
  <c r="AC2498" i="2"/>
  <c r="AC2497" i="2"/>
  <c r="AC2496" i="2"/>
  <c r="AC2495" i="2"/>
  <c r="AC2494" i="2"/>
  <c r="AC2493" i="2"/>
  <c r="AC2492" i="2"/>
  <c r="AC2491" i="2"/>
  <c r="AC2490" i="2"/>
  <c r="AC2489" i="2"/>
  <c r="AC2488" i="2"/>
  <c r="AC2487" i="2"/>
  <c r="AC2486" i="2"/>
  <c r="AC2485" i="2"/>
  <c r="AC2484" i="2"/>
  <c r="AC2483" i="2"/>
  <c r="AC2482" i="2"/>
  <c r="AC2481" i="2"/>
  <c r="AC2480" i="2"/>
  <c r="AC2479" i="2"/>
  <c r="AC2478" i="2"/>
  <c r="AC2477" i="2"/>
  <c r="AC2476" i="2"/>
  <c r="AC2475" i="2"/>
  <c r="AC2474" i="2"/>
  <c r="AC2473" i="2"/>
  <c r="AC2472" i="2"/>
  <c r="AC2471" i="2"/>
  <c r="AC2470" i="2"/>
  <c r="AC2469" i="2"/>
  <c r="AC2468" i="2"/>
  <c r="AC2467" i="2"/>
  <c r="AC2466" i="2"/>
  <c r="AC2465" i="2"/>
  <c r="AC2464" i="2"/>
  <c r="AC2463" i="2"/>
  <c r="AC2462" i="2"/>
  <c r="AC2461" i="2"/>
  <c r="AC2460" i="2"/>
  <c r="AC2459" i="2"/>
  <c r="AC2458" i="2"/>
  <c r="AC2457" i="2"/>
  <c r="AC2456" i="2"/>
  <c r="AC2455" i="2"/>
  <c r="AC2454" i="2"/>
  <c r="AC2453" i="2"/>
  <c r="AC2452" i="2"/>
  <c r="AC2451" i="2"/>
  <c r="AC2450" i="2"/>
  <c r="AC2449" i="2"/>
  <c r="AC2448" i="2"/>
  <c r="AC2447" i="2"/>
  <c r="AC2446" i="2"/>
  <c r="AC2445" i="2"/>
  <c r="AC2444" i="2"/>
  <c r="AC2443" i="2"/>
  <c r="AC2442" i="2"/>
  <c r="AC2441" i="2"/>
  <c r="AC2440" i="2"/>
  <c r="AC2439" i="2"/>
  <c r="AC2438" i="2"/>
  <c r="AC2437" i="2"/>
  <c r="AC2436" i="2"/>
  <c r="AC2435" i="2"/>
  <c r="AC2434" i="2"/>
  <c r="AC2433" i="2"/>
  <c r="AC2432" i="2"/>
  <c r="AC2431" i="2"/>
  <c r="AC2430" i="2"/>
  <c r="AC2429" i="2"/>
  <c r="AC2428" i="2"/>
  <c r="AC2427" i="2"/>
  <c r="AC2426" i="2"/>
  <c r="AC2425" i="2"/>
  <c r="AC2424" i="2"/>
  <c r="AC2423" i="2"/>
  <c r="AC2422" i="2"/>
  <c r="AC2421" i="2"/>
  <c r="AC2420" i="2"/>
  <c r="AC2419" i="2"/>
  <c r="AC2418" i="2"/>
  <c r="AC2417" i="2"/>
  <c r="AC2416" i="2"/>
  <c r="AC2415" i="2"/>
  <c r="AC2414" i="2"/>
  <c r="AC2413" i="2"/>
  <c r="AC2412" i="2"/>
  <c r="AC2411" i="2"/>
  <c r="AC2410" i="2"/>
  <c r="AC2409" i="2"/>
  <c r="AC2408" i="2"/>
  <c r="AC2407" i="2"/>
  <c r="AC2406" i="2"/>
  <c r="AC2405" i="2"/>
  <c r="AC2404" i="2"/>
  <c r="AC2403" i="2"/>
  <c r="AC2402" i="2"/>
  <c r="AC2401" i="2"/>
  <c r="AC2400" i="2"/>
  <c r="AC2399" i="2"/>
  <c r="AC2398" i="2"/>
  <c r="AC2397" i="2"/>
  <c r="AC2396" i="2"/>
  <c r="AC2395" i="2"/>
  <c r="AC2394" i="2"/>
  <c r="AC2393" i="2"/>
  <c r="AC2392" i="2"/>
  <c r="AC2391" i="2"/>
  <c r="AC2390" i="2"/>
  <c r="AC2389" i="2"/>
  <c r="AC2388" i="2"/>
  <c r="AC2387" i="2"/>
  <c r="AC2386" i="2"/>
  <c r="AC2385" i="2"/>
  <c r="AC2384" i="2"/>
  <c r="AC2383" i="2"/>
  <c r="AC2382" i="2"/>
  <c r="AC2381" i="2"/>
  <c r="AC2380" i="2"/>
  <c r="AC2379" i="2"/>
  <c r="AC2378" i="2"/>
  <c r="AC2377" i="2"/>
  <c r="AC2376" i="2"/>
  <c r="AC2375" i="2"/>
  <c r="AC2374" i="2"/>
  <c r="AC2373" i="2"/>
  <c r="AC2372" i="2"/>
  <c r="AC2371" i="2"/>
  <c r="AC2370" i="2"/>
  <c r="AC2369" i="2"/>
  <c r="AC2368" i="2"/>
  <c r="AC2367" i="2"/>
  <c r="AC2366" i="2"/>
  <c r="AC2365" i="2"/>
  <c r="AC2364" i="2"/>
  <c r="AC2363" i="2"/>
  <c r="AC2362" i="2"/>
  <c r="AC2361" i="2"/>
  <c r="AC2360" i="2"/>
  <c r="AC2359" i="2"/>
  <c r="AC2358" i="2"/>
  <c r="AC2357" i="2"/>
  <c r="AC2356" i="2"/>
  <c r="AC2355" i="2"/>
  <c r="AC2354" i="2"/>
  <c r="AC2353" i="2"/>
  <c r="AC2352" i="2"/>
  <c r="AC2351" i="2"/>
  <c r="AC2350" i="2"/>
  <c r="AC2349" i="2"/>
  <c r="AC2348" i="2"/>
  <c r="AC2347" i="2"/>
  <c r="AC2346" i="2"/>
  <c r="AC2345" i="2"/>
  <c r="AC2344" i="2"/>
  <c r="AC2343" i="2"/>
  <c r="AC2342" i="2"/>
  <c r="AC2341" i="2"/>
  <c r="AC2340" i="2"/>
  <c r="AC2339" i="2"/>
  <c r="AC2338" i="2"/>
  <c r="AC2337" i="2"/>
  <c r="AC2336" i="2"/>
  <c r="AC2335" i="2"/>
  <c r="AC2334" i="2"/>
  <c r="AC2333" i="2"/>
  <c r="AC2332" i="2"/>
  <c r="AC2331" i="2"/>
  <c r="AC2330" i="2"/>
  <c r="AC2329" i="2"/>
  <c r="AC2328" i="2"/>
  <c r="AC2327" i="2"/>
  <c r="AC2326" i="2"/>
  <c r="AC2325" i="2"/>
  <c r="AC2324" i="2"/>
  <c r="AC2323" i="2"/>
  <c r="AC2322" i="2"/>
  <c r="AC2321" i="2"/>
  <c r="AC2320" i="2"/>
  <c r="AC2319" i="2"/>
  <c r="AC2318" i="2"/>
  <c r="AC2317" i="2"/>
  <c r="AC2316" i="2"/>
  <c r="AC2315" i="2"/>
  <c r="AC2314" i="2"/>
  <c r="AC2313" i="2"/>
  <c r="AC2312" i="2"/>
  <c r="AC2311" i="2"/>
  <c r="AC2310" i="2"/>
  <c r="AC2309" i="2"/>
  <c r="AC2308" i="2"/>
  <c r="AC2307" i="2"/>
  <c r="AC2306" i="2"/>
  <c r="AC2305" i="2"/>
  <c r="AC2304" i="2"/>
  <c r="AC2303" i="2"/>
  <c r="AC2302" i="2"/>
  <c r="AC2301" i="2"/>
  <c r="AC2300" i="2"/>
  <c r="AC2299" i="2"/>
  <c r="AC2298" i="2"/>
  <c r="AC2297" i="2"/>
  <c r="AC2296" i="2"/>
  <c r="AC2295" i="2"/>
  <c r="AC2294" i="2"/>
  <c r="AC2293" i="2"/>
  <c r="AC2292" i="2"/>
  <c r="AC2291" i="2"/>
  <c r="AC2290" i="2"/>
  <c r="AC2289" i="2"/>
  <c r="AC2288" i="2"/>
  <c r="AC2287" i="2"/>
  <c r="AC2286" i="2"/>
  <c r="AC2285" i="2"/>
  <c r="AC2284" i="2"/>
  <c r="AC2283" i="2"/>
  <c r="AC2282" i="2"/>
  <c r="AC2281" i="2"/>
  <c r="AC2280" i="2"/>
  <c r="AC2279" i="2"/>
  <c r="AC2278" i="2"/>
  <c r="AC2277" i="2"/>
  <c r="AC2276" i="2"/>
  <c r="AC2275" i="2"/>
  <c r="AC2274" i="2"/>
  <c r="AC2273" i="2"/>
  <c r="AC2272" i="2"/>
  <c r="AC2271" i="2"/>
  <c r="AC2270" i="2"/>
  <c r="AC2269" i="2"/>
  <c r="AC2268" i="2"/>
  <c r="AC2267" i="2"/>
  <c r="AC2266" i="2"/>
  <c r="AC2265" i="2"/>
  <c r="AC2264" i="2"/>
  <c r="AC2263" i="2"/>
  <c r="AC2262" i="2"/>
  <c r="AC2261" i="2"/>
  <c r="AC2260" i="2"/>
  <c r="AC2259" i="2"/>
  <c r="AC2258" i="2"/>
  <c r="AC2257" i="2"/>
  <c r="AC2256" i="2"/>
  <c r="AC2255" i="2"/>
  <c r="AC2254" i="2"/>
  <c r="AC2253" i="2"/>
  <c r="AC2252" i="2"/>
  <c r="AC2251" i="2"/>
  <c r="AC2250" i="2"/>
  <c r="AC2249" i="2"/>
  <c r="AC2248" i="2"/>
  <c r="AC2247" i="2"/>
  <c r="AC2246" i="2"/>
  <c r="AC2245" i="2"/>
  <c r="AC2244" i="2"/>
  <c r="AC2243" i="2"/>
  <c r="AC2242" i="2"/>
  <c r="AC2241" i="2"/>
  <c r="AC2240" i="2"/>
  <c r="AC2239" i="2"/>
  <c r="AC2238" i="2"/>
  <c r="AC2237" i="2"/>
  <c r="AC2236" i="2"/>
  <c r="AC2235" i="2"/>
  <c r="AC2234" i="2"/>
  <c r="AC2233" i="2"/>
  <c r="AC2232" i="2"/>
  <c r="AC2231" i="2"/>
  <c r="AC2230" i="2"/>
  <c r="AC2229" i="2"/>
  <c r="AC2228" i="2"/>
  <c r="AC2227" i="2"/>
  <c r="AC2226" i="2"/>
  <c r="AC2225" i="2"/>
  <c r="AC2224" i="2"/>
  <c r="AC2223" i="2"/>
  <c r="AC2222" i="2"/>
  <c r="AC2221" i="2"/>
  <c r="AC2220" i="2"/>
  <c r="AC2219" i="2"/>
  <c r="AC2218" i="2"/>
  <c r="AC2217" i="2"/>
  <c r="AC2216" i="2"/>
  <c r="AC2215" i="2"/>
  <c r="AC2214" i="2"/>
  <c r="AC2213" i="2"/>
  <c r="AC2212" i="2"/>
  <c r="AC2211" i="2"/>
  <c r="AC2210" i="2"/>
  <c r="AC2209" i="2"/>
  <c r="AC2208" i="2"/>
  <c r="AC2207" i="2"/>
  <c r="AC2206" i="2"/>
  <c r="AC2205" i="2"/>
  <c r="AC2204" i="2"/>
  <c r="AC2203" i="2"/>
  <c r="AC2202" i="2"/>
  <c r="AC2201" i="2"/>
  <c r="AC2200" i="2"/>
  <c r="AC2199" i="2"/>
  <c r="AC2198" i="2"/>
  <c r="AC2197" i="2"/>
  <c r="AC2196" i="2"/>
  <c r="AC2195" i="2"/>
  <c r="AC2194" i="2"/>
  <c r="AC2193" i="2"/>
  <c r="AC2192" i="2"/>
  <c r="AC2191" i="2"/>
  <c r="AC2190" i="2"/>
  <c r="AC2189" i="2"/>
  <c r="AC2188" i="2"/>
  <c r="AC2187" i="2"/>
  <c r="AC2186" i="2"/>
  <c r="AC2185" i="2"/>
  <c r="AC2184" i="2"/>
  <c r="AC2183" i="2"/>
  <c r="AC2182" i="2"/>
  <c r="AC2181" i="2"/>
  <c r="AC2180" i="2"/>
  <c r="AC2179" i="2"/>
  <c r="AC2178" i="2"/>
  <c r="AC2177" i="2"/>
  <c r="AC2176" i="2"/>
  <c r="AC2175" i="2"/>
  <c r="AC2174" i="2"/>
  <c r="AC2173" i="2"/>
  <c r="AC2172" i="2"/>
  <c r="AC2171" i="2"/>
  <c r="AC2170" i="2"/>
  <c r="AC2169" i="2"/>
  <c r="AC2168" i="2"/>
  <c r="AC2167" i="2"/>
  <c r="AC2166" i="2"/>
  <c r="AC2165" i="2"/>
  <c r="AC2164" i="2"/>
  <c r="AC2163" i="2"/>
  <c r="AC2162" i="2"/>
  <c r="AC2161" i="2"/>
  <c r="AC2160" i="2"/>
  <c r="AC2159" i="2"/>
  <c r="AC2158" i="2"/>
  <c r="AC2157" i="2"/>
  <c r="AC2156" i="2"/>
  <c r="AC2155" i="2"/>
  <c r="AC2154" i="2"/>
  <c r="AC2153" i="2"/>
  <c r="AC2152" i="2"/>
  <c r="AC2151" i="2"/>
  <c r="AC2150" i="2"/>
  <c r="AC2149" i="2"/>
  <c r="AC2148" i="2"/>
  <c r="AC2147" i="2"/>
  <c r="AC2146" i="2"/>
  <c r="AC2145" i="2"/>
  <c r="AC2144" i="2"/>
  <c r="AC2143" i="2"/>
  <c r="AC2142" i="2"/>
  <c r="AC2141" i="2"/>
  <c r="AC2140" i="2"/>
  <c r="AC2139" i="2"/>
  <c r="AC2138" i="2"/>
  <c r="AC2137" i="2"/>
  <c r="AC2136" i="2"/>
  <c r="AC2135" i="2"/>
  <c r="AC2134" i="2"/>
  <c r="AC2133" i="2"/>
  <c r="AC2132" i="2"/>
  <c r="AC2131" i="2"/>
  <c r="AC2130" i="2"/>
  <c r="AC2129" i="2"/>
  <c r="AC2128" i="2"/>
  <c r="AC2127" i="2"/>
  <c r="AC2126" i="2"/>
  <c r="AC2125" i="2"/>
  <c r="AC2124" i="2"/>
  <c r="AC2123" i="2"/>
  <c r="AC2122" i="2"/>
  <c r="AC2121" i="2"/>
  <c r="AC2120" i="2"/>
  <c r="AC2119" i="2"/>
  <c r="AC2118" i="2"/>
  <c r="AC2117" i="2"/>
  <c r="AC2116" i="2"/>
  <c r="AC2115" i="2"/>
  <c r="AC2114" i="2"/>
  <c r="AC2113" i="2"/>
  <c r="AC2112" i="2"/>
  <c r="AC2111" i="2"/>
  <c r="AC2110" i="2"/>
  <c r="AC2109" i="2"/>
  <c r="AC2108" i="2"/>
  <c r="AC2107" i="2"/>
  <c r="AC2106" i="2"/>
  <c r="AC2105" i="2"/>
  <c r="AC2104" i="2"/>
  <c r="AC2103" i="2"/>
  <c r="AC2102" i="2"/>
  <c r="AC2101" i="2"/>
  <c r="AC2100" i="2"/>
  <c r="AC2099" i="2"/>
  <c r="AC2098" i="2"/>
  <c r="AC2097" i="2"/>
  <c r="AC2096" i="2"/>
  <c r="AC2095" i="2"/>
  <c r="AC2094" i="2"/>
  <c r="AC2093" i="2"/>
  <c r="AC2092" i="2"/>
  <c r="AC2091" i="2"/>
  <c r="AC2090" i="2"/>
  <c r="AC2089" i="2"/>
  <c r="AC2088" i="2"/>
  <c r="AC2087" i="2"/>
  <c r="AC2086" i="2"/>
  <c r="AC2085" i="2"/>
  <c r="AC2084" i="2"/>
  <c r="AC2083" i="2"/>
  <c r="AC2082" i="2"/>
  <c r="AC2081" i="2"/>
  <c r="AC2080" i="2"/>
  <c r="AC2079" i="2"/>
  <c r="AC2078" i="2"/>
  <c r="AC2077" i="2"/>
  <c r="AC2076" i="2"/>
  <c r="AC2075" i="2"/>
  <c r="AC2074" i="2"/>
  <c r="AC2073" i="2"/>
  <c r="AC2072" i="2"/>
  <c r="AC2071" i="2"/>
  <c r="AC2070" i="2"/>
  <c r="AC2069" i="2"/>
  <c r="AC2068" i="2"/>
  <c r="AC2067" i="2"/>
  <c r="AC2066" i="2"/>
  <c r="AC2065" i="2"/>
  <c r="AC2064" i="2"/>
  <c r="AC2063" i="2"/>
  <c r="AC2062" i="2"/>
  <c r="AC2061" i="2"/>
  <c r="AC2060" i="2"/>
  <c r="AC2059" i="2"/>
  <c r="AC2058" i="2"/>
  <c r="AC2057" i="2"/>
  <c r="AC2056" i="2"/>
  <c r="AC2055" i="2"/>
  <c r="AC2054" i="2"/>
  <c r="AC2053" i="2"/>
  <c r="AC2052" i="2"/>
  <c r="AC2051" i="2"/>
  <c r="AC2050" i="2"/>
  <c r="AC2049" i="2"/>
  <c r="AC2048" i="2"/>
  <c r="AC2047" i="2"/>
  <c r="AC2046" i="2"/>
  <c r="AC2045" i="2"/>
  <c r="AC2044" i="2"/>
  <c r="AC2043" i="2"/>
  <c r="AC2042" i="2"/>
  <c r="AC2041" i="2"/>
  <c r="AC2040" i="2"/>
  <c r="AC2039" i="2"/>
  <c r="AC2038" i="2"/>
  <c r="AC2037" i="2"/>
  <c r="AC2036" i="2"/>
  <c r="AC2035" i="2"/>
  <c r="AC2034" i="2"/>
  <c r="AC2033" i="2"/>
  <c r="AC2032" i="2"/>
  <c r="AC2031" i="2"/>
  <c r="AC2030" i="2"/>
  <c r="AC2029" i="2"/>
  <c r="AC2028" i="2"/>
  <c r="AC2027" i="2"/>
  <c r="AC2026" i="2"/>
  <c r="AC2025" i="2"/>
  <c r="AC2024" i="2"/>
  <c r="AC2023" i="2"/>
  <c r="AC2022" i="2"/>
  <c r="AC2021" i="2"/>
  <c r="AC2020" i="2"/>
  <c r="AC2019" i="2"/>
  <c r="AC2018" i="2"/>
  <c r="AC2017" i="2"/>
  <c r="AC2016" i="2"/>
  <c r="AC2015" i="2"/>
  <c r="AC2014" i="2"/>
  <c r="AC2013" i="2"/>
  <c r="AC2012" i="2"/>
  <c r="AC2011" i="2"/>
  <c r="AC2010" i="2"/>
  <c r="AC2009" i="2"/>
  <c r="AC2008" i="2"/>
  <c r="AC2007" i="2"/>
  <c r="AC2006" i="2"/>
  <c r="AC2005" i="2"/>
  <c r="AC2004" i="2"/>
  <c r="AC2003" i="2"/>
  <c r="AC2002" i="2"/>
  <c r="AC2001" i="2"/>
  <c r="AC2000" i="2"/>
  <c r="AC1999" i="2"/>
  <c r="AC1998" i="2"/>
  <c r="AC1997" i="2"/>
  <c r="AC1996" i="2"/>
  <c r="AC1995" i="2"/>
  <c r="AC1994" i="2"/>
  <c r="AC1993" i="2"/>
  <c r="AC1992" i="2"/>
  <c r="AC1991" i="2"/>
  <c r="AC1990" i="2"/>
  <c r="AC1989" i="2"/>
  <c r="AC1988" i="2"/>
  <c r="AC1987" i="2"/>
  <c r="AC1986" i="2"/>
  <c r="AC1985" i="2"/>
  <c r="AC1984" i="2"/>
  <c r="AC1983" i="2"/>
  <c r="AC1982" i="2"/>
  <c r="AC1981" i="2"/>
  <c r="AC1980" i="2"/>
  <c r="AC1979" i="2"/>
  <c r="AC1978" i="2"/>
  <c r="AC1977" i="2"/>
  <c r="AC1976" i="2"/>
  <c r="AC1975" i="2"/>
  <c r="AC1974" i="2"/>
  <c r="AC1973" i="2"/>
  <c r="AC1972" i="2"/>
  <c r="AC1971" i="2"/>
  <c r="AC1970" i="2"/>
  <c r="AC1969" i="2"/>
  <c r="AC1968" i="2"/>
  <c r="AC1967" i="2"/>
  <c r="AC1966" i="2"/>
  <c r="AC1965" i="2"/>
  <c r="AC1964" i="2"/>
  <c r="AC1963" i="2"/>
  <c r="AC1962" i="2"/>
  <c r="AC1961" i="2"/>
  <c r="AC1960" i="2"/>
  <c r="AC1959" i="2"/>
  <c r="AC1958" i="2"/>
  <c r="AC1957" i="2"/>
  <c r="AC1956" i="2"/>
  <c r="AC1955" i="2"/>
  <c r="AC1954" i="2"/>
  <c r="AC1953" i="2"/>
  <c r="AC1952" i="2"/>
  <c r="AC1951" i="2"/>
  <c r="AC1950" i="2"/>
  <c r="AC1949" i="2"/>
  <c r="AC1948" i="2"/>
  <c r="AC1947" i="2"/>
  <c r="AC1946" i="2"/>
  <c r="AC1945" i="2"/>
  <c r="AC1944" i="2"/>
  <c r="AC1943" i="2"/>
  <c r="AC1942" i="2"/>
  <c r="AC1941" i="2"/>
  <c r="AC1940" i="2"/>
  <c r="AC1939" i="2"/>
  <c r="AC1938" i="2"/>
  <c r="AC1937" i="2"/>
  <c r="AC1936" i="2"/>
  <c r="AC1935" i="2"/>
  <c r="AC1934" i="2"/>
  <c r="AC1933" i="2"/>
  <c r="AC1932" i="2"/>
  <c r="AC1931" i="2"/>
  <c r="AC1930" i="2"/>
  <c r="AC1929" i="2"/>
  <c r="AC1928" i="2"/>
  <c r="AC1927" i="2"/>
  <c r="AC1926" i="2"/>
  <c r="AC1925" i="2"/>
  <c r="AC1924" i="2"/>
  <c r="AC1923" i="2"/>
  <c r="AC1922" i="2"/>
  <c r="AC1921" i="2"/>
  <c r="AC1920" i="2"/>
  <c r="AC1919" i="2"/>
  <c r="AC1918" i="2"/>
  <c r="AC1917" i="2"/>
  <c r="AC1916" i="2"/>
  <c r="AC1915" i="2"/>
  <c r="AC1914" i="2"/>
  <c r="AC1913" i="2"/>
  <c r="AC1912" i="2"/>
  <c r="AC1911" i="2"/>
  <c r="AC1910" i="2"/>
  <c r="AC1909" i="2"/>
  <c r="AC1908" i="2"/>
  <c r="AC1907" i="2"/>
  <c r="AC1906" i="2"/>
  <c r="AC1905" i="2"/>
  <c r="AC1904" i="2"/>
  <c r="AC1903" i="2"/>
  <c r="AC1902" i="2"/>
  <c r="AC1901" i="2"/>
  <c r="AC1900" i="2"/>
  <c r="AC1899" i="2"/>
  <c r="AC1898" i="2"/>
  <c r="AC1897" i="2"/>
  <c r="AC1896" i="2"/>
  <c r="AC1895" i="2"/>
  <c r="AC1894" i="2"/>
  <c r="AC1893" i="2"/>
  <c r="AC1892" i="2"/>
  <c r="AC1891" i="2"/>
  <c r="AC1890" i="2"/>
  <c r="AC1889" i="2"/>
  <c r="AC1888" i="2"/>
  <c r="AC1887" i="2"/>
  <c r="AC1886" i="2"/>
  <c r="AC1885" i="2"/>
  <c r="AC1884" i="2"/>
  <c r="AC1883" i="2"/>
  <c r="AC1882" i="2"/>
  <c r="AC1881" i="2"/>
  <c r="AC1880" i="2"/>
  <c r="AC1879" i="2"/>
  <c r="AC1878" i="2"/>
  <c r="AC1877" i="2"/>
  <c r="AC1876" i="2"/>
  <c r="AC1875" i="2"/>
  <c r="AC1874" i="2"/>
  <c r="AC1873" i="2"/>
  <c r="AC1872" i="2"/>
  <c r="AC1871" i="2"/>
  <c r="AC1870" i="2"/>
  <c r="AC1869" i="2"/>
  <c r="AC1868" i="2"/>
  <c r="AC1867" i="2"/>
  <c r="AC1866" i="2"/>
  <c r="AC1865" i="2"/>
  <c r="AC1864" i="2"/>
  <c r="AC1863" i="2"/>
  <c r="AC1862" i="2"/>
  <c r="AC1861" i="2"/>
  <c r="AC1860" i="2"/>
  <c r="AC1859" i="2"/>
  <c r="AC1858" i="2"/>
  <c r="AC1857" i="2"/>
  <c r="AC1856" i="2"/>
  <c r="AC1855" i="2"/>
  <c r="AC1854" i="2"/>
  <c r="AC1853" i="2"/>
  <c r="AC1852" i="2"/>
  <c r="AC1851" i="2"/>
  <c r="AC1850" i="2"/>
  <c r="AC1849" i="2"/>
  <c r="AC1848" i="2"/>
  <c r="AC1847" i="2"/>
  <c r="AC1846" i="2"/>
  <c r="AC1845" i="2"/>
  <c r="AC1844" i="2"/>
  <c r="AC1843" i="2"/>
  <c r="AC1842" i="2"/>
  <c r="AC1841" i="2"/>
  <c r="AC1840" i="2"/>
  <c r="AC1839" i="2"/>
  <c r="AC1838" i="2"/>
  <c r="AC1837" i="2"/>
  <c r="AC1836" i="2"/>
  <c r="AC1835" i="2"/>
  <c r="AC1834" i="2"/>
  <c r="AC1833" i="2"/>
  <c r="AC1832" i="2"/>
  <c r="AC1831" i="2"/>
  <c r="AC1830" i="2"/>
  <c r="AC1829" i="2"/>
  <c r="AC1828" i="2"/>
  <c r="AC1827" i="2"/>
  <c r="AC1826" i="2"/>
  <c r="AC1825" i="2"/>
  <c r="AC1824" i="2"/>
  <c r="AC1823" i="2"/>
  <c r="AC1822" i="2"/>
  <c r="AC1821" i="2"/>
  <c r="AC1820" i="2"/>
  <c r="AC1819" i="2"/>
  <c r="AC1818" i="2"/>
  <c r="AC1817" i="2"/>
  <c r="AC1816" i="2"/>
  <c r="AC1815" i="2"/>
  <c r="AC1814" i="2"/>
  <c r="AC1813" i="2"/>
  <c r="AC1812" i="2"/>
  <c r="AC1811" i="2"/>
  <c r="AC1810" i="2"/>
  <c r="AC1809" i="2"/>
  <c r="AC1808" i="2"/>
  <c r="AC1807" i="2"/>
  <c r="AC1806" i="2"/>
  <c r="AC1805" i="2"/>
  <c r="AC1804" i="2"/>
  <c r="AC1803" i="2"/>
  <c r="AC1802" i="2"/>
  <c r="AC1801" i="2"/>
  <c r="AC1800" i="2"/>
  <c r="AC1799" i="2"/>
  <c r="AC1798" i="2"/>
  <c r="AC1797" i="2"/>
  <c r="AC1796" i="2"/>
  <c r="AC1795" i="2"/>
  <c r="AC1794" i="2"/>
  <c r="AC1793" i="2"/>
  <c r="AC1792" i="2"/>
  <c r="AC1791" i="2"/>
  <c r="AC1790" i="2"/>
  <c r="AC1789" i="2"/>
  <c r="AC1788" i="2"/>
  <c r="AC1787" i="2"/>
  <c r="AC1786" i="2"/>
  <c r="AC1785" i="2"/>
  <c r="AC1784" i="2"/>
  <c r="AC1783" i="2"/>
  <c r="AC1782" i="2"/>
  <c r="AC1781" i="2"/>
  <c r="AC1780" i="2"/>
  <c r="AC1779" i="2"/>
  <c r="AC1778" i="2"/>
  <c r="AC1777" i="2"/>
  <c r="AC1776" i="2"/>
  <c r="AC1775" i="2"/>
  <c r="AC1774" i="2"/>
  <c r="AC1773" i="2"/>
  <c r="AC1772" i="2"/>
  <c r="AC1771" i="2"/>
  <c r="AC1770" i="2"/>
  <c r="AC1769" i="2"/>
  <c r="AC1768" i="2"/>
  <c r="AC1767" i="2"/>
  <c r="AC1766" i="2"/>
  <c r="AC1765" i="2"/>
  <c r="AC1764" i="2"/>
  <c r="AC1763" i="2"/>
  <c r="AC1762" i="2"/>
  <c r="AC1761" i="2"/>
  <c r="AC1760" i="2"/>
  <c r="AC1759" i="2"/>
  <c r="AC1758" i="2"/>
  <c r="AC1757" i="2"/>
  <c r="AC1756" i="2"/>
  <c r="AC1755" i="2"/>
  <c r="AC1754" i="2"/>
  <c r="AC1753" i="2"/>
  <c r="AC1752" i="2"/>
  <c r="AC1751" i="2"/>
  <c r="AC1750" i="2"/>
  <c r="AC1749" i="2"/>
  <c r="AC1748" i="2"/>
  <c r="AC1747" i="2"/>
  <c r="AC1746" i="2"/>
  <c r="AC1745" i="2"/>
  <c r="AC1744" i="2"/>
  <c r="AC1743" i="2"/>
  <c r="AC1742" i="2"/>
  <c r="AC1741" i="2"/>
  <c r="AC1740" i="2"/>
  <c r="AC1739" i="2"/>
  <c r="AC1738" i="2"/>
  <c r="AC1737" i="2"/>
  <c r="AC1736" i="2"/>
  <c r="AC1735" i="2"/>
  <c r="AC1734" i="2"/>
  <c r="AC1733" i="2"/>
  <c r="AC1732" i="2"/>
  <c r="AC1731" i="2"/>
  <c r="AC1730" i="2"/>
  <c r="AC1729" i="2"/>
  <c r="AC1728" i="2"/>
  <c r="AC1727" i="2"/>
  <c r="AC1726" i="2"/>
  <c r="AC1725" i="2"/>
  <c r="AC1724" i="2"/>
  <c r="AC1723" i="2"/>
  <c r="AC1722" i="2"/>
  <c r="AC1721" i="2"/>
  <c r="AC1720" i="2"/>
  <c r="AC1719" i="2"/>
  <c r="AC1718" i="2"/>
  <c r="AC1717" i="2"/>
  <c r="AC1716" i="2"/>
  <c r="AC1715" i="2"/>
  <c r="AC1714" i="2"/>
  <c r="AC1713" i="2"/>
  <c r="AC1712" i="2"/>
  <c r="AC1711" i="2"/>
  <c r="AC1710" i="2"/>
  <c r="AC1709" i="2"/>
  <c r="AC1708" i="2"/>
  <c r="AC1707" i="2"/>
  <c r="AC1706" i="2"/>
  <c r="AC1705" i="2"/>
  <c r="AC1704" i="2"/>
  <c r="AC1703" i="2"/>
  <c r="AC1702" i="2"/>
  <c r="AC1701" i="2"/>
  <c r="AC1700" i="2"/>
  <c r="AC1699" i="2"/>
  <c r="AC1698" i="2"/>
  <c r="AC1697" i="2"/>
  <c r="AC1696" i="2"/>
  <c r="AC1695" i="2"/>
  <c r="AC1694" i="2"/>
  <c r="AC1693" i="2"/>
  <c r="AC1692" i="2"/>
  <c r="AC1691" i="2"/>
  <c r="AC1690" i="2"/>
  <c r="AC1689" i="2"/>
  <c r="AC1688" i="2"/>
  <c r="AC1687" i="2"/>
  <c r="AC1686" i="2"/>
  <c r="AC1685" i="2"/>
  <c r="AC1684" i="2"/>
  <c r="AC1683" i="2"/>
  <c r="AC1682" i="2"/>
  <c r="AC1681" i="2"/>
  <c r="AC1680" i="2"/>
  <c r="AC1679" i="2"/>
  <c r="AC1678" i="2"/>
  <c r="AC1677" i="2"/>
  <c r="AC1676" i="2"/>
  <c r="AC1675" i="2"/>
  <c r="AC1674" i="2"/>
  <c r="AC1673" i="2"/>
  <c r="AC1672" i="2"/>
  <c r="AC1671" i="2"/>
  <c r="AC1670" i="2"/>
  <c r="AC1669" i="2"/>
  <c r="AC1668" i="2"/>
  <c r="AC1667" i="2"/>
  <c r="AC1666" i="2"/>
  <c r="AC1665" i="2"/>
  <c r="AC1664" i="2"/>
  <c r="AC1663" i="2"/>
  <c r="AC1662" i="2"/>
  <c r="AC1661" i="2"/>
  <c r="AC1660" i="2"/>
  <c r="AC1659" i="2"/>
  <c r="AC1658" i="2"/>
  <c r="AC1657" i="2"/>
  <c r="AC1656" i="2"/>
  <c r="AC1655" i="2"/>
  <c r="AC1654" i="2"/>
  <c r="AC1653" i="2"/>
  <c r="AC1652" i="2"/>
  <c r="AC1651" i="2"/>
  <c r="AC1650" i="2"/>
  <c r="AC1649" i="2"/>
  <c r="AC1648" i="2"/>
  <c r="AC1647" i="2"/>
  <c r="AC1646" i="2"/>
  <c r="AC1645" i="2"/>
  <c r="AC1644" i="2"/>
  <c r="AC1643" i="2"/>
  <c r="AC1642" i="2"/>
  <c r="AC1641" i="2"/>
  <c r="AC1640" i="2"/>
  <c r="AC1639" i="2"/>
  <c r="AC1638" i="2"/>
  <c r="AC1637" i="2"/>
  <c r="AC1636" i="2"/>
  <c r="AC1635" i="2"/>
  <c r="AC1634" i="2"/>
  <c r="AC1633" i="2"/>
  <c r="AC1632" i="2"/>
  <c r="AC1631" i="2"/>
  <c r="AC1630" i="2"/>
  <c r="AC1629" i="2"/>
  <c r="AC1628" i="2"/>
  <c r="AC1627" i="2"/>
  <c r="AC1626" i="2"/>
  <c r="AC1625" i="2"/>
  <c r="AC1624" i="2"/>
  <c r="AC1623" i="2"/>
  <c r="AC1622" i="2"/>
  <c r="AC1621" i="2"/>
  <c r="AC1620" i="2"/>
  <c r="AC1619" i="2"/>
  <c r="AC1618" i="2"/>
  <c r="AC1617" i="2"/>
  <c r="AC1616" i="2"/>
  <c r="AC1615" i="2"/>
  <c r="AC1614" i="2"/>
  <c r="AC1613" i="2"/>
  <c r="AC1612" i="2"/>
  <c r="AC1611" i="2"/>
  <c r="AC1610" i="2"/>
  <c r="AC1609" i="2"/>
  <c r="AC1608" i="2"/>
  <c r="AC1607" i="2"/>
  <c r="AC1606" i="2"/>
  <c r="AC1605" i="2"/>
  <c r="AC1604" i="2"/>
  <c r="AC1603" i="2"/>
  <c r="AC1602" i="2"/>
  <c r="AC1601" i="2"/>
  <c r="AC1600" i="2"/>
  <c r="AC1599" i="2"/>
  <c r="AC1598" i="2"/>
  <c r="AC1597" i="2"/>
  <c r="AC1596" i="2"/>
  <c r="AC1595" i="2"/>
  <c r="AC1594" i="2"/>
  <c r="AC1593" i="2"/>
  <c r="AC1592" i="2"/>
  <c r="AC1591" i="2"/>
  <c r="AC1590" i="2"/>
  <c r="AC1589" i="2"/>
  <c r="AC1588" i="2"/>
  <c r="AC1587" i="2"/>
  <c r="AC1586" i="2"/>
  <c r="AC1585" i="2"/>
  <c r="AC1584" i="2"/>
  <c r="AC1583" i="2"/>
  <c r="AC1582" i="2"/>
  <c r="AC1581" i="2"/>
  <c r="AC1580" i="2"/>
  <c r="AC1579" i="2"/>
  <c r="AC1578" i="2"/>
  <c r="AC1577" i="2"/>
  <c r="AC1576" i="2"/>
  <c r="AC1575" i="2"/>
  <c r="AC1574" i="2"/>
  <c r="AC1573" i="2"/>
  <c r="AC1572" i="2"/>
  <c r="AC1571" i="2"/>
  <c r="AC1570" i="2"/>
  <c r="AC1569" i="2"/>
  <c r="AC1568" i="2"/>
  <c r="AC1567" i="2"/>
  <c r="AC1566" i="2"/>
  <c r="AC1565" i="2"/>
  <c r="AC1564" i="2"/>
  <c r="AC1563" i="2"/>
  <c r="AC1562" i="2"/>
  <c r="AC1561" i="2"/>
  <c r="AC1560" i="2"/>
  <c r="AC1559" i="2"/>
  <c r="AC1558" i="2"/>
  <c r="AC1557" i="2"/>
  <c r="AC1556" i="2"/>
  <c r="AC1555" i="2"/>
  <c r="AC1554" i="2"/>
  <c r="AC1553" i="2"/>
  <c r="AC1552" i="2"/>
  <c r="AC1551" i="2"/>
  <c r="AC1550" i="2"/>
  <c r="AC1549" i="2"/>
  <c r="AC1548" i="2"/>
  <c r="AC1547" i="2"/>
  <c r="AC1546" i="2"/>
  <c r="AC1545" i="2"/>
  <c r="AC1544" i="2"/>
  <c r="AC1543" i="2"/>
  <c r="AC1542" i="2"/>
  <c r="AC1541" i="2"/>
  <c r="AC1540" i="2"/>
  <c r="AC1539" i="2"/>
  <c r="AC1538" i="2"/>
  <c r="AC1537" i="2"/>
  <c r="AC1536" i="2"/>
  <c r="AC1535" i="2"/>
  <c r="AC1534" i="2"/>
  <c r="AC1533" i="2"/>
  <c r="AC1532" i="2"/>
  <c r="AC1531" i="2"/>
  <c r="AC1530" i="2"/>
  <c r="AC1529" i="2"/>
  <c r="AC1528" i="2"/>
  <c r="AC1527" i="2"/>
  <c r="AC1526" i="2"/>
  <c r="AC1525" i="2"/>
  <c r="AC1524" i="2"/>
  <c r="AC1523" i="2"/>
  <c r="AC1522" i="2"/>
  <c r="AC1521" i="2"/>
  <c r="AC1520" i="2"/>
  <c r="AC1519" i="2"/>
  <c r="AC1518" i="2"/>
  <c r="AC1517" i="2"/>
  <c r="AC1516" i="2"/>
  <c r="AC1515" i="2"/>
  <c r="AC1514" i="2"/>
  <c r="AC1513" i="2"/>
  <c r="AC1512" i="2"/>
  <c r="AC1511" i="2"/>
  <c r="AC1510" i="2"/>
  <c r="AC1509" i="2"/>
  <c r="AC1508" i="2"/>
  <c r="AC1507" i="2"/>
  <c r="AC1506" i="2"/>
  <c r="AC1505" i="2"/>
  <c r="AC1504" i="2"/>
  <c r="AC1503" i="2"/>
  <c r="AC1502" i="2"/>
  <c r="AC1501" i="2"/>
  <c r="AC1500" i="2"/>
  <c r="AC1499" i="2"/>
  <c r="AC1498" i="2"/>
  <c r="AC1497" i="2"/>
  <c r="AC1496" i="2"/>
  <c r="AC1495" i="2"/>
  <c r="AC1494" i="2"/>
  <c r="AC1493" i="2"/>
  <c r="AC1492" i="2"/>
  <c r="AC1491" i="2"/>
  <c r="AC1490" i="2"/>
  <c r="AC1489" i="2"/>
  <c r="AC1488" i="2"/>
  <c r="AC1487" i="2"/>
  <c r="AC1486" i="2"/>
  <c r="AC1485" i="2"/>
  <c r="AC1484" i="2"/>
  <c r="AC1483" i="2"/>
  <c r="AC1482" i="2"/>
  <c r="AC1481" i="2"/>
  <c r="AC1480" i="2"/>
  <c r="AC1479" i="2"/>
  <c r="AC1478" i="2"/>
  <c r="AC1477" i="2"/>
  <c r="AC1476" i="2"/>
  <c r="AC1475" i="2"/>
  <c r="AC1474" i="2"/>
  <c r="AC1473" i="2"/>
  <c r="AC1472" i="2"/>
  <c r="AC1471" i="2"/>
  <c r="AC1470" i="2"/>
  <c r="AC1469" i="2"/>
  <c r="AC1468" i="2"/>
  <c r="AC1467" i="2"/>
  <c r="AC1466" i="2"/>
  <c r="AC1465" i="2"/>
  <c r="AC1464" i="2"/>
  <c r="AC1463" i="2"/>
  <c r="AC1462" i="2"/>
  <c r="AC1461" i="2"/>
  <c r="AC1460" i="2"/>
  <c r="AC1459" i="2"/>
  <c r="AC1458" i="2"/>
  <c r="AC1457" i="2"/>
  <c r="AC1456" i="2"/>
  <c r="AC1455" i="2"/>
  <c r="AC1454" i="2"/>
  <c r="AC1453" i="2"/>
  <c r="AC1452" i="2"/>
  <c r="AC1451" i="2"/>
  <c r="AC1450" i="2"/>
  <c r="AC1449" i="2"/>
  <c r="AC1448" i="2"/>
  <c r="AC1447" i="2"/>
  <c r="AC1446" i="2"/>
  <c r="AC1445" i="2"/>
  <c r="AC1444" i="2"/>
  <c r="AC1443" i="2"/>
  <c r="AC1442" i="2"/>
  <c r="AC1441" i="2"/>
  <c r="AC1440" i="2"/>
  <c r="AC1439" i="2"/>
  <c r="AC1438" i="2"/>
  <c r="AC1437" i="2"/>
  <c r="AC1436" i="2"/>
  <c r="AC1435" i="2"/>
  <c r="AC1434" i="2"/>
  <c r="AC1433" i="2"/>
  <c r="AC1432" i="2"/>
  <c r="AC1431" i="2"/>
  <c r="AC1430" i="2"/>
  <c r="AC1429" i="2"/>
  <c r="AC1428" i="2"/>
  <c r="AC1427" i="2"/>
  <c r="AC1426" i="2"/>
  <c r="AC1425" i="2"/>
  <c r="AC1424" i="2"/>
  <c r="AC1423" i="2"/>
  <c r="AC1422" i="2"/>
  <c r="AC1421" i="2"/>
  <c r="AC1420" i="2"/>
  <c r="AC1419" i="2"/>
  <c r="AC1418" i="2"/>
  <c r="AC1417" i="2"/>
  <c r="AC1416" i="2"/>
  <c r="AC1415" i="2"/>
  <c r="AC1414" i="2"/>
  <c r="AC1413" i="2"/>
  <c r="AC1412" i="2"/>
  <c r="AC1411" i="2"/>
  <c r="AC1410" i="2"/>
  <c r="AC1409" i="2"/>
  <c r="AC1408" i="2"/>
  <c r="AC1407" i="2"/>
  <c r="AC1406" i="2"/>
  <c r="AC1405" i="2"/>
  <c r="AC1404" i="2"/>
  <c r="AC1403" i="2"/>
  <c r="AC1402" i="2"/>
  <c r="AC1401" i="2"/>
  <c r="AC1400" i="2"/>
  <c r="AC1399" i="2"/>
  <c r="AC1398" i="2"/>
  <c r="AC1397" i="2"/>
  <c r="AC1396" i="2"/>
  <c r="AC1395" i="2"/>
  <c r="AC1394" i="2"/>
  <c r="AC1393" i="2"/>
  <c r="AC1392" i="2"/>
  <c r="AC1391" i="2"/>
  <c r="AC1390" i="2"/>
  <c r="AC1389" i="2"/>
  <c r="AC1388" i="2"/>
  <c r="AC1387" i="2"/>
  <c r="AC1386" i="2"/>
  <c r="AC1385" i="2"/>
  <c r="AC1384" i="2"/>
  <c r="AC1383" i="2"/>
  <c r="AC1382" i="2"/>
  <c r="AC1381" i="2"/>
  <c r="AC1380" i="2"/>
  <c r="AC1379" i="2"/>
  <c r="AC1378" i="2"/>
  <c r="AC1377" i="2"/>
  <c r="AC1376" i="2"/>
  <c r="AC1375" i="2"/>
  <c r="AC1374" i="2"/>
  <c r="AC1373" i="2"/>
  <c r="AC1372" i="2"/>
  <c r="AC1371" i="2"/>
  <c r="AC1370" i="2"/>
  <c r="AC1369" i="2"/>
  <c r="AC1368" i="2"/>
  <c r="AC1367" i="2"/>
  <c r="AC1366" i="2"/>
  <c r="AC1365" i="2"/>
  <c r="AC1364" i="2"/>
  <c r="AC1363" i="2"/>
  <c r="AC1362" i="2"/>
  <c r="AC1361" i="2"/>
  <c r="AC1360" i="2"/>
  <c r="AC1359" i="2"/>
  <c r="AC1358" i="2"/>
  <c r="AC1357" i="2"/>
  <c r="AC1356" i="2"/>
  <c r="AC1355" i="2"/>
  <c r="AC1354" i="2"/>
  <c r="AC1353" i="2"/>
  <c r="AC1352" i="2"/>
  <c r="AC1351" i="2"/>
  <c r="AC1350" i="2"/>
  <c r="AC1349" i="2"/>
  <c r="AC1348" i="2"/>
  <c r="AC1347" i="2"/>
  <c r="AC1346" i="2"/>
  <c r="AC1345" i="2"/>
  <c r="AC1344" i="2"/>
  <c r="AC1343" i="2"/>
  <c r="AC1342" i="2"/>
  <c r="AC1341" i="2"/>
  <c r="AC1340" i="2"/>
  <c r="AC1339" i="2"/>
  <c r="AC1338" i="2"/>
  <c r="AC1337" i="2"/>
  <c r="AC1336" i="2"/>
  <c r="AC1335" i="2"/>
  <c r="AC1334" i="2"/>
  <c r="AC1333" i="2"/>
  <c r="AC1332" i="2"/>
  <c r="AC1331" i="2"/>
  <c r="AC1330" i="2"/>
  <c r="AC1329" i="2"/>
  <c r="AC1328" i="2"/>
  <c r="AC1327" i="2"/>
  <c r="AC1326" i="2"/>
  <c r="AC1325" i="2"/>
  <c r="AC1324" i="2"/>
  <c r="AC1323" i="2"/>
  <c r="AC1322" i="2"/>
  <c r="AC1321" i="2"/>
  <c r="AC1320" i="2"/>
  <c r="AC1319" i="2"/>
  <c r="AC1318" i="2"/>
  <c r="AC1317" i="2"/>
  <c r="AC1316" i="2"/>
  <c r="AC1315" i="2"/>
  <c r="AC1314" i="2"/>
  <c r="AC1313" i="2"/>
  <c r="AC1312" i="2"/>
  <c r="AC1311" i="2"/>
  <c r="AC1310" i="2"/>
  <c r="AC1309" i="2"/>
  <c r="AC1308" i="2"/>
  <c r="AC1307" i="2"/>
  <c r="AC1306" i="2"/>
  <c r="AC1305" i="2"/>
  <c r="AC1304" i="2"/>
  <c r="AC1303" i="2"/>
  <c r="AC1302" i="2"/>
  <c r="AC1301" i="2"/>
  <c r="AC1300" i="2"/>
  <c r="AC1299" i="2"/>
  <c r="AC1298" i="2"/>
  <c r="AC1297" i="2"/>
  <c r="AC1296" i="2"/>
  <c r="AC1295" i="2"/>
  <c r="AC1294" i="2"/>
  <c r="AC1293" i="2"/>
  <c r="AC1292" i="2"/>
  <c r="AC1291" i="2"/>
  <c r="AC1290" i="2"/>
  <c r="AC1289" i="2"/>
  <c r="AC1288" i="2"/>
  <c r="AC1287" i="2"/>
  <c r="AC1286" i="2"/>
  <c r="AC1285" i="2"/>
  <c r="AC1284" i="2"/>
  <c r="AC1283" i="2"/>
  <c r="AC1282" i="2"/>
  <c r="AC1281" i="2"/>
  <c r="AC1280" i="2"/>
  <c r="AC1279" i="2"/>
  <c r="AC1278" i="2"/>
  <c r="AC1277" i="2"/>
  <c r="AC1276" i="2"/>
  <c r="AC1275" i="2"/>
  <c r="AC1274" i="2"/>
  <c r="AC1273" i="2"/>
  <c r="AC1272" i="2"/>
  <c r="AC1271" i="2"/>
  <c r="AC1270" i="2"/>
  <c r="AC1269" i="2"/>
  <c r="AC1268" i="2"/>
  <c r="AC1267" i="2"/>
  <c r="AC1266" i="2"/>
  <c r="AC1265" i="2"/>
  <c r="AC1264" i="2"/>
  <c r="AC1263" i="2"/>
  <c r="AC1262" i="2"/>
  <c r="AC1261" i="2"/>
  <c r="AC1260" i="2"/>
  <c r="AC1259" i="2"/>
  <c r="AC1258" i="2"/>
  <c r="AC1257" i="2"/>
  <c r="AC1256" i="2"/>
  <c r="AC1255" i="2"/>
  <c r="AC1254" i="2"/>
  <c r="AC1253" i="2"/>
  <c r="AC1252" i="2"/>
  <c r="AC1251" i="2"/>
  <c r="AC1250" i="2"/>
  <c r="AC1249" i="2"/>
  <c r="AC1248" i="2"/>
  <c r="AC1247" i="2"/>
  <c r="AC1246" i="2"/>
  <c r="AC1245" i="2"/>
  <c r="AC1244" i="2"/>
  <c r="AC1243" i="2"/>
  <c r="AC1242" i="2"/>
  <c r="AC1241" i="2"/>
  <c r="AC1240" i="2"/>
  <c r="AC1239" i="2"/>
  <c r="AC1238" i="2"/>
  <c r="AC1237" i="2"/>
  <c r="AC1236" i="2"/>
  <c r="AC1235" i="2"/>
  <c r="AC1234" i="2"/>
  <c r="AC1233" i="2"/>
  <c r="AC1232" i="2"/>
  <c r="AC1231" i="2"/>
  <c r="AC1230" i="2"/>
  <c r="AC1229" i="2"/>
  <c r="AC1228" i="2"/>
  <c r="AC1227" i="2"/>
  <c r="AC1226" i="2"/>
  <c r="AC1225" i="2"/>
  <c r="AC1224" i="2"/>
  <c r="AC1223" i="2"/>
  <c r="AC1222" i="2"/>
  <c r="AC1221" i="2"/>
  <c r="AC1220" i="2"/>
  <c r="AC1219" i="2"/>
  <c r="AC1218" i="2"/>
  <c r="AC1217" i="2"/>
  <c r="AC1216" i="2"/>
  <c r="AC1215" i="2"/>
  <c r="AC1214" i="2"/>
  <c r="AC1213" i="2"/>
  <c r="AC1212" i="2"/>
  <c r="AC1211" i="2"/>
  <c r="AC1210" i="2"/>
  <c r="AC1209" i="2"/>
  <c r="AC1208" i="2"/>
  <c r="AC1207" i="2"/>
  <c r="AC1206" i="2"/>
  <c r="AC1205" i="2"/>
  <c r="AC1204" i="2"/>
  <c r="AC1203" i="2"/>
  <c r="AC1202" i="2"/>
  <c r="AC1201" i="2"/>
  <c r="AC1200" i="2"/>
  <c r="AC1199" i="2"/>
  <c r="AC1198" i="2"/>
  <c r="AC1197" i="2"/>
  <c r="AC1196" i="2"/>
  <c r="AC1195" i="2"/>
  <c r="AC1194" i="2"/>
  <c r="AC1193" i="2"/>
  <c r="AC1192" i="2"/>
  <c r="AC1191" i="2"/>
  <c r="AC1190" i="2"/>
  <c r="AC1189" i="2"/>
  <c r="AC1188" i="2"/>
  <c r="AC1187" i="2"/>
  <c r="AC1186" i="2"/>
  <c r="AC1185" i="2"/>
  <c r="AC1184" i="2"/>
  <c r="AC1183" i="2"/>
  <c r="AC1182" i="2"/>
  <c r="AC1181" i="2"/>
  <c r="AC1180" i="2"/>
  <c r="AC1179" i="2"/>
  <c r="AC1178" i="2"/>
  <c r="AC1177" i="2"/>
  <c r="AC1176" i="2"/>
  <c r="AC1175" i="2"/>
  <c r="AC1174" i="2"/>
  <c r="AC1173" i="2"/>
  <c r="AC1172" i="2"/>
  <c r="AC1171" i="2"/>
  <c r="AC1170" i="2"/>
  <c r="AC1169" i="2"/>
  <c r="AC1168" i="2"/>
  <c r="AC1167" i="2"/>
  <c r="AC1166" i="2"/>
  <c r="AC1165" i="2"/>
  <c r="AC1164" i="2"/>
  <c r="AC1163" i="2"/>
  <c r="AC1162" i="2"/>
  <c r="AC1161" i="2"/>
  <c r="AC1160" i="2"/>
  <c r="AC1159" i="2"/>
  <c r="AC1158" i="2"/>
  <c r="AC1157" i="2"/>
  <c r="AC1156" i="2"/>
  <c r="AC1155" i="2"/>
  <c r="AC1154" i="2"/>
  <c r="AC1153" i="2"/>
  <c r="AC1152" i="2"/>
  <c r="AC1151" i="2"/>
  <c r="AC1150" i="2"/>
  <c r="AC1149" i="2"/>
  <c r="AC1148" i="2"/>
  <c r="AC1147" i="2"/>
  <c r="AC1146" i="2"/>
  <c r="AC1145" i="2"/>
  <c r="AC1144" i="2"/>
  <c r="AC1143" i="2"/>
  <c r="AC1142" i="2"/>
  <c r="AC1141" i="2"/>
  <c r="AC1140" i="2"/>
  <c r="AC1139" i="2"/>
  <c r="AC1138" i="2"/>
  <c r="AC1137" i="2"/>
  <c r="AC1136" i="2"/>
  <c r="AC1135" i="2"/>
  <c r="AC1134" i="2"/>
  <c r="AC1133" i="2"/>
  <c r="AC1132" i="2"/>
  <c r="AC1131" i="2"/>
  <c r="AC1130" i="2"/>
  <c r="AC1129" i="2"/>
  <c r="AC1128" i="2"/>
  <c r="AC1127" i="2"/>
  <c r="AC1126" i="2"/>
  <c r="AC1125" i="2"/>
  <c r="AC1124" i="2"/>
  <c r="AC1123" i="2"/>
  <c r="AC1122" i="2"/>
  <c r="AC1121" i="2"/>
  <c r="AC1120" i="2"/>
  <c r="AC1119" i="2"/>
  <c r="AC1118" i="2"/>
  <c r="AC1117" i="2"/>
  <c r="AC1116" i="2"/>
  <c r="AC1115" i="2"/>
  <c r="AC1114" i="2"/>
  <c r="AC1113" i="2"/>
  <c r="AC1112" i="2"/>
  <c r="AC1111" i="2"/>
  <c r="AC1110" i="2"/>
  <c r="AC1109" i="2"/>
  <c r="AC1108" i="2"/>
  <c r="AC1107" i="2"/>
  <c r="AC1106" i="2"/>
  <c r="AC1105" i="2"/>
  <c r="AC1104" i="2"/>
  <c r="AC1103" i="2"/>
  <c r="AC1102" i="2"/>
  <c r="AC1101" i="2"/>
  <c r="AC1100" i="2"/>
  <c r="AC1099" i="2"/>
  <c r="AC1098" i="2"/>
  <c r="AC1097" i="2"/>
  <c r="AC1096" i="2"/>
  <c r="AC1095" i="2"/>
  <c r="AC1094" i="2"/>
  <c r="AC1093" i="2"/>
  <c r="AC1092" i="2"/>
  <c r="AC1091" i="2"/>
  <c r="AC1090" i="2"/>
  <c r="AC1089" i="2"/>
  <c r="AC1088" i="2"/>
  <c r="AC1087" i="2"/>
  <c r="AC1086" i="2"/>
  <c r="AC1085" i="2"/>
  <c r="AC1084" i="2"/>
  <c r="AC1083" i="2"/>
  <c r="AC1082" i="2"/>
  <c r="AC1081" i="2"/>
  <c r="AC1080" i="2"/>
  <c r="AC1079" i="2"/>
  <c r="AC1078" i="2"/>
  <c r="AC1077" i="2"/>
  <c r="AC1076" i="2"/>
  <c r="AC1075" i="2"/>
  <c r="AC1074" i="2"/>
  <c r="AC1073" i="2"/>
  <c r="AC1072" i="2"/>
  <c r="AC1071" i="2"/>
  <c r="AC1070" i="2"/>
  <c r="AC1069" i="2"/>
  <c r="AC1068" i="2"/>
  <c r="AC1067" i="2"/>
  <c r="AC1066" i="2"/>
  <c r="AC1065" i="2"/>
  <c r="AC1064" i="2"/>
  <c r="AC1063" i="2"/>
  <c r="AC1062" i="2"/>
  <c r="AC1061" i="2"/>
  <c r="AC1060" i="2"/>
  <c r="AC1059" i="2"/>
  <c r="AC1058" i="2"/>
  <c r="AC1057" i="2"/>
  <c r="AC1056" i="2"/>
  <c r="AC1055" i="2"/>
  <c r="AC1054" i="2"/>
  <c r="AC1053" i="2"/>
  <c r="AC1052" i="2"/>
  <c r="AC1051" i="2"/>
  <c r="AC1050" i="2"/>
  <c r="AC1049" i="2"/>
  <c r="AC1048" i="2"/>
  <c r="AC1047" i="2"/>
  <c r="AC1046" i="2"/>
  <c r="AC1045" i="2"/>
  <c r="AC1044" i="2"/>
  <c r="AC1043" i="2"/>
  <c r="AC1042" i="2"/>
  <c r="AC1041" i="2"/>
  <c r="AC1040" i="2"/>
  <c r="AC1039" i="2"/>
  <c r="AC1038" i="2"/>
  <c r="AC1037" i="2"/>
  <c r="AC1036" i="2"/>
  <c r="AC1035" i="2"/>
  <c r="AC1034" i="2"/>
  <c r="AC1033" i="2"/>
  <c r="AC1032" i="2"/>
  <c r="AC1031" i="2"/>
  <c r="AC1030" i="2"/>
  <c r="AC1029" i="2"/>
  <c r="AC1028" i="2"/>
  <c r="AC1027" i="2"/>
  <c r="AC1026" i="2"/>
  <c r="AC1025" i="2"/>
  <c r="AC1024" i="2"/>
  <c r="AC1023" i="2"/>
  <c r="AC1022" i="2"/>
  <c r="AC1021" i="2"/>
  <c r="AC1020" i="2"/>
  <c r="AC1019" i="2"/>
  <c r="AC1018" i="2"/>
  <c r="AC1017" i="2"/>
  <c r="AC1016" i="2"/>
  <c r="AC1015" i="2"/>
  <c r="AC1014" i="2"/>
  <c r="AC1013" i="2"/>
  <c r="AC1012" i="2"/>
  <c r="AC1011" i="2"/>
  <c r="AC1010" i="2"/>
  <c r="AC1009" i="2"/>
  <c r="AC1008" i="2"/>
  <c r="AC1007" i="2"/>
  <c r="AC1006" i="2"/>
  <c r="AC1005" i="2"/>
  <c r="AC1004" i="2"/>
  <c r="AC1003" i="2"/>
  <c r="AC1002" i="2"/>
  <c r="AC1001" i="2"/>
  <c r="AC1000" i="2"/>
  <c r="AC999" i="2"/>
  <c r="AC998" i="2"/>
  <c r="AC997" i="2"/>
  <c r="AC996" i="2"/>
  <c r="AC995" i="2"/>
  <c r="AC994" i="2"/>
  <c r="AC993" i="2"/>
  <c r="AC992" i="2"/>
  <c r="AC991" i="2"/>
  <c r="AC990" i="2"/>
  <c r="AC989" i="2"/>
  <c r="AC988" i="2"/>
  <c r="AC987" i="2"/>
  <c r="AC986" i="2"/>
  <c r="AC985" i="2"/>
  <c r="AC984" i="2"/>
  <c r="AC983" i="2"/>
  <c r="AC982" i="2"/>
  <c r="AC981" i="2"/>
  <c r="AC980" i="2"/>
  <c r="AC979" i="2"/>
  <c r="AC978" i="2"/>
  <c r="AC977" i="2"/>
  <c r="AC976" i="2"/>
  <c r="AC975" i="2"/>
  <c r="AC974" i="2"/>
  <c r="AC973" i="2"/>
  <c r="AC972" i="2"/>
  <c r="AC971" i="2"/>
  <c r="AC970" i="2"/>
  <c r="AC969" i="2"/>
  <c r="AC968" i="2"/>
  <c r="AC967" i="2"/>
  <c r="AC966" i="2"/>
  <c r="AC965" i="2"/>
  <c r="AC964" i="2"/>
  <c r="AC963" i="2"/>
  <c r="AC962" i="2"/>
  <c r="AC961" i="2"/>
  <c r="AC960" i="2"/>
  <c r="AC959" i="2"/>
  <c r="AC958" i="2"/>
  <c r="AC957" i="2"/>
  <c r="AC956" i="2"/>
  <c r="AC955" i="2"/>
  <c r="AC954" i="2"/>
  <c r="AC953" i="2"/>
  <c r="AC952" i="2"/>
  <c r="AC951" i="2"/>
  <c r="AC950" i="2"/>
  <c r="AC949" i="2"/>
  <c r="AC948" i="2"/>
  <c r="AC947" i="2"/>
  <c r="AC946" i="2"/>
  <c r="AC945" i="2"/>
  <c r="AC944" i="2"/>
  <c r="AC943" i="2"/>
  <c r="AC942" i="2"/>
  <c r="AC941" i="2"/>
  <c r="AC940" i="2"/>
  <c r="AC939" i="2"/>
  <c r="AC938" i="2"/>
  <c r="AC937" i="2"/>
  <c r="AC936" i="2"/>
  <c r="AC935" i="2"/>
  <c r="AC934" i="2"/>
  <c r="AC933" i="2"/>
  <c r="AC932" i="2"/>
  <c r="AC931" i="2"/>
  <c r="AC930" i="2"/>
  <c r="AC929" i="2"/>
  <c r="AC928" i="2"/>
  <c r="AC927" i="2"/>
  <c r="AC926" i="2"/>
  <c r="AC925" i="2"/>
  <c r="AC924" i="2"/>
  <c r="AC923" i="2"/>
  <c r="AC922" i="2"/>
  <c r="AC921" i="2"/>
  <c r="AC920" i="2"/>
  <c r="AC919" i="2"/>
  <c r="AC918" i="2"/>
  <c r="AC917" i="2"/>
  <c r="AC916" i="2"/>
  <c r="AC915" i="2"/>
  <c r="AC914" i="2"/>
  <c r="AC913" i="2"/>
  <c r="AC912" i="2"/>
  <c r="AC911" i="2"/>
  <c r="AC910" i="2"/>
  <c r="AC909" i="2"/>
  <c r="AC908" i="2"/>
  <c r="AC907" i="2"/>
  <c r="AC906" i="2"/>
  <c r="AC905" i="2"/>
  <c r="AC904" i="2"/>
  <c r="AC903" i="2"/>
  <c r="AC902" i="2"/>
  <c r="AC901" i="2"/>
  <c r="AC900" i="2"/>
  <c r="AC899" i="2"/>
  <c r="AC898" i="2"/>
  <c r="AC897" i="2"/>
  <c r="AC896" i="2"/>
  <c r="AC895" i="2"/>
  <c r="AC894" i="2"/>
  <c r="AC893" i="2"/>
  <c r="AC892" i="2"/>
  <c r="AC891" i="2"/>
  <c r="AC890" i="2"/>
  <c r="AC889" i="2"/>
  <c r="AC888" i="2"/>
  <c r="AC887" i="2"/>
  <c r="AC886" i="2"/>
  <c r="AC885" i="2"/>
  <c r="AC884" i="2"/>
  <c r="AC883" i="2"/>
  <c r="AC882" i="2"/>
  <c r="AC881" i="2"/>
  <c r="AC880" i="2"/>
  <c r="AC879" i="2"/>
  <c r="AC878" i="2"/>
  <c r="AC877" i="2"/>
  <c r="AC876" i="2"/>
  <c r="AC875" i="2"/>
  <c r="AC874" i="2"/>
  <c r="AC873" i="2"/>
  <c r="AC872" i="2"/>
  <c r="AC871" i="2"/>
  <c r="AC870" i="2"/>
  <c r="AC869" i="2"/>
  <c r="AC868" i="2"/>
  <c r="AC867" i="2"/>
  <c r="AC866" i="2"/>
  <c r="AC865" i="2"/>
  <c r="AC864" i="2"/>
  <c r="AC863" i="2"/>
  <c r="AC862" i="2"/>
  <c r="AC861" i="2"/>
  <c r="AC860" i="2"/>
  <c r="AC859" i="2"/>
  <c r="AC858" i="2"/>
  <c r="AC857" i="2"/>
  <c r="AC856" i="2"/>
  <c r="AC855" i="2"/>
  <c r="AC854" i="2"/>
  <c r="AC853" i="2"/>
  <c r="AC852" i="2"/>
  <c r="AC851" i="2"/>
  <c r="AC850" i="2"/>
  <c r="AC849" i="2"/>
  <c r="AC848" i="2"/>
  <c r="AC847" i="2"/>
  <c r="AC846" i="2"/>
  <c r="AC845" i="2"/>
  <c r="AC844" i="2"/>
  <c r="AC843" i="2"/>
  <c r="AC842" i="2"/>
  <c r="AC841" i="2"/>
  <c r="AC840" i="2"/>
  <c r="AC839" i="2"/>
  <c r="AC838" i="2"/>
  <c r="AC837" i="2"/>
  <c r="AC836" i="2"/>
  <c r="AC835" i="2"/>
  <c r="AC834" i="2"/>
  <c r="AC833" i="2"/>
  <c r="AC832" i="2"/>
  <c r="AC831" i="2"/>
  <c r="AC830" i="2"/>
  <c r="AC829" i="2"/>
  <c r="AC828" i="2"/>
  <c r="AC827" i="2"/>
  <c r="AC826" i="2"/>
  <c r="AC825" i="2"/>
  <c r="AC824" i="2"/>
  <c r="AC823" i="2"/>
  <c r="AC822" i="2"/>
  <c r="AC821" i="2"/>
  <c r="AC820" i="2"/>
  <c r="AC819" i="2"/>
  <c r="AC818" i="2"/>
  <c r="AC817" i="2"/>
  <c r="AC816" i="2"/>
  <c r="AC815" i="2"/>
  <c r="AC814" i="2"/>
  <c r="AC813" i="2"/>
  <c r="AC812" i="2"/>
  <c r="AC811" i="2"/>
  <c r="AC810" i="2"/>
  <c r="AC809" i="2"/>
  <c r="AC808" i="2"/>
  <c r="AC807" i="2"/>
  <c r="AC806" i="2"/>
  <c r="AC805" i="2"/>
  <c r="AC804" i="2"/>
  <c r="AC803" i="2"/>
  <c r="AC802" i="2"/>
  <c r="AC801" i="2"/>
  <c r="AC800" i="2"/>
  <c r="AC799" i="2"/>
  <c r="AC798" i="2"/>
  <c r="AC797" i="2"/>
  <c r="AC796" i="2"/>
  <c r="AC795" i="2"/>
  <c r="AC794" i="2"/>
  <c r="AC793" i="2"/>
  <c r="AC792" i="2"/>
  <c r="AC791" i="2"/>
  <c r="AC790" i="2"/>
  <c r="AC789" i="2"/>
  <c r="AC788" i="2"/>
  <c r="AC787" i="2"/>
  <c r="AC786" i="2"/>
  <c r="AC785" i="2"/>
  <c r="AC784" i="2"/>
  <c r="AC783" i="2"/>
  <c r="AC782" i="2"/>
  <c r="AC781" i="2"/>
  <c r="AC780" i="2"/>
  <c r="AC779" i="2"/>
  <c r="AC778" i="2"/>
  <c r="AC777" i="2"/>
  <c r="AC776" i="2"/>
  <c r="AC775" i="2"/>
  <c r="AC774" i="2"/>
  <c r="AC773" i="2"/>
  <c r="AC772" i="2"/>
  <c r="AC771" i="2"/>
  <c r="AC770" i="2"/>
  <c r="AC769" i="2"/>
  <c r="AC768" i="2"/>
  <c r="AC767" i="2"/>
  <c r="AC766" i="2"/>
  <c r="AC765" i="2"/>
  <c r="AC764" i="2"/>
  <c r="AC763" i="2"/>
  <c r="AC762" i="2"/>
  <c r="AC761" i="2"/>
  <c r="AC760" i="2"/>
  <c r="AC759" i="2"/>
  <c r="AC758" i="2"/>
  <c r="AC757" i="2"/>
  <c r="AC756" i="2"/>
  <c r="AC755" i="2"/>
  <c r="AC754" i="2"/>
  <c r="AC753" i="2"/>
  <c r="AC752" i="2"/>
  <c r="AC751" i="2"/>
  <c r="AC750" i="2"/>
  <c r="AC749" i="2"/>
  <c r="AC748" i="2"/>
  <c r="AC747" i="2"/>
  <c r="AC746" i="2"/>
  <c r="AC745" i="2"/>
  <c r="AC744" i="2"/>
  <c r="AC743" i="2"/>
  <c r="AC742" i="2"/>
  <c r="AC741" i="2"/>
  <c r="AC740" i="2"/>
  <c r="AC739" i="2"/>
  <c r="AC738" i="2"/>
  <c r="AC737" i="2"/>
  <c r="AC736" i="2"/>
  <c r="AC735" i="2"/>
  <c r="AC734" i="2"/>
  <c r="AC733" i="2"/>
  <c r="AC732" i="2"/>
  <c r="AC731" i="2"/>
  <c r="AC730" i="2"/>
  <c r="AC729" i="2"/>
  <c r="AC728" i="2"/>
  <c r="AC727" i="2"/>
  <c r="AC726" i="2"/>
  <c r="AC725" i="2"/>
  <c r="AC724" i="2"/>
  <c r="AC723" i="2"/>
  <c r="AC722" i="2"/>
  <c r="AC721" i="2"/>
  <c r="AC720" i="2"/>
  <c r="AC719" i="2"/>
  <c r="AC718" i="2"/>
  <c r="AC717" i="2"/>
  <c r="AC716" i="2"/>
  <c r="AC715" i="2"/>
  <c r="AC714" i="2"/>
  <c r="AC713" i="2"/>
  <c r="AC712" i="2"/>
  <c r="AC711" i="2"/>
  <c r="AC710" i="2"/>
  <c r="AC709" i="2"/>
  <c r="AC708" i="2"/>
  <c r="AC707" i="2"/>
  <c r="AC706" i="2"/>
  <c r="AC705" i="2"/>
  <c r="AC704" i="2"/>
  <c r="AC703" i="2"/>
  <c r="AC702" i="2"/>
  <c r="AC701" i="2"/>
  <c r="AC700" i="2"/>
  <c r="AC699" i="2"/>
  <c r="AC698" i="2"/>
  <c r="AC697" i="2"/>
  <c r="AC696" i="2"/>
  <c r="AC695" i="2"/>
  <c r="AC694" i="2"/>
  <c r="AC693" i="2"/>
  <c r="AC692" i="2"/>
  <c r="AC691" i="2"/>
  <c r="AC690" i="2"/>
  <c r="AC689" i="2"/>
  <c r="AC688" i="2"/>
  <c r="AC687" i="2"/>
  <c r="AC686" i="2"/>
  <c r="AC685" i="2"/>
  <c r="AC684" i="2"/>
  <c r="AC683" i="2"/>
  <c r="AC682" i="2"/>
  <c r="AC681" i="2"/>
  <c r="AC680" i="2"/>
  <c r="AC679" i="2"/>
  <c r="AC678" i="2"/>
  <c r="AC677" i="2"/>
  <c r="AC676" i="2"/>
  <c r="AC675" i="2"/>
  <c r="AC674" i="2"/>
  <c r="AC673" i="2"/>
  <c r="AC672" i="2"/>
  <c r="AC671" i="2"/>
  <c r="AC670" i="2"/>
  <c r="AC669" i="2"/>
  <c r="AC668" i="2"/>
  <c r="AC667" i="2"/>
  <c r="AC666" i="2"/>
  <c r="AC665" i="2"/>
  <c r="AC664" i="2"/>
  <c r="AC663" i="2"/>
  <c r="AC662" i="2"/>
  <c r="AC661" i="2"/>
  <c r="AC660" i="2"/>
  <c r="AC659" i="2"/>
  <c r="AC658" i="2"/>
  <c r="AC657" i="2"/>
  <c r="AC656" i="2"/>
  <c r="AC655" i="2"/>
  <c r="AC654" i="2"/>
  <c r="AC653" i="2"/>
  <c r="AC652" i="2"/>
  <c r="AC651" i="2"/>
  <c r="AC650" i="2"/>
  <c r="AC649" i="2"/>
  <c r="AC648" i="2"/>
  <c r="AC647" i="2"/>
  <c r="AC646" i="2"/>
  <c r="AC645" i="2"/>
  <c r="AC644" i="2"/>
  <c r="AC643" i="2"/>
  <c r="AC642" i="2"/>
  <c r="AC641" i="2"/>
  <c r="AC640" i="2"/>
  <c r="AC639" i="2"/>
  <c r="AC638" i="2"/>
  <c r="AC637" i="2"/>
  <c r="AC636" i="2"/>
  <c r="AC635" i="2"/>
  <c r="AC634" i="2"/>
  <c r="AC633" i="2"/>
  <c r="AC632" i="2"/>
  <c r="AC631" i="2"/>
  <c r="AC630" i="2"/>
  <c r="AC629" i="2"/>
  <c r="AC628" i="2"/>
  <c r="AC627" i="2"/>
  <c r="AC626" i="2"/>
  <c r="AC625" i="2"/>
  <c r="AC624" i="2"/>
  <c r="AC623" i="2"/>
  <c r="AC622" i="2"/>
  <c r="AC621" i="2"/>
  <c r="AC620" i="2"/>
  <c r="AC619" i="2"/>
  <c r="AC618" i="2"/>
  <c r="AC617" i="2"/>
  <c r="AC616" i="2"/>
  <c r="AC615" i="2"/>
  <c r="AC614" i="2"/>
  <c r="AC613" i="2"/>
  <c r="AC612" i="2"/>
  <c r="AC611" i="2"/>
  <c r="AC610" i="2"/>
  <c r="AC609" i="2"/>
  <c r="AC608" i="2"/>
  <c r="AC607" i="2"/>
  <c r="AC606" i="2"/>
  <c r="AC605" i="2"/>
  <c r="AC604" i="2"/>
  <c r="AC603" i="2"/>
  <c r="AC602" i="2"/>
  <c r="AC601" i="2"/>
  <c r="AC600" i="2"/>
  <c r="AC599" i="2"/>
  <c r="AC598" i="2"/>
  <c r="AC597" i="2"/>
  <c r="AC596" i="2"/>
  <c r="AC595" i="2"/>
  <c r="AC594" i="2"/>
  <c r="AC593" i="2"/>
  <c r="AC592" i="2"/>
  <c r="AC591" i="2"/>
  <c r="AC590" i="2"/>
  <c r="AC589" i="2"/>
  <c r="AC588" i="2"/>
  <c r="AC587" i="2"/>
  <c r="AC586" i="2"/>
  <c r="AC585" i="2"/>
  <c r="AC584" i="2"/>
  <c r="AC583" i="2"/>
  <c r="AC582" i="2"/>
  <c r="AC581" i="2"/>
  <c r="AC580" i="2"/>
  <c r="AC579" i="2"/>
  <c r="AC578" i="2"/>
  <c r="AC577" i="2"/>
  <c r="AC576" i="2"/>
  <c r="AC575" i="2"/>
  <c r="AC574" i="2"/>
  <c r="AC573" i="2"/>
  <c r="AC572" i="2"/>
  <c r="AC571" i="2"/>
  <c r="AC570" i="2"/>
  <c r="AC569" i="2"/>
  <c r="AC568" i="2"/>
  <c r="AC567" i="2"/>
  <c r="AC566" i="2"/>
  <c r="AC565" i="2"/>
  <c r="AC564" i="2"/>
  <c r="AC563" i="2"/>
  <c r="AC562" i="2"/>
  <c r="AC561" i="2"/>
  <c r="AC560" i="2"/>
  <c r="AC559" i="2"/>
  <c r="AC558" i="2"/>
  <c r="AC557" i="2"/>
  <c r="AC556" i="2"/>
  <c r="AC555" i="2"/>
  <c r="AC554" i="2"/>
  <c r="AC553" i="2"/>
  <c r="AC552" i="2"/>
  <c r="AC551" i="2"/>
  <c r="AC550" i="2"/>
  <c r="AC549" i="2"/>
  <c r="AC548" i="2"/>
  <c r="AC547" i="2"/>
  <c r="AC546" i="2"/>
  <c r="AC545" i="2"/>
  <c r="AC544" i="2"/>
  <c r="AC543" i="2"/>
  <c r="AC542" i="2"/>
  <c r="AC541" i="2"/>
  <c r="AC540" i="2"/>
  <c r="AC539" i="2"/>
  <c r="AC538" i="2"/>
  <c r="AC537" i="2"/>
  <c r="AC536" i="2"/>
  <c r="AC535" i="2"/>
  <c r="AC534" i="2"/>
  <c r="AC533" i="2"/>
  <c r="AC532" i="2"/>
  <c r="AC531" i="2"/>
  <c r="AC530" i="2"/>
  <c r="AC529" i="2"/>
  <c r="AC528" i="2"/>
  <c r="AC527" i="2"/>
  <c r="AC526" i="2"/>
  <c r="AC525" i="2"/>
  <c r="AC524" i="2"/>
  <c r="AC523" i="2"/>
  <c r="AC522" i="2"/>
  <c r="AC521" i="2"/>
  <c r="AC520" i="2"/>
  <c r="AC519" i="2"/>
  <c r="AC518" i="2"/>
  <c r="AC517" i="2"/>
  <c r="AC516" i="2"/>
  <c r="AC515" i="2"/>
  <c r="AC514" i="2"/>
  <c r="AC513" i="2"/>
  <c r="AC512" i="2"/>
  <c r="AC511" i="2"/>
  <c r="AC510" i="2"/>
  <c r="AC509" i="2"/>
  <c r="AC508" i="2"/>
  <c r="AC507" i="2"/>
  <c r="AC506" i="2"/>
  <c r="AC505" i="2"/>
  <c r="AC504" i="2"/>
  <c r="AC503" i="2"/>
  <c r="AC502" i="2"/>
  <c r="AC501" i="2"/>
  <c r="AC500" i="2"/>
  <c r="AC499" i="2"/>
  <c r="AC498" i="2"/>
  <c r="AC497" i="2"/>
  <c r="AC496" i="2"/>
  <c r="AC495" i="2"/>
  <c r="AC494" i="2"/>
  <c r="AC493" i="2"/>
  <c r="AC492" i="2"/>
  <c r="AC491" i="2"/>
  <c r="AC490" i="2"/>
  <c r="AC489" i="2"/>
  <c r="AC488" i="2"/>
  <c r="AC487" i="2"/>
  <c r="AC486" i="2"/>
  <c r="AC485" i="2"/>
  <c r="AC484" i="2"/>
  <c r="AC483" i="2"/>
  <c r="AC482" i="2"/>
  <c r="AC481" i="2"/>
  <c r="AC480" i="2"/>
  <c r="AC479" i="2"/>
  <c r="AC478" i="2"/>
  <c r="AC477" i="2"/>
  <c r="AC476" i="2"/>
  <c r="AC475" i="2"/>
  <c r="AC474" i="2"/>
  <c r="AC473" i="2"/>
  <c r="AC472" i="2"/>
  <c r="AC471" i="2"/>
  <c r="AC470" i="2"/>
  <c r="AC469" i="2"/>
  <c r="AC468" i="2"/>
  <c r="AC467" i="2"/>
  <c r="AC466" i="2"/>
  <c r="AC465" i="2"/>
  <c r="AC464" i="2"/>
  <c r="AC463" i="2"/>
  <c r="AC462" i="2"/>
  <c r="AC461" i="2"/>
  <c r="AC460" i="2"/>
  <c r="AC459" i="2"/>
  <c r="AC458" i="2"/>
  <c r="AC457" i="2"/>
  <c r="AC456" i="2"/>
  <c r="AC455" i="2"/>
  <c r="AC454" i="2"/>
  <c r="AC453" i="2"/>
  <c r="AC452" i="2"/>
  <c r="AC451" i="2"/>
  <c r="AC450" i="2"/>
  <c r="AC449" i="2"/>
  <c r="AC448" i="2"/>
  <c r="AC447" i="2"/>
  <c r="AC446" i="2"/>
  <c r="AC445" i="2"/>
  <c r="AC444" i="2"/>
  <c r="AC443" i="2"/>
  <c r="AC442" i="2"/>
  <c r="AC441" i="2"/>
  <c r="AC440" i="2"/>
  <c r="AC439" i="2"/>
  <c r="AC438" i="2"/>
  <c r="AC437" i="2"/>
  <c r="AC436" i="2"/>
  <c r="AC435" i="2"/>
  <c r="AC434" i="2"/>
  <c r="AC433" i="2"/>
  <c r="AC432" i="2"/>
  <c r="AC431" i="2"/>
  <c r="AC430" i="2"/>
  <c r="AC429" i="2"/>
  <c r="AC428" i="2"/>
  <c r="AC427" i="2"/>
  <c r="AC426" i="2"/>
  <c r="AC425" i="2"/>
  <c r="AC424" i="2"/>
  <c r="AC423" i="2"/>
  <c r="AC422" i="2"/>
  <c r="AC421" i="2"/>
  <c r="AC420" i="2"/>
  <c r="AC419" i="2"/>
  <c r="AC418" i="2"/>
  <c r="AC417" i="2"/>
  <c r="AC416" i="2"/>
  <c r="AC415" i="2"/>
  <c r="AC414" i="2"/>
  <c r="AC413" i="2"/>
  <c r="AC412" i="2"/>
  <c r="AC411" i="2"/>
  <c r="AC410" i="2"/>
  <c r="AC409" i="2"/>
  <c r="AC408" i="2"/>
  <c r="AC407" i="2"/>
  <c r="AC406" i="2"/>
  <c r="AC405" i="2"/>
  <c r="AC404" i="2"/>
  <c r="AC403" i="2"/>
  <c r="AC402" i="2"/>
  <c r="AC401" i="2"/>
  <c r="AC400" i="2"/>
  <c r="AC399" i="2"/>
  <c r="AC398" i="2"/>
  <c r="AC397" i="2"/>
  <c r="AC396" i="2"/>
  <c r="AC395" i="2"/>
  <c r="AC394" i="2"/>
  <c r="AC393" i="2"/>
  <c r="AC392" i="2"/>
  <c r="AC391" i="2"/>
  <c r="AC390" i="2"/>
  <c r="AC389" i="2"/>
  <c r="AC388" i="2"/>
  <c r="AC387" i="2"/>
  <c r="AC386" i="2"/>
  <c r="AC385" i="2"/>
  <c r="AC384" i="2"/>
  <c r="AC383" i="2"/>
  <c r="AC382" i="2"/>
  <c r="AC381" i="2"/>
  <c r="AC380" i="2"/>
  <c r="AC379" i="2"/>
  <c r="AC378" i="2"/>
  <c r="AC377" i="2"/>
  <c r="AC376" i="2"/>
  <c r="AC375" i="2"/>
  <c r="AC374" i="2"/>
  <c r="AC373" i="2"/>
  <c r="AC372" i="2"/>
  <c r="AC371" i="2"/>
  <c r="AC370" i="2"/>
  <c r="AC369" i="2"/>
  <c r="AC368" i="2"/>
  <c r="AC367" i="2"/>
  <c r="AC366" i="2"/>
  <c r="AC365" i="2"/>
  <c r="AC364" i="2"/>
  <c r="AC363" i="2"/>
  <c r="AC362" i="2"/>
  <c r="AC361" i="2"/>
  <c r="AC360" i="2"/>
  <c r="AC359" i="2"/>
  <c r="AC358" i="2"/>
  <c r="AC357" i="2"/>
  <c r="AC356" i="2"/>
  <c r="AC355" i="2"/>
  <c r="AC354" i="2"/>
  <c r="AC353" i="2"/>
  <c r="AC352" i="2"/>
  <c r="AC351" i="2"/>
  <c r="AC350" i="2"/>
  <c r="AC349" i="2"/>
  <c r="AC348" i="2"/>
  <c r="AC347" i="2"/>
  <c r="AC346" i="2"/>
  <c r="AC345" i="2"/>
  <c r="AC344" i="2"/>
  <c r="AC343" i="2"/>
  <c r="AC342" i="2"/>
  <c r="AC341" i="2"/>
  <c r="AC340" i="2"/>
  <c r="AC339" i="2"/>
  <c r="AC338" i="2"/>
  <c r="AC337" i="2"/>
  <c r="AC336" i="2"/>
  <c r="AC335" i="2"/>
  <c r="AC334" i="2"/>
  <c r="AC333" i="2"/>
  <c r="AC332" i="2"/>
  <c r="AC331" i="2"/>
  <c r="AC330" i="2"/>
  <c r="AC329" i="2"/>
  <c r="AC328" i="2"/>
  <c r="AC327" i="2"/>
  <c r="AC326" i="2"/>
  <c r="AC325" i="2"/>
  <c r="AC324" i="2"/>
  <c r="AC323" i="2"/>
  <c r="AC322" i="2"/>
  <c r="AC321" i="2"/>
  <c r="AC320" i="2"/>
  <c r="AC319" i="2"/>
  <c r="AC318" i="2"/>
  <c r="AC317" i="2"/>
  <c r="AC316" i="2"/>
  <c r="AC315" i="2"/>
  <c r="AC314" i="2"/>
  <c r="AC313" i="2"/>
  <c r="AC312" i="2"/>
  <c r="AC311" i="2"/>
  <c r="AC310" i="2"/>
  <c r="AC309" i="2"/>
  <c r="AC308" i="2"/>
  <c r="AC307" i="2"/>
  <c r="AC306" i="2"/>
  <c r="AC305" i="2"/>
  <c r="AC304" i="2"/>
  <c r="AC303" i="2"/>
  <c r="AC302" i="2"/>
  <c r="AC301" i="2"/>
  <c r="AC300" i="2"/>
  <c r="AC299" i="2"/>
  <c r="AC298" i="2"/>
  <c r="AC297" i="2"/>
  <c r="AC296" i="2"/>
  <c r="AC295" i="2"/>
  <c r="AC294" i="2"/>
  <c r="AC293" i="2"/>
  <c r="AC292" i="2"/>
  <c r="AC291" i="2"/>
  <c r="AC290" i="2"/>
  <c r="AC289" i="2"/>
  <c r="AC288" i="2"/>
  <c r="AC287" i="2"/>
  <c r="AC286" i="2"/>
  <c r="AC285" i="2"/>
  <c r="AC284" i="2"/>
  <c r="AC283" i="2"/>
  <c r="AC282" i="2"/>
  <c r="AC281" i="2"/>
  <c r="AC280" i="2"/>
  <c r="AC279" i="2"/>
  <c r="AC278" i="2"/>
  <c r="AC277" i="2"/>
  <c r="AC276" i="2"/>
  <c r="AC275" i="2"/>
  <c r="AC274" i="2"/>
  <c r="AC273" i="2"/>
  <c r="AC272" i="2"/>
  <c r="AC271" i="2"/>
  <c r="AC270" i="2"/>
  <c r="AC269" i="2"/>
  <c r="AC268" i="2"/>
  <c r="AC267" i="2"/>
  <c r="AC266" i="2"/>
  <c r="AC265" i="2"/>
  <c r="AC264" i="2"/>
  <c r="AC263" i="2"/>
  <c r="AC262" i="2"/>
  <c r="AC261" i="2"/>
  <c r="AC260" i="2"/>
  <c r="AC259" i="2"/>
  <c r="AC258" i="2"/>
  <c r="AC257" i="2"/>
  <c r="AC256" i="2"/>
  <c r="AC255" i="2"/>
  <c r="AC254" i="2"/>
  <c r="AC253" i="2"/>
  <c r="AC252" i="2"/>
  <c r="AC251" i="2"/>
  <c r="AC250" i="2"/>
  <c r="AC249" i="2"/>
  <c r="AC248" i="2"/>
  <c r="AC247" i="2"/>
  <c r="AC246" i="2"/>
  <c r="AC245" i="2"/>
  <c r="AC244" i="2"/>
  <c r="AC243" i="2"/>
  <c r="AC242" i="2"/>
  <c r="AC241" i="2"/>
  <c r="AC240" i="2"/>
  <c r="AC239" i="2"/>
  <c r="AC238" i="2"/>
  <c r="AC237" i="2"/>
  <c r="AC236" i="2"/>
  <c r="AC235" i="2"/>
  <c r="AC234" i="2"/>
  <c r="AC233" i="2"/>
  <c r="AC232" i="2"/>
  <c r="AC231" i="2"/>
  <c r="AC230" i="2"/>
  <c r="AC229" i="2"/>
  <c r="AC228" i="2"/>
  <c r="AC227" i="2"/>
  <c r="AC226" i="2"/>
  <c r="AC225" i="2"/>
  <c r="AC224" i="2"/>
  <c r="AC223" i="2"/>
  <c r="AC222" i="2"/>
  <c r="AC221" i="2"/>
  <c r="AC220" i="2"/>
  <c r="AC219" i="2"/>
  <c r="AC218" i="2"/>
  <c r="AC217" i="2"/>
  <c r="AC216" i="2"/>
  <c r="AC215" i="2"/>
  <c r="AC214" i="2"/>
  <c r="AC213" i="2"/>
  <c r="AC212" i="2"/>
  <c r="AC211" i="2"/>
  <c r="AC210" i="2"/>
  <c r="AC209" i="2"/>
  <c r="AC208" i="2"/>
  <c r="AC207" i="2"/>
  <c r="AC206" i="2"/>
  <c r="AC205" i="2"/>
  <c r="AC204" i="2"/>
  <c r="AC203" i="2"/>
  <c r="AC202" i="2"/>
  <c r="AC201" i="2"/>
  <c r="AC200" i="2"/>
  <c r="AC199" i="2"/>
  <c r="AC198" i="2"/>
  <c r="AC197" i="2"/>
  <c r="AC196" i="2"/>
  <c r="AC195" i="2"/>
  <c r="AC194" i="2"/>
  <c r="AC193" i="2"/>
  <c r="AC192" i="2"/>
  <c r="AC191" i="2"/>
  <c r="AC190" i="2"/>
  <c r="AC189" i="2"/>
  <c r="AC188" i="2"/>
  <c r="AC187" i="2"/>
  <c r="AC186" i="2"/>
  <c r="AC185" i="2"/>
  <c r="AC184" i="2"/>
  <c r="AC183" i="2"/>
  <c r="AC182" i="2"/>
  <c r="AC181" i="2"/>
  <c r="AC180" i="2"/>
  <c r="AC179" i="2"/>
  <c r="AC178" i="2"/>
  <c r="AC177" i="2"/>
  <c r="AC176" i="2"/>
  <c r="AC175" i="2"/>
  <c r="AC174" i="2"/>
  <c r="AC173" i="2"/>
  <c r="AC172" i="2"/>
  <c r="AC171" i="2"/>
  <c r="AC170" i="2"/>
  <c r="AC169" i="2"/>
  <c r="AC168" i="2"/>
  <c r="AC167" i="2"/>
  <c r="AC166" i="2"/>
  <c r="AC165" i="2"/>
  <c r="AC164" i="2"/>
  <c r="AC163" i="2"/>
  <c r="AC162" i="2"/>
  <c r="AC161" i="2"/>
  <c r="AC160" i="2"/>
  <c r="AC159" i="2"/>
  <c r="AC158" i="2"/>
  <c r="AC157" i="2"/>
  <c r="AC156" i="2"/>
  <c r="AC155" i="2"/>
  <c r="AC154" i="2"/>
  <c r="AC153" i="2"/>
  <c r="AC152" i="2"/>
  <c r="AC151" i="2"/>
  <c r="AC150" i="2"/>
  <c r="AC149" i="2"/>
  <c r="AC148" i="2"/>
  <c r="AC147" i="2"/>
  <c r="AC146" i="2"/>
  <c r="AC145" i="2"/>
  <c r="AC144" i="2"/>
  <c r="AC143" i="2"/>
  <c r="AC142" i="2"/>
  <c r="AC141" i="2"/>
  <c r="AC140" i="2"/>
  <c r="AC139" i="2"/>
  <c r="AC138" i="2"/>
  <c r="AC137" i="2"/>
  <c r="AC136" i="2"/>
  <c r="AC135" i="2"/>
  <c r="AC134" i="2"/>
  <c r="AC133" i="2"/>
  <c r="AC132" i="2"/>
  <c r="AC131" i="2"/>
  <c r="AC130" i="2"/>
  <c r="AC129" i="2"/>
  <c r="AC128" i="2"/>
  <c r="AC127" i="2"/>
  <c r="AC126" i="2"/>
  <c r="AC125" i="2"/>
  <c r="AC124" i="2"/>
  <c r="AC123" i="2"/>
  <c r="AC122" i="2"/>
  <c r="AC121" i="2"/>
  <c r="AC120" i="2"/>
  <c r="AC119" i="2"/>
  <c r="AC118" i="2"/>
  <c r="AC117" i="2"/>
  <c r="AC116" i="2"/>
  <c r="AC115" i="2"/>
  <c r="AC114" i="2"/>
  <c r="AC113" i="2"/>
  <c r="AC112" i="2"/>
  <c r="AC111" i="2"/>
  <c r="AC110" i="2"/>
  <c r="AC109" i="2"/>
  <c r="AC108" i="2"/>
  <c r="AC107" i="2"/>
  <c r="AC106" i="2"/>
  <c r="AC105" i="2"/>
  <c r="AC104" i="2"/>
  <c r="AC103" i="2"/>
  <c r="AC102" i="2"/>
  <c r="AC101" i="2"/>
  <c r="AC100" i="2"/>
  <c r="AC99" i="2"/>
  <c r="AC98" i="2"/>
  <c r="AC97" i="2"/>
  <c r="AC96" i="2"/>
  <c r="AC95" i="2"/>
  <c r="AC94" i="2"/>
  <c r="AC93" i="2"/>
  <c r="AC92" i="2"/>
  <c r="AC91" i="2"/>
  <c r="AC90" i="2"/>
  <c r="AC89" i="2"/>
  <c r="AC88" i="2"/>
  <c r="AC87" i="2"/>
  <c r="AC86" i="2"/>
  <c r="AC85" i="2"/>
  <c r="AC84" i="2"/>
  <c r="AC83" i="2"/>
  <c r="AC82" i="2"/>
  <c r="AC81" i="2"/>
  <c r="AC80" i="2"/>
  <c r="AC79" i="2"/>
  <c r="AC78" i="2"/>
  <c r="AC77" i="2"/>
  <c r="AC76" i="2"/>
  <c r="AC75" i="2"/>
  <c r="AC74" i="2"/>
  <c r="AC73" i="2"/>
  <c r="AC72" i="2"/>
  <c r="AC71" i="2"/>
  <c r="AC70" i="2"/>
  <c r="AC69" i="2"/>
  <c r="AC68" i="2"/>
  <c r="AC67" i="2"/>
  <c r="AC66" i="2"/>
  <c r="AC65" i="2"/>
  <c r="AC64" i="2"/>
  <c r="AC63" i="2"/>
  <c r="AC62" i="2"/>
  <c r="AC61" i="2"/>
  <c r="AC60" i="2"/>
  <c r="AC59" i="2"/>
  <c r="AC58" i="2"/>
  <c r="AC57" i="2"/>
  <c r="AC56" i="2"/>
  <c r="AC55" i="2"/>
  <c r="AC54" i="2"/>
  <c r="AC53" i="2"/>
  <c r="AC52" i="2"/>
  <c r="AC51" i="2"/>
  <c r="AC50" i="2"/>
  <c r="AC49" i="2"/>
  <c r="AC48" i="2"/>
  <c r="AC47" i="2"/>
  <c r="AC46" i="2"/>
  <c r="AC45" i="2"/>
  <c r="AC44" i="2"/>
  <c r="AC43" i="2"/>
  <c r="AC42" i="2"/>
  <c r="AC41" i="2"/>
  <c r="AC40" i="2"/>
  <c r="AC39" i="2"/>
  <c r="AC38" i="2"/>
  <c r="AC37" i="2"/>
  <c r="AC36" i="2"/>
  <c r="AC35" i="2"/>
  <c r="AC34" i="2"/>
  <c r="AC33" i="2"/>
  <c r="AC32" i="2"/>
  <c r="AC31" i="2"/>
  <c r="AC30" i="2"/>
  <c r="AC29" i="2"/>
  <c r="AC28" i="2"/>
  <c r="AC27" i="2"/>
  <c r="AC26" i="2"/>
  <c r="AC25" i="2"/>
  <c r="AC24" i="2"/>
  <c r="AC23" i="2"/>
  <c r="AC22" i="2"/>
  <c r="AC21" i="2"/>
  <c r="AC20" i="2"/>
  <c r="AC19" i="2"/>
  <c r="AC18" i="2"/>
  <c r="AC17" i="2"/>
  <c r="AC16" i="2"/>
  <c r="AC15" i="2"/>
  <c r="AC14" i="2"/>
  <c r="AC13" i="2"/>
  <c r="AC12" i="2"/>
  <c r="AC11" i="2"/>
  <c r="AC10" i="2"/>
  <c r="AC9" i="2"/>
  <c r="AC8" i="2"/>
  <c r="AC7" i="2"/>
  <c r="AC6" i="2"/>
  <c r="AC5" i="2"/>
  <c r="AC4" i="2"/>
  <c r="AC3" i="2"/>
  <c r="AC2" i="2"/>
</calcChain>
</file>

<file path=xl/sharedStrings.xml><?xml version="1.0" encoding="utf-8"?>
<sst xmlns="http://schemas.openxmlformats.org/spreadsheetml/2006/main" count="50891" uniqueCount="5463">
  <si>
    <t>generated_at</t>
  </si>
  <si>
    <t>input_folder</t>
  </si>
  <si>
    <t>input_glob</t>
  </si>
  <si>
    <t>n_files_found</t>
  </si>
  <si>
    <t>dpll_tests</t>
  </si>
  <si>
    <t>txpa_tests_count</t>
  </si>
  <si>
    <t>txpa_tests_ranges</t>
  </si>
  <si>
    <t>outlier_filter</t>
  </si>
  <si>
    <t>mad_multiplier</t>
  </si>
  <si>
    <t>fdr_method</t>
  </si>
  <si>
    <t>2026-01-26T19:28:51</t>
  </si>
  <si>
    <t>C:\UserData\Learning\Software_Programming\GitHub_Nelio92\PROD_Data</t>
  </si>
  <si>
    <t>*.csv</t>
  </si>
  <si>
    <t>52046,52084,52094</t>
  </si>
  <si>
    <t>53179-53290; 54146-54258; 55146-55258</t>
  </si>
  <si>
    <t>MAD</t>
  </si>
  <si>
    <t>Benjamini-Hochberg</t>
  </si>
  <si>
    <t>file</t>
  </si>
  <si>
    <t>dpll_test</t>
  </si>
  <si>
    <t>dpll_test_name</t>
  </si>
  <si>
    <t>txpa_test</t>
  </si>
  <si>
    <t>txpa_test_name</t>
  </si>
  <si>
    <t>n</t>
  </si>
  <si>
    <t>pearson_r</t>
  </si>
  <si>
    <t>pearson_p</t>
  </si>
  <si>
    <t>pearson_p_fdr</t>
  </si>
  <si>
    <t>spearman_rho</t>
  </si>
  <si>
    <t>spearman_p</t>
  </si>
  <si>
    <t>spearman_p_fdr</t>
  </si>
  <si>
    <t>kendall_tau</t>
  </si>
  <si>
    <t>kendall_p</t>
  </si>
  <si>
    <t>kendall_p_fdr</t>
  </si>
  <si>
    <t>r2</t>
  </si>
  <si>
    <t>slope</t>
  </si>
  <si>
    <t>intercept</t>
  </si>
  <si>
    <t>rmse</t>
  </si>
  <si>
    <t>mae</t>
  </si>
  <si>
    <t>x_mean</t>
  </si>
  <si>
    <t>x_std</t>
  </si>
  <si>
    <t>y_mean</t>
  </si>
  <si>
    <t>y_std</t>
  </si>
  <si>
    <t>note</t>
  </si>
  <si>
    <t>outlier_method</t>
  </si>
  <si>
    <t>n_outlier_points_masked</t>
  </si>
  <si>
    <t>plot_relpath</t>
  </si>
  <si>
    <t>plot_link</t>
  </si>
  <si>
    <t>20251231000436_3FT6Y121H01_04823_B11P_N_UFLEX98_M5358A8BH101511.csv</t>
  </si>
  <si>
    <t>20251231112652_3FT6Y119H04_05543_B21P_N_UFLEX98_M5358A8BA201511.csv</t>
  </si>
  <si>
    <t>3FT6Y578R01_012_S11P_20251111092011_M5358ACSH101811_RBGEUFRF26.csv</t>
  </si>
  <si>
    <t>3FT6Y578R04_015_S21P_20251218081014_M5358ACSC201811_RBGEUFRF04.csv</t>
  </si>
  <si>
    <t>3FT6Y578R04_015_S31P_20251219032831_M5358ACSA301811_RBGEUFRF04.csv</t>
  </si>
  <si>
    <t>DPLL_81Kf_________F100</t>
  </si>
  <si>
    <t>DPLL_80Kf_________F100</t>
  </si>
  <si>
    <t>DPLL_77Kf_________F100</t>
  </si>
  <si>
    <t>TXPA_81FwLu12Tx1__D095</t>
  </si>
  <si>
    <t>TXPA_81FwLu12Tx2__D095</t>
  </si>
  <si>
    <t>TXPA_81FwLu12Tx3__D095</t>
  </si>
  <si>
    <t>TXPA_81FwLu12Tx4__D095</t>
  </si>
  <si>
    <t>TXPA_81FwLu12Tx5__D095</t>
  </si>
  <si>
    <t>TXPA_81FwLu12Tx6__D095</t>
  </si>
  <si>
    <t>TXPA_81FwLu12Tx7__D095</t>
  </si>
  <si>
    <t>TXPA_81FwLu12Tx8__D095</t>
  </si>
  <si>
    <t>TXPA_81FwLu22Tx1__D095</t>
  </si>
  <si>
    <t>TXPA_81FwLu22Tx2__D095</t>
  </si>
  <si>
    <t>TXPA_81FwLu22Tx3__D095</t>
  </si>
  <si>
    <t>TXPA_81FwLu22Tx4__D095</t>
  </si>
  <si>
    <t>TXPA_81FwLu22Tx5__D095</t>
  </si>
  <si>
    <t>TXPA_81FwLu22Tx6__D095</t>
  </si>
  <si>
    <t>TXPA_81FwLu22Tx7__D095</t>
  </si>
  <si>
    <t>TXPA_81FwLu22Tx8__D095</t>
  </si>
  <si>
    <t>TXPA_81FwLu36Tx1__D095</t>
  </si>
  <si>
    <t>TXPA_81FwLu36Tx2__D095</t>
  </si>
  <si>
    <t>TXPA_81FwLu36Tx3__D095</t>
  </si>
  <si>
    <t>TXPA_81FwLu36Tx4__D095</t>
  </si>
  <si>
    <t>TXPA_81FwLu36Tx5__D095</t>
  </si>
  <si>
    <t>TXPA_81FwLu36Tx6__D095</t>
  </si>
  <si>
    <t>TXPA_81FwLu36Tx7__D095</t>
  </si>
  <si>
    <t>TXPA_81FwLu36Tx8__D095</t>
  </si>
  <si>
    <t>TXPA_81FwLu48Tx1__D095</t>
  </si>
  <si>
    <t>TXPA_81FwLu48Tx2__D095</t>
  </si>
  <si>
    <t>TXPA_81FwLu48Tx3__D095</t>
  </si>
  <si>
    <t>TXPA_81FwLu48Tx4__D095</t>
  </si>
  <si>
    <t>TXPA_81FwLu48Tx5__D095</t>
  </si>
  <si>
    <t>TXPA_81FwLu48Tx6__D095</t>
  </si>
  <si>
    <t>TXPA_81FwLu48Tx7__D095</t>
  </si>
  <si>
    <t>TXPA_81FwLu48Tx8__D095</t>
  </si>
  <si>
    <t>TXPA_81FwLu69Tx1__D095</t>
  </si>
  <si>
    <t>TXPA_81FwLu69Tx2__D095</t>
  </si>
  <si>
    <t>TXPA_81FwLu69Tx3__D095</t>
  </si>
  <si>
    <t>TXPA_81FwLu69Tx4__D095</t>
  </si>
  <si>
    <t>TXPA_81FwLu69Tx5__D095</t>
  </si>
  <si>
    <t>TXPA_81FwLu69Tx6__D095</t>
  </si>
  <si>
    <t>TXPA_81FwLu69Tx7__D095</t>
  </si>
  <si>
    <t>TXPA_81FwLu69Tx8__D095</t>
  </si>
  <si>
    <t>TXPA_81FwLu86Tx1__D095</t>
  </si>
  <si>
    <t>TXPA_81FwLu86Tx2__D095</t>
  </si>
  <si>
    <t>TXPA_81FwLu86Tx3__D095</t>
  </si>
  <si>
    <t>TXPA_81FwLu86Tx4__D095</t>
  </si>
  <si>
    <t>TXPA_81FwLu86Tx5__D095</t>
  </si>
  <si>
    <t>TXPA_81FwLu86Tx6__D095</t>
  </si>
  <si>
    <t>TXPA_81FwLu86Tx7__D095</t>
  </si>
  <si>
    <t>TXPA_81FwLu86Tx8__D095</t>
  </si>
  <si>
    <t>TXPA_81FwLu114Tx1_D095</t>
  </si>
  <si>
    <t>TXPA_81FwLu114Tx2_D095</t>
  </si>
  <si>
    <t>TXPA_81FwLu114Tx3_D095</t>
  </si>
  <si>
    <t>TXPA_81FwLu114Tx4_D095</t>
  </si>
  <si>
    <t>TXPA_81FwLu114Tx5_D095</t>
  </si>
  <si>
    <t>TXPA_81FwLu114Tx6_D095</t>
  </si>
  <si>
    <t>TXPA_81FwLu114Tx7_D095</t>
  </si>
  <si>
    <t>TXPA_81FwLu114Tx8_D095</t>
  </si>
  <si>
    <t>TXPA_81FwLu130Tx1_D095</t>
  </si>
  <si>
    <t>TXPA_81FwLu130Tx2_D095</t>
  </si>
  <si>
    <t>TXPA_81FwLu130Tx3_D095</t>
  </si>
  <si>
    <t>TXPA_81FwLu130Tx4_D095</t>
  </si>
  <si>
    <t>TXPA_81FwLu130Tx5_D095</t>
  </si>
  <si>
    <t>TXPA_81FwLu130Tx6_D095</t>
  </si>
  <si>
    <t>TXPA_81FwLu130Tx7_D095</t>
  </si>
  <si>
    <t>TXPA_81FwLu130Tx8_D095</t>
  </si>
  <si>
    <t>TXPA_81FwLu148Tx1_D095</t>
  </si>
  <si>
    <t>TXPA_81FwLu148Tx2_D095</t>
  </si>
  <si>
    <t>TXPA_81FwLu148Tx3_D095</t>
  </si>
  <si>
    <t>TXPA_81FwLu148Tx4_D095</t>
  </si>
  <si>
    <t>TXPA_81FwLu148Tx5_D095</t>
  </si>
  <si>
    <t>TXPA_81FwLu148Tx6_D095</t>
  </si>
  <si>
    <t>TXPA_81FwLu148Tx7_D095</t>
  </si>
  <si>
    <t>TXPA_81FwLu148Tx8_D095</t>
  </si>
  <si>
    <t>TXPA_81FwLu170Tx1_D095</t>
  </si>
  <si>
    <t>TXPA_81FwLu170Tx2_D095</t>
  </si>
  <si>
    <t>TXPA_81FwLu170Tx3_D095</t>
  </si>
  <si>
    <t>TXPA_81FwLu170Tx4_D095</t>
  </si>
  <si>
    <t>TXPA_81FwLu170Tx5_D095</t>
  </si>
  <si>
    <t>TXPA_81FwLu170Tx6_D095</t>
  </si>
  <si>
    <t>TXPA_81FwLu170Tx7_D095</t>
  </si>
  <si>
    <t>TXPA_81FwLu170Tx8_D095</t>
  </si>
  <si>
    <t>TXPA_81FwLu182Tx1_D095</t>
  </si>
  <si>
    <t>TXPA_81FwLu182Tx2_D095</t>
  </si>
  <si>
    <t>TXPA_81FwLu182Tx3_D095</t>
  </si>
  <si>
    <t>TXPA_81FwLu182Tx4_D095</t>
  </si>
  <si>
    <t>TXPA_81FwLu182Tx5_D095</t>
  </si>
  <si>
    <t>TXPA_81FwLu182Tx6_D095</t>
  </si>
  <si>
    <t>TXPA_81FwLu182Tx7_D095</t>
  </si>
  <si>
    <t>TXPA_81FwLu182Tx8_D095</t>
  </si>
  <si>
    <t>TXPA_81FwLu195Tx1_D095</t>
  </si>
  <si>
    <t>TXPA_81FwLu195Tx2_D095</t>
  </si>
  <si>
    <t>TXPA_81FwLu195Tx3_D095</t>
  </si>
  <si>
    <t>TXPA_81FwLu195Tx4_D095</t>
  </si>
  <si>
    <t>TXPA_81FwLu195Tx5_D095</t>
  </si>
  <si>
    <t>TXPA_81FwLu195Tx6_D095</t>
  </si>
  <si>
    <t>TXPA_81FwLu195Tx7_D095</t>
  </si>
  <si>
    <t>TXPA_81FwLu195Tx8_D095</t>
  </si>
  <si>
    <t>TXPA_81FwLu244Tx1_D095</t>
  </si>
  <si>
    <t>TXPA_81FwLu244Tx2_D095</t>
  </si>
  <si>
    <t>TXPA_81FwLu244Tx3_D095</t>
  </si>
  <si>
    <t>TXPA_81FwLu244Tx4_D095</t>
  </si>
  <si>
    <t>TXPA_81FwLu244Tx5_D095</t>
  </si>
  <si>
    <t>TXPA_81FwLu244Tx6_D095</t>
  </si>
  <si>
    <t>TXPA_81FwLu244Tx7_D095</t>
  </si>
  <si>
    <t>TXPA_81FwLu244Tx8_D095</t>
  </si>
  <si>
    <t>TXPA_81FwLu255Tx1_D095</t>
  </si>
  <si>
    <t>TXPA_81FwLu255Tx2_D095</t>
  </si>
  <si>
    <t>TXPA_81FwLu255Tx3_D095</t>
  </si>
  <si>
    <t>TXPA_81FwLu255Tx4_D095</t>
  </si>
  <si>
    <t>TXPA_81FwLu255Tx5_D095</t>
  </si>
  <si>
    <t>TXPA_81FwLu255Tx6_D095</t>
  </si>
  <si>
    <t>TXPA_81FwLu255Tx7_D095</t>
  </si>
  <si>
    <t>TXPA_81FwLu255Tx8_D095</t>
  </si>
  <si>
    <t>TXPB_77FwLu0Tx8___D095</t>
  </si>
  <si>
    <t>TXPB_77FwLu12Tx1__D095</t>
  </si>
  <si>
    <t>TXPB_77FwLu12Tx2__D095</t>
  </si>
  <si>
    <t>TXPB_77FwLu12Tx3__D095</t>
  </si>
  <si>
    <t>TXPB_77FwLu12Tx4__D095</t>
  </si>
  <si>
    <t>TXPB_77FwLu12Tx5__D095</t>
  </si>
  <si>
    <t>TXPB_77FwLu12Tx6__D095</t>
  </si>
  <si>
    <t>TXPB_77FwLu12Tx7__D095</t>
  </si>
  <si>
    <t>TXPB_77FwLu12Tx8__D095</t>
  </si>
  <si>
    <t>TXPB_77FwLu22Tx1__D095</t>
  </si>
  <si>
    <t>TXPB_77FwLu22Tx2__D095</t>
  </si>
  <si>
    <t>TXPB_77FwLu22Tx3__D095</t>
  </si>
  <si>
    <t>TXPB_77FwLu22Tx4__D095</t>
  </si>
  <si>
    <t>TXPB_77FwLu22Tx5__D095</t>
  </si>
  <si>
    <t>TXPB_77FwLu22Tx6__D095</t>
  </si>
  <si>
    <t>TXPB_77FwLu22Tx7__D095</t>
  </si>
  <si>
    <t>TXPB_77FwLu22Tx8__D095</t>
  </si>
  <si>
    <t>TXPB_77FwLu36Tx1__D095</t>
  </si>
  <si>
    <t>TXPB_77FwLu36Tx2__D095</t>
  </si>
  <si>
    <t>TXPB_77FwLu36Tx3__D095</t>
  </si>
  <si>
    <t>TXPB_77FwLu36Tx4__D095</t>
  </si>
  <si>
    <t>TXPB_77FwLu36Tx5__D095</t>
  </si>
  <si>
    <t>TXPB_77FwLu36Tx6__D095</t>
  </si>
  <si>
    <t>TXPB_77FwLu36Tx7__D095</t>
  </si>
  <si>
    <t>TXPB_77FwLu36Tx8__D095</t>
  </si>
  <si>
    <t>TXPB_77FwLu48Tx1__D095</t>
  </si>
  <si>
    <t>TXPB_77FwLu48Tx2__D095</t>
  </si>
  <si>
    <t>TXPB_77FwLu48Tx3__D095</t>
  </si>
  <si>
    <t>TXPB_77FwLu48Tx4__D095</t>
  </si>
  <si>
    <t>TXPB_77FwLu48Tx5__D095</t>
  </si>
  <si>
    <t>TXPB_77FwLu48Tx6__D095</t>
  </si>
  <si>
    <t>TXPB_77FwLu48Tx7__D095</t>
  </si>
  <si>
    <t>TXPB_77FwLu48Tx8__D095</t>
  </si>
  <si>
    <t>TXPB_77FwLu69Tx1__D095</t>
  </si>
  <si>
    <t>TXPB_77FwLu69Tx2__D095</t>
  </si>
  <si>
    <t>TXPB_77FwLu69Tx3__D095</t>
  </si>
  <si>
    <t>TXPB_77FwLu69Tx4__D095</t>
  </si>
  <si>
    <t>TXPB_77FwLu69Tx5__D095</t>
  </si>
  <si>
    <t>TXPB_77FwLu69Tx6__D095</t>
  </si>
  <si>
    <t>TXPB_77FwLu69Tx7__D095</t>
  </si>
  <si>
    <t>TXPB_77FwLu69Tx8__D095</t>
  </si>
  <si>
    <t>TXPB_77FwLu86Tx1__D095</t>
  </si>
  <si>
    <t>TXPB_77FwLu86Tx2__D095</t>
  </si>
  <si>
    <t>TXPB_77FwLu86Tx3__D095</t>
  </si>
  <si>
    <t>TXPB_77FwLu86Tx4__D095</t>
  </si>
  <si>
    <t>TXPB_77FwLu86Tx5__D095</t>
  </si>
  <si>
    <t>TXPB_77FwLu86Tx6__D095</t>
  </si>
  <si>
    <t>TXPB_77FwLu86Tx7__D095</t>
  </si>
  <si>
    <t>TXPB_77FwLu86Tx8__D095</t>
  </si>
  <si>
    <t>TXPB_77FwLu114Tx1_D095</t>
  </si>
  <si>
    <t>TXPB_77FwLu114Tx2_D095</t>
  </si>
  <si>
    <t>TXPB_77FwLu114Tx3_D095</t>
  </si>
  <si>
    <t>TXPB_77FwLu114Tx4_D095</t>
  </si>
  <si>
    <t>TXPB_77FwLu114Tx5_D095</t>
  </si>
  <si>
    <t>TXPB_77FwLu114Tx6_D095</t>
  </si>
  <si>
    <t>TXPB_77FwLu114Tx7_D095</t>
  </si>
  <si>
    <t>TXPB_77FwLu114Tx8_D095</t>
  </si>
  <si>
    <t>TXPB_77FwLu130Tx1_D095</t>
  </si>
  <si>
    <t>TXPB_77FwLu130Tx2_D095</t>
  </si>
  <si>
    <t>TXPB_77FwLu130Tx3_D095</t>
  </si>
  <si>
    <t>TXPB_77FwLu130Tx4_D095</t>
  </si>
  <si>
    <t>TXPB_77FwLu130Tx5_D095</t>
  </si>
  <si>
    <t>TXPB_77FwLu130Tx6_D095</t>
  </si>
  <si>
    <t>TXPB_77FwLu130Tx7_D095</t>
  </si>
  <si>
    <t>TXPB_77FwLu130Tx8_D095</t>
  </si>
  <si>
    <t>TXPB_77FwLu148Tx1_D095</t>
  </si>
  <si>
    <t>TXPB_77FwLu148Tx2_D095</t>
  </si>
  <si>
    <t>TXPB_77FwLu148Tx3_D095</t>
  </si>
  <si>
    <t>TXPB_77FwLu148Tx4_D095</t>
  </si>
  <si>
    <t>TXPB_77FwLu148Tx5_D095</t>
  </si>
  <si>
    <t>TXPB_77FwLu148Tx6_D095</t>
  </si>
  <si>
    <t>TXPB_77FwLu148Tx7_D095</t>
  </si>
  <si>
    <t>TXPB_77FwLu148Tx8_D095</t>
  </si>
  <si>
    <t>TXPB_77FwLu170Tx1_D095</t>
  </si>
  <si>
    <t>TXPB_77FwLu170Tx2_D095</t>
  </si>
  <si>
    <t>TXPB_77FwLu170Tx3_D095</t>
  </si>
  <si>
    <t>TXPB_77FwLu170Tx4_D095</t>
  </si>
  <si>
    <t>TXPB_77FwLu170Tx5_D095</t>
  </si>
  <si>
    <t>TXPB_77FwLu170Tx6_D095</t>
  </si>
  <si>
    <t>TXPB_77FwLu170Tx7_D095</t>
  </si>
  <si>
    <t>TXPB_77FwLu170Tx8_D095</t>
  </si>
  <si>
    <t>TXPB_77FwLu182Tx1_D095</t>
  </si>
  <si>
    <t>TXPB_77FwLu182Tx2_D095</t>
  </si>
  <si>
    <t>TXPB_77FwLu182Tx3_D095</t>
  </si>
  <si>
    <t>TXPB_77FwLu182Tx4_D095</t>
  </si>
  <si>
    <t>TXPB_77FwLu182Tx5_D095</t>
  </si>
  <si>
    <t>TXPB_77FwLu182Tx6_D095</t>
  </si>
  <si>
    <t>TXPB_77FwLu182Tx7_D095</t>
  </si>
  <si>
    <t>TXPB_77FwLu182Tx8_D095</t>
  </si>
  <si>
    <t>TXPB_77FwLu195Tx1_D095</t>
  </si>
  <si>
    <t>TXPB_77FwLu195Tx2_D095</t>
  </si>
  <si>
    <t>TXPB_77FwLu195Tx3_D095</t>
  </si>
  <si>
    <t>TXPB_77FwLu195Tx4_D095</t>
  </si>
  <si>
    <t>TXPB_77FwLu195Tx5_D095</t>
  </si>
  <si>
    <t>TXPB_77FwLu195Tx6_D095</t>
  </si>
  <si>
    <t>TXPB_77FwLu195Tx7_D095</t>
  </si>
  <si>
    <t>TXPB_77FwLu195Tx8_D095</t>
  </si>
  <si>
    <t>TXPB_77FwLu244Tx1_D095</t>
  </si>
  <si>
    <t>TXPB_77FwLu244Tx2_D095</t>
  </si>
  <si>
    <t>TXPB_77FwLu244Tx3_D095</t>
  </si>
  <si>
    <t>TXPB_77FwLu244Tx4_D095</t>
  </si>
  <si>
    <t>TXPB_77FwLu244Tx5_D095</t>
  </si>
  <si>
    <t>TXPB_77FwLu244Tx6_D095</t>
  </si>
  <si>
    <t>TXPB_77FwLu244Tx7_D095</t>
  </si>
  <si>
    <t>TXPB_77FwLu244Tx8_D095</t>
  </si>
  <si>
    <t>TXPB_77FwLu255Tx1_D095</t>
  </si>
  <si>
    <t>TXPB_77FwLu255Tx2_D095</t>
  </si>
  <si>
    <t>TXPB_77FwLu255Tx3_D095</t>
  </si>
  <si>
    <t>TXPB_77FwLu255Tx4_D095</t>
  </si>
  <si>
    <t>TXPB_77FwLu255Tx5_D095</t>
  </si>
  <si>
    <t>TXPB_77FwLu255Tx6_D095</t>
  </si>
  <si>
    <t>TXPB_77FwLu255Tx7_D095</t>
  </si>
  <si>
    <t>TXPB_77FwLu255Tx8_D095</t>
  </si>
  <si>
    <t>TXPC_76FwLu0Tx8___D095</t>
  </si>
  <si>
    <t>TXPC_76FwLu12Tx1__D095</t>
  </si>
  <si>
    <t>TXPC_76FwLu12Tx2__D095</t>
  </si>
  <si>
    <t>TXPC_76FwLu12Tx3__D095</t>
  </si>
  <si>
    <t>TXPC_76FwLu12Tx4__D095</t>
  </si>
  <si>
    <t>TXPC_76FwLu12Tx5__D095</t>
  </si>
  <si>
    <t>TXPC_76FwLu12Tx6__D095</t>
  </si>
  <si>
    <t>TXPC_76FwLu12Tx7__D095</t>
  </si>
  <si>
    <t>TXPC_76FwLu12Tx8__D095</t>
  </si>
  <si>
    <t>TXPC_76FwLu22Tx1__D095</t>
  </si>
  <si>
    <t>TXPC_76FwLu22Tx2__D095</t>
  </si>
  <si>
    <t>TXPC_76FwLu22Tx3__D095</t>
  </si>
  <si>
    <t>TXPC_76FwLu22Tx4__D095</t>
  </si>
  <si>
    <t>TXPC_76FwLu22Tx5__D095</t>
  </si>
  <si>
    <t>TXPC_76FwLu22Tx6__D095</t>
  </si>
  <si>
    <t>TXPC_76FwLu22Tx7__D095</t>
  </si>
  <si>
    <t>TXPC_76FwLu22Tx8__D095</t>
  </si>
  <si>
    <t>TXPC_76FwLu36Tx1__D095</t>
  </si>
  <si>
    <t>TXPC_76FwLu36Tx2__D095</t>
  </si>
  <si>
    <t>TXPC_76FwLu36Tx3__D095</t>
  </si>
  <si>
    <t>TXPC_76FwLu36Tx4__D095</t>
  </si>
  <si>
    <t>TXPC_76FwLu36Tx5__D095</t>
  </si>
  <si>
    <t>TXPC_76FwLu36Tx6__D095</t>
  </si>
  <si>
    <t>TXPC_76FwLu36Tx7__D095</t>
  </si>
  <si>
    <t>TXPC_76FwLu36Tx8__D095</t>
  </si>
  <si>
    <t>TXPC_76FwLu48Tx1__D095</t>
  </si>
  <si>
    <t>TXPC_76FwLu48Tx2__D095</t>
  </si>
  <si>
    <t>TXPC_76FwLu48Tx3__D095</t>
  </si>
  <si>
    <t>TXPC_76FwLu48Tx4__D095</t>
  </si>
  <si>
    <t>TXPC_76FwLu48Tx5__D095</t>
  </si>
  <si>
    <t>TXPC_76FwLu48Tx6__D095</t>
  </si>
  <si>
    <t>TXPC_76FwLu48Tx7__D095</t>
  </si>
  <si>
    <t>TXPC_76FwLu48Tx8__D095</t>
  </si>
  <si>
    <t>TXPC_76FwLu69Tx1__D095</t>
  </si>
  <si>
    <t>TXPC_76FwLu69Tx2__D095</t>
  </si>
  <si>
    <t>TXPC_76FwLu69Tx3__D095</t>
  </si>
  <si>
    <t>TXPC_76FwLu69Tx4__D095</t>
  </si>
  <si>
    <t>TXPC_76FwLu69Tx5__D095</t>
  </si>
  <si>
    <t>TXPC_76FwLu69Tx6__D095</t>
  </si>
  <si>
    <t>TXPC_76FwLu69Tx7__D095</t>
  </si>
  <si>
    <t>TXPC_76FwLu69Tx8__D095</t>
  </si>
  <si>
    <t>TXPC_76FwLu86Tx1__D095</t>
  </si>
  <si>
    <t>TXPC_76FwLu86Tx2__D095</t>
  </si>
  <si>
    <t>TXPC_76FwLu86Tx3__D095</t>
  </si>
  <si>
    <t>TXPC_76FwLu86Tx4__D095</t>
  </si>
  <si>
    <t>TXPC_76FwLu86Tx5__D095</t>
  </si>
  <si>
    <t>TXPC_76FwLu86Tx6__D095</t>
  </si>
  <si>
    <t>TXPC_76FwLu86Tx7__D095</t>
  </si>
  <si>
    <t>TXPC_76FwLu86Tx8__D095</t>
  </si>
  <si>
    <t>TXPC_76FwLu114Tx1_D095</t>
  </si>
  <si>
    <t>TXPC_76FwLu114Tx2_D095</t>
  </si>
  <si>
    <t>TXPC_76FwLu114Tx3_D095</t>
  </si>
  <si>
    <t>TXPC_76FwLu114Tx4_D095</t>
  </si>
  <si>
    <t>TXPC_76FwLu114Tx5_D095</t>
  </si>
  <si>
    <t>TXPC_76FwLu114Tx6_D095</t>
  </si>
  <si>
    <t>TXPC_76FwLu114Tx7_D095</t>
  </si>
  <si>
    <t>TXPC_76FwLu114Tx8_D095</t>
  </si>
  <si>
    <t>TXPC_76FwLu130Tx1_D095</t>
  </si>
  <si>
    <t>TXPC_76FwLu130Tx2_D095</t>
  </si>
  <si>
    <t>TXPC_76FwLu130Tx3_D095</t>
  </si>
  <si>
    <t>TXPC_76FwLu130Tx4_D095</t>
  </si>
  <si>
    <t>TXPC_76FwLu130Tx5_D095</t>
  </si>
  <si>
    <t>TXPC_76FwLu130Tx6_D095</t>
  </si>
  <si>
    <t>TXPC_76FwLu130Tx7_D095</t>
  </si>
  <si>
    <t>TXPC_76FwLu130Tx8_D095</t>
  </si>
  <si>
    <t>TXPC_76FwLu148Tx1_D095</t>
  </si>
  <si>
    <t>TXPC_76FwLu148Tx2_D095</t>
  </si>
  <si>
    <t>TXPC_76FwLu148Tx3_D095</t>
  </si>
  <si>
    <t>TXPC_76FwLu148Tx4_D095</t>
  </si>
  <si>
    <t>TXPC_76FwLu148Tx5_D095</t>
  </si>
  <si>
    <t>TXPC_76FwLu148Tx6_D095</t>
  </si>
  <si>
    <t>TXPC_76FwLu148Tx7_D095</t>
  </si>
  <si>
    <t>TXPC_76FwLu148Tx8_D095</t>
  </si>
  <si>
    <t>TXPC_76FwLu170Tx1_D095</t>
  </si>
  <si>
    <t>TXPC_76FwLu170Tx2_D095</t>
  </si>
  <si>
    <t>TXPC_76FwLu170Tx3_D095</t>
  </si>
  <si>
    <t>TXPC_76FwLu170Tx4_D095</t>
  </si>
  <si>
    <t>TXPC_76FwLu170Tx5_D095</t>
  </si>
  <si>
    <t>TXPC_76FwLu170Tx6_D095</t>
  </si>
  <si>
    <t>TXPC_76FwLu170Tx7_D095</t>
  </si>
  <si>
    <t>TXPC_76FwLu170Tx8_D095</t>
  </si>
  <si>
    <t>TXPC_76FwLu182Tx1_D095</t>
  </si>
  <si>
    <t>TXPC_76FwLu182Tx2_D095</t>
  </si>
  <si>
    <t>TXPC_76FwLu182Tx3_D095</t>
  </si>
  <si>
    <t>TXPC_76FwLu182Tx4_D095</t>
  </si>
  <si>
    <t>TXPC_76FwLu182Tx5_D095</t>
  </si>
  <si>
    <t>TXPC_76FwLu182Tx6_D095</t>
  </si>
  <si>
    <t>TXPC_76FwLu182Tx7_D095</t>
  </si>
  <si>
    <t>TXPC_76FwLu182Tx8_D095</t>
  </si>
  <si>
    <t>TXPC_76FwLu195Tx1_D095</t>
  </si>
  <si>
    <t>TXPC_76FwLu195Tx2_D095</t>
  </si>
  <si>
    <t>TXPC_76FwLu195Tx3_D095</t>
  </si>
  <si>
    <t>TXPC_76FwLu195Tx4_D095</t>
  </si>
  <si>
    <t>TXPC_76FwLu195Tx5_D095</t>
  </si>
  <si>
    <t>TXPC_76FwLu195Tx6_D095</t>
  </si>
  <si>
    <t>TXPC_76FwLu195Tx7_D095</t>
  </si>
  <si>
    <t>TXPC_76FwLu195Tx8_D095</t>
  </si>
  <si>
    <t>TXPC_76FwLu244Tx1_D095</t>
  </si>
  <si>
    <t>TXPC_76FwLu244Tx2_D095</t>
  </si>
  <si>
    <t>TXPC_76FwLu244Tx3_D095</t>
  </si>
  <si>
    <t>TXPC_76FwLu244Tx4_D095</t>
  </si>
  <si>
    <t>TXPC_76FwLu244Tx5_D095</t>
  </si>
  <si>
    <t>TXPC_76FwLu244Tx6_D095</t>
  </si>
  <si>
    <t>TXPC_76FwLu244Tx7_D095</t>
  </si>
  <si>
    <t>TXPC_76FwLu244Tx8_D095</t>
  </si>
  <si>
    <t>TXPC_76FwLu255Tx1_D095</t>
  </si>
  <si>
    <t>TXPC_76FwLu255Tx2_D095</t>
  </si>
  <si>
    <t>TXPC_76FwLu255Tx3_D095</t>
  </si>
  <si>
    <t>TXPC_76FwLu255Tx4_D095</t>
  </si>
  <si>
    <t>TXPC_76FwLu255Tx5_D095</t>
  </si>
  <si>
    <t>TXPC_76FwLu255Tx6_D095</t>
  </si>
  <si>
    <t>TXPC_76FwLu255Tx7_D095</t>
  </si>
  <si>
    <t>TXPC_76FwLu255Tx8_D095</t>
  </si>
  <si>
    <t>MAD(k=10)</t>
  </si>
  <si>
    <t>plots/20251231000436_3FT6Y121H01_04823_B11P_N_UFLEX98_M5358A8BH101511/dpll_52046/txpa_53179.png</t>
  </si>
  <si>
    <t>plots/20251231000436_3FT6Y121H01_04823_B11P_N_UFLEX98_M5358A8BH101511/dpll_52046/txpa_53180.png</t>
  </si>
  <si>
    <t>plots/20251231000436_3FT6Y121H01_04823_B11P_N_UFLEX98_M5358A8BH101511/dpll_52046/txpa_53181.png</t>
  </si>
  <si>
    <t>plots/20251231000436_3FT6Y121H01_04823_B11P_N_UFLEX98_M5358A8BH101511/dpll_52046/txpa_53182.png</t>
  </si>
  <si>
    <t>plots/20251231000436_3FT6Y121H01_04823_B11P_N_UFLEX98_M5358A8BH101511/dpll_52046/txpa_53183.png</t>
  </si>
  <si>
    <t>plots/20251231000436_3FT6Y121H01_04823_B11P_N_UFLEX98_M5358A8BH101511/dpll_52046/txpa_53184.png</t>
  </si>
  <si>
    <t>plots/20251231000436_3FT6Y121H01_04823_B11P_N_UFLEX98_M5358A8BH101511/dpll_52046/txpa_53185.png</t>
  </si>
  <si>
    <t>plots/20251231000436_3FT6Y121H01_04823_B11P_N_UFLEX98_M5358A8BH101511/dpll_52046/txpa_53186.png</t>
  </si>
  <si>
    <t>plots/20251231000436_3FT6Y121H01_04823_B11P_N_UFLEX98_M5358A8BH101511/dpll_52046/txpa_53187.png</t>
  </si>
  <si>
    <t>plots/20251231000436_3FT6Y121H01_04823_B11P_N_UFLEX98_M5358A8BH101511/dpll_52046/txpa_53188.png</t>
  </si>
  <si>
    <t>plots/20251231000436_3FT6Y121H01_04823_B11P_N_UFLEX98_M5358A8BH101511/dpll_52046/txpa_53189.png</t>
  </si>
  <si>
    <t>plots/20251231000436_3FT6Y121H01_04823_B11P_N_UFLEX98_M5358A8BH101511/dpll_52046/txpa_53190.png</t>
  </si>
  <si>
    <t>plots/20251231000436_3FT6Y121H01_04823_B11P_N_UFLEX98_M5358A8BH101511/dpll_52046/txpa_53191.png</t>
  </si>
  <si>
    <t>plots/20251231000436_3FT6Y121H01_04823_B11P_N_UFLEX98_M5358A8BH101511/dpll_52046/txpa_53192.png</t>
  </si>
  <si>
    <t>plots/20251231000436_3FT6Y121H01_04823_B11P_N_UFLEX98_M5358A8BH101511/dpll_52046/txpa_53193.png</t>
  </si>
  <si>
    <t>plots/20251231000436_3FT6Y121H01_04823_B11P_N_UFLEX98_M5358A8BH101511/dpll_52046/txpa_53194.png</t>
  </si>
  <si>
    <t>plots/20251231000436_3FT6Y121H01_04823_B11P_N_UFLEX98_M5358A8BH101511/dpll_52046/txpa_53195.png</t>
  </si>
  <si>
    <t>plots/20251231000436_3FT6Y121H01_04823_B11P_N_UFLEX98_M5358A8BH101511/dpll_52046/txpa_53196.png</t>
  </si>
  <si>
    <t>plots/20251231000436_3FT6Y121H01_04823_B11P_N_UFLEX98_M5358A8BH101511/dpll_52046/txpa_53197.png</t>
  </si>
  <si>
    <t>plots/20251231000436_3FT6Y121H01_04823_B11P_N_UFLEX98_M5358A8BH101511/dpll_52046/txpa_53198.png</t>
  </si>
  <si>
    <t>plots/20251231000436_3FT6Y121H01_04823_B11P_N_UFLEX98_M5358A8BH101511/dpll_52046/txpa_53199.png</t>
  </si>
  <si>
    <t>plots/20251231000436_3FT6Y121H01_04823_B11P_N_UFLEX98_M5358A8BH101511/dpll_52046/txpa_53200.png</t>
  </si>
  <si>
    <t>plots/20251231000436_3FT6Y121H01_04823_B11P_N_UFLEX98_M5358A8BH101511/dpll_52046/txpa_53201.png</t>
  </si>
  <si>
    <t>plots/20251231000436_3FT6Y121H01_04823_B11P_N_UFLEX98_M5358A8BH101511/dpll_52046/txpa_53202.png</t>
  </si>
  <si>
    <t>plots/20251231000436_3FT6Y121H01_04823_B11P_N_UFLEX98_M5358A8BH101511/dpll_52046/txpa_53203.png</t>
  </si>
  <si>
    <t>plots/20251231000436_3FT6Y121H01_04823_B11P_N_UFLEX98_M5358A8BH101511/dpll_52046/txpa_53204.png</t>
  </si>
  <si>
    <t>plots/20251231000436_3FT6Y121H01_04823_B11P_N_UFLEX98_M5358A8BH101511/dpll_52046/txpa_53205.png</t>
  </si>
  <si>
    <t>plots/20251231000436_3FT6Y121H01_04823_B11P_N_UFLEX98_M5358A8BH101511/dpll_52046/txpa_53206.png</t>
  </si>
  <si>
    <t>plots/20251231000436_3FT6Y121H01_04823_B11P_N_UFLEX98_M5358A8BH101511/dpll_52046/txpa_53207.png</t>
  </si>
  <si>
    <t>plots/20251231000436_3FT6Y121H01_04823_B11P_N_UFLEX98_M5358A8BH101511/dpll_52046/txpa_53208.png</t>
  </si>
  <si>
    <t>plots/20251231000436_3FT6Y121H01_04823_B11P_N_UFLEX98_M5358A8BH101511/dpll_52046/txpa_53209.png</t>
  </si>
  <si>
    <t>plots/20251231000436_3FT6Y121H01_04823_B11P_N_UFLEX98_M5358A8BH101511/dpll_52046/txpa_53210.png</t>
  </si>
  <si>
    <t>plots/20251231000436_3FT6Y121H01_04823_B11P_N_UFLEX98_M5358A8BH101511/dpll_52046/txpa_53211.png</t>
  </si>
  <si>
    <t>plots/20251231000436_3FT6Y121H01_04823_B11P_N_UFLEX98_M5358A8BH101511/dpll_52046/txpa_53212.png</t>
  </si>
  <si>
    <t>plots/20251231000436_3FT6Y121H01_04823_B11P_N_UFLEX98_M5358A8BH101511/dpll_52046/txpa_53213.png</t>
  </si>
  <si>
    <t>plots/20251231000436_3FT6Y121H01_04823_B11P_N_UFLEX98_M5358A8BH101511/dpll_52046/txpa_53214.png</t>
  </si>
  <si>
    <t>plots/20251231000436_3FT6Y121H01_04823_B11P_N_UFLEX98_M5358A8BH101511/dpll_52046/txpa_53215.png</t>
  </si>
  <si>
    <t>plots/20251231000436_3FT6Y121H01_04823_B11P_N_UFLEX98_M5358A8BH101511/dpll_52046/txpa_53216.png</t>
  </si>
  <si>
    <t>plots/20251231000436_3FT6Y121H01_04823_B11P_N_UFLEX98_M5358A8BH101511/dpll_52046/txpa_53217.png</t>
  </si>
  <si>
    <t>plots/20251231000436_3FT6Y121H01_04823_B11P_N_UFLEX98_M5358A8BH101511/dpll_52046/txpa_53218.png</t>
  </si>
  <si>
    <t>plots/20251231000436_3FT6Y121H01_04823_B11P_N_UFLEX98_M5358A8BH101511/dpll_52046/txpa_53219.png</t>
  </si>
  <si>
    <t>plots/20251231000436_3FT6Y121H01_04823_B11P_N_UFLEX98_M5358A8BH101511/dpll_52046/txpa_53220.png</t>
  </si>
  <si>
    <t>plots/20251231000436_3FT6Y121H01_04823_B11P_N_UFLEX98_M5358A8BH101511/dpll_52046/txpa_53221.png</t>
  </si>
  <si>
    <t>plots/20251231000436_3FT6Y121H01_04823_B11P_N_UFLEX98_M5358A8BH101511/dpll_52046/txpa_53222.png</t>
  </si>
  <si>
    <t>plots/20251231000436_3FT6Y121H01_04823_B11P_N_UFLEX98_M5358A8BH101511/dpll_52046/txpa_53223.png</t>
  </si>
  <si>
    <t>plots/20251231000436_3FT6Y121H01_04823_B11P_N_UFLEX98_M5358A8BH101511/dpll_52046/txpa_53224.png</t>
  </si>
  <si>
    <t>plots/20251231000436_3FT6Y121H01_04823_B11P_N_UFLEX98_M5358A8BH101511/dpll_52046/txpa_53225.png</t>
  </si>
  <si>
    <t>plots/20251231000436_3FT6Y121H01_04823_B11P_N_UFLEX98_M5358A8BH101511/dpll_52046/txpa_53226.png</t>
  </si>
  <si>
    <t>plots/20251231000436_3FT6Y121H01_04823_B11P_N_UFLEX98_M5358A8BH101511/dpll_52046/txpa_53227.png</t>
  </si>
  <si>
    <t>plots/20251231000436_3FT6Y121H01_04823_B11P_N_UFLEX98_M5358A8BH101511/dpll_52046/txpa_53228.png</t>
  </si>
  <si>
    <t>plots/20251231000436_3FT6Y121H01_04823_B11P_N_UFLEX98_M5358A8BH101511/dpll_52046/txpa_53229.png</t>
  </si>
  <si>
    <t>plots/20251231000436_3FT6Y121H01_04823_B11P_N_UFLEX98_M5358A8BH101511/dpll_52046/txpa_53230.png</t>
  </si>
  <si>
    <t>plots/20251231000436_3FT6Y121H01_04823_B11P_N_UFLEX98_M5358A8BH101511/dpll_52046/txpa_53231.png</t>
  </si>
  <si>
    <t>plots/20251231000436_3FT6Y121H01_04823_B11P_N_UFLEX98_M5358A8BH101511/dpll_52046/txpa_53232.png</t>
  </si>
  <si>
    <t>plots/20251231000436_3FT6Y121H01_04823_B11P_N_UFLEX98_M5358A8BH101511/dpll_52046/txpa_53233.png</t>
  </si>
  <si>
    <t>plots/20251231000436_3FT6Y121H01_04823_B11P_N_UFLEX98_M5358A8BH101511/dpll_52046/txpa_53234.png</t>
  </si>
  <si>
    <t>plots/20251231000436_3FT6Y121H01_04823_B11P_N_UFLEX98_M5358A8BH101511/dpll_52046/txpa_53235.png</t>
  </si>
  <si>
    <t>plots/20251231000436_3FT6Y121H01_04823_B11P_N_UFLEX98_M5358A8BH101511/dpll_52046/txpa_53236.png</t>
  </si>
  <si>
    <t>plots/20251231000436_3FT6Y121H01_04823_B11P_N_UFLEX98_M5358A8BH101511/dpll_52046/txpa_53237.png</t>
  </si>
  <si>
    <t>plots/20251231000436_3FT6Y121H01_04823_B11P_N_UFLEX98_M5358A8BH101511/dpll_52046/txpa_53238.png</t>
  </si>
  <si>
    <t>plots/20251231000436_3FT6Y121H01_04823_B11P_N_UFLEX98_M5358A8BH101511/dpll_52046/txpa_53239.png</t>
  </si>
  <si>
    <t>plots/20251231000436_3FT6Y121H01_04823_B11P_N_UFLEX98_M5358A8BH101511/dpll_52046/txpa_53240.png</t>
  </si>
  <si>
    <t>plots/20251231000436_3FT6Y121H01_04823_B11P_N_UFLEX98_M5358A8BH101511/dpll_52046/txpa_53241.png</t>
  </si>
  <si>
    <t>plots/20251231000436_3FT6Y121H01_04823_B11P_N_UFLEX98_M5358A8BH101511/dpll_52046/txpa_53242.png</t>
  </si>
  <si>
    <t>plots/20251231000436_3FT6Y121H01_04823_B11P_N_UFLEX98_M5358A8BH101511/dpll_52046/txpa_53243.png</t>
  </si>
  <si>
    <t>plots/20251231000436_3FT6Y121H01_04823_B11P_N_UFLEX98_M5358A8BH101511/dpll_52046/txpa_53244.png</t>
  </si>
  <si>
    <t>plots/20251231000436_3FT6Y121H01_04823_B11P_N_UFLEX98_M5358A8BH101511/dpll_52046/txpa_53245.png</t>
  </si>
  <si>
    <t>plots/20251231000436_3FT6Y121H01_04823_B11P_N_UFLEX98_M5358A8BH101511/dpll_52046/txpa_53246.png</t>
  </si>
  <si>
    <t>plots/20251231000436_3FT6Y121H01_04823_B11P_N_UFLEX98_M5358A8BH101511/dpll_52046/txpa_53247.png</t>
  </si>
  <si>
    <t>plots/20251231000436_3FT6Y121H01_04823_B11P_N_UFLEX98_M5358A8BH101511/dpll_52046/txpa_53248.png</t>
  </si>
  <si>
    <t>plots/20251231000436_3FT6Y121H01_04823_B11P_N_UFLEX98_M5358A8BH101511/dpll_52046/txpa_53249.png</t>
  </si>
  <si>
    <t>plots/20251231000436_3FT6Y121H01_04823_B11P_N_UFLEX98_M5358A8BH101511/dpll_52046/txpa_53250.png</t>
  </si>
  <si>
    <t>plots/20251231000436_3FT6Y121H01_04823_B11P_N_UFLEX98_M5358A8BH101511/dpll_52046/txpa_53251.png</t>
  </si>
  <si>
    <t>plots/20251231000436_3FT6Y121H01_04823_B11P_N_UFLEX98_M5358A8BH101511/dpll_52046/txpa_53252.png</t>
  </si>
  <si>
    <t>plots/20251231000436_3FT6Y121H01_04823_B11P_N_UFLEX98_M5358A8BH101511/dpll_52046/txpa_53253.png</t>
  </si>
  <si>
    <t>plots/20251231000436_3FT6Y121H01_04823_B11P_N_UFLEX98_M5358A8BH101511/dpll_52046/txpa_53254.png</t>
  </si>
  <si>
    <t>plots/20251231000436_3FT6Y121H01_04823_B11P_N_UFLEX98_M5358A8BH101511/dpll_52046/txpa_53255.png</t>
  </si>
  <si>
    <t>plots/20251231000436_3FT6Y121H01_04823_B11P_N_UFLEX98_M5358A8BH101511/dpll_52046/txpa_53256.png</t>
  </si>
  <si>
    <t>plots/20251231000436_3FT6Y121H01_04823_B11P_N_UFLEX98_M5358A8BH101511/dpll_52046/txpa_53257.png</t>
  </si>
  <si>
    <t>plots/20251231000436_3FT6Y121H01_04823_B11P_N_UFLEX98_M5358A8BH101511/dpll_52046/txpa_53258.png</t>
  </si>
  <si>
    <t>plots/20251231000436_3FT6Y121H01_04823_B11P_N_UFLEX98_M5358A8BH101511/dpll_52046/txpa_53259.png</t>
  </si>
  <si>
    <t>plots/20251231000436_3FT6Y121H01_04823_B11P_N_UFLEX98_M5358A8BH101511/dpll_52046/txpa_53260.png</t>
  </si>
  <si>
    <t>plots/20251231000436_3FT6Y121H01_04823_B11P_N_UFLEX98_M5358A8BH101511/dpll_52046/txpa_53261.png</t>
  </si>
  <si>
    <t>plots/20251231000436_3FT6Y121H01_04823_B11P_N_UFLEX98_M5358A8BH101511/dpll_52046/txpa_53262.png</t>
  </si>
  <si>
    <t>plots/20251231000436_3FT6Y121H01_04823_B11P_N_UFLEX98_M5358A8BH101511/dpll_52046/txpa_53263.png</t>
  </si>
  <si>
    <t>plots/20251231000436_3FT6Y121H01_04823_B11P_N_UFLEX98_M5358A8BH101511/dpll_52046/txpa_53264.png</t>
  </si>
  <si>
    <t>plots/20251231000436_3FT6Y121H01_04823_B11P_N_UFLEX98_M5358A8BH101511/dpll_52046/txpa_53265.png</t>
  </si>
  <si>
    <t>plots/20251231000436_3FT6Y121H01_04823_B11P_N_UFLEX98_M5358A8BH101511/dpll_52046/txpa_53266.png</t>
  </si>
  <si>
    <t>plots/20251231000436_3FT6Y121H01_04823_B11P_N_UFLEX98_M5358A8BH101511/dpll_52046/txpa_53267.png</t>
  </si>
  <si>
    <t>plots/20251231000436_3FT6Y121H01_04823_B11P_N_UFLEX98_M5358A8BH101511/dpll_52046/txpa_53268.png</t>
  </si>
  <si>
    <t>plots/20251231000436_3FT6Y121H01_04823_B11P_N_UFLEX98_M5358A8BH101511/dpll_52046/txpa_53269.png</t>
  </si>
  <si>
    <t>plots/20251231000436_3FT6Y121H01_04823_B11P_N_UFLEX98_M5358A8BH101511/dpll_52046/txpa_53270.png</t>
  </si>
  <si>
    <t>plots/20251231000436_3FT6Y121H01_04823_B11P_N_UFLEX98_M5358A8BH101511/dpll_52046/txpa_53271.png</t>
  </si>
  <si>
    <t>plots/20251231000436_3FT6Y121H01_04823_B11P_N_UFLEX98_M5358A8BH101511/dpll_52046/txpa_53272.png</t>
  </si>
  <si>
    <t>plots/20251231000436_3FT6Y121H01_04823_B11P_N_UFLEX98_M5358A8BH101511/dpll_52046/txpa_53273.png</t>
  </si>
  <si>
    <t>plots/20251231000436_3FT6Y121H01_04823_B11P_N_UFLEX98_M5358A8BH101511/dpll_52046/txpa_53274.png</t>
  </si>
  <si>
    <t>plots/20251231000436_3FT6Y121H01_04823_B11P_N_UFLEX98_M5358A8BH101511/dpll_52046/txpa_53275.png</t>
  </si>
  <si>
    <t>plots/20251231000436_3FT6Y121H01_04823_B11P_N_UFLEX98_M5358A8BH101511/dpll_52046/txpa_53276.png</t>
  </si>
  <si>
    <t>plots/20251231000436_3FT6Y121H01_04823_B11P_N_UFLEX98_M5358A8BH101511/dpll_52046/txpa_53277.png</t>
  </si>
  <si>
    <t>plots/20251231000436_3FT6Y121H01_04823_B11P_N_UFLEX98_M5358A8BH101511/dpll_52046/txpa_53278.png</t>
  </si>
  <si>
    <t>plots/20251231000436_3FT6Y121H01_04823_B11P_N_UFLEX98_M5358A8BH101511/dpll_52046/txpa_53279.png</t>
  </si>
  <si>
    <t>plots/20251231000436_3FT6Y121H01_04823_B11P_N_UFLEX98_M5358A8BH101511/dpll_52046/txpa_53280.png</t>
  </si>
  <si>
    <t>plots/20251231000436_3FT6Y121H01_04823_B11P_N_UFLEX98_M5358A8BH101511/dpll_52046/txpa_53281.png</t>
  </si>
  <si>
    <t>plots/20251231000436_3FT6Y121H01_04823_B11P_N_UFLEX98_M5358A8BH101511/dpll_52046/txpa_53282.png</t>
  </si>
  <si>
    <t>plots/20251231000436_3FT6Y121H01_04823_B11P_N_UFLEX98_M5358A8BH101511/dpll_52046/txpa_53283.png</t>
  </si>
  <si>
    <t>plots/20251231000436_3FT6Y121H01_04823_B11P_N_UFLEX98_M5358A8BH101511/dpll_52046/txpa_53284.png</t>
  </si>
  <si>
    <t>plots/20251231000436_3FT6Y121H01_04823_B11P_N_UFLEX98_M5358A8BH101511/dpll_52046/txpa_53285.png</t>
  </si>
  <si>
    <t>plots/20251231000436_3FT6Y121H01_04823_B11P_N_UFLEX98_M5358A8BH101511/dpll_52046/txpa_53286.png</t>
  </si>
  <si>
    <t>plots/20251231000436_3FT6Y121H01_04823_B11P_N_UFLEX98_M5358A8BH101511/dpll_52046/txpa_53287.png</t>
  </si>
  <si>
    <t>plots/20251231000436_3FT6Y121H01_04823_B11P_N_UFLEX98_M5358A8BH101511/dpll_52046/txpa_53288.png</t>
  </si>
  <si>
    <t>plots/20251231000436_3FT6Y121H01_04823_B11P_N_UFLEX98_M5358A8BH101511/dpll_52046/txpa_53289.png</t>
  </si>
  <si>
    <t>plots/20251231000436_3FT6Y121H01_04823_B11P_N_UFLEX98_M5358A8BH101511/dpll_52046/txpa_53290.png</t>
  </si>
  <si>
    <t>plots/20251231000436_3FT6Y121H01_04823_B11P_N_UFLEX98_M5358A8BH101511/dpll_52046/txpa_54146.png</t>
  </si>
  <si>
    <t>plots/20251231000436_3FT6Y121H01_04823_B11P_N_UFLEX98_M5358A8BH101511/dpll_52046/txpa_54147.png</t>
  </si>
  <si>
    <t>plots/20251231000436_3FT6Y121H01_04823_B11P_N_UFLEX98_M5358A8BH101511/dpll_52046/txpa_54148.png</t>
  </si>
  <si>
    <t>plots/20251231000436_3FT6Y121H01_04823_B11P_N_UFLEX98_M5358A8BH101511/dpll_52046/txpa_54149.png</t>
  </si>
  <si>
    <t>plots/20251231000436_3FT6Y121H01_04823_B11P_N_UFLEX98_M5358A8BH101511/dpll_52046/txpa_54150.png</t>
  </si>
  <si>
    <t>plots/20251231000436_3FT6Y121H01_04823_B11P_N_UFLEX98_M5358A8BH101511/dpll_52046/txpa_54151.png</t>
  </si>
  <si>
    <t>plots/20251231000436_3FT6Y121H01_04823_B11P_N_UFLEX98_M5358A8BH101511/dpll_52046/txpa_54152.png</t>
  </si>
  <si>
    <t>plots/20251231000436_3FT6Y121H01_04823_B11P_N_UFLEX98_M5358A8BH101511/dpll_52046/txpa_54153.png</t>
  </si>
  <si>
    <t>plots/20251231000436_3FT6Y121H01_04823_B11P_N_UFLEX98_M5358A8BH101511/dpll_52046/txpa_54154.png</t>
  </si>
  <si>
    <t>plots/20251231000436_3FT6Y121H01_04823_B11P_N_UFLEX98_M5358A8BH101511/dpll_52046/txpa_54155.png</t>
  </si>
  <si>
    <t>plots/20251231000436_3FT6Y121H01_04823_B11P_N_UFLEX98_M5358A8BH101511/dpll_52046/txpa_54156.png</t>
  </si>
  <si>
    <t>plots/20251231000436_3FT6Y121H01_04823_B11P_N_UFLEX98_M5358A8BH101511/dpll_52046/txpa_54157.png</t>
  </si>
  <si>
    <t>plots/20251231000436_3FT6Y121H01_04823_B11P_N_UFLEX98_M5358A8BH101511/dpll_52046/txpa_54158.png</t>
  </si>
  <si>
    <t>plots/20251231000436_3FT6Y121H01_04823_B11P_N_UFLEX98_M5358A8BH101511/dpll_52046/txpa_54159.png</t>
  </si>
  <si>
    <t>plots/20251231000436_3FT6Y121H01_04823_B11P_N_UFLEX98_M5358A8BH101511/dpll_52046/txpa_54160.png</t>
  </si>
  <si>
    <t>plots/20251231000436_3FT6Y121H01_04823_B11P_N_UFLEX98_M5358A8BH101511/dpll_52046/txpa_54161.png</t>
  </si>
  <si>
    <t>plots/20251231000436_3FT6Y121H01_04823_B11P_N_UFLEX98_M5358A8BH101511/dpll_52046/txpa_54162.png</t>
  </si>
  <si>
    <t>plots/20251231000436_3FT6Y121H01_04823_B11P_N_UFLEX98_M5358A8BH101511/dpll_52046/txpa_54163.png</t>
  </si>
  <si>
    <t>plots/20251231000436_3FT6Y121H01_04823_B11P_N_UFLEX98_M5358A8BH101511/dpll_52046/txpa_54164.png</t>
  </si>
  <si>
    <t>plots/20251231000436_3FT6Y121H01_04823_B11P_N_UFLEX98_M5358A8BH101511/dpll_52046/txpa_54165.png</t>
  </si>
  <si>
    <t>plots/20251231000436_3FT6Y121H01_04823_B11P_N_UFLEX98_M5358A8BH101511/dpll_52046/txpa_54166.png</t>
  </si>
  <si>
    <t>plots/20251231000436_3FT6Y121H01_04823_B11P_N_UFLEX98_M5358A8BH101511/dpll_52046/txpa_54167.png</t>
  </si>
  <si>
    <t>plots/20251231000436_3FT6Y121H01_04823_B11P_N_UFLEX98_M5358A8BH101511/dpll_52046/txpa_54168.png</t>
  </si>
  <si>
    <t>plots/20251231000436_3FT6Y121H01_04823_B11P_N_UFLEX98_M5358A8BH101511/dpll_52046/txpa_54169.png</t>
  </si>
  <si>
    <t>plots/20251231000436_3FT6Y121H01_04823_B11P_N_UFLEX98_M5358A8BH101511/dpll_52046/txpa_54170.png</t>
  </si>
  <si>
    <t>plots/20251231000436_3FT6Y121H01_04823_B11P_N_UFLEX98_M5358A8BH101511/dpll_52046/txpa_54171.png</t>
  </si>
  <si>
    <t>plots/20251231000436_3FT6Y121H01_04823_B11P_N_UFLEX98_M5358A8BH101511/dpll_52046/txpa_54172.png</t>
  </si>
  <si>
    <t>plots/20251231000436_3FT6Y121H01_04823_B11P_N_UFLEX98_M5358A8BH101511/dpll_52046/txpa_54173.png</t>
  </si>
  <si>
    <t>plots/20251231000436_3FT6Y121H01_04823_B11P_N_UFLEX98_M5358A8BH101511/dpll_52046/txpa_54174.png</t>
  </si>
  <si>
    <t>plots/20251231000436_3FT6Y121H01_04823_B11P_N_UFLEX98_M5358A8BH101511/dpll_52046/txpa_54175.png</t>
  </si>
  <si>
    <t>plots/20251231000436_3FT6Y121H01_04823_B11P_N_UFLEX98_M5358A8BH101511/dpll_52046/txpa_54176.png</t>
  </si>
  <si>
    <t>plots/20251231000436_3FT6Y121H01_04823_B11P_N_UFLEX98_M5358A8BH101511/dpll_52046/txpa_54177.png</t>
  </si>
  <si>
    <t>plots/20251231000436_3FT6Y121H01_04823_B11P_N_UFLEX98_M5358A8BH101511/dpll_52046/txpa_54178.png</t>
  </si>
  <si>
    <t>plots/20251231000436_3FT6Y121H01_04823_B11P_N_UFLEX98_M5358A8BH101511/dpll_52046/txpa_54179.png</t>
  </si>
  <si>
    <t>plots/20251231000436_3FT6Y121H01_04823_B11P_N_UFLEX98_M5358A8BH101511/dpll_52046/txpa_54180.png</t>
  </si>
  <si>
    <t>plots/20251231000436_3FT6Y121H01_04823_B11P_N_UFLEX98_M5358A8BH101511/dpll_52046/txpa_54181.png</t>
  </si>
  <si>
    <t>plots/20251231000436_3FT6Y121H01_04823_B11P_N_UFLEX98_M5358A8BH101511/dpll_52046/txpa_54182.png</t>
  </si>
  <si>
    <t>plots/20251231000436_3FT6Y121H01_04823_B11P_N_UFLEX98_M5358A8BH101511/dpll_52046/txpa_54183.png</t>
  </si>
  <si>
    <t>plots/20251231000436_3FT6Y121H01_04823_B11P_N_UFLEX98_M5358A8BH101511/dpll_52046/txpa_54184.png</t>
  </si>
  <si>
    <t>plots/20251231000436_3FT6Y121H01_04823_B11P_N_UFLEX98_M5358A8BH101511/dpll_52046/txpa_54185.png</t>
  </si>
  <si>
    <t>plots/20251231000436_3FT6Y121H01_04823_B11P_N_UFLEX98_M5358A8BH101511/dpll_52046/txpa_54186.png</t>
  </si>
  <si>
    <t>plots/20251231000436_3FT6Y121H01_04823_B11P_N_UFLEX98_M5358A8BH101511/dpll_52046/txpa_54187.png</t>
  </si>
  <si>
    <t>plots/20251231000436_3FT6Y121H01_04823_B11P_N_UFLEX98_M5358A8BH101511/dpll_52046/txpa_54188.png</t>
  </si>
  <si>
    <t>plots/20251231000436_3FT6Y121H01_04823_B11P_N_UFLEX98_M5358A8BH101511/dpll_52046/txpa_54189.png</t>
  </si>
  <si>
    <t>plots/20251231000436_3FT6Y121H01_04823_B11P_N_UFLEX98_M5358A8BH101511/dpll_52046/txpa_54190.png</t>
  </si>
  <si>
    <t>plots/20251231000436_3FT6Y121H01_04823_B11P_N_UFLEX98_M5358A8BH101511/dpll_52046/txpa_54191.png</t>
  </si>
  <si>
    <t>plots/20251231000436_3FT6Y121H01_04823_B11P_N_UFLEX98_M5358A8BH101511/dpll_52046/txpa_54192.png</t>
  </si>
  <si>
    <t>plots/20251231000436_3FT6Y121H01_04823_B11P_N_UFLEX98_M5358A8BH101511/dpll_52046/txpa_54193.png</t>
  </si>
  <si>
    <t>plots/20251231000436_3FT6Y121H01_04823_B11P_N_UFLEX98_M5358A8BH101511/dpll_52046/txpa_54194.png</t>
  </si>
  <si>
    <t>plots/20251231000436_3FT6Y121H01_04823_B11P_N_UFLEX98_M5358A8BH101511/dpll_52046/txpa_54195.png</t>
  </si>
  <si>
    <t>plots/20251231000436_3FT6Y121H01_04823_B11P_N_UFLEX98_M5358A8BH101511/dpll_52046/txpa_54196.png</t>
  </si>
  <si>
    <t>plots/20251231000436_3FT6Y121H01_04823_B11P_N_UFLEX98_M5358A8BH101511/dpll_52046/txpa_54197.png</t>
  </si>
  <si>
    <t>plots/20251231000436_3FT6Y121H01_04823_B11P_N_UFLEX98_M5358A8BH101511/dpll_52046/txpa_54198.png</t>
  </si>
  <si>
    <t>plots/20251231000436_3FT6Y121H01_04823_B11P_N_UFLEX98_M5358A8BH101511/dpll_52046/txpa_54199.png</t>
  </si>
  <si>
    <t>plots/20251231000436_3FT6Y121H01_04823_B11P_N_UFLEX98_M5358A8BH101511/dpll_52046/txpa_54200.png</t>
  </si>
  <si>
    <t>plots/20251231000436_3FT6Y121H01_04823_B11P_N_UFLEX98_M5358A8BH101511/dpll_52046/txpa_54201.png</t>
  </si>
  <si>
    <t>plots/20251231000436_3FT6Y121H01_04823_B11P_N_UFLEX98_M5358A8BH101511/dpll_52046/txpa_54202.png</t>
  </si>
  <si>
    <t>plots/20251231000436_3FT6Y121H01_04823_B11P_N_UFLEX98_M5358A8BH101511/dpll_52046/txpa_54203.png</t>
  </si>
  <si>
    <t>plots/20251231000436_3FT6Y121H01_04823_B11P_N_UFLEX98_M5358A8BH101511/dpll_52046/txpa_54204.png</t>
  </si>
  <si>
    <t>plots/20251231000436_3FT6Y121H01_04823_B11P_N_UFLEX98_M5358A8BH101511/dpll_52046/txpa_54205.png</t>
  </si>
  <si>
    <t>plots/20251231000436_3FT6Y121H01_04823_B11P_N_UFLEX98_M5358A8BH101511/dpll_52046/txpa_54206.png</t>
  </si>
  <si>
    <t>plots/20251231000436_3FT6Y121H01_04823_B11P_N_UFLEX98_M5358A8BH101511/dpll_52046/txpa_54207.png</t>
  </si>
  <si>
    <t>plots/20251231000436_3FT6Y121H01_04823_B11P_N_UFLEX98_M5358A8BH101511/dpll_52046/txpa_54208.png</t>
  </si>
  <si>
    <t>plots/20251231000436_3FT6Y121H01_04823_B11P_N_UFLEX98_M5358A8BH101511/dpll_52046/txpa_54209.png</t>
  </si>
  <si>
    <t>plots/20251231000436_3FT6Y121H01_04823_B11P_N_UFLEX98_M5358A8BH101511/dpll_52046/txpa_54210.png</t>
  </si>
  <si>
    <t>plots/20251231000436_3FT6Y121H01_04823_B11P_N_UFLEX98_M5358A8BH101511/dpll_52046/txpa_54211.png</t>
  </si>
  <si>
    <t>plots/20251231000436_3FT6Y121H01_04823_B11P_N_UFLEX98_M5358A8BH101511/dpll_52046/txpa_54212.png</t>
  </si>
  <si>
    <t>plots/20251231000436_3FT6Y121H01_04823_B11P_N_UFLEX98_M5358A8BH101511/dpll_52046/txpa_54213.png</t>
  </si>
  <si>
    <t>plots/20251231000436_3FT6Y121H01_04823_B11P_N_UFLEX98_M5358A8BH101511/dpll_52046/txpa_54214.png</t>
  </si>
  <si>
    <t>plots/20251231000436_3FT6Y121H01_04823_B11P_N_UFLEX98_M5358A8BH101511/dpll_52046/txpa_54215.png</t>
  </si>
  <si>
    <t>plots/20251231000436_3FT6Y121H01_04823_B11P_N_UFLEX98_M5358A8BH101511/dpll_52046/txpa_54216.png</t>
  </si>
  <si>
    <t>plots/20251231000436_3FT6Y121H01_04823_B11P_N_UFLEX98_M5358A8BH101511/dpll_52046/txpa_54217.png</t>
  </si>
  <si>
    <t>plots/20251231000436_3FT6Y121H01_04823_B11P_N_UFLEX98_M5358A8BH101511/dpll_52046/txpa_54218.png</t>
  </si>
  <si>
    <t>plots/20251231000436_3FT6Y121H01_04823_B11P_N_UFLEX98_M5358A8BH101511/dpll_52046/txpa_54219.png</t>
  </si>
  <si>
    <t>plots/20251231000436_3FT6Y121H01_04823_B11P_N_UFLEX98_M5358A8BH101511/dpll_52046/txpa_54220.png</t>
  </si>
  <si>
    <t>plots/20251231000436_3FT6Y121H01_04823_B11P_N_UFLEX98_M5358A8BH101511/dpll_52046/txpa_54221.png</t>
  </si>
  <si>
    <t>plots/20251231000436_3FT6Y121H01_04823_B11P_N_UFLEX98_M5358A8BH101511/dpll_52046/txpa_54222.png</t>
  </si>
  <si>
    <t>plots/20251231000436_3FT6Y121H01_04823_B11P_N_UFLEX98_M5358A8BH101511/dpll_52046/txpa_54223.png</t>
  </si>
  <si>
    <t>plots/20251231000436_3FT6Y121H01_04823_B11P_N_UFLEX98_M5358A8BH101511/dpll_52046/txpa_54224.png</t>
  </si>
  <si>
    <t>plots/20251231000436_3FT6Y121H01_04823_B11P_N_UFLEX98_M5358A8BH101511/dpll_52046/txpa_54225.png</t>
  </si>
  <si>
    <t>plots/20251231000436_3FT6Y121H01_04823_B11P_N_UFLEX98_M5358A8BH101511/dpll_52046/txpa_54226.png</t>
  </si>
  <si>
    <t>plots/20251231000436_3FT6Y121H01_04823_B11P_N_UFLEX98_M5358A8BH101511/dpll_52046/txpa_54227.png</t>
  </si>
  <si>
    <t>plots/20251231000436_3FT6Y121H01_04823_B11P_N_UFLEX98_M5358A8BH101511/dpll_52046/txpa_54228.png</t>
  </si>
  <si>
    <t>plots/20251231000436_3FT6Y121H01_04823_B11P_N_UFLEX98_M5358A8BH101511/dpll_52046/txpa_54229.png</t>
  </si>
  <si>
    <t>plots/20251231000436_3FT6Y121H01_04823_B11P_N_UFLEX98_M5358A8BH101511/dpll_52046/txpa_54230.png</t>
  </si>
  <si>
    <t>plots/20251231000436_3FT6Y121H01_04823_B11P_N_UFLEX98_M5358A8BH101511/dpll_52046/txpa_54231.png</t>
  </si>
  <si>
    <t>plots/20251231000436_3FT6Y121H01_04823_B11P_N_UFLEX98_M5358A8BH101511/dpll_52046/txpa_54232.png</t>
  </si>
  <si>
    <t>plots/20251231000436_3FT6Y121H01_04823_B11P_N_UFLEX98_M5358A8BH101511/dpll_52046/txpa_54233.png</t>
  </si>
  <si>
    <t>plots/20251231000436_3FT6Y121H01_04823_B11P_N_UFLEX98_M5358A8BH101511/dpll_52046/txpa_54234.png</t>
  </si>
  <si>
    <t>plots/20251231000436_3FT6Y121H01_04823_B11P_N_UFLEX98_M5358A8BH101511/dpll_52046/txpa_54235.png</t>
  </si>
  <si>
    <t>plots/20251231000436_3FT6Y121H01_04823_B11P_N_UFLEX98_M5358A8BH101511/dpll_52046/txpa_54236.png</t>
  </si>
  <si>
    <t>plots/20251231000436_3FT6Y121H01_04823_B11P_N_UFLEX98_M5358A8BH101511/dpll_52046/txpa_54237.png</t>
  </si>
  <si>
    <t>plots/20251231000436_3FT6Y121H01_04823_B11P_N_UFLEX98_M5358A8BH101511/dpll_52046/txpa_54238.png</t>
  </si>
  <si>
    <t>plots/20251231000436_3FT6Y121H01_04823_B11P_N_UFLEX98_M5358A8BH101511/dpll_52046/txpa_54239.png</t>
  </si>
  <si>
    <t>plots/20251231000436_3FT6Y121H01_04823_B11P_N_UFLEX98_M5358A8BH101511/dpll_52046/txpa_54240.png</t>
  </si>
  <si>
    <t>plots/20251231000436_3FT6Y121H01_04823_B11P_N_UFLEX98_M5358A8BH101511/dpll_52046/txpa_54241.png</t>
  </si>
  <si>
    <t>plots/20251231000436_3FT6Y121H01_04823_B11P_N_UFLEX98_M5358A8BH101511/dpll_52046/txpa_54242.png</t>
  </si>
  <si>
    <t>plots/20251231000436_3FT6Y121H01_04823_B11P_N_UFLEX98_M5358A8BH101511/dpll_52046/txpa_54243.png</t>
  </si>
  <si>
    <t>plots/20251231000436_3FT6Y121H01_04823_B11P_N_UFLEX98_M5358A8BH101511/dpll_52046/txpa_54244.png</t>
  </si>
  <si>
    <t>plots/20251231000436_3FT6Y121H01_04823_B11P_N_UFLEX98_M5358A8BH101511/dpll_52046/txpa_54245.png</t>
  </si>
  <si>
    <t>plots/20251231000436_3FT6Y121H01_04823_B11P_N_UFLEX98_M5358A8BH101511/dpll_52046/txpa_54246.png</t>
  </si>
  <si>
    <t>plots/20251231000436_3FT6Y121H01_04823_B11P_N_UFLEX98_M5358A8BH101511/dpll_52046/txpa_54247.png</t>
  </si>
  <si>
    <t>plots/20251231000436_3FT6Y121H01_04823_B11P_N_UFLEX98_M5358A8BH101511/dpll_52046/txpa_54248.png</t>
  </si>
  <si>
    <t>plots/20251231000436_3FT6Y121H01_04823_B11P_N_UFLEX98_M5358A8BH101511/dpll_52046/txpa_54249.png</t>
  </si>
  <si>
    <t>plots/20251231000436_3FT6Y121H01_04823_B11P_N_UFLEX98_M5358A8BH101511/dpll_52046/txpa_54250.png</t>
  </si>
  <si>
    <t>plots/20251231000436_3FT6Y121H01_04823_B11P_N_UFLEX98_M5358A8BH101511/dpll_52046/txpa_54251.png</t>
  </si>
  <si>
    <t>plots/20251231000436_3FT6Y121H01_04823_B11P_N_UFLEX98_M5358A8BH101511/dpll_52046/txpa_54252.png</t>
  </si>
  <si>
    <t>plots/20251231000436_3FT6Y121H01_04823_B11P_N_UFLEX98_M5358A8BH101511/dpll_52046/txpa_54253.png</t>
  </si>
  <si>
    <t>plots/20251231000436_3FT6Y121H01_04823_B11P_N_UFLEX98_M5358A8BH101511/dpll_52046/txpa_54254.png</t>
  </si>
  <si>
    <t>plots/20251231000436_3FT6Y121H01_04823_B11P_N_UFLEX98_M5358A8BH101511/dpll_52046/txpa_54255.png</t>
  </si>
  <si>
    <t>plots/20251231000436_3FT6Y121H01_04823_B11P_N_UFLEX98_M5358A8BH101511/dpll_52046/txpa_54256.png</t>
  </si>
  <si>
    <t>plots/20251231000436_3FT6Y121H01_04823_B11P_N_UFLEX98_M5358A8BH101511/dpll_52046/txpa_54257.png</t>
  </si>
  <si>
    <t>plots/20251231000436_3FT6Y121H01_04823_B11P_N_UFLEX98_M5358A8BH101511/dpll_52046/txpa_54258.png</t>
  </si>
  <si>
    <t>plots/20251231000436_3FT6Y121H01_04823_B11P_N_UFLEX98_M5358A8BH101511/dpll_52046/txpa_55146.png</t>
  </si>
  <si>
    <t>plots/20251231000436_3FT6Y121H01_04823_B11P_N_UFLEX98_M5358A8BH101511/dpll_52046/txpa_55147.png</t>
  </si>
  <si>
    <t>plots/20251231000436_3FT6Y121H01_04823_B11P_N_UFLEX98_M5358A8BH101511/dpll_52046/txpa_55148.png</t>
  </si>
  <si>
    <t>plots/20251231000436_3FT6Y121H01_04823_B11P_N_UFLEX98_M5358A8BH101511/dpll_52046/txpa_55149.png</t>
  </si>
  <si>
    <t>plots/20251231000436_3FT6Y121H01_04823_B11P_N_UFLEX98_M5358A8BH101511/dpll_52046/txpa_55150.png</t>
  </si>
  <si>
    <t>plots/20251231000436_3FT6Y121H01_04823_B11P_N_UFLEX98_M5358A8BH101511/dpll_52046/txpa_55151.png</t>
  </si>
  <si>
    <t>plots/20251231000436_3FT6Y121H01_04823_B11P_N_UFLEX98_M5358A8BH101511/dpll_52046/txpa_55152.png</t>
  </si>
  <si>
    <t>plots/20251231000436_3FT6Y121H01_04823_B11P_N_UFLEX98_M5358A8BH101511/dpll_52046/txpa_55153.png</t>
  </si>
  <si>
    <t>plots/20251231000436_3FT6Y121H01_04823_B11P_N_UFLEX98_M5358A8BH101511/dpll_52046/txpa_55154.png</t>
  </si>
  <si>
    <t>plots/20251231000436_3FT6Y121H01_04823_B11P_N_UFLEX98_M5358A8BH101511/dpll_52046/txpa_55155.png</t>
  </si>
  <si>
    <t>plots/20251231000436_3FT6Y121H01_04823_B11P_N_UFLEX98_M5358A8BH101511/dpll_52046/txpa_55156.png</t>
  </si>
  <si>
    <t>plots/20251231000436_3FT6Y121H01_04823_B11P_N_UFLEX98_M5358A8BH101511/dpll_52046/txpa_55157.png</t>
  </si>
  <si>
    <t>plots/20251231000436_3FT6Y121H01_04823_B11P_N_UFLEX98_M5358A8BH101511/dpll_52046/txpa_55158.png</t>
  </si>
  <si>
    <t>plots/20251231000436_3FT6Y121H01_04823_B11P_N_UFLEX98_M5358A8BH101511/dpll_52046/txpa_55159.png</t>
  </si>
  <si>
    <t>plots/20251231000436_3FT6Y121H01_04823_B11P_N_UFLEX98_M5358A8BH101511/dpll_52046/txpa_55160.png</t>
  </si>
  <si>
    <t>plots/20251231000436_3FT6Y121H01_04823_B11P_N_UFLEX98_M5358A8BH101511/dpll_52046/txpa_55161.png</t>
  </si>
  <si>
    <t>plots/20251231000436_3FT6Y121H01_04823_B11P_N_UFLEX98_M5358A8BH101511/dpll_52046/txpa_55162.png</t>
  </si>
  <si>
    <t>plots/20251231000436_3FT6Y121H01_04823_B11P_N_UFLEX98_M5358A8BH101511/dpll_52046/txpa_55163.png</t>
  </si>
  <si>
    <t>plots/20251231000436_3FT6Y121H01_04823_B11P_N_UFLEX98_M5358A8BH101511/dpll_52046/txpa_55164.png</t>
  </si>
  <si>
    <t>plots/20251231000436_3FT6Y121H01_04823_B11P_N_UFLEX98_M5358A8BH101511/dpll_52046/txpa_55165.png</t>
  </si>
  <si>
    <t>plots/20251231000436_3FT6Y121H01_04823_B11P_N_UFLEX98_M5358A8BH101511/dpll_52046/txpa_55166.png</t>
  </si>
  <si>
    <t>plots/20251231000436_3FT6Y121H01_04823_B11P_N_UFLEX98_M5358A8BH101511/dpll_52046/txpa_55167.png</t>
  </si>
  <si>
    <t>plots/20251231000436_3FT6Y121H01_04823_B11P_N_UFLEX98_M5358A8BH101511/dpll_52046/txpa_55168.png</t>
  </si>
  <si>
    <t>plots/20251231000436_3FT6Y121H01_04823_B11P_N_UFLEX98_M5358A8BH101511/dpll_52046/txpa_55169.png</t>
  </si>
  <si>
    <t>plots/20251231000436_3FT6Y121H01_04823_B11P_N_UFLEX98_M5358A8BH101511/dpll_52046/txpa_55170.png</t>
  </si>
  <si>
    <t>plots/20251231000436_3FT6Y121H01_04823_B11P_N_UFLEX98_M5358A8BH101511/dpll_52046/txpa_55171.png</t>
  </si>
  <si>
    <t>plots/20251231000436_3FT6Y121H01_04823_B11P_N_UFLEX98_M5358A8BH101511/dpll_52046/txpa_55172.png</t>
  </si>
  <si>
    <t>plots/20251231000436_3FT6Y121H01_04823_B11P_N_UFLEX98_M5358A8BH101511/dpll_52046/txpa_55173.png</t>
  </si>
  <si>
    <t>plots/20251231000436_3FT6Y121H01_04823_B11P_N_UFLEX98_M5358A8BH101511/dpll_52046/txpa_55174.png</t>
  </si>
  <si>
    <t>plots/20251231000436_3FT6Y121H01_04823_B11P_N_UFLEX98_M5358A8BH101511/dpll_52046/txpa_55175.png</t>
  </si>
  <si>
    <t>plots/20251231000436_3FT6Y121H01_04823_B11P_N_UFLEX98_M5358A8BH101511/dpll_52046/txpa_55176.png</t>
  </si>
  <si>
    <t>plots/20251231000436_3FT6Y121H01_04823_B11P_N_UFLEX98_M5358A8BH101511/dpll_52046/txpa_55177.png</t>
  </si>
  <si>
    <t>plots/20251231000436_3FT6Y121H01_04823_B11P_N_UFLEX98_M5358A8BH101511/dpll_52046/txpa_55178.png</t>
  </si>
  <si>
    <t>plots/20251231000436_3FT6Y121H01_04823_B11P_N_UFLEX98_M5358A8BH101511/dpll_52046/txpa_55179.png</t>
  </si>
  <si>
    <t>plots/20251231000436_3FT6Y121H01_04823_B11P_N_UFLEX98_M5358A8BH101511/dpll_52046/txpa_55180.png</t>
  </si>
  <si>
    <t>plots/20251231000436_3FT6Y121H01_04823_B11P_N_UFLEX98_M5358A8BH101511/dpll_52046/txpa_55181.png</t>
  </si>
  <si>
    <t>plots/20251231000436_3FT6Y121H01_04823_B11P_N_UFLEX98_M5358A8BH101511/dpll_52046/txpa_55182.png</t>
  </si>
  <si>
    <t>plots/20251231000436_3FT6Y121H01_04823_B11P_N_UFLEX98_M5358A8BH101511/dpll_52046/txpa_55183.png</t>
  </si>
  <si>
    <t>plots/20251231000436_3FT6Y121H01_04823_B11P_N_UFLEX98_M5358A8BH101511/dpll_52046/txpa_55184.png</t>
  </si>
  <si>
    <t>plots/20251231000436_3FT6Y121H01_04823_B11P_N_UFLEX98_M5358A8BH101511/dpll_52046/txpa_55185.png</t>
  </si>
  <si>
    <t>plots/20251231000436_3FT6Y121H01_04823_B11P_N_UFLEX98_M5358A8BH101511/dpll_52046/txpa_55186.png</t>
  </si>
  <si>
    <t>plots/20251231000436_3FT6Y121H01_04823_B11P_N_UFLEX98_M5358A8BH101511/dpll_52046/txpa_55187.png</t>
  </si>
  <si>
    <t>plots/20251231000436_3FT6Y121H01_04823_B11P_N_UFLEX98_M5358A8BH101511/dpll_52046/txpa_55188.png</t>
  </si>
  <si>
    <t>plots/20251231000436_3FT6Y121H01_04823_B11P_N_UFLEX98_M5358A8BH101511/dpll_52046/txpa_55189.png</t>
  </si>
  <si>
    <t>plots/20251231000436_3FT6Y121H01_04823_B11P_N_UFLEX98_M5358A8BH101511/dpll_52046/txpa_55190.png</t>
  </si>
  <si>
    <t>plots/20251231000436_3FT6Y121H01_04823_B11P_N_UFLEX98_M5358A8BH101511/dpll_52046/txpa_55191.png</t>
  </si>
  <si>
    <t>plots/20251231000436_3FT6Y121H01_04823_B11P_N_UFLEX98_M5358A8BH101511/dpll_52046/txpa_55192.png</t>
  </si>
  <si>
    <t>plots/20251231000436_3FT6Y121H01_04823_B11P_N_UFLEX98_M5358A8BH101511/dpll_52046/txpa_55193.png</t>
  </si>
  <si>
    <t>plots/20251231000436_3FT6Y121H01_04823_B11P_N_UFLEX98_M5358A8BH101511/dpll_52046/txpa_55194.png</t>
  </si>
  <si>
    <t>plots/20251231000436_3FT6Y121H01_04823_B11P_N_UFLEX98_M5358A8BH101511/dpll_52046/txpa_55195.png</t>
  </si>
  <si>
    <t>plots/20251231000436_3FT6Y121H01_04823_B11P_N_UFLEX98_M5358A8BH101511/dpll_52046/txpa_55196.png</t>
  </si>
  <si>
    <t>plots/20251231000436_3FT6Y121H01_04823_B11P_N_UFLEX98_M5358A8BH101511/dpll_52046/txpa_55197.png</t>
  </si>
  <si>
    <t>plots/20251231000436_3FT6Y121H01_04823_B11P_N_UFLEX98_M5358A8BH101511/dpll_52046/txpa_55198.png</t>
  </si>
  <si>
    <t>plots/20251231000436_3FT6Y121H01_04823_B11P_N_UFLEX98_M5358A8BH101511/dpll_52046/txpa_55199.png</t>
  </si>
  <si>
    <t>plots/20251231000436_3FT6Y121H01_04823_B11P_N_UFLEX98_M5358A8BH101511/dpll_52046/txpa_55200.png</t>
  </si>
  <si>
    <t>plots/20251231000436_3FT6Y121H01_04823_B11P_N_UFLEX98_M5358A8BH101511/dpll_52046/txpa_55201.png</t>
  </si>
  <si>
    <t>plots/20251231000436_3FT6Y121H01_04823_B11P_N_UFLEX98_M5358A8BH101511/dpll_52046/txpa_55202.png</t>
  </si>
  <si>
    <t>plots/20251231000436_3FT6Y121H01_04823_B11P_N_UFLEX98_M5358A8BH101511/dpll_52046/txpa_55203.png</t>
  </si>
  <si>
    <t>plots/20251231000436_3FT6Y121H01_04823_B11P_N_UFLEX98_M5358A8BH101511/dpll_52046/txpa_55204.png</t>
  </si>
  <si>
    <t>plots/20251231000436_3FT6Y121H01_04823_B11P_N_UFLEX98_M5358A8BH101511/dpll_52046/txpa_55205.png</t>
  </si>
  <si>
    <t>plots/20251231000436_3FT6Y121H01_04823_B11P_N_UFLEX98_M5358A8BH101511/dpll_52046/txpa_55206.png</t>
  </si>
  <si>
    <t>plots/20251231000436_3FT6Y121H01_04823_B11P_N_UFLEX98_M5358A8BH101511/dpll_52046/txpa_55207.png</t>
  </si>
  <si>
    <t>plots/20251231000436_3FT6Y121H01_04823_B11P_N_UFLEX98_M5358A8BH101511/dpll_52046/txpa_55208.png</t>
  </si>
  <si>
    <t>plots/20251231000436_3FT6Y121H01_04823_B11P_N_UFLEX98_M5358A8BH101511/dpll_52046/txpa_55209.png</t>
  </si>
  <si>
    <t>plots/20251231000436_3FT6Y121H01_04823_B11P_N_UFLEX98_M5358A8BH101511/dpll_52046/txpa_55210.png</t>
  </si>
  <si>
    <t>plots/20251231000436_3FT6Y121H01_04823_B11P_N_UFLEX98_M5358A8BH101511/dpll_52046/txpa_55211.png</t>
  </si>
  <si>
    <t>plots/20251231000436_3FT6Y121H01_04823_B11P_N_UFLEX98_M5358A8BH101511/dpll_52046/txpa_55212.png</t>
  </si>
  <si>
    <t>plots/20251231000436_3FT6Y121H01_04823_B11P_N_UFLEX98_M5358A8BH101511/dpll_52046/txpa_55213.png</t>
  </si>
  <si>
    <t>plots/20251231000436_3FT6Y121H01_04823_B11P_N_UFLEX98_M5358A8BH101511/dpll_52046/txpa_55214.png</t>
  </si>
  <si>
    <t>plots/20251231000436_3FT6Y121H01_04823_B11P_N_UFLEX98_M5358A8BH101511/dpll_52046/txpa_55215.png</t>
  </si>
  <si>
    <t>plots/20251231000436_3FT6Y121H01_04823_B11P_N_UFLEX98_M5358A8BH101511/dpll_52046/txpa_55216.png</t>
  </si>
  <si>
    <t>plots/20251231000436_3FT6Y121H01_04823_B11P_N_UFLEX98_M5358A8BH101511/dpll_52046/txpa_55217.png</t>
  </si>
  <si>
    <t>plots/20251231000436_3FT6Y121H01_04823_B11P_N_UFLEX98_M5358A8BH101511/dpll_52046/txpa_55218.png</t>
  </si>
  <si>
    <t>plots/20251231000436_3FT6Y121H01_04823_B11P_N_UFLEX98_M5358A8BH101511/dpll_52046/txpa_55219.png</t>
  </si>
  <si>
    <t>plots/20251231000436_3FT6Y121H01_04823_B11P_N_UFLEX98_M5358A8BH101511/dpll_52046/txpa_55220.png</t>
  </si>
  <si>
    <t>plots/20251231000436_3FT6Y121H01_04823_B11P_N_UFLEX98_M5358A8BH101511/dpll_52046/txpa_55221.png</t>
  </si>
  <si>
    <t>plots/20251231000436_3FT6Y121H01_04823_B11P_N_UFLEX98_M5358A8BH101511/dpll_52046/txpa_55222.png</t>
  </si>
  <si>
    <t>plots/20251231000436_3FT6Y121H01_04823_B11P_N_UFLEX98_M5358A8BH101511/dpll_52046/txpa_55223.png</t>
  </si>
  <si>
    <t>plots/20251231000436_3FT6Y121H01_04823_B11P_N_UFLEX98_M5358A8BH101511/dpll_52046/txpa_55224.png</t>
  </si>
  <si>
    <t>plots/20251231000436_3FT6Y121H01_04823_B11P_N_UFLEX98_M5358A8BH101511/dpll_52046/txpa_55225.png</t>
  </si>
  <si>
    <t>plots/20251231000436_3FT6Y121H01_04823_B11P_N_UFLEX98_M5358A8BH101511/dpll_52046/txpa_55226.png</t>
  </si>
  <si>
    <t>plots/20251231000436_3FT6Y121H01_04823_B11P_N_UFLEX98_M5358A8BH101511/dpll_52046/txpa_55227.png</t>
  </si>
  <si>
    <t>plots/20251231000436_3FT6Y121H01_04823_B11P_N_UFLEX98_M5358A8BH101511/dpll_52046/txpa_55228.png</t>
  </si>
  <si>
    <t>plots/20251231000436_3FT6Y121H01_04823_B11P_N_UFLEX98_M5358A8BH101511/dpll_52046/txpa_55229.png</t>
  </si>
  <si>
    <t>plots/20251231000436_3FT6Y121H01_04823_B11P_N_UFLEX98_M5358A8BH101511/dpll_52046/txpa_55230.png</t>
  </si>
  <si>
    <t>plots/20251231000436_3FT6Y121H01_04823_B11P_N_UFLEX98_M5358A8BH101511/dpll_52046/txpa_55231.png</t>
  </si>
  <si>
    <t>plots/20251231000436_3FT6Y121H01_04823_B11P_N_UFLEX98_M5358A8BH101511/dpll_52046/txpa_55232.png</t>
  </si>
  <si>
    <t>plots/20251231000436_3FT6Y121H01_04823_B11P_N_UFLEX98_M5358A8BH101511/dpll_52046/txpa_55233.png</t>
  </si>
  <si>
    <t>plots/20251231000436_3FT6Y121H01_04823_B11P_N_UFLEX98_M5358A8BH101511/dpll_52046/txpa_55234.png</t>
  </si>
  <si>
    <t>plots/20251231000436_3FT6Y121H01_04823_B11P_N_UFLEX98_M5358A8BH101511/dpll_52046/txpa_55235.png</t>
  </si>
  <si>
    <t>plots/20251231000436_3FT6Y121H01_04823_B11P_N_UFLEX98_M5358A8BH101511/dpll_52046/txpa_55236.png</t>
  </si>
  <si>
    <t>plots/20251231000436_3FT6Y121H01_04823_B11P_N_UFLEX98_M5358A8BH101511/dpll_52046/txpa_55237.png</t>
  </si>
  <si>
    <t>plots/20251231000436_3FT6Y121H01_04823_B11P_N_UFLEX98_M5358A8BH101511/dpll_52046/txpa_55238.png</t>
  </si>
  <si>
    <t>plots/20251231000436_3FT6Y121H01_04823_B11P_N_UFLEX98_M5358A8BH101511/dpll_52046/txpa_55239.png</t>
  </si>
  <si>
    <t>plots/20251231000436_3FT6Y121H01_04823_B11P_N_UFLEX98_M5358A8BH101511/dpll_52046/txpa_55240.png</t>
  </si>
  <si>
    <t>plots/20251231000436_3FT6Y121H01_04823_B11P_N_UFLEX98_M5358A8BH101511/dpll_52046/txpa_55241.png</t>
  </si>
  <si>
    <t>plots/20251231000436_3FT6Y121H01_04823_B11P_N_UFLEX98_M5358A8BH101511/dpll_52046/txpa_55242.png</t>
  </si>
  <si>
    <t>plots/20251231000436_3FT6Y121H01_04823_B11P_N_UFLEX98_M5358A8BH101511/dpll_52046/txpa_55243.png</t>
  </si>
  <si>
    <t>plots/20251231000436_3FT6Y121H01_04823_B11P_N_UFLEX98_M5358A8BH101511/dpll_52046/txpa_55244.png</t>
  </si>
  <si>
    <t>plots/20251231000436_3FT6Y121H01_04823_B11P_N_UFLEX98_M5358A8BH101511/dpll_52046/txpa_55245.png</t>
  </si>
  <si>
    <t>plots/20251231000436_3FT6Y121H01_04823_B11P_N_UFLEX98_M5358A8BH101511/dpll_52046/txpa_55246.png</t>
  </si>
  <si>
    <t>plots/20251231000436_3FT6Y121H01_04823_B11P_N_UFLEX98_M5358A8BH101511/dpll_52046/txpa_55247.png</t>
  </si>
  <si>
    <t>plots/20251231000436_3FT6Y121H01_04823_B11P_N_UFLEX98_M5358A8BH101511/dpll_52046/txpa_55248.png</t>
  </si>
  <si>
    <t>plots/20251231000436_3FT6Y121H01_04823_B11P_N_UFLEX98_M5358A8BH101511/dpll_52046/txpa_55249.png</t>
  </si>
  <si>
    <t>plots/20251231000436_3FT6Y121H01_04823_B11P_N_UFLEX98_M5358A8BH101511/dpll_52046/txpa_55250.png</t>
  </si>
  <si>
    <t>plots/20251231000436_3FT6Y121H01_04823_B11P_N_UFLEX98_M5358A8BH101511/dpll_52046/txpa_55251.png</t>
  </si>
  <si>
    <t>plots/20251231000436_3FT6Y121H01_04823_B11P_N_UFLEX98_M5358A8BH101511/dpll_52046/txpa_55252.png</t>
  </si>
  <si>
    <t>plots/20251231000436_3FT6Y121H01_04823_B11P_N_UFLEX98_M5358A8BH101511/dpll_52046/txpa_55253.png</t>
  </si>
  <si>
    <t>plots/20251231000436_3FT6Y121H01_04823_B11P_N_UFLEX98_M5358A8BH101511/dpll_52046/txpa_55254.png</t>
  </si>
  <si>
    <t>plots/20251231000436_3FT6Y121H01_04823_B11P_N_UFLEX98_M5358A8BH101511/dpll_52046/txpa_55255.png</t>
  </si>
  <si>
    <t>plots/20251231000436_3FT6Y121H01_04823_B11P_N_UFLEX98_M5358A8BH101511/dpll_52046/txpa_55256.png</t>
  </si>
  <si>
    <t>plots/20251231000436_3FT6Y121H01_04823_B11P_N_UFLEX98_M5358A8BH101511/dpll_52046/txpa_55257.png</t>
  </si>
  <si>
    <t>plots/20251231000436_3FT6Y121H01_04823_B11P_N_UFLEX98_M5358A8BH101511/dpll_52046/txpa_55258.png</t>
  </si>
  <si>
    <t>plots/20251231000436_3FT6Y121H01_04823_B11P_N_UFLEX98_M5358A8BH101511/dpll_52084/txpa_53179.png</t>
  </si>
  <si>
    <t>plots/20251231000436_3FT6Y121H01_04823_B11P_N_UFLEX98_M5358A8BH101511/dpll_52084/txpa_53180.png</t>
  </si>
  <si>
    <t>plots/20251231000436_3FT6Y121H01_04823_B11P_N_UFLEX98_M5358A8BH101511/dpll_52084/txpa_53181.png</t>
  </si>
  <si>
    <t>plots/20251231000436_3FT6Y121H01_04823_B11P_N_UFLEX98_M5358A8BH101511/dpll_52084/txpa_53182.png</t>
  </si>
  <si>
    <t>plots/20251231000436_3FT6Y121H01_04823_B11P_N_UFLEX98_M5358A8BH101511/dpll_52084/txpa_53183.png</t>
  </si>
  <si>
    <t>plots/20251231000436_3FT6Y121H01_04823_B11P_N_UFLEX98_M5358A8BH101511/dpll_52084/txpa_53184.png</t>
  </si>
  <si>
    <t>plots/20251231000436_3FT6Y121H01_04823_B11P_N_UFLEX98_M5358A8BH101511/dpll_52084/txpa_53185.png</t>
  </si>
  <si>
    <t>plots/20251231000436_3FT6Y121H01_04823_B11P_N_UFLEX98_M5358A8BH101511/dpll_52084/txpa_53186.png</t>
  </si>
  <si>
    <t>plots/20251231000436_3FT6Y121H01_04823_B11P_N_UFLEX98_M5358A8BH101511/dpll_52084/txpa_53187.png</t>
  </si>
  <si>
    <t>plots/20251231000436_3FT6Y121H01_04823_B11P_N_UFLEX98_M5358A8BH101511/dpll_52084/txpa_53188.png</t>
  </si>
  <si>
    <t>plots/20251231000436_3FT6Y121H01_04823_B11P_N_UFLEX98_M5358A8BH101511/dpll_52084/txpa_53189.png</t>
  </si>
  <si>
    <t>plots/20251231000436_3FT6Y121H01_04823_B11P_N_UFLEX98_M5358A8BH101511/dpll_52084/txpa_53190.png</t>
  </si>
  <si>
    <t>plots/20251231000436_3FT6Y121H01_04823_B11P_N_UFLEX98_M5358A8BH101511/dpll_52084/txpa_53191.png</t>
  </si>
  <si>
    <t>plots/20251231000436_3FT6Y121H01_04823_B11P_N_UFLEX98_M5358A8BH101511/dpll_52084/txpa_53192.png</t>
  </si>
  <si>
    <t>plots/20251231000436_3FT6Y121H01_04823_B11P_N_UFLEX98_M5358A8BH101511/dpll_52084/txpa_53193.png</t>
  </si>
  <si>
    <t>plots/20251231000436_3FT6Y121H01_04823_B11P_N_UFLEX98_M5358A8BH101511/dpll_52084/txpa_53194.png</t>
  </si>
  <si>
    <t>plots/20251231000436_3FT6Y121H01_04823_B11P_N_UFLEX98_M5358A8BH101511/dpll_52084/txpa_53195.png</t>
  </si>
  <si>
    <t>plots/20251231000436_3FT6Y121H01_04823_B11P_N_UFLEX98_M5358A8BH101511/dpll_52084/txpa_53196.png</t>
  </si>
  <si>
    <t>plots/20251231000436_3FT6Y121H01_04823_B11P_N_UFLEX98_M5358A8BH101511/dpll_52084/txpa_53197.png</t>
  </si>
  <si>
    <t>plots/20251231000436_3FT6Y121H01_04823_B11P_N_UFLEX98_M5358A8BH101511/dpll_52084/txpa_53198.png</t>
  </si>
  <si>
    <t>plots/20251231000436_3FT6Y121H01_04823_B11P_N_UFLEX98_M5358A8BH101511/dpll_52084/txpa_53199.png</t>
  </si>
  <si>
    <t>plots/20251231000436_3FT6Y121H01_04823_B11P_N_UFLEX98_M5358A8BH101511/dpll_52084/txpa_53200.png</t>
  </si>
  <si>
    <t>plots/20251231000436_3FT6Y121H01_04823_B11P_N_UFLEX98_M5358A8BH101511/dpll_52084/txpa_53201.png</t>
  </si>
  <si>
    <t>plots/20251231000436_3FT6Y121H01_04823_B11P_N_UFLEX98_M5358A8BH101511/dpll_52084/txpa_53202.png</t>
  </si>
  <si>
    <t>plots/20251231000436_3FT6Y121H01_04823_B11P_N_UFLEX98_M5358A8BH101511/dpll_52084/txpa_53203.png</t>
  </si>
  <si>
    <t>plots/20251231000436_3FT6Y121H01_04823_B11P_N_UFLEX98_M5358A8BH101511/dpll_52084/txpa_53204.png</t>
  </si>
  <si>
    <t>plots/20251231000436_3FT6Y121H01_04823_B11P_N_UFLEX98_M5358A8BH101511/dpll_52084/txpa_53205.png</t>
  </si>
  <si>
    <t>plots/20251231000436_3FT6Y121H01_04823_B11P_N_UFLEX98_M5358A8BH101511/dpll_52084/txpa_53206.png</t>
  </si>
  <si>
    <t>plots/20251231000436_3FT6Y121H01_04823_B11P_N_UFLEX98_M5358A8BH101511/dpll_52084/txpa_53207.png</t>
  </si>
  <si>
    <t>plots/20251231000436_3FT6Y121H01_04823_B11P_N_UFLEX98_M5358A8BH101511/dpll_52084/txpa_53208.png</t>
  </si>
  <si>
    <t>plots/20251231000436_3FT6Y121H01_04823_B11P_N_UFLEX98_M5358A8BH101511/dpll_52084/txpa_53209.png</t>
  </si>
  <si>
    <t>plots/20251231000436_3FT6Y121H01_04823_B11P_N_UFLEX98_M5358A8BH101511/dpll_52084/txpa_53210.png</t>
  </si>
  <si>
    <t>plots/20251231000436_3FT6Y121H01_04823_B11P_N_UFLEX98_M5358A8BH101511/dpll_52084/txpa_53211.png</t>
  </si>
  <si>
    <t>plots/20251231000436_3FT6Y121H01_04823_B11P_N_UFLEX98_M5358A8BH101511/dpll_52084/txpa_53212.png</t>
  </si>
  <si>
    <t>plots/20251231000436_3FT6Y121H01_04823_B11P_N_UFLEX98_M5358A8BH101511/dpll_52084/txpa_53213.png</t>
  </si>
  <si>
    <t>plots/20251231000436_3FT6Y121H01_04823_B11P_N_UFLEX98_M5358A8BH101511/dpll_52084/txpa_53214.png</t>
  </si>
  <si>
    <t>plots/20251231000436_3FT6Y121H01_04823_B11P_N_UFLEX98_M5358A8BH101511/dpll_52084/txpa_53215.png</t>
  </si>
  <si>
    <t>plots/20251231000436_3FT6Y121H01_04823_B11P_N_UFLEX98_M5358A8BH101511/dpll_52084/txpa_53216.png</t>
  </si>
  <si>
    <t>plots/20251231000436_3FT6Y121H01_04823_B11P_N_UFLEX98_M5358A8BH101511/dpll_52084/txpa_53217.png</t>
  </si>
  <si>
    <t>plots/20251231000436_3FT6Y121H01_04823_B11P_N_UFLEX98_M5358A8BH101511/dpll_52084/txpa_53218.png</t>
  </si>
  <si>
    <t>plots/20251231000436_3FT6Y121H01_04823_B11P_N_UFLEX98_M5358A8BH101511/dpll_52084/txpa_53219.png</t>
  </si>
  <si>
    <t>plots/20251231000436_3FT6Y121H01_04823_B11P_N_UFLEX98_M5358A8BH101511/dpll_52084/txpa_53220.png</t>
  </si>
  <si>
    <t>plots/20251231000436_3FT6Y121H01_04823_B11P_N_UFLEX98_M5358A8BH101511/dpll_52084/txpa_53221.png</t>
  </si>
  <si>
    <t>plots/20251231000436_3FT6Y121H01_04823_B11P_N_UFLEX98_M5358A8BH101511/dpll_52084/txpa_53222.png</t>
  </si>
  <si>
    <t>plots/20251231000436_3FT6Y121H01_04823_B11P_N_UFLEX98_M5358A8BH101511/dpll_52084/txpa_53223.png</t>
  </si>
  <si>
    <t>plots/20251231000436_3FT6Y121H01_04823_B11P_N_UFLEX98_M5358A8BH101511/dpll_52084/txpa_53224.png</t>
  </si>
  <si>
    <t>plots/20251231000436_3FT6Y121H01_04823_B11P_N_UFLEX98_M5358A8BH101511/dpll_52084/txpa_53225.png</t>
  </si>
  <si>
    <t>plots/20251231000436_3FT6Y121H01_04823_B11P_N_UFLEX98_M5358A8BH101511/dpll_52084/txpa_53226.png</t>
  </si>
  <si>
    <t>plots/20251231000436_3FT6Y121H01_04823_B11P_N_UFLEX98_M5358A8BH101511/dpll_52084/txpa_53227.png</t>
  </si>
  <si>
    <t>plots/20251231000436_3FT6Y121H01_04823_B11P_N_UFLEX98_M5358A8BH101511/dpll_52084/txpa_53228.png</t>
  </si>
  <si>
    <t>plots/20251231000436_3FT6Y121H01_04823_B11P_N_UFLEX98_M5358A8BH101511/dpll_52084/txpa_53229.png</t>
  </si>
  <si>
    <t>plots/20251231000436_3FT6Y121H01_04823_B11P_N_UFLEX98_M5358A8BH101511/dpll_52084/txpa_53230.png</t>
  </si>
  <si>
    <t>plots/20251231000436_3FT6Y121H01_04823_B11P_N_UFLEX98_M5358A8BH101511/dpll_52084/txpa_53231.png</t>
  </si>
  <si>
    <t>plots/20251231000436_3FT6Y121H01_04823_B11P_N_UFLEX98_M5358A8BH101511/dpll_52084/txpa_53232.png</t>
  </si>
  <si>
    <t>plots/20251231000436_3FT6Y121H01_04823_B11P_N_UFLEX98_M5358A8BH101511/dpll_52084/txpa_53233.png</t>
  </si>
  <si>
    <t>plots/20251231000436_3FT6Y121H01_04823_B11P_N_UFLEX98_M5358A8BH101511/dpll_52084/txpa_53234.png</t>
  </si>
  <si>
    <t>plots/20251231000436_3FT6Y121H01_04823_B11P_N_UFLEX98_M5358A8BH101511/dpll_52084/txpa_53235.png</t>
  </si>
  <si>
    <t>plots/20251231000436_3FT6Y121H01_04823_B11P_N_UFLEX98_M5358A8BH101511/dpll_52084/txpa_53236.png</t>
  </si>
  <si>
    <t>plots/20251231000436_3FT6Y121H01_04823_B11P_N_UFLEX98_M5358A8BH101511/dpll_52084/txpa_53237.png</t>
  </si>
  <si>
    <t>plots/20251231000436_3FT6Y121H01_04823_B11P_N_UFLEX98_M5358A8BH101511/dpll_52084/txpa_53238.png</t>
  </si>
  <si>
    <t>plots/20251231000436_3FT6Y121H01_04823_B11P_N_UFLEX98_M5358A8BH101511/dpll_52084/txpa_53239.png</t>
  </si>
  <si>
    <t>plots/20251231000436_3FT6Y121H01_04823_B11P_N_UFLEX98_M5358A8BH101511/dpll_52084/txpa_53240.png</t>
  </si>
  <si>
    <t>plots/20251231000436_3FT6Y121H01_04823_B11P_N_UFLEX98_M5358A8BH101511/dpll_52084/txpa_53241.png</t>
  </si>
  <si>
    <t>plots/20251231000436_3FT6Y121H01_04823_B11P_N_UFLEX98_M5358A8BH101511/dpll_52084/txpa_53242.png</t>
  </si>
  <si>
    <t>plots/20251231000436_3FT6Y121H01_04823_B11P_N_UFLEX98_M5358A8BH101511/dpll_52084/txpa_53243.png</t>
  </si>
  <si>
    <t>plots/20251231000436_3FT6Y121H01_04823_B11P_N_UFLEX98_M5358A8BH101511/dpll_52084/txpa_53244.png</t>
  </si>
  <si>
    <t>plots/20251231000436_3FT6Y121H01_04823_B11P_N_UFLEX98_M5358A8BH101511/dpll_52084/txpa_53245.png</t>
  </si>
  <si>
    <t>plots/20251231000436_3FT6Y121H01_04823_B11P_N_UFLEX98_M5358A8BH101511/dpll_52084/txpa_53246.png</t>
  </si>
  <si>
    <t>plots/20251231000436_3FT6Y121H01_04823_B11P_N_UFLEX98_M5358A8BH101511/dpll_52084/txpa_53247.png</t>
  </si>
  <si>
    <t>plots/20251231000436_3FT6Y121H01_04823_B11P_N_UFLEX98_M5358A8BH101511/dpll_52084/txpa_53248.png</t>
  </si>
  <si>
    <t>plots/20251231000436_3FT6Y121H01_04823_B11P_N_UFLEX98_M5358A8BH101511/dpll_52084/txpa_53249.png</t>
  </si>
  <si>
    <t>plots/20251231000436_3FT6Y121H01_04823_B11P_N_UFLEX98_M5358A8BH101511/dpll_52084/txpa_53250.png</t>
  </si>
  <si>
    <t>plots/20251231000436_3FT6Y121H01_04823_B11P_N_UFLEX98_M5358A8BH101511/dpll_52084/txpa_53251.png</t>
  </si>
  <si>
    <t>plots/20251231000436_3FT6Y121H01_04823_B11P_N_UFLEX98_M5358A8BH101511/dpll_52084/txpa_53252.png</t>
  </si>
  <si>
    <t>plots/20251231000436_3FT6Y121H01_04823_B11P_N_UFLEX98_M5358A8BH101511/dpll_52084/txpa_53253.png</t>
  </si>
  <si>
    <t>plots/20251231000436_3FT6Y121H01_04823_B11P_N_UFLEX98_M5358A8BH101511/dpll_52084/txpa_53254.png</t>
  </si>
  <si>
    <t>plots/20251231000436_3FT6Y121H01_04823_B11P_N_UFLEX98_M5358A8BH101511/dpll_52084/txpa_53255.png</t>
  </si>
  <si>
    <t>plots/20251231000436_3FT6Y121H01_04823_B11P_N_UFLEX98_M5358A8BH101511/dpll_52084/txpa_53256.png</t>
  </si>
  <si>
    <t>plots/20251231000436_3FT6Y121H01_04823_B11P_N_UFLEX98_M5358A8BH101511/dpll_52084/txpa_53257.png</t>
  </si>
  <si>
    <t>plots/20251231000436_3FT6Y121H01_04823_B11P_N_UFLEX98_M5358A8BH101511/dpll_52084/txpa_53258.png</t>
  </si>
  <si>
    <t>plots/20251231000436_3FT6Y121H01_04823_B11P_N_UFLEX98_M5358A8BH101511/dpll_52084/txpa_53259.png</t>
  </si>
  <si>
    <t>plots/20251231000436_3FT6Y121H01_04823_B11P_N_UFLEX98_M5358A8BH101511/dpll_52084/txpa_53260.png</t>
  </si>
  <si>
    <t>plots/20251231000436_3FT6Y121H01_04823_B11P_N_UFLEX98_M5358A8BH101511/dpll_52084/txpa_53261.png</t>
  </si>
  <si>
    <t>plots/20251231000436_3FT6Y121H01_04823_B11P_N_UFLEX98_M5358A8BH101511/dpll_52084/txpa_53262.png</t>
  </si>
  <si>
    <t>plots/20251231000436_3FT6Y121H01_04823_B11P_N_UFLEX98_M5358A8BH101511/dpll_52084/txpa_53263.png</t>
  </si>
  <si>
    <t>plots/20251231000436_3FT6Y121H01_04823_B11P_N_UFLEX98_M5358A8BH101511/dpll_52084/txpa_53264.png</t>
  </si>
  <si>
    <t>plots/20251231000436_3FT6Y121H01_04823_B11P_N_UFLEX98_M5358A8BH101511/dpll_52084/txpa_53265.png</t>
  </si>
  <si>
    <t>plots/20251231000436_3FT6Y121H01_04823_B11P_N_UFLEX98_M5358A8BH101511/dpll_52084/txpa_53266.png</t>
  </si>
  <si>
    <t>plots/20251231000436_3FT6Y121H01_04823_B11P_N_UFLEX98_M5358A8BH101511/dpll_52084/txpa_53267.png</t>
  </si>
  <si>
    <t>plots/20251231000436_3FT6Y121H01_04823_B11P_N_UFLEX98_M5358A8BH101511/dpll_52084/txpa_53268.png</t>
  </si>
  <si>
    <t>plots/20251231000436_3FT6Y121H01_04823_B11P_N_UFLEX98_M5358A8BH101511/dpll_52084/txpa_53269.png</t>
  </si>
  <si>
    <t>plots/20251231000436_3FT6Y121H01_04823_B11P_N_UFLEX98_M5358A8BH101511/dpll_52084/txpa_53270.png</t>
  </si>
  <si>
    <t>plots/20251231000436_3FT6Y121H01_04823_B11P_N_UFLEX98_M5358A8BH101511/dpll_52084/txpa_53271.png</t>
  </si>
  <si>
    <t>plots/20251231000436_3FT6Y121H01_04823_B11P_N_UFLEX98_M5358A8BH101511/dpll_52084/txpa_53272.png</t>
  </si>
  <si>
    <t>plots/20251231000436_3FT6Y121H01_04823_B11P_N_UFLEX98_M5358A8BH101511/dpll_52084/txpa_53273.png</t>
  </si>
  <si>
    <t>plots/20251231000436_3FT6Y121H01_04823_B11P_N_UFLEX98_M5358A8BH101511/dpll_52084/txpa_53274.png</t>
  </si>
  <si>
    <t>plots/20251231000436_3FT6Y121H01_04823_B11P_N_UFLEX98_M5358A8BH101511/dpll_52084/txpa_53275.png</t>
  </si>
  <si>
    <t>plots/20251231000436_3FT6Y121H01_04823_B11P_N_UFLEX98_M5358A8BH101511/dpll_52084/txpa_53276.png</t>
  </si>
  <si>
    <t>plots/20251231000436_3FT6Y121H01_04823_B11P_N_UFLEX98_M5358A8BH101511/dpll_52084/txpa_53277.png</t>
  </si>
  <si>
    <t>plots/20251231000436_3FT6Y121H01_04823_B11P_N_UFLEX98_M5358A8BH101511/dpll_52084/txpa_53278.png</t>
  </si>
  <si>
    <t>plots/20251231000436_3FT6Y121H01_04823_B11P_N_UFLEX98_M5358A8BH101511/dpll_52084/txpa_53279.png</t>
  </si>
  <si>
    <t>plots/20251231000436_3FT6Y121H01_04823_B11P_N_UFLEX98_M5358A8BH101511/dpll_52084/txpa_53280.png</t>
  </si>
  <si>
    <t>plots/20251231000436_3FT6Y121H01_04823_B11P_N_UFLEX98_M5358A8BH101511/dpll_52084/txpa_53281.png</t>
  </si>
  <si>
    <t>plots/20251231000436_3FT6Y121H01_04823_B11P_N_UFLEX98_M5358A8BH101511/dpll_52084/txpa_53282.png</t>
  </si>
  <si>
    <t>plots/20251231000436_3FT6Y121H01_04823_B11P_N_UFLEX98_M5358A8BH101511/dpll_52084/txpa_53283.png</t>
  </si>
  <si>
    <t>plots/20251231000436_3FT6Y121H01_04823_B11P_N_UFLEX98_M5358A8BH101511/dpll_52084/txpa_53284.png</t>
  </si>
  <si>
    <t>plots/20251231000436_3FT6Y121H01_04823_B11P_N_UFLEX98_M5358A8BH101511/dpll_52084/txpa_53285.png</t>
  </si>
  <si>
    <t>plots/20251231000436_3FT6Y121H01_04823_B11P_N_UFLEX98_M5358A8BH101511/dpll_52084/txpa_53286.png</t>
  </si>
  <si>
    <t>plots/20251231000436_3FT6Y121H01_04823_B11P_N_UFLEX98_M5358A8BH101511/dpll_52084/txpa_53287.png</t>
  </si>
  <si>
    <t>plots/20251231000436_3FT6Y121H01_04823_B11P_N_UFLEX98_M5358A8BH101511/dpll_52084/txpa_53288.png</t>
  </si>
  <si>
    <t>plots/20251231000436_3FT6Y121H01_04823_B11P_N_UFLEX98_M5358A8BH101511/dpll_52084/txpa_53289.png</t>
  </si>
  <si>
    <t>plots/20251231000436_3FT6Y121H01_04823_B11P_N_UFLEX98_M5358A8BH101511/dpll_52084/txpa_53290.png</t>
  </si>
  <si>
    <t>plots/20251231000436_3FT6Y121H01_04823_B11P_N_UFLEX98_M5358A8BH101511/dpll_52084/txpa_54146.png</t>
  </si>
  <si>
    <t>plots/20251231000436_3FT6Y121H01_04823_B11P_N_UFLEX98_M5358A8BH101511/dpll_52084/txpa_54147.png</t>
  </si>
  <si>
    <t>plots/20251231000436_3FT6Y121H01_04823_B11P_N_UFLEX98_M5358A8BH101511/dpll_52084/txpa_54148.png</t>
  </si>
  <si>
    <t>plots/20251231000436_3FT6Y121H01_04823_B11P_N_UFLEX98_M5358A8BH101511/dpll_52084/txpa_54149.png</t>
  </si>
  <si>
    <t>plots/20251231000436_3FT6Y121H01_04823_B11P_N_UFLEX98_M5358A8BH101511/dpll_52084/txpa_54150.png</t>
  </si>
  <si>
    <t>plots/20251231000436_3FT6Y121H01_04823_B11P_N_UFLEX98_M5358A8BH101511/dpll_52084/txpa_54151.png</t>
  </si>
  <si>
    <t>plots/20251231000436_3FT6Y121H01_04823_B11P_N_UFLEX98_M5358A8BH101511/dpll_52084/txpa_54152.png</t>
  </si>
  <si>
    <t>plots/20251231000436_3FT6Y121H01_04823_B11P_N_UFLEX98_M5358A8BH101511/dpll_52084/txpa_54153.png</t>
  </si>
  <si>
    <t>plots/20251231000436_3FT6Y121H01_04823_B11P_N_UFLEX98_M5358A8BH101511/dpll_52084/txpa_54154.png</t>
  </si>
  <si>
    <t>plots/20251231000436_3FT6Y121H01_04823_B11P_N_UFLEX98_M5358A8BH101511/dpll_52084/txpa_54155.png</t>
  </si>
  <si>
    <t>plots/20251231000436_3FT6Y121H01_04823_B11P_N_UFLEX98_M5358A8BH101511/dpll_52084/txpa_54156.png</t>
  </si>
  <si>
    <t>plots/20251231000436_3FT6Y121H01_04823_B11P_N_UFLEX98_M5358A8BH101511/dpll_52084/txpa_54157.png</t>
  </si>
  <si>
    <t>plots/20251231000436_3FT6Y121H01_04823_B11P_N_UFLEX98_M5358A8BH101511/dpll_52084/txpa_54158.png</t>
  </si>
  <si>
    <t>plots/20251231000436_3FT6Y121H01_04823_B11P_N_UFLEX98_M5358A8BH101511/dpll_52084/txpa_54159.png</t>
  </si>
  <si>
    <t>plots/20251231000436_3FT6Y121H01_04823_B11P_N_UFLEX98_M5358A8BH101511/dpll_52084/txpa_54160.png</t>
  </si>
  <si>
    <t>plots/20251231000436_3FT6Y121H01_04823_B11P_N_UFLEX98_M5358A8BH101511/dpll_52084/txpa_54161.png</t>
  </si>
  <si>
    <t>plots/20251231000436_3FT6Y121H01_04823_B11P_N_UFLEX98_M5358A8BH101511/dpll_52084/txpa_54162.png</t>
  </si>
  <si>
    <t>plots/20251231000436_3FT6Y121H01_04823_B11P_N_UFLEX98_M5358A8BH101511/dpll_52084/txpa_54163.png</t>
  </si>
  <si>
    <t>plots/20251231000436_3FT6Y121H01_04823_B11P_N_UFLEX98_M5358A8BH101511/dpll_52084/txpa_54164.png</t>
  </si>
  <si>
    <t>plots/20251231000436_3FT6Y121H01_04823_B11P_N_UFLEX98_M5358A8BH101511/dpll_52084/txpa_54165.png</t>
  </si>
  <si>
    <t>plots/20251231000436_3FT6Y121H01_04823_B11P_N_UFLEX98_M5358A8BH101511/dpll_52084/txpa_54166.png</t>
  </si>
  <si>
    <t>plots/20251231000436_3FT6Y121H01_04823_B11P_N_UFLEX98_M5358A8BH101511/dpll_52084/txpa_54167.png</t>
  </si>
  <si>
    <t>plots/20251231000436_3FT6Y121H01_04823_B11P_N_UFLEX98_M5358A8BH101511/dpll_52084/txpa_54168.png</t>
  </si>
  <si>
    <t>plots/20251231000436_3FT6Y121H01_04823_B11P_N_UFLEX98_M5358A8BH101511/dpll_52084/txpa_54169.png</t>
  </si>
  <si>
    <t>plots/20251231000436_3FT6Y121H01_04823_B11P_N_UFLEX98_M5358A8BH101511/dpll_52084/txpa_54170.png</t>
  </si>
  <si>
    <t>plots/20251231000436_3FT6Y121H01_04823_B11P_N_UFLEX98_M5358A8BH101511/dpll_52084/txpa_54171.png</t>
  </si>
  <si>
    <t>plots/20251231000436_3FT6Y121H01_04823_B11P_N_UFLEX98_M5358A8BH101511/dpll_52084/txpa_54172.png</t>
  </si>
  <si>
    <t>plots/20251231000436_3FT6Y121H01_04823_B11P_N_UFLEX98_M5358A8BH101511/dpll_52084/txpa_54173.png</t>
  </si>
  <si>
    <t>plots/20251231000436_3FT6Y121H01_04823_B11P_N_UFLEX98_M5358A8BH101511/dpll_52084/txpa_54174.png</t>
  </si>
  <si>
    <t>plots/20251231000436_3FT6Y121H01_04823_B11P_N_UFLEX98_M5358A8BH101511/dpll_52084/txpa_54175.png</t>
  </si>
  <si>
    <t>plots/20251231000436_3FT6Y121H01_04823_B11P_N_UFLEX98_M5358A8BH101511/dpll_52084/txpa_54176.png</t>
  </si>
  <si>
    <t>plots/20251231000436_3FT6Y121H01_04823_B11P_N_UFLEX98_M5358A8BH101511/dpll_52084/txpa_54177.png</t>
  </si>
  <si>
    <t>plots/20251231000436_3FT6Y121H01_04823_B11P_N_UFLEX98_M5358A8BH101511/dpll_52084/txpa_54178.png</t>
  </si>
  <si>
    <t>plots/20251231000436_3FT6Y121H01_04823_B11P_N_UFLEX98_M5358A8BH101511/dpll_52084/txpa_54179.png</t>
  </si>
  <si>
    <t>plots/20251231000436_3FT6Y121H01_04823_B11P_N_UFLEX98_M5358A8BH101511/dpll_52084/txpa_54180.png</t>
  </si>
  <si>
    <t>plots/20251231000436_3FT6Y121H01_04823_B11P_N_UFLEX98_M5358A8BH101511/dpll_52084/txpa_54181.png</t>
  </si>
  <si>
    <t>plots/20251231000436_3FT6Y121H01_04823_B11P_N_UFLEX98_M5358A8BH101511/dpll_52084/txpa_54182.png</t>
  </si>
  <si>
    <t>plots/20251231000436_3FT6Y121H01_04823_B11P_N_UFLEX98_M5358A8BH101511/dpll_52084/txpa_54183.png</t>
  </si>
  <si>
    <t>plots/20251231000436_3FT6Y121H01_04823_B11P_N_UFLEX98_M5358A8BH101511/dpll_52084/txpa_54184.png</t>
  </si>
  <si>
    <t>plots/20251231000436_3FT6Y121H01_04823_B11P_N_UFLEX98_M5358A8BH101511/dpll_52084/txpa_54185.png</t>
  </si>
  <si>
    <t>plots/20251231000436_3FT6Y121H01_04823_B11P_N_UFLEX98_M5358A8BH101511/dpll_52084/txpa_54186.png</t>
  </si>
  <si>
    <t>plots/20251231000436_3FT6Y121H01_04823_B11P_N_UFLEX98_M5358A8BH101511/dpll_52084/txpa_54187.png</t>
  </si>
  <si>
    <t>plots/20251231000436_3FT6Y121H01_04823_B11P_N_UFLEX98_M5358A8BH101511/dpll_52084/txpa_54188.png</t>
  </si>
  <si>
    <t>plots/20251231000436_3FT6Y121H01_04823_B11P_N_UFLEX98_M5358A8BH101511/dpll_52084/txpa_54189.png</t>
  </si>
  <si>
    <t>plots/20251231000436_3FT6Y121H01_04823_B11P_N_UFLEX98_M5358A8BH101511/dpll_52084/txpa_54190.png</t>
  </si>
  <si>
    <t>plots/20251231000436_3FT6Y121H01_04823_B11P_N_UFLEX98_M5358A8BH101511/dpll_52084/txpa_54191.png</t>
  </si>
  <si>
    <t>plots/20251231000436_3FT6Y121H01_04823_B11P_N_UFLEX98_M5358A8BH101511/dpll_52084/txpa_54192.png</t>
  </si>
  <si>
    <t>plots/20251231000436_3FT6Y121H01_04823_B11P_N_UFLEX98_M5358A8BH101511/dpll_52084/txpa_54193.png</t>
  </si>
  <si>
    <t>plots/20251231000436_3FT6Y121H01_04823_B11P_N_UFLEX98_M5358A8BH101511/dpll_52084/txpa_54194.png</t>
  </si>
  <si>
    <t>plots/20251231000436_3FT6Y121H01_04823_B11P_N_UFLEX98_M5358A8BH101511/dpll_52084/txpa_54195.png</t>
  </si>
  <si>
    <t>plots/20251231000436_3FT6Y121H01_04823_B11P_N_UFLEX98_M5358A8BH101511/dpll_52084/txpa_54196.png</t>
  </si>
  <si>
    <t>plots/20251231000436_3FT6Y121H01_04823_B11P_N_UFLEX98_M5358A8BH101511/dpll_52084/txpa_54197.png</t>
  </si>
  <si>
    <t>plots/20251231000436_3FT6Y121H01_04823_B11P_N_UFLEX98_M5358A8BH101511/dpll_52084/txpa_54198.png</t>
  </si>
  <si>
    <t>plots/20251231000436_3FT6Y121H01_04823_B11P_N_UFLEX98_M5358A8BH101511/dpll_52084/txpa_54199.png</t>
  </si>
  <si>
    <t>plots/20251231000436_3FT6Y121H01_04823_B11P_N_UFLEX98_M5358A8BH101511/dpll_52084/txpa_54200.png</t>
  </si>
  <si>
    <t>plots/20251231000436_3FT6Y121H01_04823_B11P_N_UFLEX98_M5358A8BH101511/dpll_52084/txpa_54201.png</t>
  </si>
  <si>
    <t>plots/20251231000436_3FT6Y121H01_04823_B11P_N_UFLEX98_M5358A8BH101511/dpll_52084/txpa_54202.png</t>
  </si>
  <si>
    <t>plots/20251231000436_3FT6Y121H01_04823_B11P_N_UFLEX98_M5358A8BH101511/dpll_52084/txpa_54203.png</t>
  </si>
  <si>
    <t>plots/20251231000436_3FT6Y121H01_04823_B11P_N_UFLEX98_M5358A8BH101511/dpll_52084/txpa_54204.png</t>
  </si>
  <si>
    <t>plots/20251231000436_3FT6Y121H01_04823_B11P_N_UFLEX98_M5358A8BH101511/dpll_52084/txpa_54205.png</t>
  </si>
  <si>
    <t>plots/20251231000436_3FT6Y121H01_04823_B11P_N_UFLEX98_M5358A8BH101511/dpll_52084/txpa_54206.png</t>
  </si>
  <si>
    <t>plots/20251231000436_3FT6Y121H01_04823_B11P_N_UFLEX98_M5358A8BH101511/dpll_52084/txpa_54207.png</t>
  </si>
  <si>
    <t>plots/20251231000436_3FT6Y121H01_04823_B11P_N_UFLEX98_M5358A8BH101511/dpll_52084/txpa_54208.png</t>
  </si>
  <si>
    <t>plots/20251231000436_3FT6Y121H01_04823_B11P_N_UFLEX98_M5358A8BH101511/dpll_52084/txpa_54209.png</t>
  </si>
  <si>
    <t>plots/20251231000436_3FT6Y121H01_04823_B11P_N_UFLEX98_M5358A8BH101511/dpll_52084/txpa_54210.png</t>
  </si>
  <si>
    <t>plots/20251231000436_3FT6Y121H01_04823_B11P_N_UFLEX98_M5358A8BH101511/dpll_52084/txpa_54211.png</t>
  </si>
  <si>
    <t>plots/20251231000436_3FT6Y121H01_04823_B11P_N_UFLEX98_M5358A8BH101511/dpll_52084/txpa_54212.png</t>
  </si>
  <si>
    <t>plots/20251231000436_3FT6Y121H01_04823_B11P_N_UFLEX98_M5358A8BH101511/dpll_52084/txpa_54213.png</t>
  </si>
  <si>
    <t>plots/20251231000436_3FT6Y121H01_04823_B11P_N_UFLEX98_M5358A8BH101511/dpll_52084/txpa_54214.png</t>
  </si>
  <si>
    <t>plots/20251231000436_3FT6Y121H01_04823_B11P_N_UFLEX98_M5358A8BH101511/dpll_52084/txpa_54215.png</t>
  </si>
  <si>
    <t>plots/20251231000436_3FT6Y121H01_04823_B11P_N_UFLEX98_M5358A8BH101511/dpll_52084/txpa_54216.png</t>
  </si>
  <si>
    <t>plots/20251231000436_3FT6Y121H01_04823_B11P_N_UFLEX98_M5358A8BH101511/dpll_52084/txpa_54217.png</t>
  </si>
  <si>
    <t>plots/20251231000436_3FT6Y121H01_04823_B11P_N_UFLEX98_M5358A8BH101511/dpll_52084/txpa_54218.png</t>
  </si>
  <si>
    <t>plots/20251231000436_3FT6Y121H01_04823_B11P_N_UFLEX98_M5358A8BH101511/dpll_52084/txpa_54219.png</t>
  </si>
  <si>
    <t>plots/20251231000436_3FT6Y121H01_04823_B11P_N_UFLEX98_M5358A8BH101511/dpll_52084/txpa_54220.png</t>
  </si>
  <si>
    <t>plots/20251231000436_3FT6Y121H01_04823_B11P_N_UFLEX98_M5358A8BH101511/dpll_52084/txpa_54221.png</t>
  </si>
  <si>
    <t>plots/20251231000436_3FT6Y121H01_04823_B11P_N_UFLEX98_M5358A8BH101511/dpll_52084/txpa_54222.png</t>
  </si>
  <si>
    <t>plots/20251231000436_3FT6Y121H01_04823_B11P_N_UFLEX98_M5358A8BH101511/dpll_52084/txpa_54223.png</t>
  </si>
  <si>
    <t>plots/20251231000436_3FT6Y121H01_04823_B11P_N_UFLEX98_M5358A8BH101511/dpll_52084/txpa_54224.png</t>
  </si>
  <si>
    <t>plots/20251231000436_3FT6Y121H01_04823_B11P_N_UFLEX98_M5358A8BH101511/dpll_52084/txpa_54225.png</t>
  </si>
  <si>
    <t>plots/20251231000436_3FT6Y121H01_04823_B11P_N_UFLEX98_M5358A8BH101511/dpll_52084/txpa_54226.png</t>
  </si>
  <si>
    <t>plots/20251231000436_3FT6Y121H01_04823_B11P_N_UFLEX98_M5358A8BH101511/dpll_52084/txpa_54227.png</t>
  </si>
  <si>
    <t>plots/20251231000436_3FT6Y121H01_04823_B11P_N_UFLEX98_M5358A8BH101511/dpll_52084/txpa_54228.png</t>
  </si>
  <si>
    <t>plots/20251231000436_3FT6Y121H01_04823_B11P_N_UFLEX98_M5358A8BH101511/dpll_52084/txpa_54229.png</t>
  </si>
  <si>
    <t>plots/20251231000436_3FT6Y121H01_04823_B11P_N_UFLEX98_M5358A8BH101511/dpll_52084/txpa_54230.png</t>
  </si>
  <si>
    <t>plots/20251231000436_3FT6Y121H01_04823_B11P_N_UFLEX98_M5358A8BH101511/dpll_52084/txpa_54231.png</t>
  </si>
  <si>
    <t>plots/20251231000436_3FT6Y121H01_04823_B11P_N_UFLEX98_M5358A8BH101511/dpll_52084/txpa_54232.png</t>
  </si>
  <si>
    <t>plots/20251231000436_3FT6Y121H01_04823_B11P_N_UFLEX98_M5358A8BH101511/dpll_52084/txpa_54233.png</t>
  </si>
  <si>
    <t>plots/20251231000436_3FT6Y121H01_04823_B11P_N_UFLEX98_M5358A8BH101511/dpll_52084/txpa_54234.png</t>
  </si>
  <si>
    <t>plots/20251231000436_3FT6Y121H01_04823_B11P_N_UFLEX98_M5358A8BH101511/dpll_52084/txpa_54235.png</t>
  </si>
  <si>
    <t>plots/20251231000436_3FT6Y121H01_04823_B11P_N_UFLEX98_M5358A8BH101511/dpll_52084/txpa_54236.png</t>
  </si>
  <si>
    <t>plots/20251231000436_3FT6Y121H01_04823_B11P_N_UFLEX98_M5358A8BH101511/dpll_52084/txpa_54237.png</t>
  </si>
  <si>
    <t>plots/20251231000436_3FT6Y121H01_04823_B11P_N_UFLEX98_M5358A8BH101511/dpll_52084/txpa_54238.png</t>
  </si>
  <si>
    <t>plots/20251231000436_3FT6Y121H01_04823_B11P_N_UFLEX98_M5358A8BH101511/dpll_52084/txpa_54239.png</t>
  </si>
  <si>
    <t>plots/20251231000436_3FT6Y121H01_04823_B11P_N_UFLEX98_M5358A8BH101511/dpll_52084/txpa_54240.png</t>
  </si>
  <si>
    <t>plots/20251231000436_3FT6Y121H01_04823_B11P_N_UFLEX98_M5358A8BH101511/dpll_52084/txpa_54241.png</t>
  </si>
  <si>
    <t>plots/20251231000436_3FT6Y121H01_04823_B11P_N_UFLEX98_M5358A8BH101511/dpll_52084/txpa_54242.png</t>
  </si>
  <si>
    <t>plots/20251231000436_3FT6Y121H01_04823_B11P_N_UFLEX98_M5358A8BH101511/dpll_52084/txpa_54243.png</t>
  </si>
  <si>
    <t>plots/20251231000436_3FT6Y121H01_04823_B11P_N_UFLEX98_M5358A8BH101511/dpll_52084/txpa_54244.png</t>
  </si>
  <si>
    <t>plots/20251231000436_3FT6Y121H01_04823_B11P_N_UFLEX98_M5358A8BH101511/dpll_52084/txpa_54245.png</t>
  </si>
  <si>
    <t>plots/20251231000436_3FT6Y121H01_04823_B11P_N_UFLEX98_M5358A8BH101511/dpll_52084/txpa_54246.png</t>
  </si>
  <si>
    <t>plots/20251231000436_3FT6Y121H01_04823_B11P_N_UFLEX98_M5358A8BH101511/dpll_52084/txpa_54247.png</t>
  </si>
  <si>
    <t>plots/20251231000436_3FT6Y121H01_04823_B11P_N_UFLEX98_M5358A8BH101511/dpll_52084/txpa_54248.png</t>
  </si>
  <si>
    <t>plots/20251231000436_3FT6Y121H01_04823_B11P_N_UFLEX98_M5358A8BH101511/dpll_52084/txpa_54249.png</t>
  </si>
  <si>
    <t>plots/20251231000436_3FT6Y121H01_04823_B11P_N_UFLEX98_M5358A8BH101511/dpll_52084/txpa_54250.png</t>
  </si>
  <si>
    <t>plots/20251231000436_3FT6Y121H01_04823_B11P_N_UFLEX98_M5358A8BH101511/dpll_52084/txpa_54251.png</t>
  </si>
  <si>
    <t>plots/20251231000436_3FT6Y121H01_04823_B11P_N_UFLEX98_M5358A8BH101511/dpll_52084/txpa_54252.png</t>
  </si>
  <si>
    <t>plots/20251231000436_3FT6Y121H01_04823_B11P_N_UFLEX98_M5358A8BH101511/dpll_52084/txpa_54253.png</t>
  </si>
  <si>
    <t>plots/20251231000436_3FT6Y121H01_04823_B11P_N_UFLEX98_M5358A8BH101511/dpll_52084/txpa_54254.png</t>
  </si>
  <si>
    <t>plots/20251231000436_3FT6Y121H01_04823_B11P_N_UFLEX98_M5358A8BH101511/dpll_52084/txpa_54255.png</t>
  </si>
  <si>
    <t>plots/20251231000436_3FT6Y121H01_04823_B11P_N_UFLEX98_M5358A8BH101511/dpll_52084/txpa_54256.png</t>
  </si>
  <si>
    <t>plots/20251231000436_3FT6Y121H01_04823_B11P_N_UFLEX98_M5358A8BH101511/dpll_52084/txpa_54257.png</t>
  </si>
  <si>
    <t>plots/20251231000436_3FT6Y121H01_04823_B11P_N_UFLEX98_M5358A8BH101511/dpll_52084/txpa_54258.png</t>
  </si>
  <si>
    <t>plots/20251231000436_3FT6Y121H01_04823_B11P_N_UFLEX98_M5358A8BH101511/dpll_52084/txpa_55146.png</t>
  </si>
  <si>
    <t>plots/20251231000436_3FT6Y121H01_04823_B11P_N_UFLEX98_M5358A8BH101511/dpll_52084/txpa_55147.png</t>
  </si>
  <si>
    <t>plots/20251231000436_3FT6Y121H01_04823_B11P_N_UFLEX98_M5358A8BH101511/dpll_52084/txpa_55148.png</t>
  </si>
  <si>
    <t>plots/20251231000436_3FT6Y121H01_04823_B11P_N_UFLEX98_M5358A8BH101511/dpll_52084/txpa_55149.png</t>
  </si>
  <si>
    <t>plots/20251231000436_3FT6Y121H01_04823_B11P_N_UFLEX98_M5358A8BH101511/dpll_52084/txpa_55150.png</t>
  </si>
  <si>
    <t>plots/20251231000436_3FT6Y121H01_04823_B11P_N_UFLEX98_M5358A8BH101511/dpll_52084/txpa_55151.png</t>
  </si>
  <si>
    <t>plots/20251231000436_3FT6Y121H01_04823_B11P_N_UFLEX98_M5358A8BH101511/dpll_52084/txpa_55152.png</t>
  </si>
  <si>
    <t>plots/20251231000436_3FT6Y121H01_04823_B11P_N_UFLEX98_M5358A8BH101511/dpll_52084/txpa_55153.png</t>
  </si>
  <si>
    <t>plots/20251231000436_3FT6Y121H01_04823_B11P_N_UFLEX98_M5358A8BH101511/dpll_52084/txpa_55154.png</t>
  </si>
  <si>
    <t>plots/20251231000436_3FT6Y121H01_04823_B11P_N_UFLEX98_M5358A8BH101511/dpll_52084/txpa_55155.png</t>
  </si>
  <si>
    <t>plots/20251231000436_3FT6Y121H01_04823_B11P_N_UFLEX98_M5358A8BH101511/dpll_52084/txpa_55156.png</t>
  </si>
  <si>
    <t>plots/20251231000436_3FT6Y121H01_04823_B11P_N_UFLEX98_M5358A8BH101511/dpll_52084/txpa_55157.png</t>
  </si>
  <si>
    <t>plots/20251231000436_3FT6Y121H01_04823_B11P_N_UFLEX98_M5358A8BH101511/dpll_52084/txpa_55158.png</t>
  </si>
  <si>
    <t>plots/20251231000436_3FT6Y121H01_04823_B11P_N_UFLEX98_M5358A8BH101511/dpll_52084/txpa_55159.png</t>
  </si>
  <si>
    <t>plots/20251231000436_3FT6Y121H01_04823_B11P_N_UFLEX98_M5358A8BH101511/dpll_52084/txpa_55160.png</t>
  </si>
  <si>
    <t>plots/20251231000436_3FT6Y121H01_04823_B11P_N_UFLEX98_M5358A8BH101511/dpll_52084/txpa_55161.png</t>
  </si>
  <si>
    <t>plots/20251231000436_3FT6Y121H01_04823_B11P_N_UFLEX98_M5358A8BH101511/dpll_52084/txpa_55162.png</t>
  </si>
  <si>
    <t>plots/20251231000436_3FT6Y121H01_04823_B11P_N_UFLEX98_M5358A8BH101511/dpll_52084/txpa_55163.png</t>
  </si>
  <si>
    <t>plots/20251231000436_3FT6Y121H01_04823_B11P_N_UFLEX98_M5358A8BH101511/dpll_52084/txpa_55164.png</t>
  </si>
  <si>
    <t>plots/20251231000436_3FT6Y121H01_04823_B11P_N_UFLEX98_M5358A8BH101511/dpll_52084/txpa_55165.png</t>
  </si>
  <si>
    <t>plots/20251231000436_3FT6Y121H01_04823_B11P_N_UFLEX98_M5358A8BH101511/dpll_52084/txpa_55166.png</t>
  </si>
  <si>
    <t>plots/20251231000436_3FT6Y121H01_04823_B11P_N_UFLEX98_M5358A8BH101511/dpll_52084/txpa_55167.png</t>
  </si>
  <si>
    <t>plots/20251231000436_3FT6Y121H01_04823_B11P_N_UFLEX98_M5358A8BH101511/dpll_52084/txpa_55168.png</t>
  </si>
  <si>
    <t>plots/20251231000436_3FT6Y121H01_04823_B11P_N_UFLEX98_M5358A8BH101511/dpll_52084/txpa_55169.png</t>
  </si>
  <si>
    <t>plots/20251231000436_3FT6Y121H01_04823_B11P_N_UFLEX98_M5358A8BH101511/dpll_52084/txpa_55170.png</t>
  </si>
  <si>
    <t>plots/20251231000436_3FT6Y121H01_04823_B11P_N_UFLEX98_M5358A8BH101511/dpll_52084/txpa_55171.png</t>
  </si>
  <si>
    <t>plots/20251231000436_3FT6Y121H01_04823_B11P_N_UFLEX98_M5358A8BH101511/dpll_52084/txpa_55172.png</t>
  </si>
  <si>
    <t>plots/20251231000436_3FT6Y121H01_04823_B11P_N_UFLEX98_M5358A8BH101511/dpll_52084/txpa_55173.png</t>
  </si>
  <si>
    <t>plots/20251231000436_3FT6Y121H01_04823_B11P_N_UFLEX98_M5358A8BH101511/dpll_52084/txpa_55174.png</t>
  </si>
  <si>
    <t>plots/20251231000436_3FT6Y121H01_04823_B11P_N_UFLEX98_M5358A8BH101511/dpll_52084/txpa_55175.png</t>
  </si>
  <si>
    <t>plots/20251231000436_3FT6Y121H01_04823_B11P_N_UFLEX98_M5358A8BH101511/dpll_52084/txpa_55176.png</t>
  </si>
  <si>
    <t>plots/20251231000436_3FT6Y121H01_04823_B11P_N_UFLEX98_M5358A8BH101511/dpll_52084/txpa_55177.png</t>
  </si>
  <si>
    <t>plots/20251231000436_3FT6Y121H01_04823_B11P_N_UFLEX98_M5358A8BH101511/dpll_52084/txpa_55178.png</t>
  </si>
  <si>
    <t>plots/20251231000436_3FT6Y121H01_04823_B11P_N_UFLEX98_M5358A8BH101511/dpll_52084/txpa_55179.png</t>
  </si>
  <si>
    <t>plots/20251231000436_3FT6Y121H01_04823_B11P_N_UFLEX98_M5358A8BH101511/dpll_52084/txpa_55180.png</t>
  </si>
  <si>
    <t>plots/20251231000436_3FT6Y121H01_04823_B11P_N_UFLEX98_M5358A8BH101511/dpll_52084/txpa_55181.png</t>
  </si>
  <si>
    <t>plots/20251231000436_3FT6Y121H01_04823_B11P_N_UFLEX98_M5358A8BH101511/dpll_52084/txpa_55182.png</t>
  </si>
  <si>
    <t>plots/20251231000436_3FT6Y121H01_04823_B11P_N_UFLEX98_M5358A8BH101511/dpll_52084/txpa_55183.png</t>
  </si>
  <si>
    <t>plots/20251231000436_3FT6Y121H01_04823_B11P_N_UFLEX98_M5358A8BH101511/dpll_52084/txpa_55184.png</t>
  </si>
  <si>
    <t>plots/20251231000436_3FT6Y121H01_04823_B11P_N_UFLEX98_M5358A8BH101511/dpll_52084/txpa_55185.png</t>
  </si>
  <si>
    <t>plots/20251231000436_3FT6Y121H01_04823_B11P_N_UFLEX98_M5358A8BH101511/dpll_52084/txpa_55186.png</t>
  </si>
  <si>
    <t>plots/20251231000436_3FT6Y121H01_04823_B11P_N_UFLEX98_M5358A8BH101511/dpll_52084/txpa_55187.png</t>
  </si>
  <si>
    <t>plots/20251231000436_3FT6Y121H01_04823_B11P_N_UFLEX98_M5358A8BH101511/dpll_52084/txpa_55188.png</t>
  </si>
  <si>
    <t>plots/20251231000436_3FT6Y121H01_04823_B11P_N_UFLEX98_M5358A8BH101511/dpll_52084/txpa_55189.png</t>
  </si>
  <si>
    <t>plots/20251231000436_3FT6Y121H01_04823_B11P_N_UFLEX98_M5358A8BH101511/dpll_52084/txpa_55190.png</t>
  </si>
  <si>
    <t>plots/20251231000436_3FT6Y121H01_04823_B11P_N_UFLEX98_M5358A8BH101511/dpll_52084/txpa_55191.png</t>
  </si>
  <si>
    <t>plots/20251231000436_3FT6Y121H01_04823_B11P_N_UFLEX98_M5358A8BH101511/dpll_52084/txpa_55192.png</t>
  </si>
  <si>
    <t>plots/20251231000436_3FT6Y121H01_04823_B11P_N_UFLEX98_M5358A8BH101511/dpll_52084/txpa_55193.png</t>
  </si>
  <si>
    <t>plots/20251231000436_3FT6Y121H01_04823_B11P_N_UFLEX98_M5358A8BH101511/dpll_52084/txpa_55194.png</t>
  </si>
  <si>
    <t>plots/20251231000436_3FT6Y121H01_04823_B11P_N_UFLEX98_M5358A8BH101511/dpll_52084/txpa_55195.png</t>
  </si>
  <si>
    <t>plots/20251231000436_3FT6Y121H01_04823_B11P_N_UFLEX98_M5358A8BH101511/dpll_52084/txpa_55196.png</t>
  </si>
  <si>
    <t>plots/20251231000436_3FT6Y121H01_04823_B11P_N_UFLEX98_M5358A8BH101511/dpll_52084/txpa_55197.png</t>
  </si>
  <si>
    <t>plots/20251231000436_3FT6Y121H01_04823_B11P_N_UFLEX98_M5358A8BH101511/dpll_52084/txpa_55198.png</t>
  </si>
  <si>
    <t>plots/20251231000436_3FT6Y121H01_04823_B11P_N_UFLEX98_M5358A8BH101511/dpll_52084/txpa_55199.png</t>
  </si>
  <si>
    <t>plots/20251231000436_3FT6Y121H01_04823_B11P_N_UFLEX98_M5358A8BH101511/dpll_52084/txpa_55200.png</t>
  </si>
  <si>
    <t>plots/20251231000436_3FT6Y121H01_04823_B11P_N_UFLEX98_M5358A8BH101511/dpll_52084/txpa_55201.png</t>
  </si>
  <si>
    <t>plots/20251231000436_3FT6Y121H01_04823_B11P_N_UFLEX98_M5358A8BH101511/dpll_52084/txpa_55202.png</t>
  </si>
  <si>
    <t>plots/20251231000436_3FT6Y121H01_04823_B11P_N_UFLEX98_M5358A8BH101511/dpll_52084/txpa_55203.png</t>
  </si>
  <si>
    <t>plots/20251231000436_3FT6Y121H01_04823_B11P_N_UFLEX98_M5358A8BH101511/dpll_52084/txpa_55204.png</t>
  </si>
  <si>
    <t>plots/20251231000436_3FT6Y121H01_04823_B11P_N_UFLEX98_M5358A8BH101511/dpll_52084/txpa_55205.png</t>
  </si>
  <si>
    <t>plots/20251231000436_3FT6Y121H01_04823_B11P_N_UFLEX98_M5358A8BH101511/dpll_52084/txpa_55206.png</t>
  </si>
  <si>
    <t>plots/20251231000436_3FT6Y121H01_04823_B11P_N_UFLEX98_M5358A8BH101511/dpll_52084/txpa_55207.png</t>
  </si>
  <si>
    <t>plots/20251231000436_3FT6Y121H01_04823_B11P_N_UFLEX98_M5358A8BH101511/dpll_52084/txpa_55208.png</t>
  </si>
  <si>
    <t>plots/20251231000436_3FT6Y121H01_04823_B11P_N_UFLEX98_M5358A8BH101511/dpll_52084/txpa_55209.png</t>
  </si>
  <si>
    <t>plots/20251231000436_3FT6Y121H01_04823_B11P_N_UFLEX98_M5358A8BH101511/dpll_52084/txpa_55210.png</t>
  </si>
  <si>
    <t>plots/20251231000436_3FT6Y121H01_04823_B11P_N_UFLEX98_M5358A8BH101511/dpll_52084/txpa_55211.png</t>
  </si>
  <si>
    <t>plots/20251231000436_3FT6Y121H01_04823_B11P_N_UFLEX98_M5358A8BH101511/dpll_52084/txpa_55212.png</t>
  </si>
  <si>
    <t>plots/20251231000436_3FT6Y121H01_04823_B11P_N_UFLEX98_M5358A8BH101511/dpll_52084/txpa_55213.png</t>
  </si>
  <si>
    <t>plots/20251231000436_3FT6Y121H01_04823_B11P_N_UFLEX98_M5358A8BH101511/dpll_52084/txpa_55214.png</t>
  </si>
  <si>
    <t>plots/20251231000436_3FT6Y121H01_04823_B11P_N_UFLEX98_M5358A8BH101511/dpll_52084/txpa_55215.png</t>
  </si>
  <si>
    <t>plots/20251231000436_3FT6Y121H01_04823_B11P_N_UFLEX98_M5358A8BH101511/dpll_52084/txpa_55216.png</t>
  </si>
  <si>
    <t>plots/20251231000436_3FT6Y121H01_04823_B11P_N_UFLEX98_M5358A8BH101511/dpll_52084/txpa_55217.png</t>
  </si>
  <si>
    <t>plots/20251231000436_3FT6Y121H01_04823_B11P_N_UFLEX98_M5358A8BH101511/dpll_52084/txpa_55218.png</t>
  </si>
  <si>
    <t>plots/20251231000436_3FT6Y121H01_04823_B11P_N_UFLEX98_M5358A8BH101511/dpll_52084/txpa_55219.png</t>
  </si>
  <si>
    <t>plots/20251231000436_3FT6Y121H01_04823_B11P_N_UFLEX98_M5358A8BH101511/dpll_52084/txpa_55220.png</t>
  </si>
  <si>
    <t>plots/20251231000436_3FT6Y121H01_04823_B11P_N_UFLEX98_M5358A8BH101511/dpll_52084/txpa_55221.png</t>
  </si>
  <si>
    <t>plots/20251231000436_3FT6Y121H01_04823_B11P_N_UFLEX98_M5358A8BH101511/dpll_52084/txpa_55222.png</t>
  </si>
  <si>
    <t>plots/20251231000436_3FT6Y121H01_04823_B11P_N_UFLEX98_M5358A8BH101511/dpll_52084/txpa_55223.png</t>
  </si>
  <si>
    <t>plots/20251231000436_3FT6Y121H01_04823_B11P_N_UFLEX98_M5358A8BH101511/dpll_52084/txpa_55224.png</t>
  </si>
  <si>
    <t>plots/20251231000436_3FT6Y121H01_04823_B11P_N_UFLEX98_M5358A8BH101511/dpll_52084/txpa_55225.png</t>
  </si>
  <si>
    <t>plots/20251231000436_3FT6Y121H01_04823_B11P_N_UFLEX98_M5358A8BH101511/dpll_52084/txpa_55226.png</t>
  </si>
  <si>
    <t>plots/20251231000436_3FT6Y121H01_04823_B11P_N_UFLEX98_M5358A8BH101511/dpll_52084/txpa_55227.png</t>
  </si>
  <si>
    <t>plots/20251231000436_3FT6Y121H01_04823_B11P_N_UFLEX98_M5358A8BH101511/dpll_52084/txpa_55228.png</t>
  </si>
  <si>
    <t>plots/20251231000436_3FT6Y121H01_04823_B11P_N_UFLEX98_M5358A8BH101511/dpll_52084/txpa_55229.png</t>
  </si>
  <si>
    <t>plots/20251231000436_3FT6Y121H01_04823_B11P_N_UFLEX98_M5358A8BH101511/dpll_52084/txpa_55230.png</t>
  </si>
  <si>
    <t>plots/20251231000436_3FT6Y121H01_04823_B11P_N_UFLEX98_M5358A8BH101511/dpll_52084/txpa_55231.png</t>
  </si>
  <si>
    <t>plots/20251231000436_3FT6Y121H01_04823_B11P_N_UFLEX98_M5358A8BH101511/dpll_52084/txpa_55232.png</t>
  </si>
  <si>
    <t>plots/20251231000436_3FT6Y121H01_04823_B11P_N_UFLEX98_M5358A8BH101511/dpll_52084/txpa_55233.png</t>
  </si>
  <si>
    <t>plots/20251231000436_3FT6Y121H01_04823_B11P_N_UFLEX98_M5358A8BH101511/dpll_52084/txpa_55234.png</t>
  </si>
  <si>
    <t>plots/20251231000436_3FT6Y121H01_04823_B11P_N_UFLEX98_M5358A8BH101511/dpll_52084/txpa_55235.png</t>
  </si>
  <si>
    <t>plots/20251231000436_3FT6Y121H01_04823_B11P_N_UFLEX98_M5358A8BH101511/dpll_52084/txpa_55236.png</t>
  </si>
  <si>
    <t>plots/20251231000436_3FT6Y121H01_04823_B11P_N_UFLEX98_M5358A8BH101511/dpll_52084/txpa_55237.png</t>
  </si>
  <si>
    <t>plots/20251231000436_3FT6Y121H01_04823_B11P_N_UFLEX98_M5358A8BH101511/dpll_52084/txpa_55238.png</t>
  </si>
  <si>
    <t>plots/20251231000436_3FT6Y121H01_04823_B11P_N_UFLEX98_M5358A8BH101511/dpll_52084/txpa_55239.png</t>
  </si>
  <si>
    <t>plots/20251231000436_3FT6Y121H01_04823_B11P_N_UFLEX98_M5358A8BH101511/dpll_52084/txpa_55240.png</t>
  </si>
  <si>
    <t>plots/20251231000436_3FT6Y121H01_04823_B11P_N_UFLEX98_M5358A8BH101511/dpll_52084/txpa_55241.png</t>
  </si>
  <si>
    <t>plots/20251231000436_3FT6Y121H01_04823_B11P_N_UFLEX98_M5358A8BH101511/dpll_52084/txpa_55242.png</t>
  </si>
  <si>
    <t>plots/20251231000436_3FT6Y121H01_04823_B11P_N_UFLEX98_M5358A8BH101511/dpll_52084/txpa_55243.png</t>
  </si>
  <si>
    <t>plots/20251231000436_3FT6Y121H01_04823_B11P_N_UFLEX98_M5358A8BH101511/dpll_52084/txpa_55244.png</t>
  </si>
  <si>
    <t>plots/20251231000436_3FT6Y121H01_04823_B11P_N_UFLEX98_M5358A8BH101511/dpll_52084/txpa_55245.png</t>
  </si>
  <si>
    <t>plots/20251231000436_3FT6Y121H01_04823_B11P_N_UFLEX98_M5358A8BH101511/dpll_52084/txpa_55246.png</t>
  </si>
  <si>
    <t>plots/20251231000436_3FT6Y121H01_04823_B11P_N_UFLEX98_M5358A8BH101511/dpll_52084/txpa_55247.png</t>
  </si>
  <si>
    <t>plots/20251231000436_3FT6Y121H01_04823_B11P_N_UFLEX98_M5358A8BH101511/dpll_52084/txpa_55248.png</t>
  </si>
  <si>
    <t>plots/20251231000436_3FT6Y121H01_04823_B11P_N_UFLEX98_M5358A8BH101511/dpll_52084/txpa_55249.png</t>
  </si>
  <si>
    <t>plots/20251231000436_3FT6Y121H01_04823_B11P_N_UFLEX98_M5358A8BH101511/dpll_52084/txpa_55250.png</t>
  </si>
  <si>
    <t>plots/20251231000436_3FT6Y121H01_04823_B11P_N_UFLEX98_M5358A8BH101511/dpll_52084/txpa_55251.png</t>
  </si>
  <si>
    <t>plots/20251231000436_3FT6Y121H01_04823_B11P_N_UFLEX98_M5358A8BH101511/dpll_52084/txpa_55252.png</t>
  </si>
  <si>
    <t>plots/20251231000436_3FT6Y121H01_04823_B11P_N_UFLEX98_M5358A8BH101511/dpll_52084/txpa_55253.png</t>
  </si>
  <si>
    <t>plots/20251231000436_3FT6Y121H01_04823_B11P_N_UFLEX98_M5358A8BH101511/dpll_52084/txpa_55254.png</t>
  </si>
  <si>
    <t>plots/20251231000436_3FT6Y121H01_04823_B11P_N_UFLEX98_M5358A8BH101511/dpll_52084/txpa_55255.png</t>
  </si>
  <si>
    <t>plots/20251231000436_3FT6Y121H01_04823_B11P_N_UFLEX98_M5358A8BH101511/dpll_52084/txpa_55256.png</t>
  </si>
  <si>
    <t>plots/20251231000436_3FT6Y121H01_04823_B11P_N_UFLEX98_M5358A8BH101511/dpll_52084/txpa_55257.png</t>
  </si>
  <si>
    <t>plots/20251231000436_3FT6Y121H01_04823_B11P_N_UFLEX98_M5358A8BH101511/dpll_52084/txpa_55258.png</t>
  </si>
  <si>
    <t>plots/20251231000436_3FT6Y121H01_04823_B11P_N_UFLEX98_M5358A8BH101511/dpll_52094/txpa_53179.png</t>
  </si>
  <si>
    <t>plots/20251231000436_3FT6Y121H01_04823_B11P_N_UFLEX98_M5358A8BH101511/dpll_52094/txpa_53180.png</t>
  </si>
  <si>
    <t>plots/20251231000436_3FT6Y121H01_04823_B11P_N_UFLEX98_M5358A8BH101511/dpll_52094/txpa_53181.png</t>
  </si>
  <si>
    <t>plots/20251231000436_3FT6Y121H01_04823_B11P_N_UFLEX98_M5358A8BH101511/dpll_52094/txpa_53182.png</t>
  </si>
  <si>
    <t>plots/20251231000436_3FT6Y121H01_04823_B11P_N_UFLEX98_M5358A8BH101511/dpll_52094/txpa_53183.png</t>
  </si>
  <si>
    <t>plots/20251231000436_3FT6Y121H01_04823_B11P_N_UFLEX98_M5358A8BH101511/dpll_52094/txpa_53184.png</t>
  </si>
  <si>
    <t>plots/20251231000436_3FT6Y121H01_04823_B11P_N_UFLEX98_M5358A8BH101511/dpll_52094/txpa_53185.png</t>
  </si>
  <si>
    <t>plots/20251231000436_3FT6Y121H01_04823_B11P_N_UFLEX98_M5358A8BH101511/dpll_52094/txpa_53186.png</t>
  </si>
  <si>
    <t>plots/20251231000436_3FT6Y121H01_04823_B11P_N_UFLEX98_M5358A8BH101511/dpll_52094/txpa_53187.png</t>
  </si>
  <si>
    <t>plots/20251231000436_3FT6Y121H01_04823_B11P_N_UFLEX98_M5358A8BH101511/dpll_52094/txpa_53188.png</t>
  </si>
  <si>
    <t>plots/20251231000436_3FT6Y121H01_04823_B11P_N_UFLEX98_M5358A8BH101511/dpll_52094/txpa_53189.png</t>
  </si>
  <si>
    <t>plots/20251231000436_3FT6Y121H01_04823_B11P_N_UFLEX98_M5358A8BH101511/dpll_52094/txpa_53190.png</t>
  </si>
  <si>
    <t>plots/20251231000436_3FT6Y121H01_04823_B11P_N_UFLEX98_M5358A8BH101511/dpll_52094/txpa_53191.png</t>
  </si>
  <si>
    <t>plots/20251231000436_3FT6Y121H01_04823_B11P_N_UFLEX98_M5358A8BH101511/dpll_52094/txpa_53192.png</t>
  </si>
  <si>
    <t>plots/20251231000436_3FT6Y121H01_04823_B11P_N_UFLEX98_M5358A8BH101511/dpll_52094/txpa_53193.png</t>
  </si>
  <si>
    <t>plots/20251231000436_3FT6Y121H01_04823_B11P_N_UFLEX98_M5358A8BH101511/dpll_52094/txpa_53194.png</t>
  </si>
  <si>
    <t>plots/20251231000436_3FT6Y121H01_04823_B11P_N_UFLEX98_M5358A8BH101511/dpll_52094/txpa_53195.png</t>
  </si>
  <si>
    <t>plots/20251231000436_3FT6Y121H01_04823_B11P_N_UFLEX98_M5358A8BH101511/dpll_52094/txpa_53196.png</t>
  </si>
  <si>
    <t>plots/20251231000436_3FT6Y121H01_04823_B11P_N_UFLEX98_M5358A8BH101511/dpll_52094/txpa_53197.png</t>
  </si>
  <si>
    <t>plots/20251231000436_3FT6Y121H01_04823_B11P_N_UFLEX98_M5358A8BH101511/dpll_52094/txpa_53198.png</t>
  </si>
  <si>
    <t>plots/20251231000436_3FT6Y121H01_04823_B11P_N_UFLEX98_M5358A8BH101511/dpll_52094/txpa_53199.png</t>
  </si>
  <si>
    <t>plots/20251231000436_3FT6Y121H01_04823_B11P_N_UFLEX98_M5358A8BH101511/dpll_52094/txpa_53200.png</t>
  </si>
  <si>
    <t>plots/20251231000436_3FT6Y121H01_04823_B11P_N_UFLEX98_M5358A8BH101511/dpll_52094/txpa_53201.png</t>
  </si>
  <si>
    <t>plots/20251231000436_3FT6Y121H01_04823_B11P_N_UFLEX98_M5358A8BH101511/dpll_52094/txpa_53202.png</t>
  </si>
  <si>
    <t>plots/20251231000436_3FT6Y121H01_04823_B11P_N_UFLEX98_M5358A8BH101511/dpll_52094/txpa_53203.png</t>
  </si>
  <si>
    <t>plots/20251231000436_3FT6Y121H01_04823_B11P_N_UFLEX98_M5358A8BH101511/dpll_52094/txpa_53204.png</t>
  </si>
  <si>
    <t>plots/20251231000436_3FT6Y121H01_04823_B11P_N_UFLEX98_M5358A8BH101511/dpll_52094/txpa_53205.png</t>
  </si>
  <si>
    <t>plots/20251231000436_3FT6Y121H01_04823_B11P_N_UFLEX98_M5358A8BH101511/dpll_52094/txpa_53206.png</t>
  </si>
  <si>
    <t>plots/20251231000436_3FT6Y121H01_04823_B11P_N_UFLEX98_M5358A8BH101511/dpll_52094/txpa_53207.png</t>
  </si>
  <si>
    <t>plots/20251231000436_3FT6Y121H01_04823_B11P_N_UFLEX98_M5358A8BH101511/dpll_52094/txpa_53208.png</t>
  </si>
  <si>
    <t>plots/20251231000436_3FT6Y121H01_04823_B11P_N_UFLEX98_M5358A8BH101511/dpll_52094/txpa_53209.png</t>
  </si>
  <si>
    <t>plots/20251231000436_3FT6Y121H01_04823_B11P_N_UFLEX98_M5358A8BH101511/dpll_52094/txpa_53210.png</t>
  </si>
  <si>
    <t>plots/20251231000436_3FT6Y121H01_04823_B11P_N_UFLEX98_M5358A8BH101511/dpll_52094/txpa_53211.png</t>
  </si>
  <si>
    <t>plots/20251231000436_3FT6Y121H01_04823_B11P_N_UFLEX98_M5358A8BH101511/dpll_52094/txpa_53212.png</t>
  </si>
  <si>
    <t>plots/20251231000436_3FT6Y121H01_04823_B11P_N_UFLEX98_M5358A8BH101511/dpll_52094/txpa_53213.png</t>
  </si>
  <si>
    <t>plots/20251231000436_3FT6Y121H01_04823_B11P_N_UFLEX98_M5358A8BH101511/dpll_52094/txpa_53214.png</t>
  </si>
  <si>
    <t>plots/20251231000436_3FT6Y121H01_04823_B11P_N_UFLEX98_M5358A8BH101511/dpll_52094/txpa_53215.png</t>
  </si>
  <si>
    <t>plots/20251231000436_3FT6Y121H01_04823_B11P_N_UFLEX98_M5358A8BH101511/dpll_52094/txpa_53216.png</t>
  </si>
  <si>
    <t>plots/20251231000436_3FT6Y121H01_04823_B11P_N_UFLEX98_M5358A8BH101511/dpll_52094/txpa_53217.png</t>
  </si>
  <si>
    <t>plots/20251231000436_3FT6Y121H01_04823_B11P_N_UFLEX98_M5358A8BH101511/dpll_52094/txpa_53218.png</t>
  </si>
  <si>
    <t>plots/20251231000436_3FT6Y121H01_04823_B11P_N_UFLEX98_M5358A8BH101511/dpll_52094/txpa_53219.png</t>
  </si>
  <si>
    <t>plots/20251231000436_3FT6Y121H01_04823_B11P_N_UFLEX98_M5358A8BH101511/dpll_52094/txpa_53220.png</t>
  </si>
  <si>
    <t>plots/20251231000436_3FT6Y121H01_04823_B11P_N_UFLEX98_M5358A8BH101511/dpll_52094/txpa_53221.png</t>
  </si>
  <si>
    <t>plots/20251231000436_3FT6Y121H01_04823_B11P_N_UFLEX98_M5358A8BH101511/dpll_52094/txpa_53222.png</t>
  </si>
  <si>
    <t>plots/20251231000436_3FT6Y121H01_04823_B11P_N_UFLEX98_M5358A8BH101511/dpll_52094/txpa_53223.png</t>
  </si>
  <si>
    <t>plots/20251231000436_3FT6Y121H01_04823_B11P_N_UFLEX98_M5358A8BH101511/dpll_52094/txpa_53224.png</t>
  </si>
  <si>
    <t>plots/20251231000436_3FT6Y121H01_04823_B11P_N_UFLEX98_M5358A8BH101511/dpll_52094/txpa_53225.png</t>
  </si>
  <si>
    <t>plots/20251231000436_3FT6Y121H01_04823_B11P_N_UFLEX98_M5358A8BH101511/dpll_52094/txpa_53226.png</t>
  </si>
  <si>
    <t>plots/20251231000436_3FT6Y121H01_04823_B11P_N_UFLEX98_M5358A8BH101511/dpll_52094/txpa_53227.png</t>
  </si>
  <si>
    <t>plots/20251231000436_3FT6Y121H01_04823_B11P_N_UFLEX98_M5358A8BH101511/dpll_52094/txpa_53228.png</t>
  </si>
  <si>
    <t>plots/20251231000436_3FT6Y121H01_04823_B11P_N_UFLEX98_M5358A8BH101511/dpll_52094/txpa_53229.png</t>
  </si>
  <si>
    <t>plots/20251231000436_3FT6Y121H01_04823_B11P_N_UFLEX98_M5358A8BH101511/dpll_52094/txpa_53230.png</t>
  </si>
  <si>
    <t>plots/20251231000436_3FT6Y121H01_04823_B11P_N_UFLEX98_M5358A8BH101511/dpll_52094/txpa_53231.png</t>
  </si>
  <si>
    <t>plots/20251231000436_3FT6Y121H01_04823_B11P_N_UFLEX98_M5358A8BH101511/dpll_52094/txpa_53232.png</t>
  </si>
  <si>
    <t>plots/20251231000436_3FT6Y121H01_04823_B11P_N_UFLEX98_M5358A8BH101511/dpll_52094/txpa_53233.png</t>
  </si>
  <si>
    <t>plots/20251231000436_3FT6Y121H01_04823_B11P_N_UFLEX98_M5358A8BH101511/dpll_52094/txpa_53234.png</t>
  </si>
  <si>
    <t>plots/20251231000436_3FT6Y121H01_04823_B11P_N_UFLEX98_M5358A8BH101511/dpll_52094/txpa_53235.png</t>
  </si>
  <si>
    <t>plots/20251231000436_3FT6Y121H01_04823_B11P_N_UFLEX98_M5358A8BH101511/dpll_52094/txpa_53236.png</t>
  </si>
  <si>
    <t>plots/20251231000436_3FT6Y121H01_04823_B11P_N_UFLEX98_M5358A8BH101511/dpll_52094/txpa_53237.png</t>
  </si>
  <si>
    <t>plots/20251231000436_3FT6Y121H01_04823_B11P_N_UFLEX98_M5358A8BH101511/dpll_52094/txpa_53238.png</t>
  </si>
  <si>
    <t>plots/20251231000436_3FT6Y121H01_04823_B11P_N_UFLEX98_M5358A8BH101511/dpll_52094/txpa_53239.png</t>
  </si>
  <si>
    <t>plots/20251231000436_3FT6Y121H01_04823_B11P_N_UFLEX98_M5358A8BH101511/dpll_52094/txpa_53240.png</t>
  </si>
  <si>
    <t>plots/20251231000436_3FT6Y121H01_04823_B11P_N_UFLEX98_M5358A8BH101511/dpll_52094/txpa_53241.png</t>
  </si>
  <si>
    <t>plots/20251231000436_3FT6Y121H01_04823_B11P_N_UFLEX98_M5358A8BH101511/dpll_52094/txpa_53242.png</t>
  </si>
  <si>
    <t>plots/20251231000436_3FT6Y121H01_04823_B11P_N_UFLEX98_M5358A8BH101511/dpll_52094/txpa_53243.png</t>
  </si>
  <si>
    <t>plots/20251231000436_3FT6Y121H01_04823_B11P_N_UFLEX98_M5358A8BH101511/dpll_52094/txpa_53244.png</t>
  </si>
  <si>
    <t>plots/20251231000436_3FT6Y121H01_04823_B11P_N_UFLEX98_M5358A8BH101511/dpll_52094/txpa_53245.png</t>
  </si>
  <si>
    <t>plots/20251231000436_3FT6Y121H01_04823_B11P_N_UFLEX98_M5358A8BH101511/dpll_52094/txpa_53246.png</t>
  </si>
  <si>
    <t>plots/20251231000436_3FT6Y121H01_04823_B11P_N_UFLEX98_M5358A8BH101511/dpll_52094/txpa_53247.png</t>
  </si>
  <si>
    <t>plots/20251231000436_3FT6Y121H01_04823_B11P_N_UFLEX98_M5358A8BH101511/dpll_52094/txpa_53248.png</t>
  </si>
  <si>
    <t>plots/20251231000436_3FT6Y121H01_04823_B11P_N_UFLEX98_M5358A8BH101511/dpll_52094/txpa_53249.png</t>
  </si>
  <si>
    <t>plots/20251231000436_3FT6Y121H01_04823_B11P_N_UFLEX98_M5358A8BH101511/dpll_52094/txpa_53250.png</t>
  </si>
  <si>
    <t>plots/20251231000436_3FT6Y121H01_04823_B11P_N_UFLEX98_M5358A8BH101511/dpll_52094/txpa_53251.png</t>
  </si>
  <si>
    <t>plots/20251231000436_3FT6Y121H01_04823_B11P_N_UFLEX98_M5358A8BH101511/dpll_52094/txpa_53252.png</t>
  </si>
  <si>
    <t>plots/20251231000436_3FT6Y121H01_04823_B11P_N_UFLEX98_M5358A8BH101511/dpll_52094/txpa_53253.png</t>
  </si>
  <si>
    <t>plots/20251231000436_3FT6Y121H01_04823_B11P_N_UFLEX98_M5358A8BH101511/dpll_52094/txpa_53254.png</t>
  </si>
  <si>
    <t>plots/20251231000436_3FT6Y121H01_04823_B11P_N_UFLEX98_M5358A8BH101511/dpll_52094/txpa_53255.png</t>
  </si>
  <si>
    <t>plots/20251231000436_3FT6Y121H01_04823_B11P_N_UFLEX98_M5358A8BH101511/dpll_52094/txpa_53256.png</t>
  </si>
  <si>
    <t>plots/20251231000436_3FT6Y121H01_04823_B11P_N_UFLEX98_M5358A8BH101511/dpll_52094/txpa_53257.png</t>
  </si>
  <si>
    <t>plots/20251231000436_3FT6Y121H01_04823_B11P_N_UFLEX98_M5358A8BH101511/dpll_52094/txpa_53258.png</t>
  </si>
  <si>
    <t>plots/20251231000436_3FT6Y121H01_04823_B11P_N_UFLEX98_M5358A8BH101511/dpll_52094/txpa_53259.png</t>
  </si>
  <si>
    <t>plots/20251231000436_3FT6Y121H01_04823_B11P_N_UFLEX98_M5358A8BH101511/dpll_52094/txpa_53260.png</t>
  </si>
  <si>
    <t>plots/20251231000436_3FT6Y121H01_04823_B11P_N_UFLEX98_M5358A8BH101511/dpll_52094/txpa_53261.png</t>
  </si>
  <si>
    <t>plots/20251231000436_3FT6Y121H01_04823_B11P_N_UFLEX98_M5358A8BH101511/dpll_52094/txpa_53262.png</t>
  </si>
  <si>
    <t>plots/20251231000436_3FT6Y121H01_04823_B11P_N_UFLEX98_M5358A8BH101511/dpll_52094/txpa_53263.png</t>
  </si>
  <si>
    <t>plots/20251231000436_3FT6Y121H01_04823_B11P_N_UFLEX98_M5358A8BH101511/dpll_52094/txpa_53264.png</t>
  </si>
  <si>
    <t>plots/20251231000436_3FT6Y121H01_04823_B11P_N_UFLEX98_M5358A8BH101511/dpll_52094/txpa_53265.png</t>
  </si>
  <si>
    <t>plots/20251231000436_3FT6Y121H01_04823_B11P_N_UFLEX98_M5358A8BH101511/dpll_52094/txpa_53266.png</t>
  </si>
  <si>
    <t>plots/20251231000436_3FT6Y121H01_04823_B11P_N_UFLEX98_M5358A8BH101511/dpll_52094/txpa_53267.png</t>
  </si>
  <si>
    <t>plots/20251231000436_3FT6Y121H01_04823_B11P_N_UFLEX98_M5358A8BH101511/dpll_52094/txpa_53268.png</t>
  </si>
  <si>
    <t>plots/20251231000436_3FT6Y121H01_04823_B11P_N_UFLEX98_M5358A8BH101511/dpll_52094/txpa_53269.png</t>
  </si>
  <si>
    <t>plots/20251231000436_3FT6Y121H01_04823_B11P_N_UFLEX98_M5358A8BH101511/dpll_52094/txpa_53270.png</t>
  </si>
  <si>
    <t>plots/20251231000436_3FT6Y121H01_04823_B11P_N_UFLEX98_M5358A8BH101511/dpll_52094/txpa_53271.png</t>
  </si>
  <si>
    <t>plots/20251231000436_3FT6Y121H01_04823_B11P_N_UFLEX98_M5358A8BH101511/dpll_52094/txpa_53272.png</t>
  </si>
  <si>
    <t>plots/20251231000436_3FT6Y121H01_04823_B11P_N_UFLEX98_M5358A8BH101511/dpll_52094/txpa_53273.png</t>
  </si>
  <si>
    <t>plots/20251231000436_3FT6Y121H01_04823_B11P_N_UFLEX98_M5358A8BH101511/dpll_52094/txpa_53274.png</t>
  </si>
  <si>
    <t>plots/20251231000436_3FT6Y121H01_04823_B11P_N_UFLEX98_M5358A8BH101511/dpll_52094/txpa_53275.png</t>
  </si>
  <si>
    <t>plots/20251231000436_3FT6Y121H01_04823_B11P_N_UFLEX98_M5358A8BH101511/dpll_52094/txpa_53276.png</t>
  </si>
  <si>
    <t>plots/20251231000436_3FT6Y121H01_04823_B11P_N_UFLEX98_M5358A8BH101511/dpll_52094/txpa_53277.png</t>
  </si>
  <si>
    <t>plots/20251231000436_3FT6Y121H01_04823_B11P_N_UFLEX98_M5358A8BH101511/dpll_52094/txpa_53278.png</t>
  </si>
  <si>
    <t>plots/20251231000436_3FT6Y121H01_04823_B11P_N_UFLEX98_M5358A8BH101511/dpll_52094/txpa_53279.png</t>
  </si>
  <si>
    <t>plots/20251231000436_3FT6Y121H01_04823_B11P_N_UFLEX98_M5358A8BH101511/dpll_52094/txpa_53280.png</t>
  </si>
  <si>
    <t>plots/20251231000436_3FT6Y121H01_04823_B11P_N_UFLEX98_M5358A8BH101511/dpll_52094/txpa_53281.png</t>
  </si>
  <si>
    <t>plots/20251231000436_3FT6Y121H01_04823_B11P_N_UFLEX98_M5358A8BH101511/dpll_52094/txpa_53282.png</t>
  </si>
  <si>
    <t>plots/20251231000436_3FT6Y121H01_04823_B11P_N_UFLEX98_M5358A8BH101511/dpll_52094/txpa_53283.png</t>
  </si>
  <si>
    <t>plots/20251231000436_3FT6Y121H01_04823_B11P_N_UFLEX98_M5358A8BH101511/dpll_52094/txpa_53284.png</t>
  </si>
  <si>
    <t>plots/20251231000436_3FT6Y121H01_04823_B11P_N_UFLEX98_M5358A8BH101511/dpll_52094/txpa_53285.png</t>
  </si>
  <si>
    <t>plots/20251231000436_3FT6Y121H01_04823_B11P_N_UFLEX98_M5358A8BH101511/dpll_52094/txpa_53286.png</t>
  </si>
  <si>
    <t>plots/20251231000436_3FT6Y121H01_04823_B11P_N_UFLEX98_M5358A8BH101511/dpll_52094/txpa_53287.png</t>
  </si>
  <si>
    <t>plots/20251231000436_3FT6Y121H01_04823_B11P_N_UFLEX98_M5358A8BH101511/dpll_52094/txpa_53288.png</t>
  </si>
  <si>
    <t>plots/20251231000436_3FT6Y121H01_04823_B11P_N_UFLEX98_M5358A8BH101511/dpll_52094/txpa_53289.png</t>
  </si>
  <si>
    <t>plots/20251231000436_3FT6Y121H01_04823_B11P_N_UFLEX98_M5358A8BH101511/dpll_52094/txpa_53290.png</t>
  </si>
  <si>
    <t>plots/20251231000436_3FT6Y121H01_04823_B11P_N_UFLEX98_M5358A8BH101511/dpll_52094/txpa_54146.png</t>
  </si>
  <si>
    <t>plots/20251231000436_3FT6Y121H01_04823_B11P_N_UFLEX98_M5358A8BH101511/dpll_52094/txpa_54147.png</t>
  </si>
  <si>
    <t>plots/20251231000436_3FT6Y121H01_04823_B11P_N_UFLEX98_M5358A8BH101511/dpll_52094/txpa_54148.png</t>
  </si>
  <si>
    <t>plots/20251231000436_3FT6Y121H01_04823_B11P_N_UFLEX98_M5358A8BH101511/dpll_52094/txpa_54149.png</t>
  </si>
  <si>
    <t>plots/20251231000436_3FT6Y121H01_04823_B11P_N_UFLEX98_M5358A8BH101511/dpll_52094/txpa_54150.png</t>
  </si>
  <si>
    <t>plots/20251231000436_3FT6Y121H01_04823_B11P_N_UFLEX98_M5358A8BH101511/dpll_52094/txpa_54151.png</t>
  </si>
  <si>
    <t>plots/20251231000436_3FT6Y121H01_04823_B11P_N_UFLEX98_M5358A8BH101511/dpll_52094/txpa_54152.png</t>
  </si>
  <si>
    <t>plots/20251231000436_3FT6Y121H01_04823_B11P_N_UFLEX98_M5358A8BH101511/dpll_52094/txpa_54153.png</t>
  </si>
  <si>
    <t>plots/20251231000436_3FT6Y121H01_04823_B11P_N_UFLEX98_M5358A8BH101511/dpll_52094/txpa_54154.png</t>
  </si>
  <si>
    <t>plots/20251231000436_3FT6Y121H01_04823_B11P_N_UFLEX98_M5358A8BH101511/dpll_52094/txpa_54155.png</t>
  </si>
  <si>
    <t>plots/20251231000436_3FT6Y121H01_04823_B11P_N_UFLEX98_M5358A8BH101511/dpll_52094/txpa_54156.png</t>
  </si>
  <si>
    <t>plots/20251231000436_3FT6Y121H01_04823_B11P_N_UFLEX98_M5358A8BH101511/dpll_52094/txpa_54157.png</t>
  </si>
  <si>
    <t>plots/20251231000436_3FT6Y121H01_04823_B11P_N_UFLEX98_M5358A8BH101511/dpll_52094/txpa_54158.png</t>
  </si>
  <si>
    <t>plots/20251231000436_3FT6Y121H01_04823_B11P_N_UFLEX98_M5358A8BH101511/dpll_52094/txpa_54159.png</t>
  </si>
  <si>
    <t>plots/20251231000436_3FT6Y121H01_04823_B11P_N_UFLEX98_M5358A8BH101511/dpll_52094/txpa_54160.png</t>
  </si>
  <si>
    <t>plots/20251231000436_3FT6Y121H01_04823_B11P_N_UFLEX98_M5358A8BH101511/dpll_52094/txpa_54161.png</t>
  </si>
  <si>
    <t>plots/20251231000436_3FT6Y121H01_04823_B11P_N_UFLEX98_M5358A8BH101511/dpll_52094/txpa_54162.png</t>
  </si>
  <si>
    <t>plots/20251231000436_3FT6Y121H01_04823_B11P_N_UFLEX98_M5358A8BH101511/dpll_52094/txpa_54163.png</t>
  </si>
  <si>
    <t>plots/20251231000436_3FT6Y121H01_04823_B11P_N_UFLEX98_M5358A8BH101511/dpll_52094/txpa_54164.png</t>
  </si>
  <si>
    <t>plots/20251231000436_3FT6Y121H01_04823_B11P_N_UFLEX98_M5358A8BH101511/dpll_52094/txpa_54165.png</t>
  </si>
  <si>
    <t>plots/20251231000436_3FT6Y121H01_04823_B11P_N_UFLEX98_M5358A8BH101511/dpll_52094/txpa_54166.png</t>
  </si>
  <si>
    <t>plots/20251231000436_3FT6Y121H01_04823_B11P_N_UFLEX98_M5358A8BH101511/dpll_52094/txpa_54167.png</t>
  </si>
  <si>
    <t>plots/20251231000436_3FT6Y121H01_04823_B11P_N_UFLEX98_M5358A8BH101511/dpll_52094/txpa_54168.png</t>
  </si>
  <si>
    <t>plots/20251231000436_3FT6Y121H01_04823_B11P_N_UFLEX98_M5358A8BH101511/dpll_52094/txpa_54169.png</t>
  </si>
  <si>
    <t>plots/20251231000436_3FT6Y121H01_04823_B11P_N_UFLEX98_M5358A8BH101511/dpll_52094/txpa_54170.png</t>
  </si>
  <si>
    <t>plots/20251231000436_3FT6Y121H01_04823_B11P_N_UFLEX98_M5358A8BH101511/dpll_52094/txpa_54171.png</t>
  </si>
  <si>
    <t>plots/20251231000436_3FT6Y121H01_04823_B11P_N_UFLEX98_M5358A8BH101511/dpll_52094/txpa_54172.png</t>
  </si>
  <si>
    <t>plots/20251231000436_3FT6Y121H01_04823_B11P_N_UFLEX98_M5358A8BH101511/dpll_52094/txpa_54173.png</t>
  </si>
  <si>
    <t>plots/20251231000436_3FT6Y121H01_04823_B11P_N_UFLEX98_M5358A8BH101511/dpll_52094/txpa_54174.png</t>
  </si>
  <si>
    <t>plots/20251231000436_3FT6Y121H01_04823_B11P_N_UFLEX98_M5358A8BH101511/dpll_52094/txpa_54175.png</t>
  </si>
  <si>
    <t>plots/20251231000436_3FT6Y121H01_04823_B11P_N_UFLEX98_M5358A8BH101511/dpll_52094/txpa_54176.png</t>
  </si>
  <si>
    <t>plots/20251231000436_3FT6Y121H01_04823_B11P_N_UFLEX98_M5358A8BH101511/dpll_52094/txpa_54177.png</t>
  </si>
  <si>
    <t>plots/20251231000436_3FT6Y121H01_04823_B11P_N_UFLEX98_M5358A8BH101511/dpll_52094/txpa_54178.png</t>
  </si>
  <si>
    <t>plots/20251231000436_3FT6Y121H01_04823_B11P_N_UFLEX98_M5358A8BH101511/dpll_52094/txpa_54179.png</t>
  </si>
  <si>
    <t>plots/20251231000436_3FT6Y121H01_04823_B11P_N_UFLEX98_M5358A8BH101511/dpll_52094/txpa_54180.png</t>
  </si>
  <si>
    <t>plots/20251231000436_3FT6Y121H01_04823_B11P_N_UFLEX98_M5358A8BH101511/dpll_52094/txpa_54181.png</t>
  </si>
  <si>
    <t>plots/20251231000436_3FT6Y121H01_04823_B11P_N_UFLEX98_M5358A8BH101511/dpll_52094/txpa_54182.png</t>
  </si>
  <si>
    <t>plots/20251231000436_3FT6Y121H01_04823_B11P_N_UFLEX98_M5358A8BH101511/dpll_52094/txpa_54183.png</t>
  </si>
  <si>
    <t>plots/20251231000436_3FT6Y121H01_04823_B11P_N_UFLEX98_M5358A8BH101511/dpll_52094/txpa_54184.png</t>
  </si>
  <si>
    <t>plots/20251231000436_3FT6Y121H01_04823_B11P_N_UFLEX98_M5358A8BH101511/dpll_52094/txpa_54185.png</t>
  </si>
  <si>
    <t>plots/20251231000436_3FT6Y121H01_04823_B11P_N_UFLEX98_M5358A8BH101511/dpll_52094/txpa_54186.png</t>
  </si>
  <si>
    <t>plots/20251231000436_3FT6Y121H01_04823_B11P_N_UFLEX98_M5358A8BH101511/dpll_52094/txpa_54187.png</t>
  </si>
  <si>
    <t>plots/20251231000436_3FT6Y121H01_04823_B11P_N_UFLEX98_M5358A8BH101511/dpll_52094/txpa_54188.png</t>
  </si>
  <si>
    <t>plots/20251231000436_3FT6Y121H01_04823_B11P_N_UFLEX98_M5358A8BH101511/dpll_52094/txpa_54189.png</t>
  </si>
  <si>
    <t>plots/20251231000436_3FT6Y121H01_04823_B11P_N_UFLEX98_M5358A8BH101511/dpll_52094/txpa_54190.png</t>
  </si>
  <si>
    <t>plots/20251231000436_3FT6Y121H01_04823_B11P_N_UFLEX98_M5358A8BH101511/dpll_52094/txpa_54191.png</t>
  </si>
  <si>
    <t>plots/20251231000436_3FT6Y121H01_04823_B11P_N_UFLEX98_M5358A8BH101511/dpll_52094/txpa_54192.png</t>
  </si>
  <si>
    <t>plots/20251231000436_3FT6Y121H01_04823_B11P_N_UFLEX98_M5358A8BH101511/dpll_52094/txpa_54193.png</t>
  </si>
  <si>
    <t>plots/20251231000436_3FT6Y121H01_04823_B11P_N_UFLEX98_M5358A8BH101511/dpll_52094/txpa_54194.png</t>
  </si>
  <si>
    <t>plots/20251231000436_3FT6Y121H01_04823_B11P_N_UFLEX98_M5358A8BH101511/dpll_52094/txpa_54195.png</t>
  </si>
  <si>
    <t>plots/20251231000436_3FT6Y121H01_04823_B11P_N_UFLEX98_M5358A8BH101511/dpll_52094/txpa_54196.png</t>
  </si>
  <si>
    <t>plots/20251231000436_3FT6Y121H01_04823_B11P_N_UFLEX98_M5358A8BH101511/dpll_52094/txpa_54197.png</t>
  </si>
  <si>
    <t>plots/20251231000436_3FT6Y121H01_04823_B11P_N_UFLEX98_M5358A8BH101511/dpll_52094/txpa_54198.png</t>
  </si>
  <si>
    <t>plots/20251231000436_3FT6Y121H01_04823_B11P_N_UFLEX98_M5358A8BH101511/dpll_52094/txpa_54199.png</t>
  </si>
  <si>
    <t>plots/20251231000436_3FT6Y121H01_04823_B11P_N_UFLEX98_M5358A8BH101511/dpll_52094/txpa_54200.png</t>
  </si>
  <si>
    <t>plots/20251231000436_3FT6Y121H01_04823_B11P_N_UFLEX98_M5358A8BH101511/dpll_52094/txpa_54201.png</t>
  </si>
  <si>
    <t>plots/20251231000436_3FT6Y121H01_04823_B11P_N_UFLEX98_M5358A8BH101511/dpll_52094/txpa_54202.png</t>
  </si>
  <si>
    <t>plots/20251231000436_3FT6Y121H01_04823_B11P_N_UFLEX98_M5358A8BH101511/dpll_52094/txpa_54203.png</t>
  </si>
  <si>
    <t>plots/20251231000436_3FT6Y121H01_04823_B11P_N_UFLEX98_M5358A8BH101511/dpll_52094/txpa_54204.png</t>
  </si>
  <si>
    <t>plots/20251231000436_3FT6Y121H01_04823_B11P_N_UFLEX98_M5358A8BH101511/dpll_52094/txpa_54205.png</t>
  </si>
  <si>
    <t>plots/20251231000436_3FT6Y121H01_04823_B11P_N_UFLEX98_M5358A8BH101511/dpll_52094/txpa_54206.png</t>
  </si>
  <si>
    <t>plots/20251231000436_3FT6Y121H01_04823_B11P_N_UFLEX98_M5358A8BH101511/dpll_52094/txpa_54207.png</t>
  </si>
  <si>
    <t>plots/20251231000436_3FT6Y121H01_04823_B11P_N_UFLEX98_M5358A8BH101511/dpll_52094/txpa_54208.png</t>
  </si>
  <si>
    <t>plots/20251231000436_3FT6Y121H01_04823_B11P_N_UFLEX98_M5358A8BH101511/dpll_52094/txpa_54209.png</t>
  </si>
  <si>
    <t>plots/20251231000436_3FT6Y121H01_04823_B11P_N_UFLEX98_M5358A8BH101511/dpll_52094/txpa_54210.png</t>
  </si>
  <si>
    <t>plots/20251231000436_3FT6Y121H01_04823_B11P_N_UFLEX98_M5358A8BH101511/dpll_52094/txpa_54211.png</t>
  </si>
  <si>
    <t>plots/20251231000436_3FT6Y121H01_04823_B11P_N_UFLEX98_M5358A8BH101511/dpll_52094/txpa_54212.png</t>
  </si>
  <si>
    <t>plots/20251231000436_3FT6Y121H01_04823_B11P_N_UFLEX98_M5358A8BH101511/dpll_52094/txpa_54213.png</t>
  </si>
  <si>
    <t>plots/20251231000436_3FT6Y121H01_04823_B11P_N_UFLEX98_M5358A8BH101511/dpll_52094/txpa_54214.png</t>
  </si>
  <si>
    <t>plots/20251231000436_3FT6Y121H01_04823_B11P_N_UFLEX98_M5358A8BH101511/dpll_52094/txpa_54215.png</t>
  </si>
  <si>
    <t>plots/20251231000436_3FT6Y121H01_04823_B11P_N_UFLEX98_M5358A8BH101511/dpll_52094/txpa_54216.png</t>
  </si>
  <si>
    <t>plots/20251231000436_3FT6Y121H01_04823_B11P_N_UFLEX98_M5358A8BH101511/dpll_52094/txpa_54217.png</t>
  </si>
  <si>
    <t>plots/20251231000436_3FT6Y121H01_04823_B11P_N_UFLEX98_M5358A8BH101511/dpll_52094/txpa_54218.png</t>
  </si>
  <si>
    <t>plots/20251231000436_3FT6Y121H01_04823_B11P_N_UFLEX98_M5358A8BH101511/dpll_52094/txpa_54219.png</t>
  </si>
  <si>
    <t>plots/20251231000436_3FT6Y121H01_04823_B11P_N_UFLEX98_M5358A8BH101511/dpll_52094/txpa_54220.png</t>
  </si>
  <si>
    <t>plots/20251231000436_3FT6Y121H01_04823_B11P_N_UFLEX98_M5358A8BH101511/dpll_52094/txpa_54221.png</t>
  </si>
  <si>
    <t>plots/20251231000436_3FT6Y121H01_04823_B11P_N_UFLEX98_M5358A8BH101511/dpll_52094/txpa_54222.png</t>
  </si>
  <si>
    <t>plots/20251231000436_3FT6Y121H01_04823_B11P_N_UFLEX98_M5358A8BH101511/dpll_52094/txpa_54223.png</t>
  </si>
  <si>
    <t>plots/20251231000436_3FT6Y121H01_04823_B11P_N_UFLEX98_M5358A8BH101511/dpll_52094/txpa_54224.png</t>
  </si>
  <si>
    <t>plots/20251231000436_3FT6Y121H01_04823_B11P_N_UFLEX98_M5358A8BH101511/dpll_52094/txpa_54225.png</t>
  </si>
  <si>
    <t>plots/20251231000436_3FT6Y121H01_04823_B11P_N_UFLEX98_M5358A8BH101511/dpll_52094/txpa_54226.png</t>
  </si>
  <si>
    <t>plots/20251231000436_3FT6Y121H01_04823_B11P_N_UFLEX98_M5358A8BH101511/dpll_52094/txpa_54227.png</t>
  </si>
  <si>
    <t>plots/20251231000436_3FT6Y121H01_04823_B11P_N_UFLEX98_M5358A8BH101511/dpll_52094/txpa_54228.png</t>
  </si>
  <si>
    <t>plots/20251231000436_3FT6Y121H01_04823_B11P_N_UFLEX98_M5358A8BH101511/dpll_52094/txpa_54229.png</t>
  </si>
  <si>
    <t>plots/20251231000436_3FT6Y121H01_04823_B11P_N_UFLEX98_M5358A8BH101511/dpll_52094/txpa_54230.png</t>
  </si>
  <si>
    <t>plots/20251231000436_3FT6Y121H01_04823_B11P_N_UFLEX98_M5358A8BH101511/dpll_52094/txpa_54231.png</t>
  </si>
  <si>
    <t>plots/20251231000436_3FT6Y121H01_04823_B11P_N_UFLEX98_M5358A8BH101511/dpll_52094/txpa_54232.png</t>
  </si>
  <si>
    <t>plots/20251231000436_3FT6Y121H01_04823_B11P_N_UFLEX98_M5358A8BH101511/dpll_52094/txpa_54233.png</t>
  </si>
  <si>
    <t>plots/20251231000436_3FT6Y121H01_04823_B11P_N_UFLEX98_M5358A8BH101511/dpll_52094/txpa_54234.png</t>
  </si>
  <si>
    <t>plots/20251231000436_3FT6Y121H01_04823_B11P_N_UFLEX98_M5358A8BH101511/dpll_52094/txpa_54235.png</t>
  </si>
  <si>
    <t>plots/20251231000436_3FT6Y121H01_04823_B11P_N_UFLEX98_M5358A8BH101511/dpll_52094/txpa_54236.png</t>
  </si>
  <si>
    <t>plots/20251231000436_3FT6Y121H01_04823_B11P_N_UFLEX98_M5358A8BH101511/dpll_52094/txpa_54237.png</t>
  </si>
  <si>
    <t>plots/20251231000436_3FT6Y121H01_04823_B11P_N_UFLEX98_M5358A8BH101511/dpll_52094/txpa_54238.png</t>
  </si>
  <si>
    <t>plots/20251231000436_3FT6Y121H01_04823_B11P_N_UFLEX98_M5358A8BH101511/dpll_52094/txpa_54239.png</t>
  </si>
  <si>
    <t>plots/20251231000436_3FT6Y121H01_04823_B11P_N_UFLEX98_M5358A8BH101511/dpll_52094/txpa_54240.png</t>
  </si>
  <si>
    <t>plots/20251231000436_3FT6Y121H01_04823_B11P_N_UFLEX98_M5358A8BH101511/dpll_52094/txpa_54241.png</t>
  </si>
  <si>
    <t>plots/20251231000436_3FT6Y121H01_04823_B11P_N_UFLEX98_M5358A8BH101511/dpll_52094/txpa_54242.png</t>
  </si>
  <si>
    <t>plots/20251231000436_3FT6Y121H01_04823_B11P_N_UFLEX98_M5358A8BH101511/dpll_52094/txpa_54243.png</t>
  </si>
  <si>
    <t>plots/20251231000436_3FT6Y121H01_04823_B11P_N_UFLEX98_M5358A8BH101511/dpll_52094/txpa_54244.png</t>
  </si>
  <si>
    <t>plots/20251231000436_3FT6Y121H01_04823_B11P_N_UFLEX98_M5358A8BH101511/dpll_52094/txpa_54245.png</t>
  </si>
  <si>
    <t>plots/20251231000436_3FT6Y121H01_04823_B11P_N_UFLEX98_M5358A8BH101511/dpll_52094/txpa_54246.png</t>
  </si>
  <si>
    <t>plots/20251231000436_3FT6Y121H01_04823_B11P_N_UFLEX98_M5358A8BH101511/dpll_52094/txpa_54247.png</t>
  </si>
  <si>
    <t>plots/20251231000436_3FT6Y121H01_04823_B11P_N_UFLEX98_M5358A8BH101511/dpll_52094/txpa_54248.png</t>
  </si>
  <si>
    <t>plots/20251231000436_3FT6Y121H01_04823_B11P_N_UFLEX98_M5358A8BH101511/dpll_52094/txpa_54249.png</t>
  </si>
  <si>
    <t>plots/20251231000436_3FT6Y121H01_04823_B11P_N_UFLEX98_M5358A8BH101511/dpll_52094/txpa_54250.png</t>
  </si>
  <si>
    <t>plots/20251231000436_3FT6Y121H01_04823_B11P_N_UFLEX98_M5358A8BH101511/dpll_52094/txpa_54251.png</t>
  </si>
  <si>
    <t>plots/20251231000436_3FT6Y121H01_04823_B11P_N_UFLEX98_M5358A8BH101511/dpll_52094/txpa_54252.png</t>
  </si>
  <si>
    <t>plots/20251231000436_3FT6Y121H01_04823_B11P_N_UFLEX98_M5358A8BH101511/dpll_52094/txpa_54253.png</t>
  </si>
  <si>
    <t>plots/20251231000436_3FT6Y121H01_04823_B11P_N_UFLEX98_M5358A8BH101511/dpll_52094/txpa_54254.png</t>
  </si>
  <si>
    <t>plots/20251231000436_3FT6Y121H01_04823_B11P_N_UFLEX98_M5358A8BH101511/dpll_52094/txpa_54255.png</t>
  </si>
  <si>
    <t>plots/20251231000436_3FT6Y121H01_04823_B11P_N_UFLEX98_M5358A8BH101511/dpll_52094/txpa_54256.png</t>
  </si>
  <si>
    <t>plots/20251231000436_3FT6Y121H01_04823_B11P_N_UFLEX98_M5358A8BH101511/dpll_52094/txpa_54257.png</t>
  </si>
  <si>
    <t>plots/20251231000436_3FT6Y121H01_04823_B11P_N_UFLEX98_M5358A8BH101511/dpll_52094/txpa_54258.png</t>
  </si>
  <si>
    <t>plots/20251231000436_3FT6Y121H01_04823_B11P_N_UFLEX98_M5358A8BH101511/dpll_52094/txpa_55146.png</t>
  </si>
  <si>
    <t>plots/20251231000436_3FT6Y121H01_04823_B11P_N_UFLEX98_M5358A8BH101511/dpll_52094/txpa_55147.png</t>
  </si>
  <si>
    <t>plots/20251231000436_3FT6Y121H01_04823_B11P_N_UFLEX98_M5358A8BH101511/dpll_52094/txpa_55148.png</t>
  </si>
  <si>
    <t>plots/20251231000436_3FT6Y121H01_04823_B11P_N_UFLEX98_M5358A8BH101511/dpll_52094/txpa_55149.png</t>
  </si>
  <si>
    <t>plots/20251231000436_3FT6Y121H01_04823_B11P_N_UFLEX98_M5358A8BH101511/dpll_52094/txpa_55150.png</t>
  </si>
  <si>
    <t>plots/20251231000436_3FT6Y121H01_04823_B11P_N_UFLEX98_M5358A8BH101511/dpll_52094/txpa_55151.png</t>
  </si>
  <si>
    <t>plots/20251231000436_3FT6Y121H01_04823_B11P_N_UFLEX98_M5358A8BH101511/dpll_52094/txpa_55152.png</t>
  </si>
  <si>
    <t>plots/20251231000436_3FT6Y121H01_04823_B11P_N_UFLEX98_M5358A8BH101511/dpll_52094/txpa_55153.png</t>
  </si>
  <si>
    <t>plots/20251231000436_3FT6Y121H01_04823_B11P_N_UFLEX98_M5358A8BH101511/dpll_52094/txpa_55154.png</t>
  </si>
  <si>
    <t>plots/20251231000436_3FT6Y121H01_04823_B11P_N_UFLEX98_M5358A8BH101511/dpll_52094/txpa_55155.png</t>
  </si>
  <si>
    <t>plots/20251231000436_3FT6Y121H01_04823_B11P_N_UFLEX98_M5358A8BH101511/dpll_52094/txpa_55156.png</t>
  </si>
  <si>
    <t>plots/20251231000436_3FT6Y121H01_04823_B11P_N_UFLEX98_M5358A8BH101511/dpll_52094/txpa_55157.png</t>
  </si>
  <si>
    <t>plots/20251231000436_3FT6Y121H01_04823_B11P_N_UFLEX98_M5358A8BH101511/dpll_52094/txpa_55158.png</t>
  </si>
  <si>
    <t>plots/20251231000436_3FT6Y121H01_04823_B11P_N_UFLEX98_M5358A8BH101511/dpll_52094/txpa_55159.png</t>
  </si>
  <si>
    <t>plots/20251231000436_3FT6Y121H01_04823_B11P_N_UFLEX98_M5358A8BH101511/dpll_52094/txpa_55160.png</t>
  </si>
  <si>
    <t>plots/20251231000436_3FT6Y121H01_04823_B11P_N_UFLEX98_M5358A8BH101511/dpll_52094/txpa_55161.png</t>
  </si>
  <si>
    <t>plots/20251231000436_3FT6Y121H01_04823_B11P_N_UFLEX98_M5358A8BH101511/dpll_52094/txpa_55162.png</t>
  </si>
  <si>
    <t>plots/20251231000436_3FT6Y121H01_04823_B11P_N_UFLEX98_M5358A8BH101511/dpll_52094/txpa_55163.png</t>
  </si>
  <si>
    <t>plots/20251231000436_3FT6Y121H01_04823_B11P_N_UFLEX98_M5358A8BH101511/dpll_52094/txpa_55164.png</t>
  </si>
  <si>
    <t>plots/20251231000436_3FT6Y121H01_04823_B11P_N_UFLEX98_M5358A8BH101511/dpll_52094/txpa_55165.png</t>
  </si>
  <si>
    <t>plots/20251231000436_3FT6Y121H01_04823_B11P_N_UFLEX98_M5358A8BH101511/dpll_52094/txpa_55166.png</t>
  </si>
  <si>
    <t>plots/20251231000436_3FT6Y121H01_04823_B11P_N_UFLEX98_M5358A8BH101511/dpll_52094/txpa_55167.png</t>
  </si>
  <si>
    <t>plots/20251231000436_3FT6Y121H01_04823_B11P_N_UFLEX98_M5358A8BH101511/dpll_52094/txpa_55168.png</t>
  </si>
  <si>
    <t>plots/20251231000436_3FT6Y121H01_04823_B11P_N_UFLEX98_M5358A8BH101511/dpll_52094/txpa_55169.png</t>
  </si>
  <si>
    <t>plots/20251231000436_3FT6Y121H01_04823_B11P_N_UFLEX98_M5358A8BH101511/dpll_52094/txpa_55170.png</t>
  </si>
  <si>
    <t>plots/20251231000436_3FT6Y121H01_04823_B11P_N_UFLEX98_M5358A8BH101511/dpll_52094/txpa_55171.png</t>
  </si>
  <si>
    <t>plots/20251231000436_3FT6Y121H01_04823_B11P_N_UFLEX98_M5358A8BH101511/dpll_52094/txpa_55172.png</t>
  </si>
  <si>
    <t>plots/20251231000436_3FT6Y121H01_04823_B11P_N_UFLEX98_M5358A8BH101511/dpll_52094/txpa_55173.png</t>
  </si>
  <si>
    <t>plots/20251231000436_3FT6Y121H01_04823_B11P_N_UFLEX98_M5358A8BH101511/dpll_52094/txpa_55174.png</t>
  </si>
  <si>
    <t>plots/20251231000436_3FT6Y121H01_04823_B11P_N_UFLEX98_M5358A8BH101511/dpll_52094/txpa_55175.png</t>
  </si>
  <si>
    <t>plots/20251231000436_3FT6Y121H01_04823_B11P_N_UFLEX98_M5358A8BH101511/dpll_52094/txpa_55176.png</t>
  </si>
  <si>
    <t>plots/20251231000436_3FT6Y121H01_04823_B11P_N_UFLEX98_M5358A8BH101511/dpll_52094/txpa_55177.png</t>
  </si>
  <si>
    <t>plots/20251231000436_3FT6Y121H01_04823_B11P_N_UFLEX98_M5358A8BH101511/dpll_52094/txpa_55178.png</t>
  </si>
  <si>
    <t>plots/20251231000436_3FT6Y121H01_04823_B11P_N_UFLEX98_M5358A8BH101511/dpll_52094/txpa_55179.png</t>
  </si>
  <si>
    <t>plots/20251231000436_3FT6Y121H01_04823_B11P_N_UFLEX98_M5358A8BH101511/dpll_52094/txpa_55180.png</t>
  </si>
  <si>
    <t>plots/20251231000436_3FT6Y121H01_04823_B11P_N_UFLEX98_M5358A8BH101511/dpll_52094/txpa_55181.png</t>
  </si>
  <si>
    <t>plots/20251231000436_3FT6Y121H01_04823_B11P_N_UFLEX98_M5358A8BH101511/dpll_52094/txpa_55182.png</t>
  </si>
  <si>
    <t>plots/20251231000436_3FT6Y121H01_04823_B11P_N_UFLEX98_M5358A8BH101511/dpll_52094/txpa_55183.png</t>
  </si>
  <si>
    <t>plots/20251231000436_3FT6Y121H01_04823_B11P_N_UFLEX98_M5358A8BH101511/dpll_52094/txpa_55184.png</t>
  </si>
  <si>
    <t>plots/20251231000436_3FT6Y121H01_04823_B11P_N_UFLEX98_M5358A8BH101511/dpll_52094/txpa_55185.png</t>
  </si>
  <si>
    <t>plots/20251231000436_3FT6Y121H01_04823_B11P_N_UFLEX98_M5358A8BH101511/dpll_52094/txpa_55186.png</t>
  </si>
  <si>
    <t>plots/20251231000436_3FT6Y121H01_04823_B11P_N_UFLEX98_M5358A8BH101511/dpll_52094/txpa_55187.png</t>
  </si>
  <si>
    <t>plots/20251231000436_3FT6Y121H01_04823_B11P_N_UFLEX98_M5358A8BH101511/dpll_52094/txpa_55188.png</t>
  </si>
  <si>
    <t>plots/20251231000436_3FT6Y121H01_04823_B11P_N_UFLEX98_M5358A8BH101511/dpll_52094/txpa_55189.png</t>
  </si>
  <si>
    <t>plots/20251231000436_3FT6Y121H01_04823_B11P_N_UFLEX98_M5358A8BH101511/dpll_52094/txpa_55190.png</t>
  </si>
  <si>
    <t>plots/20251231000436_3FT6Y121H01_04823_B11P_N_UFLEX98_M5358A8BH101511/dpll_52094/txpa_55191.png</t>
  </si>
  <si>
    <t>plots/20251231000436_3FT6Y121H01_04823_B11P_N_UFLEX98_M5358A8BH101511/dpll_52094/txpa_55192.png</t>
  </si>
  <si>
    <t>plots/20251231000436_3FT6Y121H01_04823_B11P_N_UFLEX98_M5358A8BH101511/dpll_52094/txpa_55193.png</t>
  </si>
  <si>
    <t>plots/20251231000436_3FT6Y121H01_04823_B11P_N_UFLEX98_M5358A8BH101511/dpll_52094/txpa_55194.png</t>
  </si>
  <si>
    <t>plots/20251231000436_3FT6Y121H01_04823_B11P_N_UFLEX98_M5358A8BH101511/dpll_52094/txpa_55195.png</t>
  </si>
  <si>
    <t>plots/20251231000436_3FT6Y121H01_04823_B11P_N_UFLEX98_M5358A8BH101511/dpll_52094/txpa_55196.png</t>
  </si>
  <si>
    <t>plots/20251231000436_3FT6Y121H01_04823_B11P_N_UFLEX98_M5358A8BH101511/dpll_52094/txpa_55197.png</t>
  </si>
  <si>
    <t>plots/20251231000436_3FT6Y121H01_04823_B11P_N_UFLEX98_M5358A8BH101511/dpll_52094/txpa_55198.png</t>
  </si>
  <si>
    <t>plots/20251231000436_3FT6Y121H01_04823_B11P_N_UFLEX98_M5358A8BH101511/dpll_52094/txpa_55199.png</t>
  </si>
  <si>
    <t>plots/20251231000436_3FT6Y121H01_04823_B11P_N_UFLEX98_M5358A8BH101511/dpll_52094/txpa_55200.png</t>
  </si>
  <si>
    <t>plots/20251231000436_3FT6Y121H01_04823_B11P_N_UFLEX98_M5358A8BH101511/dpll_52094/txpa_55201.png</t>
  </si>
  <si>
    <t>plots/20251231000436_3FT6Y121H01_04823_B11P_N_UFLEX98_M5358A8BH101511/dpll_52094/txpa_55202.png</t>
  </si>
  <si>
    <t>plots/20251231000436_3FT6Y121H01_04823_B11P_N_UFLEX98_M5358A8BH101511/dpll_52094/txpa_55203.png</t>
  </si>
  <si>
    <t>plots/20251231000436_3FT6Y121H01_04823_B11P_N_UFLEX98_M5358A8BH101511/dpll_52094/txpa_55204.png</t>
  </si>
  <si>
    <t>plots/20251231000436_3FT6Y121H01_04823_B11P_N_UFLEX98_M5358A8BH101511/dpll_52094/txpa_55205.png</t>
  </si>
  <si>
    <t>plots/20251231000436_3FT6Y121H01_04823_B11P_N_UFLEX98_M5358A8BH101511/dpll_52094/txpa_55206.png</t>
  </si>
  <si>
    <t>plots/20251231000436_3FT6Y121H01_04823_B11P_N_UFLEX98_M5358A8BH101511/dpll_52094/txpa_55207.png</t>
  </si>
  <si>
    <t>plots/20251231000436_3FT6Y121H01_04823_B11P_N_UFLEX98_M5358A8BH101511/dpll_52094/txpa_55208.png</t>
  </si>
  <si>
    <t>plots/20251231000436_3FT6Y121H01_04823_B11P_N_UFLEX98_M5358A8BH101511/dpll_52094/txpa_55209.png</t>
  </si>
  <si>
    <t>plots/20251231000436_3FT6Y121H01_04823_B11P_N_UFLEX98_M5358A8BH101511/dpll_52094/txpa_55210.png</t>
  </si>
  <si>
    <t>plots/20251231000436_3FT6Y121H01_04823_B11P_N_UFLEX98_M5358A8BH101511/dpll_52094/txpa_55211.png</t>
  </si>
  <si>
    <t>plots/20251231000436_3FT6Y121H01_04823_B11P_N_UFLEX98_M5358A8BH101511/dpll_52094/txpa_55212.png</t>
  </si>
  <si>
    <t>plots/20251231000436_3FT6Y121H01_04823_B11P_N_UFLEX98_M5358A8BH101511/dpll_52094/txpa_55213.png</t>
  </si>
  <si>
    <t>plots/20251231000436_3FT6Y121H01_04823_B11P_N_UFLEX98_M5358A8BH101511/dpll_52094/txpa_55214.png</t>
  </si>
  <si>
    <t>plots/20251231000436_3FT6Y121H01_04823_B11P_N_UFLEX98_M5358A8BH101511/dpll_52094/txpa_55215.png</t>
  </si>
  <si>
    <t>plots/20251231000436_3FT6Y121H01_04823_B11P_N_UFLEX98_M5358A8BH101511/dpll_52094/txpa_55216.png</t>
  </si>
  <si>
    <t>plots/20251231000436_3FT6Y121H01_04823_B11P_N_UFLEX98_M5358A8BH101511/dpll_52094/txpa_55217.png</t>
  </si>
  <si>
    <t>plots/20251231000436_3FT6Y121H01_04823_B11P_N_UFLEX98_M5358A8BH101511/dpll_52094/txpa_55218.png</t>
  </si>
  <si>
    <t>plots/20251231000436_3FT6Y121H01_04823_B11P_N_UFLEX98_M5358A8BH101511/dpll_52094/txpa_55219.png</t>
  </si>
  <si>
    <t>plots/20251231000436_3FT6Y121H01_04823_B11P_N_UFLEX98_M5358A8BH101511/dpll_52094/txpa_55220.png</t>
  </si>
  <si>
    <t>plots/20251231000436_3FT6Y121H01_04823_B11P_N_UFLEX98_M5358A8BH101511/dpll_52094/txpa_55221.png</t>
  </si>
  <si>
    <t>plots/20251231000436_3FT6Y121H01_04823_B11P_N_UFLEX98_M5358A8BH101511/dpll_52094/txpa_55222.png</t>
  </si>
  <si>
    <t>plots/20251231000436_3FT6Y121H01_04823_B11P_N_UFLEX98_M5358A8BH101511/dpll_52094/txpa_55223.png</t>
  </si>
  <si>
    <t>plots/20251231000436_3FT6Y121H01_04823_B11P_N_UFLEX98_M5358A8BH101511/dpll_52094/txpa_55224.png</t>
  </si>
  <si>
    <t>plots/20251231000436_3FT6Y121H01_04823_B11P_N_UFLEX98_M5358A8BH101511/dpll_52094/txpa_55225.png</t>
  </si>
  <si>
    <t>plots/20251231000436_3FT6Y121H01_04823_B11P_N_UFLEX98_M5358A8BH101511/dpll_52094/txpa_55226.png</t>
  </si>
  <si>
    <t>plots/20251231000436_3FT6Y121H01_04823_B11P_N_UFLEX98_M5358A8BH101511/dpll_52094/txpa_55227.png</t>
  </si>
  <si>
    <t>plots/20251231000436_3FT6Y121H01_04823_B11P_N_UFLEX98_M5358A8BH101511/dpll_52094/txpa_55228.png</t>
  </si>
  <si>
    <t>plots/20251231000436_3FT6Y121H01_04823_B11P_N_UFLEX98_M5358A8BH101511/dpll_52094/txpa_55229.png</t>
  </si>
  <si>
    <t>plots/20251231000436_3FT6Y121H01_04823_B11P_N_UFLEX98_M5358A8BH101511/dpll_52094/txpa_55230.png</t>
  </si>
  <si>
    <t>plots/20251231000436_3FT6Y121H01_04823_B11P_N_UFLEX98_M5358A8BH101511/dpll_52094/txpa_55231.png</t>
  </si>
  <si>
    <t>plots/20251231000436_3FT6Y121H01_04823_B11P_N_UFLEX98_M5358A8BH101511/dpll_52094/txpa_55232.png</t>
  </si>
  <si>
    <t>plots/20251231000436_3FT6Y121H01_04823_B11P_N_UFLEX98_M5358A8BH101511/dpll_52094/txpa_55233.png</t>
  </si>
  <si>
    <t>plots/20251231000436_3FT6Y121H01_04823_B11P_N_UFLEX98_M5358A8BH101511/dpll_52094/txpa_55234.png</t>
  </si>
  <si>
    <t>plots/20251231000436_3FT6Y121H01_04823_B11P_N_UFLEX98_M5358A8BH101511/dpll_52094/txpa_55235.png</t>
  </si>
  <si>
    <t>plots/20251231000436_3FT6Y121H01_04823_B11P_N_UFLEX98_M5358A8BH101511/dpll_52094/txpa_55236.png</t>
  </si>
  <si>
    <t>plots/20251231000436_3FT6Y121H01_04823_B11P_N_UFLEX98_M5358A8BH101511/dpll_52094/txpa_55237.png</t>
  </si>
  <si>
    <t>plots/20251231000436_3FT6Y121H01_04823_B11P_N_UFLEX98_M5358A8BH101511/dpll_52094/txpa_55238.png</t>
  </si>
  <si>
    <t>plots/20251231000436_3FT6Y121H01_04823_B11P_N_UFLEX98_M5358A8BH101511/dpll_52094/txpa_55239.png</t>
  </si>
  <si>
    <t>plots/20251231000436_3FT6Y121H01_04823_B11P_N_UFLEX98_M5358A8BH101511/dpll_52094/txpa_55240.png</t>
  </si>
  <si>
    <t>plots/20251231000436_3FT6Y121H01_04823_B11P_N_UFLEX98_M5358A8BH101511/dpll_52094/txpa_55241.png</t>
  </si>
  <si>
    <t>plots/20251231000436_3FT6Y121H01_04823_B11P_N_UFLEX98_M5358A8BH101511/dpll_52094/txpa_55242.png</t>
  </si>
  <si>
    <t>plots/20251231000436_3FT6Y121H01_04823_B11P_N_UFLEX98_M5358A8BH101511/dpll_52094/txpa_55243.png</t>
  </si>
  <si>
    <t>plots/20251231000436_3FT6Y121H01_04823_B11P_N_UFLEX98_M5358A8BH101511/dpll_52094/txpa_55244.png</t>
  </si>
  <si>
    <t>plots/20251231000436_3FT6Y121H01_04823_B11P_N_UFLEX98_M5358A8BH101511/dpll_52094/txpa_55245.png</t>
  </si>
  <si>
    <t>plots/20251231000436_3FT6Y121H01_04823_B11P_N_UFLEX98_M5358A8BH101511/dpll_52094/txpa_55246.png</t>
  </si>
  <si>
    <t>plots/20251231000436_3FT6Y121H01_04823_B11P_N_UFLEX98_M5358A8BH101511/dpll_52094/txpa_55247.png</t>
  </si>
  <si>
    <t>plots/20251231000436_3FT6Y121H01_04823_B11P_N_UFLEX98_M5358A8BH101511/dpll_52094/txpa_55248.png</t>
  </si>
  <si>
    <t>plots/20251231000436_3FT6Y121H01_04823_B11P_N_UFLEX98_M5358A8BH101511/dpll_52094/txpa_55249.png</t>
  </si>
  <si>
    <t>plots/20251231000436_3FT6Y121H01_04823_B11P_N_UFLEX98_M5358A8BH101511/dpll_52094/txpa_55250.png</t>
  </si>
  <si>
    <t>plots/20251231000436_3FT6Y121H01_04823_B11P_N_UFLEX98_M5358A8BH101511/dpll_52094/txpa_55251.png</t>
  </si>
  <si>
    <t>plots/20251231000436_3FT6Y121H01_04823_B11P_N_UFLEX98_M5358A8BH101511/dpll_52094/txpa_55252.png</t>
  </si>
  <si>
    <t>plots/20251231000436_3FT6Y121H01_04823_B11P_N_UFLEX98_M5358A8BH101511/dpll_52094/txpa_55253.png</t>
  </si>
  <si>
    <t>plots/20251231000436_3FT6Y121H01_04823_B11P_N_UFLEX98_M5358A8BH101511/dpll_52094/txpa_55254.png</t>
  </si>
  <si>
    <t>plots/20251231000436_3FT6Y121H01_04823_B11P_N_UFLEX98_M5358A8BH101511/dpll_52094/txpa_55255.png</t>
  </si>
  <si>
    <t>plots/20251231000436_3FT6Y121H01_04823_B11P_N_UFLEX98_M5358A8BH101511/dpll_52094/txpa_55256.png</t>
  </si>
  <si>
    <t>plots/20251231000436_3FT6Y121H01_04823_B11P_N_UFLEX98_M5358A8BH101511/dpll_52094/txpa_55257.png</t>
  </si>
  <si>
    <t>plots/20251231000436_3FT6Y121H01_04823_B11P_N_UFLEX98_M5358A8BH101511/dpll_52094/txpa_55258.png</t>
  </si>
  <si>
    <t>plots/20251231112652_3FT6Y119H04_05543_B21P_N_UFLEX98_M5358A8BA201511/dpll_52046/txpa_53179.png</t>
  </si>
  <si>
    <t>plots/20251231112652_3FT6Y119H04_05543_B21P_N_UFLEX98_M5358A8BA201511/dpll_52046/txpa_53180.png</t>
  </si>
  <si>
    <t>plots/20251231112652_3FT6Y119H04_05543_B21P_N_UFLEX98_M5358A8BA201511/dpll_52046/txpa_53181.png</t>
  </si>
  <si>
    <t>plots/20251231112652_3FT6Y119H04_05543_B21P_N_UFLEX98_M5358A8BA201511/dpll_52046/txpa_53182.png</t>
  </si>
  <si>
    <t>plots/20251231112652_3FT6Y119H04_05543_B21P_N_UFLEX98_M5358A8BA201511/dpll_52046/txpa_53183.png</t>
  </si>
  <si>
    <t>plots/20251231112652_3FT6Y119H04_05543_B21P_N_UFLEX98_M5358A8BA201511/dpll_52046/txpa_53184.png</t>
  </si>
  <si>
    <t>plots/20251231112652_3FT6Y119H04_05543_B21P_N_UFLEX98_M5358A8BA201511/dpll_52046/txpa_53185.png</t>
  </si>
  <si>
    <t>plots/20251231112652_3FT6Y119H04_05543_B21P_N_UFLEX98_M5358A8BA201511/dpll_52046/txpa_53186.png</t>
  </si>
  <si>
    <t>plots/20251231112652_3FT6Y119H04_05543_B21P_N_UFLEX98_M5358A8BA201511/dpll_52046/txpa_53187.png</t>
  </si>
  <si>
    <t>plots/20251231112652_3FT6Y119H04_05543_B21P_N_UFLEX98_M5358A8BA201511/dpll_52046/txpa_53188.png</t>
  </si>
  <si>
    <t>plots/20251231112652_3FT6Y119H04_05543_B21P_N_UFLEX98_M5358A8BA201511/dpll_52046/txpa_53189.png</t>
  </si>
  <si>
    <t>plots/20251231112652_3FT6Y119H04_05543_B21P_N_UFLEX98_M5358A8BA201511/dpll_52046/txpa_53190.png</t>
  </si>
  <si>
    <t>plots/20251231112652_3FT6Y119H04_05543_B21P_N_UFLEX98_M5358A8BA201511/dpll_52046/txpa_53191.png</t>
  </si>
  <si>
    <t>plots/20251231112652_3FT6Y119H04_05543_B21P_N_UFLEX98_M5358A8BA201511/dpll_52046/txpa_53192.png</t>
  </si>
  <si>
    <t>plots/20251231112652_3FT6Y119H04_05543_B21P_N_UFLEX98_M5358A8BA201511/dpll_52046/txpa_53193.png</t>
  </si>
  <si>
    <t>plots/20251231112652_3FT6Y119H04_05543_B21P_N_UFLEX98_M5358A8BA201511/dpll_52046/txpa_53194.png</t>
  </si>
  <si>
    <t>plots/20251231112652_3FT6Y119H04_05543_B21P_N_UFLEX98_M5358A8BA201511/dpll_52046/txpa_53195.png</t>
  </si>
  <si>
    <t>plots/20251231112652_3FT6Y119H04_05543_B21P_N_UFLEX98_M5358A8BA201511/dpll_52046/txpa_53196.png</t>
  </si>
  <si>
    <t>plots/20251231112652_3FT6Y119H04_05543_B21P_N_UFLEX98_M5358A8BA201511/dpll_52046/txpa_53197.png</t>
  </si>
  <si>
    <t>plots/20251231112652_3FT6Y119H04_05543_B21P_N_UFLEX98_M5358A8BA201511/dpll_52046/txpa_53198.png</t>
  </si>
  <si>
    <t>plots/20251231112652_3FT6Y119H04_05543_B21P_N_UFLEX98_M5358A8BA201511/dpll_52046/txpa_53199.png</t>
  </si>
  <si>
    <t>plots/20251231112652_3FT6Y119H04_05543_B21P_N_UFLEX98_M5358A8BA201511/dpll_52046/txpa_53200.png</t>
  </si>
  <si>
    <t>plots/20251231112652_3FT6Y119H04_05543_B21P_N_UFLEX98_M5358A8BA201511/dpll_52046/txpa_53201.png</t>
  </si>
  <si>
    <t>plots/20251231112652_3FT6Y119H04_05543_B21P_N_UFLEX98_M5358A8BA201511/dpll_52046/txpa_53202.png</t>
  </si>
  <si>
    <t>plots/20251231112652_3FT6Y119H04_05543_B21P_N_UFLEX98_M5358A8BA201511/dpll_52046/txpa_53203.png</t>
  </si>
  <si>
    <t>plots/20251231112652_3FT6Y119H04_05543_B21P_N_UFLEX98_M5358A8BA201511/dpll_52046/txpa_53204.png</t>
  </si>
  <si>
    <t>plots/20251231112652_3FT6Y119H04_05543_B21P_N_UFLEX98_M5358A8BA201511/dpll_52046/txpa_53205.png</t>
  </si>
  <si>
    <t>plots/20251231112652_3FT6Y119H04_05543_B21P_N_UFLEX98_M5358A8BA201511/dpll_52046/txpa_53206.png</t>
  </si>
  <si>
    <t>plots/20251231112652_3FT6Y119H04_05543_B21P_N_UFLEX98_M5358A8BA201511/dpll_52046/txpa_53207.png</t>
  </si>
  <si>
    <t>plots/20251231112652_3FT6Y119H04_05543_B21P_N_UFLEX98_M5358A8BA201511/dpll_52046/txpa_53208.png</t>
  </si>
  <si>
    <t>plots/20251231112652_3FT6Y119H04_05543_B21P_N_UFLEX98_M5358A8BA201511/dpll_52046/txpa_53209.png</t>
  </si>
  <si>
    <t>plots/20251231112652_3FT6Y119H04_05543_B21P_N_UFLEX98_M5358A8BA201511/dpll_52046/txpa_53210.png</t>
  </si>
  <si>
    <t>plots/20251231112652_3FT6Y119H04_05543_B21P_N_UFLEX98_M5358A8BA201511/dpll_52046/txpa_53211.png</t>
  </si>
  <si>
    <t>plots/20251231112652_3FT6Y119H04_05543_B21P_N_UFLEX98_M5358A8BA201511/dpll_52046/txpa_53212.png</t>
  </si>
  <si>
    <t>plots/20251231112652_3FT6Y119H04_05543_B21P_N_UFLEX98_M5358A8BA201511/dpll_52046/txpa_53213.png</t>
  </si>
  <si>
    <t>plots/20251231112652_3FT6Y119H04_05543_B21P_N_UFLEX98_M5358A8BA201511/dpll_52046/txpa_53214.png</t>
  </si>
  <si>
    <t>plots/20251231112652_3FT6Y119H04_05543_B21P_N_UFLEX98_M5358A8BA201511/dpll_52046/txpa_53215.png</t>
  </si>
  <si>
    <t>plots/20251231112652_3FT6Y119H04_05543_B21P_N_UFLEX98_M5358A8BA201511/dpll_52046/txpa_53216.png</t>
  </si>
  <si>
    <t>plots/20251231112652_3FT6Y119H04_05543_B21P_N_UFLEX98_M5358A8BA201511/dpll_52046/txpa_53217.png</t>
  </si>
  <si>
    <t>plots/20251231112652_3FT6Y119H04_05543_B21P_N_UFLEX98_M5358A8BA201511/dpll_52046/txpa_53218.png</t>
  </si>
  <si>
    <t>plots/20251231112652_3FT6Y119H04_05543_B21P_N_UFLEX98_M5358A8BA201511/dpll_52046/txpa_53219.png</t>
  </si>
  <si>
    <t>plots/20251231112652_3FT6Y119H04_05543_B21P_N_UFLEX98_M5358A8BA201511/dpll_52046/txpa_53220.png</t>
  </si>
  <si>
    <t>plots/20251231112652_3FT6Y119H04_05543_B21P_N_UFLEX98_M5358A8BA201511/dpll_52046/txpa_53221.png</t>
  </si>
  <si>
    <t>plots/20251231112652_3FT6Y119H04_05543_B21P_N_UFLEX98_M5358A8BA201511/dpll_52046/txpa_53222.png</t>
  </si>
  <si>
    <t>plots/20251231112652_3FT6Y119H04_05543_B21P_N_UFLEX98_M5358A8BA201511/dpll_52046/txpa_53223.png</t>
  </si>
  <si>
    <t>plots/20251231112652_3FT6Y119H04_05543_B21P_N_UFLEX98_M5358A8BA201511/dpll_52046/txpa_53224.png</t>
  </si>
  <si>
    <t>plots/20251231112652_3FT6Y119H04_05543_B21P_N_UFLEX98_M5358A8BA201511/dpll_52046/txpa_53225.png</t>
  </si>
  <si>
    <t>plots/20251231112652_3FT6Y119H04_05543_B21P_N_UFLEX98_M5358A8BA201511/dpll_52046/txpa_53226.png</t>
  </si>
  <si>
    <t>plots/20251231112652_3FT6Y119H04_05543_B21P_N_UFLEX98_M5358A8BA201511/dpll_52046/txpa_53227.png</t>
  </si>
  <si>
    <t>plots/20251231112652_3FT6Y119H04_05543_B21P_N_UFLEX98_M5358A8BA201511/dpll_52046/txpa_53228.png</t>
  </si>
  <si>
    <t>plots/20251231112652_3FT6Y119H04_05543_B21P_N_UFLEX98_M5358A8BA201511/dpll_52046/txpa_53229.png</t>
  </si>
  <si>
    <t>plots/20251231112652_3FT6Y119H04_05543_B21P_N_UFLEX98_M5358A8BA201511/dpll_52046/txpa_53230.png</t>
  </si>
  <si>
    <t>plots/20251231112652_3FT6Y119H04_05543_B21P_N_UFLEX98_M5358A8BA201511/dpll_52046/txpa_53231.png</t>
  </si>
  <si>
    <t>plots/20251231112652_3FT6Y119H04_05543_B21P_N_UFLEX98_M5358A8BA201511/dpll_52046/txpa_53232.png</t>
  </si>
  <si>
    <t>plots/20251231112652_3FT6Y119H04_05543_B21P_N_UFLEX98_M5358A8BA201511/dpll_52046/txpa_53233.png</t>
  </si>
  <si>
    <t>plots/20251231112652_3FT6Y119H04_05543_B21P_N_UFLEX98_M5358A8BA201511/dpll_52046/txpa_53234.png</t>
  </si>
  <si>
    <t>plots/20251231112652_3FT6Y119H04_05543_B21P_N_UFLEX98_M5358A8BA201511/dpll_52046/txpa_53235.png</t>
  </si>
  <si>
    <t>plots/20251231112652_3FT6Y119H04_05543_B21P_N_UFLEX98_M5358A8BA201511/dpll_52046/txpa_53236.png</t>
  </si>
  <si>
    <t>plots/20251231112652_3FT6Y119H04_05543_B21P_N_UFLEX98_M5358A8BA201511/dpll_52046/txpa_53237.png</t>
  </si>
  <si>
    <t>plots/20251231112652_3FT6Y119H04_05543_B21P_N_UFLEX98_M5358A8BA201511/dpll_52046/txpa_53238.png</t>
  </si>
  <si>
    <t>plots/20251231112652_3FT6Y119H04_05543_B21P_N_UFLEX98_M5358A8BA201511/dpll_52046/txpa_53239.png</t>
  </si>
  <si>
    <t>plots/20251231112652_3FT6Y119H04_05543_B21P_N_UFLEX98_M5358A8BA201511/dpll_52046/txpa_53240.png</t>
  </si>
  <si>
    <t>plots/20251231112652_3FT6Y119H04_05543_B21P_N_UFLEX98_M5358A8BA201511/dpll_52046/txpa_53241.png</t>
  </si>
  <si>
    <t>plots/20251231112652_3FT6Y119H04_05543_B21P_N_UFLEX98_M5358A8BA201511/dpll_52046/txpa_53242.png</t>
  </si>
  <si>
    <t>plots/20251231112652_3FT6Y119H04_05543_B21P_N_UFLEX98_M5358A8BA201511/dpll_52046/txpa_53243.png</t>
  </si>
  <si>
    <t>plots/20251231112652_3FT6Y119H04_05543_B21P_N_UFLEX98_M5358A8BA201511/dpll_52046/txpa_53244.png</t>
  </si>
  <si>
    <t>plots/20251231112652_3FT6Y119H04_05543_B21P_N_UFLEX98_M5358A8BA201511/dpll_52046/txpa_53245.png</t>
  </si>
  <si>
    <t>plots/20251231112652_3FT6Y119H04_05543_B21P_N_UFLEX98_M5358A8BA201511/dpll_52046/txpa_53246.png</t>
  </si>
  <si>
    <t>plots/20251231112652_3FT6Y119H04_05543_B21P_N_UFLEX98_M5358A8BA201511/dpll_52046/txpa_53247.png</t>
  </si>
  <si>
    <t>plots/20251231112652_3FT6Y119H04_05543_B21P_N_UFLEX98_M5358A8BA201511/dpll_52046/txpa_53248.png</t>
  </si>
  <si>
    <t>plots/20251231112652_3FT6Y119H04_05543_B21P_N_UFLEX98_M5358A8BA201511/dpll_52046/txpa_53249.png</t>
  </si>
  <si>
    <t>plots/20251231112652_3FT6Y119H04_05543_B21P_N_UFLEX98_M5358A8BA201511/dpll_52046/txpa_53250.png</t>
  </si>
  <si>
    <t>plots/20251231112652_3FT6Y119H04_05543_B21P_N_UFLEX98_M5358A8BA201511/dpll_52046/txpa_53251.png</t>
  </si>
  <si>
    <t>plots/20251231112652_3FT6Y119H04_05543_B21P_N_UFLEX98_M5358A8BA201511/dpll_52046/txpa_53252.png</t>
  </si>
  <si>
    <t>plots/20251231112652_3FT6Y119H04_05543_B21P_N_UFLEX98_M5358A8BA201511/dpll_52046/txpa_53253.png</t>
  </si>
  <si>
    <t>plots/20251231112652_3FT6Y119H04_05543_B21P_N_UFLEX98_M5358A8BA201511/dpll_52046/txpa_53254.png</t>
  </si>
  <si>
    <t>plots/20251231112652_3FT6Y119H04_05543_B21P_N_UFLEX98_M5358A8BA201511/dpll_52046/txpa_53255.png</t>
  </si>
  <si>
    <t>plots/20251231112652_3FT6Y119H04_05543_B21P_N_UFLEX98_M5358A8BA201511/dpll_52046/txpa_53256.png</t>
  </si>
  <si>
    <t>plots/20251231112652_3FT6Y119H04_05543_B21P_N_UFLEX98_M5358A8BA201511/dpll_52046/txpa_53257.png</t>
  </si>
  <si>
    <t>plots/20251231112652_3FT6Y119H04_05543_B21P_N_UFLEX98_M5358A8BA201511/dpll_52046/txpa_53258.png</t>
  </si>
  <si>
    <t>plots/20251231112652_3FT6Y119H04_05543_B21P_N_UFLEX98_M5358A8BA201511/dpll_52046/txpa_53259.png</t>
  </si>
  <si>
    <t>plots/20251231112652_3FT6Y119H04_05543_B21P_N_UFLEX98_M5358A8BA201511/dpll_52046/txpa_53260.png</t>
  </si>
  <si>
    <t>plots/20251231112652_3FT6Y119H04_05543_B21P_N_UFLEX98_M5358A8BA201511/dpll_52046/txpa_53261.png</t>
  </si>
  <si>
    <t>plots/20251231112652_3FT6Y119H04_05543_B21P_N_UFLEX98_M5358A8BA201511/dpll_52046/txpa_53262.png</t>
  </si>
  <si>
    <t>plots/20251231112652_3FT6Y119H04_05543_B21P_N_UFLEX98_M5358A8BA201511/dpll_52046/txpa_53263.png</t>
  </si>
  <si>
    <t>plots/20251231112652_3FT6Y119H04_05543_B21P_N_UFLEX98_M5358A8BA201511/dpll_52046/txpa_53264.png</t>
  </si>
  <si>
    <t>plots/20251231112652_3FT6Y119H04_05543_B21P_N_UFLEX98_M5358A8BA201511/dpll_52046/txpa_53265.png</t>
  </si>
  <si>
    <t>plots/20251231112652_3FT6Y119H04_05543_B21P_N_UFLEX98_M5358A8BA201511/dpll_52046/txpa_53266.png</t>
  </si>
  <si>
    <t>plots/20251231112652_3FT6Y119H04_05543_B21P_N_UFLEX98_M5358A8BA201511/dpll_52046/txpa_53267.png</t>
  </si>
  <si>
    <t>plots/20251231112652_3FT6Y119H04_05543_B21P_N_UFLEX98_M5358A8BA201511/dpll_52046/txpa_53268.png</t>
  </si>
  <si>
    <t>plots/20251231112652_3FT6Y119H04_05543_B21P_N_UFLEX98_M5358A8BA201511/dpll_52046/txpa_53269.png</t>
  </si>
  <si>
    <t>plots/20251231112652_3FT6Y119H04_05543_B21P_N_UFLEX98_M5358A8BA201511/dpll_52046/txpa_53270.png</t>
  </si>
  <si>
    <t>plots/20251231112652_3FT6Y119H04_05543_B21P_N_UFLEX98_M5358A8BA201511/dpll_52046/txpa_53271.png</t>
  </si>
  <si>
    <t>plots/20251231112652_3FT6Y119H04_05543_B21P_N_UFLEX98_M5358A8BA201511/dpll_52046/txpa_53272.png</t>
  </si>
  <si>
    <t>plots/20251231112652_3FT6Y119H04_05543_B21P_N_UFLEX98_M5358A8BA201511/dpll_52046/txpa_53273.png</t>
  </si>
  <si>
    <t>plots/20251231112652_3FT6Y119H04_05543_B21P_N_UFLEX98_M5358A8BA201511/dpll_52046/txpa_53274.png</t>
  </si>
  <si>
    <t>plots/20251231112652_3FT6Y119H04_05543_B21P_N_UFLEX98_M5358A8BA201511/dpll_52046/txpa_53275.png</t>
  </si>
  <si>
    <t>plots/20251231112652_3FT6Y119H04_05543_B21P_N_UFLEX98_M5358A8BA201511/dpll_52046/txpa_53276.png</t>
  </si>
  <si>
    <t>plots/20251231112652_3FT6Y119H04_05543_B21P_N_UFLEX98_M5358A8BA201511/dpll_52046/txpa_53277.png</t>
  </si>
  <si>
    <t>plots/20251231112652_3FT6Y119H04_05543_B21P_N_UFLEX98_M5358A8BA201511/dpll_52046/txpa_53278.png</t>
  </si>
  <si>
    <t>plots/20251231112652_3FT6Y119H04_05543_B21P_N_UFLEX98_M5358A8BA201511/dpll_52046/txpa_53279.png</t>
  </si>
  <si>
    <t>plots/20251231112652_3FT6Y119H04_05543_B21P_N_UFLEX98_M5358A8BA201511/dpll_52046/txpa_53280.png</t>
  </si>
  <si>
    <t>plots/20251231112652_3FT6Y119H04_05543_B21P_N_UFLEX98_M5358A8BA201511/dpll_52046/txpa_53281.png</t>
  </si>
  <si>
    <t>plots/20251231112652_3FT6Y119H04_05543_B21P_N_UFLEX98_M5358A8BA201511/dpll_52046/txpa_53282.png</t>
  </si>
  <si>
    <t>plots/20251231112652_3FT6Y119H04_05543_B21P_N_UFLEX98_M5358A8BA201511/dpll_52046/txpa_53283.png</t>
  </si>
  <si>
    <t>plots/20251231112652_3FT6Y119H04_05543_B21P_N_UFLEX98_M5358A8BA201511/dpll_52046/txpa_53284.png</t>
  </si>
  <si>
    <t>plots/20251231112652_3FT6Y119H04_05543_B21P_N_UFLEX98_M5358A8BA201511/dpll_52046/txpa_53285.png</t>
  </si>
  <si>
    <t>plots/20251231112652_3FT6Y119H04_05543_B21P_N_UFLEX98_M5358A8BA201511/dpll_52046/txpa_53286.png</t>
  </si>
  <si>
    <t>plots/20251231112652_3FT6Y119H04_05543_B21P_N_UFLEX98_M5358A8BA201511/dpll_52046/txpa_53287.png</t>
  </si>
  <si>
    <t>plots/20251231112652_3FT6Y119H04_05543_B21P_N_UFLEX98_M5358A8BA201511/dpll_52046/txpa_53288.png</t>
  </si>
  <si>
    <t>plots/20251231112652_3FT6Y119H04_05543_B21P_N_UFLEX98_M5358A8BA201511/dpll_52046/txpa_53289.png</t>
  </si>
  <si>
    <t>plots/20251231112652_3FT6Y119H04_05543_B21P_N_UFLEX98_M5358A8BA201511/dpll_52046/txpa_53290.png</t>
  </si>
  <si>
    <t>plots/20251231112652_3FT6Y119H04_05543_B21P_N_UFLEX98_M5358A8BA201511/dpll_52046/txpa_54146.png</t>
  </si>
  <si>
    <t>plots/20251231112652_3FT6Y119H04_05543_B21P_N_UFLEX98_M5358A8BA201511/dpll_52046/txpa_54147.png</t>
  </si>
  <si>
    <t>plots/20251231112652_3FT6Y119H04_05543_B21P_N_UFLEX98_M5358A8BA201511/dpll_52046/txpa_54148.png</t>
  </si>
  <si>
    <t>plots/20251231112652_3FT6Y119H04_05543_B21P_N_UFLEX98_M5358A8BA201511/dpll_52046/txpa_54149.png</t>
  </si>
  <si>
    <t>plots/20251231112652_3FT6Y119H04_05543_B21P_N_UFLEX98_M5358A8BA201511/dpll_52046/txpa_54150.png</t>
  </si>
  <si>
    <t>plots/20251231112652_3FT6Y119H04_05543_B21P_N_UFLEX98_M5358A8BA201511/dpll_52046/txpa_54151.png</t>
  </si>
  <si>
    <t>plots/20251231112652_3FT6Y119H04_05543_B21P_N_UFLEX98_M5358A8BA201511/dpll_52046/txpa_54152.png</t>
  </si>
  <si>
    <t>plots/20251231112652_3FT6Y119H04_05543_B21P_N_UFLEX98_M5358A8BA201511/dpll_52046/txpa_54153.png</t>
  </si>
  <si>
    <t>plots/20251231112652_3FT6Y119H04_05543_B21P_N_UFLEX98_M5358A8BA201511/dpll_52046/txpa_54154.png</t>
  </si>
  <si>
    <t>plots/20251231112652_3FT6Y119H04_05543_B21P_N_UFLEX98_M5358A8BA201511/dpll_52046/txpa_54155.png</t>
  </si>
  <si>
    <t>plots/20251231112652_3FT6Y119H04_05543_B21P_N_UFLEX98_M5358A8BA201511/dpll_52046/txpa_54156.png</t>
  </si>
  <si>
    <t>plots/20251231112652_3FT6Y119H04_05543_B21P_N_UFLEX98_M5358A8BA201511/dpll_52046/txpa_54157.png</t>
  </si>
  <si>
    <t>plots/20251231112652_3FT6Y119H04_05543_B21P_N_UFLEX98_M5358A8BA201511/dpll_52046/txpa_54158.png</t>
  </si>
  <si>
    <t>plots/20251231112652_3FT6Y119H04_05543_B21P_N_UFLEX98_M5358A8BA201511/dpll_52046/txpa_54159.png</t>
  </si>
  <si>
    <t>plots/20251231112652_3FT6Y119H04_05543_B21P_N_UFLEX98_M5358A8BA201511/dpll_52046/txpa_54160.png</t>
  </si>
  <si>
    <t>plots/20251231112652_3FT6Y119H04_05543_B21P_N_UFLEX98_M5358A8BA201511/dpll_52046/txpa_54161.png</t>
  </si>
  <si>
    <t>plots/20251231112652_3FT6Y119H04_05543_B21P_N_UFLEX98_M5358A8BA201511/dpll_52046/txpa_54162.png</t>
  </si>
  <si>
    <t>plots/20251231112652_3FT6Y119H04_05543_B21P_N_UFLEX98_M5358A8BA201511/dpll_52046/txpa_54163.png</t>
  </si>
  <si>
    <t>plots/20251231112652_3FT6Y119H04_05543_B21P_N_UFLEX98_M5358A8BA201511/dpll_52046/txpa_54164.png</t>
  </si>
  <si>
    <t>plots/20251231112652_3FT6Y119H04_05543_B21P_N_UFLEX98_M5358A8BA201511/dpll_52046/txpa_54165.png</t>
  </si>
  <si>
    <t>plots/20251231112652_3FT6Y119H04_05543_B21P_N_UFLEX98_M5358A8BA201511/dpll_52046/txpa_54166.png</t>
  </si>
  <si>
    <t>plots/20251231112652_3FT6Y119H04_05543_B21P_N_UFLEX98_M5358A8BA201511/dpll_52046/txpa_54167.png</t>
  </si>
  <si>
    <t>plots/20251231112652_3FT6Y119H04_05543_B21P_N_UFLEX98_M5358A8BA201511/dpll_52046/txpa_54168.png</t>
  </si>
  <si>
    <t>plots/20251231112652_3FT6Y119H04_05543_B21P_N_UFLEX98_M5358A8BA201511/dpll_52046/txpa_54169.png</t>
  </si>
  <si>
    <t>plots/20251231112652_3FT6Y119H04_05543_B21P_N_UFLEX98_M5358A8BA201511/dpll_52046/txpa_54170.png</t>
  </si>
  <si>
    <t>plots/20251231112652_3FT6Y119H04_05543_B21P_N_UFLEX98_M5358A8BA201511/dpll_52046/txpa_54171.png</t>
  </si>
  <si>
    <t>plots/20251231112652_3FT6Y119H04_05543_B21P_N_UFLEX98_M5358A8BA201511/dpll_52046/txpa_54172.png</t>
  </si>
  <si>
    <t>plots/20251231112652_3FT6Y119H04_05543_B21P_N_UFLEX98_M5358A8BA201511/dpll_52046/txpa_54173.png</t>
  </si>
  <si>
    <t>plots/20251231112652_3FT6Y119H04_05543_B21P_N_UFLEX98_M5358A8BA201511/dpll_52046/txpa_54174.png</t>
  </si>
  <si>
    <t>plots/20251231112652_3FT6Y119H04_05543_B21P_N_UFLEX98_M5358A8BA201511/dpll_52046/txpa_54175.png</t>
  </si>
  <si>
    <t>plots/20251231112652_3FT6Y119H04_05543_B21P_N_UFLEX98_M5358A8BA201511/dpll_52046/txpa_54176.png</t>
  </si>
  <si>
    <t>plots/20251231112652_3FT6Y119H04_05543_B21P_N_UFLEX98_M5358A8BA201511/dpll_52046/txpa_54177.png</t>
  </si>
  <si>
    <t>plots/20251231112652_3FT6Y119H04_05543_B21P_N_UFLEX98_M5358A8BA201511/dpll_52046/txpa_54178.png</t>
  </si>
  <si>
    <t>plots/20251231112652_3FT6Y119H04_05543_B21P_N_UFLEX98_M5358A8BA201511/dpll_52046/txpa_54179.png</t>
  </si>
  <si>
    <t>plots/20251231112652_3FT6Y119H04_05543_B21P_N_UFLEX98_M5358A8BA201511/dpll_52046/txpa_54180.png</t>
  </si>
  <si>
    <t>plots/20251231112652_3FT6Y119H04_05543_B21P_N_UFLEX98_M5358A8BA201511/dpll_52046/txpa_54181.png</t>
  </si>
  <si>
    <t>plots/20251231112652_3FT6Y119H04_05543_B21P_N_UFLEX98_M5358A8BA201511/dpll_52046/txpa_54182.png</t>
  </si>
  <si>
    <t>plots/20251231112652_3FT6Y119H04_05543_B21P_N_UFLEX98_M5358A8BA201511/dpll_52046/txpa_54183.png</t>
  </si>
  <si>
    <t>plots/20251231112652_3FT6Y119H04_05543_B21P_N_UFLEX98_M5358A8BA201511/dpll_52046/txpa_54184.png</t>
  </si>
  <si>
    <t>plots/20251231112652_3FT6Y119H04_05543_B21P_N_UFLEX98_M5358A8BA201511/dpll_52046/txpa_54185.png</t>
  </si>
  <si>
    <t>plots/20251231112652_3FT6Y119H04_05543_B21P_N_UFLEX98_M5358A8BA201511/dpll_52046/txpa_54186.png</t>
  </si>
  <si>
    <t>plots/20251231112652_3FT6Y119H04_05543_B21P_N_UFLEX98_M5358A8BA201511/dpll_52046/txpa_54187.png</t>
  </si>
  <si>
    <t>plots/20251231112652_3FT6Y119H04_05543_B21P_N_UFLEX98_M5358A8BA201511/dpll_52046/txpa_54188.png</t>
  </si>
  <si>
    <t>plots/20251231112652_3FT6Y119H04_05543_B21P_N_UFLEX98_M5358A8BA201511/dpll_52046/txpa_54189.png</t>
  </si>
  <si>
    <t>plots/20251231112652_3FT6Y119H04_05543_B21P_N_UFLEX98_M5358A8BA201511/dpll_52046/txpa_54190.png</t>
  </si>
  <si>
    <t>plots/20251231112652_3FT6Y119H04_05543_B21P_N_UFLEX98_M5358A8BA201511/dpll_52046/txpa_54191.png</t>
  </si>
  <si>
    <t>plots/20251231112652_3FT6Y119H04_05543_B21P_N_UFLEX98_M5358A8BA201511/dpll_52046/txpa_54192.png</t>
  </si>
  <si>
    <t>plots/20251231112652_3FT6Y119H04_05543_B21P_N_UFLEX98_M5358A8BA201511/dpll_52046/txpa_54193.png</t>
  </si>
  <si>
    <t>plots/20251231112652_3FT6Y119H04_05543_B21P_N_UFLEX98_M5358A8BA201511/dpll_52046/txpa_54194.png</t>
  </si>
  <si>
    <t>plots/20251231112652_3FT6Y119H04_05543_B21P_N_UFLEX98_M5358A8BA201511/dpll_52046/txpa_54195.png</t>
  </si>
  <si>
    <t>plots/20251231112652_3FT6Y119H04_05543_B21P_N_UFLEX98_M5358A8BA201511/dpll_52046/txpa_54196.png</t>
  </si>
  <si>
    <t>plots/20251231112652_3FT6Y119H04_05543_B21P_N_UFLEX98_M5358A8BA201511/dpll_52046/txpa_54197.png</t>
  </si>
  <si>
    <t>plots/20251231112652_3FT6Y119H04_05543_B21P_N_UFLEX98_M5358A8BA201511/dpll_52046/txpa_54198.png</t>
  </si>
  <si>
    <t>plots/20251231112652_3FT6Y119H04_05543_B21P_N_UFLEX98_M5358A8BA201511/dpll_52046/txpa_54199.png</t>
  </si>
  <si>
    <t>plots/20251231112652_3FT6Y119H04_05543_B21P_N_UFLEX98_M5358A8BA201511/dpll_52046/txpa_54200.png</t>
  </si>
  <si>
    <t>plots/20251231112652_3FT6Y119H04_05543_B21P_N_UFLEX98_M5358A8BA201511/dpll_52046/txpa_54201.png</t>
  </si>
  <si>
    <t>plots/20251231112652_3FT6Y119H04_05543_B21P_N_UFLEX98_M5358A8BA201511/dpll_52046/txpa_54202.png</t>
  </si>
  <si>
    <t>plots/20251231112652_3FT6Y119H04_05543_B21P_N_UFLEX98_M5358A8BA201511/dpll_52046/txpa_54203.png</t>
  </si>
  <si>
    <t>plots/20251231112652_3FT6Y119H04_05543_B21P_N_UFLEX98_M5358A8BA201511/dpll_52046/txpa_54204.png</t>
  </si>
  <si>
    <t>plots/20251231112652_3FT6Y119H04_05543_B21P_N_UFLEX98_M5358A8BA201511/dpll_52046/txpa_54205.png</t>
  </si>
  <si>
    <t>plots/20251231112652_3FT6Y119H04_05543_B21P_N_UFLEX98_M5358A8BA201511/dpll_52046/txpa_54206.png</t>
  </si>
  <si>
    <t>plots/20251231112652_3FT6Y119H04_05543_B21P_N_UFLEX98_M5358A8BA201511/dpll_52046/txpa_54207.png</t>
  </si>
  <si>
    <t>plots/20251231112652_3FT6Y119H04_05543_B21P_N_UFLEX98_M5358A8BA201511/dpll_52046/txpa_54208.png</t>
  </si>
  <si>
    <t>plots/20251231112652_3FT6Y119H04_05543_B21P_N_UFLEX98_M5358A8BA201511/dpll_52046/txpa_54209.png</t>
  </si>
  <si>
    <t>plots/20251231112652_3FT6Y119H04_05543_B21P_N_UFLEX98_M5358A8BA201511/dpll_52046/txpa_54210.png</t>
  </si>
  <si>
    <t>plots/20251231112652_3FT6Y119H04_05543_B21P_N_UFLEX98_M5358A8BA201511/dpll_52046/txpa_54211.png</t>
  </si>
  <si>
    <t>plots/20251231112652_3FT6Y119H04_05543_B21P_N_UFLEX98_M5358A8BA201511/dpll_52046/txpa_54212.png</t>
  </si>
  <si>
    <t>plots/20251231112652_3FT6Y119H04_05543_B21P_N_UFLEX98_M5358A8BA201511/dpll_52046/txpa_54213.png</t>
  </si>
  <si>
    <t>plots/20251231112652_3FT6Y119H04_05543_B21P_N_UFLEX98_M5358A8BA201511/dpll_52046/txpa_54214.png</t>
  </si>
  <si>
    <t>plots/20251231112652_3FT6Y119H04_05543_B21P_N_UFLEX98_M5358A8BA201511/dpll_52046/txpa_54215.png</t>
  </si>
  <si>
    <t>plots/20251231112652_3FT6Y119H04_05543_B21P_N_UFLEX98_M5358A8BA201511/dpll_52046/txpa_54216.png</t>
  </si>
  <si>
    <t>plots/20251231112652_3FT6Y119H04_05543_B21P_N_UFLEX98_M5358A8BA201511/dpll_52046/txpa_54217.png</t>
  </si>
  <si>
    <t>plots/20251231112652_3FT6Y119H04_05543_B21P_N_UFLEX98_M5358A8BA201511/dpll_52046/txpa_54218.png</t>
  </si>
  <si>
    <t>plots/20251231112652_3FT6Y119H04_05543_B21P_N_UFLEX98_M5358A8BA201511/dpll_52046/txpa_54219.png</t>
  </si>
  <si>
    <t>plots/20251231112652_3FT6Y119H04_05543_B21P_N_UFLEX98_M5358A8BA201511/dpll_52046/txpa_54220.png</t>
  </si>
  <si>
    <t>plots/20251231112652_3FT6Y119H04_05543_B21P_N_UFLEX98_M5358A8BA201511/dpll_52046/txpa_54221.png</t>
  </si>
  <si>
    <t>plots/20251231112652_3FT6Y119H04_05543_B21P_N_UFLEX98_M5358A8BA201511/dpll_52046/txpa_54222.png</t>
  </si>
  <si>
    <t>plots/20251231112652_3FT6Y119H04_05543_B21P_N_UFLEX98_M5358A8BA201511/dpll_52046/txpa_54223.png</t>
  </si>
  <si>
    <t>plots/20251231112652_3FT6Y119H04_05543_B21P_N_UFLEX98_M5358A8BA201511/dpll_52046/txpa_54224.png</t>
  </si>
  <si>
    <t>plots/20251231112652_3FT6Y119H04_05543_B21P_N_UFLEX98_M5358A8BA201511/dpll_52046/txpa_54225.png</t>
  </si>
  <si>
    <t>plots/20251231112652_3FT6Y119H04_05543_B21P_N_UFLEX98_M5358A8BA201511/dpll_52046/txpa_54226.png</t>
  </si>
  <si>
    <t>plots/20251231112652_3FT6Y119H04_05543_B21P_N_UFLEX98_M5358A8BA201511/dpll_52046/txpa_54227.png</t>
  </si>
  <si>
    <t>plots/20251231112652_3FT6Y119H04_05543_B21P_N_UFLEX98_M5358A8BA201511/dpll_52046/txpa_54228.png</t>
  </si>
  <si>
    <t>plots/20251231112652_3FT6Y119H04_05543_B21P_N_UFLEX98_M5358A8BA201511/dpll_52046/txpa_54229.png</t>
  </si>
  <si>
    <t>plots/20251231112652_3FT6Y119H04_05543_B21P_N_UFLEX98_M5358A8BA201511/dpll_52046/txpa_54230.png</t>
  </si>
  <si>
    <t>plots/20251231112652_3FT6Y119H04_05543_B21P_N_UFLEX98_M5358A8BA201511/dpll_52046/txpa_54231.png</t>
  </si>
  <si>
    <t>plots/20251231112652_3FT6Y119H04_05543_B21P_N_UFLEX98_M5358A8BA201511/dpll_52046/txpa_54232.png</t>
  </si>
  <si>
    <t>plots/20251231112652_3FT6Y119H04_05543_B21P_N_UFLEX98_M5358A8BA201511/dpll_52046/txpa_54233.png</t>
  </si>
  <si>
    <t>plots/20251231112652_3FT6Y119H04_05543_B21P_N_UFLEX98_M5358A8BA201511/dpll_52046/txpa_54234.png</t>
  </si>
  <si>
    <t>plots/20251231112652_3FT6Y119H04_05543_B21P_N_UFLEX98_M5358A8BA201511/dpll_52046/txpa_54235.png</t>
  </si>
  <si>
    <t>plots/20251231112652_3FT6Y119H04_05543_B21P_N_UFLEX98_M5358A8BA201511/dpll_52046/txpa_54236.png</t>
  </si>
  <si>
    <t>plots/20251231112652_3FT6Y119H04_05543_B21P_N_UFLEX98_M5358A8BA201511/dpll_52046/txpa_54237.png</t>
  </si>
  <si>
    <t>plots/20251231112652_3FT6Y119H04_05543_B21P_N_UFLEX98_M5358A8BA201511/dpll_52046/txpa_54238.png</t>
  </si>
  <si>
    <t>plots/20251231112652_3FT6Y119H04_05543_B21P_N_UFLEX98_M5358A8BA201511/dpll_52046/txpa_54239.png</t>
  </si>
  <si>
    <t>plots/20251231112652_3FT6Y119H04_05543_B21P_N_UFLEX98_M5358A8BA201511/dpll_52046/txpa_54240.png</t>
  </si>
  <si>
    <t>plots/20251231112652_3FT6Y119H04_05543_B21P_N_UFLEX98_M5358A8BA201511/dpll_52046/txpa_54241.png</t>
  </si>
  <si>
    <t>plots/20251231112652_3FT6Y119H04_05543_B21P_N_UFLEX98_M5358A8BA201511/dpll_52046/txpa_54242.png</t>
  </si>
  <si>
    <t>plots/20251231112652_3FT6Y119H04_05543_B21P_N_UFLEX98_M5358A8BA201511/dpll_52046/txpa_54243.png</t>
  </si>
  <si>
    <t>plots/20251231112652_3FT6Y119H04_05543_B21P_N_UFLEX98_M5358A8BA201511/dpll_52046/txpa_54244.png</t>
  </si>
  <si>
    <t>plots/20251231112652_3FT6Y119H04_05543_B21P_N_UFLEX98_M5358A8BA201511/dpll_52046/txpa_54245.png</t>
  </si>
  <si>
    <t>plots/20251231112652_3FT6Y119H04_05543_B21P_N_UFLEX98_M5358A8BA201511/dpll_52046/txpa_54246.png</t>
  </si>
  <si>
    <t>plots/20251231112652_3FT6Y119H04_05543_B21P_N_UFLEX98_M5358A8BA201511/dpll_52046/txpa_54247.png</t>
  </si>
  <si>
    <t>plots/20251231112652_3FT6Y119H04_05543_B21P_N_UFLEX98_M5358A8BA201511/dpll_52046/txpa_54248.png</t>
  </si>
  <si>
    <t>plots/20251231112652_3FT6Y119H04_05543_B21P_N_UFLEX98_M5358A8BA201511/dpll_52046/txpa_54249.png</t>
  </si>
  <si>
    <t>plots/20251231112652_3FT6Y119H04_05543_B21P_N_UFLEX98_M5358A8BA201511/dpll_52046/txpa_54250.png</t>
  </si>
  <si>
    <t>plots/20251231112652_3FT6Y119H04_05543_B21P_N_UFLEX98_M5358A8BA201511/dpll_52046/txpa_54251.png</t>
  </si>
  <si>
    <t>plots/20251231112652_3FT6Y119H04_05543_B21P_N_UFLEX98_M5358A8BA201511/dpll_52046/txpa_54252.png</t>
  </si>
  <si>
    <t>plots/20251231112652_3FT6Y119H04_05543_B21P_N_UFLEX98_M5358A8BA201511/dpll_52046/txpa_54253.png</t>
  </si>
  <si>
    <t>plots/20251231112652_3FT6Y119H04_05543_B21P_N_UFLEX98_M5358A8BA201511/dpll_52046/txpa_54254.png</t>
  </si>
  <si>
    <t>plots/20251231112652_3FT6Y119H04_05543_B21P_N_UFLEX98_M5358A8BA201511/dpll_52046/txpa_54255.png</t>
  </si>
  <si>
    <t>plots/20251231112652_3FT6Y119H04_05543_B21P_N_UFLEX98_M5358A8BA201511/dpll_52046/txpa_54256.png</t>
  </si>
  <si>
    <t>plots/20251231112652_3FT6Y119H04_05543_B21P_N_UFLEX98_M5358A8BA201511/dpll_52046/txpa_54257.png</t>
  </si>
  <si>
    <t>plots/20251231112652_3FT6Y119H04_05543_B21P_N_UFLEX98_M5358A8BA201511/dpll_52046/txpa_54258.png</t>
  </si>
  <si>
    <t>plots/20251231112652_3FT6Y119H04_05543_B21P_N_UFLEX98_M5358A8BA201511/dpll_52046/txpa_55146.png</t>
  </si>
  <si>
    <t>plots/20251231112652_3FT6Y119H04_05543_B21P_N_UFLEX98_M5358A8BA201511/dpll_52046/txpa_55147.png</t>
  </si>
  <si>
    <t>plots/20251231112652_3FT6Y119H04_05543_B21P_N_UFLEX98_M5358A8BA201511/dpll_52046/txpa_55148.png</t>
  </si>
  <si>
    <t>plots/20251231112652_3FT6Y119H04_05543_B21P_N_UFLEX98_M5358A8BA201511/dpll_52046/txpa_55149.png</t>
  </si>
  <si>
    <t>plots/20251231112652_3FT6Y119H04_05543_B21P_N_UFLEX98_M5358A8BA201511/dpll_52046/txpa_55150.png</t>
  </si>
  <si>
    <t>plots/20251231112652_3FT6Y119H04_05543_B21P_N_UFLEX98_M5358A8BA201511/dpll_52046/txpa_55151.png</t>
  </si>
  <si>
    <t>plots/20251231112652_3FT6Y119H04_05543_B21P_N_UFLEX98_M5358A8BA201511/dpll_52046/txpa_55152.png</t>
  </si>
  <si>
    <t>plots/20251231112652_3FT6Y119H04_05543_B21P_N_UFLEX98_M5358A8BA201511/dpll_52046/txpa_55153.png</t>
  </si>
  <si>
    <t>plots/20251231112652_3FT6Y119H04_05543_B21P_N_UFLEX98_M5358A8BA201511/dpll_52046/txpa_55154.png</t>
  </si>
  <si>
    <t>plots/20251231112652_3FT6Y119H04_05543_B21P_N_UFLEX98_M5358A8BA201511/dpll_52046/txpa_55155.png</t>
  </si>
  <si>
    <t>plots/20251231112652_3FT6Y119H04_05543_B21P_N_UFLEX98_M5358A8BA201511/dpll_52046/txpa_55156.png</t>
  </si>
  <si>
    <t>plots/20251231112652_3FT6Y119H04_05543_B21P_N_UFLEX98_M5358A8BA201511/dpll_52046/txpa_55157.png</t>
  </si>
  <si>
    <t>plots/20251231112652_3FT6Y119H04_05543_B21P_N_UFLEX98_M5358A8BA201511/dpll_52046/txpa_55158.png</t>
  </si>
  <si>
    <t>plots/20251231112652_3FT6Y119H04_05543_B21P_N_UFLEX98_M5358A8BA201511/dpll_52046/txpa_55159.png</t>
  </si>
  <si>
    <t>plots/20251231112652_3FT6Y119H04_05543_B21P_N_UFLEX98_M5358A8BA201511/dpll_52046/txpa_55160.png</t>
  </si>
  <si>
    <t>plots/20251231112652_3FT6Y119H04_05543_B21P_N_UFLEX98_M5358A8BA201511/dpll_52046/txpa_55161.png</t>
  </si>
  <si>
    <t>plots/20251231112652_3FT6Y119H04_05543_B21P_N_UFLEX98_M5358A8BA201511/dpll_52046/txpa_55162.png</t>
  </si>
  <si>
    <t>plots/20251231112652_3FT6Y119H04_05543_B21P_N_UFLEX98_M5358A8BA201511/dpll_52046/txpa_55163.png</t>
  </si>
  <si>
    <t>plots/20251231112652_3FT6Y119H04_05543_B21P_N_UFLEX98_M5358A8BA201511/dpll_52046/txpa_55164.png</t>
  </si>
  <si>
    <t>plots/20251231112652_3FT6Y119H04_05543_B21P_N_UFLEX98_M5358A8BA201511/dpll_52046/txpa_55165.png</t>
  </si>
  <si>
    <t>plots/20251231112652_3FT6Y119H04_05543_B21P_N_UFLEX98_M5358A8BA201511/dpll_52046/txpa_55166.png</t>
  </si>
  <si>
    <t>plots/20251231112652_3FT6Y119H04_05543_B21P_N_UFLEX98_M5358A8BA201511/dpll_52046/txpa_55167.png</t>
  </si>
  <si>
    <t>plots/20251231112652_3FT6Y119H04_05543_B21P_N_UFLEX98_M5358A8BA201511/dpll_52046/txpa_55168.png</t>
  </si>
  <si>
    <t>plots/20251231112652_3FT6Y119H04_05543_B21P_N_UFLEX98_M5358A8BA201511/dpll_52046/txpa_55169.png</t>
  </si>
  <si>
    <t>plots/20251231112652_3FT6Y119H04_05543_B21P_N_UFLEX98_M5358A8BA201511/dpll_52046/txpa_55170.png</t>
  </si>
  <si>
    <t>plots/20251231112652_3FT6Y119H04_05543_B21P_N_UFLEX98_M5358A8BA201511/dpll_52046/txpa_55171.png</t>
  </si>
  <si>
    <t>plots/20251231112652_3FT6Y119H04_05543_B21P_N_UFLEX98_M5358A8BA201511/dpll_52046/txpa_55172.png</t>
  </si>
  <si>
    <t>plots/20251231112652_3FT6Y119H04_05543_B21P_N_UFLEX98_M5358A8BA201511/dpll_52046/txpa_55173.png</t>
  </si>
  <si>
    <t>plots/20251231112652_3FT6Y119H04_05543_B21P_N_UFLEX98_M5358A8BA201511/dpll_52046/txpa_55174.png</t>
  </si>
  <si>
    <t>plots/20251231112652_3FT6Y119H04_05543_B21P_N_UFLEX98_M5358A8BA201511/dpll_52046/txpa_55175.png</t>
  </si>
  <si>
    <t>plots/20251231112652_3FT6Y119H04_05543_B21P_N_UFLEX98_M5358A8BA201511/dpll_52046/txpa_55176.png</t>
  </si>
  <si>
    <t>plots/20251231112652_3FT6Y119H04_05543_B21P_N_UFLEX98_M5358A8BA201511/dpll_52046/txpa_55177.png</t>
  </si>
  <si>
    <t>plots/20251231112652_3FT6Y119H04_05543_B21P_N_UFLEX98_M5358A8BA201511/dpll_52046/txpa_55178.png</t>
  </si>
  <si>
    <t>plots/20251231112652_3FT6Y119H04_05543_B21P_N_UFLEX98_M5358A8BA201511/dpll_52046/txpa_55179.png</t>
  </si>
  <si>
    <t>plots/20251231112652_3FT6Y119H04_05543_B21P_N_UFLEX98_M5358A8BA201511/dpll_52046/txpa_55180.png</t>
  </si>
  <si>
    <t>plots/20251231112652_3FT6Y119H04_05543_B21P_N_UFLEX98_M5358A8BA201511/dpll_52046/txpa_55181.png</t>
  </si>
  <si>
    <t>plots/20251231112652_3FT6Y119H04_05543_B21P_N_UFLEX98_M5358A8BA201511/dpll_52046/txpa_55182.png</t>
  </si>
  <si>
    <t>plots/20251231112652_3FT6Y119H04_05543_B21P_N_UFLEX98_M5358A8BA201511/dpll_52046/txpa_55183.png</t>
  </si>
  <si>
    <t>plots/20251231112652_3FT6Y119H04_05543_B21P_N_UFLEX98_M5358A8BA201511/dpll_52046/txpa_55184.png</t>
  </si>
  <si>
    <t>plots/20251231112652_3FT6Y119H04_05543_B21P_N_UFLEX98_M5358A8BA201511/dpll_52046/txpa_55185.png</t>
  </si>
  <si>
    <t>plots/20251231112652_3FT6Y119H04_05543_B21P_N_UFLEX98_M5358A8BA201511/dpll_52046/txpa_55186.png</t>
  </si>
  <si>
    <t>plots/20251231112652_3FT6Y119H04_05543_B21P_N_UFLEX98_M5358A8BA201511/dpll_52046/txpa_55187.png</t>
  </si>
  <si>
    <t>plots/20251231112652_3FT6Y119H04_05543_B21P_N_UFLEX98_M5358A8BA201511/dpll_52046/txpa_55188.png</t>
  </si>
  <si>
    <t>plots/20251231112652_3FT6Y119H04_05543_B21P_N_UFLEX98_M5358A8BA201511/dpll_52046/txpa_55189.png</t>
  </si>
  <si>
    <t>plots/20251231112652_3FT6Y119H04_05543_B21P_N_UFLEX98_M5358A8BA201511/dpll_52046/txpa_55190.png</t>
  </si>
  <si>
    <t>plots/20251231112652_3FT6Y119H04_05543_B21P_N_UFLEX98_M5358A8BA201511/dpll_52046/txpa_55191.png</t>
  </si>
  <si>
    <t>plots/20251231112652_3FT6Y119H04_05543_B21P_N_UFLEX98_M5358A8BA201511/dpll_52046/txpa_55192.png</t>
  </si>
  <si>
    <t>plots/20251231112652_3FT6Y119H04_05543_B21P_N_UFLEX98_M5358A8BA201511/dpll_52046/txpa_55193.png</t>
  </si>
  <si>
    <t>plots/20251231112652_3FT6Y119H04_05543_B21P_N_UFLEX98_M5358A8BA201511/dpll_52046/txpa_55194.png</t>
  </si>
  <si>
    <t>plots/20251231112652_3FT6Y119H04_05543_B21P_N_UFLEX98_M5358A8BA201511/dpll_52046/txpa_55195.png</t>
  </si>
  <si>
    <t>plots/20251231112652_3FT6Y119H04_05543_B21P_N_UFLEX98_M5358A8BA201511/dpll_52046/txpa_55196.png</t>
  </si>
  <si>
    <t>plots/20251231112652_3FT6Y119H04_05543_B21P_N_UFLEX98_M5358A8BA201511/dpll_52046/txpa_55197.png</t>
  </si>
  <si>
    <t>plots/20251231112652_3FT6Y119H04_05543_B21P_N_UFLEX98_M5358A8BA201511/dpll_52046/txpa_55198.png</t>
  </si>
  <si>
    <t>plots/20251231112652_3FT6Y119H04_05543_B21P_N_UFLEX98_M5358A8BA201511/dpll_52046/txpa_55199.png</t>
  </si>
  <si>
    <t>plots/20251231112652_3FT6Y119H04_05543_B21P_N_UFLEX98_M5358A8BA201511/dpll_52046/txpa_55200.png</t>
  </si>
  <si>
    <t>plots/20251231112652_3FT6Y119H04_05543_B21P_N_UFLEX98_M5358A8BA201511/dpll_52046/txpa_55201.png</t>
  </si>
  <si>
    <t>plots/20251231112652_3FT6Y119H04_05543_B21P_N_UFLEX98_M5358A8BA201511/dpll_52046/txpa_55202.png</t>
  </si>
  <si>
    <t>plots/20251231112652_3FT6Y119H04_05543_B21P_N_UFLEX98_M5358A8BA201511/dpll_52046/txpa_55203.png</t>
  </si>
  <si>
    <t>plots/20251231112652_3FT6Y119H04_05543_B21P_N_UFLEX98_M5358A8BA201511/dpll_52046/txpa_55204.png</t>
  </si>
  <si>
    <t>plots/20251231112652_3FT6Y119H04_05543_B21P_N_UFLEX98_M5358A8BA201511/dpll_52046/txpa_55205.png</t>
  </si>
  <si>
    <t>plots/20251231112652_3FT6Y119H04_05543_B21P_N_UFLEX98_M5358A8BA201511/dpll_52046/txpa_55206.png</t>
  </si>
  <si>
    <t>plots/20251231112652_3FT6Y119H04_05543_B21P_N_UFLEX98_M5358A8BA201511/dpll_52046/txpa_55207.png</t>
  </si>
  <si>
    <t>plots/20251231112652_3FT6Y119H04_05543_B21P_N_UFLEX98_M5358A8BA201511/dpll_52046/txpa_55208.png</t>
  </si>
  <si>
    <t>plots/20251231112652_3FT6Y119H04_05543_B21P_N_UFLEX98_M5358A8BA201511/dpll_52046/txpa_55209.png</t>
  </si>
  <si>
    <t>plots/20251231112652_3FT6Y119H04_05543_B21P_N_UFLEX98_M5358A8BA201511/dpll_52046/txpa_55210.png</t>
  </si>
  <si>
    <t>plots/20251231112652_3FT6Y119H04_05543_B21P_N_UFLEX98_M5358A8BA201511/dpll_52046/txpa_55211.png</t>
  </si>
  <si>
    <t>plots/20251231112652_3FT6Y119H04_05543_B21P_N_UFLEX98_M5358A8BA201511/dpll_52046/txpa_55212.png</t>
  </si>
  <si>
    <t>plots/20251231112652_3FT6Y119H04_05543_B21P_N_UFLEX98_M5358A8BA201511/dpll_52046/txpa_55213.png</t>
  </si>
  <si>
    <t>plots/20251231112652_3FT6Y119H04_05543_B21P_N_UFLEX98_M5358A8BA201511/dpll_52046/txpa_55214.png</t>
  </si>
  <si>
    <t>plots/20251231112652_3FT6Y119H04_05543_B21P_N_UFLEX98_M5358A8BA201511/dpll_52046/txpa_55215.png</t>
  </si>
  <si>
    <t>plots/20251231112652_3FT6Y119H04_05543_B21P_N_UFLEX98_M5358A8BA201511/dpll_52046/txpa_55216.png</t>
  </si>
  <si>
    <t>plots/20251231112652_3FT6Y119H04_05543_B21P_N_UFLEX98_M5358A8BA201511/dpll_52046/txpa_55217.png</t>
  </si>
  <si>
    <t>plots/20251231112652_3FT6Y119H04_05543_B21P_N_UFLEX98_M5358A8BA201511/dpll_52046/txpa_55218.png</t>
  </si>
  <si>
    <t>plots/20251231112652_3FT6Y119H04_05543_B21P_N_UFLEX98_M5358A8BA201511/dpll_52046/txpa_55219.png</t>
  </si>
  <si>
    <t>plots/20251231112652_3FT6Y119H04_05543_B21P_N_UFLEX98_M5358A8BA201511/dpll_52046/txpa_55220.png</t>
  </si>
  <si>
    <t>plots/20251231112652_3FT6Y119H04_05543_B21P_N_UFLEX98_M5358A8BA201511/dpll_52046/txpa_55221.png</t>
  </si>
  <si>
    <t>plots/20251231112652_3FT6Y119H04_05543_B21P_N_UFLEX98_M5358A8BA201511/dpll_52046/txpa_55222.png</t>
  </si>
  <si>
    <t>plots/20251231112652_3FT6Y119H04_05543_B21P_N_UFLEX98_M5358A8BA201511/dpll_52046/txpa_55223.png</t>
  </si>
  <si>
    <t>plots/20251231112652_3FT6Y119H04_05543_B21P_N_UFLEX98_M5358A8BA201511/dpll_52046/txpa_55224.png</t>
  </si>
  <si>
    <t>plots/20251231112652_3FT6Y119H04_05543_B21P_N_UFLEX98_M5358A8BA201511/dpll_52046/txpa_55225.png</t>
  </si>
  <si>
    <t>plots/20251231112652_3FT6Y119H04_05543_B21P_N_UFLEX98_M5358A8BA201511/dpll_52046/txpa_55226.png</t>
  </si>
  <si>
    <t>plots/20251231112652_3FT6Y119H04_05543_B21P_N_UFLEX98_M5358A8BA201511/dpll_52046/txpa_55227.png</t>
  </si>
  <si>
    <t>plots/20251231112652_3FT6Y119H04_05543_B21P_N_UFLEX98_M5358A8BA201511/dpll_52046/txpa_55228.png</t>
  </si>
  <si>
    <t>plots/20251231112652_3FT6Y119H04_05543_B21P_N_UFLEX98_M5358A8BA201511/dpll_52046/txpa_55229.png</t>
  </si>
  <si>
    <t>plots/20251231112652_3FT6Y119H04_05543_B21P_N_UFLEX98_M5358A8BA201511/dpll_52046/txpa_55230.png</t>
  </si>
  <si>
    <t>plots/20251231112652_3FT6Y119H04_05543_B21P_N_UFLEX98_M5358A8BA201511/dpll_52046/txpa_55231.png</t>
  </si>
  <si>
    <t>plots/20251231112652_3FT6Y119H04_05543_B21P_N_UFLEX98_M5358A8BA201511/dpll_52046/txpa_55232.png</t>
  </si>
  <si>
    <t>plots/20251231112652_3FT6Y119H04_05543_B21P_N_UFLEX98_M5358A8BA201511/dpll_52046/txpa_55233.png</t>
  </si>
  <si>
    <t>plots/20251231112652_3FT6Y119H04_05543_B21P_N_UFLEX98_M5358A8BA201511/dpll_52046/txpa_55234.png</t>
  </si>
  <si>
    <t>plots/20251231112652_3FT6Y119H04_05543_B21P_N_UFLEX98_M5358A8BA201511/dpll_52046/txpa_55235.png</t>
  </si>
  <si>
    <t>plots/20251231112652_3FT6Y119H04_05543_B21P_N_UFLEX98_M5358A8BA201511/dpll_52046/txpa_55236.png</t>
  </si>
  <si>
    <t>plots/20251231112652_3FT6Y119H04_05543_B21P_N_UFLEX98_M5358A8BA201511/dpll_52046/txpa_55237.png</t>
  </si>
  <si>
    <t>plots/20251231112652_3FT6Y119H04_05543_B21P_N_UFLEX98_M5358A8BA201511/dpll_52046/txpa_55238.png</t>
  </si>
  <si>
    <t>plots/20251231112652_3FT6Y119H04_05543_B21P_N_UFLEX98_M5358A8BA201511/dpll_52046/txpa_55239.png</t>
  </si>
  <si>
    <t>plots/20251231112652_3FT6Y119H04_05543_B21P_N_UFLEX98_M5358A8BA201511/dpll_52046/txpa_55240.png</t>
  </si>
  <si>
    <t>plots/20251231112652_3FT6Y119H04_05543_B21P_N_UFLEX98_M5358A8BA201511/dpll_52046/txpa_55241.png</t>
  </si>
  <si>
    <t>plots/20251231112652_3FT6Y119H04_05543_B21P_N_UFLEX98_M5358A8BA201511/dpll_52046/txpa_55242.png</t>
  </si>
  <si>
    <t>plots/20251231112652_3FT6Y119H04_05543_B21P_N_UFLEX98_M5358A8BA201511/dpll_52046/txpa_55243.png</t>
  </si>
  <si>
    <t>plots/20251231112652_3FT6Y119H04_05543_B21P_N_UFLEX98_M5358A8BA201511/dpll_52046/txpa_55244.png</t>
  </si>
  <si>
    <t>plots/20251231112652_3FT6Y119H04_05543_B21P_N_UFLEX98_M5358A8BA201511/dpll_52046/txpa_55245.png</t>
  </si>
  <si>
    <t>plots/20251231112652_3FT6Y119H04_05543_B21P_N_UFLEX98_M5358A8BA201511/dpll_52046/txpa_55246.png</t>
  </si>
  <si>
    <t>plots/20251231112652_3FT6Y119H04_05543_B21P_N_UFLEX98_M5358A8BA201511/dpll_52046/txpa_55247.png</t>
  </si>
  <si>
    <t>plots/20251231112652_3FT6Y119H04_05543_B21P_N_UFLEX98_M5358A8BA201511/dpll_52046/txpa_55248.png</t>
  </si>
  <si>
    <t>plots/20251231112652_3FT6Y119H04_05543_B21P_N_UFLEX98_M5358A8BA201511/dpll_52046/txpa_55249.png</t>
  </si>
  <si>
    <t>plots/20251231112652_3FT6Y119H04_05543_B21P_N_UFLEX98_M5358A8BA201511/dpll_52046/txpa_55250.png</t>
  </si>
  <si>
    <t>plots/20251231112652_3FT6Y119H04_05543_B21P_N_UFLEX98_M5358A8BA201511/dpll_52046/txpa_55251.png</t>
  </si>
  <si>
    <t>plots/20251231112652_3FT6Y119H04_05543_B21P_N_UFLEX98_M5358A8BA201511/dpll_52046/txpa_55252.png</t>
  </si>
  <si>
    <t>plots/20251231112652_3FT6Y119H04_05543_B21P_N_UFLEX98_M5358A8BA201511/dpll_52046/txpa_55253.png</t>
  </si>
  <si>
    <t>plots/20251231112652_3FT6Y119H04_05543_B21P_N_UFLEX98_M5358A8BA201511/dpll_52046/txpa_55254.png</t>
  </si>
  <si>
    <t>plots/20251231112652_3FT6Y119H04_05543_B21P_N_UFLEX98_M5358A8BA201511/dpll_52046/txpa_55255.png</t>
  </si>
  <si>
    <t>plots/20251231112652_3FT6Y119H04_05543_B21P_N_UFLEX98_M5358A8BA201511/dpll_52046/txpa_55256.png</t>
  </si>
  <si>
    <t>plots/20251231112652_3FT6Y119H04_05543_B21P_N_UFLEX98_M5358A8BA201511/dpll_52046/txpa_55257.png</t>
  </si>
  <si>
    <t>plots/20251231112652_3FT6Y119H04_05543_B21P_N_UFLEX98_M5358A8BA201511/dpll_52046/txpa_55258.png</t>
  </si>
  <si>
    <t>plots/20251231112652_3FT6Y119H04_05543_B21P_N_UFLEX98_M5358A8BA201511/dpll_52084/txpa_53179.png</t>
  </si>
  <si>
    <t>plots/20251231112652_3FT6Y119H04_05543_B21P_N_UFLEX98_M5358A8BA201511/dpll_52084/txpa_53180.png</t>
  </si>
  <si>
    <t>plots/20251231112652_3FT6Y119H04_05543_B21P_N_UFLEX98_M5358A8BA201511/dpll_52084/txpa_53181.png</t>
  </si>
  <si>
    <t>plots/20251231112652_3FT6Y119H04_05543_B21P_N_UFLEX98_M5358A8BA201511/dpll_52084/txpa_53182.png</t>
  </si>
  <si>
    <t>plots/20251231112652_3FT6Y119H04_05543_B21P_N_UFLEX98_M5358A8BA201511/dpll_52084/txpa_53183.png</t>
  </si>
  <si>
    <t>plots/20251231112652_3FT6Y119H04_05543_B21P_N_UFLEX98_M5358A8BA201511/dpll_52084/txpa_53184.png</t>
  </si>
  <si>
    <t>plots/20251231112652_3FT6Y119H04_05543_B21P_N_UFLEX98_M5358A8BA201511/dpll_52084/txpa_53185.png</t>
  </si>
  <si>
    <t>plots/20251231112652_3FT6Y119H04_05543_B21P_N_UFLEX98_M5358A8BA201511/dpll_52084/txpa_53186.png</t>
  </si>
  <si>
    <t>plots/20251231112652_3FT6Y119H04_05543_B21P_N_UFLEX98_M5358A8BA201511/dpll_52084/txpa_53187.png</t>
  </si>
  <si>
    <t>plots/20251231112652_3FT6Y119H04_05543_B21P_N_UFLEX98_M5358A8BA201511/dpll_52084/txpa_53188.png</t>
  </si>
  <si>
    <t>plots/20251231112652_3FT6Y119H04_05543_B21P_N_UFLEX98_M5358A8BA201511/dpll_52084/txpa_53189.png</t>
  </si>
  <si>
    <t>plots/20251231112652_3FT6Y119H04_05543_B21P_N_UFLEX98_M5358A8BA201511/dpll_52084/txpa_53190.png</t>
  </si>
  <si>
    <t>plots/20251231112652_3FT6Y119H04_05543_B21P_N_UFLEX98_M5358A8BA201511/dpll_52084/txpa_53191.png</t>
  </si>
  <si>
    <t>plots/20251231112652_3FT6Y119H04_05543_B21P_N_UFLEX98_M5358A8BA201511/dpll_52084/txpa_53192.png</t>
  </si>
  <si>
    <t>plots/20251231112652_3FT6Y119H04_05543_B21P_N_UFLEX98_M5358A8BA201511/dpll_52084/txpa_53193.png</t>
  </si>
  <si>
    <t>plots/20251231112652_3FT6Y119H04_05543_B21P_N_UFLEX98_M5358A8BA201511/dpll_52084/txpa_53194.png</t>
  </si>
  <si>
    <t>plots/20251231112652_3FT6Y119H04_05543_B21P_N_UFLEX98_M5358A8BA201511/dpll_52084/txpa_53195.png</t>
  </si>
  <si>
    <t>plots/20251231112652_3FT6Y119H04_05543_B21P_N_UFLEX98_M5358A8BA201511/dpll_52084/txpa_53196.png</t>
  </si>
  <si>
    <t>plots/20251231112652_3FT6Y119H04_05543_B21P_N_UFLEX98_M5358A8BA201511/dpll_52084/txpa_53197.png</t>
  </si>
  <si>
    <t>plots/20251231112652_3FT6Y119H04_05543_B21P_N_UFLEX98_M5358A8BA201511/dpll_52084/txpa_53198.png</t>
  </si>
  <si>
    <t>plots/20251231112652_3FT6Y119H04_05543_B21P_N_UFLEX98_M5358A8BA201511/dpll_52084/txpa_53199.png</t>
  </si>
  <si>
    <t>plots/20251231112652_3FT6Y119H04_05543_B21P_N_UFLEX98_M5358A8BA201511/dpll_52084/txpa_53200.png</t>
  </si>
  <si>
    <t>plots/20251231112652_3FT6Y119H04_05543_B21P_N_UFLEX98_M5358A8BA201511/dpll_52084/txpa_53201.png</t>
  </si>
  <si>
    <t>plots/20251231112652_3FT6Y119H04_05543_B21P_N_UFLEX98_M5358A8BA201511/dpll_52084/txpa_53202.png</t>
  </si>
  <si>
    <t>plots/20251231112652_3FT6Y119H04_05543_B21P_N_UFLEX98_M5358A8BA201511/dpll_52084/txpa_53203.png</t>
  </si>
  <si>
    <t>plots/20251231112652_3FT6Y119H04_05543_B21P_N_UFLEX98_M5358A8BA201511/dpll_52084/txpa_53204.png</t>
  </si>
  <si>
    <t>plots/20251231112652_3FT6Y119H04_05543_B21P_N_UFLEX98_M5358A8BA201511/dpll_52084/txpa_53205.png</t>
  </si>
  <si>
    <t>plots/20251231112652_3FT6Y119H04_05543_B21P_N_UFLEX98_M5358A8BA201511/dpll_52084/txpa_53206.png</t>
  </si>
  <si>
    <t>plots/20251231112652_3FT6Y119H04_05543_B21P_N_UFLEX98_M5358A8BA201511/dpll_52084/txpa_53207.png</t>
  </si>
  <si>
    <t>plots/20251231112652_3FT6Y119H04_05543_B21P_N_UFLEX98_M5358A8BA201511/dpll_52084/txpa_53208.png</t>
  </si>
  <si>
    <t>plots/20251231112652_3FT6Y119H04_05543_B21P_N_UFLEX98_M5358A8BA201511/dpll_52084/txpa_53209.png</t>
  </si>
  <si>
    <t>plots/20251231112652_3FT6Y119H04_05543_B21P_N_UFLEX98_M5358A8BA201511/dpll_52084/txpa_53210.png</t>
  </si>
  <si>
    <t>plots/20251231112652_3FT6Y119H04_05543_B21P_N_UFLEX98_M5358A8BA201511/dpll_52084/txpa_53211.png</t>
  </si>
  <si>
    <t>plots/20251231112652_3FT6Y119H04_05543_B21P_N_UFLEX98_M5358A8BA201511/dpll_52084/txpa_53212.png</t>
  </si>
  <si>
    <t>plots/20251231112652_3FT6Y119H04_05543_B21P_N_UFLEX98_M5358A8BA201511/dpll_52084/txpa_53213.png</t>
  </si>
  <si>
    <t>plots/20251231112652_3FT6Y119H04_05543_B21P_N_UFLEX98_M5358A8BA201511/dpll_52084/txpa_53214.png</t>
  </si>
  <si>
    <t>plots/20251231112652_3FT6Y119H04_05543_B21P_N_UFLEX98_M5358A8BA201511/dpll_52084/txpa_53215.png</t>
  </si>
  <si>
    <t>plots/20251231112652_3FT6Y119H04_05543_B21P_N_UFLEX98_M5358A8BA201511/dpll_52084/txpa_53216.png</t>
  </si>
  <si>
    <t>plots/20251231112652_3FT6Y119H04_05543_B21P_N_UFLEX98_M5358A8BA201511/dpll_52084/txpa_53217.png</t>
  </si>
  <si>
    <t>plots/20251231112652_3FT6Y119H04_05543_B21P_N_UFLEX98_M5358A8BA201511/dpll_52084/txpa_53218.png</t>
  </si>
  <si>
    <t>plots/20251231112652_3FT6Y119H04_05543_B21P_N_UFLEX98_M5358A8BA201511/dpll_52084/txpa_53219.png</t>
  </si>
  <si>
    <t>plots/20251231112652_3FT6Y119H04_05543_B21P_N_UFLEX98_M5358A8BA201511/dpll_52084/txpa_53220.png</t>
  </si>
  <si>
    <t>plots/20251231112652_3FT6Y119H04_05543_B21P_N_UFLEX98_M5358A8BA201511/dpll_52084/txpa_53221.png</t>
  </si>
  <si>
    <t>plots/20251231112652_3FT6Y119H04_05543_B21P_N_UFLEX98_M5358A8BA201511/dpll_52084/txpa_53222.png</t>
  </si>
  <si>
    <t>plots/20251231112652_3FT6Y119H04_05543_B21P_N_UFLEX98_M5358A8BA201511/dpll_52084/txpa_53223.png</t>
  </si>
  <si>
    <t>plots/20251231112652_3FT6Y119H04_05543_B21P_N_UFLEX98_M5358A8BA201511/dpll_52084/txpa_53224.png</t>
  </si>
  <si>
    <t>plots/20251231112652_3FT6Y119H04_05543_B21P_N_UFLEX98_M5358A8BA201511/dpll_52084/txpa_53225.png</t>
  </si>
  <si>
    <t>plots/20251231112652_3FT6Y119H04_05543_B21P_N_UFLEX98_M5358A8BA201511/dpll_52084/txpa_53226.png</t>
  </si>
  <si>
    <t>plots/20251231112652_3FT6Y119H04_05543_B21P_N_UFLEX98_M5358A8BA201511/dpll_52084/txpa_53227.png</t>
  </si>
  <si>
    <t>plots/20251231112652_3FT6Y119H04_05543_B21P_N_UFLEX98_M5358A8BA201511/dpll_52084/txpa_53228.png</t>
  </si>
  <si>
    <t>plots/20251231112652_3FT6Y119H04_05543_B21P_N_UFLEX98_M5358A8BA201511/dpll_52084/txpa_53229.png</t>
  </si>
  <si>
    <t>plots/20251231112652_3FT6Y119H04_05543_B21P_N_UFLEX98_M5358A8BA201511/dpll_52084/txpa_53230.png</t>
  </si>
  <si>
    <t>plots/20251231112652_3FT6Y119H04_05543_B21P_N_UFLEX98_M5358A8BA201511/dpll_52084/txpa_53231.png</t>
  </si>
  <si>
    <t>plots/20251231112652_3FT6Y119H04_05543_B21P_N_UFLEX98_M5358A8BA201511/dpll_52084/txpa_53232.png</t>
  </si>
  <si>
    <t>plots/20251231112652_3FT6Y119H04_05543_B21P_N_UFLEX98_M5358A8BA201511/dpll_52084/txpa_53233.png</t>
  </si>
  <si>
    <t>plots/20251231112652_3FT6Y119H04_05543_B21P_N_UFLEX98_M5358A8BA201511/dpll_52084/txpa_53234.png</t>
  </si>
  <si>
    <t>plots/20251231112652_3FT6Y119H04_05543_B21P_N_UFLEX98_M5358A8BA201511/dpll_52084/txpa_53235.png</t>
  </si>
  <si>
    <t>plots/20251231112652_3FT6Y119H04_05543_B21P_N_UFLEX98_M5358A8BA201511/dpll_52084/txpa_53236.png</t>
  </si>
  <si>
    <t>plots/20251231112652_3FT6Y119H04_05543_B21P_N_UFLEX98_M5358A8BA201511/dpll_52084/txpa_53237.png</t>
  </si>
  <si>
    <t>plots/20251231112652_3FT6Y119H04_05543_B21P_N_UFLEX98_M5358A8BA201511/dpll_52084/txpa_53238.png</t>
  </si>
  <si>
    <t>plots/20251231112652_3FT6Y119H04_05543_B21P_N_UFLEX98_M5358A8BA201511/dpll_52084/txpa_53239.png</t>
  </si>
  <si>
    <t>plots/20251231112652_3FT6Y119H04_05543_B21P_N_UFLEX98_M5358A8BA201511/dpll_52084/txpa_53240.png</t>
  </si>
  <si>
    <t>plots/20251231112652_3FT6Y119H04_05543_B21P_N_UFLEX98_M5358A8BA201511/dpll_52084/txpa_53241.png</t>
  </si>
  <si>
    <t>plots/20251231112652_3FT6Y119H04_05543_B21P_N_UFLEX98_M5358A8BA201511/dpll_52084/txpa_53242.png</t>
  </si>
  <si>
    <t>plots/20251231112652_3FT6Y119H04_05543_B21P_N_UFLEX98_M5358A8BA201511/dpll_52084/txpa_53243.png</t>
  </si>
  <si>
    <t>plots/20251231112652_3FT6Y119H04_05543_B21P_N_UFLEX98_M5358A8BA201511/dpll_52084/txpa_53244.png</t>
  </si>
  <si>
    <t>plots/20251231112652_3FT6Y119H04_05543_B21P_N_UFLEX98_M5358A8BA201511/dpll_52084/txpa_53245.png</t>
  </si>
  <si>
    <t>plots/20251231112652_3FT6Y119H04_05543_B21P_N_UFLEX98_M5358A8BA201511/dpll_52084/txpa_53246.png</t>
  </si>
  <si>
    <t>plots/20251231112652_3FT6Y119H04_05543_B21P_N_UFLEX98_M5358A8BA201511/dpll_52084/txpa_53247.png</t>
  </si>
  <si>
    <t>plots/20251231112652_3FT6Y119H04_05543_B21P_N_UFLEX98_M5358A8BA201511/dpll_52084/txpa_53248.png</t>
  </si>
  <si>
    <t>plots/20251231112652_3FT6Y119H04_05543_B21P_N_UFLEX98_M5358A8BA201511/dpll_52084/txpa_53249.png</t>
  </si>
  <si>
    <t>plots/20251231112652_3FT6Y119H04_05543_B21P_N_UFLEX98_M5358A8BA201511/dpll_52084/txpa_53250.png</t>
  </si>
  <si>
    <t>plots/20251231112652_3FT6Y119H04_05543_B21P_N_UFLEX98_M5358A8BA201511/dpll_52084/txpa_53251.png</t>
  </si>
  <si>
    <t>plots/20251231112652_3FT6Y119H04_05543_B21P_N_UFLEX98_M5358A8BA201511/dpll_52084/txpa_53252.png</t>
  </si>
  <si>
    <t>plots/20251231112652_3FT6Y119H04_05543_B21P_N_UFLEX98_M5358A8BA201511/dpll_52084/txpa_53253.png</t>
  </si>
  <si>
    <t>plots/20251231112652_3FT6Y119H04_05543_B21P_N_UFLEX98_M5358A8BA201511/dpll_52084/txpa_53254.png</t>
  </si>
  <si>
    <t>plots/20251231112652_3FT6Y119H04_05543_B21P_N_UFLEX98_M5358A8BA201511/dpll_52084/txpa_53255.png</t>
  </si>
  <si>
    <t>plots/20251231112652_3FT6Y119H04_05543_B21P_N_UFLEX98_M5358A8BA201511/dpll_52084/txpa_53256.png</t>
  </si>
  <si>
    <t>plots/20251231112652_3FT6Y119H04_05543_B21P_N_UFLEX98_M5358A8BA201511/dpll_52084/txpa_53257.png</t>
  </si>
  <si>
    <t>plots/20251231112652_3FT6Y119H04_05543_B21P_N_UFLEX98_M5358A8BA201511/dpll_52084/txpa_53258.png</t>
  </si>
  <si>
    <t>plots/20251231112652_3FT6Y119H04_05543_B21P_N_UFLEX98_M5358A8BA201511/dpll_52084/txpa_53259.png</t>
  </si>
  <si>
    <t>plots/20251231112652_3FT6Y119H04_05543_B21P_N_UFLEX98_M5358A8BA201511/dpll_52084/txpa_53260.png</t>
  </si>
  <si>
    <t>plots/20251231112652_3FT6Y119H04_05543_B21P_N_UFLEX98_M5358A8BA201511/dpll_52084/txpa_53261.png</t>
  </si>
  <si>
    <t>plots/20251231112652_3FT6Y119H04_05543_B21P_N_UFLEX98_M5358A8BA201511/dpll_52084/txpa_53262.png</t>
  </si>
  <si>
    <t>plots/20251231112652_3FT6Y119H04_05543_B21P_N_UFLEX98_M5358A8BA201511/dpll_52084/txpa_53263.png</t>
  </si>
  <si>
    <t>plots/20251231112652_3FT6Y119H04_05543_B21P_N_UFLEX98_M5358A8BA201511/dpll_52084/txpa_53264.png</t>
  </si>
  <si>
    <t>plots/20251231112652_3FT6Y119H04_05543_B21P_N_UFLEX98_M5358A8BA201511/dpll_52084/txpa_53265.png</t>
  </si>
  <si>
    <t>plots/20251231112652_3FT6Y119H04_05543_B21P_N_UFLEX98_M5358A8BA201511/dpll_52084/txpa_53266.png</t>
  </si>
  <si>
    <t>plots/20251231112652_3FT6Y119H04_05543_B21P_N_UFLEX98_M5358A8BA201511/dpll_52084/txpa_53267.png</t>
  </si>
  <si>
    <t>plots/20251231112652_3FT6Y119H04_05543_B21P_N_UFLEX98_M5358A8BA201511/dpll_52084/txpa_53268.png</t>
  </si>
  <si>
    <t>plots/20251231112652_3FT6Y119H04_05543_B21P_N_UFLEX98_M5358A8BA201511/dpll_52084/txpa_53269.png</t>
  </si>
  <si>
    <t>plots/20251231112652_3FT6Y119H04_05543_B21P_N_UFLEX98_M5358A8BA201511/dpll_52084/txpa_53270.png</t>
  </si>
  <si>
    <t>plots/20251231112652_3FT6Y119H04_05543_B21P_N_UFLEX98_M5358A8BA201511/dpll_52084/txpa_53271.png</t>
  </si>
  <si>
    <t>plots/20251231112652_3FT6Y119H04_05543_B21P_N_UFLEX98_M5358A8BA201511/dpll_52084/txpa_53272.png</t>
  </si>
  <si>
    <t>plots/20251231112652_3FT6Y119H04_05543_B21P_N_UFLEX98_M5358A8BA201511/dpll_52084/txpa_53273.png</t>
  </si>
  <si>
    <t>plots/20251231112652_3FT6Y119H04_05543_B21P_N_UFLEX98_M5358A8BA201511/dpll_52084/txpa_53274.png</t>
  </si>
  <si>
    <t>plots/20251231112652_3FT6Y119H04_05543_B21P_N_UFLEX98_M5358A8BA201511/dpll_52084/txpa_53275.png</t>
  </si>
  <si>
    <t>plots/20251231112652_3FT6Y119H04_05543_B21P_N_UFLEX98_M5358A8BA201511/dpll_52084/txpa_53276.png</t>
  </si>
  <si>
    <t>plots/20251231112652_3FT6Y119H04_05543_B21P_N_UFLEX98_M5358A8BA201511/dpll_52084/txpa_53277.png</t>
  </si>
  <si>
    <t>plots/20251231112652_3FT6Y119H04_05543_B21P_N_UFLEX98_M5358A8BA201511/dpll_52084/txpa_53278.png</t>
  </si>
  <si>
    <t>plots/20251231112652_3FT6Y119H04_05543_B21P_N_UFLEX98_M5358A8BA201511/dpll_52084/txpa_53279.png</t>
  </si>
  <si>
    <t>plots/20251231112652_3FT6Y119H04_05543_B21P_N_UFLEX98_M5358A8BA201511/dpll_52084/txpa_53280.png</t>
  </si>
  <si>
    <t>plots/20251231112652_3FT6Y119H04_05543_B21P_N_UFLEX98_M5358A8BA201511/dpll_52084/txpa_53281.png</t>
  </si>
  <si>
    <t>plots/20251231112652_3FT6Y119H04_05543_B21P_N_UFLEX98_M5358A8BA201511/dpll_52084/txpa_53282.png</t>
  </si>
  <si>
    <t>plots/20251231112652_3FT6Y119H04_05543_B21P_N_UFLEX98_M5358A8BA201511/dpll_52084/txpa_53283.png</t>
  </si>
  <si>
    <t>plots/20251231112652_3FT6Y119H04_05543_B21P_N_UFLEX98_M5358A8BA201511/dpll_52084/txpa_53284.png</t>
  </si>
  <si>
    <t>plots/20251231112652_3FT6Y119H04_05543_B21P_N_UFLEX98_M5358A8BA201511/dpll_52084/txpa_53285.png</t>
  </si>
  <si>
    <t>plots/20251231112652_3FT6Y119H04_05543_B21P_N_UFLEX98_M5358A8BA201511/dpll_52084/txpa_53286.png</t>
  </si>
  <si>
    <t>plots/20251231112652_3FT6Y119H04_05543_B21P_N_UFLEX98_M5358A8BA201511/dpll_52084/txpa_53287.png</t>
  </si>
  <si>
    <t>plots/20251231112652_3FT6Y119H04_05543_B21P_N_UFLEX98_M5358A8BA201511/dpll_52084/txpa_53288.png</t>
  </si>
  <si>
    <t>plots/20251231112652_3FT6Y119H04_05543_B21P_N_UFLEX98_M5358A8BA201511/dpll_52084/txpa_53289.png</t>
  </si>
  <si>
    <t>plots/20251231112652_3FT6Y119H04_05543_B21P_N_UFLEX98_M5358A8BA201511/dpll_52084/txpa_53290.png</t>
  </si>
  <si>
    <t>plots/20251231112652_3FT6Y119H04_05543_B21P_N_UFLEX98_M5358A8BA201511/dpll_52084/txpa_54146.png</t>
  </si>
  <si>
    <t>plots/20251231112652_3FT6Y119H04_05543_B21P_N_UFLEX98_M5358A8BA201511/dpll_52084/txpa_54147.png</t>
  </si>
  <si>
    <t>plots/20251231112652_3FT6Y119H04_05543_B21P_N_UFLEX98_M5358A8BA201511/dpll_52084/txpa_54148.png</t>
  </si>
  <si>
    <t>plots/20251231112652_3FT6Y119H04_05543_B21P_N_UFLEX98_M5358A8BA201511/dpll_52084/txpa_54149.png</t>
  </si>
  <si>
    <t>plots/20251231112652_3FT6Y119H04_05543_B21P_N_UFLEX98_M5358A8BA201511/dpll_52084/txpa_54150.png</t>
  </si>
  <si>
    <t>plots/20251231112652_3FT6Y119H04_05543_B21P_N_UFLEX98_M5358A8BA201511/dpll_52084/txpa_54151.png</t>
  </si>
  <si>
    <t>plots/20251231112652_3FT6Y119H04_05543_B21P_N_UFLEX98_M5358A8BA201511/dpll_52084/txpa_54152.png</t>
  </si>
  <si>
    <t>plots/20251231112652_3FT6Y119H04_05543_B21P_N_UFLEX98_M5358A8BA201511/dpll_52084/txpa_54153.png</t>
  </si>
  <si>
    <t>plots/20251231112652_3FT6Y119H04_05543_B21P_N_UFLEX98_M5358A8BA201511/dpll_52084/txpa_54154.png</t>
  </si>
  <si>
    <t>plots/20251231112652_3FT6Y119H04_05543_B21P_N_UFLEX98_M5358A8BA201511/dpll_52084/txpa_54155.png</t>
  </si>
  <si>
    <t>plots/20251231112652_3FT6Y119H04_05543_B21P_N_UFLEX98_M5358A8BA201511/dpll_52084/txpa_54156.png</t>
  </si>
  <si>
    <t>plots/20251231112652_3FT6Y119H04_05543_B21P_N_UFLEX98_M5358A8BA201511/dpll_52084/txpa_54157.png</t>
  </si>
  <si>
    <t>plots/20251231112652_3FT6Y119H04_05543_B21P_N_UFLEX98_M5358A8BA201511/dpll_52084/txpa_54158.png</t>
  </si>
  <si>
    <t>plots/20251231112652_3FT6Y119H04_05543_B21P_N_UFLEX98_M5358A8BA201511/dpll_52084/txpa_54159.png</t>
  </si>
  <si>
    <t>plots/20251231112652_3FT6Y119H04_05543_B21P_N_UFLEX98_M5358A8BA201511/dpll_52084/txpa_54160.png</t>
  </si>
  <si>
    <t>plots/20251231112652_3FT6Y119H04_05543_B21P_N_UFLEX98_M5358A8BA201511/dpll_52084/txpa_54161.png</t>
  </si>
  <si>
    <t>plots/20251231112652_3FT6Y119H04_05543_B21P_N_UFLEX98_M5358A8BA201511/dpll_52084/txpa_54162.png</t>
  </si>
  <si>
    <t>plots/20251231112652_3FT6Y119H04_05543_B21P_N_UFLEX98_M5358A8BA201511/dpll_52084/txpa_54163.png</t>
  </si>
  <si>
    <t>plots/20251231112652_3FT6Y119H04_05543_B21P_N_UFLEX98_M5358A8BA201511/dpll_52084/txpa_54164.png</t>
  </si>
  <si>
    <t>plots/20251231112652_3FT6Y119H04_05543_B21P_N_UFLEX98_M5358A8BA201511/dpll_52084/txpa_54165.png</t>
  </si>
  <si>
    <t>plots/20251231112652_3FT6Y119H04_05543_B21P_N_UFLEX98_M5358A8BA201511/dpll_52084/txpa_54166.png</t>
  </si>
  <si>
    <t>plots/20251231112652_3FT6Y119H04_05543_B21P_N_UFLEX98_M5358A8BA201511/dpll_52084/txpa_54167.png</t>
  </si>
  <si>
    <t>plots/20251231112652_3FT6Y119H04_05543_B21P_N_UFLEX98_M5358A8BA201511/dpll_52084/txpa_54168.png</t>
  </si>
  <si>
    <t>plots/20251231112652_3FT6Y119H04_05543_B21P_N_UFLEX98_M5358A8BA201511/dpll_52084/txpa_54169.png</t>
  </si>
  <si>
    <t>plots/20251231112652_3FT6Y119H04_05543_B21P_N_UFLEX98_M5358A8BA201511/dpll_52084/txpa_54170.png</t>
  </si>
  <si>
    <t>plots/20251231112652_3FT6Y119H04_05543_B21P_N_UFLEX98_M5358A8BA201511/dpll_52084/txpa_54171.png</t>
  </si>
  <si>
    <t>plots/20251231112652_3FT6Y119H04_05543_B21P_N_UFLEX98_M5358A8BA201511/dpll_52084/txpa_54172.png</t>
  </si>
  <si>
    <t>plots/20251231112652_3FT6Y119H04_05543_B21P_N_UFLEX98_M5358A8BA201511/dpll_52084/txpa_54173.png</t>
  </si>
  <si>
    <t>plots/20251231112652_3FT6Y119H04_05543_B21P_N_UFLEX98_M5358A8BA201511/dpll_52084/txpa_54174.png</t>
  </si>
  <si>
    <t>plots/20251231112652_3FT6Y119H04_05543_B21P_N_UFLEX98_M5358A8BA201511/dpll_52084/txpa_54175.png</t>
  </si>
  <si>
    <t>plots/20251231112652_3FT6Y119H04_05543_B21P_N_UFLEX98_M5358A8BA201511/dpll_52084/txpa_54176.png</t>
  </si>
  <si>
    <t>plots/20251231112652_3FT6Y119H04_05543_B21P_N_UFLEX98_M5358A8BA201511/dpll_52084/txpa_54177.png</t>
  </si>
  <si>
    <t>plots/20251231112652_3FT6Y119H04_05543_B21P_N_UFLEX98_M5358A8BA201511/dpll_52084/txpa_54178.png</t>
  </si>
  <si>
    <t>plots/20251231112652_3FT6Y119H04_05543_B21P_N_UFLEX98_M5358A8BA201511/dpll_52084/txpa_54179.png</t>
  </si>
  <si>
    <t>plots/20251231112652_3FT6Y119H04_05543_B21P_N_UFLEX98_M5358A8BA201511/dpll_52084/txpa_54180.png</t>
  </si>
  <si>
    <t>plots/20251231112652_3FT6Y119H04_05543_B21P_N_UFLEX98_M5358A8BA201511/dpll_52084/txpa_54181.png</t>
  </si>
  <si>
    <t>plots/20251231112652_3FT6Y119H04_05543_B21P_N_UFLEX98_M5358A8BA201511/dpll_52084/txpa_54182.png</t>
  </si>
  <si>
    <t>plots/20251231112652_3FT6Y119H04_05543_B21P_N_UFLEX98_M5358A8BA201511/dpll_52084/txpa_54183.png</t>
  </si>
  <si>
    <t>plots/20251231112652_3FT6Y119H04_05543_B21P_N_UFLEX98_M5358A8BA201511/dpll_52084/txpa_54184.png</t>
  </si>
  <si>
    <t>plots/20251231112652_3FT6Y119H04_05543_B21P_N_UFLEX98_M5358A8BA201511/dpll_52084/txpa_54185.png</t>
  </si>
  <si>
    <t>plots/20251231112652_3FT6Y119H04_05543_B21P_N_UFLEX98_M5358A8BA201511/dpll_52084/txpa_54186.png</t>
  </si>
  <si>
    <t>plots/20251231112652_3FT6Y119H04_05543_B21P_N_UFLEX98_M5358A8BA201511/dpll_52084/txpa_54187.png</t>
  </si>
  <si>
    <t>plots/20251231112652_3FT6Y119H04_05543_B21P_N_UFLEX98_M5358A8BA201511/dpll_52084/txpa_54188.png</t>
  </si>
  <si>
    <t>plots/20251231112652_3FT6Y119H04_05543_B21P_N_UFLEX98_M5358A8BA201511/dpll_52084/txpa_54189.png</t>
  </si>
  <si>
    <t>plots/20251231112652_3FT6Y119H04_05543_B21P_N_UFLEX98_M5358A8BA201511/dpll_52084/txpa_54190.png</t>
  </si>
  <si>
    <t>plots/20251231112652_3FT6Y119H04_05543_B21P_N_UFLEX98_M5358A8BA201511/dpll_52084/txpa_54191.png</t>
  </si>
  <si>
    <t>plots/20251231112652_3FT6Y119H04_05543_B21P_N_UFLEX98_M5358A8BA201511/dpll_52084/txpa_54192.png</t>
  </si>
  <si>
    <t>plots/20251231112652_3FT6Y119H04_05543_B21P_N_UFLEX98_M5358A8BA201511/dpll_52084/txpa_54193.png</t>
  </si>
  <si>
    <t>plots/20251231112652_3FT6Y119H04_05543_B21P_N_UFLEX98_M5358A8BA201511/dpll_52084/txpa_54194.png</t>
  </si>
  <si>
    <t>plots/20251231112652_3FT6Y119H04_05543_B21P_N_UFLEX98_M5358A8BA201511/dpll_52084/txpa_54195.png</t>
  </si>
  <si>
    <t>plots/20251231112652_3FT6Y119H04_05543_B21P_N_UFLEX98_M5358A8BA201511/dpll_52084/txpa_54196.png</t>
  </si>
  <si>
    <t>plots/20251231112652_3FT6Y119H04_05543_B21P_N_UFLEX98_M5358A8BA201511/dpll_52084/txpa_54197.png</t>
  </si>
  <si>
    <t>plots/20251231112652_3FT6Y119H04_05543_B21P_N_UFLEX98_M5358A8BA201511/dpll_52084/txpa_54198.png</t>
  </si>
  <si>
    <t>plots/20251231112652_3FT6Y119H04_05543_B21P_N_UFLEX98_M5358A8BA201511/dpll_52084/txpa_54199.png</t>
  </si>
  <si>
    <t>plots/20251231112652_3FT6Y119H04_05543_B21P_N_UFLEX98_M5358A8BA201511/dpll_52084/txpa_54200.png</t>
  </si>
  <si>
    <t>plots/20251231112652_3FT6Y119H04_05543_B21P_N_UFLEX98_M5358A8BA201511/dpll_52084/txpa_54201.png</t>
  </si>
  <si>
    <t>plots/20251231112652_3FT6Y119H04_05543_B21P_N_UFLEX98_M5358A8BA201511/dpll_52084/txpa_54202.png</t>
  </si>
  <si>
    <t>plots/20251231112652_3FT6Y119H04_05543_B21P_N_UFLEX98_M5358A8BA201511/dpll_52084/txpa_54203.png</t>
  </si>
  <si>
    <t>plots/20251231112652_3FT6Y119H04_05543_B21P_N_UFLEX98_M5358A8BA201511/dpll_52084/txpa_54204.png</t>
  </si>
  <si>
    <t>plots/20251231112652_3FT6Y119H04_05543_B21P_N_UFLEX98_M5358A8BA201511/dpll_52084/txpa_54205.png</t>
  </si>
  <si>
    <t>plots/20251231112652_3FT6Y119H04_05543_B21P_N_UFLEX98_M5358A8BA201511/dpll_52084/txpa_54206.png</t>
  </si>
  <si>
    <t>plots/20251231112652_3FT6Y119H04_05543_B21P_N_UFLEX98_M5358A8BA201511/dpll_52084/txpa_54207.png</t>
  </si>
  <si>
    <t>plots/20251231112652_3FT6Y119H04_05543_B21P_N_UFLEX98_M5358A8BA201511/dpll_52084/txpa_54208.png</t>
  </si>
  <si>
    <t>plots/20251231112652_3FT6Y119H04_05543_B21P_N_UFLEX98_M5358A8BA201511/dpll_52084/txpa_54209.png</t>
  </si>
  <si>
    <t>plots/20251231112652_3FT6Y119H04_05543_B21P_N_UFLEX98_M5358A8BA201511/dpll_52084/txpa_54210.png</t>
  </si>
  <si>
    <t>plots/20251231112652_3FT6Y119H04_05543_B21P_N_UFLEX98_M5358A8BA201511/dpll_52084/txpa_54211.png</t>
  </si>
  <si>
    <t>plots/20251231112652_3FT6Y119H04_05543_B21P_N_UFLEX98_M5358A8BA201511/dpll_52084/txpa_54212.png</t>
  </si>
  <si>
    <t>plots/20251231112652_3FT6Y119H04_05543_B21P_N_UFLEX98_M5358A8BA201511/dpll_52084/txpa_54213.png</t>
  </si>
  <si>
    <t>plots/20251231112652_3FT6Y119H04_05543_B21P_N_UFLEX98_M5358A8BA201511/dpll_52084/txpa_54214.png</t>
  </si>
  <si>
    <t>plots/20251231112652_3FT6Y119H04_05543_B21P_N_UFLEX98_M5358A8BA201511/dpll_52084/txpa_54215.png</t>
  </si>
  <si>
    <t>plots/20251231112652_3FT6Y119H04_05543_B21P_N_UFLEX98_M5358A8BA201511/dpll_52084/txpa_54216.png</t>
  </si>
  <si>
    <t>plots/20251231112652_3FT6Y119H04_05543_B21P_N_UFLEX98_M5358A8BA201511/dpll_52084/txpa_54217.png</t>
  </si>
  <si>
    <t>plots/20251231112652_3FT6Y119H04_05543_B21P_N_UFLEX98_M5358A8BA201511/dpll_52084/txpa_54218.png</t>
  </si>
  <si>
    <t>plots/20251231112652_3FT6Y119H04_05543_B21P_N_UFLEX98_M5358A8BA201511/dpll_52084/txpa_54219.png</t>
  </si>
  <si>
    <t>plots/20251231112652_3FT6Y119H04_05543_B21P_N_UFLEX98_M5358A8BA201511/dpll_52084/txpa_54220.png</t>
  </si>
  <si>
    <t>plots/20251231112652_3FT6Y119H04_05543_B21P_N_UFLEX98_M5358A8BA201511/dpll_52084/txpa_54221.png</t>
  </si>
  <si>
    <t>plots/20251231112652_3FT6Y119H04_05543_B21P_N_UFLEX98_M5358A8BA201511/dpll_52084/txpa_54222.png</t>
  </si>
  <si>
    <t>plots/20251231112652_3FT6Y119H04_05543_B21P_N_UFLEX98_M5358A8BA201511/dpll_52084/txpa_54223.png</t>
  </si>
  <si>
    <t>plots/20251231112652_3FT6Y119H04_05543_B21P_N_UFLEX98_M5358A8BA201511/dpll_52084/txpa_54224.png</t>
  </si>
  <si>
    <t>plots/20251231112652_3FT6Y119H04_05543_B21P_N_UFLEX98_M5358A8BA201511/dpll_52084/txpa_54225.png</t>
  </si>
  <si>
    <t>plots/20251231112652_3FT6Y119H04_05543_B21P_N_UFLEX98_M5358A8BA201511/dpll_52084/txpa_54226.png</t>
  </si>
  <si>
    <t>plots/20251231112652_3FT6Y119H04_05543_B21P_N_UFLEX98_M5358A8BA201511/dpll_52084/txpa_54227.png</t>
  </si>
  <si>
    <t>plots/20251231112652_3FT6Y119H04_05543_B21P_N_UFLEX98_M5358A8BA201511/dpll_52084/txpa_54228.png</t>
  </si>
  <si>
    <t>plots/20251231112652_3FT6Y119H04_05543_B21P_N_UFLEX98_M5358A8BA201511/dpll_52084/txpa_54229.png</t>
  </si>
  <si>
    <t>plots/20251231112652_3FT6Y119H04_05543_B21P_N_UFLEX98_M5358A8BA201511/dpll_52084/txpa_54230.png</t>
  </si>
  <si>
    <t>plots/20251231112652_3FT6Y119H04_05543_B21P_N_UFLEX98_M5358A8BA201511/dpll_52084/txpa_54231.png</t>
  </si>
  <si>
    <t>plots/20251231112652_3FT6Y119H04_05543_B21P_N_UFLEX98_M5358A8BA201511/dpll_52084/txpa_54232.png</t>
  </si>
  <si>
    <t>plots/20251231112652_3FT6Y119H04_05543_B21P_N_UFLEX98_M5358A8BA201511/dpll_52084/txpa_54233.png</t>
  </si>
  <si>
    <t>plots/20251231112652_3FT6Y119H04_05543_B21P_N_UFLEX98_M5358A8BA201511/dpll_52084/txpa_54234.png</t>
  </si>
  <si>
    <t>plots/20251231112652_3FT6Y119H04_05543_B21P_N_UFLEX98_M5358A8BA201511/dpll_52084/txpa_54235.png</t>
  </si>
  <si>
    <t>plots/20251231112652_3FT6Y119H04_05543_B21P_N_UFLEX98_M5358A8BA201511/dpll_52084/txpa_54236.png</t>
  </si>
  <si>
    <t>plots/20251231112652_3FT6Y119H04_05543_B21P_N_UFLEX98_M5358A8BA201511/dpll_52084/txpa_54237.png</t>
  </si>
  <si>
    <t>plots/20251231112652_3FT6Y119H04_05543_B21P_N_UFLEX98_M5358A8BA201511/dpll_52084/txpa_54238.png</t>
  </si>
  <si>
    <t>plots/20251231112652_3FT6Y119H04_05543_B21P_N_UFLEX98_M5358A8BA201511/dpll_52084/txpa_54239.png</t>
  </si>
  <si>
    <t>plots/20251231112652_3FT6Y119H04_05543_B21P_N_UFLEX98_M5358A8BA201511/dpll_52084/txpa_54240.png</t>
  </si>
  <si>
    <t>plots/20251231112652_3FT6Y119H04_05543_B21P_N_UFLEX98_M5358A8BA201511/dpll_52084/txpa_54241.png</t>
  </si>
  <si>
    <t>plots/20251231112652_3FT6Y119H04_05543_B21P_N_UFLEX98_M5358A8BA201511/dpll_52084/txpa_54242.png</t>
  </si>
  <si>
    <t>plots/20251231112652_3FT6Y119H04_05543_B21P_N_UFLEX98_M5358A8BA201511/dpll_52084/txpa_54243.png</t>
  </si>
  <si>
    <t>plots/20251231112652_3FT6Y119H04_05543_B21P_N_UFLEX98_M5358A8BA201511/dpll_52084/txpa_54244.png</t>
  </si>
  <si>
    <t>plots/20251231112652_3FT6Y119H04_05543_B21P_N_UFLEX98_M5358A8BA201511/dpll_52084/txpa_54245.png</t>
  </si>
  <si>
    <t>plots/20251231112652_3FT6Y119H04_05543_B21P_N_UFLEX98_M5358A8BA201511/dpll_52084/txpa_54246.png</t>
  </si>
  <si>
    <t>plots/20251231112652_3FT6Y119H04_05543_B21P_N_UFLEX98_M5358A8BA201511/dpll_52084/txpa_54247.png</t>
  </si>
  <si>
    <t>plots/20251231112652_3FT6Y119H04_05543_B21P_N_UFLEX98_M5358A8BA201511/dpll_52084/txpa_54248.png</t>
  </si>
  <si>
    <t>plots/20251231112652_3FT6Y119H04_05543_B21P_N_UFLEX98_M5358A8BA201511/dpll_52084/txpa_54249.png</t>
  </si>
  <si>
    <t>plots/20251231112652_3FT6Y119H04_05543_B21P_N_UFLEX98_M5358A8BA201511/dpll_52084/txpa_54250.png</t>
  </si>
  <si>
    <t>plots/20251231112652_3FT6Y119H04_05543_B21P_N_UFLEX98_M5358A8BA201511/dpll_52084/txpa_54251.png</t>
  </si>
  <si>
    <t>plots/20251231112652_3FT6Y119H04_05543_B21P_N_UFLEX98_M5358A8BA201511/dpll_52084/txpa_54252.png</t>
  </si>
  <si>
    <t>plots/20251231112652_3FT6Y119H04_05543_B21P_N_UFLEX98_M5358A8BA201511/dpll_52084/txpa_54253.png</t>
  </si>
  <si>
    <t>plots/20251231112652_3FT6Y119H04_05543_B21P_N_UFLEX98_M5358A8BA201511/dpll_52084/txpa_54254.png</t>
  </si>
  <si>
    <t>plots/20251231112652_3FT6Y119H04_05543_B21P_N_UFLEX98_M5358A8BA201511/dpll_52084/txpa_54255.png</t>
  </si>
  <si>
    <t>plots/20251231112652_3FT6Y119H04_05543_B21P_N_UFLEX98_M5358A8BA201511/dpll_52084/txpa_54256.png</t>
  </si>
  <si>
    <t>plots/20251231112652_3FT6Y119H04_05543_B21P_N_UFLEX98_M5358A8BA201511/dpll_52084/txpa_54257.png</t>
  </si>
  <si>
    <t>plots/20251231112652_3FT6Y119H04_05543_B21P_N_UFLEX98_M5358A8BA201511/dpll_52084/txpa_54258.png</t>
  </si>
  <si>
    <t>plots/20251231112652_3FT6Y119H04_05543_B21P_N_UFLEX98_M5358A8BA201511/dpll_52084/txpa_55146.png</t>
  </si>
  <si>
    <t>plots/20251231112652_3FT6Y119H04_05543_B21P_N_UFLEX98_M5358A8BA201511/dpll_52084/txpa_55147.png</t>
  </si>
  <si>
    <t>plots/20251231112652_3FT6Y119H04_05543_B21P_N_UFLEX98_M5358A8BA201511/dpll_52084/txpa_55148.png</t>
  </si>
  <si>
    <t>plots/20251231112652_3FT6Y119H04_05543_B21P_N_UFLEX98_M5358A8BA201511/dpll_52084/txpa_55149.png</t>
  </si>
  <si>
    <t>plots/20251231112652_3FT6Y119H04_05543_B21P_N_UFLEX98_M5358A8BA201511/dpll_52084/txpa_55150.png</t>
  </si>
  <si>
    <t>plots/20251231112652_3FT6Y119H04_05543_B21P_N_UFLEX98_M5358A8BA201511/dpll_52084/txpa_55151.png</t>
  </si>
  <si>
    <t>plots/20251231112652_3FT6Y119H04_05543_B21P_N_UFLEX98_M5358A8BA201511/dpll_52084/txpa_55152.png</t>
  </si>
  <si>
    <t>plots/20251231112652_3FT6Y119H04_05543_B21P_N_UFLEX98_M5358A8BA201511/dpll_52084/txpa_55153.png</t>
  </si>
  <si>
    <t>plots/20251231112652_3FT6Y119H04_05543_B21P_N_UFLEX98_M5358A8BA201511/dpll_52084/txpa_55154.png</t>
  </si>
  <si>
    <t>plots/20251231112652_3FT6Y119H04_05543_B21P_N_UFLEX98_M5358A8BA201511/dpll_52084/txpa_55155.png</t>
  </si>
  <si>
    <t>plots/20251231112652_3FT6Y119H04_05543_B21P_N_UFLEX98_M5358A8BA201511/dpll_52084/txpa_55156.png</t>
  </si>
  <si>
    <t>plots/20251231112652_3FT6Y119H04_05543_B21P_N_UFLEX98_M5358A8BA201511/dpll_52084/txpa_55157.png</t>
  </si>
  <si>
    <t>plots/20251231112652_3FT6Y119H04_05543_B21P_N_UFLEX98_M5358A8BA201511/dpll_52084/txpa_55158.png</t>
  </si>
  <si>
    <t>plots/20251231112652_3FT6Y119H04_05543_B21P_N_UFLEX98_M5358A8BA201511/dpll_52084/txpa_55159.png</t>
  </si>
  <si>
    <t>plots/20251231112652_3FT6Y119H04_05543_B21P_N_UFLEX98_M5358A8BA201511/dpll_52084/txpa_55160.png</t>
  </si>
  <si>
    <t>plots/20251231112652_3FT6Y119H04_05543_B21P_N_UFLEX98_M5358A8BA201511/dpll_52084/txpa_55161.png</t>
  </si>
  <si>
    <t>plots/20251231112652_3FT6Y119H04_05543_B21P_N_UFLEX98_M5358A8BA201511/dpll_52084/txpa_55162.png</t>
  </si>
  <si>
    <t>plots/20251231112652_3FT6Y119H04_05543_B21P_N_UFLEX98_M5358A8BA201511/dpll_52084/txpa_55163.png</t>
  </si>
  <si>
    <t>plots/20251231112652_3FT6Y119H04_05543_B21P_N_UFLEX98_M5358A8BA201511/dpll_52084/txpa_55164.png</t>
  </si>
  <si>
    <t>plots/20251231112652_3FT6Y119H04_05543_B21P_N_UFLEX98_M5358A8BA201511/dpll_52084/txpa_55165.png</t>
  </si>
  <si>
    <t>plots/20251231112652_3FT6Y119H04_05543_B21P_N_UFLEX98_M5358A8BA201511/dpll_52084/txpa_55166.png</t>
  </si>
  <si>
    <t>plots/20251231112652_3FT6Y119H04_05543_B21P_N_UFLEX98_M5358A8BA201511/dpll_52084/txpa_55167.png</t>
  </si>
  <si>
    <t>plots/20251231112652_3FT6Y119H04_05543_B21P_N_UFLEX98_M5358A8BA201511/dpll_52084/txpa_55168.png</t>
  </si>
  <si>
    <t>plots/20251231112652_3FT6Y119H04_05543_B21P_N_UFLEX98_M5358A8BA201511/dpll_52084/txpa_55169.png</t>
  </si>
  <si>
    <t>plots/20251231112652_3FT6Y119H04_05543_B21P_N_UFLEX98_M5358A8BA201511/dpll_52084/txpa_55170.png</t>
  </si>
  <si>
    <t>plots/20251231112652_3FT6Y119H04_05543_B21P_N_UFLEX98_M5358A8BA201511/dpll_52084/txpa_55171.png</t>
  </si>
  <si>
    <t>plots/20251231112652_3FT6Y119H04_05543_B21P_N_UFLEX98_M5358A8BA201511/dpll_52084/txpa_55172.png</t>
  </si>
  <si>
    <t>plots/20251231112652_3FT6Y119H04_05543_B21P_N_UFLEX98_M5358A8BA201511/dpll_52084/txpa_55173.png</t>
  </si>
  <si>
    <t>plots/20251231112652_3FT6Y119H04_05543_B21P_N_UFLEX98_M5358A8BA201511/dpll_52084/txpa_55174.png</t>
  </si>
  <si>
    <t>plots/20251231112652_3FT6Y119H04_05543_B21P_N_UFLEX98_M5358A8BA201511/dpll_52084/txpa_55175.png</t>
  </si>
  <si>
    <t>plots/20251231112652_3FT6Y119H04_05543_B21P_N_UFLEX98_M5358A8BA201511/dpll_52084/txpa_55176.png</t>
  </si>
  <si>
    <t>plots/20251231112652_3FT6Y119H04_05543_B21P_N_UFLEX98_M5358A8BA201511/dpll_52084/txpa_55177.png</t>
  </si>
  <si>
    <t>plots/20251231112652_3FT6Y119H04_05543_B21P_N_UFLEX98_M5358A8BA201511/dpll_52084/txpa_55178.png</t>
  </si>
  <si>
    <t>plots/20251231112652_3FT6Y119H04_05543_B21P_N_UFLEX98_M5358A8BA201511/dpll_52084/txpa_55179.png</t>
  </si>
  <si>
    <t>plots/20251231112652_3FT6Y119H04_05543_B21P_N_UFLEX98_M5358A8BA201511/dpll_52084/txpa_55180.png</t>
  </si>
  <si>
    <t>plots/20251231112652_3FT6Y119H04_05543_B21P_N_UFLEX98_M5358A8BA201511/dpll_52084/txpa_55181.png</t>
  </si>
  <si>
    <t>plots/20251231112652_3FT6Y119H04_05543_B21P_N_UFLEX98_M5358A8BA201511/dpll_52084/txpa_55182.png</t>
  </si>
  <si>
    <t>plots/20251231112652_3FT6Y119H04_05543_B21P_N_UFLEX98_M5358A8BA201511/dpll_52084/txpa_55183.png</t>
  </si>
  <si>
    <t>plots/20251231112652_3FT6Y119H04_05543_B21P_N_UFLEX98_M5358A8BA201511/dpll_52084/txpa_55184.png</t>
  </si>
  <si>
    <t>plots/20251231112652_3FT6Y119H04_05543_B21P_N_UFLEX98_M5358A8BA201511/dpll_52084/txpa_55185.png</t>
  </si>
  <si>
    <t>plots/20251231112652_3FT6Y119H04_05543_B21P_N_UFLEX98_M5358A8BA201511/dpll_52084/txpa_55186.png</t>
  </si>
  <si>
    <t>plots/20251231112652_3FT6Y119H04_05543_B21P_N_UFLEX98_M5358A8BA201511/dpll_52084/txpa_55187.png</t>
  </si>
  <si>
    <t>plots/20251231112652_3FT6Y119H04_05543_B21P_N_UFLEX98_M5358A8BA201511/dpll_52084/txpa_55188.png</t>
  </si>
  <si>
    <t>plots/20251231112652_3FT6Y119H04_05543_B21P_N_UFLEX98_M5358A8BA201511/dpll_52084/txpa_55189.png</t>
  </si>
  <si>
    <t>plots/20251231112652_3FT6Y119H04_05543_B21P_N_UFLEX98_M5358A8BA201511/dpll_52084/txpa_55190.png</t>
  </si>
  <si>
    <t>plots/20251231112652_3FT6Y119H04_05543_B21P_N_UFLEX98_M5358A8BA201511/dpll_52084/txpa_55191.png</t>
  </si>
  <si>
    <t>plots/20251231112652_3FT6Y119H04_05543_B21P_N_UFLEX98_M5358A8BA201511/dpll_52084/txpa_55192.png</t>
  </si>
  <si>
    <t>plots/20251231112652_3FT6Y119H04_05543_B21P_N_UFLEX98_M5358A8BA201511/dpll_52084/txpa_55193.png</t>
  </si>
  <si>
    <t>plots/20251231112652_3FT6Y119H04_05543_B21P_N_UFLEX98_M5358A8BA201511/dpll_52084/txpa_55194.png</t>
  </si>
  <si>
    <t>plots/20251231112652_3FT6Y119H04_05543_B21P_N_UFLEX98_M5358A8BA201511/dpll_52084/txpa_55195.png</t>
  </si>
  <si>
    <t>plots/20251231112652_3FT6Y119H04_05543_B21P_N_UFLEX98_M5358A8BA201511/dpll_52084/txpa_55196.png</t>
  </si>
  <si>
    <t>plots/20251231112652_3FT6Y119H04_05543_B21P_N_UFLEX98_M5358A8BA201511/dpll_52084/txpa_55197.png</t>
  </si>
  <si>
    <t>plots/20251231112652_3FT6Y119H04_05543_B21P_N_UFLEX98_M5358A8BA201511/dpll_52084/txpa_55198.png</t>
  </si>
  <si>
    <t>plots/20251231112652_3FT6Y119H04_05543_B21P_N_UFLEX98_M5358A8BA201511/dpll_52084/txpa_55199.png</t>
  </si>
  <si>
    <t>plots/20251231112652_3FT6Y119H04_05543_B21P_N_UFLEX98_M5358A8BA201511/dpll_52084/txpa_55200.png</t>
  </si>
  <si>
    <t>plots/20251231112652_3FT6Y119H04_05543_B21P_N_UFLEX98_M5358A8BA201511/dpll_52084/txpa_55201.png</t>
  </si>
  <si>
    <t>plots/20251231112652_3FT6Y119H04_05543_B21P_N_UFLEX98_M5358A8BA201511/dpll_52084/txpa_55202.png</t>
  </si>
  <si>
    <t>plots/20251231112652_3FT6Y119H04_05543_B21P_N_UFLEX98_M5358A8BA201511/dpll_52084/txpa_55203.png</t>
  </si>
  <si>
    <t>plots/20251231112652_3FT6Y119H04_05543_B21P_N_UFLEX98_M5358A8BA201511/dpll_52084/txpa_55204.png</t>
  </si>
  <si>
    <t>plots/20251231112652_3FT6Y119H04_05543_B21P_N_UFLEX98_M5358A8BA201511/dpll_52084/txpa_55205.png</t>
  </si>
  <si>
    <t>plots/20251231112652_3FT6Y119H04_05543_B21P_N_UFLEX98_M5358A8BA201511/dpll_52084/txpa_55206.png</t>
  </si>
  <si>
    <t>plots/20251231112652_3FT6Y119H04_05543_B21P_N_UFLEX98_M5358A8BA201511/dpll_52084/txpa_55207.png</t>
  </si>
  <si>
    <t>plots/20251231112652_3FT6Y119H04_05543_B21P_N_UFLEX98_M5358A8BA201511/dpll_52084/txpa_55208.png</t>
  </si>
  <si>
    <t>plots/20251231112652_3FT6Y119H04_05543_B21P_N_UFLEX98_M5358A8BA201511/dpll_52084/txpa_55209.png</t>
  </si>
  <si>
    <t>plots/20251231112652_3FT6Y119H04_05543_B21P_N_UFLEX98_M5358A8BA201511/dpll_52084/txpa_55210.png</t>
  </si>
  <si>
    <t>plots/20251231112652_3FT6Y119H04_05543_B21P_N_UFLEX98_M5358A8BA201511/dpll_52084/txpa_55211.png</t>
  </si>
  <si>
    <t>plots/20251231112652_3FT6Y119H04_05543_B21P_N_UFLEX98_M5358A8BA201511/dpll_52084/txpa_55212.png</t>
  </si>
  <si>
    <t>plots/20251231112652_3FT6Y119H04_05543_B21P_N_UFLEX98_M5358A8BA201511/dpll_52084/txpa_55213.png</t>
  </si>
  <si>
    <t>plots/20251231112652_3FT6Y119H04_05543_B21P_N_UFLEX98_M5358A8BA201511/dpll_52084/txpa_55214.png</t>
  </si>
  <si>
    <t>plots/20251231112652_3FT6Y119H04_05543_B21P_N_UFLEX98_M5358A8BA201511/dpll_52084/txpa_55215.png</t>
  </si>
  <si>
    <t>plots/20251231112652_3FT6Y119H04_05543_B21P_N_UFLEX98_M5358A8BA201511/dpll_52084/txpa_55216.png</t>
  </si>
  <si>
    <t>plots/20251231112652_3FT6Y119H04_05543_B21P_N_UFLEX98_M5358A8BA201511/dpll_52084/txpa_55217.png</t>
  </si>
  <si>
    <t>plots/20251231112652_3FT6Y119H04_05543_B21P_N_UFLEX98_M5358A8BA201511/dpll_52084/txpa_55218.png</t>
  </si>
  <si>
    <t>plots/20251231112652_3FT6Y119H04_05543_B21P_N_UFLEX98_M5358A8BA201511/dpll_52084/txpa_55219.png</t>
  </si>
  <si>
    <t>plots/20251231112652_3FT6Y119H04_05543_B21P_N_UFLEX98_M5358A8BA201511/dpll_52084/txpa_55220.png</t>
  </si>
  <si>
    <t>plots/20251231112652_3FT6Y119H04_05543_B21P_N_UFLEX98_M5358A8BA201511/dpll_52084/txpa_55221.png</t>
  </si>
  <si>
    <t>plots/20251231112652_3FT6Y119H04_05543_B21P_N_UFLEX98_M5358A8BA201511/dpll_52084/txpa_55222.png</t>
  </si>
  <si>
    <t>plots/20251231112652_3FT6Y119H04_05543_B21P_N_UFLEX98_M5358A8BA201511/dpll_52084/txpa_55223.png</t>
  </si>
  <si>
    <t>plots/20251231112652_3FT6Y119H04_05543_B21P_N_UFLEX98_M5358A8BA201511/dpll_52084/txpa_55224.png</t>
  </si>
  <si>
    <t>plots/20251231112652_3FT6Y119H04_05543_B21P_N_UFLEX98_M5358A8BA201511/dpll_52084/txpa_55225.png</t>
  </si>
  <si>
    <t>plots/20251231112652_3FT6Y119H04_05543_B21P_N_UFLEX98_M5358A8BA201511/dpll_52084/txpa_55226.png</t>
  </si>
  <si>
    <t>plots/20251231112652_3FT6Y119H04_05543_B21P_N_UFLEX98_M5358A8BA201511/dpll_52084/txpa_55227.png</t>
  </si>
  <si>
    <t>plots/20251231112652_3FT6Y119H04_05543_B21P_N_UFLEX98_M5358A8BA201511/dpll_52084/txpa_55228.png</t>
  </si>
  <si>
    <t>plots/20251231112652_3FT6Y119H04_05543_B21P_N_UFLEX98_M5358A8BA201511/dpll_52084/txpa_55229.png</t>
  </si>
  <si>
    <t>plots/20251231112652_3FT6Y119H04_05543_B21P_N_UFLEX98_M5358A8BA201511/dpll_52084/txpa_55230.png</t>
  </si>
  <si>
    <t>plots/20251231112652_3FT6Y119H04_05543_B21P_N_UFLEX98_M5358A8BA201511/dpll_52084/txpa_55231.png</t>
  </si>
  <si>
    <t>plots/20251231112652_3FT6Y119H04_05543_B21P_N_UFLEX98_M5358A8BA201511/dpll_52084/txpa_55232.png</t>
  </si>
  <si>
    <t>plots/20251231112652_3FT6Y119H04_05543_B21P_N_UFLEX98_M5358A8BA201511/dpll_52084/txpa_55233.png</t>
  </si>
  <si>
    <t>plots/20251231112652_3FT6Y119H04_05543_B21P_N_UFLEX98_M5358A8BA201511/dpll_52084/txpa_55234.png</t>
  </si>
  <si>
    <t>plots/20251231112652_3FT6Y119H04_05543_B21P_N_UFLEX98_M5358A8BA201511/dpll_52084/txpa_55235.png</t>
  </si>
  <si>
    <t>plots/20251231112652_3FT6Y119H04_05543_B21P_N_UFLEX98_M5358A8BA201511/dpll_52084/txpa_55236.png</t>
  </si>
  <si>
    <t>plots/20251231112652_3FT6Y119H04_05543_B21P_N_UFLEX98_M5358A8BA201511/dpll_52084/txpa_55237.png</t>
  </si>
  <si>
    <t>plots/20251231112652_3FT6Y119H04_05543_B21P_N_UFLEX98_M5358A8BA201511/dpll_52084/txpa_55238.png</t>
  </si>
  <si>
    <t>plots/20251231112652_3FT6Y119H04_05543_B21P_N_UFLEX98_M5358A8BA201511/dpll_52084/txpa_55239.png</t>
  </si>
  <si>
    <t>plots/20251231112652_3FT6Y119H04_05543_B21P_N_UFLEX98_M5358A8BA201511/dpll_52084/txpa_55240.png</t>
  </si>
  <si>
    <t>plots/20251231112652_3FT6Y119H04_05543_B21P_N_UFLEX98_M5358A8BA201511/dpll_52084/txpa_55241.png</t>
  </si>
  <si>
    <t>plots/20251231112652_3FT6Y119H04_05543_B21P_N_UFLEX98_M5358A8BA201511/dpll_52084/txpa_55242.png</t>
  </si>
  <si>
    <t>plots/20251231112652_3FT6Y119H04_05543_B21P_N_UFLEX98_M5358A8BA201511/dpll_52084/txpa_55243.png</t>
  </si>
  <si>
    <t>plots/20251231112652_3FT6Y119H04_05543_B21P_N_UFLEX98_M5358A8BA201511/dpll_52084/txpa_55244.png</t>
  </si>
  <si>
    <t>plots/20251231112652_3FT6Y119H04_05543_B21P_N_UFLEX98_M5358A8BA201511/dpll_52084/txpa_55245.png</t>
  </si>
  <si>
    <t>plots/20251231112652_3FT6Y119H04_05543_B21P_N_UFLEX98_M5358A8BA201511/dpll_52084/txpa_55246.png</t>
  </si>
  <si>
    <t>plots/20251231112652_3FT6Y119H04_05543_B21P_N_UFLEX98_M5358A8BA201511/dpll_52084/txpa_55247.png</t>
  </si>
  <si>
    <t>plots/20251231112652_3FT6Y119H04_05543_B21P_N_UFLEX98_M5358A8BA201511/dpll_52084/txpa_55248.png</t>
  </si>
  <si>
    <t>plots/20251231112652_3FT6Y119H04_05543_B21P_N_UFLEX98_M5358A8BA201511/dpll_52084/txpa_55249.png</t>
  </si>
  <si>
    <t>plots/20251231112652_3FT6Y119H04_05543_B21P_N_UFLEX98_M5358A8BA201511/dpll_52084/txpa_55250.png</t>
  </si>
  <si>
    <t>plots/20251231112652_3FT6Y119H04_05543_B21P_N_UFLEX98_M5358A8BA201511/dpll_52084/txpa_55251.png</t>
  </si>
  <si>
    <t>plots/20251231112652_3FT6Y119H04_05543_B21P_N_UFLEX98_M5358A8BA201511/dpll_52084/txpa_55252.png</t>
  </si>
  <si>
    <t>plots/20251231112652_3FT6Y119H04_05543_B21P_N_UFLEX98_M5358A8BA201511/dpll_52084/txpa_55253.png</t>
  </si>
  <si>
    <t>plots/20251231112652_3FT6Y119H04_05543_B21P_N_UFLEX98_M5358A8BA201511/dpll_52084/txpa_55254.png</t>
  </si>
  <si>
    <t>plots/20251231112652_3FT6Y119H04_05543_B21P_N_UFLEX98_M5358A8BA201511/dpll_52084/txpa_55255.png</t>
  </si>
  <si>
    <t>plots/20251231112652_3FT6Y119H04_05543_B21P_N_UFLEX98_M5358A8BA201511/dpll_52084/txpa_55256.png</t>
  </si>
  <si>
    <t>plots/20251231112652_3FT6Y119H04_05543_B21P_N_UFLEX98_M5358A8BA201511/dpll_52084/txpa_55257.png</t>
  </si>
  <si>
    <t>plots/20251231112652_3FT6Y119H04_05543_B21P_N_UFLEX98_M5358A8BA201511/dpll_52084/txpa_55258.png</t>
  </si>
  <si>
    <t>plots/20251231112652_3FT6Y119H04_05543_B21P_N_UFLEX98_M5358A8BA201511/dpll_52094/txpa_53179.png</t>
  </si>
  <si>
    <t>plots/20251231112652_3FT6Y119H04_05543_B21P_N_UFLEX98_M5358A8BA201511/dpll_52094/txpa_53180.png</t>
  </si>
  <si>
    <t>plots/20251231112652_3FT6Y119H04_05543_B21P_N_UFLEX98_M5358A8BA201511/dpll_52094/txpa_53181.png</t>
  </si>
  <si>
    <t>plots/20251231112652_3FT6Y119H04_05543_B21P_N_UFLEX98_M5358A8BA201511/dpll_52094/txpa_53182.png</t>
  </si>
  <si>
    <t>plots/20251231112652_3FT6Y119H04_05543_B21P_N_UFLEX98_M5358A8BA201511/dpll_52094/txpa_53183.png</t>
  </si>
  <si>
    <t>plots/20251231112652_3FT6Y119H04_05543_B21P_N_UFLEX98_M5358A8BA201511/dpll_52094/txpa_53184.png</t>
  </si>
  <si>
    <t>plots/20251231112652_3FT6Y119H04_05543_B21P_N_UFLEX98_M5358A8BA201511/dpll_52094/txpa_53185.png</t>
  </si>
  <si>
    <t>plots/20251231112652_3FT6Y119H04_05543_B21P_N_UFLEX98_M5358A8BA201511/dpll_52094/txpa_53186.png</t>
  </si>
  <si>
    <t>plots/20251231112652_3FT6Y119H04_05543_B21P_N_UFLEX98_M5358A8BA201511/dpll_52094/txpa_53187.png</t>
  </si>
  <si>
    <t>plots/20251231112652_3FT6Y119H04_05543_B21P_N_UFLEX98_M5358A8BA201511/dpll_52094/txpa_53188.png</t>
  </si>
  <si>
    <t>plots/20251231112652_3FT6Y119H04_05543_B21P_N_UFLEX98_M5358A8BA201511/dpll_52094/txpa_53189.png</t>
  </si>
  <si>
    <t>plots/20251231112652_3FT6Y119H04_05543_B21P_N_UFLEX98_M5358A8BA201511/dpll_52094/txpa_53190.png</t>
  </si>
  <si>
    <t>plots/20251231112652_3FT6Y119H04_05543_B21P_N_UFLEX98_M5358A8BA201511/dpll_52094/txpa_53191.png</t>
  </si>
  <si>
    <t>plots/20251231112652_3FT6Y119H04_05543_B21P_N_UFLEX98_M5358A8BA201511/dpll_52094/txpa_53192.png</t>
  </si>
  <si>
    <t>plots/20251231112652_3FT6Y119H04_05543_B21P_N_UFLEX98_M5358A8BA201511/dpll_52094/txpa_53193.png</t>
  </si>
  <si>
    <t>plots/20251231112652_3FT6Y119H04_05543_B21P_N_UFLEX98_M5358A8BA201511/dpll_52094/txpa_53194.png</t>
  </si>
  <si>
    <t>plots/20251231112652_3FT6Y119H04_05543_B21P_N_UFLEX98_M5358A8BA201511/dpll_52094/txpa_53195.png</t>
  </si>
  <si>
    <t>plots/20251231112652_3FT6Y119H04_05543_B21P_N_UFLEX98_M5358A8BA201511/dpll_52094/txpa_53196.png</t>
  </si>
  <si>
    <t>plots/20251231112652_3FT6Y119H04_05543_B21P_N_UFLEX98_M5358A8BA201511/dpll_52094/txpa_53197.png</t>
  </si>
  <si>
    <t>plots/20251231112652_3FT6Y119H04_05543_B21P_N_UFLEX98_M5358A8BA201511/dpll_52094/txpa_53198.png</t>
  </si>
  <si>
    <t>plots/20251231112652_3FT6Y119H04_05543_B21P_N_UFLEX98_M5358A8BA201511/dpll_52094/txpa_53199.png</t>
  </si>
  <si>
    <t>plots/20251231112652_3FT6Y119H04_05543_B21P_N_UFLEX98_M5358A8BA201511/dpll_52094/txpa_53200.png</t>
  </si>
  <si>
    <t>plots/20251231112652_3FT6Y119H04_05543_B21P_N_UFLEX98_M5358A8BA201511/dpll_52094/txpa_53201.png</t>
  </si>
  <si>
    <t>plots/20251231112652_3FT6Y119H04_05543_B21P_N_UFLEX98_M5358A8BA201511/dpll_52094/txpa_53202.png</t>
  </si>
  <si>
    <t>plots/20251231112652_3FT6Y119H04_05543_B21P_N_UFLEX98_M5358A8BA201511/dpll_52094/txpa_53203.png</t>
  </si>
  <si>
    <t>plots/20251231112652_3FT6Y119H04_05543_B21P_N_UFLEX98_M5358A8BA201511/dpll_52094/txpa_53204.png</t>
  </si>
  <si>
    <t>plots/20251231112652_3FT6Y119H04_05543_B21P_N_UFLEX98_M5358A8BA201511/dpll_52094/txpa_53205.png</t>
  </si>
  <si>
    <t>plots/20251231112652_3FT6Y119H04_05543_B21P_N_UFLEX98_M5358A8BA201511/dpll_52094/txpa_53206.png</t>
  </si>
  <si>
    <t>plots/20251231112652_3FT6Y119H04_05543_B21P_N_UFLEX98_M5358A8BA201511/dpll_52094/txpa_53207.png</t>
  </si>
  <si>
    <t>plots/20251231112652_3FT6Y119H04_05543_B21P_N_UFLEX98_M5358A8BA201511/dpll_52094/txpa_53208.png</t>
  </si>
  <si>
    <t>plots/20251231112652_3FT6Y119H04_05543_B21P_N_UFLEX98_M5358A8BA201511/dpll_52094/txpa_53209.png</t>
  </si>
  <si>
    <t>plots/20251231112652_3FT6Y119H04_05543_B21P_N_UFLEX98_M5358A8BA201511/dpll_52094/txpa_53210.png</t>
  </si>
  <si>
    <t>plots/20251231112652_3FT6Y119H04_05543_B21P_N_UFLEX98_M5358A8BA201511/dpll_52094/txpa_53211.png</t>
  </si>
  <si>
    <t>plots/20251231112652_3FT6Y119H04_05543_B21P_N_UFLEX98_M5358A8BA201511/dpll_52094/txpa_53212.png</t>
  </si>
  <si>
    <t>plots/20251231112652_3FT6Y119H04_05543_B21P_N_UFLEX98_M5358A8BA201511/dpll_52094/txpa_53213.png</t>
  </si>
  <si>
    <t>plots/20251231112652_3FT6Y119H04_05543_B21P_N_UFLEX98_M5358A8BA201511/dpll_52094/txpa_53214.png</t>
  </si>
  <si>
    <t>plots/20251231112652_3FT6Y119H04_05543_B21P_N_UFLEX98_M5358A8BA201511/dpll_52094/txpa_53215.png</t>
  </si>
  <si>
    <t>plots/20251231112652_3FT6Y119H04_05543_B21P_N_UFLEX98_M5358A8BA201511/dpll_52094/txpa_53216.png</t>
  </si>
  <si>
    <t>plots/20251231112652_3FT6Y119H04_05543_B21P_N_UFLEX98_M5358A8BA201511/dpll_52094/txpa_53217.png</t>
  </si>
  <si>
    <t>plots/20251231112652_3FT6Y119H04_05543_B21P_N_UFLEX98_M5358A8BA201511/dpll_52094/txpa_53218.png</t>
  </si>
  <si>
    <t>plots/20251231112652_3FT6Y119H04_05543_B21P_N_UFLEX98_M5358A8BA201511/dpll_52094/txpa_53219.png</t>
  </si>
  <si>
    <t>plots/20251231112652_3FT6Y119H04_05543_B21P_N_UFLEX98_M5358A8BA201511/dpll_52094/txpa_53220.png</t>
  </si>
  <si>
    <t>plots/20251231112652_3FT6Y119H04_05543_B21P_N_UFLEX98_M5358A8BA201511/dpll_52094/txpa_53221.png</t>
  </si>
  <si>
    <t>plots/20251231112652_3FT6Y119H04_05543_B21P_N_UFLEX98_M5358A8BA201511/dpll_52094/txpa_53222.png</t>
  </si>
  <si>
    <t>plots/20251231112652_3FT6Y119H04_05543_B21P_N_UFLEX98_M5358A8BA201511/dpll_52094/txpa_53223.png</t>
  </si>
  <si>
    <t>plots/20251231112652_3FT6Y119H04_05543_B21P_N_UFLEX98_M5358A8BA201511/dpll_52094/txpa_53224.png</t>
  </si>
  <si>
    <t>plots/20251231112652_3FT6Y119H04_05543_B21P_N_UFLEX98_M5358A8BA201511/dpll_52094/txpa_53225.png</t>
  </si>
  <si>
    <t>plots/20251231112652_3FT6Y119H04_05543_B21P_N_UFLEX98_M5358A8BA201511/dpll_52094/txpa_53226.png</t>
  </si>
  <si>
    <t>plots/20251231112652_3FT6Y119H04_05543_B21P_N_UFLEX98_M5358A8BA201511/dpll_52094/txpa_53227.png</t>
  </si>
  <si>
    <t>plots/20251231112652_3FT6Y119H04_05543_B21P_N_UFLEX98_M5358A8BA201511/dpll_52094/txpa_53228.png</t>
  </si>
  <si>
    <t>plots/20251231112652_3FT6Y119H04_05543_B21P_N_UFLEX98_M5358A8BA201511/dpll_52094/txpa_53229.png</t>
  </si>
  <si>
    <t>plots/20251231112652_3FT6Y119H04_05543_B21P_N_UFLEX98_M5358A8BA201511/dpll_52094/txpa_53230.png</t>
  </si>
  <si>
    <t>plots/20251231112652_3FT6Y119H04_05543_B21P_N_UFLEX98_M5358A8BA201511/dpll_52094/txpa_53231.png</t>
  </si>
  <si>
    <t>plots/20251231112652_3FT6Y119H04_05543_B21P_N_UFLEX98_M5358A8BA201511/dpll_52094/txpa_53232.png</t>
  </si>
  <si>
    <t>plots/20251231112652_3FT6Y119H04_05543_B21P_N_UFLEX98_M5358A8BA201511/dpll_52094/txpa_53233.png</t>
  </si>
  <si>
    <t>plots/20251231112652_3FT6Y119H04_05543_B21P_N_UFLEX98_M5358A8BA201511/dpll_52094/txpa_53234.png</t>
  </si>
  <si>
    <t>plots/20251231112652_3FT6Y119H04_05543_B21P_N_UFLEX98_M5358A8BA201511/dpll_52094/txpa_53235.png</t>
  </si>
  <si>
    <t>plots/20251231112652_3FT6Y119H04_05543_B21P_N_UFLEX98_M5358A8BA201511/dpll_52094/txpa_53236.png</t>
  </si>
  <si>
    <t>plots/20251231112652_3FT6Y119H04_05543_B21P_N_UFLEX98_M5358A8BA201511/dpll_52094/txpa_53237.png</t>
  </si>
  <si>
    <t>plots/20251231112652_3FT6Y119H04_05543_B21P_N_UFLEX98_M5358A8BA201511/dpll_52094/txpa_53238.png</t>
  </si>
  <si>
    <t>plots/20251231112652_3FT6Y119H04_05543_B21P_N_UFLEX98_M5358A8BA201511/dpll_52094/txpa_53239.png</t>
  </si>
  <si>
    <t>plots/20251231112652_3FT6Y119H04_05543_B21P_N_UFLEX98_M5358A8BA201511/dpll_52094/txpa_53240.png</t>
  </si>
  <si>
    <t>plots/20251231112652_3FT6Y119H04_05543_B21P_N_UFLEX98_M5358A8BA201511/dpll_52094/txpa_53241.png</t>
  </si>
  <si>
    <t>plots/20251231112652_3FT6Y119H04_05543_B21P_N_UFLEX98_M5358A8BA201511/dpll_52094/txpa_53242.png</t>
  </si>
  <si>
    <t>plots/20251231112652_3FT6Y119H04_05543_B21P_N_UFLEX98_M5358A8BA201511/dpll_52094/txpa_53243.png</t>
  </si>
  <si>
    <t>plots/20251231112652_3FT6Y119H04_05543_B21P_N_UFLEX98_M5358A8BA201511/dpll_52094/txpa_53244.png</t>
  </si>
  <si>
    <t>plots/20251231112652_3FT6Y119H04_05543_B21P_N_UFLEX98_M5358A8BA201511/dpll_52094/txpa_53245.png</t>
  </si>
  <si>
    <t>plots/20251231112652_3FT6Y119H04_05543_B21P_N_UFLEX98_M5358A8BA201511/dpll_52094/txpa_53246.png</t>
  </si>
  <si>
    <t>plots/20251231112652_3FT6Y119H04_05543_B21P_N_UFLEX98_M5358A8BA201511/dpll_52094/txpa_53247.png</t>
  </si>
  <si>
    <t>plots/20251231112652_3FT6Y119H04_05543_B21P_N_UFLEX98_M5358A8BA201511/dpll_52094/txpa_53248.png</t>
  </si>
  <si>
    <t>plots/20251231112652_3FT6Y119H04_05543_B21P_N_UFLEX98_M5358A8BA201511/dpll_52094/txpa_53249.png</t>
  </si>
  <si>
    <t>plots/20251231112652_3FT6Y119H04_05543_B21P_N_UFLEX98_M5358A8BA201511/dpll_52094/txpa_53250.png</t>
  </si>
  <si>
    <t>plots/20251231112652_3FT6Y119H04_05543_B21P_N_UFLEX98_M5358A8BA201511/dpll_52094/txpa_53251.png</t>
  </si>
  <si>
    <t>plots/20251231112652_3FT6Y119H04_05543_B21P_N_UFLEX98_M5358A8BA201511/dpll_52094/txpa_53252.png</t>
  </si>
  <si>
    <t>plots/20251231112652_3FT6Y119H04_05543_B21P_N_UFLEX98_M5358A8BA201511/dpll_52094/txpa_53253.png</t>
  </si>
  <si>
    <t>plots/20251231112652_3FT6Y119H04_05543_B21P_N_UFLEX98_M5358A8BA201511/dpll_52094/txpa_53254.png</t>
  </si>
  <si>
    <t>plots/20251231112652_3FT6Y119H04_05543_B21P_N_UFLEX98_M5358A8BA201511/dpll_52094/txpa_53255.png</t>
  </si>
  <si>
    <t>plots/20251231112652_3FT6Y119H04_05543_B21P_N_UFLEX98_M5358A8BA201511/dpll_52094/txpa_53256.png</t>
  </si>
  <si>
    <t>plots/20251231112652_3FT6Y119H04_05543_B21P_N_UFLEX98_M5358A8BA201511/dpll_52094/txpa_53257.png</t>
  </si>
  <si>
    <t>plots/20251231112652_3FT6Y119H04_05543_B21P_N_UFLEX98_M5358A8BA201511/dpll_52094/txpa_53258.png</t>
  </si>
  <si>
    <t>plots/20251231112652_3FT6Y119H04_05543_B21P_N_UFLEX98_M5358A8BA201511/dpll_52094/txpa_53259.png</t>
  </si>
  <si>
    <t>plots/20251231112652_3FT6Y119H04_05543_B21P_N_UFLEX98_M5358A8BA201511/dpll_52094/txpa_53260.png</t>
  </si>
  <si>
    <t>plots/20251231112652_3FT6Y119H04_05543_B21P_N_UFLEX98_M5358A8BA201511/dpll_52094/txpa_53261.png</t>
  </si>
  <si>
    <t>plots/20251231112652_3FT6Y119H04_05543_B21P_N_UFLEX98_M5358A8BA201511/dpll_52094/txpa_53262.png</t>
  </si>
  <si>
    <t>plots/20251231112652_3FT6Y119H04_05543_B21P_N_UFLEX98_M5358A8BA201511/dpll_52094/txpa_53263.png</t>
  </si>
  <si>
    <t>plots/20251231112652_3FT6Y119H04_05543_B21P_N_UFLEX98_M5358A8BA201511/dpll_52094/txpa_53264.png</t>
  </si>
  <si>
    <t>plots/20251231112652_3FT6Y119H04_05543_B21P_N_UFLEX98_M5358A8BA201511/dpll_52094/txpa_53265.png</t>
  </si>
  <si>
    <t>plots/20251231112652_3FT6Y119H04_05543_B21P_N_UFLEX98_M5358A8BA201511/dpll_52094/txpa_53266.png</t>
  </si>
  <si>
    <t>plots/20251231112652_3FT6Y119H04_05543_B21P_N_UFLEX98_M5358A8BA201511/dpll_52094/txpa_53267.png</t>
  </si>
  <si>
    <t>plots/20251231112652_3FT6Y119H04_05543_B21P_N_UFLEX98_M5358A8BA201511/dpll_52094/txpa_53268.png</t>
  </si>
  <si>
    <t>plots/20251231112652_3FT6Y119H04_05543_B21P_N_UFLEX98_M5358A8BA201511/dpll_52094/txpa_53269.png</t>
  </si>
  <si>
    <t>plots/20251231112652_3FT6Y119H04_05543_B21P_N_UFLEX98_M5358A8BA201511/dpll_52094/txpa_53270.png</t>
  </si>
  <si>
    <t>plots/20251231112652_3FT6Y119H04_05543_B21P_N_UFLEX98_M5358A8BA201511/dpll_52094/txpa_53271.png</t>
  </si>
  <si>
    <t>plots/20251231112652_3FT6Y119H04_05543_B21P_N_UFLEX98_M5358A8BA201511/dpll_52094/txpa_53272.png</t>
  </si>
  <si>
    <t>plots/20251231112652_3FT6Y119H04_05543_B21P_N_UFLEX98_M5358A8BA201511/dpll_52094/txpa_53273.png</t>
  </si>
  <si>
    <t>plots/20251231112652_3FT6Y119H04_05543_B21P_N_UFLEX98_M5358A8BA201511/dpll_52094/txpa_53274.png</t>
  </si>
  <si>
    <t>plots/20251231112652_3FT6Y119H04_05543_B21P_N_UFLEX98_M5358A8BA201511/dpll_52094/txpa_53275.png</t>
  </si>
  <si>
    <t>plots/20251231112652_3FT6Y119H04_05543_B21P_N_UFLEX98_M5358A8BA201511/dpll_52094/txpa_53276.png</t>
  </si>
  <si>
    <t>plots/20251231112652_3FT6Y119H04_05543_B21P_N_UFLEX98_M5358A8BA201511/dpll_52094/txpa_53277.png</t>
  </si>
  <si>
    <t>plots/20251231112652_3FT6Y119H04_05543_B21P_N_UFLEX98_M5358A8BA201511/dpll_52094/txpa_53278.png</t>
  </si>
  <si>
    <t>plots/20251231112652_3FT6Y119H04_05543_B21P_N_UFLEX98_M5358A8BA201511/dpll_52094/txpa_53279.png</t>
  </si>
  <si>
    <t>plots/20251231112652_3FT6Y119H04_05543_B21P_N_UFLEX98_M5358A8BA201511/dpll_52094/txpa_53280.png</t>
  </si>
  <si>
    <t>plots/20251231112652_3FT6Y119H04_05543_B21P_N_UFLEX98_M5358A8BA201511/dpll_52094/txpa_53281.png</t>
  </si>
  <si>
    <t>plots/20251231112652_3FT6Y119H04_05543_B21P_N_UFLEX98_M5358A8BA201511/dpll_52094/txpa_53282.png</t>
  </si>
  <si>
    <t>plots/20251231112652_3FT6Y119H04_05543_B21P_N_UFLEX98_M5358A8BA201511/dpll_52094/txpa_53283.png</t>
  </si>
  <si>
    <t>plots/20251231112652_3FT6Y119H04_05543_B21P_N_UFLEX98_M5358A8BA201511/dpll_52094/txpa_53284.png</t>
  </si>
  <si>
    <t>plots/20251231112652_3FT6Y119H04_05543_B21P_N_UFLEX98_M5358A8BA201511/dpll_52094/txpa_53285.png</t>
  </si>
  <si>
    <t>plots/20251231112652_3FT6Y119H04_05543_B21P_N_UFLEX98_M5358A8BA201511/dpll_52094/txpa_53286.png</t>
  </si>
  <si>
    <t>plots/20251231112652_3FT6Y119H04_05543_B21P_N_UFLEX98_M5358A8BA201511/dpll_52094/txpa_53287.png</t>
  </si>
  <si>
    <t>plots/20251231112652_3FT6Y119H04_05543_B21P_N_UFLEX98_M5358A8BA201511/dpll_52094/txpa_53288.png</t>
  </si>
  <si>
    <t>plots/20251231112652_3FT6Y119H04_05543_B21P_N_UFLEX98_M5358A8BA201511/dpll_52094/txpa_53289.png</t>
  </si>
  <si>
    <t>plots/20251231112652_3FT6Y119H04_05543_B21P_N_UFLEX98_M5358A8BA201511/dpll_52094/txpa_53290.png</t>
  </si>
  <si>
    <t>plots/20251231112652_3FT6Y119H04_05543_B21P_N_UFLEX98_M5358A8BA201511/dpll_52094/txpa_54146.png</t>
  </si>
  <si>
    <t>plots/20251231112652_3FT6Y119H04_05543_B21P_N_UFLEX98_M5358A8BA201511/dpll_52094/txpa_54147.png</t>
  </si>
  <si>
    <t>plots/20251231112652_3FT6Y119H04_05543_B21P_N_UFLEX98_M5358A8BA201511/dpll_52094/txpa_54148.png</t>
  </si>
  <si>
    <t>plots/20251231112652_3FT6Y119H04_05543_B21P_N_UFLEX98_M5358A8BA201511/dpll_52094/txpa_54149.png</t>
  </si>
  <si>
    <t>plots/20251231112652_3FT6Y119H04_05543_B21P_N_UFLEX98_M5358A8BA201511/dpll_52094/txpa_54150.png</t>
  </si>
  <si>
    <t>plots/20251231112652_3FT6Y119H04_05543_B21P_N_UFLEX98_M5358A8BA201511/dpll_52094/txpa_54151.png</t>
  </si>
  <si>
    <t>plots/20251231112652_3FT6Y119H04_05543_B21P_N_UFLEX98_M5358A8BA201511/dpll_52094/txpa_54152.png</t>
  </si>
  <si>
    <t>plots/20251231112652_3FT6Y119H04_05543_B21P_N_UFLEX98_M5358A8BA201511/dpll_52094/txpa_54153.png</t>
  </si>
  <si>
    <t>plots/20251231112652_3FT6Y119H04_05543_B21P_N_UFLEX98_M5358A8BA201511/dpll_52094/txpa_54154.png</t>
  </si>
  <si>
    <t>plots/20251231112652_3FT6Y119H04_05543_B21P_N_UFLEX98_M5358A8BA201511/dpll_52094/txpa_54155.png</t>
  </si>
  <si>
    <t>plots/20251231112652_3FT6Y119H04_05543_B21P_N_UFLEX98_M5358A8BA201511/dpll_52094/txpa_54156.png</t>
  </si>
  <si>
    <t>plots/20251231112652_3FT6Y119H04_05543_B21P_N_UFLEX98_M5358A8BA201511/dpll_52094/txpa_54157.png</t>
  </si>
  <si>
    <t>plots/20251231112652_3FT6Y119H04_05543_B21P_N_UFLEX98_M5358A8BA201511/dpll_52094/txpa_54158.png</t>
  </si>
  <si>
    <t>plots/20251231112652_3FT6Y119H04_05543_B21P_N_UFLEX98_M5358A8BA201511/dpll_52094/txpa_54159.png</t>
  </si>
  <si>
    <t>plots/20251231112652_3FT6Y119H04_05543_B21P_N_UFLEX98_M5358A8BA201511/dpll_52094/txpa_54160.png</t>
  </si>
  <si>
    <t>plots/20251231112652_3FT6Y119H04_05543_B21P_N_UFLEX98_M5358A8BA201511/dpll_52094/txpa_54161.png</t>
  </si>
  <si>
    <t>plots/20251231112652_3FT6Y119H04_05543_B21P_N_UFLEX98_M5358A8BA201511/dpll_52094/txpa_54162.png</t>
  </si>
  <si>
    <t>plots/20251231112652_3FT6Y119H04_05543_B21P_N_UFLEX98_M5358A8BA201511/dpll_52094/txpa_54163.png</t>
  </si>
  <si>
    <t>plots/20251231112652_3FT6Y119H04_05543_B21P_N_UFLEX98_M5358A8BA201511/dpll_52094/txpa_54164.png</t>
  </si>
  <si>
    <t>plots/20251231112652_3FT6Y119H04_05543_B21P_N_UFLEX98_M5358A8BA201511/dpll_52094/txpa_54165.png</t>
  </si>
  <si>
    <t>plots/20251231112652_3FT6Y119H04_05543_B21P_N_UFLEX98_M5358A8BA201511/dpll_52094/txpa_54166.png</t>
  </si>
  <si>
    <t>plots/20251231112652_3FT6Y119H04_05543_B21P_N_UFLEX98_M5358A8BA201511/dpll_52094/txpa_54167.png</t>
  </si>
  <si>
    <t>plots/20251231112652_3FT6Y119H04_05543_B21P_N_UFLEX98_M5358A8BA201511/dpll_52094/txpa_54168.png</t>
  </si>
  <si>
    <t>plots/20251231112652_3FT6Y119H04_05543_B21P_N_UFLEX98_M5358A8BA201511/dpll_52094/txpa_54169.png</t>
  </si>
  <si>
    <t>plots/20251231112652_3FT6Y119H04_05543_B21P_N_UFLEX98_M5358A8BA201511/dpll_52094/txpa_54170.png</t>
  </si>
  <si>
    <t>plots/20251231112652_3FT6Y119H04_05543_B21P_N_UFLEX98_M5358A8BA201511/dpll_52094/txpa_54171.png</t>
  </si>
  <si>
    <t>plots/20251231112652_3FT6Y119H04_05543_B21P_N_UFLEX98_M5358A8BA201511/dpll_52094/txpa_54172.png</t>
  </si>
  <si>
    <t>plots/20251231112652_3FT6Y119H04_05543_B21P_N_UFLEX98_M5358A8BA201511/dpll_52094/txpa_54173.png</t>
  </si>
  <si>
    <t>plots/20251231112652_3FT6Y119H04_05543_B21P_N_UFLEX98_M5358A8BA201511/dpll_52094/txpa_54174.png</t>
  </si>
  <si>
    <t>plots/20251231112652_3FT6Y119H04_05543_B21P_N_UFLEX98_M5358A8BA201511/dpll_52094/txpa_54175.png</t>
  </si>
  <si>
    <t>plots/20251231112652_3FT6Y119H04_05543_B21P_N_UFLEX98_M5358A8BA201511/dpll_52094/txpa_54176.png</t>
  </si>
  <si>
    <t>plots/20251231112652_3FT6Y119H04_05543_B21P_N_UFLEX98_M5358A8BA201511/dpll_52094/txpa_54177.png</t>
  </si>
  <si>
    <t>plots/20251231112652_3FT6Y119H04_05543_B21P_N_UFLEX98_M5358A8BA201511/dpll_52094/txpa_54178.png</t>
  </si>
  <si>
    <t>plots/20251231112652_3FT6Y119H04_05543_B21P_N_UFLEX98_M5358A8BA201511/dpll_52094/txpa_54179.png</t>
  </si>
  <si>
    <t>plots/20251231112652_3FT6Y119H04_05543_B21P_N_UFLEX98_M5358A8BA201511/dpll_52094/txpa_54180.png</t>
  </si>
  <si>
    <t>plots/20251231112652_3FT6Y119H04_05543_B21P_N_UFLEX98_M5358A8BA201511/dpll_52094/txpa_54181.png</t>
  </si>
  <si>
    <t>plots/20251231112652_3FT6Y119H04_05543_B21P_N_UFLEX98_M5358A8BA201511/dpll_52094/txpa_54182.png</t>
  </si>
  <si>
    <t>plots/20251231112652_3FT6Y119H04_05543_B21P_N_UFLEX98_M5358A8BA201511/dpll_52094/txpa_54183.png</t>
  </si>
  <si>
    <t>plots/20251231112652_3FT6Y119H04_05543_B21P_N_UFLEX98_M5358A8BA201511/dpll_52094/txpa_54184.png</t>
  </si>
  <si>
    <t>plots/20251231112652_3FT6Y119H04_05543_B21P_N_UFLEX98_M5358A8BA201511/dpll_52094/txpa_54185.png</t>
  </si>
  <si>
    <t>plots/20251231112652_3FT6Y119H04_05543_B21P_N_UFLEX98_M5358A8BA201511/dpll_52094/txpa_54186.png</t>
  </si>
  <si>
    <t>plots/20251231112652_3FT6Y119H04_05543_B21P_N_UFLEX98_M5358A8BA201511/dpll_52094/txpa_54187.png</t>
  </si>
  <si>
    <t>plots/20251231112652_3FT6Y119H04_05543_B21P_N_UFLEX98_M5358A8BA201511/dpll_52094/txpa_54188.png</t>
  </si>
  <si>
    <t>plots/20251231112652_3FT6Y119H04_05543_B21P_N_UFLEX98_M5358A8BA201511/dpll_52094/txpa_54189.png</t>
  </si>
  <si>
    <t>plots/20251231112652_3FT6Y119H04_05543_B21P_N_UFLEX98_M5358A8BA201511/dpll_52094/txpa_54190.png</t>
  </si>
  <si>
    <t>plots/20251231112652_3FT6Y119H04_05543_B21P_N_UFLEX98_M5358A8BA201511/dpll_52094/txpa_54191.png</t>
  </si>
  <si>
    <t>plots/20251231112652_3FT6Y119H04_05543_B21P_N_UFLEX98_M5358A8BA201511/dpll_52094/txpa_54192.png</t>
  </si>
  <si>
    <t>plots/20251231112652_3FT6Y119H04_05543_B21P_N_UFLEX98_M5358A8BA201511/dpll_52094/txpa_54193.png</t>
  </si>
  <si>
    <t>plots/20251231112652_3FT6Y119H04_05543_B21P_N_UFLEX98_M5358A8BA201511/dpll_52094/txpa_54194.png</t>
  </si>
  <si>
    <t>plots/20251231112652_3FT6Y119H04_05543_B21P_N_UFLEX98_M5358A8BA201511/dpll_52094/txpa_54195.png</t>
  </si>
  <si>
    <t>plots/20251231112652_3FT6Y119H04_05543_B21P_N_UFLEX98_M5358A8BA201511/dpll_52094/txpa_54196.png</t>
  </si>
  <si>
    <t>plots/20251231112652_3FT6Y119H04_05543_B21P_N_UFLEX98_M5358A8BA201511/dpll_52094/txpa_54197.png</t>
  </si>
  <si>
    <t>plots/20251231112652_3FT6Y119H04_05543_B21P_N_UFLEX98_M5358A8BA201511/dpll_52094/txpa_54198.png</t>
  </si>
  <si>
    <t>plots/20251231112652_3FT6Y119H04_05543_B21P_N_UFLEX98_M5358A8BA201511/dpll_52094/txpa_54199.png</t>
  </si>
  <si>
    <t>plots/20251231112652_3FT6Y119H04_05543_B21P_N_UFLEX98_M5358A8BA201511/dpll_52094/txpa_54200.png</t>
  </si>
  <si>
    <t>plots/20251231112652_3FT6Y119H04_05543_B21P_N_UFLEX98_M5358A8BA201511/dpll_52094/txpa_54201.png</t>
  </si>
  <si>
    <t>plots/20251231112652_3FT6Y119H04_05543_B21P_N_UFLEX98_M5358A8BA201511/dpll_52094/txpa_54202.png</t>
  </si>
  <si>
    <t>plots/20251231112652_3FT6Y119H04_05543_B21P_N_UFLEX98_M5358A8BA201511/dpll_52094/txpa_54203.png</t>
  </si>
  <si>
    <t>plots/20251231112652_3FT6Y119H04_05543_B21P_N_UFLEX98_M5358A8BA201511/dpll_52094/txpa_54204.png</t>
  </si>
  <si>
    <t>plots/20251231112652_3FT6Y119H04_05543_B21P_N_UFLEX98_M5358A8BA201511/dpll_52094/txpa_54205.png</t>
  </si>
  <si>
    <t>plots/20251231112652_3FT6Y119H04_05543_B21P_N_UFLEX98_M5358A8BA201511/dpll_52094/txpa_54206.png</t>
  </si>
  <si>
    <t>plots/20251231112652_3FT6Y119H04_05543_B21P_N_UFLEX98_M5358A8BA201511/dpll_52094/txpa_54207.png</t>
  </si>
  <si>
    <t>plots/20251231112652_3FT6Y119H04_05543_B21P_N_UFLEX98_M5358A8BA201511/dpll_52094/txpa_54208.png</t>
  </si>
  <si>
    <t>plots/20251231112652_3FT6Y119H04_05543_B21P_N_UFLEX98_M5358A8BA201511/dpll_52094/txpa_54209.png</t>
  </si>
  <si>
    <t>plots/20251231112652_3FT6Y119H04_05543_B21P_N_UFLEX98_M5358A8BA201511/dpll_52094/txpa_54210.png</t>
  </si>
  <si>
    <t>plots/20251231112652_3FT6Y119H04_05543_B21P_N_UFLEX98_M5358A8BA201511/dpll_52094/txpa_54211.png</t>
  </si>
  <si>
    <t>plots/20251231112652_3FT6Y119H04_05543_B21P_N_UFLEX98_M5358A8BA201511/dpll_52094/txpa_54212.png</t>
  </si>
  <si>
    <t>plots/20251231112652_3FT6Y119H04_05543_B21P_N_UFLEX98_M5358A8BA201511/dpll_52094/txpa_54213.png</t>
  </si>
  <si>
    <t>plots/20251231112652_3FT6Y119H04_05543_B21P_N_UFLEX98_M5358A8BA201511/dpll_52094/txpa_54214.png</t>
  </si>
  <si>
    <t>plots/20251231112652_3FT6Y119H04_05543_B21P_N_UFLEX98_M5358A8BA201511/dpll_52094/txpa_54215.png</t>
  </si>
  <si>
    <t>plots/20251231112652_3FT6Y119H04_05543_B21P_N_UFLEX98_M5358A8BA201511/dpll_52094/txpa_54216.png</t>
  </si>
  <si>
    <t>plots/20251231112652_3FT6Y119H04_05543_B21P_N_UFLEX98_M5358A8BA201511/dpll_52094/txpa_54217.png</t>
  </si>
  <si>
    <t>plots/20251231112652_3FT6Y119H04_05543_B21P_N_UFLEX98_M5358A8BA201511/dpll_52094/txpa_54218.png</t>
  </si>
  <si>
    <t>plots/20251231112652_3FT6Y119H04_05543_B21P_N_UFLEX98_M5358A8BA201511/dpll_52094/txpa_54219.png</t>
  </si>
  <si>
    <t>plots/20251231112652_3FT6Y119H04_05543_B21P_N_UFLEX98_M5358A8BA201511/dpll_52094/txpa_54220.png</t>
  </si>
  <si>
    <t>plots/20251231112652_3FT6Y119H04_05543_B21P_N_UFLEX98_M5358A8BA201511/dpll_52094/txpa_54221.png</t>
  </si>
  <si>
    <t>plots/20251231112652_3FT6Y119H04_05543_B21P_N_UFLEX98_M5358A8BA201511/dpll_52094/txpa_54222.png</t>
  </si>
  <si>
    <t>plots/20251231112652_3FT6Y119H04_05543_B21P_N_UFLEX98_M5358A8BA201511/dpll_52094/txpa_54223.png</t>
  </si>
  <si>
    <t>plots/20251231112652_3FT6Y119H04_05543_B21P_N_UFLEX98_M5358A8BA201511/dpll_52094/txpa_54224.png</t>
  </si>
  <si>
    <t>plots/20251231112652_3FT6Y119H04_05543_B21P_N_UFLEX98_M5358A8BA201511/dpll_52094/txpa_54225.png</t>
  </si>
  <si>
    <t>plots/20251231112652_3FT6Y119H04_05543_B21P_N_UFLEX98_M5358A8BA201511/dpll_52094/txpa_54226.png</t>
  </si>
  <si>
    <t>plots/20251231112652_3FT6Y119H04_05543_B21P_N_UFLEX98_M5358A8BA201511/dpll_52094/txpa_54227.png</t>
  </si>
  <si>
    <t>plots/20251231112652_3FT6Y119H04_05543_B21P_N_UFLEX98_M5358A8BA201511/dpll_52094/txpa_54228.png</t>
  </si>
  <si>
    <t>plots/20251231112652_3FT6Y119H04_05543_B21P_N_UFLEX98_M5358A8BA201511/dpll_52094/txpa_54229.png</t>
  </si>
  <si>
    <t>plots/20251231112652_3FT6Y119H04_05543_B21P_N_UFLEX98_M5358A8BA201511/dpll_52094/txpa_54230.png</t>
  </si>
  <si>
    <t>plots/20251231112652_3FT6Y119H04_05543_B21P_N_UFLEX98_M5358A8BA201511/dpll_52094/txpa_54231.png</t>
  </si>
  <si>
    <t>plots/20251231112652_3FT6Y119H04_05543_B21P_N_UFLEX98_M5358A8BA201511/dpll_52094/txpa_54232.png</t>
  </si>
  <si>
    <t>plots/20251231112652_3FT6Y119H04_05543_B21P_N_UFLEX98_M5358A8BA201511/dpll_52094/txpa_54233.png</t>
  </si>
  <si>
    <t>plots/20251231112652_3FT6Y119H04_05543_B21P_N_UFLEX98_M5358A8BA201511/dpll_52094/txpa_54234.png</t>
  </si>
  <si>
    <t>plots/20251231112652_3FT6Y119H04_05543_B21P_N_UFLEX98_M5358A8BA201511/dpll_52094/txpa_54235.png</t>
  </si>
  <si>
    <t>plots/20251231112652_3FT6Y119H04_05543_B21P_N_UFLEX98_M5358A8BA201511/dpll_52094/txpa_54236.png</t>
  </si>
  <si>
    <t>plots/20251231112652_3FT6Y119H04_05543_B21P_N_UFLEX98_M5358A8BA201511/dpll_52094/txpa_54237.png</t>
  </si>
  <si>
    <t>plots/20251231112652_3FT6Y119H04_05543_B21P_N_UFLEX98_M5358A8BA201511/dpll_52094/txpa_54238.png</t>
  </si>
  <si>
    <t>plots/20251231112652_3FT6Y119H04_05543_B21P_N_UFLEX98_M5358A8BA201511/dpll_52094/txpa_54239.png</t>
  </si>
  <si>
    <t>plots/20251231112652_3FT6Y119H04_05543_B21P_N_UFLEX98_M5358A8BA201511/dpll_52094/txpa_54240.png</t>
  </si>
  <si>
    <t>plots/20251231112652_3FT6Y119H04_05543_B21P_N_UFLEX98_M5358A8BA201511/dpll_52094/txpa_54241.png</t>
  </si>
  <si>
    <t>plots/20251231112652_3FT6Y119H04_05543_B21P_N_UFLEX98_M5358A8BA201511/dpll_52094/txpa_54242.png</t>
  </si>
  <si>
    <t>plots/20251231112652_3FT6Y119H04_05543_B21P_N_UFLEX98_M5358A8BA201511/dpll_52094/txpa_54243.png</t>
  </si>
  <si>
    <t>plots/20251231112652_3FT6Y119H04_05543_B21P_N_UFLEX98_M5358A8BA201511/dpll_52094/txpa_54244.png</t>
  </si>
  <si>
    <t>plots/20251231112652_3FT6Y119H04_05543_B21P_N_UFLEX98_M5358A8BA201511/dpll_52094/txpa_54245.png</t>
  </si>
  <si>
    <t>plots/20251231112652_3FT6Y119H04_05543_B21P_N_UFLEX98_M5358A8BA201511/dpll_52094/txpa_54246.png</t>
  </si>
  <si>
    <t>plots/20251231112652_3FT6Y119H04_05543_B21P_N_UFLEX98_M5358A8BA201511/dpll_52094/txpa_54247.png</t>
  </si>
  <si>
    <t>plots/20251231112652_3FT6Y119H04_05543_B21P_N_UFLEX98_M5358A8BA201511/dpll_52094/txpa_54248.png</t>
  </si>
  <si>
    <t>plots/20251231112652_3FT6Y119H04_05543_B21P_N_UFLEX98_M5358A8BA201511/dpll_52094/txpa_54249.png</t>
  </si>
  <si>
    <t>plots/20251231112652_3FT6Y119H04_05543_B21P_N_UFLEX98_M5358A8BA201511/dpll_52094/txpa_54250.png</t>
  </si>
  <si>
    <t>plots/20251231112652_3FT6Y119H04_05543_B21P_N_UFLEX98_M5358A8BA201511/dpll_52094/txpa_54251.png</t>
  </si>
  <si>
    <t>plots/20251231112652_3FT6Y119H04_05543_B21P_N_UFLEX98_M5358A8BA201511/dpll_52094/txpa_54252.png</t>
  </si>
  <si>
    <t>plots/20251231112652_3FT6Y119H04_05543_B21P_N_UFLEX98_M5358A8BA201511/dpll_52094/txpa_54253.png</t>
  </si>
  <si>
    <t>plots/20251231112652_3FT6Y119H04_05543_B21P_N_UFLEX98_M5358A8BA201511/dpll_52094/txpa_54254.png</t>
  </si>
  <si>
    <t>plots/20251231112652_3FT6Y119H04_05543_B21P_N_UFLEX98_M5358A8BA201511/dpll_52094/txpa_54255.png</t>
  </si>
  <si>
    <t>plots/20251231112652_3FT6Y119H04_05543_B21P_N_UFLEX98_M5358A8BA201511/dpll_52094/txpa_54256.png</t>
  </si>
  <si>
    <t>plots/20251231112652_3FT6Y119H04_05543_B21P_N_UFLEX98_M5358A8BA201511/dpll_52094/txpa_54257.png</t>
  </si>
  <si>
    <t>plots/20251231112652_3FT6Y119H04_05543_B21P_N_UFLEX98_M5358A8BA201511/dpll_52094/txpa_54258.png</t>
  </si>
  <si>
    <t>plots/20251231112652_3FT6Y119H04_05543_B21P_N_UFLEX98_M5358A8BA201511/dpll_52094/txpa_55146.png</t>
  </si>
  <si>
    <t>plots/20251231112652_3FT6Y119H04_05543_B21P_N_UFLEX98_M5358A8BA201511/dpll_52094/txpa_55147.png</t>
  </si>
  <si>
    <t>plots/20251231112652_3FT6Y119H04_05543_B21P_N_UFLEX98_M5358A8BA201511/dpll_52094/txpa_55148.png</t>
  </si>
  <si>
    <t>plots/20251231112652_3FT6Y119H04_05543_B21P_N_UFLEX98_M5358A8BA201511/dpll_52094/txpa_55149.png</t>
  </si>
  <si>
    <t>plots/20251231112652_3FT6Y119H04_05543_B21P_N_UFLEX98_M5358A8BA201511/dpll_52094/txpa_55150.png</t>
  </si>
  <si>
    <t>plots/20251231112652_3FT6Y119H04_05543_B21P_N_UFLEX98_M5358A8BA201511/dpll_52094/txpa_55151.png</t>
  </si>
  <si>
    <t>plots/20251231112652_3FT6Y119H04_05543_B21P_N_UFLEX98_M5358A8BA201511/dpll_52094/txpa_55152.png</t>
  </si>
  <si>
    <t>plots/20251231112652_3FT6Y119H04_05543_B21P_N_UFLEX98_M5358A8BA201511/dpll_52094/txpa_55153.png</t>
  </si>
  <si>
    <t>plots/20251231112652_3FT6Y119H04_05543_B21P_N_UFLEX98_M5358A8BA201511/dpll_52094/txpa_55154.png</t>
  </si>
  <si>
    <t>plots/20251231112652_3FT6Y119H04_05543_B21P_N_UFLEX98_M5358A8BA201511/dpll_52094/txpa_55155.png</t>
  </si>
  <si>
    <t>plots/20251231112652_3FT6Y119H04_05543_B21P_N_UFLEX98_M5358A8BA201511/dpll_52094/txpa_55156.png</t>
  </si>
  <si>
    <t>plots/20251231112652_3FT6Y119H04_05543_B21P_N_UFLEX98_M5358A8BA201511/dpll_52094/txpa_55157.png</t>
  </si>
  <si>
    <t>plots/20251231112652_3FT6Y119H04_05543_B21P_N_UFLEX98_M5358A8BA201511/dpll_52094/txpa_55158.png</t>
  </si>
  <si>
    <t>plots/20251231112652_3FT6Y119H04_05543_B21P_N_UFLEX98_M5358A8BA201511/dpll_52094/txpa_55159.png</t>
  </si>
  <si>
    <t>plots/20251231112652_3FT6Y119H04_05543_B21P_N_UFLEX98_M5358A8BA201511/dpll_52094/txpa_55160.png</t>
  </si>
  <si>
    <t>plots/20251231112652_3FT6Y119H04_05543_B21P_N_UFLEX98_M5358A8BA201511/dpll_52094/txpa_55161.png</t>
  </si>
  <si>
    <t>plots/20251231112652_3FT6Y119H04_05543_B21P_N_UFLEX98_M5358A8BA201511/dpll_52094/txpa_55162.png</t>
  </si>
  <si>
    <t>plots/20251231112652_3FT6Y119H04_05543_B21P_N_UFLEX98_M5358A8BA201511/dpll_52094/txpa_55163.png</t>
  </si>
  <si>
    <t>plots/20251231112652_3FT6Y119H04_05543_B21P_N_UFLEX98_M5358A8BA201511/dpll_52094/txpa_55164.png</t>
  </si>
  <si>
    <t>plots/20251231112652_3FT6Y119H04_05543_B21P_N_UFLEX98_M5358A8BA201511/dpll_52094/txpa_55165.png</t>
  </si>
  <si>
    <t>plots/20251231112652_3FT6Y119H04_05543_B21P_N_UFLEX98_M5358A8BA201511/dpll_52094/txpa_55166.png</t>
  </si>
  <si>
    <t>plots/20251231112652_3FT6Y119H04_05543_B21P_N_UFLEX98_M5358A8BA201511/dpll_52094/txpa_55167.png</t>
  </si>
  <si>
    <t>plots/20251231112652_3FT6Y119H04_05543_B21P_N_UFLEX98_M5358A8BA201511/dpll_52094/txpa_55168.png</t>
  </si>
  <si>
    <t>plots/20251231112652_3FT6Y119H04_05543_B21P_N_UFLEX98_M5358A8BA201511/dpll_52094/txpa_55169.png</t>
  </si>
  <si>
    <t>plots/20251231112652_3FT6Y119H04_05543_B21P_N_UFLEX98_M5358A8BA201511/dpll_52094/txpa_55170.png</t>
  </si>
  <si>
    <t>plots/20251231112652_3FT6Y119H04_05543_B21P_N_UFLEX98_M5358A8BA201511/dpll_52094/txpa_55171.png</t>
  </si>
  <si>
    <t>plots/20251231112652_3FT6Y119H04_05543_B21P_N_UFLEX98_M5358A8BA201511/dpll_52094/txpa_55172.png</t>
  </si>
  <si>
    <t>plots/20251231112652_3FT6Y119H04_05543_B21P_N_UFLEX98_M5358A8BA201511/dpll_52094/txpa_55173.png</t>
  </si>
  <si>
    <t>plots/20251231112652_3FT6Y119H04_05543_B21P_N_UFLEX98_M5358A8BA201511/dpll_52094/txpa_55174.png</t>
  </si>
  <si>
    <t>plots/20251231112652_3FT6Y119H04_05543_B21P_N_UFLEX98_M5358A8BA201511/dpll_52094/txpa_55175.png</t>
  </si>
  <si>
    <t>plots/20251231112652_3FT6Y119H04_05543_B21P_N_UFLEX98_M5358A8BA201511/dpll_52094/txpa_55176.png</t>
  </si>
  <si>
    <t>plots/20251231112652_3FT6Y119H04_05543_B21P_N_UFLEX98_M5358A8BA201511/dpll_52094/txpa_55177.png</t>
  </si>
  <si>
    <t>plots/20251231112652_3FT6Y119H04_05543_B21P_N_UFLEX98_M5358A8BA201511/dpll_52094/txpa_55178.png</t>
  </si>
  <si>
    <t>plots/20251231112652_3FT6Y119H04_05543_B21P_N_UFLEX98_M5358A8BA201511/dpll_52094/txpa_55179.png</t>
  </si>
  <si>
    <t>plots/20251231112652_3FT6Y119H04_05543_B21P_N_UFLEX98_M5358A8BA201511/dpll_52094/txpa_55180.png</t>
  </si>
  <si>
    <t>plots/20251231112652_3FT6Y119H04_05543_B21P_N_UFLEX98_M5358A8BA201511/dpll_52094/txpa_55181.png</t>
  </si>
  <si>
    <t>plots/20251231112652_3FT6Y119H04_05543_B21P_N_UFLEX98_M5358A8BA201511/dpll_52094/txpa_55182.png</t>
  </si>
  <si>
    <t>plots/20251231112652_3FT6Y119H04_05543_B21P_N_UFLEX98_M5358A8BA201511/dpll_52094/txpa_55183.png</t>
  </si>
  <si>
    <t>plots/20251231112652_3FT6Y119H04_05543_B21P_N_UFLEX98_M5358A8BA201511/dpll_52094/txpa_55184.png</t>
  </si>
  <si>
    <t>plots/20251231112652_3FT6Y119H04_05543_B21P_N_UFLEX98_M5358A8BA201511/dpll_52094/txpa_55185.png</t>
  </si>
  <si>
    <t>plots/20251231112652_3FT6Y119H04_05543_B21P_N_UFLEX98_M5358A8BA201511/dpll_52094/txpa_55186.png</t>
  </si>
  <si>
    <t>plots/20251231112652_3FT6Y119H04_05543_B21P_N_UFLEX98_M5358A8BA201511/dpll_52094/txpa_55187.png</t>
  </si>
  <si>
    <t>plots/20251231112652_3FT6Y119H04_05543_B21P_N_UFLEX98_M5358A8BA201511/dpll_52094/txpa_55188.png</t>
  </si>
  <si>
    <t>plots/20251231112652_3FT6Y119H04_05543_B21P_N_UFLEX98_M5358A8BA201511/dpll_52094/txpa_55189.png</t>
  </si>
  <si>
    <t>plots/20251231112652_3FT6Y119H04_05543_B21P_N_UFLEX98_M5358A8BA201511/dpll_52094/txpa_55190.png</t>
  </si>
  <si>
    <t>plots/20251231112652_3FT6Y119H04_05543_B21P_N_UFLEX98_M5358A8BA201511/dpll_52094/txpa_55191.png</t>
  </si>
  <si>
    <t>plots/20251231112652_3FT6Y119H04_05543_B21P_N_UFLEX98_M5358A8BA201511/dpll_52094/txpa_55192.png</t>
  </si>
  <si>
    <t>plots/20251231112652_3FT6Y119H04_05543_B21P_N_UFLEX98_M5358A8BA201511/dpll_52094/txpa_55193.png</t>
  </si>
  <si>
    <t>plots/20251231112652_3FT6Y119H04_05543_B21P_N_UFLEX98_M5358A8BA201511/dpll_52094/txpa_55194.png</t>
  </si>
  <si>
    <t>plots/20251231112652_3FT6Y119H04_05543_B21P_N_UFLEX98_M5358A8BA201511/dpll_52094/txpa_55195.png</t>
  </si>
  <si>
    <t>plots/20251231112652_3FT6Y119H04_05543_B21P_N_UFLEX98_M5358A8BA201511/dpll_52094/txpa_55196.png</t>
  </si>
  <si>
    <t>plots/20251231112652_3FT6Y119H04_05543_B21P_N_UFLEX98_M5358A8BA201511/dpll_52094/txpa_55197.png</t>
  </si>
  <si>
    <t>plots/20251231112652_3FT6Y119H04_05543_B21P_N_UFLEX98_M5358A8BA201511/dpll_52094/txpa_55198.png</t>
  </si>
  <si>
    <t>plots/20251231112652_3FT6Y119H04_05543_B21P_N_UFLEX98_M5358A8BA201511/dpll_52094/txpa_55199.png</t>
  </si>
  <si>
    <t>plots/20251231112652_3FT6Y119H04_05543_B21P_N_UFLEX98_M5358A8BA201511/dpll_52094/txpa_55200.png</t>
  </si>
  <si>
    <t>plots/20251231112652_3FT6Y119H04_05543_B21P_N_UFLEX98_M5358A8BA201511/dpll_52094/txpa_55201.png</t>
  </si>
  <si>
    <t>plots/20251231112652_3FT6Y119H04_05543_B21P_N_UFLEX98_M5358A8BA201511/dpll_52094/txpa_55202.png</t>
  </si>
  <si>
    <t>plots/20251231112652_3FT6Y119H04_05543_B21P_N_UFLEX98_M5358A8BA201511/dpll_52094/txpa_55203.png</t>
  </si>
  <si>
    <t>plots/20251231112652_3FT6Y119H04_05543_B21P_N_UFLEX98_M5358A8BA201511/dpll_52094/txpa_55204.png</t>
  </si>
  <si>
    <t>plots/20251231112652_3FT6Y119H04_05543_B21P_N_UFLEX98_M5358A8BA201511/dpll_52094/txpa_55205.png</t>
  </si>
  <si>
    <t>plots/20251231112652_3FT6Y119H04_05543_B21P_N_UFLEX98_M5358A8BA201511/dpll_52094/txpa_55206.png</t>
  </si>
  <si>
    <t>plots/20251231112652_3FT6Y119H04_05543_B21P_N_UFLEX98_M5358A8BA201511/dpll_52094/txpa_55207.png</t>
  </si>
  <si>
    <t>plots/20251231112652_3FT6Y119H04_05543_B21P_N_UFLEX98_M5358A8BA201511/dpll_52094/txpa_55208.png</t>
  </si>
  <si>
    <t>plots/20251231112652_3FT6Y119H04_05543_B21P_N_UFLEX98_M5358A8BA201511/dpll_52094/txpa_55209.png</t>
  </si>
  <si>
    <t>plots/20251231112652_3FT6Y119H04_05543_B21P_N_UFLEX98_M5358A8BA201511/dpll_52094/txpa_55210.png</t>
  </si>
  <si>
    <t>plots/20251231112652_3FT6Y119H04_05543_B21P_N_UFLEX98_M5358A8BA201511/dpll_52094/txpa_55211.png</t>
  </si>
  <si>
    <t>plots/20251231112652_3FT6Y119H04_05543_B21P_N_UFLEX98_M5358A8BA201511/dpll_52094/txpa_55212.png</t>
  </si>
  <si>
    <t>plots/20251231112652_3FT6Y119H04_05543_B21P_N_UFLEX98_M5358A8BA201511/dpll_52094/txpa_55213.png</t>
  </si>
  <si>
    <t>plots/20251231112652_3FT6Y119H04_05543_B21P_N_UFLEX98_M5358A8BA201511/dpll_52094/txpa_55214.png</t>
  </si>
  <si>
    <t>plots/20251231112652_3FT6Y119H04_05543_B21P_N_UFLEX98_M5358A8BA201511/dpll_52094/txpa_55215.png</t>
  </si>
  <si>
    <t>plots/20251231112652_3FT6Y119H04_05543_B21P_N_UFLEX98_M5358A8BA201511/dpll_52094/txpa_55216.png</t>
  </si>
  <si>
    <t>plots/20251231112652_3FT6Y119H04_05543_B21P_N_UFLEX98_M5358A8BA201511/dpll_52094/txpa_55217.png</t>
  </si>
  <si>
    <t>plots/20251231112652_3FT6Y119H04_05543_B21P_N_UFLEX98_M5358A8BA201511/dpll_52094/txpa_55218.png</t>
  </si>
  <si>
    <t>plots/20251231112652_3FT6Y119H04_05543_B21P_N_UFLEX98_M5358A8BA201511/dpll_52094/txpa_55219.png</t>
  </si>
  <si>
    <t>plots/20251231112652_3FT6Y119H04_05543_B21P_N_UFLEX98_M5358A8BA201511/dpll_52094/txpa_55220.png</t>
  </si>
  <si>
    <t>plots/20251231112652_3FT6Y119H04_05543_B21P_N_UFLEX98_M5358A8BA201511/dpll_52094/txpa_55221.png</t>
  </si>
  <si>
    <t>plots/20251231112652_3FT6Y119H04_05543_B21P_N_UFLEX98_M5358A8BA201511/dpll_52094/txpa_55222.png</t>
  </si>
  <si>
    <t>plots/20251231112652_3FT6Y119H04_05543_B21P_N_UFLEX98_M5358A8BA201511/dpll_52094/txpa_55223.png</t>
  </si>
  <si>
    <t>plots/20251231112652_3FT6Y119H04_05543_B21P_N_UFLEX98_M5358A8BA201511/dpll_52094/txpa_55224.png</t>
  </si>
  <si>
    <t>plots/20251231112652_3FT6Y119H04_05543_B21P_N_UFLEX98_M5358A8BA201511/dpll_52094/txpa_55225.png</t>
  </si>
  <si>
    <t>plots/20251231112652_3FT6Y119H04_05543_B21P_N_UFLEX98_M5358A8BA201511/dpll_52094/txpa_55226.png</t>
  </si>
  <si>
    <t>plots/20251231112652_3FT6Y119H04_05543_B21P_N_UFLEX98_M5358A8BA201511/dpll_52094/txpa_55227.png</t>
  </si>
  <si>
    <t>plots/20251231112652_3FT6Y119H04_05543_B21P_N_UFLEX98_M5358A8BA201511/dpll_52094/txpa_55228.png</t>
  </si>
  <si>
    <t>plots/20251231112652_3FT6Y119H04_05543_B21P_N_UFLEX98_M5358A8BA201511/dpll_52094/txpa_55229.png</t>
  </si>
  <si>
    <t>plots/20251231112652_3FT6Y119H04_05543_B21P_N_UFLEX98_M5358A8BA201511/dpll_52094/txpa_55230.png</t>
  </si>
  <si>
    <t>plots/20251231112652_3FT6Y119H04_05543_B21P_N_UFLEX98_M5358A8BA201511/dpll_52094/txpa_55231.png</t>
  </si>
  <si>
    <t>plots/20251231112652_3FT6Y119H04_05543_B21P_N_UFLEX98_M5358A8BA201511/dpll_52094/txpa_55232.png</t>
  </si>
  <si>
    <t>plots/20251231112652_3FT6Y119H04_05543_B21P_N_UFLEX98_M5358A8BA201511/dpll_52094/txpa_55233.png</t>
  </si>
  <si>
    <t>plots/20251231112652_3FT6Y119H04_05543_B21P_N_UFLEX98_M5358A8BA201511/dpll_52094/txpa_55234.png</t>
  </si>
  <si>
    <t>plots/20251231112652_3FT6Y119H04_05543_B21P_N_UFLEX98_M5358A8BA201511/dpll_52094/txpa_55235.png</t>
  </si>
  <si>
    <t>plots/20251231112652_3FT6Y119H04_05543_B21P_N_UFLEX98_M5358A8BA201511/dpll_52094/txpa_55236.png</t>
  </si>
  <si>
    <t>plots/20251231112652_3FT6Y119H04_05543_B21P_N_UFLEX98_M5358A8BA201511/dpll_52094/txpa_55237.png</t>
  </si>
  <si>
    <t>plots/20251231112652_3FT6Y119H04_05543_B21P_N_UFLEX98_M5358A8BA201511/dpll_52094/txpa_55238.png</t>
  </si>
  <si>
    <t>plots/20251231112652_3FT6Y119H04_05543_B21P_N_UFLEX98_M5358A8BA201511/dpll_52094/txpa_55239.png</t>
  </si>
  <si>
    <t>plots/20251231112652_3FT6Y119H04_05543_B21P_N_UFLEX98_M5358A8BA201511/dpll_52094/txpa_55240.png</t>
  </si>
  <si>
    <t>plots/20251231112652_3FT6Y119H04_05543_B21P_N_UFLEX98_M5358A8BA201511/dpll_52094/txpa_55241.png</t>
  </si>
  <si>
    <t>plots/20251231112652_3FT6Y119H04_05543_B21P_N_UFLEX98_M5358A8BA201511/dpll_52094/txpa_55242.png</t>
  </si>
  <si>
    <t>plots/20251231112652_3FT6Y119H04_05543_B21P_N_UFLEX98_M5358A8BA201511/dpll_52094/txpa_55243.png</t>
  </si>
  <si>
    <t>plots/20251231112652_3FT6Y119H04_05543_B21P_N_UFLEX98_M5358A8BA201511/dpll_52094/txpa_55244.png</t>
  </si>
  <si>
    <t>plots/20251231112652_3FT6Y119H04_05543_B21P_N_UFLEX98_M5358A8BA201511/dpll_52094/txpa_55245.png</t>
  </si>
  <si>
    <t>plots/20251231112652_3FT6Y119H04_05543_B21P_N_UFLEX98_M5358A8BA201511/dpll_52094/txpa_55246.png</t>
  </si>
  <si>
    <t>plots/20251231112652_3FT6Y119H04_05543_B21P_N_UFLEX98_M5358A8BA201511/dpll_52094/txpa_55247.png</t>
  </si>
  <si>
    <t>plots/20251231112652_3FT6Y119H04_05543_B21P_N_UFLEX98_M5358A8BA201511/dpll_52094/txpa_55248.png</t>
  </si>
  <si>
    <t>plots/20251231112652_3FT6Y119H04_05543_B21P_N_UFLEX98_M5358A8BA201511/dpll_52094/txpa_55249.png</t>
  </si>
  <si>
    <t>plots/20251231112652_3FT6Y119H04_05543_B21P_N_UFLEX98_M5358A8BA201511/dpll_52094/txpa_55250.png</t>
  </si>
  <si>
    <t>plots/20251231112652_3FT6Y119H04_05543_B21P_N_UFLEX98_M5358A8BA201511/dpll_52094/txpa_55251.png</t>
  </si>
  <si>
    <t>plots/20251231112652_3FT6Y119H04_05543_B21P_N_UFLEX98_M5358A8BA201511/dpll_52094/txpa_55252.png</t>
  </si>
  <si>
    <t>plots/20251231112652_3FT6Y119H04_05543_B21P_N_UFLEX98_M5358A8BA201511/dpll_52094/txpa_55253.png</t>
  </si>
  <si>
    <t>plots/20251231112652_3FT6Y119H04_05543_B21P_N_UFLEX98_M5358A8BA201511/dpll_52094/txpa_55254.png</t>
  </si>
  <si>
    <t>plots/20251231112652_3FT6Y119H04_05543_B21P_N_UFLEX98_M5358A8BA201511/dpll_52094/txpa_55255.png</t>
  </si>
  <si>
    <t>plots/20251231112652_3FT6Y119H04_05543_B21P_N_UFLEX98_M5358A8BA201511/dpll_52094/txpa_55256.png</t>
  </si>
  <si>
    <t>plots/20251231112652_3FT6Y119H04_05543_B21P_N_UFLEX98_M5358A8BA201511/dpll_52094/txpa_55257.png</t>
  </si>
  <si>
    <t>plots/20251231112652_3FT6Y119H04_05543_B21P_N_UFLEX98_M5358A8BA201511/dpll_52094/txpa_55258.png</t>
  </si>
  <si>
    <t>plots/3FT6Y578R01_012_S11P_20251111092011_M5358ACSH101811_RBGEUFRF26/dpll_52046/txpa_53179.png</t>
  </si>
  <si>
    <t>plots/3FT6Y578R01_012_S11P_20251111092011_M5358ACSH101811_RBGEUFRF26/dpll_52046/txpa_53180.png</t>
  </si>
  <si>
    <t>plots/3FT6Y578R01_012_S11P_20251111092011_M5358ACSH101811_RBGEUFRF26/dpll_52046/txpa_53181.png</t>
  </si>
  <si>
    <t>plots/3FT6Y578R01_012_S11P_20251111092011_M5358ACSH101811_RBGEUFRF26/dpll_52046/txpa_53182.png</t>
  </si>
  <si>
    <t>plots/3FT6Y578R01_012_S11P_20251111092011_M5358ACSH101811_RBGEUFRF26/dpll_52046/txpa_53183.png</t>
  </si>
  <si>
    <t>plots/3FT6Y578R01_012_S11P_20251111092011_M5358ACSH101811_RBGEUFRF26/dpll_52046/txpa_53184.png</t>
  </si>
  <si>
    <t>plots/3FT6Y578R01_012_S11P_20251111092011_M5358ACSH101811_RBGEUFRF26/dpll_52046/txpa_53185.png</t>
  </si>
  <si>
    <t>plots/3FT6Y578R01_012_S11P_20251111092011_M5358ACSH101811_RBGEUFRF26/dpll_52046/txpa_53186.png</t>
  </si>
  <si>
    <t>plots/3FT6Y578R01_012_S11P_20251111092011_M5358ACSH101811_RBGEUFRF26/dpll_52046/txpa_53187.png</t>
  </si>
  <si>
    <t>plots/3FT6Y578R01_012_S11P_20251111092011_M5358ACSH101811_RBGEUFRF26/dpll_52046/txpa_53188.png</t>
  </si>
  <si>
    <t>plots/3FT6Y578R01_012_S11P_20251111092011_M5358ACSH101811_RBGEUFRF26/dpll_52046/txpa_53189.png</t>
  </si>
  <si>
    <t>plots/3FT6Y578R01_012_S11P_20251111092011_M5358ACSH101811_RBGEUFRF26/dpll_52046/txpa_53190.png</t>
  </si>
  <si>
    <t>plots/3FT6Y578R01_012_S11P_20251111092011_M5358ACSH101811_RBGEUFRF26/dpll_52046/txpa_53191.png</t>
  </si>
  <si>
    <t>plots/3FT6Y578R01_012_S11P_20251111092011_M5358ACSH101811_RBGEUFRF26/dpll_52046/txpa_53192.png</t>
  </si>
  <si>
    <t>plots/3FT6Y578R01_012_S11P_20251111092011_M5358ACSH101811_RBGEUFRF26/dpll_52046/txpa_53193.png</t>
  </si>
  <si>
    <t>plots/3FT6Y578R01_012_S11P_20251111092011_M5358ACSH101811_RBGEUFRF26/dpll_52046/txpa_53194.png</t>
  </si>
  <si>
    <t>plots/3FT6Y578R01_012_S11P_20251111092011_M5358ACSH101811_RBGEUFRF26/dpll_52046/txpa_53195.png</t>
  </si>
  <si>
    <t>plots/3FT6Y578R01_012_S11P_20251111092011_M5358ACSH101811_RBGEUFRF26/dpll_52046/txpa_53196.png</t>
  </si>
  <si>
    <t>plots/3FT6Y578R01_012_S11P_20251111092011_M5358ACSH101811_RBGEUFRF26/dpll_52046/txpa_53197.png</t>
  </si>
  <si>
    <t>plots/3FT6Y578R01_012_S11P_20251111092011_M5358ACSH101811_RBGEUFRF26/dpll_52046/txpa_53198.png</t>
  </si>
  <si>
    <t>plots/3FT6Y578R01_012_S11P_20251111092011_M5358ACSH101811_RBGEUFRF26/dpll_52046/txpa_53199.png</t>
  </si>
  <si>
    <t>plots/3FT6Y578R01_012_S11P_20251111092011_M5358ACSH101811_RBGEUFRF26/dpll_52046/txpa_53200.png</t>
  </si>
  <si>
    <t>plots/3FT6Y578R01_012_S11P_20251111092011_M5358ACSH101811_RBGEUFRF26/dpll_52046/txpa_53201.png</t>
  </si>
  <si>
    <t>plots/3FT6Y578R01_012_S11P_20251111092011_M5358ACSH101811_RBGEUFRF26/dpll_52046/txpa_53202.png</t>
  </si>
  <si>
    <t>plots/3FT6Y578R01_012_S11P_20251111092011_M5358ACSH101811_RBGEUFRF26/dpll_52046/txpa_53203.png</t>
  </si>
  <si>
    <t>plots/3FT6Y578R01_012_S11P_20251111092011_M5358ACSH101811_RBGEUFRF26/dpll_52046/txpa_53204.png</t>
  </si>
  <si>
    <t>plots/3FT6Y578R01_012_S11P_20251111092011_M5358ACSH101811_RBGEUFRF26/dpll_52046/txpa_53205.png</t>
  </si>
  <si>
    <t>plots/3FT6Y578R01_012_S11P_20251111092011_M5358ACSH101811_RBGEUFRF26/dpll_52046/txpa_53206.png</t>
  </si>
  <si>
    <t>plots/3FT6Y578R01_012_S11P_20251111092011_M5358ACSH101811_RBGEUFRF26/dpll_52046/txpa_53207.png</t>
  </si>
  <si>
    <t>plots/3FT6Y578R01_012_S11P_20251111092011_M5358ACSH101811_RBGEUFRF26/dpll_52046/txpa_53208.png</t>
  </si>
  <si>
    <t>plots/3FT6Y578R01_012_S11P_20251111092011_M5358ACSH101811_RBGEUFRF26/dpll_52046/txpa_53209.png</t>
  </si>
  <si>
    <t>plots/3FT6Y578R01_012_S11P_20251111092011_M5358ACSH101811_RBGEUFRF26/dpll_52046/txpa_53210.png</t>
  </si>
  <si>
    <t>plots/3FT6Y578R01_012_S11P_20251111092011_M5358ACSH101811_RBGEUFRF26/dpll_52046/txpa_53211.png</t>
  </si>
  <si>
    <t>plots/3FT6Y578R01_012_S11P_20251111092011_M5358ACSH101811_RBGEUFRF26/dpll_52046/txpa_53212.png</t>
  </si>
  <si>
    <t>plots/3FT6Y578R01_012_S11P_20251111092011_M5358ACSH101811_RBGEUFRF26/dpll_52046/txpa_53213.png</t>
  </si>
  <si>
    <t>plots/3FT6Y578R01_012_S11P_20251111092011_M5358ACSH101811_RBGEUFRF26/dpll_52046/txpa_53214.png</t>
  </si>
  <si>
    <t>plots/3FT6Y578R01_012_S11P_20251111092011_M5358ACSH101811_RBGEUFRF26/dpll_52046/txpa_53215.png</t>
  </si>
  <si>
    <t>plots/3FT6Y578R01_012_S11P_20251111092011_M5358ACSH101811_RBGEUFRF26/dpll_52046/txpa_53216.png</t>
  </si>
  <si>
    <t>plots/3FT6Y578R01_012_S11P_20251111092011_M5358ACSH101811_RBGEUFRF26/dpll_52046/txpa_53217.png</t>
  </si>
  <si>
    <t>plots/3FT6Y578R01_012_S11P_20251111092011_M5358ACSH101811_RBGEUFRF26/dpll_52046/txpa_53218.png</t>
  </si>
  <si>
    <t>plots/3FT6Y578R01_012_S11P_20251111092011_M5358ACSH101811_RBGEUFRF26/dpll_52046/txpa_53219.png</t>
  </si>
  <si>
    <t>plots/3FT6Y578R01_012_S11P_20251111092011_M5358ACSH101811_RBGEUFRF26/dpll_52046/txpa_53220.png</t>
  </si>
  <si>
    <t>plots/3FT6Y578R01_012_S11P_20251111092011_M5358ACSH101811_RBGEUFRF26/dpll_52046/txpa_53221.png</t>
  </si>
  <si>
    <t>plots/3FT6Y578R01_012_S11P_20251111092011_M5358ACSH101811_RBGEUFRF26/dpll_52046/txpa_53222.png</t>
  </si>
  <si>
    <t>plots/3FT6Y578R01_012_S11P_20251111092011_M5358ACSH101811_RBGEUFRF26/dpll_52046/txpa_53223.png</t>
  </si>
  <si>
    <t>plots/3FT6Y578R01_012_S11P_20251111092011_M5358ACSH101811_RBGEUFRF26/dpll_52046/txpa_53224.png</t>
  </si>
  <si>
    <t>plots/3FT6Y578R01_012_S11P_20251111092011_M5358ACSH101811_RBGEUFRF26/dpll_52046/txpa_53225.png</t>
  </si>
  <si>
    <t>plots/3FT6Y578R01_012_S11P_20251111092011_M5358ACSH101811_RBGEUFRF26/dpll_52046/txpa_53226.png</t>
  </si>
  <si>
    <t>plots/3FT6Y578R01_012_S11P_20251111092011_M5358ACSH101811_RBGEUFRF26/dpll_52046/txpa_53227.png</t>
  </si>
  <si>
    <t>plots/3FT6Y578R01_012_S11P_20251111092011_M5358ACSH101811_RBGEUFRF26/dpll_52046/txpa_53228.png</t>
  </si>
  <si>
    <t>plots/3FT6Y578R01_012_S11P_20251111092011_M5358ACSH101811_RBGEUFRF26/dpll_52046/txpa_53229.png</t>
  </si>
  <si>
    <t>plots/3FT6Y578R01_012_S11P_20251111092011_M5358ACSH101811_RBGEUFRF26/dpll_52046/txpa_53230.png</t>
  </si>
  <si>
    <t>plots/3FT6Y578R01_012_S11P_20251111092011_M5358ACSH101811_RBGEUFRF26/dpll_52046/txpa_53231.png</t>
  </si>
  <si>
    <t>plots/3FT6Y578R01_012_S11P_20251111092011_M5358ACSH101811_RBGEUFRF26/dpll_52046/txpa_53232.png</t>
  </si>
  <si>
    <t>plots/3FT6Y578R01_012_S11P_20251111092011_M5358ACSH101811_RBGEUFRF26/dpll_52046/txpa_53233.png</t>
  </si>
  <si>
    <t>plots/3FT6Y578R01_012_S11P_20251111092011_M5358ACSH101811_RBGEUFRF26/dpll_52046/txpa_53234.png</t>
  </si>
  <si>
    <t>plots/3FT6Y578R01_012_S11P_20251111092011_M5358ACSH101811_RBGEUFRF26/dpll_52046/txpa_53235.png</t>
  </si>
  <si>
    <t>plots/3FT6Y578R01_012_S11P_20251111092011_M5358ACSH101811_RBGEUFRF26/dpll_52046/txpa_53236.png</t>
  </si>
  <si>
    <t>plots/3FT6Y578R01_012_S11P_20251111092011_M5358ACSH101811_RBGEUFRF26/dpll_52046/txpa_53237.png</t>
  </si>
  <si>
    <t>plots/3FT6Y578R01_012_S11P_20251111092011_M5358ACSH101811_RBGEUFRF26/dpll_52046/txpa_53238.png</t>
  </si>
  <si>
    <t>plots/3FT6Y578R01_012_S11P_20251111092011_M5358ACSH101811_RBGEUFRF26/dpll_52046/txpa_53239.png</t>
  </si>
  <si>
    <t>plots/3FT6Y578R01_012_S11P_20251111092011_M5358ACSH101811_RBGEUFRF26/dpll_52046/txpa_53240.png</t>
  </si>
  <si>
    <t>plots/3FT6Y578R01_012_S11P_20251111092011_M5358ACSH101811_RBGEUFRF26/dpll_52046/txpa_53241.png</t>
  </si>
  <si>
    <t>plots/3FT6Y578R01_012_S11P_20251111092011_M5358ACSH101811_RBGEUFRF26/dpll_52046/txpa_53242.png</t>
  </si>
  <si>
    <t>plots/3FT6Y578R01_012_S11P_20251111092011_M5358ACSH101811_RBGEUFRF26/dpll_52046/txpa_53243.png</t>
  </si>
  <si>
    <t>plots/3FT6Y578R01_012_S11P_20251111092011_M5358ACSH101811_RBGEUFRF26/dpll_52046/txpa_53244.png</t>
  </si>
  <si>
    <t>plots/3FT6Y578R01_012_S11P_20251111092011_M5358ACSH101811_RBGEUFRF26/dpll_52046/txpa_53245.png</t>
  </si>
  <si>
    <t>plots/3FT6Y578R01_012_S11P_20251111092011_M5358ACSH101811_RBGEUFRF26/dpll_52046/txpa_53246.png</t>
  </si>
  <si>
    <t>plots/3FT6Y578R01_012_S11P_20251111092011_M5358ACSH101811_RBGEUFRF26/dpll_52046/txpa_53247.png</t>
  </si>
  <si>
    <t>plots/3FT6Y578R01_012_S11P_20251111092011_M5358ACSH101811_RBGEUFRF26/dpll_52046/txpa_53248.png</t>
  </si>
  <si>
    <t>plots/3FT6Y578R01_012_S11P_20251111092011_M5358ACSH101811_RBGEUFRF26/dpll_52046/txpa_53249.png</t>
  </si>
  <si>
    <t>plots/3FT6Y578R01_012_S11P_20251111092011_M5358ACSH101811_RBGEUFRF26/dpll_52046/txpa_53250.png</t>
  </si>
  <si>
    <t>plots/3FT6Y578R01_012_S11P_20251111092011_M5358ACSH101811_RBGEUFRF26/dpll_52046/txpa_53251.png</t>
  </si>
  <si>
    <t>plots/3FT6Y578R01_012_S11P_20251111092011_M5358ACSH101811_RBGEUFRF26/dpll_52046/txpa_53252.png</t>
  </si>
  <si>
    <t>plots/3FT6Y578R01_012_S11P_20251111092011_M5358ACSH101811_RBGEUFRF26/dpll_52046/txpa_53253.png</t>
  </si>
  <si>
    <t>plots/3FT6Y578R01_012_S11P_20251111092011_M5358ACSH101811_RBGEUFRF26/dpll_52046/txpa_53254.png</t>
  </si>
  <si>
    <t>plots/3FT6Y578R01_012_S11P_20251111092011_M5358ACSH101811_RBGEUFRF26/dpll_52046/txpa_53255.png</t>
  </si>
  <si>
    <t>plots/3FT6Y578R01_012_S11P_20251111092011_M5358ACSH101811_RBGEUFRF26/dpll_52046/txpa_53256.png</t>
  </si>
  <si>
    <t>plots/3FT6Y578R01_012_S11P_20251111092011_M5358ACSH101811_RBGEUFRF26/dpll_52046/txpa_53257.png</t>
  </si>
  <si>
    <t>plots/3FT6Y578R01_012_S11P_20251111092011_M5358ACSH101811_RBGEUFRF26/dpll_52046/txpa_53258.png</t>
  </si>
  <si>
    <t>plots/3FT6Y578R01_012_S11P_20251111092011_M5358ACSH101811_RBGEUFRF26/dpll_52046/txpa_53259.png</t>
  </si>
  <si>
    <t>plots/3FT6Y578R01_012_S11P_20251111092011_M5358ACSH101811_RBGEUFRF26/dpll_52046/txpa_53260.png</t>
  </si>
  <si>
    <t>plots/3FT6Y578R01_012_S11P_20251111092011_M5358ACSH101811_RBGEUFRF26/dpll_52046/txpa_53261.png</t>
  </si>
  <si>
    <t>plots/3FT6Y578R01_012_S11P_20251111092011_M5358ACSH101811_RBGEUFRF26/dpll_52046/txpa_53262.png</t>
  </si>
  <si>
    <t>plots/3FT6Y578R01_012_S11P_20251111092011_M5358ACSH101811_RBGEUFRF26/dpll_52046/txpa_53263.png</t>
  </si>
  <si>
    <t>plots/3FT6Y578R01_012_S11P_20251111092011_M5358ACSH101811_RBGEUFRF26/dpll_52046/txpa_53264.png</t>
  </si>
  <si>
    <t>plots/3FT6Y578R01_012_S11P_20251111092011_M5358ACSH101811_RBGEUFRF26/dpll_52046/txpa_53265.png</t>
  </si>
  <si>
    <t>plots/3FT6Y578R01_012_S11P_20251111092011_M5358ACSH101811_RBGEUFRF26/dpll_52046/txpa_53266.png</t>
  </si>
  <si>
    <t>plots/3FT6Y578R01_012_S11P_20251111092011_M5358ACSH101811_RBGEUFRF26/dpll_52046/txpa_53267.png</t>
  </si>
  <si>
    <t>plots/3FT6Y578R01_012_S11P_20251111092011_M5358ACSH101811_RBGEUFRF26/dpll_52046/txpa_53268.png</t>
  </si>
  <si>
    <t>plots/3FT6Y578R01_012_S11P_20251111092011_M5358ACSH101811_RBGEUFRF26/dpll_52046/txpa_53269.png</t>
  </si>
  <si>
    <t>plots/3FT6Y578R01_012_S11P_20251111092011_M5358ACSH101811_RBGEUFRF26/dpll_52046/txpa_53270.png</t>
  </si>
  <si>
    <t>plots/3FT6Y578R01_012_S11P_20251111092011_M5358ACSH101811_RBGEUFRF26/dpll_52046/txpa_53271.png</t>
  </si>
  <si>
    <t>plots/3FT6Y578R01_012_S11P_20251111092011_M5358ACSH101811_RBGEUFRF26/dpll_52046/txpa_53272.png</t>
  </si>
  <si>
    <t>plots/3FT6Y578R01_012_S11P_20251111092011_M5358ACSH101811_RBGEUFRF26/dpll_52046/txpa_53273.png</t>
  </si>
  <si>
    <t>plots/3FT6Y578R01_012_S11P_20251111092011_M5358ACSH101811_RBGEUFRF26/dpll_52046/txpa_53274.png</t>
  </si>
  <si>
    <t>plots/3FT6Y578R01_012_S11P_20251111092011_M5358ACSH101811_RBGEUFRF26/dpll_52046/txpa_53275.png</t>
  </si>
  <si>
    <t>plots/3FT6Y578R01_012_S11P_20251111092011_M5358ACSH101811_RBGEUFRF26/dpll_52046/txpa_53276.png</t>
  </si>
  <si>
    <t>plots/3FT6Y578R01_012_S11P_20251111092011_M5358ACSH101811_RBGEUFRF26/dpll_52046/txpa_53277.png</t>
  </si>
  <si>
    <t>plots/3FT6Y578R01_012_S11P_20251111092011_M5358ACSH101811_RBGEUFRF26/dpll_52046/txpa_53278.png</t>
  </si>
  <si>
    <t>plots/3FT6Y578R01_012_S11P_20251111092011_M5358ACSH101811_RBGEUFRF26/dpll_52046/txpa_53279.png</t>
  </si>
  <si>
    <t>plots/3FT6Y578R01_012_S11P_20251111092011_M5358ACSH101811_RBGEUFRF26/dpll_52046/txpa_53280.png</t>
  </si>
  <si>
    <t>plots/3FT6Y578R01_012_S11P_20251111092011_M5358ACSH101811_RBGEUFRF26/dpll_52046/txpa_53281.png</t>
  </si>
  <si>
    <t>plots/3FT6Y578R01_012_S11P_20251111092011_M5358ACSH101811_RBGEUFRF26/dpll_52046/txpa_53282.png</t>
  </si>
  <si>
    <t>plots/3FT6Y578R01_012_S11P_20251111092011_M5358ACSH101811_RBGEUFRF26/dpll_52046/txpa_53283.png</t>
  </si>
  <si>
    <t>plots/3FT6Y578R01_012_S11P_20251111092011_M5358ACSH101811_RBGEUFRF26/dpll_52046/txpa_53284.png</t>
  </si>
  <si>
    <t>plots/3FT6Y578R01_012_S11P_20251111092011_M5358ACSH101811_RBGEUFRF26/dpll_52046/txpa_53285.png</t>
  </si>
  <si>
    <t>plots/3FT6Y578R01_012_S11P_20251111092011_M5358ACSH101811_RBGEUFRF26/dpll_52046/txpa_53286.png</t>
  </si>
  <si>
    <t>plots/3FT6Y578R01_012_S11P_20251111092011_M5358ACSH101811_RBGEUFRF26/dpll_52046/txpa_53287.png</t>
  </si>
  <si>
    <t>plots/3FT6Y578R01_012_S11P_20251111092011_M5358ACSH101811_RBGEUFRF26/dpll_52046/txpa_53288.png</t>
  </si>
  <si>
    <t>plots/3FT6Y578R01_012_S11P_20251111092011_M5358ACSH101811_RBGEUFRF26/dpll_52046/txpa_53289.png</t>
  </si>
  <si>
    <t>plots/3FT6Y578R01_012_S11P_20251111092011_M5358ACSH101811_RBGEUFRF26/dpll_52046/txpa_53290.png</t>
  </si>
  <si>
    <t>plots/3FT6Y578R01_012_S11P_20251111092011_M5358ACSH101811_RBGEUFRF26/dpll_52046/txpa_54146.png</t>
  </si>
  <si>
    <t>plots/3FT6Y578R01_012_S11P_20251111092011_M5358ACSH101811_RBGEUFRF26/dpll_52046/txpa_54147.png</t>
  </si>
  <si>
    <t>plots/3FT6Y578R01_012_S11P_20251111092011_M5358ACSH101811_RBGEUFRF26/dpll_52046/txpa_54148.png</t>
  </si>
  <si>
    <t>plots/3FT6Y578R01_012_S11P_20251111092011_M5358ACSH101811_RBGEUFRF26/dpll_52046/txpa_54149.png</t>
  </si>
  <si>
    <t>plots/3FT6Y578R01_012_S11P_20251111092011_M5358ACSH101811_RBGEUFRF26/dpll_52046/txpa_54150.png</t>
  </si>
  <si>
    <t>plots/3FT6Y578R01_012_S11P_20251111092011_M5358ACSH101811_RBGEUFRF26/dpll_52046/txpa_54151.png</t>
  </si>
  <si>
    <t>plots/3FT6Y578R01_012_S11P_20251111092011_M5358ACSH101811_RBGEUFRF26/dpll_52046/txpa_54152.png</t>
  </si>
  <si>
    <t>plots/3FT6Y578R01_012_S11P_20251111092011_M5358ACSH101811_RBGEUFRF26/dpll_52046/txpa_54153.png</t>
  </si>
  <si>
    <t>plots/3FT6Y578R01_012_S11P_20251111092011_M5358ACSH101811_RBGEUFRF26/dpll_52046/txpa_54154.png</t>
  </si>
  <si>
    <t>plots/3FT6Y578R01_012_S11P_20251111092011_M5358ACSH101811_RBGEUFRF26/dpll_52046/txpa_54155.png</t>
  </si>
  <si>
    <t>plots/3FT6Y578R01_012_S11P_20251111092011_M5358ACSH101811_RBGEUFRF26/dpll_52046/txpa_54156.png</t>
  </si>
  <si>
    <t>plots/3FT6Y578R01_012_S11P_20251111092011_M5358ACSH101811_RBGEUFRF26/dpll_52046/txpa_54157.png</t>
  </si>
  <si>
    <t>plots/3FT6Y578R01_012_S11P_20251111092011_M5358ACSH101811_RBGEUFRF26/dpll_52046/txpa_54158.png</t>
  </si>
  <si>
    <t>plots/3FT6Y578R01_012_S11P_20251111092011_M5358ACSH101811_RBGEUFRF26/dpll_52046/txpa_54159.png</t>
  </si>
  <si>
    <t>plots/3FT6Y578R01_012_S11P_20251111092011_M5358ACSH101811_RBGEUFRF26/dpll_52046/txpa_54160.png</t>
  </si>
  <si>
    <t>plots/3FT6Y578R01_012_S11P_20251111092011_M5358ACSH101811_RBGEUFRF26/dpll_52046/txpa_54161.png</t>
  </si>
  <si>
    <t>plots/3FT6Y578R01_012_S11P_20251111092011_M5358ACSH101811_RBGEUFRF26/dpll_52046/txpa_54162.png</t>
  </si>
  <si>
    <t>plots/3FT6Y578R01_012_S11P_20251111092011_M5358ACSH101811_RBGEUFRF26/dpll_52046/txpa_54163.png</t>
  </si>
  <si>
    <t>plots/3FT6Y578R01_012_S11P_20251111092011_M5358ACSH101811_RBGEUFRF26/dpll_52046/txpa_54164.png</t>
  </si>
  <si>
    <t>plots/3FT6Y578R01_012_S11P_20251111092011_M5358ACSH101811_RBGEUFRF26/dpll_52046/txpa_54165.png</t>
  </si>
  <si>
    <t>plots/3FT6Y578R01_012_S11P_20251111092011_M5358ACSH101811_RBGEUFRF26/dpll_52046/txpa_54166.png</t>
  </si>
  <si>
    <t>plots/3FT6Y578R01_012_S11P_20251111092011_M5358ACSH101811_RBGEUFRF26/dpll_52046/txpa_54167.png</t>
  </si>
  <si>
    <t>plots/3FT6Y578R01_012_S11P_20251111092011_M5358ACSH101811_RBGEUFRF26/dpll_52046/txpa_54168.png</t>
  </si>
  <si>
    <t>plots/3FT6Y578R01_012_S11P_20251111092011_M5358ACSH101811_RBGEUFRF26/dpll_52046/txpa_54169.png</t>
  </si>
  <si>
    <t>plots/3FT6Y578R01_012_S11P_20251111092011_M5358ACSH101811_RBGEUFRF26/dpll_52046/txpa_54170.png</t>
  </si>
  <si>
    <t>plots/3FT6Y578R01_012_S11P_20251111092011_M5358ACSH101811_RBGEUFRF26/dpll_52046/txpa_54171.png</t>
  </si>
  <si>
    <t>plots/3FT6Y578R01_012_S11P_20251111092011_M5358ACSH101811_RBGEUFRF26/dpll_52046/txpa_54172.png</t>
  </si>
  <si>
    <t>plots/3FT6Y578R01_012_S11P_20251111092011_M5358ACSH101811_RBGEUFRF26/dpll_52046/txpa_54173.png</t>
  </si>
  <si>
    <t>plots/3FT6Y578R01_012_S11P_20251111092011_M5358ACSH101811_RBGEUFRF26/dpll_52046/txpa_54174.png</t>
  </si>
  <si>
    <t>plots/3FT6Y578R01_012_S11P_20251111092011_M5358ACSH101811_RBGEUFRF26/dpll_52046/txpa_54175.png</t>
  </si>
  <si>
    <t>plots/3FT6Y578R01_012_S11P_20251111092011_M5358ACSH101811_RBGEUFRF26/dpll_52046/txpa_54176.png</t>
  </si>
  <si>
    <t>plots/3FT6Y578R01_012_S11P_20251111092011_M5358ACSH101811_RBGEUFRF26/dpll_52046/txpa_54177.png</t>
  </si>
  <si>
    <t>plots/3FT6Y578R01_012_S11P_20251111092011_M5358ACSH101811_RBGEUFRF26/dpll_52046/txpa_54178.png</t>
  </si>
  <si>
    <t>plots/3FT6Y578R01_012_S11P_20251111092011_M5358ACSH101811_RBGEUFRF26/dpll_52046/txpa_54179.png</t>
  </si>
  <si>
    <t>plots/3FT6Y578R01_012_S11P_20251111092011_M5358ACSH101811_RBGEUFRF26/dpll_52046/txpa_54180.png</t>
  </si>
  <si>
    <t>plots/3FT6Y578R01_012_S11P_20251111092011_M5358ACSH101811_RBGEUFRF26/dpll_52046/txpa_54181.png</t>
  </si>
  <si>
    <t>plots/3FT6Y578R01_012_S11P_20251111092011_M5358ACSH101811_RBGEUFRF26/dpll_52046/txpa_54182.png</t>
  </si>
  <si>
    <t>plots/3FT6Y578R01_012_S11P_20251111092011_M5358ACSH101811_RBGEUFRF26/dpll_52046/txpa_54183.png</t>
  </si>
  <si>
    <t>plots/3FT6Y578R01_012_S11P_20251111092011_M5358ACSH101811_RBGEUFRF26/dpll_52046/txpa_54184.png</t>
  </si>
  <si>
    <t>plots/3FT6Y578R01_012_S11P_20251111092011_M5358ACSH101811_RBGEUFRF26/dpll_52046/txpa_54185.png</t>
  </si>
  <si>
    <t>plots/3FT6Y578R01_012_S11P_20251111092011_M5358ACSH101811_RBGEUFRF26/dpll_52046/txpa_54186.png</t>
  </si>
  <si>
    <t>plots/3FT6Y578R01_012_S11P_20251111092011_M5358ACSH101811_RBGEUFRF26/dpll_52046/txpa_54187.png</t>
  </si>
  <si>
    <t>plots/3FT6Y578R01_012_S11P_20251111092011_M5358ACSH101811_RBGEUFRF26/dpll_52046/txpa_54188.png</t>
  </si>
  <si>
    <t>plots/3FT6Y578R01_012_S11P_20251111092011_M5358ACSH101811_RBGEUFRF26/dpll_52046/txpa_54189.png</t>
  </si>
  <si>
    <t>plots/3FT6Y578R01_012_S11P_20251111092011_M5358ACSH101811_RBGEUFRF26/dpll_52046/txpa_54190.png</t>
  </si>
  <si>
    <t>plots/3FT6Y578R01_012_S11P_20251111092011_M5358ACSH101811_RBGEUFRF26/dpll_52046/txpa_54191.png</t>
  </si>
  <si>
    <t>plots/3FT6Y578R01_012_S11P_20251111092011_M5358ACSH101811_RBGEUFRF26/dpll_52046/txpa_54192.png</t>
  </si>
  <si>
    <t>plots/3FT6Y578R01_012_S11P_20251111092011_M5358ACSH101811_RBGEUFRF26/dpll_52046/txpa_54193.png</t>
  </si>
  <si>
    <t>plots/3FT6Y578R01_012_S11P_20251111092011_M5358ACSH101811_RBGEUFRF26/dpll_52046/txpa_54194.png</t>
  </si>
  <si>
    <t>plots/3FT6Y578R01_012_S11P_20251111092011_M5358ACSH101811_RBGEUFRF26/dpll_52046/txpa_54195.png</t>
  </si>
  <si>
    <t>plots/3FT6Y578R01_012_S11P_20251111092011_M5358ACSH101811_RBGEUFRF26/dpll_52046/txpa_54196.png</t>
  </si>
  <si>
    <t>plots/3FT6Y578R01_012_S11P_20251111092011_M5358ACSH101811_RBGEUFRF26/dpll_52046/txpa_54197.png</t>
  </si>
  <si>
    <t>plots/3FT6Y578R01_012_S11P_20251111092011_M5358ACSH101811_RBGEUFRF26/dpll_52046/txpa_54198.png</t>
  </si>
  <si>
    <t>plots/3FT6Y578R01_012_S11P_20251111092011_M5358ACSH101811_RBGEUFRF26/dpll_52046/txpa_54199.png</t>
  </si>
  <si>
    <t>plots/3FT6Y578R01_012_S11P_20251111092011_M5358ACSH101811_RBGEUFRF26/dpll_52046/txpa_54200.png</t>
  </si>
  <si>
    <t>plots/3FT6Y578R01_012_S11P_20251111092011_M5358ACSH101811_RBGEUFRF26/dpll_52046/txpa_54201.png</t>
  </si>
  <si>
    <t>plots/3FT6Y578R01_012_S11P_20251111092011_M5358ACSH101811_RBGEUFRF26/dpll_52046/txpa_54202.png</t>
  </si>
  <si>
    <t>plots/3FT6Y578R01_012_S11P_20251111092011_M5358ACSH101811_RBGEUFRF26/dpll_52046/txpa_54203.png</t>
  </si>
  <si>
    <t>plots/3FT6Y578R01_012_S11P_20251111092011_M5358ACSH101811_RBGEUFRF26/dpll_52046/txpa_54204.png</t>
  </si>
  <si>
    <t>plots/3FT6Y578R01_012_S11P_20251111092011_M5358ACSH101811_RBGEUFRF26/dpll_52046/txpa_54205.png</t>
  </si>
  <si>
    <t>plots/3FT6Y578R01_012_S11P_20251111092011_M5358ACSH101811_RBGEUFRF26/dpll_52046/txpa_54206.png</t>
  </si>
  <si>
    <t>plots/3FT6Y578R01_012_S11P_20251111092011_M5358ACSH101811_RBGEUFRF26/dpll_52046/txpa_54207.png</t>
  </si>
  <si>
    <t>plots/3FT6Y578R01_012_S11P_20251111092011_M5358ACSH101811_RBGEUFRF26/dpll_52046/txpa_54208.png</t>
  </si>
  <si>
    <t>plots/3FT6Y578R01_012_S11P_20251111092011_M5358ACSH101811_RBGEUFRF26/dpll_52046/txpa_54209.png</t>
  </si>
  <si>
    <t>plots/3FT6Y578R01_012_S11P_20251111092011_M5358ACSH101811_RBGEUFRF26/dpll_52046/txpa_54210.png</t>
  </si>
  <si>
    <t>plots/3FT6Y578R01_012_S11P_20251111092011_M5358ACSH101811_RBGEUFRF26/dpll_52046/txpa_54211.png</t>
  </si>
  <si>
    <t>plots/3FT6Y578R01_012_S11P_20251111092011_M5358ACSH101811_RBGEUFRF26/dpll_52046/txpa_54212.png</t>
  </si>
  <si>
    <t>plots/3FT6Y578R01_012_S11P_20251111092011_M5358ACSH101811_RBGEUFRF26/dpll_52046/txpa_54213.png</t>
  </si>
  <si>
    <t>plots/3FT6Y578R01_012_S11P_20251111092011_M5358ACSH101811_RBGEUFRF26/dpll_52046/txpa_54214.png</t>
  </si>
  <si>
    <t>plots/3FT6Y578R01_012_S11P_20251111092011_M5358ACSH101811_RBGEUFRF26/dpll_52046/txpa_54215.png</t>
  </si>
  <si>
    <t>plots/3FT6Y578R01_012_S11P_20251111092011_M5358ACSH101811_RBGEUFRF26/dpll_52046/txpa_54216.png</t>
  </si>
  <si>
    <t>plots/3FT6Y578R01_012_S11P_20251111092011_M5358ACSH101811_RBGEUFRF26/dpll_52046/txpa_54217.png</t>
  </si>
  <si>
    <t>plots/3FT6Y578R01_012_S11P_20251111092011_M5358ACSH101811_RBGEUFRF26/dpll_52046/txpa_54218.png</t>
  </si>
  <si>
    <t>plots/3FT6Y578R01_012_S11P_20251111092011_M5358ACSH101811_RBGEUFRF26/dpll_52046/txpa_54219.png</t>
  </si>
  <si>
    <t>plots/3FT6Y578R01_012_S11P_20251111092011_M5358ACSH101811_RBGEUFRF26/dpll_52046/txpa_54220.png</t>
  </si>
  <si>
    <t>plots/3FT6Y578R01_012_S11P_20251111092011_M5358ACSH101811_RBGEUFRF26/dpll_52046/txpa_54221.png</t>
  </si>
  <si>
    <t>plots/3FT6Y578R01_012_S11P_20251111092011_M5358ACSH101811_RBGEUFRF26/dpll_52046/txpa_54222.png</t>
  </si>
  <si>
    <t>plots/3FT6Y578R01_012_S11P_20251111092011_M5358ACSH101811_RBGEUFRF26/dpll_52046/txpa_54223.png</t>
  </si>
  <si>
    <t>plots/3FT6Y578R01_012_S11P_20251111092011_M5358ACSH101811_RBGEUFRF26/dpll_52046/txpa_54224.png</t>
  </si>
  <si>
    <t>plots/3FT6Y578R01_012_S11P_20251111092011_M5358ACSH101811_RBGEUFRF26/dpll_52046/txpa_54225.png</t>
  </si>
  <si>
    <t>plots/3FT6Y578R01_012_S11P_20251111092011_M5358ACSH101811_RBGEUFRF26/dpll_52046/txpa_54226.png</t>
  </si>
  <si>
    <t>plots/3FT6Y578R01_012_S11P_20251111092011_M5358ACSH101811_RBGEUFRF26/dpll_52046/txpa_54227.png</t>
  </si>
  <si>
    <t>plots/3FT6Y578R01_012_S11P_20251111092011_M5358ACSH101811_RBGEUFRF26/dpll_52046/txpa_54228.png</t>
  </si>
  <si>
    <t>plots/3FT6Y578R01_012_S11P_20251111092011_M5358ACSH101811_RBGEUFRF26/dpll_52046/txpa_54229.png</t>
  </si>
  <si>
    <t>plots/3FT6Y578R01_012_S11P_20251111092011_M5358ACSH101811_RBGEUFRF26/dpll_52046/txpa_54230.png</t>
  </si>
  <si>
    <t>plots/3FT6Y578R01_012_S11P_20251111092011_M5358ACSH101811_RBGEUFRF26/dpll_52046/txpa_54231.png</t>
  </si>
  <si>
    <t>plots/3FT6Y578R01_012_S11P_20251111092011_M5358ACSH101811_RBGEUFRF26/dpll_52046/txpa_54232.png</t>
  </si>
  <si>
    <t>plots/3FT6Y578R01_012_S11P_20251111092011_M5358ACSH101811_RBGEUFRF26/dpll_52046/txpa_54233.png</t>
  </si>
  <si>
    <t>plots/3FT6Y578R01_012_S11P_20251111092011_M5358ACSH101811_RBGEUFRF26/dpll_52046/txpa_54234.png</t>
  </si>
  <si>
    <t>plots/3FT6Y578R01_012_S11P_20251111092011_M5358ACSH101811_RBGEUFRF26/dpll_52046/txpa_54235.png</t>
  </si>
  <si>
    <t>plots/3FT6Y578R01_012_S11P_20251111092011_M5358ACSH101811_RBGEUFRF26/dpll_52046/txpa_54236.png</t>
  </si>
  <si>
    <t>plots/3FT6Y578R01_012_S11P_20251111092011_M5358ACSH101811_RBGEUFRF26/dpll_52046/txpa_54237.png</t>
  </si>
  <si>
    <t>plots/3FT6Y578R01_012_S11P_20251111092011_M5358ACSH101811_RBGEUFRF26/dpll_52046/txpa_54238.png</t>
  </si>
  <si>
    <t>plots/3FT6Y578R01_012_S11P_20251111092011_M5358ACSH101811_RBGEUFRF26/dpll_52046/txpa_54239.png</t>
  </si>
  <si>
    <t>plots/3FT6Y578R01_012_S11P_20251111092011_M5358ACSH101811_RBGEUFRF26/dpll_52046/txpa_54240.png</t>
  </si>
  <si>
    <t>plots/3FT6Y578R01_012_S11P_20251111092011_M5358ACSH101811_RBGEUFRF26/dpll_52046/txpa_54241.png</t>
  </si>
  <si>
    <t>plots/3FT6Y578R01_012_S11P_20251111092011_M5358ACSH101811_RBGEUFRF26/dpll_52046/txpa_54242.png</t>
  </si>
  <si>
    <t>plots/3FT6Y578R01_012_S11P_20251111092011_M5358ACSH101811_RBGEUFRF26/dpll_52046/txpa_54243.png</t>
  </si>
  <si>
    <t>plots/3FT6Y578R01_012_S11P_20251111092011_M5358ACSH101811_RBGEUFRF26/dpll_52046/txpa_54244.png</t>
  </si>
  <si>
    <t>plots/3FT6Y578R01_012_S11P_20251111092011_M5358ACSH101811_RBGEUFRF26/dpll_52046/txpa_54245.png</t>
  </si>
  <si>
    <t>plots/3FT6Y578R01_012_S11P_20251111092011_M5358ACSH101811_RBGEUFRF26/dpll_52046/txpa_54246.png</t>
  </si>
  <si>
    <t>plots/3FT6Y578R01_012_S11P_20251111092011_M5358ACSH101811_RBGEUFRF26/dpll_52046/txpa_54247.png</t>
  </si>
  <si>
    <t>plots/3FT6Y578R01_012_S11P_20251111092011_M5358ACSH101811_RBGEUFRF26/dpll_52046/txpa_54248.png</t>
  </si>
  <si>
    <t>plots/3FT6Y578R01_012_S11P_20251111092011_M5358ACSH101811_RBGEUFRF26/dpll_52046/txpa_54249.png</t>
  </si>
  <si>
    <t>plots/3FT6Y578R01_012_S11P_20251111092011_M5358ACSH101811_RBGEUFRF26/dpll_52046/txpa_54250.png</t>
  </si>
  <si>
    <t>plots/3FT6Y578R01_012_S11P_20251111092011_M5358ACSH101811_RBGEUFRF26/dpll_52046/txpa_54251.png</t>
  </si>
  <si>
    <t>plots/3FT6Y578R01_012_S11P_20251111092011_M5358ACSH101811_RBGEUFRF26/dpll_52046/txpa_54252.png</t>
  </si>
  <si>
    <t>plots/3FT6Y578R01_012_S11P_20251111092011_M5358ACSH101811_RBGEUFRF26/dpll_52046/txpa_54253.png</t>
  </si>
  <si>
    <t>plots/3FT6Y578R01_012_S11P_20251111092011_M5358ACSH101811_RBGEUFRF26/dpll_52046/txpa_54254.png</t>
  </si>
  <si>
    <t>plots/3FT6Y578R01_012_S11P_20251111092011_M5358ACSH101811_RBGEUFRF26/dpll_52046/txpa_54255.png</t>
  </si>
  <si>
    <t>plots/3FT6Y578R01_012_S11P_20251111092011_M5358ACSH101811_RBGEUFRF26/dpll_52046/txpa_54256.png</t>
  </si>
  <si>
    <t>plots/3FT6Y578R01_012_S11P_20251111092011_M5358ACSH101811_RBGEUFRF26/dpll_52046/txpa_54257.png</t>
  </si>
  <si>
    <t>plots/3FT6Y578R01_012_S11P_20251111092011_M5358ACSH101811_RBGEUFRF26/dpll_52046/txpa_54258.png</t>
  </si>
  <si>
    <t>plots/3FT6Y578R01_012_S11P_20251111092011_M5358ACSH101811_RBGEUFRF26/dpll_52046/txpa_55146.png</t>
  </si>
  <si>
    <t>plots/3FT6Y578R01_012_S11P_20251111092011_M5358ACSH101811_RBGEUFRF26/dpll_52046/txpa_55147.png</t>
  </si>
  <si>
    <t>plots/3FT6Y578R01_012_S11P_20251111092011_M5358ACSH101811_RBGEUFRF26/dpll_52046/txpa_55148.png</t>
  </si>
  <si>
    <t>plots/3FT6Y578R01_012_S11P_20251111092011_M5358ACSH101811_RBGEUFRF26/dpll_52046/txpa_55149.png</t>
  </si>
  <si>
    <t>plots/3FT6Y578R01_012_S11P_20251111092011_M5358ACSH101811_RBGEUFRF26/dpll_52046/txpa_55150.png</t>
  </si>
  <si>
    <t>plots/3FT6Y578R01_012_S11P_20251111092011_M5358ACSH101811_RBGEUFRF26/dpll_52046/txpa_55151.png</t>
  </si>
  <si>
    <t>plots/3FT6Y578R01_012_S11P_20251111092011_M5358ACSH101811_RBGEUFRF26/dpll_52046/txpa_55152.png</t>
  </si>
  <si>
    <t>plots/3FT6Y578R01_012_S11P_20251111092011_M5358ACSH101811_RBGEUFRF26/dpll_52046/txpa_55153.png</t>
  </si>
  <si>
    <t>plots/3FT6Y578R01_012_S11P_20251111092011_M5358ACSH101811_RBGEUFRF26/dpll_52046/txpa_55154.png</t>
  </si>
  <si>
    <t>plots/3FT6Y578R01_012_S11P_20251111092011_M5358ACSH101811_RBGEUFRF26/dpll_52046/txpa_55155.png</t>
  </si>
  <si>
    <t>plots/3FT6Y578R01_012_S11P_20251111092011_M5358ACSH101811_RBGEUFRF26/dpll_52046/txpa_55156.png</t>
  </si>
  <si>
    <t>plots/3FT6Y578R01_012_S11P_20251111092011_M5358ACSH101811_RBGEUFRF26/dpll_52046/txpa_55157.png</t>
  </si>
  <si>
    <t>plots/3FT6Y578R01_012_S11P_20251111092011_M5358ACSH101811_RBGEUFRF26/dpll_52046/txpa_55158.png</t>
  </si>
  <si>
    <t>plots/3FT6Y578R01_012_S11P_20251111092011_M5358ACSH101811_RBGEUFRF26/dpll_52046/txpa_55159.png</t>
  </si>
  <si>
    <t>plots/3FT6Y578R01_012_S11P_20251111092011_M5358ACSH101811_RBGEUFRF26/dpll_52046/txpa_55160.png</t>
  </si>
  <si>
    <t>plots/3FT6Y578R01_012_S11P_20251111092011_M5358ACSH101811_RBGEUFRF26/dpll_52046/txpa_55161.png</t>
  </si>
  <si>
    <t>plots/3FT6Y578R01_012_S11P_20251111092011_M5358ACSH101811_RBGEUFRF26/dpll_52046/txpa_55162.png</t>
  </si>
  <si>
    <t>plots/3FT6Y578R01_012_S11P_20251111092011_M5358ACSH101811_RBGEUFRF26/dpll_52046/txpa_55163.png</t>
  </si>
  <si>
    <t>plots/3FT6Y578R01_012_S11P_20251111092011_M5358ACSH101811_RBGEUFRF26/dpll_52046/txpa_55164.png</t>
  </si>
  <si>
    <t>plots/3FT6Y578R01_012_S11P_20251111092011_M5358ACSH101811_RBGEUFRF26/dpll_52046/txpa_55165.png</t>
  </si>
  <si>
    <t>plots/3FT6Y578R01_012_S11P_20251111092011_M5358ACSH101811_RBGEUFRF26/dpll_52046/txpa_55166.png</t>
  </si>
  <si>
    <t>plots/3FT6Y578R01_012_S11P_20251111092011_M5358ACSH101811_RBGEUFRF26/dpll_52046/txpa_55167.png</t>
  </si>
  <si>
    <t>plots/3FT6Y578R01_012_S11P_20251111092011_M5358ACSH101811_RBGEUFRF26/dpll_52046/txpa_55168.png</t>
  </si>
  <si>
    <t>plots/3FT6Y578R01_012_S11P_20251111092011_M5358ACSH101811_RBGEUFRF26/dpll_52046/txpa_55169.png</t>
  </si>
  <si>
    <t>plots/3FT6Y578R01_012_S11P_20251111092011_M5358ACSH101811_RBGEUFRF26/dpll_52046/txpa_55170.png</t>
  </si>
  <si>
    <t>plots/3FT6Y578R01_012_S11P_20251111092011_M5358ACSH101811_RBGEUFRF26/dpll_52046/txpa_55171.png</t>
  </si>
  <si>
    <t>plots/3FT6Y578R01_012_S11P_20251111092011_M5358ACSH101811_RBGEUFRF26/dpll_52046/txpa_55172.png</t>
  </si>
  <si>
    <t>plots/3FT6Y578R01_012_S11P_20251111092011_M5358ACSH101811_RBGEUFRF26/dpll_52046/txpa_55173.png</t>
  </si>
  <si>
    <t>plots/3FT6Y578R01_012_S11P_20251111092011_M5358ACSH101811_RBGEUFRF26/dpll_52046/txpa_55174.png</t>
  </si>
  <si>
    <t>plots/3FT6Y578R01_012_S11P_20251111092011_M5358ACSH101811_RBGEUFRF26/dpll_52046/txpa_55175.png</t>
  </si>
  <si>
    <t>plots/3FT6Y578R01_012_S11P_20251111092011_M5358ACSH101811_RBGEUFRF26/dpll_52046/txpa_55176.png</t>
  </si>
  <si>
    <t>plots/3FT6Y578R01_012_S11P_20251111092011_M5358ACSH101811_RBGEUFRF26/dpll_52046/txpa_55177.png</t>
  </si>
  <si>
    <t>plots/3FT6Y578R01_012_S11P_20251111092011_M5358ACSH101811_RBGEUFRF26/dpll_52046/txpa_55178.png</t>
  </si>
  <si>
    <t>plots/3FT6Y578R01_012_S11P_20251111092011_M5358ACSH101811_RBGEUFRF26/dpll_52046/txpa_55179.png</t>
  </si>
  <si>
    <t>plots/3FT6Y578R01_012_S11P_20251111092011_M5358ACSH101811_RBGEUFRF26/dpll_52046/txpa_55180.png</t>
  </si>
  <si>
    <t>plots/3FT6Y578R01_012_S11P_20251111092011_M5358ACSH101811_RBGEUFRF26/dpll_52046/txpa_55181.png</t>
  </si>
  <si>
    <t>plots/3FT6Y578R01_012_S11P_20251111092011_M5358ACSH101811_RBGEUFRF26/dpll_52046/txpa_55182.png</t>
  </si>
  <si>
    <t>plots/3FT6Y578R01_012_S11P_20251111092011_M5358ACSH101811_RBGEUFRF26/dpll_52046/txpa_55183.png</t>
  </si>
  <si>
    <t>plots/3FT6Y578R01_012_S11P_20251111092011_M5358ACSH101811_RBGEUFRF26/dpll_52046/txpa_55184.png</t>
  </si>
  <si>
    <t>plots/3FT6Y578R01_012_S11P_20251111092011_M5358ACSH101811_RBGEUFRF26/dpll_52046/txpa_55185.png</t>
  </si>
  <si>
    <t>plots/3FT6Y578R01_012_S11P_20251111092011_M5358ACSH101811_RBGEUFRF26/dpll_52046/txpa_55186.png</t>
  </si>
  <si>
    <t>plots/3FT6Y578R01_012_S11P_20251111092011_M5358ACSH101811_RBGEUFRF26/dpll_52046/txpa_55187.png</t>
  </si>
  <si>
    <t>plots/3FT6Y578R01_012_S11P_20251111092011_M5358ACSH101811_RBGEUFRF26/dpll_52046/txpa_55188.png</t>
  </si>
  <si>
    <t>plots/3FT6Y578R01_012_S11P_20251111092011_M5358ACSH101811_RBGEUFRF26/dpll_52046/txpa_55189.png</t>
  </si>
  <si>
    <t>plots/3FT6Y578R01_012_S11P_20251111092011_M5358ACSH101811_RBGEUFRF26/dpll_52046/txpa_55190.png</t>
  </si>
  <si>
    <t>plots/3FT6Y578R01_012_S11P_20251111092011_M5358ACSH101811_RBGEUFRF26/dpll_52046/txpa_55191.png</t>
  </si>
  <si>
    <t>plots/3FT6Y578R01_012_S11P_20251111092011_M5358ACSH101811_RBGEUFRF26/dpll_52046/txpa_55192.png</t>
  </si>
  <si>
    <t>plots/3FT6Y578R01_012_S11P_20251111092011_M5358ACSH101811_RBGEUFRF26/dpll_52046/txpa_55193.png</t>
  </si>
  <si>
    <t>plots/3FT6Y578R01_012_S11P_20251111092011_M5358ACSH101811_RBGEUFRF26/dpll_52046/txpa_55194.png</t>
  </si>
  <si>
    <t>plots/3FT6Y578R01_012_S11P_20251111092011_M5358ACSH101811_RBGEUFRF26/dpll_52046/txpa_55195.png</t>
  </si>
  <si>
    <t>plots/3FT6Y578R01_012_S11P_20251111092011_M5358ACSH101811_RBGEUFRF26/dpll_52046/txpa_55196.png</t>
  </si>
  <si>
    <t>plots/3FT6Y578R01_012_S11P_20251111092011_M5358ACSH101811_RBGEUFRF26/dpll_52046/txpa_55197.png</t>
  </si>
  <si>
    <t>plots/3FT6Y578R01_012_S11P_20251111092011_M5358ACSH101811_RBGEUFRF26/dpll_52046/txpa_55198.png</t>
  </si>
  <si>
    <t>plots/3FT6Y578R01_012_S11P_20251111092011_M5358ACSH101811_RBGEUFRF26/dpll_52046/txpa_55199.png</t>
  </si>
  <si>
    <t>plots/3FT6Y578R01_012_S11P_20251111092011_M5358ACSH101811_RBGEUFRF26/dpll_52046/txpa_55200.png</t>
  </si>
  <si>
    <t>plots/3FT6Y578R01_012_S11P_20251111092011_M5358ACSH101811_RBGEUFRF26/dpll_52046/txpa_55201.png</t>
  </si>
  <si>
    <t>plots/3FT6Y578R01_012_S11P_20251111092011_M5358ACSH101811_RBGEUFRF26/dpll_52046/txpa_55202.png</t>
  </si>
  <si>
    <t>plots/3FT6Y578R01_012_S11P_20251111092011_M5358ACSH101811_RBGEUFRF26/dpll_52046/txpa_55203.png</t>
  </si>
  <si>
    <t>plots/3FT6Y578R01_012_S11P_20251111092011_M5358ACSH101811_RBGEUFRF26/dpll_52046/txpa_55204.png</t>
  </si>
  <si>
    <t>plots/3FT6Y578R01_012_S11P_20251111092011_M5358ACSH101811_RBGEUFRF26/dpll_52046/txpa_55205.png</t>
  </si>
  <si>
    <t>plots/3FT6Y578R01_012_S11P_20251111092011_M5358ACSH101811_RBGEUFRF26/dpll_52046/txpa_55206.png</t>
  </si>
  <si>
    <t>plots/3FT6Y578R01_012_S11P_20251111092011_M5358ACSH101811_RBGEUFRF26/dpll_52046/txpa_55207.png</t>
  </si>
  <si>
    <t>plots/3FT6Y578R01_012_S11P_20251111092011_M5358ACSH101811_RBGEUFRF26/dpll_52046/txpa_55208.png</t>
  </si>
  <si>
    <t>plots/3FT6Y578R01_012_S11P_20251111092011_M5358ACSH101811_RBGEUFRF26/dpll_52046/txpa_55209.png</t>
  </si>
  <si>
    <t>plots/3FT6Y578R01_012_S11P_20251111092011_M5358ACSH101811_RBGEUFRF26/dpll_52046/txpa_55210.png</t>
  </si>
  <si>
    <t>plots/3FT6Y578R01_012_S11P_20251111092011_M5358ACSH101811_RBGEUFRF26/dpll_52046/txpa_55211.png</t>
  </si>
  <si>
    <t>plots/3FT6Y578R01_012_S11P_20251111092011_M5358ACSH101811_RBGEUFRF26/dpll_52046/txpa_55212.png</t>
  </si>
  <si>
    <t>plots/3FT6Y578R01_012_S11P_20251111092011_M5358ACSH101811_RBGEUFRF26/dpll_52046/txpa_55213.png</t>
  </si>
  <si>
    <t>plots/3FT6Y578R01_012_S11P_20251111092011_M5358ACSH101811_RBGEUFRF26/dpll_52046/txpa_55214.png</t>
  </si>
  <si>
    <t>plots/3FT6Y578R01_012_S11P_20251111092011_M5358ACSH101811_RBGEUFRF26/dpll_52046/txpa_55215.png</t>
  </si>
  <si>
    <t>plots/3FT6Y578R01_012_S11P_20251111092011_M5358ACSH101811_RBGEUFRF26/dpll_52046/txpa_55216.png</t>
  </si>
  <si>
    <t>plots/3FT6Y578R01_012_S11P_20251111092011_M5358ACSH101811_RBGEUFRF26/dpll_52046/txpa_55217.png</t>
  </si>
  <si>
    <t>plots/3FT6Y578R01_012_S11P_20251111092011_M5358ACSH101811_RBGEUFRF26/dpll_52046/txpa_55218.png</t>
  </si>
  <si>
    <t>plots/3FT6Y578R01_012_S11P_20251111092011_M5358ACSH101811_RBGEUFRF26/dpll_52046/txpa_55219.png</t>
  </si>
  <si>
    <t>plots/3FT6Y578R01_012_S11P_20251111092011_M5358ACSH101811_RBGEUFRF26/dpll_52046/txpa_55220.png</t>
  </si>
  <si>
    <t>plots/3FT6Y578R01_012_S11P_20251111092011_M5358ACSH101811_RBGEUFRF26/dpll_52046/txpa_55221.png</t>
  </si>
  <si>
    <t>plots/3FT6Y578R01_012_S11P_20251111092011_M5358ACSH101811_RBGEUFRF26/dpll_52046/txpa_55222.png</t>
  </si>
  <si>
    <t>plots/3FT6Y578R01_012_S11P_20251111092011_M5358ACSH101811_RBGEUFRF26/dpll_52046/txpa_55223.png</t>
  </si>
  <si>
    <t>plots/3FT6Y578R01_012_S11P_20251111092011_M5358ACSH101811_RBGEUFRF26/dpll_52046/txpa_55224.png</t>
  </si>
  <si>
    <t>plots/3FT6Y578R01_012_S11P_20251111092011_M5358ACSH101811_RBGEUFRF26/dpll_52046/txpa_55225.png</t>
  </si>
  <si>
    <t>plots/3FT6Y578R01_012_S11P_20251111092011_M5358ACSH101811_RBGEUFRF26/dpll_52046/txpa_55226.png</t>
  </si>
  <si>
    <t>plots/3FT6Y578R01_012_S11P_20251111092011_M5358ACSH101811_RBGEUFRF26/dpll_52046/txpa_55227.png</t>
  </si>
  <si>
    <t>plots/3FT6Y578R01_012_S11P_20251111092011_M5358ACSH101811_RBGEUFRF26/dpll_52046/txpa_55228.png</t>
  </si>
  <si>
    <t>plots/3FT6Y578R01_012_S11P_20251111092011_M5358ACSH101811_RBGEUFRF26/dpll_52046/txpa_55229.png</t>
  </si>
  <si>
    <t>plots/3FT6Y578R01_012_S11P_20251111092011_M5358ACSH101811_RBGEUFRF26/dpll_52046/txpa_55230.png</t>
  </si>
  <si>
    <t>plots/3FT6Y578R01_012_S11P_20251111092011_M5358ACSH101811_RBGEUFRF26/dpll_52046/txpa_55231.png</t>
  </si>
  <si>
    <t>plots/3FT6Y578R01_012_S11P_20251111092011_M5358ACSH101811_RBGEUFRF26/dpll_52046/txpa_55232.png</t>
  </si>
  <si>
    <t>plots/3FT6Y578R01_012_S11P_20251111092011_M5358ACSH101811_RBGEUFRF26/dpll_52046/txpa_55233.png</t>
  </si>
  <si>
    <t>plots/3FT6Y578R01_012_S11P_20251111092011_M5358ACSH101811_RBGEUFRF26/dpll_52046/txpa_55234.png</t>
  </si>
  <si>
    <t>plots/3FT6Y578R01_012_S11P_20251111092011_M5358ACSH101811_RBGEUFRF26/dpll_52046/txpa_55235.png</t>
  </si>
  <si>
    <t>plots/3FT6Y578R01_012_S11P_20251111092011_M5358ACSH101811_RBGEUFRF26/dpll_52046/txpa_55236.png</t>
  </si>
  <si>
    <t>plots/3FT6Y578R01_012_S11P_20251111092011_M5358ACSH101811_RBGEUFRF26/dpll_52046/txpa_55237.png</t>
  </si>
  <si>
    <t>plots/3FT6Y578R01_012_S11P_20251111092011_M5358ACSH101811_RBGEUFRF26/dpll_52046/txpa_55238.png</t>
  </si>
  <si>
    <t>plots/3FT6Y578R01_012_S11P_20251111092011_M5358ACSH101811_RBGEUFRF26/dpll_52046/txpa_55239.png</t>
  </si>
  <si>
    <t>plots/3FT6Y578R01_012_S11P_20251111092011_M5358ACSH101811_RBGEUFRF26/dpll_52046/txpa_55240.png</t>
  </si>
  <si>
    <t>plots/3FT6Y578R01_012_S11P_20251111092011_M5358ACSH101811_RBGEUFRF26/dpll_52046/txpa_55241.png</t>
  </si>
  <si>
    <t>plots/3FT6Y578R01_012_S11P_20251111092011_M5358ACSH101811_RBGEUFRF26/dpll_52046/txpa_55242.png</t>
  </si>
  <si>
    <t>plots/3FT6Y578R01_012_S11P_20251111092011_M5358ACSH101811_RBGEUFRF26/dpll_52046/txpa_55243.png</t>
  </si>
  <si>
    <t>plots/3FT6Y578R01_012_S11P_20251111092011_M5358ACSH101811_RBGEUFRF26/dpll_52046/txpa_55244.png</t>
  </si>
  <si>
    <t>plots/3FT6Y578R01_012_S11P_20251111092011_M5358ACSH101811_RBGEUFRF26/dpll_52046/txpa_55245.png</t>
  </si>
  <si>
    <t>plots/3FT6Y578R01_012_S11P_20251111092011_M5358ACSH101811_RBGEUFRF26/dpll_52046/txpa_55246.png</t>
  </si>
  <si>
    <t>plots/3FT6Y578R01_012_S11P_20251111092011_M5358ACSH101811_RBGEUFRF26/dpll_52046/txpa_55247.png</t>
  </si>
  <si>
    <t>plots/3FT6Y578R01_012_S11P_20251111092011_M5358ACSH101811_RBGEUFRF26/dpll_52046/txpa_55248.png</t>
  </si>
  <si>
    <t>plots/3FT6Y578R01_012_S11P_20251111092011_M5358ACSH101811_RBGEUFRF26/dpll_52046/txpa_55249.png</t>
  </si>
  <si>
    <t>plots/3FT6Y578R01_012_S11P_20251111092011_M5358ACSH101811_RBGEUFRF26/dpll_52046/txpa_55250.png</t>
  </si>
  <si>
    <t>plots/3FT6Y578R01_012_S11P_20251111092011_M5358ACSH101811_RBGEUFRF26/dpll_52046/txpa_55251.png</t>
  </si>
  <si>
    <t>plots/3FT6Y578R01_012_S11P_20251111092011_M5358ACSH101811_RBGEUFRF26/dpll_52046/txpa_55252.png</t>
  </si>
  <si>
    <t>plots/3FT6Y578R01_012_S11P_20251111092011_M5358ACSH101811_RBGEUFRF26/dpll_52046/txpa_55253.png</t>
  </si>
  <si>
    <t>plots/3FT6Y578R01_012_S11P_20251111092011_M5358ACSH101811_RBGEUFRF26/dpll_52046/txpa_55254.png</t>
  </si>
  <si>
    <t>plots/3FT6Y578R01_012_S11P_20251111092011_M5358ACSH101811_RBGEUFRF26/dpll_52046/txpa_55255.png</t>
  </si>
  <si>
    <t>plots/3FT6Y578R01_012_S11P_20251111092011_M5358ACSH101811_RBGEUFRF26/dpll_52046/txpa_55256.png</t>
  </si>
  <si>
    <t>plots/3FT6Y578R01_012_S11P_20251111092011_M5358ACSH101811_RBGEUFRF26/dpll_52046/txpa_55257.png</t>
  </si>
  <si>
    <t>plots/3FT6Y578R01_012_S11P_20251111092011_M5358ACSH101811_RBGEUFRF26/dpll_52046/txpa_55258.png</t>
  </si>
  <si>
    <t>plots/3FT6Y578R01_012_S11P_20251111092011_M5358ACSH101811_RBGEUFRF26/dpll_52084/txpa_53179.png</t>
  </si>
  <si>
    <t>plots/3FT6Y578R01_012_S11P_20251111092011_M5358ACSH101811_RBGEUFRF26/dpll_52084/txpa_53180.png</t>
  </si>
  <si>
    <t>plots/3FT6Y578R01_012_S11P_20251111092011_M5358ACSH101811_RBGEUFRF26/dpll_52084/txpa_53181.png</t>
  </si>
  <si>
    <t>plots/3FT6Y578R01_012_S11P_20251111092011_M5358ACSH101811_RBGEUFRF26/dpll_52084/txpa_53182.png</t>
  </si>
  <si>
    <t>plots/3FT6Y578R01_012_S11P_20251111092011_M5358ACSH101811_RBGEUFRF26/dpll_52084/txpa_53183.png</t>
  </si>
  <si>
    <t>plots/3FT6Y578R01_012_S11P_20251111092011_M5358ACSH101811_RBGEUFRF26/dpll_52084/txpa_53184.png</t>
  </si>
  <si>
    <t>plots/3FT6Y578R01_012_S11P_20251111092011_M5358ACSH101811_RBGEUFRF26/dpll_52084/txpa_53185.png</t>
  </si>
  <si>
    <t>plots/3FT6Y578R01_012_S11P_20251111092011_M5358ACSH101811_RBGEUFRF26/dpll_52084/txpa_53186.png</t>
  </si>
  <si>
    <t>plots/3FT6Y578R01_012_S11P_20251111092011_M5358ACSH101811_RBGEUFRF26/dpll_52084/txpa_53187.png</t>
  </si>
  <si>
    <t>plots/3FT6Y578R01_012_S11P_20251111092011_M5358ACSH101811_RBGEUFRF26/dpll_52084/txpa_53188.png</t>
  </si>
  <si>
    <t>plots/3FT6Y578R01_012_S11P_20251111092011_M5358ACSH101811_RBGEUFRF26/dpll_52084/txpa_53189.png</t>
  </si>
  <si>
    <t>plots/3FT6Y578R01_012_S11P_20251111092011_M5358ACSH101811_RBGEUFRF26/dpll_52084/txpa_53190.png</t>
  </si>
  <si>
    <t>plots/3FT6Y578R01_012_S11P_20251111092011_M5358ACSH101811_RBGEUFRF26/dpll_52084/txpa_53191.png</t>
  </si>
  <si>
    <t>plots/3FT6Y578R01_012_S11P_20251111092011_M5358ACSH101811_RBGEUFRF26/dpll_52084/txpa_53192.png</t>
  </si>
  <si>
    <t>plots/3FT6Y578R01_012_S11P_20251111092011_M5358ACSH101811_RBGEUFRF26/dpll_52084/txpa_53193.png</t>
  </si>
  <si>
    <t>plots/3FT6Y578R01_012_S11P_20251111092011_M5358ACSH101811_RBGEUFRF26/dpll_52084/txpa_53194.png</t>
  </si>
  <si>
    <t>plots/3FT6Y578R01_012_S11P_20251111092011_M5358ACSH101811_RBGEUFRF26/dpll_52084/txpa_53195.png</t>
  </si>
  <si>
    <t>plots/3FT6Y578R01_012_S11P_20251111092011_M5358ACSH101811_RBGEUFRF26/dpll_52084/txpa_53196.png</t>
  </si>
  <si>
    <t>plots/3FT6Y578R01_012_S11P_20251111092011_M5358ACSH101811_RBGEUFRF26/dpll_52084/txpa_53197.png</t>
  </si>
  <si>
    <t>plots/3FT6Y578R01_012_S11P_20251111092011_M5358ACSH101811_RBGEUFRF26/dpll_52084/txpa_53198.png</t>
  </si>
  <si>
    <t>plots/3FT6Y578R01_012_S11P_20251111092011_M5358ACSH101811_RBGEUFRF26/dpll_52084/txpa_53199.png</t>
  </si>
  <si>
    <t>plots/3FT6Y578R01_012_S11P_20251111092011_M5358ACSH101811_RBGEUFRF26/dpll_52084/txpa_53200.png</t>
  </si>
  <si>
    <t>plots/3FT6Y578R01_012_S11P_20251111092011_M5358ACSH101811_RBGEUFRF26/dpll_52084/txpa_53201.png</t>
  </si>
  <si>
    <t>plots/3FT6Y578R01_012_S11P_20251111092011_M5358ACSH101811_RBGEUFRF26/dpll_52084/txpa_53202.png</t>
  </si>
  <si>
    <t>plots/3FT6Y578R01_012_S11P_20251111092011_M5358ACSH101811_RBGEUFRF26/dpll_52084/txpa_53203.png</t>
  </si>
  <si>
    <t>plots/3FT6Y578R01_012_S11P_20251111092011_M5358ACSH101811_RBGEUFRF26/dpll_52084/txpa_53204.png</t>
  </si>
  <si>
    <t>plots/3FT6Y578R01_012_S11P_20251111092011_M5358ACSH101811_RBGEUFRF26/dpll_52084/txpa_53205.png</t>
  </si>
  <si>
    <t>plots/3FT6Y578R01_012_S11P_20251111092011_M5358ACSH101811_RBGEUFRF26/dpll_52084/txpa_53206.png</t>
  </si>
  <si>
    <t>plots/3FT6Y578R01_012_S11P_20251111092011_M5358ACSH101811_RBGEUFRF26/dpll_52084/txpa_53207.png</t>
  </si>
  <si>
    <t>plots/3FT6Y578R01_012_S11P_20251111092011_M5358ACSH101811_RBGEUFRF26/dpll_52084/txpa_53208.png</t>
  </si>
  <si>
    <t>plots/3FT6Y578R01_012_S11P_20251111092011_M5358ACSH101811_RBGEUFRF26/dpll_52084/txpa_53209.png</t>
  </si>
  <si>
    <t>plots/3FT6Y578R01_012_S11P_20251111092011_M5358ACSH101811_RBGEUFRF26/dpll_52084/txpa_53210.png</t>
  </si>
  <si>
    <t>plots/3FT6Y578R01_012_S11P_20251111092011_M5358ACSH101811_RBGEUFRF26/dpll_52084/txpa_53211.png</t>
  </si>
  <si>
    <t>plots/3FT6Y578R01_012_S11P_20251111092011_M5358ACSH101811_RBGEUFRF26/dpll_52084/txpa_53212.png</t>
  </si>
  <si>
    <t>plots/3FT6Y578R01_012_S11P_20251111092011_M5358ACSH101811_RBGEUFRF26/dpll_52084/txpa_53213.png</t>
  </si>
  <si>
    <t>plots/3FT6Y578R01_012_S11P_20251111092011_M5358ACSH101811_RBGEUFRF26/dpll_52084/txpa_53214.png</t>
  </si>
  <si>
    <t>plots/3FT6Y578R01_012_S11P_20251111092011_M5358ACSH101811_RBGEUFRF26/dpll_52084/txpa_53215.png</t>
  </si>
  <si>
    <t>plots/3FT6Y578R01_012_S11P_20251111092011_M5358ACSH101811_RBGEUFRF26/dpll_52084/txpa_53216.png</t>
  </si>
  <si>
    <t>plots/3FT6Y578R01_012_S11P_20251111092011_M5358ACSH101811_RBGEUFRF26/dpll_52084/txpa_53217.png</t>
  </si>
  <si>
    <t>plots/3FT6Y578R01_012_S11P_20251111092011_M5358ACSH101811_RBGEUFRF26/dpll_52084/txpa_53218.png</t>
  </si>
  <si>
    <t>plots/3FT6Y578R01_012_S11P_20251111092011_M5358ACSH101811_RBGEUFRF26/dpll_52084/txpa_53219.png</t>
  </si>
  <si>
    <t>plots/3FT6Y578R01_012_S11P_20251111092011_M5358ACSH101811_RBGEUFRF26/dpll_52084/txpa_53220.png</t>
  </si>
  <si>
    <t>plots/3FT6Y578R01_012_S11P_20251111092011_M5358ACSH101811_RBGEUFRF26/dpll_52084/txpa_53221.png</t>
  </si>
  <si>
    <t>plots/3FT6Y578R01_012_S11P_20251111092011_M5358ACSH101811_RBGEUFRF26/dpll_52084/txpa_53222.png</t>
  </si>
  <si>
    <t>plots/3FT6Y578R01_012_S11P_20251111092011_M5358ACSH101811_RBGEUFRF26/dpll_52084/txpa_53223.png</t>
  </si>
  <si>
    <t>plots/3FT6Y578R01_012_S11P_20251111092011_M5358ACSH101811_RBGEUFRF26/dpll_52084/txpa_53224.png</t>
  </si>
  <si>
    <t>plots/3FT6Y578R01_012_S11P_20251111092011_M5358ACSH101811_RBGEUFRF26/dpll_52084/txpa_53225.png</t>
  </si>
  <si>
    <t>plots/3FT6Y578R01_012_S11P_20251111092011_M5358ACSH101811_RBGEUFRF26/dpll_52084/txpa_53226.png</t>
  </si>
  <si>
    <t>plots/3FT6Y578R01_012_S11P_20251111092011_M5358ACSH101811_RBGEUFRF26/dpll_52084/txpa_53227.png</t>
  </si>
  <si>
    <t>plots/3FT6Y578R01_012_S11P_20251111092011_M5358ACSH101811_RBGEUFRF26/dpll_52084/txpa_53228.png</t>
  </si>
  <si>
    <t>plots/3FT6Y578R01_012_S11P_20251111092011_M5358ACSH101811_RBGEUFRF26/dpll_52084/txpa_53229.png</t>
  </si>
  <si>
    <t>plots/3FT6Y578R01_012_S11P_20251111092011_M5358ACSH101811_RBGEUFRF26/dpll_52084/txpa_53230.png</t>
  </si>
  <si>
    <t>plots/3FT6Y578R01_012_S11P_20251111092011_M5358ACSH101811_RBGEUFRF26/dpll_52084/txpa_53231.png</t>
  </si>
  <si>
    <t>plots/3FT6Y578R01_012_S11P_20251111092011_M5358ACSH101811_RBGEUFRF26/dpll_52084/txpa_53232.png</t>
  </si>
  <si>
    <t>plots/3FT6Y578R01_012_S11P_20251111092011_M5358ACSH101811_RBGEUFRF26/dpll_52084/txpa_53233.png</t>
  </si>
  <si>
    <t>plots/3FT6Y578R01_012_S11P_20251111092011_M5358ACSH101811_RBGEUFRF26/dpll_52084/txpa_53234.png</t>
  </si>
  <si>
    <t>plots/3FT6Y578R01_012_S11P_20251111092011_M5358ACSH101811_RBGEUFRF26/dpll_52084/txpa_53235.png</t>
  </si>
  <si>
    <t>plots/3FT6Y578R01_012_S11P_20251111092011_M5358ACSH101811_RBGEUFRF26/dpll_52084/txpa_53236.png</t>
  </si>
  <si>
    <t>plots/3FT6Y578R01_012_S11P_20251111092011_M5358ACSH101811_RBGEUFRF26/dpll_52084/txpa_53237.png</t>
  </si>
  <si>
    <t>plots/3FT6Y578R01_012_S11P_20251111092011_M5358ACSH101811_RBGEUFRF26/dpll_52084/txpa_53238.png</t>
  </si>
  <si>
    <t>plots/3FT6Y578R01_012_S11P_20251111092011_M5358ACSH101811_RBGEUFRF26/dpll_52084/txpa_53239.png</t>
  </si>
  <si>
    <t>plots/3FT6Y578R01_012_S11P_20251111092011_M5358ACSH101811_RBGEUFRF26/dpll_52084/txpa_53240.png</t>
  </si>
  <si>
    <t>plots/3FT6Y578R01_012_S11P_20251111092011_M5358ACSH101811_RBGEUFRF26/dpll_52084/txpa_53241.png</t>
  </si>
  <si>
    <t>plots/3FT6Y578R01_012_S11P_20251111092011_M5358ACSH101811_RBGEUFRF26/dpll_52084/txpa_53242.png</t>
  </si>
  <si>
    <t>plots/3FT6Y578R01_012_S11P_20251111092011_M5358ACSH101811_RBGEUFRF26/dpll_52084/txpa_53243.png</t>
  </si>
  <si>
    <t>plots/3FT6Y578R01_012_S11P_20251111092011_M5358ACSH101811_RBGEUFRF26/dpll_52084/txpa_53244.png</t>
  </si>
  <si>
    <t>plots/3FT6Y578R01_012_S11P_20251111092011_M5358ACSH101811_RBGEUFRF26/dpll_52084/txpa_53245.png</t>
  </si>
  <si>
    <t>plots/3FT6Y578R01_012_S11P_20251111092011_M5358ACSH101811_RBGEUFRF26/dpll_52084/txpa_53246.png</t>
  </si>
  <si>
    <t>plots/3FT6Y578R01_012_S11P_20251111092011_M5358ACSH101811_RBGEUFRF26/dpll_52084/txpa_53247.png</t>
  </si>
  <si>
    <t>plots/3FT6Y578R01_012_S11P_20251111092011_M5358ACSH101811_RBGEUFRF26/dpll_52084/txpa_53248.png</t>
  </si>
  <si>
    <t>plots/3FT6Y578R01_012_S11P_20251111092011_M5358ACSH101811_RBGEUFRF26/dpll_52084/txpa_53249.png</t>
  </si>
  <si>
    <t>plots/3FT6Y578R01_012_S11P_20251111092011_M5358ACSH101811_RBGEUFRF26/dpll_52084/txpa_53250.png</t>
  </si>
  <si>
    <t>plots/3FT6Y578R01_012_S11P_20251111092011_M5358ACSH101811_RBGEUFRF26/dpll_52084/txpa_53251.png</t>
  </si>
  <si>
    <t>plots/3FT6Y578R01_012_S11P_20251111092011_M5358ACSH101811_RBGEUFRF26/dpll_52084/txpa_53252.png</t>
  </si>
  <si>
    <t>plots/3FT6Y578R01_012_S11P_20251111092011_M5358ACSH101811_RBGEUFRF26/dpll_52084/txpa_53253.png</t>
  </si>
  <si>
    <t>plots/3FT6Y578R01_012_S11P_20251111092011_M5358ACSH101811_RBGEUFRF26/dpll_52084/txpa_53254.png</t>
  </si>
  <si>
    <t>plots/3FT6Y578R01_012_S11P_20251111092011_M5358ACSH101811_RBGEUFRF26/dpll_52084/txpa_53255.png</t>
  </si>
  <si>
    <t>plots/3FT6Y578R01_012_S11P_20251111092011_M5358ACSH101811_RBGEUFRF26/dpll_52084/txpa_53256.png</t>
  </si>
  <si>
    <t>plots/3FT6Y578R01_012_S11P_20251111092011_M5358ACSH101811_RBGEUFRF26/dpll_52084/txpa_53257.png</t>
  </si>
  <si>
    <t>plots/3FT6Y578R01_012_S11P_20251111092011_M5358ACSH101811_RBGEUFRF26/dpll_52084/txpa_53258.png</t>
  </si>
  <si>
    <t>plots/3FT6Y578R01_012_S11P_20251111092011_M5358ACSH101811_RBGEUFRF26/dpll_52084/txpa_53259.png</t>
  </si>
  <si>
    <t>plots/3FT6Y578R01_012_S11P_20251111092011_M5358ACSH101811_RBGEUFRF26/dpll_52084/txpa_53260.png</t>
  </si>
  <si>
    <t>plots/3FT6Y578R01_012_S11P_20251111092011_M5358ACSH101811_RBGEUFRF26/dpll_52084/txpa_53261.png</t>
  </si>
  <si>
    <t>plots/3FT6Y578R01_012_S11P_20251111092011_M5358ACSH101811_RBGEUFRF26/dpll_52084/txpa_53262.png</t>
  </si>
  <si>
    <t>plots/3FT6Y578R01_012_S11P_20251111092011_M5358ACSH101811_RBGEUFRF26/dpll_52084/txpa_53263.png</t>
  </si>
  <si>
    <t>plots/3FT6Y578R01_012_S11P_20251111092011_M5358ACSH101811_RBGEUFRF26/dpll_52084/txpa_53264.png</t>
  </si>
  <si>
    <t>plots/3FT6Y578R01_012_S11P_20251111092011_M5358ACSH101811_RBGEUFRF26/dpll_52084/txpa_53265.png</t>
  </si>
  <si>
    <t>plots/3FT6Y578R01_012_S11P_20251111092011_M5358ACSH101811_RBGEUFRF26/dpll_52084/txpa_53266.png</t>
  </si>
  <si>
    <t>plots/3FT6Y578R01_012_S11P_20251111092011_M5358ACSH101811_RBGEUFRF26/dpll_52084/txpa_53267.png</t>
  </si>
  <si>
    <t>plots/3FT6Y578R01_012_S11P_20251111092011_M5358ACSH101811_RBGEUFRF26/dpll_52084/txpa_53268.png</t>
  </si>
  <si>
    <t>plots/3FT6Y578R01_012_S11P_20251111092011_M5358ACSH101811_RBGEUFRF26/dpll_52084/txpa_53269.png</t>
  </si>
  <si>
    <t>plots/3FT6Y578R01_012_S11P_20251111092011_M5358ACSH101811_RBGEUFRF26/dpll_52084/txpa_53270.png</t>
  </si>
  <si>
    <t>plots/3FT6Y578R01_012_S11P_20251111092011_M5358ACSH101811_RBGEUFRF26/dpll_52084/txpa_53271.png</t>
  </si>
  <si>
    <t>plots/3FT6Y578R01_012_S11P_20251111092011_M5358ACSH101811_RBGEUFRF26/dpll_52084/txpa_53272.png</t>
  </si>
  <si>
    <t>plots/3FT6Y578R01_012_S11P_20251111092011_M5358ACSH101811_RBGEUFRF26/dpll_52084/txpa_53273.png</t>
  </si>
  <si>
    <t>plots/3FT6Y578R01_012_S11P_20251111092011_M5358ACSH101811_RBGEUFRF26/dpll_52084/txpa_53274.png</t>
  </si>
  <si>
    <t>plots/3FT6Y578R01_012_S11P_20251111092011_M5358ACSH101811_RBGEUFRF26/dpll_52084/txpa_53275.png</t>
  </si>
  <si>
    <t>plots/3FT6Y578R01_012_S11P_20251111092011_M5358ACSH101811_RBGEUFRF26/dpll_52084/txpa_53276.png</t>
  </si>
  <si>
    <t>plots/3FT6Y578R01_012_S11P_20251111092011_M5358ACSH101811_RBGEUFRF26/dpll_52084/txpa_53277.png</t>
  </si>
  <si>
    <t>plots/3FT6Y578R01_012_S11P_20251111092011_M5358ACSH101811_RBGEUFRF26/dpll_52084/txpa_53278.png</t>
  </si>
  <si>
    <t>plots/3FT6Y578R01_012_S11P_20251111092011_M5358ACSH101811_RBGEUFRF26/dpll_52084/txpa_53279.png</t>
  </si>
  <si>
    <t>plots/3FT6Y578R01_012_S11P_20251111092011_M5358ACSH101811_RBGEUFRF26/dpll_52084/txpa_53280.png</t>
  </si>
  <si>
    <t>plots/3FT6Y578R01_012_S11P_20251111092011_M5358ACSH101811_RBGEUFRF26/dpll_52084/txpa_53281.png</t>
  </si>
  <si>
    <t>plots/3FT6Y578R01_012_S11P_20251111092011_M5358ACSH101811_RBGEUFRF26/dpll_52084/txpa_53282.png</t>
  </si>
  <si>
    <t>plots/3FT6Y578R01_012_S11P_20251111092011_M5358ACSH101811_RBGEUFRF26/dpll_52084/txpa_53283.png</t>
  </si>
  <si>
    <t>plots/3FT6Y578R01_012_S11P_20251111092011_M5358ACSH101811_RBGEUFRF26/dpll_52084/txpa_53284.png</t>
  </si>
  <si>
    <t>plots/3FT6Y578R01_012_S11P_20251111092011_M5358ACSH101811_RBGEUFRF26/dpll_52084/txpa_53285.png</t>
  </si>
  <si>
    <t>plots/3FT6Y578R01_012_S11P_20251111092011_M5358ACSH101811_RBGEUFRF26/dpll_52084/txpa_53286.png</t>
  </si>
  <si>
    <t>plots/3FT6Y578R01_012_S11P_20251111092011_M5358ACSH101811_RBGEUFRF26/dpll_52084/txpa_53287.png</t>
  </si>
  <si>
    <t>plots/3FT6Y578R01_012_S11P_20251111092011_M5358ACSH101811_RBGEUFRF26/dpll_52084/txpa_53288.png</t>
  </si>
  <si>
    <t>plots/3FT6Y578R01_012_S11P_20251111092011_M5358ACSH101811_RBGEUFRF26/dpll_52084/txpa_53289.png</t>
  </si>
  <si>
    <t>plots/3FT6Y578R01_012_S11P_20251111092011_M5358ACSH101811_RBGEUFRF26/dpll_52084/txpa_53290.png</t>
  </si>
  <si>
    <t>plots/3FT6Y578R01_012_S11P_20251111092011_M5358ACSH101811_RBGEUFRF26/dpll_52084/txpa_54146.png</t>
  </si>
  <si>
    <t>plots/3FT6Y578R01_012_S11P_20251111092011_M5358ACSH101811_RBGEUFRF26/dpll_52084/txpa_54147.png</t>
  </si>
  <si>
    <t>plots/3FT6Y578R01_012_S11P_20251111092011_M5358ACSH101811_RBGEUFRF26/dpll_52084/txpa_54148.png</t>
  </si>
  <si>
    <t>plots/3FT6Y578R01_012_S11P_20251111092011_M5358ACSH101811_RBGEUFRF26/dpll_52084/txpa_54149.png</t>
  </si>
  <si>
    <t>plots/3FT6Y578R01_012_S11P_20251111092011_M5358ACSH101811_RBGEUFRF26/dpll_52084/txpa_54150.png</t>
  </si>
  <si>
    <t>plots/3FT6Y578R01_012_S11P_20251111092011_M5358ACSH101811_RBGEUFRF26/dpll_52084/txpa_54151.png</t>
  </si>
  <si>
    <t>plots/3FT6Y578R01_012_S11P_20251111092011_M5358ACSH101811_RBGEUFRF26/dpll_52084/txpa_54152.png</t>
  </si>
  <si>
    <t>plots/3FT6Y578R01_012_S11P_20251111092011_M5358ACSH101811_RBGEUFRF26/dpll_52084/txpa_54153.png</t>
  </si>
  <si>
    <t>plots/3FT6Y578R01_012_S11P_20251111092011_M5358ACSH101811_RBGEUFRF26/dpll_52084/txpa_54154.png</t>
  </si>
  <si>
    <t>plots/3FT6Y578R01_012_S11P_20251111092011_M5358ACSH101811_RBGEUFRF26/dpll_52084/txpa_54155.png</t>
  </si>
  <si>
    <t>plots/3FT6Y578R01_012_S11P_20251111092011_M5358ACSH101811_RBGEUFRF26/dpll_52084/txpa_54156.png</t>
  </si>
  <si>
    <t>plots/3FT6Y578R01_012_S11P_20251111092011_M5358ACSH101811_RBGEUFRF26/dpll_52084/txpa_54157.png</t>
  </si>
  <si>
    <t>plots/3FT6Y578R01_012_S11P_20251111092011_M5358ACSH101811_RBGEUFRF26/dpll_52084/txpa_54158.png</t>
  </si>
  <si>
    <t>plots/3FT6Y578R01_012_S11P_20251111092011_M5358ACSH101811_RBGEUFRF26/dpll_52084/txpa_54159.png</t>
  </si>
  <si>
    <t>plots/3FT6Y578R01_012_S11P_20251111092011_M5358ACSH101811_RBGEUFRF26/dpll_52084/txpa_54160.png</t>
  </si>
  <si>
    <t>plots/3FT6Y578R01_012_S11P_20251111092011_M5358ACSH101811_RBGEUFRF26/dpll_52084/txpa_54161.png</t>
  </si>
  <si>
    <t>plots/3FT6Y578R01_012_S11P_20251111092011_M5358ACSH101811_RBGEUFRF26/dpll_52084/txpa_54162.png</t>
  </si>
  <si>
    <t>plots/3FT6Y578R01_012_S11P_20251111092011_M5358ACSH101811_RBGEUFRF26/dpll_52084/txpa_54163.png</t>
  </si>
  <si>
    <t>plots/3FT6Y578R01_012_S11P_20251111092011_M5358ACSH101811_RBGEUFRF26/dpll_52084/txpa_54164.png</t>
  </si>
  <si>
    <t>plots/3FT6Y578R01_012_S11P_20251111092011_M5358ACSH101811_RBGEUFRF26/dpll_52084/txpa_54165.png</t>
  </si>
  <si>
    <t>plots/3FT6Y578R01_012_S11P_20251111092011_M5358ACSH101811_RBGEUFRF26/dpll_52084/txpa_54166.png</t>
  </si>
  <si>
    <t>plots/3FT6Y578R01_012_S11P_20251111092011_M5358ACSH101811_RBGEUFRF26/dpll_52084/txpa_54167.png</t>
  </si>
  <si>
    <t>plots/3FT6Y578R01_012_S11P_20251111092011_M5358ACSH101811_RBGEUFRF26/dpll_52084/txpa_54168.png</t>
  </si>
  <si>
    <t>plots/3FT6Y578R01_012_S11P_20251111092011_M5358ACSH101811_RBGEUFRF26/dpll_52084/txpa_54169.png</t>
  </si>
  <si>
    <t>plots/3FT6Y578R01_012_S11P_20251111092011_M5358ACSH101811_RBGEUFRF26/dpll_52084/txpa_54170.png</t>
  </si>
  <si>
    <t>plots/3FT6Y578R01_012_S11P_20251111092011_M5358ACSH101811_RBGEUFRF26/dpll_52084/txpa_54171.png</t>
  </si>
  <si>
    <t>plots/3FT6Y578R01_012_S11P_20251111092011_M5358ACSH101811_RBGEUFRF26/dpll_52084/txpa_54172.png</t>
  </si>
  <si>
    <t>plots/3FT6Y578R01_012_S11P_20251111092011_M5358ACSH101811_RBGEUFRF26/dpll_52084/txpa_54173.png</t>
  </si>
  <si>
    <t>plots/3FT6Y578R01_012_S11P_20251111092011_M5358ACSH101811_RBGEUFRF26/dpll_52084/txpa_54174.png</t>
  </si>
  <si>
    <t>plots/3FT6Y578R01_012_S11P_20251111092011_M5358ACSH101811_RBGEUFRF26/dpll_52084/txpa_54175.png</t>
  </si>
  <si>
    <t>plots/3FT6Y578R01_012_S11P_20251111092011_M5358ACSH101811_RBGEUFRF26/dpll_52084/txpa_54176.png</t>
  </si>
  <si>
    <t>plots/3FT6Y578R01_012_S11P_20251111092011_M5358ACSH101811_RBGEUFRF26/dpll_52084/txpa_54177.png</t>
  </si>
  <si>
    <t>plots/3FT6Y578R01_012_S11P_20251111092011_M5358ACSH101811_RBGEUFRF26/dpll_52084/txpa_54178.png</t>
  </si>
  <si>
    <t>plots/3FT6Y578R01_012_S11P_20251111092011_M5358ACSH101811_RBGEUFRF26/dpll_52084/txpa_54179.png</t>
  </si>
  <si>
    <t>plots/3FT6Y578R01_012_S11P_20251111092011_M5358ACSH101811_RBGEUFRF26/dpll_52084/txpa_54180.png</t>
  </si>
  <si>
    <t>plots/3FT6Y578R01_012_S11P_20251111092011_M5358ACSH101811_RBGEUFRF26/dpll_52084/txpa_54181.png</t>
  </si>
  <si>
    <t>plots/3FT6Y578R01_012_S11P_20251111092011_M5358ACSH101811_RBGEUFRF26/dpll_52084/txpa_54182.png</t>
  </si>
  <si>
    <t>plots/3FT6Y578R01_012_S11P_20251111092011_M5358ACSH101811_RBGEUFRF26/dpll_52084/txpa_54183.png</t>
  </si>
  <si>
    <t>plots/3FT6Y578R01_012_S11P_20251111092011_M5358ACSH101811_RBGEUFRF26/dpll_52084/txpa_54184.png</t>
  </si>
  <si>
    <t>plots/3FT6Y578R01_012_S11P_20251111092011_M5358ACSH101811_RBGEUFRF26/dpll_52084/txpa_54185.png</t>
  </si>
  <si>
    <t>plots/3FT6Y578R01_012_S11P_20251111092011_M5358ACSH101811_RBGEUFRF26/dpll_52084/txpa_54186.png</t>
  </si>
  <si>
    <t>plots/3FT6Y578R01_012_S11P_20251111092011_M5358ACSH101811_RBGEUFRF26/dpll_52084/txpa_54187.png</t>
  </si>
  <si>
    <t>plots/3FT6Y578R01_012_S11P_20251111092011_M5358ACSH101811_RBGEUFRF26/dpll_52084/txpa_54188.png</t>
  </si>
  <si>
    <t>plots/3FT6Y578R01_012_S11P_20251111092011_M5358ACSH101811_RBGEUFRF26/dpll_52084/txpa_54189.png</t>
  </si>
  <si>
    <t>plots/3FT6Y578R01_012_S11P_20251111092011_M5358ACSH101811_RBGEUFRF26/dpll_52084/txpa_54190.png</t>
  </si>
  <si>
    <t>plots/3FT6Y578R01_012_S11P_20251111092011_M5358ACSH101811_RBGEUFRF26/dpll_52084/txpa_54191.png</t>
  </si>
  <si>
    <t>plots/3FT6Y578R01_012_S11P_20251111092011_M5358ACSH101811_RBGEUFRF26/dpll_52084/txpa_54192.png</t>
  </si>
  <si>
    <t>plots/3FT6Y578R01_012_S11P_20251111092011_M5358ACSH101811_RBGEUFRF26/dpll_52084/txpa_54193.png</t>
  </si>
  <si>
    <t>plots/3FT6Y578R01_012_S11P_20251111092011_M5358ACSH101811_RBGEUFRF26/dpll_52084/txpa_54194.png</t>
  </si>
  <si>
    <t>plots/3FT6Y578R01_012_S11P_20251111092011_M5358ACSH101811_RBGEUFRF26/dpll_52084/txpa_54195.png</t>
  </si>
  <si>
    <t>plots/3FT6Y578R01_012_S11P_20251111092011_M5358ACSH101811_RBGEUFRF26/dpll_52084/txpa_54196.png</t>
  </si>
  <si>
    <t>plots/3FT6Y578R01_012_S11P_20251111092011_M5358ACSH101811_RBGEUFRF26/dpll_52084/txpa_54197.png</t>
  </si>
  <si>
    <t>plots/3FT6Y578R01_012_S11P_20251111092011_M5358ACSH101811_RBGEUFRF26/dpll_52084/txpa_54198.png</t>
  </si>
  <si>
    <t>plots/3FT6Y578R01_012_S11P_20251111092011_M5358ACSH101811_RBGEUFRF26/dpll_52084/txpa_54199.png</t>
  </si>
  <si>
    <t>plots/3FT6Y578R01_012_S11P_20251111092011_M5358ACSH101811_RBGEUFRF26/dpll_52084/txpa_54200.png</t>
  </si>
  <si>
    <t>plots/3FT6Y578R01_012_S11P_20251111092011_M5358ACSH101811_RBGEUFRF26/dpll_52084/txpa_54201.png</t>
  </si>
  <si>
    <t>plots/3FT6Y578R01_012_S11P_20251111092011_M5358ACSH101811_RBGEUFRF26/dpll_52084/txpa_54202.png</t>
  </si>
  <si>
    <t>plots/3FT6Y578R01_012_S11P_20251111092011_M5358ACSH101811_RBGEUFRF26/dpll_52084/txpa_54203.png</t>
  </si>
  <si>
    <t>plots/3FT6Y578R01_012_S11P_20251111092011_M5358ACSH101811_RBGEUFRF26/dpll_52084/txpa_54204.png</t>
  </si>
  <si>
    <t>plots/3FT6Y578R01_012_S11P_20251111092011_M5358ACSH101811_RBGEUFRF26/dpll_52084/txpa_54205.png</t>
  </si>
  <si>
    <t>plots/3FT6Y578R01_012_S11P_20251111092011_M5358ACSH101811_RBGEUFRF26/dpll_52084/txpa_54206.png</t>
  </si>
  <si>
    <t>plots/3FT6Y578R01_012_S11P_20251111092011_M5358ACSH101811_RBGEUFRF26/dpll_52084/txpa_54207.png</t>
  </si>
  <si>
    <t>plots/3FT6Y578R01_012_S11P_20251111092011_M5358ACSH101811_RBGEUFRF26/dpll_52084/txpa_54208.png</t>
  </si>
  <si>
    <t>plots/3FT6Y578R01_012_S11P_20251111092011_M5358ACSH101811_RBGEUFRF26/dpll_52084/txpa_54209.png</t>
  </si>
  <si>
    <t>plots/3FT6Y578R01_012_S11P_20251111092011_M5358ACSH101811_RBGEUFRF26/dpll_52084/txpa_54210.png</t>
  </si>
  <si>
    <t>plots/3FT6Y578R01_012_S11P_20251111092011_M5358ACSH101811_RBGEUFRF26/dpll_52084/txpa_54211.png</t>
  </si>
  <si>
    <t>plots/3FT6Y578R01_012_S11P_20251111092011_M5358ACSH101811_RBGEUFRF26/dpll_52084/txpa_54212.png</t>
  </si>
  <si>
    <t>plots/3FT6Y578R01_012_S11P_20251111092011_M5358ACSH101811_RBGEUFRF26/dpll_52084/txpa_54213.png</t>
  </si>
  <si>
    <t>plots/3FT6Y578R01_012_S11P_20251111092011_M5358ACSH101811_RBGEUFRF26/dpll_52084/txpa_54214.png</t>
  </si>
  <si>
    <t>plots/3FT6Y578R01_012_S11P_20251111092011_M5358ACSH101811_RBGEUFRF26/dpll_52084/txpa_54215.png</t>
  </si>
  <si>
    <t>plots/3FT6Y578R01_012_S11P_20251111092011_M5358ACSH101811_RBGEUFRF26/dpll_52084/txpa_54216.png</t>
  </si>
  <si>
    <t>plots/3FT6Y578R01_012_S11P_20251111092011_M5358ACSH101811_RBGEUFRF26/dpll_52084/txpa_54217.png</t>
  </si>
  <si>
    <t>plots/3FT6Y578R01_012_S11P_20251111092011_M5358ACSH101811_RBGEUFRF26/dpll_52084/txpa_54218.png</t>
  </si>
  <si>
    <t>plots/3FT6Y578R01_012_S11P_20251111092011_M5358ACSH101811_RBGEUFRF26/dpll_52084/txpa_54219.png</t>
  </si>
  <si>
    <t>plots/3FT6Y578R01_012_S11P_20251111092011_M5358ACSH101811_RBGEUFRF26/dpll_52084/txpa_54220.png</t>
  </si>
  <si>
    <t>plots/3FT6Y578R01_012_S11P_20251111092011_M5358ACSH101811_RBGEUFRF26/dpll_52084/txpa_54221.png</t>
  </si>
  <si>
    <t>plots/3FT6Y578R01_012_S11P_20251111092011_M5358ACSH101811_RBGEUFRF26/dpll_52084/txpa_54222.png</t>
  </si>
  <si>
    <t>plots/3FT6Y578R01_012_S11P_20251111092011_M5358ACSH101811_RBGEUFRF26/dpll_52084/txpa_54223.png</t>
  </si>
  <si>
    <t>plots/3FT6Y578R01_012_S11P_20251111092011_M5358ACSH101811_RBGEUFRF26/dpll_52084/txpa_54224.png</t>
  </si>
  <si>
    <t>plots/3FT6Y578R01_012_S11P_20251111092011_M5358ACSH101811_RBGEUFRF26/dpll_52084/txpa_54225.png</t>
  </si>
  <si>
    <t>plots/3FT6Y578R01_012_S11P_20251111092011_M5358ACSH101811_RBGEUFRF26/dpll_52084/txpa_54226.png</t>
  </si>
  <si>
    <t>plots/3FT6Y578R01_012_S11P_20251111092011_M5358ACSH101811_RBGEUFRF26/dpll_52084/txpa_54227.png</t>
  </si>
  <si>
    <t>plots/3FT6Y578R01_012_S11P_20251111092011_M5358ACSH101811_RBGEUFRF26/dpll_52084/txpa_54228.png</t>
  </si>
  <si>
    <t>plots/3FT6Y578R01_012_S11P_20251111092011_M5358ACSH101811_RBGEUFRF26/dpll_52084/txpa_54229.png</t>
  </si>
  <si>
    <t>plots/3FT6Y578R01_012_S11P_20251111092011_M5358ACSH101811_RBGEUFRF26/dpll_52084/txpa_54230.png</t>
  </si>
  <si>
    <t>plots/3FT6Y578R01_012_S11P_20251111092011_M5358ACSH101811_RBGEUFRF26/dpll_52084/txpa_54231.png</t>
  </si>
  <si>
    <t>plots/3FT6Y578R01_012_S11P_20251111092011_M5358ACSH101811_RBGEUFRF26/dpll_52084/txpa_54232.png</t>
  </si>
  <si>
    <t>plots/3FT6Y578R01_012_S11P_20251111092011_M5358ACSH101811_RBGEUFRF26/dpll_52084/txpa_54233.png</t>
  </si>
  <si>
    <t>plots/3FT6Y578R01_012_S11P_20251111092011_M5358ACSH101811_RBGEUFRF26/dpll_52084/txpa_54234.png</t>
  </si>
  <si>
    <t>plots/3FT6Y578R01_012_S11P_20251111092011_M5358ACSH101811_RBGEUFRF26/dpll_52084/txpa_54235.png</t>
  </si>
  <si>
    <t>plots/3FT6Y578R01_012_S11P_20251111092011_M5358ACSH101811_RBGEUFRF26/dpll_52084/txpa_54236.png</t>
  </si>
  <si>
    <t>plots/3FT6Y578R01_012_S11P_20251111092011_M5358ACSH101811_RBGEUFRF26/dpll_52084/txpa_54237.png</t>
  </si>
  <si>
    <t>plots/3FT6Y578R01_012_S11P_20251111092011_M5358ACSH101811_RBGEUFRF26/dpll_52084/txpa_54238.png</t>
  </si>
  <si>
    <t>plots/3FT6Y578R01_012_S11P_20251111092011_M5358ACSH101811_RBGEUFRF26/dpll_52084/txpa_54239.png</t>
  </si>
  <si>
    <t>plots/3FT6Y578R01_012_S11P_20251111092011_M5358ACSH101811_RBGEUFRF26/dpll_52084/txpa_54240.png</t>
  </si>
  <si>
    <t>plots/3FT6Y578R01_012_S11P_20251111092011_M5358ACSH101811_RBGEUFRF26/dpll_52084/txpa_54241.png</t>
  </si>
  <si>
    <t>plots/3FT6Y578R01_012_S11P_20251111092011_M5358ACSH101811_RBGEUFRF26/dpll_52084/txpa_54242.png</t>
  </si>
  <si>
    <t>plots/3FT6Y578R01_012_S11P_20251111092011_M5358ACSH101811_RBGEUFRF26/dpll_52084/txpa_54243.png</t>
  </si>
  <si>
    <t>plots/3FT6Y578R01_012_S11P_20251111092011_M5358ACSH101811_RBGEUFRF26/dpll_52084/txpa_54244.png</t>
  </si>
  <si>
    <t>plots/3FT6Y578R01_012_S11P_20251111092011_M5358ACSH101811_RBGEUFRF26/dpll_52084/txpa_54245.png</t>
  </si>
  <si>
    <t>plots/3FT6Y578R01_012_S11P_20251111092011_M5358ACSH101811_RBGEUFRF26/dpll_52084/txpa_54246.png</t>
  </si>
  <si>
    <t>plots/3FT6Y578R01_012_S11P_20251111092011_M5358ACSH101811_RBGEUFRF26/dpll_52084/txpa_54247.png</t>
  </si>
  <si>
    <t>plots/3FT6Y578R01_012_S11P_20251111092011_M5358ACSH101811_RBGEUFRF26/dpll_52084/txpa_54248.png</t>
  </si>
  <si>
    <t>plots/3FT6Y578R01_012_S11P_20251111092011_M5358ACSH101811_RBGEUFRF26/dpll_52084/txpa_54249.png</t>
  </si>
  <si>
    <t>plots/3FT6Y578R01_012_S11P_20251111092011_M5358ACSH101811_RBGEUFRF26/dpll_52084/txpa_54250.png</t>
  </si>
  <si>
    <t>plots/3FT6Y578R01_012_S11P_20251111092011_M5358ACSH101811_RBGEUFRF26/dpll_52084/txpa_54251.png</t>
  </si>
  <si>
    <t>plots/3FT6Y578R01_012_S11P_20251111092011_M5358ACSH101811_RBGEUFRF26/dpll_52084/txpa_54252.png</t>
  </si>
  <si>
    <t>plots/3FT6Y578R01_012_S11P_20251111092011_M5358ACSH101811_RBGEUFRF26/dpll_52084/txpa_54253.png</t>
  </si>
  <si>
    <t>plots/3FT6Y578R01_012_S11P_20251111092011_M5358ACSH101811_RBGEUFRF26/dpll_52084/txpa_54254.png</t>
  </si>
  <si>
    <t>plots/3FT6Y578R01_012_S11P_20251111092011_M5358ACSH101811_RBGEUFRF26/dpll_52084/txpa_54255.png</t>
  </si>
  <si>
    <t>plots/3FT6Y578R01_012_S11P_20251111092011_M5358ACSH101811_RBGEUFRF26/dpll_52084/txpa_54256.png</t>
  </si>
  <si>
    <t>plots/3FT6Y578R01_012_S11P_20251111092011_M5358ACSH101811_RBGEUFRF26/dpll_52084/txpa_54257.png</t>
  </si>
  <si>
    <t>plots/3FT6Y578R01_012_S11P_20251111092011_M5358ACSH101811_RBGEUFRF26/dpll_52084/txpa_54258.png</t>
  </si>
  <si>
    <t>plots/3FT6Y578R01_012_S11P_20251111092011_M5358ACSH101811_RBGEUFRF26/dpll_52084/txpa_55146.png</t>
  </si>
  <si>
    <t>plots/3FT6Y578R01_012_S11P_20251111092011_M5358ACSH101811_RBGEUFRF26/dpll_52084/txpa_55147.png</t>
  </si>
  <si>
    <t>plots/3FT6Y578R01_012_S11P_20251111092011_M5358ACSH101811_RBGEUFRF26/dpll_52084/txpa_55148.png</t>
  </si>
  <si>
    <t>plots/3FT6Y578R01_012_S11P_20251111092011_M5358ACSH101811_RBGEUFRF26/dpll_52084/txpa_55149.png</t>
  </si>
  <si>
    <t>plots/3FT6Y578R01_012_S11P_20251111092011_M5358ACSH101811_RBGEUFRF26/dpll_52084/txpa_55150.png</t>
  </si>
  <si>
    <t>plots/3FT6Y578R01_012_S11P_20251111092011_M5358ACSH101811_RBGEUFRF26/dpll_52084/txpa_55151.png</t>
  </si>
  <si>
    <t>plots/3FT6Y578R01_012_S11P_20251111092011_M5358ACSH101811_RBGEUFRF26/dpll_52084/txpa_55152.png</t>
  </si>
  <si>
    <t>plots/3FT6Y578R01_012_S11P_20251111092011_M5358ACSH101811_RBGEUFRF26/dpll_52084/txpa_55153.png</t>
  </si>
  <si>
    <t>plots/3FT6Y578R01_012_S11P_20251111092011_M5358ACSH101811_RBGEUFRF26/dpll_52084/txpa_55154.png</t>
  </si>
  <si>
    <t>plots/3FT6Y578R01_012_S11P_20251111092011_M5358ACSH101811_RBGEUFRF26/dpll_52084/txpa_55155.png</t>
  </si>
  <si>
    <t>plots/3FT6Y578R01_012_S11P_20251111092011_M5358ACSH101811_RBGEUFRF26/dpll_52084/txpa_55156.png</t>
  </si>
  <si>
    <t>plots/3FT6Y578R01_012_S11P_20251111092011_M5358ACSH101811_RBGEUFRF26/dpll_52084/txpa_55157.png</t>
  </si>
  <si>
    <t>plots/3FT6Y578R01_012_S11P_20251111092011_M5358ACSH101811_RBGEUFRF26/dpll_52084/txpa_55158.png</t>
  </si>
  <si>
    <t>plots/3FT6Y578R01_012_S11P_20251111092011_M5358ACSH101811_RBGEUFRF26/dpll_52084/txpa_55159.png</t>
  </si>
  <si>
    <t>plots/3FT6Y578R01_012_S11P_20251111092011_M5358ACSH101811_RBGEUFRF26/dpll_52084/txpa_55160.png</t>
  </si>
  <si>
    <t>plots/3FT6Y578R01_012_S11P_20251111092011_M5358ACSH101811_RBGEUFRF26/dpll_52084/txpa_55161.png</t>
  </si>
  <si>
    <t>plots/3FT6Y578R01_012_S11P_20251111092011_M5358ACSH101811_RBGEUFRF26/dpll_52084/txpa_55162.png</t>
  </si>
  <si>
    <t>plots/3FT6Y578R01_012_S11P_20251111092011_M5358ACSH101811_RBGEUFRF26/dpll_52084/txpa_55163.png</t>
  </si>
  <si>
    <t>plots/3FT6Y578R01_012_S11P_20251111092011_M5358ACSH101811_RBGEUFRF26/dpll_52084/txpa_55164.png</t>
  </si>
  <si>
    <t>plots/3FT6Y578R01_012_S11P_20251111092011_M5358ACSH101811_RBGEUFRF26/dpll_52084/txpa_55165.png</t>
  </si>
  <si>
    <t>plots/3FT6Y578R01_012_S11P_20251111092011_M5358ACSH101811_RBGEUFRF26/dpll_52084/txpa_55166.png</t>
  </si>
  <si>
    <t>plots/3FT6Y578R01_012_S11P_20251111092011_M5358ACSH101811_RBGEUFRF26/dpll_52084/txpa_55167.png</t>
  </si>
  <si>
    <t>plots/3FT6Y578R01_012_S11P_20251111092011_M5358ACSH101811_RBGEUFRF26/dpll_52084/txpa_55168.png</t>
  </si>
  <si>
    <t>plots/3FT6Y578R01_012_S11P_20251111092011_M5358ACSH101811_RBGEUFRF26/dpll_52084/txpa_55169.png</t>
  </si>
  <si>
    <t>plots/3FT6Y578R01_012_S11P_20251111092011_M5358ACSH101811_RBGEUFRF26/dpll_52084/txpa_55170.png</t>
  </si>
  <si>
    <t>plots/3FT6Y578R01_012_S11P_20251111092011_M5358ACSH101811_RBGEUFRF26/dpll_52084/txpa_55171.png</t>
  </si>
  <si>
    <t>plots/3FT6Y578R01_012_S11P_20251111092011_M5358ACSH101811_RBGEUFRF26/dpll_52084/txpa_55172.png</t>
  </si>
  <si>
    <t>plots/3FT6Y578R01_012_S11P_20251111092011_M5358ACSH101811_RBGEUFRF26/dpll_52084/txpa_55173.png</t>
  </si>
  <si>
    <t>plots/3FT6Y578R01_012_S11P_20251111092011_M5358ACSH101811_RBGEUFRF26/dpll_52084/txpa_55174.png</t>
  </si>
  <si>
    <t>plots/3FT6Y578R01_012_S11P_20251111092011_M5358ACSH101811_RBGEUFRF26/dpll_52084/txpa_55175.png</t>
  </si>
  <si>
    <t>plots/3FT6Y578R01_012_S11P_20251111092011_M5358ACSH101811_RBGEUFRF26/dpll_52084/txpa_55176.png</t>
  </si>
  <si>
    <t>plots/3FT6Y578R01_012_S11P_20251111092011_M5358ACSH101811_RBGEUFRF26/dpll_52084/txpa_55177.png</t>
  </si>
  <si>
    <t>plots/3FT6Y578R01_012_S11P_20251111092011_M5358ACSH101811_RBGEUFRF26/dpll_52084/txpa_55178.png</t>
  </si>
  <si>
    <t>plots/3FT6Y578R01_012_S11P_20251111092011_M5358ACSH101811_RBGEUFRF26/dpll_52084/txpa_55179.png</t>
  </si>
  <si>
    <t>plots/3FT6Y578R01_012_S11P_20251111092011_M5358ACSH101811_RBGEUFRF26/dpll_52084/txpa_55180.png</t>
  </si>
  <si>
    <t>plots/3FT6Y578R01_012_S11P_20251111092011_M5358ACSH101811_RBGEUFRF26/dpll_52084/txpa_55181.png</t>
  </si>
  <si>
    <t>plots/3FT6Y578R01_012_S11P_20251111092011_M5358ACSH101811_RBGEUFRF26/dpll_52084/txpa_55182.png</t>
  </si>
  <si>
    <t>plots/3FT6Y578R01_012_S11P_20251111092011_M5358ACSH101811_RBGEUFRF26/dpll_52084/txpa_55183.png</t>
  </si>
  <si>
    <t>plots/3FT6Y578R01_012_S11P_20251111092011_M5358ACSH101811_RBGEUFRF26/dpll_52084/txpa_55184.png</t>
  </si>
  <si>
    <t>plots/3FT6Y578R01_012_S11P_20251111092011_M5358ACSH101811_RBGEUFRF26/dpll_52084/txpa_55185.png</t>
  </si>
  <si>
    <t>plots/3FT6Y578R01_012_S11P_20251111092011_M5358ACSH101811_RBGEUFRF26/dpll_52084/txpa_55186.png</t>
  </si>
  <si>
    <t>plots/3FT6Y578R01_012_S11P_20251111092011_M5358ACSH101811_RBGEUFRF26/dpll_52084/txpa_55187.png</t>
  </si>
  <si>
    <t>plots/3FT6Y578R01_012_S11P_20251111092011_M5358ACSH101811_RBGEUFRF26/dpll_52084/txpa_55188.png</t>
  </si>
  <si>
    <t>plots/3FT6Y578R01_012_S11P_20251111092011_M5358ACSH101811_RBGEUFRF26/dpll_52084/txpa_55189.png</t>
  </si>
  <si>
    <t>plots/3FT6Y578R01_012_S11P_20251111092011_M5358ACSH101811_RBGEUFRF26/dpll_52084/txpa_55190.png</t>
  </si>
  <si>
    <t>plots/3FT6Y578R01_012_S11P_20251111092011_M5358ACSH101811_RBGEUFRF26/dpll_52084/txpa_55191.png</t>
  </si>
  <si>
    <t>plots/3FT6Y578R01_012_S11P_20251111092011_M5358ACSH101811_RBGEUFRF26/dpll_52084/txpa_55192.png</t>
  </si>
  <si>
    <t>plots/3FT6Y578R01_012_S11P_20251111092011_M5358ACSH101811_RBGEUFRF26/dpll_52084/txpa_55193.png</t>
  </si>
  <si>
    <t>plots/3FT6Y578R01_012_S11P_20251111092011_M5358ACSH101811_RBGEUFRF26/dpll_52084/txpa_55194.png</t>
  </si>
  <si>
    <t>plots/3FT6Y578R01_012_S11P_20251111092011_M5358ACSH101811_RBGEUFRF26/dpll_52084/txpa_55195.png</t>
  </si>
  <si>
    <t>plots/3FT6Y578R01_012_S11P_20251111092011_M5358ACSH101811_RBGEUFRF26/dpll_52084/txpa_55196.png</t>
  </si>
  <si>
    <t>plots/3FT6Y578R01_012_S11P_20251111092011_M5358ACSH101811_RBGEUFRF26/dpll_52084/txpa_55197.png</t>
  </si>
  <si>
    <t>plots/3FT6Y578R01_012_S11P_20251111092011_M5358ACSH101811_RBGEUFRF26/dpll_52084/txpa_55198.png</t>
  </si>
  <si>
    <t>plots/3FT6Y578R01_012_S11P_20251111092011_M5358ACSH101811_RBGEUFRF26/dpll_52084/txpa_55199.png</t>
  </si>
  <si>
    <t>plots/3FT6Y578R01_012_S11P_20251111092011_M5358ACSH101811_RBGEUFRF26/dpll_52084/txpa_55200.png</t>
  </si>
  <si>
    <t>plots/3FT6Y578R01_012_S11P_20251111092011_M5358ACSH101811_RBGEUFRF26/dpll_52084/txpa_55201.png</t>
  </si>
  <si>
    <t>plots/3FT6Y578R01_012_S11P_20251111092011_M5358ACSH101811_RBGEUFRF26/dpll_52084/txpa_55202.png</t>
  </si>
  <si>
    <t>plots/3FT6Y578R01_012_S11P_20251111092011_M5358ACSH101811_RBGEUFRF26/dpll_52084/txpa_55203.png</t>
  </si>
  <si>
    <t>plots/3FT6Y578R01_012_S11P_20251111092011_M5358ACSH101811_RBGEUFRF26/dpll_52084/txpa_55204.png</t>
  </si>
  <si>
    <t>plots/3FT6Y578R01_012_S11P_20251111092011_M5358ACSH101811_RBGEUFRF26/dpll_52084/txpa_55205.png</t>
  </si>
  <si>
    <t>plots/3FT6Y578R01_012_S11P_20251111092011_M5358ACSH101811_RBGEUFRF26/dpll_52084/txpa_55206.png</t>
  </si>
  <si>
    <t>plots/3FT6Y578R01_012_S11P_20251111092011_M5358ACSH101811_RBGEUFRF26/dpll_52084/txpa_55207.png</t>
  </si>
  <si>
    <t>plots/3FT6Y578R01_012_S11P_20251111092011_M5358ACSH101811_RBGEUFRF26/dpll_52084/txpa_55208.png</t>
  </si>
  <si>
    <t>plots/3FT6Y578R01_012_S11P_20251111092011_M5358ACSH101811_RBGEUFRF26/dpll_52084/txpa_55209.png</t>
  </si>
  <si>
    <t>plots/3FT6Y578R01_012_S11P_20251111092011_M5358ACSH101811_RBGEUFRF26/dpll_52084/txpa_55210.png</t>
  </si>
  <si>
    <t>plots/3FT6Y578R01_012_S11P_20251111092011_M5358ACSH101811_RBGEUFRF26/dpll_52084/txpa_55211.png</t>
  </si>
  <si>
    <t>plots/3FT6Y578R01_012_S11P_20251111092011_M5358ACSH101811_RBGEUFRF26/dpll_52084/txpa_55212.png</t>
  </si>
  <si>
    <t>plots/3FT6Y578R01_012_S11P_20251111092011_M5358ACSH101811_RBGEUFRF26/dpll_52084/txpa_55213.png</t>
  </si>
  <si>
    <t>plots/3FT6Y578R01_012_S11P_20251111092011_M5358ACSH101811_RBGEUFRF26/dpll_52084/txpa_55214.png</t>
  </si>
  <si>
    <t>plots/3FT6Y578R01_012_S11P_20251111092011_M5358ACSH101811_RBGEUFRF26/dpll_52084/txpa_55215.png</t>
  </si>
  <si>
    <t>plots/3FT6Y578R01_012_S11P_20251111092011_M5358ACSH101811_RBGEUFRF26/dpll_52084/txpa_55216.png</t>
  </si>
  <si>
    <t>plots/3FT6Y578R01_012_S11P_20251111092011_M5358ACSH101811_RBGEUFRF26/dpll_52084/txpa_55217.png</t>
  </si>
  <si>
    <t>plots/3FT6Y578R01_012_S11P_20251111092011_M5358ACSH101811_RBGEUFRF26/dpll_52084/txpa_55218.png</t>
  </si>
  <si>
    <t>plots/3FT6Y578R01_012_S11P_20251111092011_M5358ACSH101811_RBGEUFRF26/dpll_52084/txpa_55219.png</t>
  </si>
  <si>
    <t>plots/3FT6Y578R01_012_S11P_20251111092011_M5358ACSH101811_RBGEUFRF26/dpll_52084/txpa_55220.png</t>
  </si>
  <si>
    <t>plots/3FT6Y578R01_012_S11P_20251111092011_M5358ACSH101811_RBGEUFRF26/dpll_52084/txpa_55221.png</t>
  </si>
  <si>
    <t>plots/3FT6Y578R01_012_S11P_20251111092011_M5358ACSH101811_RBGEUFRF26/dpll_52084/txpa_55222.png</t>
  </si>
  <si>
    <t>plots/3FT6Y578R01_012_S11P_20251111092011_M5358ACSH101811_RBGEUFRF26/dpll_52084/txpa_55223.png</t>
  </si>
  <si>
    <t>plots/3FT6Y578R01_012_S11P_20251111092011_M5358ACSH101811_RBGEUFRF26/dpll_52084/txpa_55224.png</t>
  </si>
  <si>
    <t>plots/3FT6Y578R01_012_S11P_20251111092011_M5358ACSH101811_RBGEUFRF26/dpll_52084/txpa_55225.png</t>
  </si>
  <si>
    <t>plots/3FT6Y578R01_012_S11P_20251111092011_M5358ACSH101811_RBGEUFRF26/dpll_52084/txpa_55226.png</t>
  </si>
  <si>
    <t>plots/3FT6Y578R01_012_S11P_20251111092011_M5358ACSH101811_RBGEUFRF26/dpll_52084/txpa_55227.png</t>
  </si>
  <si>
    <t>plots/3FT6Y578R01_012_S11P_20251111092011_M5358ACSH101811_RBGEUFRF26/dpll_52084/txpa_55228.png</t>
  </si>
  <si>
    <t>plots/3FT6Y578R01_012_S11P_20251111092011_M5358ACSH101811_RBGEUFRF26/dpll_52084/txpa_55229.png</t>
  </si>
  <si>
    <t>plots/3FT6Y578R01_012_S11P_20251111092011_M5358ACSH101811_RBGEUFRF26/dpll_52084/txpa_55230.png</t>
  </si>
  <si>
    <t>plots/3FT6Y578R01_012_S11P_20251111092011_M5358ACSH101811_RBGEUFRF26/dpll_52084/txpa_55231.png</t>
  </si>
  <si>
    <t>plots/3FT6Y578R01_012_S11P_20251111092011_M5358ACSH101811_RBGEUFRF26/dpll_52084/txpa_55232.png</t>
  </si>
  <si>
    <t>plots/3FT6Y578R01_012_S11P_20251111092011_M5358ACSH101811_RBGEUFRF26/dpll_52084/txpa_55233.png</t>
  </si>
  <si>
    <t>plots/3FT6Y578R01_012_S11P_20251111092011_M5358ACSH101811_RBGEUFRF26/dpll_52084/txpa_55234.png</t>
  </si>
  <si>
    <t>plots/3FT6Y578R01_012_S11P_20251111092011_M5358ACSH101811_RBGEUFRF26/dpll_52084/txpa_55235.png</t>
  </si>
  <si>
    <t>plots/3FT6Y578R01_012_S11P_20251111092011_M5358ACSH101811_RBGEUFRF26/dpll_52084/txpa_55236.png</t>
  </si>
  <si>
    <t>plots/3FT6Y578R01_012_S11P_20251111092011_M5358ACSH101811_RBGEUFRF26/dpll_52084/txpa_55237.png</t>
  </si>
  <si>
    <t>plots/3FT6Y578R01_012_S11P_20251111092011_M5358ACSH101811_RBGEUFRF26/dpll_52084/txpa_55238.png</t>
  </si>
  <si>
    <t>plots/3FT6Y578R01_012_S11P_20251111092011_M5358ACSH101811_RBGEUFRF26/dpll_52084/txpa_55239.png</t>
  </si>
  <si>
    <t>plots/3FT6Y578R01_012_S11P_20251111092011_M5358ACSH101811_RBGEUFRF26/dpll_52084/txpa_55240.png</t>
  </si>
  <si>
    <t>plots/3FT6Y578R01_012_S11P_20251111092011_M5358ACSH101811_RBGEUFRF26/dpll_52084/txpa_55241.png</t>
  </si>
  <si>
    <t>plots/3FT6Y578R01_012_S11P_20251111092011_M5358ACSH101811_RBGEUFRF26/dpll_52084/txpa_55242.png</t>
  </si>
  <si>
    <t>plots/3FT6Y578R01_012_S11P_20251111092011_M5358ACSH101811_RBGEUFRF26/dpll_52084/txpa_55243.png</t>
  </si>
  <si>
    <t>plots/3FT6Y578R01_012_S11P_20251111092011_M5358ACSH101811_RBGEUFRF26/dpll_52084/txpa_55244.png</t>
  </si>
  <si>
    <t>plots/3FT6Y578R01_012_S11P_20251111092011_M5358ACSH101811_RBGEUFRF26/dpll_52084/txpa_55245.png</t>
  </si>
  <si>
    <t>plots/3FT6Y578R01_012_S11P_20251111092011_M5358ACSH101811_RBGEUFRF26/dpll_52084/txpa_55246.png</t>
  </si>
  <si>
    <t>plots/3FT6Y578R01_012_S11P_20251111092011_M5358ACSH101811_RBGEUFRF26/dpll_52084/txpa_55247.png</t>
  </si>
  <si>
    <t>plots/3FT6Y578R01_012_S11P_20251111092011_M5358ACSH101811_RBGEUFRF26/dpll_52084/txpa_55248.png</t>
  </si>
  <si>
    <t>plots/3FT6Y578R01_012_S11P_20251111092011_M5358ACSH101811_RBGEUFRF26/dpll_52084/txpa_55249.png</t>
  </si>
  <si>
    <t>plots/3FT6Y578R01_012_S11P_20251111092011_M5358ACSH101811_RBGEUFRF26/dpll_52084/txpa_55250.png</t>
  </si>
  <si>
    <t>plots/3FT6Y578R01_012_S11P_20251111092011_M5358ACSH101811_RBGEUFRF26/dpll_52084/txpa_55251.png</t>
  </si>
  <si>
    <t>plots/3FT6Y578R01_012_S11P_20251111092011_M5358ACSH101811_RBGEUFRF26/dpll_52084/txpa_55252.png</t>
  </si>
  <si>
    <t>plots/3FT6Y578R01_012_S11P_20251111092011_M5358ACSH101811_RBGEUFRF26/dpll_52084/txpa_55253.png</t>
  </si>
  <si>
    <t>plots/3FT6Y578R01_012_S11P_20251111092011_M5358ACSH101811_RBGEUFRF26/dpll_52084/txpa_55254.png</t>
  </si>
  <si>
    <t>plots/3FT6Y578R01_012_S11P_20251111092011_M5358ACSH101811_RBGEUFRF26/dpll_52084/txpa_55255.png</t>
  </si>
  <si>
    <t>plots/3FT6Y578R01_012_S11P_20251111092011_M5358ACSH101811_RBGEUFRF26/dpll_52084/txpa_55256.png</t>
  </si>
  <si>
    <t>plots/3FT6Y578R01_012_S11P_20251111092011_M5358ACSH101811_RBGEUFRF26/dpll_52084/txpa_55257.png</t>
  </si>
  <si>
    <t>plots/3FT6Y578R01_012_S11P_20251111092011_M5358ACSH101811_RBGEUFRF26/dpll_52084/txpa_55258.png</t>
  </si>
  <si>
    <t>plots/3FT6Y578R01_012_S11P_20251111092011_M5358ACSH101811_RBGEUFRF26/dpll_52094/txpa_53179.png</t>
  </si>
  <si>
    <t>plots/3FT6Y578R01_012_S11P_20251111092011_M5358ACSH101811_RBGEUFRF26/dpll_52094/txpa_53180.png</t>
  </si>
  <si>
    <t>plots/3FT6Y578R01_012_S11P_20251111092011_M5358ACSH101811_RBGEUFRF26/dpll_52094/txpa_53181.png</t>
  </si>
  <si>
    <t>plots/3FT6Y578R01_012_S11P_20251111092011_M5358ACSH101811_RBGEUFRF26/dpll_52094/txpa_53182.png</t>
  </si>
  <si>
    <t>plots/3FT6Y578R01_012_S11P_20251111092011_M5358ACSH101811_RBGEUFRF26/dpll_52094/txpa_53183.png</t>
  </si>
  <si>
    <t>plots/3FT6Y578R01_012_S11P_20251111092011_M5358ACSH101811_RBGEUFRF26/dpll_52094/txpa_53184.png</t>
  </si>
  <si>
    <t>plots/3FT6Y578R01_012_S11P_20251111092011_M5358ACSH101811_RBGEUFRF26/dpll_52094/txpa_53185.png</t>
  </si>
  <si>
    <t>plots/3FT6Y578R01_012_S11P_20251111092011_M5358ACSH101811_RBGEUFRF26/dpll_52094/txpa_53186.png</t>
  </si>
  <si>
    <t>plots/3FT6Y578R01_012_S11P_20251111092011_M5358ACSH101811_RBGEUFRF26/dpll_52094/txpa_53187.png</t>
  </si>
  <si>
    <t>plots/3FT6Y578R01_012_S11P_20251111092011_M5358ACSH101811_RBGEUFRF26/dpll_52094/txpa_53188.png</t>
  </si>
  <si>
    <t>plots/3FT6Y578R01_012_S11P_20251111092011_M5358ACSH101811_RBGEUFRF26/dpll_52094/txpa_53189.png</t>
  </si>
  <si>
    <t>plots/3FT6Y578R01_012_S11P_20251111092011_M5358ACSH101811_RBGEUFRF26/dpll_52094/txpa_53190.png</t>
  </si>
  <si>
    <t>plots/3FT6Y578R01_012_S11P_20251111092011_M5358ACSH101811_RBGEUFRF26/dpll_52094/txpa_53191.png</t>
  </si>
  <si>
    <t>plots/3FT6Y578R01_012_S11P_20251111092011_M5358ACSH101811_RBGEUFRF26/dpll_52094/txpa_53192.png</t>
  </si>
  <si>
    <t>plots/3FT6Y578R01_012_S11P_20251111092011_M5358ACSH101811_RBGEUFRF26/dpll_52094/txpa_53193.png</t>
  </si>
  <si>
    <t>plots/3FT6Y578R01_012_S11P_20251111092011_M5358ACSH101811_RBGEUFRF26/dpll_52094/txpa_53194.png</t>
  </si>
  <si>
    <t>plots/3FT6Y578R01_012_S11P_20251111092011_M5358ACSH101811_RBGEUFRF26/dpll_52094/txpa_53195.png</t>
  </si>
  <si>
    <t>plots/3FT6Y578R01_012_S11P_20251111092011_M5358ACSH101811_RBGEUFRF26/dpll_52094/txpa_53196.png</t>
  </si>
  <si>
    <t>plots/3FT6Y578R01_012_S11P_20251111092011_M5358ACSH101811_RBGEUFRF26/dpll_52094/txpa_53197.png</t>
  </si>
  <si>
    <t>plots/3FT6Y578R01_012_S11P_20251111092011_M5358ACSH101811_RBGEUFRF26/dpll_52094/txpa_53198.png</t>
  </si>
  <si>
    <t>plots/3FT6Y578R01_012_S11P_20251111092011_M5358ACSH101811_RBGEUFRF26/dpll_52094/txpa_53199.png</t>
  </si>
  <si>
    <t>plots/3FT6Y578R01_012_S11P_20251111092011_M5358ACSH101811_RBGEUFRF26/dpll_52094/txpa_53200.png</t>
  </si>
  <si>
    <t>plots/3FT6Y578R01_012_S11P_20251111092011_M5358ACSH101811_RBGEUFRF26/dpll_52094/txpa_53201.png</t>
  </si>
  <si>
    <t>plots/3FT6Y578R01_012_S11P_20251111092011_M5358ACSH101811_RBGEUFRF26/dpll_52094/txpa_53202.png</t>
  </si>
  <si>
    <t>plots/3FT6Y578R01_012_S11P_20251111092011_M5358ACSH101811_RBGEUFRF26/dpll_52094/txpa_53203.png</t>
  </si>
  <si>
    <t>plots/3FT6Y578R01_012_S11P_20251111092011_M5358ACSH101811_RBGEUFRF26/dpll_52094/txpa_53204.png</t>
  </si>
  <si>
    <t>plots/3FT6Y578R01_012_S11P_20251111092011_M5358ACSH101811_RBGEUFRF26/dpll_52094/txpa_53205.png</t>
  </si>
  <si>
    <t>plots/3FT6Y578R01_012_S11P_20251111092011_M5358ACSH101811_RBGEUFRF26/dpll_52094/txpa_53206.png</t>
  </si>
  <si>
    <t>plots/3FT6Y578R01_012_S11P_20251111092011_M5358ACSH101811_RBGEUFRF26/dpll_52094/txpa_53207.png</t>
  </si>
  <si>
    <t>plots/3FT6Y578R01_012_S11P_20251111092011_M5358ACSH101811_RBGEUFRF26/dpll_52094/txpa_53208.png</t>
  </si>
  <si>
    <t>plots/3FT6Y578R01_012_S11P_20251111092011_M5358ACSH101811_RBGEUFRF26/dpll_52094/txpa_53209.png</t>
  </si>
  <si>
    <t>plots/3FT6Y578R01_012_S11P_20251111092011_M5358ACSH101811_RBGEUFRF26/dpll_52094/txpa_53210.png</t>
  </si>
  <si>
    <t>plots/3FT6Y578R01_012_S11P_20251111092011_M5358ACSH101811_RBGEUFRF26/dpll_52094/txpa_53211.png</t>
  </si>
  <si>
    <t>plots/3FT6Y578R01_012_S11P_20251111092011_M5358ACSH101811_RBGEUFRF26/dpll_52094/txpa_53212.png</t>
  </si>
  <si>
    <t>plots/3FT6Y578R01_012_S11P_20251111092011_M5358ACSH101811_RBGEUFRF26/dpll_52094/txpa_53213.png</t>
  </si>
  <si>
    <t>plots/3FT6Y578R01_012_S11P_20251111092011_M5358ACSH101811_RBGEUFRF26/dpll_52094/txpa_53214.png</t>
  </si>
  <si>
    <t>plots/3FT6Y578R01_012_S11P_20251111092011_M5358ACSH101811_RBGEUFRF26/dpll_52094/txpa_53215.png</t>
  </si>
  <si>
    <t>plots/3FT6Y578R01_012_S11P_20251111092011_M5358ACSH101811_RBGEUFRF26/dpll_52094/txpa_53216.png</t>
  </si>
  <si>
    <t>plots/3FT6Y578R01_012_S11P_20251111092011_M5358ACSH101811_RBGEUFRF26/dpll_52094/txpa_53217.png</t>
  </si>
  <si>
    <t>plots/3FT6Y578R01_012_S11P_20251111092011_M5358ACSH101811_RBGEUFRF26/dpll_52094/txpa_53218.png</t>
  </si>
  <si>
    <t>plots/3FT6Y578R01_012_S11P_20251111092011_M5358ACSH101811_RBGEUFRF26/dpll_52094/txpa_53219.png</t>
  </si>
  <si>
    <t>plots/3FT6Y578R01_012_S11P_20251111092011_M5358ACSH101811_RBGEUFRF26/dpll_52094/txpa_53220.png</t>
  </si>
  <si>
    <t>plots/3FT6Y578R01_012_S11P_20251111092011_M5358ACSH101811_RBGEUFRF26/dpll_52094/txpa_53221.png</t>
  </si>
  <si>
    <t>plots/3FT6Y578R01_012_S11P_20251111092011_M5358ACSH101811_RBGEUFRF26/dpll_52094/txpa_53222.png</t>
  </si>
  <si>
    <t>plots/3FT6Y578R01_012_S11P_20251111092011_M5358ACSH101811_RBGEUFRF26/dpll_52094/txpa_53223.png</t>
  </si>
  <si>
    <t>plots/3FT6Y578R01_012_S11P_20251111092011_M5358ACSH101811_RBGEUFRF26/dpll_52094/txpa_53224.png</t>
  </si>
  <si>
    <t>plots/3FT6Y578R01_012_S11P_20251111092011_M5358ACSH101811_RBGEUFRF26/dpll_52094/txpa_53225.png</t>
  </si>
  <si>
    <t>plots/3FT6Y578R01_012_S11P_20251111092011_M5358ACSH101811_RBGEUFRF26/dpll_52094/txpa_53226.png</t>
  </si>
  <si>
    <t>plots/3FT6Y578R01_012_S11P_20251111092011_M5358ACSH101811_RBGEUFRF26/dpll_52094/txpa_53227.png</t>
  </si>
  <si>
    <t>plots/3FT6Y578R01_012_S11P_20251111092011_M5358ACSH101811_RBGEUFRF26/dpll_52094/txpa_53228.png</t>
  </si>
  <si>
    <t>plots/3FT6Y578R01_012_S11P_20251111092011_M5358ACSH101811_RBGEUFRF26/dpll_52094/txpa_53229.png</t>
  </si>
  <si>
    <t>plots/3FT6Y578R01_012_S11P_20251111092011_M5358ACSH101811_RBGEUFRF26/dpll_52094/txpa_53230.png</t>
  </si>
  <si>
    <t>plots/3FT6Y578R01_012_S11P_20251111092011_M5358ACSH101811_RBGEUFRF26/dpll_52094/txpa_53231.png</t>
  </si>
  <si>
    <t>plots/3FT6Y578R01_012_S11P_20251111092011_M5358ACSH101811_RBGEUFRF26/dpll_52094/txpa_53232.png</t>
  </si>
  <si>
    <t>plots/3FT6Y578R01_012_S11P_20251111092011_M5358ACSH101811_RBGEUFRF26/dpll_52094/txpa_53233.png</t>
  </si>
  <si>
    <t>plots/3FT6Y578R01_012_S11P_20251111092011_M5358ACSH101811_RBGEUFRF26/dpll_52094/txpa_53234.png</t>
  </si>
  <si>
    <t>plots/3FT6Y578R01_012_S11P_20251111092011_M5358ACSH101811_RBGEUFRF26/dpll_52094/txpa_53235.png</t>
  </si>
  <si>
    <t>plots/3FT6Y578R01_012_S11P_20251111092011_M5358ACSH101811_RBGEUFRF26/dpll_52094/txpa_53236.png</t>
  </si>
  <si>
    <t>plots/3FT6Y578R01_012_S11P_20251111092011_M5358ACSH101811_RBGEUFRF26/dpll_52094/txpa_53237.png</t>
  </si>
  <si>
    <t>plots/3FT6Y578R01_012_S11P_20251111092011_M5358ACSH101811_RBGEUFRF26/dpll_52094/txpa_53238.png</t>
  </si>
  <si>
    <t>plots/3FT6Y578R01_012_S11P_20251111092011_M5358ACSH101811_RBGEUFRF26/dpll_52094/txpa_53239.png</t>
  </si>
  <si>
    <t>plots/3FT6Y578R01_012_S11P_20251111092011_M5358ACSH101811_RBGEUFRF26/dpll_52094/txpa_53240.png</t>
  </si>
  <si>
    <t>plots/3FT6Y578R01_012_S11P_20251111092011_M5358ACSH101811_RBGEUFRF26/dpll_52094/txpa_53241.png</t>
  </si>
  <si>
    <t>plots/3FT6Y578R01_012_S11P_20251111092011_M5358ACSH101811_RBGEUFRF26/dpll_52094/txpa_53242.png</t>
  </si>
  <si>
    <t>plots/3FT6Y578R01_012_S11P_20251111092011_M5358ACSH101811_RBGEUFRF26/dpll_52094/txpa_53243.png</t>
  </si>
  <si>
    <t>plots/3FT6Y578R01_012_S11P_20251111092011_M5358ACSH101811_RBGEUFRF26/dpll_52094/txpa_53244.png</t>
  </si>
  <si>
    <t>plots/3FT6Y578R01_012_S11P_20251111092011_M5358ACSH101811_RBGEUFRF26/dpll_52094/txpa_53245.png</t>
  </si>
  <si>
    <t>plots/3FT6Y578R01_012_S11P_20251111092011_M5358ACSH101811_RBGEUFRF26/dpll_52094/txpa_53246.png</t>
  </si>
  <si>
    <t>plots/3FT6Y578R01_012_S11P_20251111092011_M5358ACSH101811_RBGEUFRF26/dpll_52094/txpa_53247.png</t>
  </si>
  <si>
    <t>plots/3FT6Y578R01_012_S11P_20251111092011_M5358ACSH101811_RBGEUFRF26/dpll_52094/txpa_53248.png</t>
  </si>
  <si>
    <t>plots/3FT6Y578R01_012_S11P_20251111092011_M5358ACSH101811_RBGEUFRF26/dpll_52094/txpa_53249.png</t>
  </si>
  <si>
    <t>plots/3FT6Y578R01_012_S11P_20251111092011_M5358ACSH101811_RBGEUFRF26/dpll_52094/txpa_53250.png</t>
  </si>
  <si>
    <t>plots/3FT6Y578R01_012_S11P_20251111092011_M5358ACSH101811_RBGEUFRF26/dpll_52094/txpa_53251.png</t>
  </si>
  <si>
    <t>plots/3FT6Y578R01_012_S11P_20251111092011_M5358ACSH101811_RBGEUFRF26/dpll_52094/txpa_53252.png</t>
  </si>
  <si>
    <t>plots/3FT6Y578R01_012_S11P_20251111092011_M5358ACSH101811_RBGEUFRF26/dpll_52094/txpa_53253.png</t>
  </si>
  <si>
    <t>plots/3FT6Y578R01_012_S11P_20251111092011_M5358ACSH101811_RBGEUFRF26/dpll_52094/txpa_53254.png</t>
  </si>
  <si>
    <t>plots/3FT6Y578R01_012_S11P_20251111092011_M5358ACSH101811_RBGEUFRF26/dpll_52094/txpa_53255.png</t>
  </si>
  <si>
    <t>plots/3FT6Y578R01_012_S11P_20251111092011_M5358ACSH101811_RBGEUFRF26/dpll_52094/txpa_53256.png</t>
  </si>
  <si>
    <t>plots/3FT6Y578R01_012_S11P_20251111092011_M5358ACSH101811_RBGEUFRF26/dpll_52094/txpa_53257.png</t>
  </si>
  <si>
    <t>plots/3FT6Y578R01_012_S11P_20251111092011_M5358ACSH101811_RBGEUFRF26/dpll_52094/txpa_53258.png</t>
  </si>
  <si>
    <t>plots/3FT6Y578R01_012_S11P_20251111092011_M5358ACSH101811_RBGEUFRF26/dpll_52094/txpa_53259.png</t>
  </si>
  <si>
    <t>plots/3FT6Y578R01_012_S11P_20251111092011_M5358ACSH101811_RBGEUFRF26/dpll_52094/txpa_53260.png</t>
  </si>
  <si>
    <t>plots/3FT6Y578R01_012_S11P_20251111092011_M5358ACSH101811_RBGEUFRF26/dpll_52094/txpa_53261.png</t>
  </si>
  <si>
    <t>plots/3FT6Y578R01_012_S11P_20251111092011_M5358ACSH101811_RBGEUFRF26/dpll_52094/txpa_53262.png</t>
  </si>
  <si>
    <t>plots/3FT6Y578R01_012_S11P_20251111092011_M5358ACSH101811_RBGEUFRF26/dpll_52094/txpa_53263.png</t>
  </si>
  <si>
    <t>plots/3FT6Y578R01_012_S11P_20251111092011_M5358ACSH101811_RBGEUFRF26/dpll_52094/txpa_53264.png</t>
  </si>
  <si>
    <t>plots/3FT6Y578R01_012_S11P_20251111092011_M5358ACSH101811_RBGEUFRF26/dpll_52094/txpa_53265.png</t>
  </si>
  <si>
    <t>plots/3FT6Y578R01_012_S11P_20251111092011_M5358ACSH101811_RBGEUFRF26/dpll_52094/txpa_53266.png</t>
  </si>
  <si>
    <t>plots/3FT6Y578R01_012_S11P_20251111092011_M5358ACSH101811_RBGEUFRF26/dpll_52094/txpa_53267.png</t>
  </si>
  <si>
    <t>plots/3FT6Y578R01_012_S11P_20251111092011_M5358ACSH101811_RBGEUFRF26/dpll_52094/txpa_53268.png</t>
  </si>
  <si>
    <t>plots/3FT6Y578R01_012_S11P_20251111092011_M5358ACSH101811_RBGEUFRF26/dpll_52094/txpa_53269.png</t>
  </si>
  <si>
    <t>plots/3FT6Y578R01_012_S11P_20251111092011_M5358ACSH101811_RBGEUFRF26/dpll_52094/txpa_53270.png</t>
  </si>
  <si>
    <t>plots/3FT6Y578R01_012_S11P_20251111092011_M5358ACSH101811_RBGEUFRF26/dpll_52094/txpa_53271.png</t>
  </si>
  <si>
    <t>plots/3FT6Y578R01_012_S11P_20251111092011_M5358ACSH101811_RBGEUFRF26/dpll_52094/txpa_53272.png</t>
  </si>
  <si>
    <t>plots/3FT6Y578R01_012_S11P_20251111092011_M5358ACSH101811_RBGEUFRF26/dpll_52094/txpa_53273.png</t>
  </si>
  <si>
    <t>plots/3FT6Y578R01_012_S11P_20251111092011_M5358ACSH101811_RBGEUFRF26/dpll_52094/txpa_53274.png</t>
  </si>
  <si>
    <t>plots/3FT6Y578R01_012_S11P_20251111092011_M5358ACSH101811_RBGEUFRF26/dpll_52094/txpa_53275.png</t>
  </si>
  <si>
    <t>plots/3FT6Y578R01_012_S11P_20251111092011_M5358ACSH101811_RBGEUFRF26/dpll_52094/txpa_53276.png</t>
  </si>
  <si>
    <t>plots/3FT6Y578R01_012_S11P_20251111092011_M5358ACSH101811_RBGEUFRF26/dpll_52094/txpa_53277.png</t>
  </si>
  <si>
    <t>plots/3FT6Y578R01_012_S11P_20251111092011_M5358ACSH101811_RBGEUFRF26/dpll_52094/txpa_53278.png</t>
  </si>
  <si>
    <t>plots/3FT6Y578R01_012_S11P_20251111092011_M5358ACSH101811_RBGEUFRF26/dpll_52094/txpa_53279.png</t>
  </si>
  <si>
    <t>plots/3FT6Y578R01_012_S11P_20251111092011_M5358ACSH101811_RBGEUFRF26/dpll_52094/txpa_53280.png</t>
  </si>
  <si>
    <t>plots/3FT6Y578R01_012_S11P_20251111092011_M5358ACSH101811_RBGEUFRF26/dpll_52094/txpa_53281.png</t>
  </si>
  <si>
    <t>plots/3FT6Y578R01_012_S11P_20251111092011_M5358ACSH101811_RBGEUFRF26/dpll_52094/txpa_53282.png</t>
  </si>
  <si>
    <t>plots/3FT6Y578R01_012_S11P_20251111092011_M5358ACSH101811_RBGEUFRF26/dpll_52094/txpa_53283.png</t>
  </si>
  <si>
    <t>plots/3FT6Y578R01_012_S11P_20251111092011_M5358ACSH101811_RBGEUFRF26/dpll_52094/txpa_53284.png</t>
  </si>
  <si>
    <t>plots/3FT6Y578R01_012_S11P_20251111092011_M5358ACSH101811_RBGEUFRF26/dpll_52094/txpa_53285.png</t>
  </si>
  <si>
    <t>plots/3FT6Y578R01_012_S11P_20251111092011_M5358ACSH101811_RBGEUFRF26/dpll_52094/txpa_53286.png</t>
  </si>
  <si>
    <t>plots/3FT6Y578R01_012_S11P_20251111092011_M5358ACSH101811_RBGEUFRF26/dpll_52094/txpa_53287.png</t>
  </si>
  <si>
    <t>plots/3FT6Y578R01_012_S11P_20251111092011_M5358ACSH101811_RBGEUFRF26/dpll_52094/txpa_53288.png</t>
  </si>
  <si>
    <t>plots/3FT6Y578R01_012_S11P_20251111092011_M5358ACSH101811_RBGEUFRF26/dpll_52094/txpa_53289.png</t>
  </si>
  <si>
    <t>plots/3FT6Y578R01_012_S11P_20251111092011_M5358ACSH101811_RBGEUFRF26/dpll_52094/txpa_53290.png</t>
  </si>
  <si>
    <t>plots/3FT6Y578R01_012_S11P_20251111092011_M5358ACSH101811_RBGEUFRF26/dpll_52094/txpa_54146.png</t>
  </si>
  <si>
    <t>plots/3FT6Y578R01_012_S11P_20251111092011_M5358ACSH101811_RBGEUFRF26/dpll_52094/txpa_54147.png</t>
  </si>
  <si>
    <t>plots/3FT6Y578R01_012_S11P_20251111092011_M5358ACSH101811_RBGEUFRF26/dpll_52094/txpa_54148.png</t>
  </si>
  <si>
    <t>plots/3FT6Y578R01_012_S11P_20251111092011_M5358ACSH101811_RBGEUFRF26/dpll_52094/txpa_54149.png</t>
  </si>
  <si>
    <t>plots/3FT6Y578R01_012_S11P_20251111092011_M5358ACSH101811_RBGEUFRF26/dpll_52094/txpa_54150.png</t>
  </si>
  <si>
    <t>plots/3FT6Y578R01_012_S11P_20251111092011_M5358ACSH101811_RBGEUFRF26/dpll_52094/txpa_54151.png</t>
  </si>
  <si>
    <t>plots/3FT6Y578R01_012_S11P_20251111092011_M5358ACSH101811_RBGEUFRF26/dpll_52094/txpa_54152.png</t>
  </si>
  <si>
    <t>plots/3FT6Y578R01_012_S11P_20251111092011_M5358ACSH101811_RBGEUFRF26/dpll_52094/txpa_54153.png</t>
  </si>
  <si>
    <t>plots/3FT6Y578R01_012_S11P_20251111092011_M5358ACSH101811_RBGEUFRF26/dpll_52094/txpa_54154.png</t>
  </si>
  <si>
    <t>plots/3FT6Y578R01_012_S11P_20251111092011_M5358ACSH101811_RBGEUFRF26/dpll_52094/txpa_54155.png</t>
  </si>
  <si>
    <t>plots/3FT6Y578R01_012_S11P_20251111092011_M5358ACSH101811_RBGEUFRF26/dpll_52094/txpa_54156.png</t>
  </si>
  <si>
    <t>plots/3FT6Y578R01_012_S11P_20251111092011_M5358ACSH101811_RBGEUFRF26/dpll_52094/txpa_54157.png</t>
  </si>
  <si>
    <t>plots/3FT6Y578R01_012_S11P_20251111092011_M5358ACSH101811_RBGEUFRF26/dpll_52094/txpa_54158.png</t>
  </si>
  <si>
    <t>plots/3FT6Y578R01_012_S11P_20251111092011_M5358ACSH101811_RBGEUFRF26/dpll_52094/txpa_54159.png</t>
  </si>
  <si>
    <t>plots/3FT6Y578R01_012_S11P_20251111092011_M5358ACSH101811_RBGEUFRF26/dpll_52094/txpa_54160.png</t>
  </si>
  <si>
    <t>plots/3FT6Y578R01_012_S11P_20251111092011_M5358ACSH101811_RBGEUFRF26/dpll_52094/txpa_54161.png</t>
  </si>
  <si>
    <t>plots/3FT6Y578R01_012_S11P_20251111092011_M5358ACSH101811_RBGEUFRF26/dpll_52094/txpa_54162.png</t>
  </si>
  <si>
    <t>plots/3FT6Y578R01_012_S11P_20251111092011_M5358ACSH101811_RBGEUFRF26/dpll_52094/txpa_54163.png</t>
  </si>
  <si>
    <t>plots/3FT6Y578R01_012_S11P_20251111092011_M5358ACSH101811_RBGEUFRF26/dpll_52094/txpa_54164.png</t>
  </si>
  <si>
    <t>plots/3FT6Y578R01_012_S11P_20251111092011_M5358ACSH101811_RBGEUFRF26/dpll_52094/txpa_54165.png</t>
  </si>
  <si>
    <t>plots/3FT6Y578R01_012_S11P_20251111092011_M5358ACSH101811_RBGEUFRF26/dpll_52094/txpa_54166.png</t>
  </si>
  <si>
    <t>plots/3FT6Y578R01_012_S11P_20251111092011_M5358ACSH101811_RBGEUFRF26/dpll_52094/txpa_54167.png</t>
  </si>
  <si>
    <t>plots/3FT6Y578R01_012_S11P_20251111092011_M5358ACSH101811_RBGEUFRF26/dpll_52094/txpa_54168.png</t>
  </si>
  <si>
    <t>plots/3FT6Y578R01_012_S11P_20251111092011_M5358ACSH101811_RBGEUFRF26/dpll_52094/txpa_54169.png</t>
  </si>
  <si>
    <t>plots/3FT6Y578R01_012_S11P_20251111092011_M5358ACSH101811_RBGEUFRF26/dpll_52094/txpa_54170.png</t>
  </si>
  <si>
    <t>plots/3FT6Y578R01_012_S11P_20251111092011_M5358ACSH101811_RBGEUFRF26/dpll_52094/txpa_54171.png</t>
  </si>
  <si>
    <t>plots/3FT6Y578R01_012_S11P_20251111092011_M5358ACSH101811_RBGEUFRF26/dpll_52094/txpa_54172.png</t>
  </si>
  <si>
    <t>plots/3FT6Y578R01_012_S11P_20251111092011_M5358ACSH101811_RBGEUFRF26/dpll_52094/txpa_54173.png</t>
  </si>
  <si>
    <t>plots/3FT6Y578R01_012_S11P_20251111092011_M5358ACSH101811_RBGEUFRF26/dpll_52094/txpa_54174.png</t>
  </si>
  <si>
    <t>plots/3FT6Y578R01_012_S11P_20251111092011_M5358ACSH101811_RBGEUFRF26/dpll_52094/txpa_54175.png</t>
  </si>
  <si>
    <t>plots/3FT6Y578R01_012_S11P_20251111092011_M5358ACSH101811_RBGEUFRF26/dpll_52094/txpa_54176.png</t>
  </si>
  <si>
    <t>plots/3FT6Y578R01_012_S11P_20251111092011_M5358ACSH101811_RBGEUFRF26/dpll_52094/txpa_54177.png</t>
  </si>
  <si>
    <t>plots/3FT6Y578R01_012_S11P_20251111092011_M5358ACSH101811_RBGEUFRF26/dpll_52094/txpa_54178.png</t>
  </si>
  <si>
    <t>plots/3FT6Y578R01_012_S11P_20251111092011_M5358ACSH101811_RBGEUFRF26/dpll_52094/txpa_54179.png</t>
  </si>
  <si>
    <t>plots/3FT6Y578R01_012_S11P_20251111092011_M5358ACSH101811_RBGEUFRF26/dpll_52094/txpa_54180.png</t>
  </si>
  <si>
    <t>plots/3FT6Y578R01_012_S11P_20251111092011_M5358ACSH101811_RBGEUFRF26/dpll_52094/txpa_54181.png</t>
  </si>
  <si>
    <t>plots/3FT6Y578R01_012_S11P_20251111092011_M5358ACSH101811_RBGEUFRF26/dpll_52094/txpa_54182.png</t>
  </si>
  <si>
    <t>plots/3FT6Y578R01_012_S11P_20251111092011_M5358ACSH101811_RBGEUFRF26/dpll_52094/txpa_54183.png</t>
  </si>
  <si>
    <t>plots/3FT6Y578R01_012_S11P_20251111092011_M5358ACSH101811_RBGEUFRF26/dpll_52094/txpa_54184.png</t>
  </si>
  <si>
    <t>plots/3FT6Y578R01_012_S11P_20251111092011_M5358ACSH101811_RBGEUFRF26/dpll_52094/txpa_54185.png</t>
  </si>
  <si>
    <t>plots/3FT6Y578R01_012_S11P_20251111092011_M5358ACSH101811_RBGEUFRF26/dpll_52094/txpa_54186.png</t>
  </si>
  <si>
    <t>plots/3FT6Y578R01_012_S11P_20251111092011_M5358ACSH101811_RBGEUFRF26/dpll_52094/txpa_54187.png</t>
  </si>
  <si>
    <t>plots/3FT6Y578R01_012_S11P_20251111092011_M5358ACSH101811_RBGEUFRF26/dpll_52094/txpa_54188.png</t>
  </si>
  <si>
    <t>plots/3FT6Y578R01_012_S11P_20251111092011_M5358ACSH101811_RBGEUFRF26/dpll_52094/txpa_54189.png</t>
  </si>
  <si>
    <t>plots/3FT6Y578R01_012_S11P_20251111092011_M5358ACSH101811_RBGEUFRF26/dpll_52094/txpa_54190.png</t>
  </si>
  <si>
    <t>plots/3FT6Y578R01_012_S11P_20251111092011_M5358ACSH101811_RBGEUFRF26/dpll_52094/txpa_54191.png</t>
  </si>
  <si>
    <t>plots/3FT6Y578R01_012_S11P_20251111092011_M5358ACSH101811_RBGEUFRF26/dpll_52094/txpa_54192.png</t>
  </si>
  <si>
    <t>plots/3FT6Y578R01_012_S11P_20251111092011_M5358ACSH101811_RBGEUFRF26/dpll_52094/txpa_54193.png</t>
  </si>
  <si>
    <t>plots/3FT6Y578R01_012_S11P_20251111092011_M5358ACSH101811_RBGEUFRF26/dpll_52094/txpa_54194.png</t>
  </si>
  <si>
    <t>plots/3FT6Y578R01_012_S11P_20251111092011_M5358ACSH101811_RBGEUFRF26/dpll_52094/txpa_54195.png</t>
  </si>
  <si>
    <t>plots/3FT6Y578R01_012_S11P_20251111092011_M5358ACSH101811_RBGEUFRF26/dpll_52094/txpa_54196.png</t>
  </si>
  <si>
    <t>plots/3FT6Y578R01_012_S11P_20251111092011_M5358ACSH101811_RBGEUFRF26/dpll_52094/txpa_54197.png</t>
  </si>
  <si>
    <t>plots/3FT6Y578R01_012_S11P_20251111092011_M5358ACSH101811_RBGEUFRF26/dpll_52094/txpa_54198.png</t>
  </si>
  <si>
    <t>plots/3FT6Y578R01_012_S11P_20251111092011_M5358ACSH101811_RBGEUFRF26/dpll_52094/txpa_54199.png</t>
  </si>
  <si>
    <t>plots/3FT6Y578R01_012_S11P_20251111092011_M5358ACSH101811_RBGEUFRF26/dpll_52094/txpa_54200.png</t>
  </si>
  <si>
    <t>plots/3FT6Y578R01_012_S11P_20251111092011_M5358ACSH101811_RBGEUFRF26/dpll_52094/txpa_54201.png</t>
  </si>
  <si>
    <t>plots/3FT6Y578R01_012_S11P_20251111092011_M5358ACSH101811_RBGEUFRF26/dpll_52094/txpa_54202.png</t>
  </si>
  <si>
    <t>plots/3FT6Y578R01_012_S11P_20251111092011_M5358ACSH101811_RBGEUFRF26/dpll_52094/txpa_54203.png</t>
  </si>
  <si>
    <t>plots/3FT6Y578R01_012_S11P_20251111092011_M5358ACSH101811_RBGEUFRF26/dpll_52094/txpa_54204.png</t>
  </si>
  <si>
    <t>plots/3FT6Y578R01_012_S11P_20251111092011_M5358ACSH101811_RBGEUFRF26/dpll_52094/txpa_54205.png</t>
  </si>
  <si>
    <t>plots/3FT6Y578R01_012_S11P_20251111092011_M5358ACSH101811_RBGEUFRF26/dpll_52094/txpa_54206.png</t>
  </si>
  <si>
    <t>plots/3FT6Y578R01_012_S11P_20251111092011_M5358ACSH101811_RBGEUFRF26/dpll_52094/txpa_54207.png</t>
  </si>
  <si>
    <t>plots/3FT6Y578R01_012_S11P_20251111092011_M5358ACSH101811_RBGEUFRF26/dpll_52094/txpa_54208.png</t>
  </si>
  <si>
    <t>plots/3FT6Y578R01_012_S11P_20251111092011_M5358ACSH101811_RBGEUFRF26/dpll_52094/txpa_54209.png</t>
  </si>
  <si>
    <t>plots/3FT6Y578R01_012_S11P_20251111092011_M5358ACSH101811_RBGEUFRF26/dpll_52094/txpa_54210.png</t>
  </si>
  <si>
    <t>plots/3FT6Y578R01_012_S11P_20251111092011_M5358ACSH101811_RBGEUFRF26/dpll_52094/txpa_54211.png</t>
  </si>
  <si>
    <t>plots/3FT6Y578R01_012_S11P_20251111092011_M5358ACSH101811_RBGEUFRF26/dpll_52094/txpa_54212.png</t>
  </si>
  <si>
    <t>plots/3FT6Y578R01_012_S11P_20251111092011_M5358ACSH101811_RBGEUFRF26/dpll_52094/txpa_54213.png</t>
  </si>
  <si>
    <t>plots/3FT6Y578R01_012_S11P_20251111092011_M5358ACSH101811_RBGEUFRF26/dpll_52094/txpa_54214.png</t>
  </si>
  <si>
    <t>plots/3FT6Y578R01_012_S11P_20251111092011_M5358ACSH101811_RBGEUFRF26/dpll_52094/txpa_54215.png</t>
  </si>
  <si>
    <t>plots/3FT6Y578R01_012_S11P_20251111092011_M5358ACSH101811_RBGEUFRF26/dpll_52094/txpa_54216.png</t>
  </si>
  <si>
    <t>plots/3FT6Y578R01_012_S11P_20251111092011_M5358ACSH101811_RBGEUFRF26/dpll_52094/txpa_54217.png</t>
  </si>
  <si>
    <t>plots/3FT6Y578R01_012_S11P_20251111092011_M5358ACSH101811_RBGEUFRF26/dpll_52094/txpa_54218.png</t>
  </si>
  <si>
    <t>plots/3FT6Y578R01_012_S11P_20251111092011_M5358ACSH101811_RBGEUFRF26/dpll_52094/txpa_54219.png</t>
  </si>
  <si>
    <t>plots/3FT6Y578R01_012_S11P_20251111092011_M5358ACSH101811_RBGEUFRF26/dpll_52094/txpa_54220.png</t>
  </si>
  <si>
    <t>plots/3FT6Y578R01_012_S11P_20251111092011_M5358ACSH101811_RBGEUFRF26/dpll_52094/txpa_54221.png</t>
  </si>
  <si>
    <t>plots/3FT6Y578R01_012_S11P_20251111092011_M5358ACSH101811_RBGEUFRF26/dpll_52094/txpa_54222.png</t>
  </si>
  <si>
    <t>plots/3FT6Y578R01_012_S11P_20251111092011_M5358ACSH101811_RBGEUFRF26/dpll_52094/txpa_54223.png</t>
  </si>
  <si>
    <t>plots/3FT6Y578R01_012_S11P_20251111092011_M5358ACSH101811_RBGEUFRF26/dpll_52094/txpa_54224.png</t>
  </si>
  <si>
    <t>plots/3FT6Y578R01_012_S11P_20251111092011_M5358ACSH101811_RBGEUFRF26/dpll_52094/txpa_54225.png</t>
  </si>
  <si>
    <t>plots/3FT6Y578R01_012_S11P_20251111092011_M5358ACSH101811_RBGEUFRF26/dpll_52094/txpa_54226.png</t>
  </si>
  <si>
    <t>plots/3FT6Y578R01_012_S11P_20251111092011_M5358ACSH101811_RBGEUFRF26/dpll_52094/txpa_54227.png</t>
  </si>
  <si>
    <t>plots/3FT6Y578R01_012_S11P_20251111092011_M5358ACSH101811_RBGEUFRF26/dpll_52094/txpa_54228.png</t>
  </si>
  <si>
    <t>plots/3FT6Y578R01_012_S11P_20251111092011_M5358ACSH101811_RBGEUFRF26/dpll_52094/txpa_54229.png</t>
  </si>
  <si>
    <t>plots/3FT6Y578R01_012_S11P_20251111092011_M5358ACSH101811_RBGEUFRF26/dpll_52094/txpa_54230.png</t>
  </si>
  <si>
    <t>plots/3FT6Y578R01_012_S11P_20251111092011_M5358ACSH101811_RBGEUFRF26/dpll_52094/txpa_54231.png</t>
  </si>
  <si>
    <t>plots/3FT6Y578R01_012_S11P_20251111092011_M5358ACSH101811_RBGEUFRF26/dpll_52094/txpa_54232.png</t>
  </si>
  <si>
    <t>plots/3FT6Y578R01_012_S11P_20251111092011_M5358ACSH101811_RBGEUFRF26/dpll_52094/txpa_54233.png</t>
  </si>
  <si>
    <t>plots/3FT6Y578R01_012_S11P_20251111092011_M5358ACSH101811_RBGEUFRF26/dpll_52094/txpa_54234.png</t>
  </si>
  <si>
    <t>plots/3FT6Y578R01_012_S11P_20251111092011_M5358ACSH101811_RBGEUFRF26/dpll_52094/txpa_54235.png</t>
  </si>
  <si>
    <t>plots/3FT6Y578R01_012_S11P_20251111092011_M5358ACSH101811_RBGEUFRF26/dpll_52094/txpa_54236.png</t>
  </si>
  <si>
    <t>plots/3FT6Y578R01_012_S11P_20251111092011_M5358ACSH101811_RBGEUFRF26/dpll_52094/txpa_54237.png</t>
  </si>
  <si>
    <t>plots/3FT6Y578R01_012_S11P_20251111092011_M5358ACSH101811_RBGEUFRF26/dpll_52094/txpa_54238.png</t>
  </si>
  <si>
    <t>plots/3FT6Y578R01_012_S11P_20251111092011_M5358ACSH101811_RBGEUFRF26/dpll_52094/txpa_54239.png</t>
  </si>
  <si>
    <t>plots/3FT6Y578R01_012_S11P_20251111092011_M5358ACSH101811_RBGEUFRF26/dpll_52094/txpa_54240.png</t>
  </si>
  <si>
    <t>plots/3FT6Y578R01_012_S11P_20251111092011_M5358ACSH101811_RBGEUFRF26/dpll_52094/txpa_54241.png</t>
  </si>
  <si>
    <t>plots/3FT6Y578R01_012_S11P_20251111092011_M5358ACSH101811_RBGEUFRF26/dpll_52094/txpa_54242.png</t>
  </si>
  <si>
    <t>plots/3FT6Y578R01_012_S11P_20251111092011_M5358ACSH101811_RBGEUFRF26/dpll_52094/txpa_54243.png</t>
  </si>
  <si>
    <t>plots/3FT6Y578R01_012_S11P_20251111092011_M5358ACSH101811_RBGEUFRF26/dpll_52094/txpa_54244.png</t>
  </si>
  <si>
    <t>plots/3FT6Y578R01_012_S11P_20251111092011_M5358ACSH101811_RBGEUFRF26/dpll_52094/txpa_54245.png</t>
  </si>
  <si>
    <t>plots/3FT6Y578R01_012_S11P_20251111092011_M5358ACSH101811_RBGEUFRF26/dpll_52094/txpa_54246.png</t>
  </si>
  <si>
    <t>plots/3FT6Y578R01_012_S11P_20251111092011_M5358ACSH101811_RBGEUFRF26/dpll_52094/txpa_54247.png</t>
  </si>
  <si>
    <t>plots/3FT6Y578R01_012_S11P_20251111092011_M5358ACSH101811_RBGEUFRF26/dpll_52094/txpa_54248.png</t>
  </si>
  <si>
    <t>plots/3FT6Y578R01_012_S11P_20251111092011_M5358ACSH101811_RBGEUFRF26/dpll_52094/txpa_54249.png</t>
  </si>
  <si>
    <t>plots/3FT6Y578R01_012_S11P_20251111092011_M5358ACSH101811_RBGEUFRF26/dpll_52094/txpa_54250.png</t>
  </si>
  <si>
    <t>plots/3FT6Y578R01_012_S11P_20251111092011_M5358ACSH101811_RBGEUFRF26/dpll_52094/txpa_54251.png</t>
  </si>
  <si>
    <t>plots/3FT6Y578R01_012_S11P_20251111092011_M5358ACSH101811_RBGEUFRF26/dpll_52094/txpa_54252.png</t>
  </si>
  <si>
    <t>plots/3FT6Y578R01_012_S11P_20251111092011_M5358ACSH101811_RBGEUFRF26/dpll_52094/txpa_54253.png</t>
  </si>
  <si>
    <t>plots/3FT6Y578R01_012_S11P_20251111092011_M5358ACSH101811_RBGEUFRF26/dpll_52094/txpa_54254.png</t>
  </si>
  <si>
    <t>plots/3FT6Y578R01_012_S11P_20251111092011_M5358ACSH101811_RBGEUFRF26/dpll_52094/txpa_54255.png</t>
  </si>
  <si>
    <t>plots/3FT6Y578R01_012_S11P_20251111092011_M5358ACSH101811_RBGEUFRF26/dpll_52094/txpa_54256.png</t>
  </si>
  <si>
    <t>plots/3FT6Y578R01_012_S11P_20251111092011_M5358ACSH101811_RBGEUFRF26/dpll_52094/txpa_54257.png</t>
  </si>
  <si>
    <t>plots/3FT6Y578R01_012_S11P_20251111092011_M5358ACSH101811_RBGEUFRF26/dpll_52094/txpa_54258.png</t>
  </si>
  <si>
    <t>plots/3FT6Y578R01_012_S11P_20251111092011_M5358ACSH101811_RBGEUFRF26/dpll_52094/txpa_55146.png</t>
  </si>
  <si>
    <t>plots/3FT6Y578R01_012_S11P_20251111092011_M5358ACSH101811_RBGEUFRF26/dpll_52094/txpa_55147.png</t>
  </si>
  <si>
    <t>plots/3FT6Y578R01_012_S11P_20251111092011_M5358ACSH101811_RBGEUFRF26/dpll_52094/txpa_55148.png</t>
  </si>
  <si>
    <t>plots/3FT6Y578R01_012_S11P_20251111092011_M5358ACSH101811_RBGEUFRF26/dpll_52094/txpa_55149.png</t>
  </si>
  <si>
    <t>plots/3FT6Y578R01_012_S11P_20251111092011_M5358ACSH101811_RBGEUFRF26/dpll_52094/txpa_55150.png</t>
  </si>
  <si>
    <t>plots/3FT6Y578R01_012_S11P_20251111092011_M5358ACSH101811_RBGEUFRF26/dpll_52094/txpa_55151.png</t>
  </si>
  <si>
    <t>plots/3FT6Y578R01_012_S11P_20251111092011_M5358ACSH101811_RBGEUFRF26/dpll_52094/txpa_55152.png</t>
  </si>
  <si>
    <t>plots/3FT6Y578R01_012_S11P_20251111092011_M5358ACSH101811_RBGEUFRF26/dpll_52094/txpa_55153.png</t>
  </si>
  <si>
    <t>plots/3FT6Y578R01_012_S11P_20251111092011_M5358ACSH101811_RBGEUFRF26/dpll_52094/txpa_55154.png</t>
  </si>
  <si>
    <t>plots/3FT6Y578R01_012_S11P_20251111092011_M5358ACSH101811_RBGEUFRF26/dpll_52094/txpa_55155.png</t>
  </si>
  <si>
    <t>plots/3FT6Y578R01_012_S11P_20251111092011_M5358ACSH101811_RBGEUFRF26/dpll_52094/txpa_55156.png</t>
  </si>
  <si>
    <t>plots/3FT6Y578R01_012_S11P_20251111092011_M5358ACSH101811_RBGEUFRF26/dpll_52094/txpa_55157.png</t>
  </si>
  <si>
    <t>plots/3FT6Y578R01_012_S11P_20251111092011_M5358ACSH101811_RBGEUFRF26/dpll_52094/txpa_55158.png</t>
  </si>
  <si>
    <t>plots/3FT6Y578R01_012_S11P_20251111092011_M5358ACSH101811_RBGEUFRF26/dpll_52094/txpa_55159.png</t>
  </si>
  <si>
    <t>plots/3FT6Y578R01_012_S11P_20251111092011_M5358ACSH101811_RBGEUFRF26/dpll_52094/txpa_55160.png</t>
  </si>
  <si>
    <t>plots/3FT6Y578R01_012_S11P_20251111092011_M5358ACSH101811_RBGEUFRF26/dpll_52094/txpa_55161.png</t>
  </si>
  <si>
    <t>plots/3FT6Y578R01_012_S11P_20251111092011_M5358ACSH101811_RBGEUFRF26/dpll_52094/txpa_55162.png</t>
  </si>
  <si>
    <t>plots/3FT6Y578R01_012_S11P_20251111092011_M5358ACSH101811_RBGEUFRF26/dpll_52094/txpa_55163.png</t>
  </si>
  <si>
    <t>plots/3FT6Y578R01_012_S11P_20251111092011_M5358ACSH101811_RBGEUFRF26/dpll_52094/txpa_55164.png</t>
  </si>
  <si>
    <t>plots/3FT6Y578R01_012_S11P_20251111092011_M5358ACSH101811_RBGEUFRF26/dpll_52094/txpa_55165.png</t>
  </si>
  <si>
    <t>plots/3FT6Y578R01_012_S11P_20251111092011_M5358ACSH101811_RBGEUFRF26/dpll_52094/txpa_55166.png</t>
  </si>
  <si>
    <t>plots/3FT6Y578R01_012_S11P_20251111092011_M5358ACSH101811_RBGEUFRF26/dpll_52094/txpa_55167.png</t>
  </si>
  <si>
    <t>plots/3FT6Y578R01_012_S11P_20251111092011_M5358ACSH101811_RBGEUFRF26/dpll_52094/txpa_55168.png</t>
  </si>
  <si>
    <t>plots/3FT6Y578R01_012_S11P_20251111092011_M5358ACSH101811_RBGEUFRF26/dpll_52094/txpa_55169.png</t>
  </si>
  <si>
    <t>plots/3FT6Y578R01_012_S11P_20251111092011_M5358ACSH101811_RBGEUFRF26/dpll_52094/txpa_55170.png</t>
  </si>
  <si>
    <t>plots/3FT6Y578R01_012_S11P_20251111092011_M5358ACSH101811_RBGEUFRF26/dpll_52094/txpa_55171.png</t>
  </si>
  <si>
    <t>plots/3FT6Y578R01_012_S11P_20251111092011_M5358ACSH101811_RBGEUFRF26/dpll_52094/txpa_55172.png</t>
  </si>
  <si>
    <t>plots/3FT6Y578R01_012_S11P_20251111092011_M5358ACSH101811_RBGEUFRF26/dpll_52094/txpa_55173.png</t>
  </si>
  <si>
    <t>plots/3FT6Y578R01_012_S11P_20251111092011_M5358ACSH101811_RBGEUFRF26/dpll_52094/txpa_55174.png</t>
  </si>
  <si>
    <t>plots/3FT6Y578R01_012_S11P_20251111092011_M5358ACSH101811_RBGEUFRF26/dpll_52094/txpa_55175.png</t>
  </si>
  <si>
    <t>plots/3FT6Y578R01_012_S11P_20251111092011_M5358ACSH101811_RBGEUFRF26/dpll_52094/txpa_55176.png</t>
  </si>
  <si>
    <t>plots/3FT6Y578R01_012_S11P_20251111092011_M5358ACSH101811_RBGEUFRF26/dpll_52094/txpa_55177.png</t>
  </si>
  <si>
    <t>plots/3FT6Y578R01_012_S11P_20251111092011_M5358ACSH101811_RBGEUFRF26/dpll_52094/txpa_55178.png</t>
  </si>
  <si>
    <t>plots/3FT6Y578R01_012_S11P_20251111092011_M5358ACSH101811_RBGEUFRF26/dpll_52094/txpa_55179.png</t>
  </si>
  <si>
    <t>plots/3FT6Y578R01_012_S11P_20251111092011_M5358ACSH101811_RBGEUFRF26/dpll_52094/txpa_55180.png</t>
  </si>
  <si>
    <t>plots/3FT6Y578R01_012_S11P_20251111092011_M5358ACSH101811_RBGEUFRF26/dpll_52094/txpa_55181.png</t>
  </si>
  <si>
    <t>plots/3FT6Y578R01_012_S11P_20251111092011_M5358ACSH101811_RBGEUFRF26/dpll_52094/txpa_55182.png</t>
  </si>
  <si>
    <t>plots/3FT6Y578R01_012_S11P_20251111092011_M5358ACSH101811_RBGEUFRF26/dpll_52094/txpa_55183.png</t>
  </si>
  <si>
    <t>plots/3FT6Y578R01_012_S11P_20251111092011_M5358ACSH101811_RBGEUFRF26/dpll_52094/txpa_55184.png</t>
  </si>
  <si>
    <t>plots/3FT6Y578R01_012_S11P_20251111092011_M5358ACSH101811_RBGEUFRF26/dpll_52094/txpa_55185.png</t>
  </si>
  <si>
    <t>plots/3FT6Y578R01_012_S11P_20251111092011_M5358ACSH101811_RBGEUFRF26/dpll_52094/txpa_55186.png</t>
  </si>
  <si>
    <t>plots/3FT6Y578R01_012_S11P_20251111092011_M5358ACSH101811_RBGEUFRF26/dpll_52094/txpa_55187.png</t>
  </si>
  <si>
    <t>plots/3FT6Y578R01_012_S11P_20251111092011_M5358ACSH101811_RBGEUFRF26/dpll_52094/txpa_55188.png</t>
  </si>
  <si>
    <t>plots/3FT6Y578R01_012_S11P_20251111092011_M5358ACSH101811_RBGEUFRF26/dpll_52094/txpa_55189.png</t>
  </si>
  <si>
    <t>plots/3FT6Y578R01_012_S11P_20251111092011_M5358ACSH101811_RBGEUFRF26/dpll_52094/txpa_55190.png</t>
  </si>
  <si>
    <t>plots/3FT6Y578R01_012_S11P_20251111092011_M5358ACSH101811_RBGEUFRF26/dpll_52094/txpa_55191.png</t>
  </si>
  <si>
    <t>plots/3FT6Y578R01_012_S11P_20251111092011_M5358ACSH101811_RBGEUFRF26/dpll_52094/txpa_55192.png</t>
  </si>
  <si>
    <t>plots/3FT6Y578R01_012_S11P_20251111092011_M5358ACSH101811_RBGEUFRF26/dpll_52094/txpa_55193.png</t>
  </si>
  <si>
    <t>plots/3FT6Y578R01_012_S11P_20251111092011_M5358ACSH101811_RBGEUFRF26/dpll_52094/txpa_55194.png</t>
  </si>
  <si>
    <t>plots/3FT6Y578R01_012_S11P_20251111092011_M5358ACSH101811_RBGEUFRF26/dpll_52094/txpa_55195.png</t>
  </si>
  <si>
    <t>plots/3FT6Y578R01_012_S11P_20251111092011_M5358ACSH101811_RBGEUFRF26/dpll_52094/txpa_55196.png</t>
  </si>
  <si>
    <t>plots/3FT6Y578R01_012_S11P_20251111092011_M5358ACSH101811_RBGEUFRF26/dpll_52094/txpa_55197.png</t>
  </si>
  <si>
    <t>plots/3FT6Y578R01_012_S11P_20251111092011_M5358ACSH101811_RBGEUFRF26/dpll_52094/txpa_55198.png</t>
  </si>
  <si>
    <t>plots/3FT6Y578R01_012_S11P_20251111092011_M5358ACSH101811_RBGEUFRF26/dpll_52094/txpa_55199.png</t>
  </si>
  <si>
    <t>plots/3FT6Y578R01_012_S11P_20251111092011_M5358ACSH101811_RBGEUFRF26/dpll_52094/txpa_55200.png</t>
  </si>
  <si>
    <t>plots/3FT6Y578R01_012_S11P_20251111092011_M5358ACSH101811_RBGEUFRF26/dpll_52094/txpa_55201.png</t>
  </si>
  <si>
    <t>plots/3FT6Y578R01_012_S11P_20251111092011_M5358ACSH101811_RBGEUFRF26/dpll_52094/txpa_55202.png</t>
  </si>
  <si>
    <t>plots/3FT6Y578R01_012_S11P_20251111092011_M5358ACSH101811_RBGEUFRF26/dpll_52094/txpa_55203.png</t>
  </si>
  <si>
    <t>plots/3FT6Y578R01_012_S11P_20251111092011_M5358ACSH101811_RBGEUFRF26/dpll_52094/txpa_55204.png</t>
  </si>
  <si>
    <t>plots/3FT6Y578R01_012_S11P_20251111092011_M5358ACSH101811_RBGEUFRF26/dpll_52094/txpa_55205.png</t>
  </si>
  <si>
    <t>plots/3FT6Y578R01_012_S11P_20251111092011_M5358ACSH101811_RBGEUFRF26/dpll_52094/txpa_55206.png</t>
  </si>
  <si>
    <t>plots/3FT6Y578R01_012_S11P_20251111092011_M5358ACSH101811_RBGEUFRF26/dpll_52094/txpa_55207.png</t>
  </si>
  <si>
    <t>plots/3FT6Y578R01_012_S11P_20251111092011_M5358ACSH101811_RBGEUFRF26/dpll_52094/txpa_55208.png</t>
  </si>
  <si>
    <t>plots/3FT6Y578R01_012_S11P_20251111092011_M5358ACSH101811_RBGEUFRF26/dpll_52094/txpa_55209.png</t>
  </si>
  <si>
    <t>plots/3FT6Y578R01_012_S11P_20251111092011_M5358ACSH101811_RBGEUFRF26/dpll_52094/txpa_55210.png</t>
  </si>
  <si>
    <t>plots/3FT6Y578R01_012_S11P_20251111092011_M5358ACSH101811_RBGEUFRF26/dpll_52094/txpa_55211.png</t>
  </si>
  <si>
    <t>plots/3FT6Y578R01_012_S11P_20251111092011_M5358ACSH101811_RBGEUFRF26/dpll_52094/txpa_55212.png</t>
  </si>
  <si>
    <t>plots/3FT6Y578R01_012_S11P_20251111092011_M5358ACSH101811_RBGEUFRF26/dpll_52094/txpa_55213.png</t>
  </si>
  <si>
    <t>plots/3FT6Y578R01_012_S11P_20251111092011_M5358ACSH101811_RBGEUFRF26/dpll_52094/txpa_55214.png</t>
  </si>
  <si>
    <t>plots/3FT6Y578R01_012_S11P_20251111092011_M5358ACSH101811_RBGEUFRF26/dpll_52094/txpa_55215.png</t>
  </si>
  <si>
    <t>plots/3FT6Y578R01_012_S11P_20251111092011_M5358ACSH101811_RBGEUFRF26/dpll_52094/txpa_55216.png</t>
  </si>
  <si>
    <t>plots/3FT6Y578R01_012_S11P_20251111092011_M5358ACSH101811_RBGEUFRF26/dpll_52094/txpa_55217.png</t>
  </si>
  <si>
    <t>plots/3FT6Y578R01_012_S11P_20251111092011_M5358ACSH101811_RBGEUFRF26/dpll_52094/txpa_55218.png</t>
  </si>
  <si>
    <t>plots/3FT6Y578R01_012_S11P_20251111092011_M5358ACSH101811_RBGEUFRF26/dpll_52094/txpa_55219.png</t>
  </si>
  <si>
    <t>plots/3FT6Y578R01_012_S11P_20251111092011_M5358ACSH101811_RBGEUFRF26/dpll_52094/txpa_55220.png</t>
  </si>
  <si>
    <t>plots/3FT6Y578R01_012_S11P_20251111092011_M5358ACSH101811_RBGEUFRF26/dpll_52094/txpa_55221.png</t>
  </si>
  <si>
    <t>plots/3FT6Y578R01_012_S11P_20251111092011_M5358ACSH101811_RBGEUFRF26/dpll_52094/txpa_55222.png</t>
  </si>
  <si>
    <t>plots/3FT6Y578R01_012_S11P_20251111092011_M5358ACSH101811_RBGEUFRF26/dpll_52094/txpa_55223.png</t>
  </si>
  <si>
    <t>plots/3FT6Y578R01_012_S11P_20251111092011_M5358ACSH101811_RBGEUFRF26/dpll_52094/txpa_55224.png</t>
  </si>
  <si>
    <t>plots/3FT6Y578R01_012_S11P_20251111092011_M5358ACSH101811_RBGEUFRF26/dpll_52094/txpa_55225.png</t>
  </si>
  <si>
    <t>plots/3FT6Y578R01_012_S11P_20251111092011_M5358ACSH101811_RBGEUFRF26/dpll_52094/txpa_55226.png</t>
  </si>
  <si>
    <t>plots/3FT6Y578R01_012_S11P_20251111092011_M5358ACSH101811_RBGEUFRF26/dpll_52094/txpa_55227.png</t>
  </si>
  <si>
    <t>plots/3FT6Y578R01_012_S11P_20251111092011_M5358ACSH101811_RBGEUFRF26/dpll_52094/txpa_55228.png</t>
  </si>
  <si>
    <t>plots/3FT6Y578R01_012_S11P_20251111092011_M5358ACSH101811_RBGEUFRF26/dpll_52094/txpa_55229.png</t>
  </si>
  <si>
    <t>plots/3FT6Y578R01_012_S11P_20251111092011_M5358ACSH101811_RBGEUFRF26/dpll_52094/txpa_55230.png</t>
  </si>
  <si>
    <t>plots/3FT6Y578R01_012_S11P_20251111092011_M5358ACSH101811_RBGEUFRF26/dpll_52094/txpa_55231.png</t>
  </si>
  <si>
    <t>plots/3FT6Y578R01_012_S11P_20251111092011_M5358ACSH101811_RBGEUFRF26/dpll_52094/txpa_55232.png</t>
  </si>
  <si>
    <t>plots/3FT6Y578R01_012_S11P_20251111092011_M5358ACSH101811_RBGEUFRF26/dpll_52094/txpa_55233.png</t>
  </si>
  <si>
    <t>plots/3FT6Y578R01_012_S11P_20251111092011_M5358ACSH101811_RBGEUFRF26/dpll_52094/txpa_55234.png</t>
  </si>
  <si>
    <t>plots/3FT6Y578R01_012_S11P_20251111092011_M5358ACSH101811_RBGEUFRF26/dpll_52094/txpa_55235.png</t>
  </si>
  <si>
    <t>plots/3FT6Y578R01_012_S11P_20251111092011_M5358ACSH101811_RBGEUFRF26/dpll_52094/txpa_55236.png</t>
  </si>
  <si>
    <t>plots/3FT6Y578R01_012_S11P_20251111092011_M5358ACSH101811_RBGEUFRF26/dpll_52094/txpa_55237.png</t>
  </si>
  <si>
    <t>plots/3FT6Y578R01_012_S11P_20251111092011_M5358ACSH101811_RBGEUFRF26/dpll_52094/txpa_55238.png</t>
  </si>
  <si>
    <t>plots/3FT6Y578R01_012_S11P_20251111092011_M5358ACSH101811_RBGEUFRF26/dpll_52094/txpa_55239.png</t>
  </si>
  <si>
    <t>plots/3FT6Y578R01_012_S11P_20251111092011_M5358ACSH101811_RBGEUFRF26/dpll_52094/txpa_55240.png</t>
  </si>
  <si>
    <t>plots/3FT6Y578R01_012_S11P_20251111092011_M5358ACSH101811_RBGEUFRF26/dpll_52094/txpa_55241.png</t>
  </si>
  <si>
    <t>plots/3FT6Y578R01_012_S11P_20251111092011_M5358ACSH101811_RBGEUFRF26/dpll_52094/txpa_55242.png</t>
  </si>
  <si>
    <t>plots/3FT6Y578R01_012_S11P_20251111092011_M5358ACSH101811_RBGEUFRF26/dpll_52094/txpa_55243.png</t>
  </si>
  <si>
    <t>plots/3FT6Y578R01_012_S11P_20251111092011_M5358ACSH101811_RBGEUFRF26/dpll_52094/txpa_55244.png</t>
  </si>
  <si>
    <t>plots/3FT6Y578R01_012_S11P_20251111092011_M5358ACSH101811_RBGEUFRF26/dpll_52094/txpa_55245.png</t>
  </si>
  <si>
    <t>plots/3FT6Y578R01_012_S11P_20251111092011_M5358ACSH101811_RBGEUFRF26/dpll_52094/txpa_55246.png</t>
  </si>
  <si>
    <t>plots/3FT6Y578R01_012_S11P_20251111092011_M5358ACSH101811_RBGEUFRF26/dpll_52094/txpa_55247.png</t>
  </si>
  <si>
    <t>plots/3FT6Y578R01_012_S11P_20251111092011_M5358ACSH101811_RBGEUFRF26/dpll_52094/txpa_55248.png</t>
  </si>
  <si>
    <t>plots/3FT6Y578R01_012_S11P_20251111092011_M5358ACSH101811_RBGEUFRF26/dpll_52094/txpa_55249.png</t>
  </si>
  <si>
    <t>plots/3FT6Y578R01_012_S11P_20251111092011_M5358ACSH101811_RBGEUFRF26/dpll_52094/txpa_55250.png</t>
  </si>
  <si>
    <t>plots/3FT6Y578R01_012_S11P_20251111092011_M5358ACSH101811_RBGEUFRF26/dpll_52094/txpa_55251.png</t>
  </si>
  <si>
    <t>plots/3FT6Y578R01_012_S11P_20251111092011_M5358ACSH101811_RBGEUFRF26/dpll_52094/txpa_55252.png</t>
  </si>
  <si>
    <t>plots/3FT6Y578R01_012_S11P_20251111092011_M5358ACSH101811_RBGEUFRF26/dpll_52094/txpa_55253.png</t>
  </si>
  <si>
    <t>plots/3FT6Y578R01_012_S11P_20251111092011_M5358ACSH101811_RBGEUFRF26/dpll_52094/txpa_55254.png</t>
  </si>
  <si>
    <t>plots/3FT6Y578R01_012_S11P_20251111092011_M5358ACSH101811_RBGEUFRF26/dpll_52094/txpa_55255.png</t>
  </si>
  <si>
    <t>plots/3FT6Y578R01_012_S11P_20251111092011_M5358ACSH101811_RBGEUFRF26/dpll_52094/txpa_55256.png</t>
  </si>
  <si>
    <t>plots/3FT6Y578R01_012_S11P_20251111092011_M5358ACSH101811_RBGEUFRF26/dpll_52094/txpa_55257.png</t>
  </si>
  <si>
    <t>plots/3FT6Y578R01_012_S11P_20251111092011_M5358ACSH101811_RBGEUFRF26/dpll_52094/txpa_55258.png</t>
  </si>
  <si>
    <t>plots/3FT6Y578R04_015_S21P_20251218081014_M5358ACSC201811_RBGEUFRF04/dpll_52046/txpa_53179.png</t>
  </si>
  <si>
    <t>plots/3FT6Y578R04_015_S21P_20251218081014_M5358ACSC201811_RBGEUFRF04/dpll_52046/txpa_53180.png</t>
  </si>
  <si>
    <t>plots/3FT6Y578R04_015_S21P_20251218081014_M5358ACSC201811_RBGEUFRF04/dpll_52046/txpa_53181.png</t>
  </si>
  <si>
    <t>plots/3FT6Y578R04_015_S21P_20251218081014_M5358ACSC201811_RBGEUFRF04/dpll_52046/txpa_53182.png</t>
  </si>
  <si>
    <t>plots/3FT6Y578R04_015_S21P_20251218081014_M5358ACSC201811_RBGEUFRF04/dpll_52046/txpa_53183.png</t>
  </si>
  <si>
    <t>plots/3FT6Y578R04_015_S21P_20251218081014_M5358ACSC201811_RBGEUFRF04/dpll_52046/txpa_53184.png</t>
  </si>
  <si>
    <t>plots/3FT6Y578R04_015_S21P_20251218081014_M5358ACSC201811_RBGEUFRF04/dpll_52046/txpa_53185.png</t>
  </si>
  <si>
    <t>plots/3FT6Y578R04_015_S21P_20251218081014_M5358ACSC201811_RBGEUFRF04/dpll_52046/txpa_53186.png</t>
  </si>
  <si>
    <t>plots/3FT6Y578R04_015_S21P_20251218081014_M5358ACSC201811_RBGEUFRF04/dpll_52046/txpa_53187.png</t>
  </si>
  <si>
    <t>plots/3FT6Y578R04_015_S21P_20251218081014_M5358ACSC201811_RBGEUFRF04/dpll_52046/txpa_53188.png</t>
  </si>
  <si>
    <t>plots/3FT6Y578R04_015_S21P_20251218081014_M5358ACSC201811_RBGEUFRF04/dpll_52046/txpa_53189.png</t>
  </si>
  <si>
    <t>plots/3FT6Y578R04_015_S21P_20251218081014_M5358ACSC201811_RBGEUFRF04/dpll_52046/txpa_53190.png</t>
  </si>
  <si>
    <t>plots/3FT6Y578R04_015_S21P_20251218081014_M5358ACSC201811_RBGEUFRF04/dpll_52046/txpa_53191.png</t>
  </si>
  <si>
    <t>plots/3FT6Y578R04_015_S21P_20251218081014_M5358ACSC201811_RBGEUFRF04/dpll_52046/txpa_53192.png</t>
  </si>
  <si>
    <t>plots/3FT6Y578R04_015_S21P_20251218081014_M5358ACSC201811_RBGEUFRF04/dpll_52046/txpa_53193.png</t>
  </si>
  <si>
    <t>plots/3FT6Y578R04_015_S21P_20251218081014_M5358ACSC201811_RBGEUFRF04/dpll_52046/txpa_53194.png</t>
  </si>
  <si>
    <t>plots/3FT6Y578R04_015_S21P_20251218081014_M5358ACSC201811_RBGEUFRF04/dpll_52046/txpa_53195.png</t>
  </si>
  <si>
    <t>plots/3FT6Y578R04_015_S21P_20251218081014_M5358ACSC201811_RBGEUFRF04/dpll_52046/txpa_53196.png</t>
  </si>
  <si>
    <t>plots/3FT6Y578R04_015_S21P_20251218081014_M5358ACSC201811_RBGEUFRF04/dpll_52046/txpa_53197.png</t>
  </si>
  <si>
    <t>plots/3FT6Y578R04_015_S21P_20251218081014_M5358ACSC201811_RBGEUFRF04/dpll_52046/txpa_53198.png</t>
  </si>
  <si>
    <t>plots/3FT6Y578R04_015_S21P_20251218081014_M5358ACSC201811_RBGEUFRF04/dpll_52046/txpa_53199.png</t>
  </si>
  <si>
    <t>plots/3FT6Y578R04_015_S21P_20251218081014_M5358ACSC201811_RBGEUFRF04/dpll_52046/txpa_53200.png</t>
  </si>
  <si>
    <t>plots/3FT6Y578R04_015_S21P_20251218081014_M5358ACSC201811_RBGEUFRF04/dpll_52046/txpa_53201.png</t>
  </si>
  <si>
    <t>plots/3FT6Y578R04_015_S21P_20251218081014_M5358ACSC201811_RBGEUFRF04/dpll_52046/txpa_53202.png</t>
  </si>
  <si>
    <t>plots/3FT6Y578R04_015_S21P_20251218081014_M5358ACSC201811_RBGEUFRF04/dpll_52046/txpa_53203.png</t>
  </si>
  <si>
    <t>plots/3FT6Y578R04_015_S21P_20251218081014_M5358ACSC201811_RBGEUFRF04/dpll_52046/txpa_53204.png</t>
  </si>
  <si>
    <t>plots/3FT6Y578R04_015_S21P_20251218081014_M5358ACSC201811_RBGEUFRF04/dpll_52046/txpa_53205.png</t>
  </si>
  <si>
    <t>plots/3FT6Y578R04_015_S21P_20251218081014_M5358ACSC201811_RBGEUFRF04/dpll_52046/txpa_53206.png</t>
  </si>
  <si>
    <t>plots/3FT6Y578R04_015_S21P_20251218081014_M5358ACSC201811_RBGEUFRF04/dpll_52046/txpa_53207.png</t>
  </si>
  <si>
    <t>plots/3FT6Y578R04_015_S21P_20251218081014_M5358ACSC201811_RBGEUFRF04/dpll_52046/txpa_53208.png</t>
  </si>
  <si>
    <t>plots/3FT6Y578R04_015_S21P_20251218081014_M5358ACSC201811_RBGEUFRF04/dpll_52046/txpa_53209.png</t>
  </si>
  <si>
    <t>plots/3FT6Y578R04_015_S21P_20251218081014_M5358ACSC201811_RBGEUFRF04/dpll_52046/txpa_53210.png</t>
  </si>
  <si>
    <t>plots/3FT6Y578R04_015_S21P_20251218081014_M5358ACSC201811_RBGEUFRF04/dpll_52046/txpa_53211.png</t>
  </si>
  <si>
    <t>plots/3FT6Y578R04_015_S21P_20251218081014_M5358ACSC201811_RBGEUFRF04/dpll_52046/txpa_53212.png</t>
  </si>
  <si>
    <t>plots/3FT6Y578R04_015_S21P_20251218081014_M5358ACSC201811_RBGEUFRF04/dpll_52046/txpa_53213.png</t>
  </si>
  <si>
    <t>plots/3FT6Y578R04_015_S21P_20251218081014_M5358ACSC201811_RBGEUFRF04/dpll_52046/txpa_53214.png</t>
  </si>
  <si>
    <t>plots/3FT6Y578R04_015_S21P_20251218081014_M5358ACSC201811_RBGEUFRF04/dpll_52046/txpa_53215.png</t>
  </si>
  <si>
    <t>plots/3FT6Y578R04_015_S21P_20251218081014_M5358ACSC201811_RBGEUFRF04/dpll_52046/txpa_53216.png</t>
  </si>
  <si>
    <t>plots/3FT6Y578R04_015_S21P_20251218081014_M5358ACSC201811_RBGEUFRF04/dpll_52046/txpa_53217.png</t>
  </si>
  <si>
    <t>plots/3FT6Y578R04_015_S21P_20251218081014_M5358ACSC201811_RBGEUFRF04/dpll_52046/txpa_53218.png</t>
  </si>
  <si>
    <t>plots/3FT6Y578R04_015_S21P_20251218081014_M5358ACSC201811_RBGEUFRF04/dpll_52046/txpa_53219.png</t>
  </si>
  <si>
    <t>plots/3FT6Y578R04_015_S21P_20251218081014_M5358ACSC201811_RBGEUFRF04/dpll_52046/txpa_53220.png</t>
  </si>
  <si>
    <t>plots/3FT6Y578R04_015_S21P_20251218081014_M5358ACSC201811_RBGEUFRF04/dpll_52046/txpa_53221.png</t>
  </si>
  <si>
    <t>plots/3FT6Y578R04_015_S21P_20251218081014_M5358ACSC201811_RBGEUFRF04/dpll_52046/txpa_53222.png</t>
  </si>
  <si>
    <t>plots/3FT6Y578R04_015_S21P_20251218081014_M5358ACSC201811_RBGEUFRF04/dpll_52046/txpa_53223.png</t>
  </si>
  <si>
    <t>plots/3FT6Y578R04_015_S21P_20251218081014_M5358ACSC201811_RBGEUFRF04/dpll_52046/txpa_53224.png</t>
  </si>
  <si>
    <t>plots/3FT6Y578R04_015_S21P_20251218081014_M5358ACSC201811_RBGEUFRF04/dpll_52046/txpa_53225.png</t>
  </si>
  <si>
    <t>plots/3FT6Y578R04_015_S21P_20251218081014_M5358ACSC201811_RBGEUFRF04/dpll_52046/txpa_53226.png</t>
  </si>
  <si>
    <t>plots/3FT6Y578R04_015_S21P_20251218081014_M5358ACSC201811_RBGEUFRF04/dpll_52046/txpa_53227.png</t>
  </si>
  <si>
    <t>plots/3FT6Y578R04_015_S21P_20251218081014_M5358ACSC201811_RBGEUFRF04/dpll_52046/txpa_53228.png</t>
  </si>
  <si>
    <t>plots/3FT6Y578R04_015_S21P_20251218081014_M5358ACSC201811_RBGEUFRF04/dpll_52046/txpa_53229.png</t>
  </si>
  <si>
    <t>plots/3FT6Y578R04_015_S21P_20251218081014_M5358ACSC201811_RBGEUFRF04/dpll_52046/txpa_53230.png</t>
  </si>
  <si>
    <t>plots/3FT6Y578R04_015_S21P_20251218081014_M5358ACSC201811_RBGEUFRF04/dpll_52046/txpa_53231.png</t>
  </si>
  <si>
    <t>plots/3FT6Y578R04_015_S21P_20251218081014_M5358ACSC201811_RBGEUFRF04/dpll_52046/txpa_53232.png</t>
  </si>
  <si>
    <t>plots/3FT6Y578R04_015_S21P_20251218081014_M5358ACSC201811_RBGEUFRF04/dpll_52046/txpa_53233.png</t>
  </si>
  <si>
    <t>plots/3FT6Y578R04_015_S21P_20251218081014_M5358ACSC201811_RBGEUFRF04/dpll_52046/txpa_53234.png</t>
  </si>
  <si>
    <t>plots/3FT6Y578R04_015_S21P_20251218081014_M5358ACSC201811_RBGEUFRF04/dpll_52046/txpa_53235.png</t>
  </si>
  <si>
    <t>plots/3FT6Y578R04_015_S21P_20251218081014_M5358ACSC201811_RBGEUFRF04/dpll_52046/txpa_53236.png</t>
  </si>
  <si>
    <t>plots/3FT6Y578R04_015_S21P_20251218081014_M5358ACSC201811_RBGEUFRF04/dpll_52046/txpa_53237.png</t>
  </si>
  <si>
    <t>plots/3FT6Y578R04_015_S21P_20251218081014_M5358ACSC201811_RBGEUFRF04/dpll_52046/txpa_53238.png</t>
  </si>
  <si>
    <t>plots/3FT6Y578R04_015_S21P_20251218081014_M5358ACSC201811_RBGEUFRF04/dpll_52046/txpa_53239.png</t>
  </si>
  <si>
    <t>plots/3FT6Y578R04_015_S21P_20251218081014_M5358ACSC201811_RBGEUFRF04/dpll_52046/txpa_53240.png</t>
  </si>
  <si>
    <t>plots/3FT6Y578R04_015_S21P_20251218081014_M5358ACSC201811_RBGEUFRF04/dpll_52046/txpa_53241.png</t>
  </si>
  <si>
    <t>plots/3FT6Y578R04_015_S21P_20251218081014_M5358ACSC201811_RBGEUFRF04/dpll_52046/txpa_53242.png</t>
  </si>
  <si>
    <t>plots/3FT6Y578R04_015_S21P_20251218081014_M5358ACSC201811_RBGEUFRF04/dpll_52046/txpa_53243.png</t>
  </si>
  <si>
    <t>plots/3FT6Y578R04_015_S21P_20251218081014_M5358ACSC201811_RBGEUFRF04/dpll_52046/txpa_53244.png</t>
  </si>
  <si>
    <t>plots/3FT6Y578R04_015_S21P_20251218081014_M5358ACSC201811_RBGEUFRF04/dpll_52046/txpa_53245.png</t>
  </si>
  <si>
    <t>plots/3FT6Y578R04_015_S21P_20251218081014_M5358ACSC201811_RBGEUFRF04/dpll_52046/txpa_53246.png</t>
  </si>
  <si>
    <t>plots/3FT6Y578R04_015_S21P_20251218081014_M5358ACSC201811_RBGEUFRF04/dpll_52046/txpa_53247.png</t>
  </si>
  <si>
    <t>plots/3FT6Y578R04_015_S21P_20251218081014_M5358ACSC201811_RBGEUFRF04/dpll_52046/txpa_53248.png</t>
  </si>
  <si>
    <t>plots/3FT6Y578R04_015_S21P_20251218081014_M5358ACSC201811_RBGEUFRF04/dpll_52046/txpa_53249.png</t>
  </si>
  <si>
    <t>plots/3FT6Y578R04_015_S21P_20251218081014_M5358ACSC201811_RBGEUFRF04/dpll_52046/txpa_53250.png</t>
  </si>
  <si>
    <t>plots/3FT6Y578R04_015_S21P_20251218081014_M5358ACSC201811_RBGEUFRF04/dpll_52046/txpa_53251.png</t>
  </si>
  <si>
    <t>plots/3FT6Y578R04_015_S21P_20251218081014_M5358ACSC201811_RBGEUFRF04/dpll_52046/txpa_53252.png</t>
  </si>
  <si>
    <t>plots/3FT6Y578R04_015_S21P_20251218081014_M5358ACSC201811_RBGEUFRF04/dpll_52046/txpa_53253.png</t>
  </si>
  <si>
    <t>plots/3FT6Y578R04_015_S21P_20251218081014_M5358ACSC201811_RBGEUFRF04/dpll_52046/txpa_53254.png</t>
  </si>
  <si>
    <t>plots/3FT6Y578R04_015_S21P_20251218081014_M5358ACSC201811_RBGEUFRF04/dpll_52046/txpa_53255.png</t>
  </si>
  <si>
    <t>plots/3FT6Y578R04_015_S21P_20251218081014_M5358ACSC201811_RBGEUFRF04/dpll_52046/txpa_53256.png</t>
  </si>
  <si>
    <t>plots/3FT6Y578R04_015_S21P_20251218081014_M5358ACSC201811_RBGEUFRF04/dpll_52046/txpa_53257.png</t>
  </si>
  <si>
    <t>plots/3FT6Y578R04_015_S21P_20251218081014_M5358ACSC201811_RBGEUFRF04/dpll_52046/txpa_53258.png</t>
  </si>
  <si>
    <t>plots/3FT6Y578R04_015_S21P_20251218081014_M5358ACSC201811_RBGEUFRF04/dpll_52046/txpa_53259.png</t>
  </si>
  <si>
    <t>plots/3FT6Y578R04_015_S21P_20251218081014_M5358ACSC201811_RBGEUFRF04/dpll_52046/txpa_53260.png</t>
  </si>
  <si>
    <t>plots/3FT6Y578R04_015_S21P_20251218081014_M5358ACSC201811_RBGEUFRF04/dpll_52046/txpa_53261.png</t>
  </si>
  <si>
    <t>plots/3FT6Y578R04_015_S21P_20251218081014_M5358ACSC201811_RBGEUFRF04/dpll_52046/txpa_53262.png</t>
  </si>
  <si>
    <t>plots/3FT6Y578R04_015_S21P_20251218081014_M5358ACSC201811_RBGEUFRF04/dpll_52046/txpa_53263.png</t>
  </si>
  <si>
    <t>plots/3FT6Y578R04_015_S21P_20251218081014_M5358ACSC201811_RBGEUFRF04/dpll_52046/txpa_53264.png</t>
  </si>
  <si>
    <t>plots/3FT6Y578R04_015_S21P_20251218081014_M5358ACSC201811_RBGEUFRF04/dpll_52046/txpa_53265.png</t>
  </si>
  <si>
    <t>plots/3FT6Y578R04_015_S21P_20251218081014_M5358ACSC201811_RBGEUFRF04/dpll_52046/txpa_53266.png</t>
  </si>
  <si>
    <t>plots/3FT6Y578R04_015_S21P_20251218081014_M5358ACSC201811_RBGEUFRF04/dpll_52046/txpa_53267.png</t>
  </si>
  <si>
    <t>plots/3FT6Y578R04_015_S21P_20251218081014_M5358ACSC201811_RBGEUFRF04/dpll_52046/txpa_53268.png</t>
  </si>
  <si>
    <t>plots/3FT6Y578R04_015_S21P_20251218081014_M5358ACSC201811_RBGEUFRF04/dpll_52046/txpa_53269.png</t>
  </si>
  <si>
    <t>plots/3FT6Y578R04_015_S21P_20251218081014_M5358ACSC201811_RBGEUFRF04/dpll_52046/txpa_53270.png</t>
  </si>
  <si>
    <t>plots/3FT6Y578R04_015_S21P_20251218081014_M5358ACSC201811_RBGEUFRF04/dpll_52046/txpa_53271.png</t>
  </si>
  <si>
    <t>plots/3FT6Y578R04_015_S21P_20251218081014_M5358ACSC201811_RBGEUFRF04/dpll_52046/txpa_53272.png</t>
  </si>
  <si>
    <t>plots/3FT6Y578R04_015_S21P_20251218081014_M5358ACSC201811_RBGEUFRF04/dpll_52046/txpa_53273.png</t>
  </si>
  <si>
    <t>plots/3FT6Y578R04_015_S21P_20251218081014_M5358ACSC201811_RBGEUFRF04/dpll_52046/txpa_53274.png</t>
  </si>
  <si>
    <t>plots/3FT6Y578R04_015_S21P_20251218081014_M5358ACSC201811_RBGEUFRF04/dpll_52046/txpa_53275.png</t>
  </si>
  <si>
    <t>plots/3FT6Y578R04_015_S21P_20251218081014_M5358ACSC201811_RBGEUFRF04/dpll_52046/txpa_53276.png</t>
  </si>
  <si>
    <t>plots/3FT6Y578R04_015_S21P_20251218081014_M5358ACSC201811_RBGEUFRF04/dpll_52046/txpa_53277.png</t>
  </si>
  <si>
    <t>plots/3FT6Y578R04_015_S21P_20251218081014_M5358ACSC201811_RBGEUFRF04/dpll_52046/txpa_53278.png</t>
  </si>
  <si>
    <t>plots/3FT6Y578R04_015_S21P_20251218081014_M5358ACSC201811_RBGEUFRF04/dpll_52046/txpa_53279.png</t>
  </si>
  <si>
    <t>plots/3FT6Y578R04_015_S21P_20251218081014_M5358ACSC201811_RBGEUFRF04/dpll_52046/txpa_53280.png</t>
  </si>
  <si>
    <t>plots/3FT6Y578R04_015_S21P_20251218081014_M5358ACSC201811_RBGEUFRF04/dpll_52046/txpa_53281.png</t>
  </si>
  <si>
    <t>plots/3FT6Y578R04_015_S21P_20251218081014_M5358ACSC201811_RBGEUFRF04/dpll_52046/txpa_53282.png</t>
  </si>
  <si>
    <t>plots/3FT6Y578R04_015_S21P_20251218081014_M5358ACSC201811_RBGEUFRF04/dpll_52046/txpa_53283.png</t>
  </si>
  <si>
    <t>plots/3FT6Y578R04_015_S21P_20251218081014_M5358ACSC201811_RBGEUFRF04/dpll_52046/txpa_53284.png</t>
  </si>
  <si>
    <t>plots/3FT6Y578R04_015_S21P_20251218081014_M5358ACSC201811_RBGEUFRF04/dpll_52046/txpa_53285.png</t>
  </si>
  <si>
    <t>plots/3FT6Y578R04_015_S21P_20251218081014_M5358ACSC201811_RBGEUFRF04/dpll_52046/txpa_53286.png</t>
  </si>
  <si>
    <t>plots/3FT6Y578R04_015_S21P_20251218081014_M5358ACSC201811_RBGEUFRF04/dpll_52046/txpa_53287.png</t>
  </si>
  <si>
    <t>plots/3FT6Y578R04_015_S21P_20251218081014_M5358ACSC201811_RBGEUFRF04/dpll_52046/txpa_53288.png</t>
  </si>
  <si>
    <t>plots/3FT6Y578R04_015_S21P_20251218081014_M5358ACSC201811_RBGEUFRF04/dpll_52046/txpa_53289.png</t>
  </si>
  <si>
    <t>plots/3FT6Y578R04_015_S21P_20251218081014_M5358ACSC201811_RBGEUFRF04/dpll_52046/txpa_53290.png</t>
  </si>
  <si>
    <t>plots/3FT6Y578R04_015_S21P_20251218081014_M5358ACSC201811_RBGEUFRF04/dpll_52046/txpa_54146.png</t>
  </si>
  <si>
    <t>plots/3FT6Y578R04_015_S21P_20251218081014_M5358ACSC201811_RBGEUFRF04/dpll_52046/txpa_54147.png</t>
  </si>
  <si>
    <t>plots/3FT6Y578R04_015_S21P_20251218081014_M5358ACSC201811_RBGEUFRF04/dpll_52046/txpa_54148.png</t>
  </si>
  <si>
    <t>plots/3FT6Y578R04_015_S21P_20251218081014_M5358ACSC201811_RBGEUFRF04/dpll_52046/txpa_54149.png</t>
  </si>
  <si>
    <t>plots/3FT6Y578R04_015_S21P_20251218081014_M5358ACSC201811_RBGEUFRF04/dpll_52046/txpa_54150.png</t>
  </si>
  <si>
    <t>plots/3FT6Y578R04_015_S21P_20251218081014_M5358ACSC201811_RBGEUFRF04/dpll_52046/txpa_54151.png</t>
  </si>
  <si>
    <t>plots/3FT6Y578R04_015_S21P_20251218081014_M5358ACSC201811_RBGEUFRF04/dpll_52046/txpa_54152.png</t>
  </si>
  <si>
    <t>plots/3FT6Y578R04_015_S21P_20251218081014_M5358ACSC201811_RBGEUFRF04/dpll_52046/txpa_54153.png</t>
  </si>
  <si>
    <t>plots/3FT6Y578R04_015_S21P_20251218081014_M5358ACSC201811_RBGEUFRF04/dpll_52046/txpa_54154.png</t>
  </si>
  <si>
    <t>plots/3FT6Y578R04_015_S21P_20251218081014_M5358ACSC201811_RBGEUFRF04/dpll_52046/txpa_54155.png</t>
  </si>
  <si>
    <t>plots/3FT6Y578R04_015_S21P_20251218081014_M5358ACSC201811_RBGEUFRF04/dpll_52046/txpa_54156.png</t>
  </si>
  <si>
    <t>plots/3FT6Y578R04_015_S21P_20251218081014_M5358ACSC201811_RBGEUFRF04/dpll_52046/txpa_54157.png</t>
  </si>
  <si>
    <t>plots/3FT6Y578R04_015_S21P_20251218081014_M5358ACSC201811_RBGEUFRF04/dpll_52046/txpa_54158.png</t>
  </si>
  <si>
    <t>plots/3FT6Y578R04_015_S21P_20251218081014_M5358ACSC201811_RBGEUFRF04/dpll_52046/txpa_54159.png</t>
  </si>
  <si>
    <t>plots/3FT6Y578R04_015_S21P_20251218081014_M5358ACSC201811_RBGEUFRF04/dpll_52046/txpa_54160.png</t>
  </si>
  <si>
    <t>plots/3FT6Y578R04_015_S21P_20251218081014_M5358ACSC201811_RBGEUFRF04/dpll_52046/txpa_54161.png</t>
  </si>
  <si>
    <t>plots/3FT6Y578R04_015_S21P_20251218081014_M5358ACSC201811_RBGEUFRF04/dpll_52046/txpa_54162.png</t>
  </si>
  <si>
    <t>plots/3FT6Y578R04_015_S21P_20251218081014_M5358ACSC201811_RBGEUFRF04/dpll_52046/txpa_54163.png</t>
  </si>
  <si>
    <t>plots/3FT6Y578R04_015_S21P_20251218081014_M5358ACSC201811_RBGEUFRF04/dpll_52046/txpa_54164.png</t>
  </si>
  <si>
    <t>plots/3FT6Y578R04_015_S21P_20251218081014_M5358ACSC201811_RBGEUFRF04/dpll_52046/txpa_54165.png</t>
  </si>
  <si>
    <t>plots/3FT6Y578R04_015_S21P_20251218081014_M5358ACSC201811_RBGEUFRF04/dpll_52046/txpa_54166.png</t>
  </si>
  <si>
    <t>plots/3FT6Y578R04_015_S21P_20251218081014_M5358ACSC201811_RBGEUFRF04/dpll_52046/txpa_54167.png</t>
  </si>
  <si>
    <t>plots/3FT6Y578R04_015_S21P_20251218081014_M5358ACSC201811_RBGEUFRF04/dpll_52046/txpa_54168.png</t>
  </si>
  <si>
    <t>plots/3FT6Y578R04_015_S21P_20251218081014_M5358ACSC201811_RBGEUFRF04/dpll_52046/txpa_54169.png</t>
  </si>
  <si>
    <t>plots/3FT6Y578R04_015_S21P_20251218081014_M5358ACSC201811_RBGEUFRF04/dpll_52046/txpa_54170.png</t>
  </si>
  <si>
    <t>plots/3FT6Y578R04_015_S21P_20251218081014_M5358ACSC201811_RBGEUFRF04/dpll_52046/txpa_54171.png</t>
  </si>
  <si>
    <t>plots/3FT6Y578R04_015_S21P_20251218081014_M5358ACSC201811_RBGEUFRF04/dpll_52046/txpa_54172.png</t>
  </si>
  <si>
    <t>plots/3FT6Y578R04_015_S21P_20251218081014_M5358ACSC201811_RBGEUFRF04/dpll_52046/txpa_54173.png</t>
  </si>
  <si>
    <t>plots/3FT6Y578R04_015_S21P_20251218081014_M5358ACSC201811_RBGEUFRF04/dpll_52046/txpa_54174.png</t>
  </si>
  <si>
    <t>plots/3FT6Y578R04_015_S21P_20251218081014_M5358ACSC201811_RBGEUFRF04/dpll_52046/txpa_54175.png</t>
  </si>
  <si>
    <t>plots/3FT6Y578R04_015_S21P_20251218081014_M5358ACSC201811_RBGEUFRF04/dpll_52046/txpa_54176.png</t>
  </si>
  <si>
    <t>plots/3FT6Y578R04_015_S21P_20251218081014_M5358ACSC201811_RBGEUFRF04/dpll_52046/txpa_54177.png</t>
  </si>
  <si>
    <t>plots/3FT6Y578R04_015_S21P_20251218081014_M5358ACSC201811_RBGEUFRF04/dpll_52046/txpa_54178.png</t>
  </si>
  <si>
    <t>plots/3FT6Y578R04_015_S21P_20251218081014_M5358ACSC201811_RBGEUFRF04/dpll_52046/txpa_54179.png</t>
  </si>
  <si>
    <t>plots/3FT6Y578R04_015_S21P_20251218081014_M5358ACSC201811_RBGEUFRF04/dpll_52046/txpa_54180.png</t>
  </si>
  <si>
    <t>plots/3FT6Y578R04_015_S21P_20251218081014_M5358ACSC201811_RBGEUFRF04/dpll_52046/txpa_54181.png</t>
  </si>
  <si>
    <t>plots/3FT6Y578R04_015_S21P_20251218081014_M5358ACSC201811_RBGEUFRF04/dpll_52046/txpa_54182.png</t>
  </si>
  <si>
    <t>plots/3FT6Y578R04_015_S21P_20251218081014_M5358ACSC201811_RBGEUFRF04/dpll_52046/txpa_54183.png</t>
  </si>
  <si>
    <t>plots/3FT6Y578R04_015_S21P_20251218081014_M5358ACSC201811_RBGEUFRF04/dpll_52046/txpa_54184.png</t>
  </si>
  <si>
    <t>plots/3FT6Y578R04_015_S21P_20251218081014_M5358ACSC201811_RBGEUFRF04/dpll_52046/txpa_54185.png</t>
  </si>
  <si>
    <t>plots/3FT6Y578R04_015_S21P_20251218081014_M5358ACSC201811_RBGEUFRF04/dpll_52046/txpa_54186.png</t>
  </si>
  <si>
    <t>plots/3FT6Y578R04_015_S21P_20251218081014_M5358ACSC201811_RBGEUFRF04/dpll_52046/txpa_54187.png</t>
  </si>
  <si>
    <t>plots/3FT6Y578R04_015_S21P_20251218081014_M5358ACSC201811_RBGEUFRF04/dpll_52046/txpa_54188.png</t>
  </si>
  <si>
    <t>plots/3FT6Y578R04_015_S21P_20251218081014_M5358ACSC201811_RBGEUFRF04/dpll_52046/txpa_54189.png</t>
  </si>
  <si>
    <t>plots/3FT6Y578R04_015_S21P_20251218081014_M5358ACSC201811_RBGEUFRF04/dpll_52046/txpa_54190.png</t>
  </si>
  <si>
    <t>plots/3FT6Y578R04_015_S21P_20251218081014_M5358ACSC201811_RBGEUFRF04/dpll_52046/txpa_54191.png</t>
  </si>
  <si>
    <t>plots/3FT6Y578R04_015_S21P_20251218081014_M5358ACSC201811_RBGEUFRF04/dpll_52046/txpa_54192.png</t>
  </si>
  <si>
    <t>plots/3FT6Y578R04_015_S21P_20251218081014_M5358ACSC201811_RBGEUFRF04/dpll_52046/txpa_54193.png</t>
  </si>
  <si>
    <t>plots/3FT6Y578R04_015_S21P_20251218081014_M5358ACSC201811_RBGEUFRF04/dpll_52046/txpa_54194.png</t>
  </si>
  <si>
    <t>plots/3FT6Y578R04_015_S21P_20251218081014_M5358ACSC201811_RBGEUFRF04/dpll_52046/txpa_54195.png</t>
  </si>
  <si>
    <t>plots/3FT6Y578R04_015_S21P_20251218081014_M5358ACSC201811_RBGEUFRF04/dpll_52046/txpa_54196.png</t>
  </si>
  <si>
    <t>plots/3FT6Y578R04_015_S21P_20251218081014_M5358ACSC201811_RBGEUFRF04/dpll_52046/txpa_54197.png</t>
  </si>
  <si>
    <t>plots/3FT6Y578R04_015_S21P_20251218081014_M5358ACSC201811_RBGEUFRF04/dpll_52046/txpa_54198.png</t>
  </si>
  <si>
    <t>plots/3FT6Y578R04_015_S21P_20251218081014_M5358ACSC201811_RBGEUFRF04/dpll_52046/txpa_54199.png</t>
  </si>
  <si>
    <t>plots/3FT6Y578R04_015_S21P_20251218081014_M5358ACSC201811_RBGEUFRF04/dpll_52046/txpa_54200.png</t>
  </si>
  <si>
    <t>plots/3FT6Y578R04_015_S21P_20251218081014_M5358ACSC201811_RBGEUFRF04/dpll_52046/txpa_54201.png</t>
  </si>
  <si>
    <t>plots/3FT6Y578R04_015_S21P_20251218081014_M5358ACSC201811_RBGEUFRF04/dpll_52046/txpa_54202.png</t>
  </si>
  <si>
    <t>plots/3FT6Y578R04_015_S21P_20251218081014_M5358ACSC201811_RBGEUFRF04/dpll_52046/txpa_54203.png</t>
  </si>
  <si>
    <t>plots/3FT6Y578R04_015_S21P_20251218081014_M5358ACSC201811_RBGEUFRF04/dpll_52046/txpa_54204.png</t>
  </si>
  <si>
    <t>plots/3FT6Y578R04_015_S21P_20251218081014_M5358ACSC201811_RBGEUFRF04/dpll_52046/txpa_54205.png</t>
  </si>
  <si>
    <t>plots/3FT6Y578R04_015_S21P_20251218081014_M5358ACSC201811_RBGEUFRF04/dpll_52046/txpa_54206.png</t>
  </si>
  <si>
    <t>plots/3FT6Y578R04_015_S21P_20251218081014_M5358ACSC201811_RBGEUFRF04/dpll_52046/txpa_54207.png</t>
  </si>
  <si>
    <t>plots/3FT6Y578R04_015_S21P_20251218081014_M5358ACSC201811_RBGEUFRF04/dpll_52046/txpa_54208.png</t>
  </si>
  <si>
    <t>plots/3FT6Y578R04_015_S21P_20251218081014_M5358ACSC201811_RBGEUFRF04/dpll_52046/txpa_54209.png</t>
  </si>
  <si>
    <t>plots/3FT6Y578R04_015_S21P_20251218081014_M5358ACSC201811_RBGEUFRF04/dpll_52046/txpa_54210.png</t>
  </si>
  <si>
    <t>plots/3FT6Y578R04_015_S21P_20251218081014_M5358ACSC201811_RBGEUFRF04/dpll_52046/txpa_54211.png</t>
  </si>
  <si>
    <t>plots/3FT6Y578R04_015_S21P_20251218081014_M5358ACSC201811_RBGEUFRF04/dpll_52046/txpa_54212.png</t>
  </si>
  <si>
    <t>plots/3FT6Y578R04_015_S21P_20251218081014_M5358ACSC201811_RBGEUFRF04/dpll_52046/txpa_54213.png</t>
  </si>
  <si>
    <t>plots/3FT6Y578R04_015_S21P_20251218081014_M5358ACSC201811_RBGEUFRF04/dpll_52046/txpa_54214.png</t>
  </si>
  <si>
    <t>plots/3FT6Y578R04_015_S21P_20251218081014_M5358ACSC201811_RBGEUFRF04/dpll_52046/txpa_54215.png</t>
  </si>
  <si>
    <t>plots/3FT6Y578R04_015_S21P_20251218081014_M5358ACSC201811_RBGEUFRF04/dpll_52046/txpa_54216.png</t>
  </si>
  <si>
    <t>plots/3FT6Y578R04_015_S21P_20251218081014_M5358ACSC201811_RBGEUFRF04/dpll_52046/txpa_54217.png</t>
  </si>
  <si>
    <t>plots/3FT6Y578R04_015_S21P_20251218081014_M5358ACSC201811_RBGEUFRF04/dpll_52046/txpa_54218.png</t>
  </si>
  <si>
    <t>plots/3FT6Y578R04_015_S21P_20251218081014_M5358ACSC201811_RBGEUFRF04/dpll_52046/txpa_54219.png</t>
  </si>
  <si>
    <t>plots/3FT6Y578R04_015_S21P_20251218081014_M5358ACSC201811_RBGEUFRF04/dpll_52046/txpa_54220.png</t>
  </si>
  <si>
    <t>plots/3FT6Y578R04_015_S21P_20251218081014_M5358ACSC201811_RBGEUFRF04/dpll_52046/txpa_54221.png</t>
  </si>
  <si>
    <t>plots/3FT6Y578R04_015_S21P_20251218081014_M5358ACSC201811_RBGEUFRF04/dpll_52046/txpa_54222.png</t>
  </si>
  <si>
    <t>plots/3FT6Y578R04_015_S21P_20251218081014_M5358ACSC201811_RBGEUFRF04/dpll_52046/txpa_54223.png</t>
  </si>
  <si>
    <t>plots/3FT6Y578R04_015_S21P_20251218081014_M5358ACSC201811_RBGEUFRF04/dpll_52046/txpa_54224.png</t>
  </si>
  <si>
    <t>plots/3FT6Y578R04_015_S21P_20251218081014_M5358ACSC201811_RBGEUFRF04/dpll_52046/txpa_54225.png</t>
  </si>
  <si>
    <t>plots/3FT6Y578R04_015_S21P_20251218081014_M5358ACSC201811_RBGEUFRF04/dpll_52046/txpa_54226.png</t>
  </si>
  <si>
    <t>plots/3FT6Y578R04_015_S21P_20251218081014_M5358ACSC201811_RBGEUFRF04/dpll_52046/txpa_54227.png</t>
  </si>
  <si>
    <t>plots/3FT6Y578R04_015_S21P_20251218081014_M5358ACSC201811_RBGEUFRF04/dpll_52046/txpa_54228.png</t>
  </si>
  <si>
    <t>plots/3FT6Y578R04_015_S21P_20251218081014_M5358ACSC201811_RBGEUFRF04/dpll_52046/txpa_54229.png</t>
  </si>
  <si>
    <t>plots/3FT6Y578R04_015_S21P_20251218081014_M5358ACSC201811_RBGEUFRF04/dpll_52046/txpa_54230.png</t>
  </si>
  <si>
    <t>plots/3FT6Y578R04_015_S21P_20251218081014_M5358ACSC201811_RBGEUFRF04/dpll_52046/txpa_54231.png</t>
  </si>
  <si>
    <t>plots/3FT6Y578R04_015_S21P_20251218081014_M5358ACSC201811_RBGEUFRF04/dpll_52046/txpa_54232.png</t>
  </si>
  <si>
    <t>plots/3FT6Y578R04_015_S21P_20251218081014_M5358ACSC201811_RBGEUFRF04/dpll_52046/txpa_54233.png</t>
  </si>
  <si>
    <t>plots/3FT6Y578R04_015_S21P_20251218081014_M5358ACSC201811_RBGEUFRF04/dpll_52046/txpa_54234.png</t>
  </si>
  <si>
    <t>plots/3FT6Y578R04_015_S21P_20251218081014_M5358ACSC201811_RBGEUFRF04/dpll_52046/txpa_54235.png</t>
  </si>
  <si>
    <t>plots/3FT6Y578R04_015_S21P_20251218081014_M5358ACSC201811_RBGEUFRF04/dpll_52046/txpa_54236.png</t>
  </si>
  <si>
    <t>plots/3FT6Y578R04_015_S21P_20251218081014_M5358ACSC201811_RBGEUFRF04/dpll_52046/txpa_54237.png</t>
  </si>
  <si>
    <t>plots/3FT6Y578R04_015_S21P_20251218081014_M5358ACSC201811_RBGEUFRF04/dpll_52046/txpa_54238.png</t>
  </si>
  <si>
    <t>plots/3FT6Y578R04_015_S21P_20251218081014_M5358ACSC201811_RBGEUFRF04/dpll_52046/txpa_54239.png</t>
  </si>
  <si>
    <t>plots/3FT6Y578R04_015_S21P_20251218081014_M5358ACSC201811_RBGEUFRF04/dpll_52046/txpa_54240.png</t>
  </si>
  <si>
    <t>plots/3FT6Y578R04_015_S21P_20251218081014_M5358ACSC201811_RBGEUFRF04/dpll_52046/txpa_54241.png</t>
  </si>
  <si>
    <t>plots/3FT6Y578R04_015_S21P_20251218081014_M5358ACSC201811_RBGEUFRF04/dpll_52046/txpa_54242.png</t>
  </si>
  <si>
    <t>plots/3FT6Y578R04_015_S21P_20251218081014_M5358ACSC201811_RBGEUFRF04/dpll_52046/txpa_54243.png</t>
  </si>
  <si>
    <t>plots/3FT6Y578R04_015_S21P_20251218081014_M5358ACSC201811_RBGEUFRF04/dpll_52046/txpa_54244.png</t>
  </si>
  <si>
    <t>plots/3FT6Y578R04_015_S21P_20251218081014_M5358ACSC201811_RBGEUFRF04/dpll_52046/txpa_54245.png</t>
  </si>
  <si>
    <t>plots/3FT6Y578R04_015_S21P_20251218081014_M5358ACSC201811_RBGEUFRF04/dpll_52046/txpa_54246.png</t>
  </si>
  <si>
    <t>plots/3FT6Y578R04_015_S21P_20251218081014_M5358ACSC201811_RBGEUFRF04/dpll_52046/txpa_54247.png</t>
  </si>
  <si>
    <t>plots/3FT6Y578R04_015_S21P_20251218081014_M5358ACSC201811_RBGEUFRF04/dpll_52046/txpa_54248.png</t>
  </si>
  <si>
    <t>plots/3FT6Y578R04_015_S21P_20251218081014_M5358ACSC201811_RBGEUFRF04/dpll_52046/txpa_54249.png</t>
  </si>
  <si>
    <t>plots/3FT6Y578R04_015_S21P_20251218081014_M5358ACSC201811_RBGEUFRF04/dpll_52046/txpa_54250.png</t>
  </si>
  <si>
    <t>plots/3FT6Y578R04_015_S21P_20251218081014_M5358ACSC201811_RBGEUFRF04/dpll_52046/txpa_54251.png</t>
  </si>
  <si>
    <t>plots/3FT6Y578R04_015_S21P_20251218081014_M5358ACSC201811_RBGEUFRF04/dpll_52046/txpa_54252.png</t>
  </si>
  <si>
    <t>plots/3FT6Y578R04_015_S21P_20251218081014_M5358ACSC201811_RBGEUFRF04/dpll_52046/txpa_54253.png</t>
  </si>
  <si>
    <t>plots/3FT6Y578R04_015_S21P_20251218081014_M5358ACSC201811_RBGEUFRF04/dpll_52046/txpa_54254.png</t>
  </si>
  <si>
    <t>plots/3FT6Y578R04_015_S21P_20251218081014_M5358ACSC201811_RBGEUFRF04/dpll_52046/txpa_54255.png</t>
  </si>
  <si>
    <t>plots/3FT6Y578R04_015_S21P_20251218081014_M5358ACSC201811_RBGEUFRF04/dpll_52046/txpa_54256.png</t>
  </si>
  <si>
    <t>plots/3FT6Y578R04_015_S21P_20251218081014_M5358ACSC201811_RBGEUFRF04/dpll_52046/txpa_54257.png</t>
  </si>
  <si>
    <t>plots/3FT6Y578R04_015_S21P_20251218081014_M5358ACSC201811_RBGEUFRF04/dpll_52046/txpa_54258.png</t>
  </si>
  <si>
    <t>plots/3FT6Y578R04_015_S21P_20251218081014_M5358ACSC201811_RBGEUFRF04/dpll_52046/txpa_55146.png</t>
  </si>
  <si>
    <t>plots/3FT6Y578R04_015_S21P_20251218081014_M5358ACSC201811_RBGEUFRF04/dpll_52046/txpa_55147.png</t>
  </si>
  <si>
    <t>plots/3FT6Y578R04_015_S21P_20251218081014_M5358ACSC201811_RBGEUFRF04/dpll_52046/txpa_55148.png</t>
  </si>
  <si>
    <t>plots/3FT6Y578R04_015_S21P_20251218081014_M5358ACSC201811_RBGEUFRF04/dpll_52046/txpa_55149.png</t>
  </si>
  <si>
    <t>plots/3FT6Y578R04_015_S21P_20251218081014_M5358ACSC201811_RBGEUFRF04/dpll_52046/txpa_55150.png</t>
  </si>
  <si>
    <t>plots/3FT6Y578R04_015_S21P_20251218081014_M5358ACSC201811_RBGEUFRF04/dpll_52046/txpa_55151.png</t>
  </si>
  <si>
    <t>plots/3FT6Y578R04_015_S21P_20251218081014_M5358ACSC201811_RBGEUFRF04/dpll_52046/txpa_55152.png</t>
  </si>
  <si>
    <t>plots/3FT6Y578R04_015_S21P_20251218081014_M5358ACSC201811_RBGEUFRF04/dpll_52046/txpa_55153.png</t>
  </si>
  <si>
    <t>plots/3FT6Y578R04_015_S21P_20251218081014_M5358ACSC201811_RBGEUFRF04/dpll_52046/txpa_55154.png</t>
  </si>
  <si>
    <t>plots/3FT6Y578R04_015_S21P_20251218081014_M5358ACSC201811_RBGEUFRF04/dpll_52046/txpa_55155.png</t>
  </si>
  <si>
    <t>plots/3FT6Y578R04_015_S21P_20251218081014_M5358ACSC201811_RBGEUFRF04/dpll_52046/txpa_55156.png</t>
  </si>
  <si>
    <t>plots/3FT6Y578R04_015_S21P_20251218081014_M5358ACSC201811_RBGEUFRF04/dpll_52046/txpa_55157.png</t>
  </si>
  <si>
    <t>plots/3FT6Y578R04_015_S21P_20251218081014_M5358ACSC201811_RBGEUFRF04/dpll_52046/txpa_55158.png</t>
  </si>
  <si>
    <t>plots/3FT6Y578R04_015_S21P_20251218081014_M5358ACSC201811_RBGEUFRF04/dpll_52046/txpa_55159.png</t>
  </si>
  <si>
    <t>plots/3FT6Y578R04_015_S21P_20251218081014_M5358ACSC201811_RBGEUFRF04/dpll_52046/txpa_55160.png</t>
  </si>
  <si>
    <t>plots/3FT6Y578R04_015_S21P_20251218081014_M5358ACSC201811_RBGEUFRF04/dpll_52046/txpa_55161.png</t>
  </si>
  <si>
    <t>plots/3FT6Y578R04_015_S21P_20251218081014_M5358ACSC201811_RBGEUFRF04/dpll_52046/txpa_55162.png</t>
  </si>
  <si>
    <t>plots/3FT6Y578R04_015_S21P_20251218081014_M5358ACSC201811_RBGEUFRF04/dpll_52046/txpa_55163.png</t>
  </si>
  <si>
    <t>plots/3FT6Y578R04_015_S21P_20251218081014_M5358ACSC201811_RBGEUFRF04/dpll_52046/txpa_55164.png</t>
  </si>
  <si>
    <t>plots/3FT6Y578R04_015_S21P_20251218081014_M5358ACSC201811_RBGEUFRF04/dpll_52046/txpa_55165.png</t>
  </si>
  <si>
    <t>plots/3FT6Y578R04_015_S21P_20251218081014_M5358ACSC201811_RBGEUFRF04/dpll_52046/txpa_55166.png</t>
  </si>
  <si>
    <t>plots/3FT6Y578R04_015_S21P_20251218081014_M5358ACSC201811_RBGEUFRF04/dpll_52046/txpa_55167.png</t>
  </si>
  <si>
    <t>plots/3FT6Y578R04_015_S21P_20251218081014_M5358ACSC201811_RBGEUFRF04/dpll_52046/txpa_55168.png</t>
  </si>
  <si>
    <t>plots/3FT6Y578R04_015_S21P_20251218081014_M5358ACSC201811_RBGEUFRF04/dpll_52046/txpa_55169.png</t>
  </si>
  <si>
    <t>plots/3FT6Y578R04_015_S21P_20251218081014_M5358ACSC201811_RBGEUFRF04/dpll_52046/txpa_55170.png</t>
  </si>
  <si>
    <t>plots/3FT6Y578R04_015_S21P_20251218081014_M5358ACSC201811_RBGEUFRF04/dpll_52046/txpa_55171.png</t>
  </si>
  <si>
    <t>plots/3FT6Y578R04_015_S21P_20251218081014_M5358ACSC201811_RBGEUFRF04/dpll_52046/txpa_55172.png</t>
  </si>
  <si>
    <t>plots/3FT6Y578R04_015_S21P_20251218081014_M5358ACSC201811_RBGEUFRF04/dpll_52046/txpa_55173.png</t>
  </si>
  <si>
    <t>plots/3FT6Y578R04_015_S21P_20251218081014_M5358ACSC201811_RBGEUFRF04/dpll_52046/txpa_55174.png</t>
  </si>
  <si>
    <t>plots/3FT6Y578R04_015_S21P_20251218081014_M5358ACSC201811_RBGEUFRF04/dpll_52046/txpa_55175.png</t>
  </si>
  <si>
    <t>plots/3FT6Y578R04_015_S21P_20251218081014_M5358ACSC201811_RBGEUFRF04/dpll_52046/txpa_55176.png</t>
  </si>
  <si>
    <t>plots/3FT6Y578R04_015_S21P_20251218081014_M5358ACSC201811_RBGEUFRF04/dpll_52046/txpa_55177.png</t>
  </si>
  <si>
    <t>plots/3FT6Y578R04_015_S21P_20251218081014_M5358ACSC201811_RBGEUFRF04/dpll_52046/txpa_55178.png</t>
  </si>
  <si>
    <t>plots/3FT6Y578R04_015_S21P_20251218081014_M5358ACSC201811_RBGEUFRF04/dpll_52046/txpa_55179.png</t>
  </si>
  <si>
    <t>plots/3FT6Y578R04_015_S21P_20251218081014_M5358ACSC201811_RBGEUFRF04/dpll_52046/txpa_55180.png</t>
  </si>
  <si>
    <t>plots/3FT6Y578R04_015_S21P_20251218081014_M5358ACSC201811_RBGEUFRF04/dpll_52046/txpa_55181.png</t>
  </si>
  <si>
    <t>plots/3FT6Y578R04_015_S21P_20251218081014_M5358ACSC201811_RBGEUFRF04/dpll_52046/txpa_55182.png</t>
  </si>
  <si>
    <t>plots/3FT6Y578R04_015_S21P_20251218081014_M5358ACSC201811_RBGEUFRF04/dpll_52046/txpa_55183.png</t>
  </si>
  <si>
    <t>plots/3FT6Y578R04_015_S21P_20251218081014_M5358ACSC201811_RBGEUFRF04/dpll_52046/txpa_55184.png</t>
  </si>
  <si>
    <t>plots/3FT6Y578R04_015_S21P_20251218081014_M5358ACSC201811_RBGEUFRF04/dpll_52046/txpa_55185.png</t>
  </si>
  <si>
    <t>plots/3FT6Y578R04_015_S21P_20251218081014_M5358ACSC201811_RBGEUFRF04/dpll_52046/txpa_55186.png</t>
  </si>
  <si>
    <t>plots/3FT6Y578R04_015_S21P_20251218081014_M5358ACSC201811_RBGEUFRF04/dpll_52046/txpa_55187.png</t>
  </si>
  <si>
    <t>plots/3FT6Y578R04_015_S21P_20251218081014_M5358ACSC201811_RBGEUFRF04/dpll_52046/txpa_55188.png</t>
  </si>
  <si>
    <t>plots/3FT6Y578R04_015_S21P_20251218081014_M5358ACSC201811_RBGEUFRF04/dpll_52046/txpa_55189.png</t>
  </si>
  <si>
    <t>plots/3FT6Y578R04_015_S21P_20251218081014_M5358ACSC201811_RBGEUFRF04/dpll_52046/txpa_55190.png</t>
  </si>
  <si>
    <t>plots/3FT6Y578R04_015_S21P_20251218081014_M5358ACSC201811_RBGEUFRF04/dpll_52046/txpa_55191.png</t>
  </si>
  <si>
    <t>plots/3FT6Y578R04_015_S21P_20251218081014_M5358ACSC201811_RBGEUFRF04/dpll_52046/txpa_55192.png</t>
  </si>
  <si>
    <t>plots/3FT6Y578R04_015_S21P_20251218081014_M5358ACSC201811_RBGEUFRF04/dpll_52046/txpa_55193.png</t>
  </si>
  <si>
    <t>plots/3FT6Y578R04_015_S21P_20251218081014_M5358ACSC201811_RBGEUFRF04/dpll_52046/txpa_55194.png</t>
  </si>
  <si>
    <t>plots/3FT6Y578R04_015_S21P_20251218081014_M5358ACSC201811_RBGEUFRF04/dpll_52046/txpa_55195.png</t>
  </si>
  <si>
    <t>plots/3FT6Y578R04_015_S21P_20251218081014_M5358ACSC201811_RBGEUFRF04/dpll_52046/txpa_55196.png</t>
  </si>
  <si>
    <t>plots/3FT6Y578R04_015_S21P_20251218081014_M5358ACSC201811_RBGEUFRF04/dpll_52046/txpa_55197.png</t>
  </si>
  <si>
    <t>plots/3FT6Y578R04_015_S21P_20251218081014_M5358ACSC201811_RBGEUFRF04/dpll_52046/txpa_55198.png</t>
  </si>
  <si>
    <t>plots/3FT6Y578R04_015_S21P_20251218081014_M5358ACSC201811_RBGEUFRF04/dpll_52046/txpa_55199.png</t>
  </si>
  <si>
    <t>plots/3FT6Y578R04_015_S21P_20251218081014_M5358ACSC201811_RBGEUFRF04/dpll_52046/txpa_55200.png</t>
  </si>
  <si>
    <t>plots/3FT6Y578R04_015_S21P_20251218081014_M5358ACSC201811_RBGEUFRF04/dpll_52046/txpa_55201.png</t>
  </si>
  <si>
    <t>plots/3FT6Y578R04_015_S21P_20251218081014_M5358ACSC201811_RBGEUFRF04/dpll_52046/txpa_55202.png</t>
  </si>
  <si>
    <t>plots/3FT6Y578R04_015_S21P_20251218081014_M5358ACSC201811_RBGEUFRF04/dpll_52046/txpa_55203.png</t>
  </si>
  <si>
    <t>plots/3FT6Y578R04_015_S21P_20251218081014_M5358ACSC201811_RBGEUFRF04/dpll_52046/txpa_55204.png</t>
  </si>
  <si>
    <t>plots/3FT6Y578R04_015_S21P_20251218081014_M5358ACSC201811_RBGEUFRF04/dpll_52046/txpa_55205.png</t>
  </si>
  <si>
    <t>plots/3FT6Y578R04_015_S21P_20251218081014_M5358ACSC201811_RBGEUFRF04/dpll_52046/txpa_55206.png</t>
  </si>
  <si>
    <t>plots/3FT6Y578R04_015_S21P_20251218081014_M5358ACSC201811_RBGEUFRF04/dpll_52046/txpa_55207.png</t>
  </si>
  <si>
    <t>plots/3FT6Y578R04_015_S21P_20251218081014_M5358ACSC201811_RBGEUFRF04/dpll_52046/txpa_55208.png</t>
  </si>
  <si>
    <t>plots/3FT6Y578R04_015_S21P_20251218081014_M5358ACSC201811_RBGEUFRF04/dpll_52046/txpa_55209.png</t>
  </si>
  <si>
    <t>plots/3FT6Y578R04_015_S21P_20251218081014_M5358ACSC201811_RBGEUFRF04/dpll_52046/txpa_55210.png</t>
  </si>
  <si>
    <t>plots/3FT6Y578R04_015_S21P_20251218081014_M5358ACSC201811_RBGEUFRF04/dpll_52046/txpa_55211.png</t>
  </si>
  <si>
    <t>plots/3FT6Y578R04_015_S21P_20251218081014_M5358ACSC201811_RBGEUFRF04/dpll_52046/txpa_55212.png</t>
  </si>
  <si>
    <t>plots/3FT6Y578R04_015_S21P_20251218081014_M5358ACSC201811_RBGEUFRF04/dpll_52046/txpa_55213.png</t>
  </si>
  <si>
    <t>plots/3FT6Y578R04_015_S21P_20251218081014_M5358ACSC201811_RBGEUFRF04/dpll_52046/txpa_55214.png</t>
  </si>
  <si>
    <t>plots/3FT6Y578R04_015_S21P_20251218081014_M5358ACSC201811_RBGEUFRF04/dpll_52046/txpa_55215.png</t>
  </si>
  <si>
    <t>plots/3FT6Y578R04_015_S21P_20251218081014_M5358ACSC201811_RBGEUFRF04/dpll_52046/txpa_55216.png</t>
  </si>
  <si>
    <t>plots/3FT6Y578R04_015_S21P_20251218081014_M5358ACSC201811_RBGEUFRF04/dpll_52046/txpa_55217.png</t>
  </si>
  <si>
    <t>plots/3FT6Y578R04_015_S21P_20251218081014_M5358ACSC201811_RBGEUFRF04/dpll_52046/txpa_55218.png</t>
  </si>
  <si>
    <t>plots/3FT6Y578R04_015_S21P_20251218081014_M5358ACSC201811_RBGEUFRF04/dpll_52046/txpa_55219.png</t>
  </si>
  <si>
    <t>plots/3FT6Y578R04_015_S21P_20251218081014_M5358ACSC201811_RBGEUFRF04/dpll_52046/txpa_55220.png</t>
  </si>
  <si>
    <t>plots/3FT6Y578R04_015_S21P_20251218081014_M5358ACSC201811_RBGEUFRF04/dpll_52046/txpa_55221.png</t>
  </si>
  <si>
    <t>plots/3FT6Y578R04_015_S21P_20251218081014_M5358ACSC201811_RBGEUFRF04/dpll_52046/txpa_55222.png</t>
  </si>
  <si>
    <t>plots/3FT6Y578R04_015_S21P_20251218081014_M5358ACSC201811_RBGEUFRF04/dpll_52046/txpa_55223.png</t>
  </si>
  <si>
    <t>plots/3FT6Y578R04_015_S21P_20251218081014_M5358ACSC201811_RBGEUFRF04/dpll_52046/txpa_55224.png</t>
  </si>
  <si>
    <t>plots/3FT6Y578R04_015_S21P_20251218081014_M5358ACSC201811_RBGEUFRF04/dpll_52046/txpa_55225.png</t>
  </si>
  <si>
    <t>plots/3FT6Y578R04_015_S21P_20251218081014_M5358ACSC201811_RBGEUFRF04/dpll_52046/txpa_55226.png</t>
  </si>
  <si>
    <t>plots/3FT6Y578R04_015_S21P_20251218081014_M5358ACSC201811_RBGEUFRF04/dpll_52046/txpa_55227.png</t>
  </si>
  <si>
    <t>plots/3FT6Y578R04_015_S21P_20251218081014_M5358ACSC201811_RBGEUFRF04/dpll_52046/txpa_55228.png</t>
  </si>
  <si>
    <t>plots/3FT6Y578R04_015_S21P_20251218081014_M5358ACSC201811_RBGEUFRF04/dpll_52046/txpa_55229.png</t>
  </si>
  <si>
    <t>plots/3FT6Y578R04_015_S21P_20251218081014_M5358ACSC201811_RBGEUFRF04/dpll_52046/txpa_55230.png</t>
  </si>
  <si>
    <t>plots/3FT6Y578R04_015_S21P_20251218081014_M5358ACSC201811_RBGEUFRF04/dpll_52046/txpa_55231.png</t>
  </si>
  <si>
    <t>plots/3FT6Y578R04_015_S21P_20251218081014_M5358ACSC201811_RBGEUFRF04/dpll_52046/txpa_55232.png</t>
  </si>
  <si>
    <t>plots/3FT6Y578R04_015_S21P_20251218081014_M5358ACSC201811_RBGEUFRF04/dpll_52046/txpa_55233.png</t>
  </si>
  <si>
    <t>plots/3FT6Y578R04_015_S21P_20251218081014_M5358ACSC201811_RBGEUFRF04/dpll_52046/txpa_55234.png</t>
  </si>
  <si>
    <t>plots/3FT6Y578R04_015_S21P_20251218081014_M5358ACSC201811_RBGEUFRF04/dpll_52046/txpa_55235.png</t>
  </si>
  <si>
    <t>plots/3FT6Y578R04_015_S21P_20251218081014_M5358ACSC201811_RBGEUFRF04/dpll_52046/txpa_55236.png</t>
  </si>
  <si>
    <t>plots/3FT6Y578R04_015_S21P_20251218081014_M5358ACSC201811_RBGEUFRF04/dpll_52046/txpa_55237.png</t>
  </si>
  <si>
    <t>plots/3FT6Y578R04_015_S21P_20251218081014_M5358ACSC201811_RBGEUFRF04/dpll_52046/txpa_55238.png</t>
  </si>
  <si>
    <t>plots/3FT6Y578R04_015_S21P_20251218081014_M5358ACSC201811_RBGEUFRF04/dpll_52046/txpa_55239.png</t>
  </si>
  <si>
    <t>plots/3FT6Y578R04_015_S21P_20251218081014_M5358ACSC201811_RBGEUFRF04/dpll_52046/txpa_55240.png</t>
  </si>
  <si>
    <t>plots/3FT6Y578R04_015_S21P_20251218081014_M5358ACSC201811_RBGEUFRF04/dpll_52046/txpa_55241.png</t>
  </si>
  <si>
    <t>plots/3FT6Y578R04_015_S21P_20251218081014_M5358ACSC201811_RBGEUFRF04/dpll_52046/txpa_55242.png</t>
  </si>
  <si>
    <t>plots/3FT6Y578R04_015_S21P_20251218081014_M5358ACSC201811_RBGEUFRF04/dpll_52046/txpa_55243.png</t>
  </si>
  <si>
    <t>plots/3FT6Y578R04_015_S21P_20251218081014_M5358ACSC201811_RBGEUFRF04/dpll_52046/txpa_55244.png</t>
  </si>
  <si>
    <t>plots/3FT6Y578R04_015_S21P_20251218081014_M5358ACSC201811_RBGEUFRF04/dpll_52046/txpa_55245.png</t>
  </si>
  <si>
    <t>plots/3FT6Y578R04_015_S21P_20251218081014_M5358ACSC201811_RBGEUFRF04/dpll_52046/txpa_55246.png</t>
  </si>
  <si>
    <t>plots/3FT6Y578R04_015_S21P_20251218081014_M5358ACSC201811_RBGEUFRF04/dpll_52046/txpa_55247.png</t>
  </si>
  <si>
    <t>plots/3FT6Y578R04_015_S21P_20251218081014_M5358ACSC201811_RBGEUFRF04/dpll_52046/txpa_55248.png</t>
  </si>
  <si>
    <t>plots/3FT6Y578R04_015_S21P_20251218081014_M5358ACSC201811_RBGEUFRF04/dpll_52046/txpa_55249.png</t>
  </si>
  <si>
    <t>plots/3FT6Y578R04_015_S21P_20251218081014_M5358ACSC201811_RBGEUFRF04/dpll_52046/txpa_55250.png</t>
  </si>
  <si>
    <t>plots/3FT6Y578R04_015_S21P_20251218081014_M5358ACSC201811_RBGEUFRF04/dpll_52046/txpa_55251.png</t>
  </si>
  <si>
    <t>plots/3FT6Y578R04_015_S21P_20251218081014_M5358ACSC201811_RBGEUFRF04/dpll_52046/txpa_55252.png</t>
  </si>
  <si>
    <t>plots/3FT6Y578R04_015_S21P_20251218081014_M5358ACSC201811_RBGEUFRF04/dpll_52046/txpa_55253.png</t>
  </si>
  <si>
    <t>plots/3FT6Y578R04_015_S21P_20251218081014_M5358ACSC201811_RBGEUFRF04/dpll_52046/txpa_55254.png</t>
  </si>
  <si>
    <t>plots/3FT6Y578R04_015_S21P_20251218081014_M5358ACSC201811_RBGEUFRF04/dpll_52046/txpa_55255.png</t>
  </si>
  <si>
    <t>plots/3FT6Y578R04_015_S21P_20251218081014_M5358ACSC201811_RBGEUFRF04/dpll_52046/txpa_55256.png</t>
  </si>
  <si>
    <t>plots/3FT6Y578R04_015_S21P_20251218081014_M5358ACSC201811_RBGEUFRF04/dpll_52046/txpa_55257.png</t>
  </si>
  <si>
    <t>plots/3FT6Y578R04_015_S21P_20251218081014_M5358ACSC201811_RBGEUFRF04/dpll_52046/txpa_55258.png</t>
  </si>
  <si>
    <t>plots/3FT6Y578R04_015_S21P_20251218081014_M5358ACSC201811_RBGEUFRF04/dpll_52084/txpa_53179.png</t>
  </si>
  <si>
    <t>plots/3FT6Y578R04_015_S21P_20251218081014_M5358ACSC201811_RBGEUFRF04/dpll_52084/txpa_53180.png</t>
  </si>
  <si>
    <t>plots/3FT6Y578R04_015_S21P_20251218081014_M5358ACSC201811_RBGEUFRF04/dpll_52084/txpa_53181.png</t>
  </si>
  <si>
    <t>plots/3FT6Y578R04_015_S21P_20251218081014_M5358ACSC201811_RBGEUFRF04/dpll_52084/txpa_53182.png</t>
  </si>
  <si>
    <t>plots/3FT6Y578R04_015_S21P_20251218081014_M5358ACSC201811_RBGEUFRF04/dpll_52084/txpa_53183.png</t>
  </si>
  <si>
    <t>plots/3FT6Y578R04_015_S21P_20251218081014_M5358ACSC201811_RBGEUFRF04/dpll_52084/txpa_53184.png</t>
  </si>
  <si>
    <t>plots/3FT6Y578R04_015_S21P_20251218081014_M5358ACSC201811_RBGEUFRF04/dpll_52084/txpa_53185.png</t>
  </si>
  <si>
    <t>plots/3FT6Y578R04_015_S21P_20251218081014_M5358ACSC201811_RBGEUFRF04/dpll_52084/txpa_53186.png</t>
  </si>
  <si>
    <t>plots/3FT6Y578R04_015_S21P_20251218081014_M5358ACSC201811_RBGEUFRF04/dpll_52084/txpa_53187.png</t>
  </si>
  <si>
    <t>plots/3FT6Y578R04_015_S21P_20251218081014_M5358ACSC201811_RBGEUFRF04/dpll_52084/txpa_53188.png</t>
  </si>
  <si>
    <t>plots/3FT6Y578R04_015_S21P_20251218081014_M5358ACSC201811_RBGEUFRF04/dpll_52084/txpa_53189.png</t>
  </si>
  <si>
    <t>plots/3FT6Y578R04_015_S21P_20251218081014_M5358ACSC201811_RBGEUFRF04/dpll_52084/txpa_53190.png</t>
  </si>
  <si>
    <t>plots/3FT6Y578R04_015_S21P_20251218081014_M5358ACSC201811_RBGEUFRF04/dpll_52084/txpa_53191.png</t>
  </si>
  <si>
    <t>plots/3FT6Y578R04_015_S21P_20251218081014_M5358ACSC201811_RBGEUFRF04/dpll_52084/txpa_53192.png</t>
  </si>
  <si>
    <t>plots/3FT6Y578R04_015_S21P_20251218081014_M5358ACSC201811_RBGEUFRF04/dpll_52084/txpa_53193.png</t>
  </si>
  <si>
    <t>plots/3FT6Y578R04_015_S21P_20251218081014_M5358ACSC201811_RBGEUFRF04/dpll_52084/txpa_53194.png</t>
  </si>
  <si>
    <t>plots/3FT6Y578R04_015_S21P_20251218081014_M5358ACSC201811_RBGEUFRF04/dpll_52084/txpa_53195.png</t>
  </si>
  <si>
    <t>plots/3FT6Y578R04_015_S21P_20251218081014_M5358ACSC201811_RBGEUFRF04/dpll_52084/txpa_53196.png</t>
  </si>
  <si>
    <t>plots/3FT6Y578R04_015_S21P_20251218081014_M5358ACSC201811_RBGEUFRF04/dpll_52084/txpa_53197.png</t>
  </si>
  <si>
    <t>plots/3FT6Y578R04_015_S21P_20251218081014_M5358ACSC201811_RBGEUFRF04/dpll_52084/txpa_53198.png</t>
  </si>
  <si>
    <t>plots/3FT6Y578R04_015_S21P_20251218081014_M5358ACSC201811_RBGEUFRF04/dpll_52084/txpa_53199.png</t>
  </si>
  <si>
    <t>plots/3FT6Y578R04_015_S21P_20251218081014_M5358ACSC201811_RBGEUFRF04/dpll_52084/txpa_53200.png</t>
  </si>
  <si>
    <t>plots/3FT6Y578R04_015_S21P_20251218081014_M5358ACSC201811_RBGEUFRF04/dpll_52084/txpa_53201.png</t>
  </si>
  <si>
    <t>plots/3FT6Y578R04_015_S21P_20251218081014_M5358ACSC201811_RBGEUFRF04/dpll_52084/txpa_53202.png</t>
  </si>
  <si>
    <t>plots/3FT6Y578R04_015_S21P_20251218081014_M5358ACSC201811_RBGEUFRF04/dpll_52084/txpa_53203.png</t>
  </si>
  <si>
    <t>plots/3FT6Y578R04_015_S21P_20251218081014_M5358ACSC201811_RBGEUFRF04/dpll_52084/txpa_53204.png</t>
  </si>
  <si>
    <t>plots/3FT6Y578R04_015_S21P_20251218081014_M5358ACSC201811_RBGEUFRF04/dpll_52084/txpa_53205.png</t>
  </si>
  <si>
    <t>plots/3FT6Y578R04_015_S21P_20251218081014_M5358ACSC201811_RBGEUFRF04/dpll_52084/txpa_53206.png</t>
  </si>
  <si>
    <t>plots/3FT6Y578R04_015_S21P_20251218081014_M5358ACSC201811_RBGEUFRF04/dpll_52084/txpa_53207.png</t>
  </si>
  <si>
    <t>plots/3FT6Y578R04_015_S21P_20251218081014_M5358ACSC201811_RBGEUFRF04/dpll_52084/txpa_53208.png</t>
  </si>
  <si>
    <t>plots/3FT6Y578R04_015_S21P_20251218081014_M5358ACSC201811_RBGEUFRF04/dpll_52084/txpa_53209.png</t>
  </si>
  <si>
    <t>plots/3FT6Y578R04_015_S21P_20251218081014_M5358ACSC201811_RBGEUFRF04/dpll_52084/txpa_53210.png</t>
  </si>
  <si>
    <t>plots/3FT6Y578R04_015_S21P_20251218081014_M5358ACSC201811_RBGEUFRF04/dpll_52084/txpa_53211.png</t>
  </si>
  <si>
    <t>plots/3FT6Y578R04_015_S21P_20251218081014_M5358ACSC201811_RBGEUFRF04/dpll_52084/txpa_53212.png</t>
  </si>
  <si>
    <t>plots/3FT6Y578R04_015_S21P_20251218081014_M5358ACSC201811_RBGEUFRF04/dpll_52084/txpa_53213.png</t>
  </si>
  <si>
    <t>plots/3FT6Y578R04_015_S21P_20251218081014_M5358ACSC201811_RBGEUFRF04/dpll_52084/txpa_53214.png</t>
  </si>
  <si>
    <t>plots/3FT6Y578R04_015_S21P_20251218081014_M5358ACSC201811_RBGEUFRF04/dpll_52084/txpa_53215.png</t>
  </si>
  <si>
    <t>plots/3FT6Y578R04_015_S21P_20251218081014_M5358ACSC201811_RBGEUFRF04/dpll_52084/txpa_53216.png</t>
  </si>
  <si>
    <t>plots/3FT6Y578R04_015_S21P_20251218081014_M5358ACSC201811_RBGEUFRF04/dpll_52084/txpa_53217.png</t>
  </si>
  <si>
    <t>plots/3FT6Y578R04_015_S21P_20251218081014_M5358ACSC201811_RBGEUFRF04/dpll_52084/txpa_53218.png</t>
  </si>
  <si>
    <t>plots/3FT6Y578R04_015_S21P_20251218081014_M5358ACSC201811_RBGEUFRF04/dpll_52084/txpa_53219.png</t>
  </si>
  <si>
    <t>plots/3FT6Y578R04_015_S21P_20251218081014_M5358ACSC201811_RBGEUFRF04/dpll_52084/txpa_53220.png</t>
  </si>
  <si>
    <t>plots/3FT6Y578R04_015_S21P_20251218081014_M5358ACSC201811_RBGEUFRF04/dpll_52084/txpa_53221.png</t>
  </si>
  <si>
    <t>plots/3FT6Y578R04_015_S21P_20251218081014_M5358ACSC201811_RBGEUFRF04/dpll_52084/txpa_53222.png</t>
  </si>
  <si>
    <t>plots/3FT6Y578R04_015_S21P_20251218081014_M5358ACSC201811_RBGEUFRF04/dpll_52084/txpa_53223.png</t>
  </si>
  <si>
    <t>plots/3FT6Y578R04_015_S21P_20251218081014_M5358ACSC201811_RBGEUFRF04/dpll_52084/txpa_53224.png</t>
  </si>
  <si>
    <t>plots/3FT6Y578R04_015_S21P_20251218081014_M5358ACSC201811_RBGEUFRF04/dpll_52084/txpa_53225.png</t>
  </si>
  <si>
    <t>plots/3FT6Y578R04_015_S21P_20251218081014_M5358ACSC201811_RBGEUFRF04/dpll_52084/txpa_53226.png</t>
  </si>
  <si>
    <t>plots/3FT6Y578R04_015_S21P_20251218081014_M5358ACSC201811_RBGEUFRF04/dpll_52084/txpa_53227.png</t>
  </si>
  <si>
    <t>plots/3FT6Y578R04_015_S21P_20251218081014_M5358ACSC201811_RBGEUFRF04/dpll_52084/txpa_53228.png</t>
  </si>
  <si>
    <t>plots/3FT6Y578R04_015_S21P_20251218081014_M5358ACSC201811_RBGEUFRF04/dpll_52084/txpa_53229.png</t>
  </si>
  <si>
    <t>plots/3FT6Y578R04_015_S21P_20251218081014_M5358ACSC201811_RBGEUFRF04/dpll_52084/txpa_53230.png</t>
  </si>
  <si>
    <t>plots/3FT6Y578R04_015_S21P_20251218081014_M5358ACSC201811_RBGEUFRF04/dpll_52084/txpa_53231.png</t>
  </si>
  <si>
    <t>plots/3FT6Y578R04_015_S21P_20251218081014_M5358ACSC201811_RBGEUFRF04/dpll_52084/txpa_53232.png</t>
  </si>
  <si>
    <t>plots/3FT6Y578R04_015_S21P_20251218081014_M5358ACSC201811_RBGEUFRF04/dpll_52084/txpa_53233.png</t>
  </si>
  <si>
    <t>plots/3FT6Y578R04_015_S21P_20251218081014_M5358ACSC201811_RBGEUFRF04/dpll_52084/txpa_53234.png</t>
  </si>
  <si>
    <t>plots/3FT6Y578R04_015_S21P_20251218081014_M5358ACSC201811_RBGEUFRF04/dpll_52084/txpa_53235.png</t>
  </si>
  <si>
    <t>plots/3FT6Y578R04_015_S21P_20251218081014_M5358ACSC201811_RBGEUFRF04/dpll_52084/txpa_53236.png</t>
  </si>
  <si>
    <t>plots/3FT6Y578R04_015_S21P_20251218081014_M5358ACSC201811_RBGEUFRF04/dpll_52084/txpa_53237.png</t>
  </si>
  <si>
    <t>plots/3FT6Y578R04_015_S21P_20251218081014_M5358ACSC201811_RBGEUFRF04/dpll_52084/txpa_53238.png</t>
  </si>
  <si>
    <t>plots/3FT6Y578R04_015_S21P_20251218081014_M5358ACSC201811_RBGEUFRF04/dpll_52084/txpa_53239.png</t>
  </si>
  <si>
    <t>plots/3FT6Y578R04_015_S21P_20251218081014_M5358ACSC201811_RBGEUFRF04/dpll_52084/txpa_53240.png</t>
  </si>
  <si>
    <t>plots/3FT6Y578R04_015_S21P_20251218081014_M5358ACSC201811_RBGEUFRF04/dpll_52084/txpa_53241.png</t>
  </si>
  <si>
    <t>plots/3FT6Y578R04_015_S21P_20251218081014_M5358ACSC201811_RBGEUFRF04/dpll_52084/txpa_53242.png</t>
  </si>
  <si>
    <t>plots/3FT6Y578R04_015_S21P_20251218081014_M5358ACSC201811_RBGEUFRF04/dpll_52084/txpa_53243.png</t>
  </si>
  <si>
    <t>plots/3FT6Y578R04_015_S21P_20251218081014_M5358ACSC201811_RBGEUFRF04/dpll_52084/txpa_53244.png</t>
  </si>
  <si>
    <t>plots/3FT6Y578R04_015_S21P_20251218081014_M5358ACSC201811_RBGEUFRF04/dpll_52084/txpa_53245.png</t>
  </si>
  <si>
    <t>plots/3FT6Y578R04_015_S21P_20251218081014_M5358ACSC201811_RBGEUFRF04/dpll_52084/txpa_53246.png</t>
  </si>
  <si>
    <t>plots/3FT6Y578R04_015_S21P_20251218081014_M5358ACSC201811_RBGEUFRF04/dpll_52084/txpa_53247.png</t>
  </si>
  <si>
    <t>plots/3FT6Y578R04_015_S21P_20251218081014_M5358ACSC201811_RBGEUFRF04/dpll_52084/txpa_53248.png</t>
  </si>
  <si>
    <t>plots/3FT6Y578R04_015_S21P_20251218081014_M5358ACSC201811_RBGEUFRF04/dpll_52084/txpa_53249.png</t>
  </si>
  <si>
    <t>plots/3FT6Y578R04_015_S21P_20251218081014_M5358ACSC201811_RBGEUFRF04/dpll_52084/txpa_53250.png</t>
  </si>
  <si>
    <t>plots/3FT6Y578R04_015_S21P_20251218081014_M5358ACSC201811_RBGEUFRF04/dpll_52084/txpa_53251.png</t>
  </si>
  <si>
    <t>plots/3FT6Y578R04_015_S21P_20251218081014_M5358ACSC201811_RBGEUFRF04/dpll_52084/txpa_53252.png</t>
  </si>
  <si>
    <t>plots/3FT6Y578R04_015_S21P_20251218081014_M5358ACSC201811_RBGEUFRF04/dpll_52084/txpa_53253.png</t>
  </si>
  <si>
    <t>plots/3FT6Y578R04_015_S21P_20251218081014_M5358ACSC201811_RBGEUFRF04/dpll_52084/txpa_53254.png</t>
  </si>
  <si>
    <t>plots/3FT6Y578R04_015_S21P_20251218081014_M5358ACSC201811_RBGEUFRF04/dpll_52084/txpa_53255.png</t>
  </si>
  <si>
    <t>plots/3FT6Y578R04_015_S21P_20251218081014_M5358ACSC201811_RBGEUFRF04/dpll_52084/txpa_53256.png</t>
  </si>
  <si>
    <t>plots/3FT6Y578R04_015_S21P_20251218081014_M5358ACSC201811_RBGEUFRF04/dpll_52084/txpa_53257.png</t>
  </si>
  <si>
    <t>plots/3FT6Y578R04_015_S21P_20251218081014_M5358ACSC201811_RBGEUFRF04/dpll_52084/txpa_53258.png</t>
  </si>
  <si>
    <t>plots/3FT6Y578R04_015_S21P_20251218081014_M5358ACSC201811_RBGEUFRF04/dpll_52084/txpa_53259.png</t>
  </si>
  <si>
    <t>plots/3FT6Y578R04_015_S21P_20251218081014_M5358ACSC201811_RBGEUFRF04/dpll_52084/txpa_53260.png</t>
  </si>
  <si>
    <t>plots/3FT6Y578R04_015_S21P_20251218081014_M5358ACSC201811_RBGEUFRF04/dpll_52084/txpa_53261.png</t>
  </si>
  <si>
    <t>plots/3FT6Y578R04_015_S21P_20251218081014_M5358ACSC201811_RBGEUFRF04/dpll_52084/txpa_53262.png</t>
  </si>
  <si>
    <t>plots/3FT6Y578R04_015_S21P_20251218081014_M5358ACSC201811_RBGEUFRF04/dpll_52084/txpa_53263.png</t>
  </si>
  <si>
    <t>plots/3FT6Y578R04_015_S21P_20251218081014_M5358ACSC201811_RBGEUFRF04/dpll_52084/txpa_53264.png</t>
  </si>
  <si>
    <t>plots/3FT6Y578R04_015_S21P_20251218081014_M5358ACSC201811_RBGEUFRF04/dpll_52084/txpa_53265.png</t>
  </si>
  <si>
    <t>plots/3FT6Y578R04_015_S21P_20251218081014_M5358ACSC201811_RBGEUFRF04/dpll_52084/txpa_53266.png</t>
  </si>
  <si>
    <t>plots/3FT6Y578R04_015_S21P_20251218081014_M5358ACSC201811_RBGEUFRF04/dpll_52084/txpa_53267.png</t>
  </si>
  <si>
    <t>plots/3FT6Y578R04_015_S21P_20251218081014_M5358ACSC201811_RBGEUFRF04/dpll_52084/txpa_53268.png</t>
  </si>
  <si>
    <t>plots/3FT6Y578R04_015_S21P_20251218081014_M5358ACSC201811_RBGEUFRF04/dpll_52084/txpa_53269.png</t>
  </si>
  <si>
    <t>plots/3FT6Y578R04_015_S21P_20251218081014_M5358ACSC201811_RBGEUFRF04/dpll_52084/txpa_53270.png</t>
  </si>
  <si>
    <t>plots/3FT6Y578R04_015_S21P_20251218081014_M5358ACSC201811_RBGEUFRF04/dpll_52084/txpa_53271.png</t>
  </si>
  <si>
    <t>plots/3FT6Y578R04_015_S21P_20251218081014_M5358ACSC201811_RBGEUFRF04/dpll_52084/txpa_53272.png</t>
  </si>
  <si>
    <t>plots/3FT6Y578R04_015_S21P_20251218081014_M5358ACSC201811_RBGEUFRF04/dpll_52084/txpa_53273.png</t>
  </si>
  <si>
    <t>plots/3FT6Y578R04_015_S21P_20251218081014_M5358ACSC201811_RBGEUFRF04/dpll_52084/txpa_53274.png</t>
  </si>
  <si>
    <t>plots/3FT6Y578R04_015_S21P_20251218081014_M5358ACSC201811_RBGEUFRF04/dpll_52084/txpa_53275.png</t>
  </si>
  <si>
    <t>plots/3FT6Y578R04_015_S21P_20251218081014_M5358ACSC201811_RBGEUFRF04/dpll_52084/txpa_53276.png</t>
  </si>
  <si>
    <t>plots/3FT6Y578R04_015_S21P_20251218081014_M5358ACSC201811_RBGEUFRF04/dpll_52084/txpa_53277.png</t>
  </si>
  <si>
    <t>plots/3FT6Y578R04_015_S21P_20251218081014_M5358ACSC201811_RBGEUFRF04/dpll_52084/txpa_53278.png</t>
  </si>
  <si>
    <t>plots/3FT6Y578R04_015_S21P_20251218081014_M5358ACSC201811_RBGEUFRF04/dpll_52084/txpa_53279.png</t>
  </si>
  <si>
    <t>plots/3FT6Y578R04_015_S21P_20251218081014_M5358ACSC201811_RBGEUFRF04/dpll_52084/txpa_53280.png</t>
  </si>
  <si>
    <t>plots/3FT6Y578R04_015_S21P_20251218081014_M5358ACSC201811_RBGEUFRF04/dpll_52084/txpa_53281.png</t>
  </si>
  <si>
    <t>plots/3FT6Y578R04_015_S21P_20251218081014_M5358ACSC201811_RBGEUFRF04/dpll_52084/txpa_53282.png</t>
  </si>
  <si>
    <t>plots/3FT6Y578R04_015_S21P_20251218081014_M5358ACSC201811_RBGEUFRF04/dpll_52084/txpa_53283.png</t>
  </si>
  <si>
    <t>plots/3FT6Y578R04_015_S21P_20251218081014_M5358ACSC201811_RBGEUFRF04/dpll_52084/txpa_53284.png</t>
  </si>
  <si>
    <t>plots/3FT6Y578R04_015_S21P_20251218081014_M5358ACSC201811_RBGEUFRF04/dpll_52084/txpa_53285.png</t>
  </si>
  <si>
    <t>plots/3FT6Y578R04_015_S21P_20251218081014_M5358ACSC201811_RBGEUFRF04/dpll_52084/txpa_53286.png</t>
  </si>
  <si>
    <t>plots/3FT6Y578R04_015_S21P_20251218081014_M5358ACSC201811_RBGEUFRF04/dpll_52084/txpa_53287.png</t>
  </si>
  <si>
    <t>plots/3FT6Y578R04_015_S21P_20251218081014_M5358ACSC201811_RBGEUFRF04/dpll_52084/txpa_53288.png</t>
  </si>
  <si>
    <t>plots/3FT6Y578R04_015_S21P_20251218081014_M5358ACSC201811_RBGEUFRF04/dpll_52084/txpa_53289.png</t>
  </si>
  <si>
    <t>plots/3FT6Y578R04_015_S21P_20251218081014_M5358ACSC201811_RBGEUFRF04/dpll_52084/txpa_53290.png</t>
  </si>
  <si>
    <t>plots/3FT6Y578R04_015_S21P_20251218081014_M5358ACSC201811_RBGEUFRF04/dpll_52084/txpa_54146.png</t>
  </si>
  <si>
    <t>plots/3FT6Y578R04_015_S21P_20251218081014_M5358ACSC201811_RBGEUFRF04/dpll_52084/txpa_54147.png</t>
  </si>
  <si>
    <t>plots/3FT6Y578R04_015_S21P_20251218081014_M5358ACSC201811_RBGEUFRF04/dpll_52084/txpa_54148.png</t>
  </si>
  <si>
    <t>plots/3FT6Y578R04_015_S21P_20251218081014_M5358ACSC201811_RBGEUFRF04/dpll_52084/txpa_54149.png</t>
  </si>
  <si>
    <t>plots/3FT6Y578R04_015_S21P_20251218081014_M5358ACSC201811_RBGEUFRF04/dpll_52084/txpa_54150.png</t>
  </si>
  <si>
    <t>plots/3FT6Y578R04_015_S21P_20251218081014_M5358ACSC201811_RBGEUFRF04/dpll_52084/txpa_54151.png</t>
  </si>
  <si>
    <t>plots/3FT6Y578R04_015_S21P_20251218081014_M5358ACSC201811_RBGEUFRF04/dpll_52084/txpa_54152.png</t>
  </si>
  <si>
    <t>plots/3FT6Y578R04_015_S21P_20251218081014_M5358ACSC201811_RBGEUFRF04/dpll_52084/txpa_54153.png</t>
  </si>
  <si>
    <t>plots/3FT6Y578R04_015_S21P_20251218081014_M5358ACSC201811_RBGEUFRF04/dpll_52084/txpa_54154.png</t>
  </si>
  <si>
    <t>plots/3FT6Y578R04_015_S21P_20251218081014_M5358ACSC201811_RBGEUFRF04/dpll_52084/txpa_54155.png</t>
  </si>
  <si>
    <t>plots/3FT6Y578R04_015_S21P_20251218081014_M5358ACSC201811_RBGEUFRF04/dpll_52084/txpa_54156.png</t>
  </si>
  <si>
    <t>plots/3FT6Y578R04_015_S21P_20251218081014_M5358ACSC201811_RBGEUFRF04/dpll_52084/txpa_54157.png</t>
  </si>
  <si>
    <t>plots/3FT6Y578R04_015_S21P_20251218081014_M5358ACSC201811_RBGEUFRF04/dpll_52084/txpa_54158.png</t>
  </si>
  <si>
    <t>plots/3FT6Y578R04_015_S21P_20251218081014_M5358ACSC201811_RBGEUFRF04/dpll_52084/txpa_54159.png</t>
  </si>
  <si>
    <t>plots/3FT6Y578R04_015_S21P_20251218081014_M5358ACSC201811_RBGEUFRF04/dpll_52084/txpa_54160.png</t>
  </si>
  <si>
    <t>plots/3FT6Y578R04_015_S21P_20251218081014_M5358ACSC201811_RBGEUFRF04/dpll_52084/txpa_54161.png</t>
  </si>
  <si>
    <t>plots/3FT6Y578R04_015_S21P_20251218081014_M5358ACSC201811_RBGEUFRF04/dpll_52084/txpa_54162.png</t>
  </si>
  <si>
    <t>plots/3FT6Y578R04_015_S21P_20251218081014_M5358ACSC201811_RBGEUFRF04/dpll_52084/txpa_54163.png</t>
  </si>
  <si>
    <t>plots/3FT6Y578R04_015_S21P_20251218081014_M5358ACSC201811_RBGEUFRF04/dpll_52084/txpa_54164.png</t>
  </si>
  <si>
    <t>plots/3FT6Y578R04_015_S21P_20251218081014_M5358ACSC201811_RBGEUFRF04/dpll_52084/txpa_54165.png</t>
  </si>
  <si>
    <t>plots/3FT6Y578R04_015_S21P_20251218081014_M5358ACSC201811_RBGEUFRF04/dpll_52084/txpa_54166.png</t>
  </si>
  <si>
    <t>plots/3FT6Y578R04_015_S21P_20251218081014_M5358ACSC201811_RBGEUFRF04/dpll_52084/txpa_54167.png</t>
  </si>
  <si>
    <t>plots/3FT6Y578R04_015_S21P_20251218081014_M5358ACSC201811_RBGEUFRF04/dpll_52084/txpa_54168.png</t>
  </si>
  <si>
    <t>plots/3FT6Y578R04_015_S21P_20251218081014_M5358ACSC201811_RBGEUFRF04/dpll_52084/txpa_54169.png</t>
  </si>
  <si>
    <t>plots/3FT6Y578R04_015_S21P_20251218081014_M5358ACSC201811_RBGEUFRF04/dpll_52084/txpa_54170.png</t>
  </si>
  <si>
    <t>plots/3FT6Y578R04_015_S21P_20251218081014_M5358ACSC201811_RBGEUFRF04/dpll_52084/txpa_54171.png</t>
  </si>
  <si>
    <t>plots/3FT6Y578R04_015_S21P_20251218081014_M5358ACSC201811_RBGEUFRF04/dpll_52084/txpa_54172.png</t>
  </si>
  <si>
    <t>plots/3FT6Y578R04_015_S21P_20251218081014_M5358ACSC201811_RBGEUFRF04/dpll_52084/txpa_54173.png</t>
  </si>
  <si>
    <t>plots/3FT6Y578R04_015_S21P_20251218081014_M5358ACSC201811_RBGEUFRF04/dpll_52084/txpa_54174.png</t>
  </si>
  <si>
    <t>plots/3FT6Y578R04_015_S21P_20251218081014_M5358ACSC201811_RBGEUFRF04/dpll_52084/txpa_54175.png</t>
  </si>
  <si>
    <t>plots/3FT6Y578R04_015_S21P_20251218081014_M5358ACSC201811_RBGEUFRF04/dpll_52084/txpa_54176.png</t>
  </si>
  <si>
    <t>plots/3FT6Y578R04_015_S21P_20251218081014_M5358ACSC201811_RBGEUFRF04/dpll_52084/txpa_54177.png</t>
  </si>
  <si>
    <t>plots/3FT6Y578R04_015_S21P_20251218081014_M5358ACSC201811_RBGEUFRF04/dpll_52084/txpa_54178.png</t>
  </si>
  <si>
    <t>plots/3FT6Y578R04_015_S21P_20251218081014_M5358ACSC201811_RBGEUFRF04/dpll_52084/txpa_54179.png</t>
  </si>
  <si>
    <t>plots/3FT6Y578R04_015_S21P_20251218081014_M5358ACSC201811_RBGEUFRF04/dpll_52084/txpa_54180.png</t>
  </si>
  <si>
    <t>plots/3FT6Y578R04_015_S21P_20251218081014_M5358ACSC201811_RBGEUFRF04/dpll_52084/txpa_54181.png</t>
  </si>
  <si>
    <t>plots/3FT6Y578R04_015_S21P_20251218081014_M5358ACSC201811_RBGEUFRF04/dpll_52084/txpa_54182.png</t>
  </si>
  <si>
    <t>plots/3FT6Y578R04_015_S21P_20251218081014_M5358ACSC201811_RBGEUFRF04/dpll_52084/txpa_54183.png</t>
  </si>
  <si>
    <t>plots/3FT6Y578R04_015_S21P_20251218081014_M5358ACSC201811_RBGEUFRF04/dpll_52084/txpa_54184.png</t>
  </si>
  <si>
    <t>plots/3FT6Y578R04_015_S21P_20251218081014_M5358ACSC201811_RBGEUFRF04/dpll_52084/txpa_54185.png</t>
  </si>
  <si>
    <t>plots/3FT6Y578R04_015_S21P_20251218081014_M5358ACSC201811_RBGEUFRF04/dpll_52084/txpa_54186.png</t>
  </si>
  <si>
    <t>plots/3FT6Y578R04_015_S21P_20251218081014_M5358ACSC201811_RBGEUFRF04/dpll_52084/txpa_54187.png</t>
  </si>
  <si>
    <t>plots/3FT6Y578R04_015_S21P_20251218081014_M5358ACSC201811_RBGEUFRF04/dpll_52084/txpa_54188.png</t>
  </si>
  <si>
    <t>plots/3FT6Y578R04_015_S21P_20251218081014_M5358ACSC201811_RBGEUFRF04/dpll_52084/txpa_54189.png</t>
  </si>
  <si>
    <t>plots/3FT6Y578R04_015_S21P_20251218081014_M5358ACSC201811_RBGEUFRF04/dpll_52084/txpa_54190.png</t>
  </si>
  <si>
    <t>plots/3FT6Y578R04_015_S21P_20251218081014_M5358ACSC201811_RBGEUFRF04/dpll_52084/txpa_54191.png</t>
  </si>
  <si>
    <t>plots/3FT6Y578R04_015_S21P_20251218081014_M5358ACSC201811_RBGEUFRF04/dpll_52084/txpa_54192.png</t>
  </si>
  <si>
    <t>plots/3FT6Y578R04_015_S21P_20251218081014_M5358ACSC201811_RBGEUFRF04/dpll_52084/txpa_54193.png</t>
  </si>
  <si>
    <t>plots/3FT6Y578R04_015_S21P_20251218081014_M5358ACSC201811_RBGEUFRF04/dpll_52084/txpa_54194.png</t>
  </si>
  <si>
    <t>plots/3FT6Y578R04_015_S21P_20251218081014_M5358ACSC201811_RBGEUFRF04/dpll_52084/txpa_54195.png</t>
  </si>
  <si>
    <t>plots/3FT6Y578R04_015_S21P_20251218081014_M5358ACSC201811_RBGEUFRF04/dpll_52084/txpa_54196.png</t>
  </si>
  <si>
    <t>plots/3FT6Y578R04_015_S21P_20251218081014_M5358ACSC201811_RBGEUFRF04/dpll_52084/txpa_54197.png</t>
  </si>
  <si>
    <t>plots/3FT6Y578R04_015_S21P_20251218081014_M5358ACSC201811_RBGEUFRF04/dpll_52084/txpa_54198.png</t>
  </si>
  <si>
    <t>plots/3FT6Y578R04_015_S21P_20251218081014_M5358ACSC201811_RBGEUFRF04/dpll_52084/txpa_54199.png</t>
  </si>
  <si>
    <t>plots/3FT6Y578R04_015_S21P_20251218081014_M5358ACSC201811_RBGEUFRF04/dpll_52084/txpa_54200.png</t>
  </si>
  <si>
    <t>plots/3FT6Y578R04_015_S21P_20251218081014_M5358ACSC201811_RBGEUFRF04/dpll_52084/txpa_54201.png</t>
  </si>
  <si>
    <t>plots/3FT6Y578R04_015_S21P_20251218081014_M5358ACSC201811_RBGEUFRF04/dpll_52084/txpa_54202.png</t>
  </si>
  <si>
    <t>plots/3FT6Y578R04_015_S21P_20251218081014_M5358ACSC201811_RBGEUFRF04/dpll_52084/txpa_54203.png</t>
  </si>
  <si>
    <t>plots/3FT6Y578R04_015_S21P_20251218081014_M5358ACSC201811_RBGEUFRF04/dpll_52084/txpa_54204.png</t>
  </si>
  <si>
    <t>plots/3FT6Y578R04_015_S21P_20251218081014_M5358ACSC201811_RBGEUFRF04/dpll_52084/txpa_54205.png</t>
  </si>
  <si>
    <t>plots/3FT6Y578R04_015_S21P_20251218081014_M5358ACSC201811_RBGEUFRF04/dpll_52084/txpa_54206.png</t>
  </si>
  <si>
    <t>plots/3FT6Y578R04_015_S21P_20251218081014_M5358ACSC201811_RBGEUFRF04/dpll_52084/txpa_54207.png</t>
  </si>
  <si>
    <t>plots/3FT6Y578R04_015_S21P_20251218081014_M5358ACSC201811_RBGEUFRF04/dpll_52084/txpa_54208.png</t>
  </si>
  <si>
    <t>plots/3FT6Y578R04_015_S21P_20251218081014_M5358ACSC201811_RBGEUFRF04/dpll_52084/txpa_54209.png</t>
  </si>
  <si>
    <t>plots/3FT6Y578R04_015_S21P_20251218081014_M5358ACSC201811_RBGEUFRF04/dpll_52084/txpa_54210.png</t>
  </si>
  <si>
    <t>plots/3FT6Y578R04_015_S21P_20251218081014_M5358ACSC201811_RBGEUFRF04/dpll_52084/txpa_54211.png</t>
  </si>
  <si>
    <t>plots/3FT6Y578R04_015_S21P_20251218081014_M5358ACSC201811_RBGEUFRF04/dpll_52084/txpa_54212.png</t>
  </si>
  <si>
    <t>plots/3FT6Y578R04_015_S21P_20251218081014_M5358ACSC201811_RBGEUFRF04/dpll_52084/txpa_54213.png</t>
  </si>
  <si>
    <t>plots/3FT6Y578R04_015_S21P_20251218081014_M5358ACSC201811_RBGEUFRF04/dpll_52084/txpa_54214.png</t>
  </si>
  <si>
    <t>plots/3FT6Y578R04_015_S21P_20251218081014_M5358ACSC201811_RBGEUFRF04/dpll_52084/txpa_54215.png</t>
  </si>
  <si>
    <t>plots/3FT6Y578R04_015_S21P_20251218081014_M5358ACSC201811_RBGEUFRF04/dpll_52084/txpa_54216.png</t>
  </si>
  <si>
    <t>plots/3FT6Y578R04_015_S21P_20251218081014_M5358ACSC201811_RBGEUFRF04/dpll_52084/txpa_54217.png</t>
  </si>
  <si>
    <t>plots/3FT6Y578R04_015_S21P_20251218081014_M5358ACSC201811_RBGEUFRF04/dpll_52084/txpa_54218.png</t>
  </si>
  <si>
    <t>plots/3FT6Y578R04_015_S21P_20251218081014_M5358ACSC201811_RBGEUFRF04/dpll_52084/txpa_54219.png</t>
  </si>
  <si>
    <t>plots/3FT6Y578R04_015_S21P_20251218081014_M5358ACSC201811_RBGEUFRF04/dpll_52084/txpa_54220.png</t>
  </si>
  <si>
    <t>plots/3FT6Y578R04_015_S21P_20251218081014_M5358ACSC201811_RBGEUFRF04/dpll_52084/txpa_54221.png</t>
  </si>
  <si>
    <t>plots/3FT6Y578R04_015_S21P_20251218081014_M5358ACSC201811_RBGEUFRF04/dpll_52084/txpa_54222.png</t>
  </si>
  <si>
    <t>plots/3FT6Y578R04_015_S21P_20251218081014_M5358ACSC201811_RBGEUFRF04/dpll_52084/txpa_54223.png</t>
  </si>
  <si>
    <t>plots/3FT6Y578R04_015_S21P_20251218081014_M5358ACSC201811_RBGEUFRF04/dpll_52084/txpa_54224.png</t>
  </si>
  <si>
    <t>plots/3FT6Y578R04_015_S21P_20251218081014_M5358ACSC201811_RBGEUFRF04/dpll_52084/txpa_54225.png</t>
  </si>
  <si>
    <t>plots/3FT6Y578R04_015_S21P_20251218081014_M5358ACSC201811_RBGEUFRF04/dpll_52084/txpa_54226.png</t>
  </si>
  <si>
    <t>plots/3FT6Y578R04_015_S21P_20251218081014_M5358ACSC201811_RBGEUFRF04/dpll_52084/txpa_54227.png</t>
  </si>
  <si>
    <t>plots/3FT6Y578R04_015_S21P_20251218081014_M5358ACSC201811_RBGEUFRF04/dpll_52084/txpa_54228.png</t>
  </si>
  <si>
    <t>plots/3FT6Y578R04_015_S21P_20251218081014_M5358ACSC201811_RBGEUFRF04/dpll_52084/txpa_54229.png</t>
  </si>
  <si>
    <t>plots/3FT6Y578R04_015_S21P_20251218081014_M5358ACSC201811_RBGEUFRF04/dpll_52084/txpa_54230.png</t>
  </si>
  <si>
    <t>plots/3FT6Y578R04_015_S21P_20251218081014_M5358ACSC201811_RBGEUFRF04/dpll_52084/txpa_54231.png</t>
  </si>
  <si>
    <t>plots/3FT6Y578R04_015_S21P_20251218081014_M5358ACSC201811_RBGEUFRF04/dpll_52084/txpa_54232.png</t>
  </si>
  <si>
    <t>plots/3FT6Y578R04_015_S21P_20251218081014_M5358ACSC201811_RBGEUFRF04/dpll_52084/txpa_54233.png</t>
  </si>
  <si>
    <t>plots/3FT6Y578R04_015_S21P_20251218081014_M5358ACSC201811_RBGEUFRF04/dpll_52084/txpa_54234.png</t>
  </si>
  <si>
    <t>plots/3FT6Y578R04_015_S21P_20251218081014_M5358ACSC201811_RBGEUFRF04/dpll_52084/txpa_54235.png</t>
  </si>
  <si>
    <t>plots/3FT6Y578R04_015_S21P_20251218081014_M5358ACSC201811_RBGEUFRF04/dpll_52084/txpa_54236.png</t>
  </si>
  <si>
    <t>plots/3FT6Y578R04_015_S21P_20251218081014_M5358ACSC201811_RBGEUFRF04/dpll_52084/txpa_54237.png</t>
  </si>
  <si>
    <t>plots/3FT6Y578R04_015_S21P_20251218081014_M5358ACSC201811_RBGEUFRF04/dpll_52084/txpa_54238.png</t>
  </si>
  <si>
    <t>plots/3FT6Y578R04_015_S21P_20251218081014_M5358ACSC201811_RBGEUFRF04/dpll_52084/txpa_54239.png</t>
  </si>
  <si>
    <t>plots/3FT6Y578R04_015_S21P_20251218081014_M5358ACSC201811_RBGEUFRF04/dpll_52084/txpa_54240.png</t>
  </si>
  <si>
    <t>plots/3FT6Y578R04_015_S21P_20251218081014_M5358ACSC201811_RBGEUFRF04/dpll_52084/txpa_54241.png</t>
  </si>
  <si>
    <t>plots/3FT6Y578R04_015_S21P_20251218081014_M5358ACSC201811_RBGEUFRF04/dpll_52084/txpa_54242.png</t>
  </si>
  <si>
    <t>plots/3FT6Y578R04_015_S21P_20251218081014_M5358ACSC201811_RBGEUFRF04/dpll_52084/txpa_54243.png</t>
  </si>
  <si>
    <t>plots/3FT6Y578R04_015_S21P_20251218081014_M5358ACSC201811_RBGEUFRF04/dpll_52084/txpa_54244.png</t>
  </si>
  <si>
    <t>plots/3FT6Y578R04_015_S21P_20251218081014_M5358ACSC201811_RBGEUFRF04/dpll_52084/txpa_54245.png</t>
  </si>
  <si>
    <t>plots/3FT6Y578R04_015_S21P_20251218081014_M5358ACSC201811_RBGEUFRF04/dpll_52084/txpa_54246.png</t>
  </si>
  <si>
    <t>plots/3FT6Y578R04_015_S21P_20251218081014_M5358ACSC201811_RBGEUFRF04/dpll_52084/txpa_54247.png</t>
  </si>
  <si>
    <t>plots/3FT6Y578R04_015_S21P_20251218081014_M5358ACSC201811_RBGEUFRF04/dpll_52084/txpa_54248.png</t>
  </si>
  <si>
    <t>plots/3FT6Y578R04_015_S21P_20251218081014_M5358ACSC201811_RBGEUFRF04/dpll_52084/txpa_54249.png</t>
  </si>
  <si>
    <t>plots/3FT6Y578R04_015_S21P_20251218081014_M5358ACSC201811_RBGEUFRF04/dpll_52084/txpa_54250.png</t>
  </si>
  <si>
    <t>plots/3FT6Y578R04_015_S21P_20251218081014_M5358ACSC201811_RBGEUFRF04/dpll_52084/txpa_54251.png</t>
  </si>
  <si>
    <t>plots/3FT6Y578R04_015_S21P_20251218081014_M5358ACSC201811_RBGEUFRF04/dpll_52084/txpa_54252.png</t>
  </si>
  <si>
    <t>plots/3FT6Y578R04_015_S21P_20251218081014_M5358ACSC201811_RBGEUFRF04/dpll_52084/txpa_54253.png</t>
  </si>
  <si>
    <t>plots/3FT6Y578R04_015_S21P_20251218081014_M5358ACSC201811_RBGEUFRF04/dpll_52084/txpa_54254.png</t>
  </si>
  <si>
    <t>plots/3FT6Y578R04_015_S21P_20251218081014_M5358ACSC201811_RBGEUFRF04/dpll_52084/txpa_54255.png</t>
  </si>
  <si>
    <t>plots/3FT6Y578R04_015_S21P_20251218081014_M5358ACSC201811_RBGEUFRF04/dpll_52084/txpa_54256.png</t>
  </si>
  <si>
    <t>plots/3FT6Y578R04_015_S21P_20251218081014_M5358ACSC201811_RBGEUFRF04/dpll_52084/txpa_54257.png</t>
  </si>
  <si>
    <t>plots/3FT6Y578R04_015_S21P_20251218081014_M5358ACSC201811_RBGEUFRF04/dpll_52084/txpa_54258.png</t>
  </si>
  <si>
    <t>plots/3FT6Y578R04_015_S21P_20251218081014_M5358ACSC201811_RBGEUFRF04/dpll_52084/txpa_55146.png</t>
  </si>
  <si>
    <t>plots/3FT6Y578R04_015_S21P_20251218081014_M5358ACSC201811_RBGEUFRF04/dpll_52084/txpa_55147.png</t>
  </si>
  <si>
    <t>plots/3FT6Y578R04_015_S21P_20251218081014_M5358ACSC201811_RBGEUFRF04/dpll_52084/txpa_55148.png</t>
  </si>
  <si>
    <t>plots/3FT6Y578R04_015_S21P_20251218081014_M5358ACSC201811_RBGEUFRF04/dpll_52084/txpa_55149.png</t>
  </si>
  <si>
    <t>plots/3FT6Y578R04_015_S21P_20251218081014_M5358ACSC201811_RBGEUFRF04/dpll_52084/txpa_55150.png</t>
  </si>
  <si>
    <t>plots/3FT6Y578R04_015_S21P_20251218081014_M5358ACSC201811_RBGEUFRF04/dpll_52084/txpa_55151.png</t>
  </si>
  <si>
    <t>plots/3FT6Y578R04_015_S21P_20251218081014_M5358ACSC201811_RBGEUFRF04/dpll_52084/txpa_55152.png</t>
  </si>
  <si>
    <t>plots/3FT6Y578R04_015_S21P_20251218081014_M5358ACSC201811_RBGEUFRF04/dpll_52084/txpa_55153.png</t>
  </si>
  <si>
    <t>plots/3FT6Y578R04_015_S21P_20251218081014_M5358ACSC201811_RBGEUFRF04/dpll_52084/txpa_55154.png</t>
  </si>
  <si>
    <t>plots/3FT6Y578R04_015_S21P_20251218081014_M5358ACSC201811_RBGEUFRF04/dpll_52084/txpa_55155.png</t>
  </si>
  <si>
    <t>plots/3FT6Y578R04_015_S21P_20251218081014_M5358ACSC201811_RBGEUFRF04/dpll_52084/txpa_55156.png</t>
  </si>
  <si>
    <t>plots/3FT6Y578R04_015_S21P_20251218081014_M5358ACSC201811_RBGEUFRF04/dpll_52084/txpa_55157.png</t>
  </si>
  <si>
    <t>plots/3FT6Y578R04_015_S21P_20251218081014_M5358ACSC201811_RBGEUFRF04/dpll_52084/txpa_55158.png</t>
  </si>
  <si>
    <t>plots/3FT6Y578R04_015_S21P_20251218081014_M5358ACSC201811_RBGEUFRF04/dpll_52084/txpa_55159.png</t>
  </si>
  <si>
    <t>plots/3FT6Y578R04_015_S21P_20251218081014_M5358ACSC201811_RBGEUFRF04/dpll_52084/txpa_55160.png</t>
  </si>
  <si>
    <t>plots/3FT6Y578R04_015_S21P_20251218081014_M5358ACSC201811_RBGEUFRF04/dpll_52084/txpa_55161.png</t>
  </si>
  <si>
    <t>plots/3FT6Y578R04_015_S21P_20251218081014_M5358ACSC201811_RBGEUFRF04/dpll_52084/txpa_55162.png</t>
  </si>
  <si>
    <t>plots/3FT6Y578R04_015_S21P_20251218081014_M5358ACSC201811_RBGEUFRF04/dpll_52084/txpa_55163.png</t>
  </si>
  <si>
    <t>plots/3FT6Y578R04_015_S21P_20251218081014_M5358ACSC201811_RBGEUFRF04/dpll_52084/txpa_55164.png</t>
  </si>
  <si>
    <t>plots/3FT6Y578R04_015_S21P_20251218081014_M5358ACSC201811_RBGEUFRF04/dpll_52084/txpa_55165.png</t>
  </si>
  <si>
    <t>plots/3FT6Y578R04_015_S21P_20251218081014_M5358ACSC201811_RBGEUFRF04/dpll_52084/txpa_55166.png</t>
  </si>
  <si>
    <t>plots/3FT6Y578R04_015_S21P_20251218081014_M5358ACSC201811_RBGEUFRF04/dpll_52084/txpa_55167.png</t>
  </si>
  <si>
    <t>plots/3FT6Y578R04_015_S21P_20251218081014_M5358ACSC201811_RBGEUFRF04/dpll_52084/txpa_55168.png</t>
  </si>
  <si>
    <t>plots/3FT6Y578R04_015_S21P_20251218081014_M5358ACSC201811_RBGEUFRF04/dpll_52084/txpa_55169.png</t>
  </si>
  <si>
    <t>plots/3FT6Y578R04_015_S21P_20251218081014_M5358ACSC201811_RBGEUFRF04/dpll_52084/txpa_55170.png</t>
  </si>
  <si>
    <t>plots/3FT6Y578R04_015_S21P_20251218081014_M5358ACSC201811_RBGEUFRF04/dpll_52084/txpa_55171.png</t>
  </si>
  <si>
    <t>plots/3FT6Y578R04_015_S21P_20251218081014_M5358ACSC201811_RBGEUFRF04/dpll_52084/txpa_55172.png</t>
  </si>
  <si>
    <t>plots/3FT6Y578R04_015_S21P_20251218081014_M5358ACSC201811_RBGEUFRF04/dpll_52084/txpa_55173.png</t>
  </si>
  <si>
    <t>plots/3FT6Y578R04_015_S21P_20251218081014_M5358ACSC201811_RBGEUFRF04/dpll_52084/txpa_55174.png</t>
  </si>
  <si>
    <t>plots/3FT6Y578R04_015_S21P_20251218081014_M5358ACSC201811_RBGEUFRF04/dpll_52084/txpa_55175.png</t>
  </si>
  <si>
    <t>plots/3FT6Y578R04_015_S21P_20251218081014_M5358ACSC201811_RBGEUFRF04/dpll_52084/txpa_55176.png</t>
  </si>
  <si>
    <t>plots/3FT6Y578R04_015_S21P_20251218081014_M5358ACSC201811_RBGEUFRF04/dpll_52084/txpa_55177.png</t>
  </si>
  <si>
    <t>plots/3FT6Y578R04_015_S21P_20251218081014_M5358ACSC201811_RBGEUFRF04/dpll_52084/txpa_55178.png</t>
  </si>
  <si>
    <t>plots/3FT6Y578R04_015_S21P_20251218081014_M5358ACSC201811_RBGEUFRF04/dpll_52084/txpa_55179.png</t>
  </si>
  <si>
    <t>plots/3FT6Y578R04_015_S21P_20251218081014_M5358ACSC201811_RBGEUFRF04/dpll_52084/txpa_55180.png</t>
  </si>
  <si>
    <t>plots/3FT6Y578R04_015_S21P_20251218081014_M5358ACSC201811_RBGEUFRF04/dpll_52084/txpa_55181.png</t>
  </si>
  <si>
    <t>plots/3FT6Y578R04_015_S21P_20251218081014_M5358ACSC201811_RBGEUFRF04/dpll_52084/txpa_55182.png</t>
  </si>
  <si>
    <t>plots/3FT6Y578R04_015_S21P_20251218081014_M5358ACSC201811_RBGEUFRF04/dpll_52084/txpa_55183.png</t>
  </si>
  <si>
    <t>plots/3FT6Y578R04_015_S21P_20251218081014_M5358ACSC201811_RBGEUFRF04/dpll_52084/txpa_55184.png</t>
  </si>
  <si>
    <t>plots/3FT6Y578R04_015_S21P_20251218081014_M5358ACSC201811_RBGEUFRF04/dpll_52084/txpa_55185.png</t>
  </si>
  <si>
    <t>plots/3FT6Y578R04_015_S21P_20251218081014_M5358ACSC201811_RBGEUFRF04/dpll_52084/txpa_55186.png</t>
  </si>
  <si>
    <t>plots/3FT6Y578R04_015_S21P_20251218081014_M5358ACSC201811_RBGEUFRF04/dpll_52084/txpa_55187.png</t>
  </si>
  <si>
    <t>plots/3FT6Y578R04_015_S21P_20251218081014_M5358ACSC201811_RBGEUFRF04/dpll_52084/txpa_55188.png</t>
  </si>
  <si>
    <t>plots/3FT6Y578R04_015_S21P_20251218081014_M5358ACSC201811_RBGEUFRF04/dpll_52084/txpa_55189.png</t>
  </si>
  <si>
    <t>plots/3FT6Y578R04_015_S21P_20251218081014_M5358ACSC201811_RBGEUFRF04/dpll_52084/txpa_55190.png</t>
  </si>
  <si>
    <t>plots/3FT6Y578R04_015_S21P_20251218081014_M5358ACSC201811_RBGEUFRF04/dpll_52084/txpa_55191.png</t>
  </si>
  <si>
    <t>plots/3FT6Y578R04_015_S21P_20251218081014_M5358ACSC201811_RBGEUFRF04/dpll_52084/txpa_55192.png</t>
  </si>
  <si>
    <t>plots/3FT6Y578R04_015_S21P_20251218081014_M5358ACSC201811_RBGEUFRF04/dpll_52084/txpa_55193.png</t>
  </si>
  <si>
    <t>plots/3FT6Y578R04_015_S21P_20251218081014_M5358ACSC201811_RBGEUFRF04/dpll_52084/txpa_55194.png</t>
  </si>
  <si>
    <t>plots/3FT6Y578R04_015_S21P_20251218081014_M5358ACSC201811_RBGEUFRF04/dpll_52084/txpa_55195.png</t>
  </si>
  <si>
    <t>plots/3FT6Y578R04_015_S21P_20251218081014_M5358ACSC201811_RBGEUFRF04/dpll_52084/txpa_55196.png</t>
  </si>
  <si>
    <t>plots/3FT6Y578R04_015_S21P_20251218081014_M5358ACSC201811_RBGEUFRF04/dpll_52084/txpa_55197.png</t>
  </si>
  <si>
    <t>plots/3FT6Y578R04_015_S21P_20251218081014_M5358ACSC201811_RBGEUFRF04/dpll_52084/txpa_55198.png</t>
  </si>
  <si>
    <t>plots/3FT6Y578R04_015_S21P_20251218081014_M5358ACSC201811_RBGEUFRF04/dpll_52084/txpa_55199.png</t>
  </si>
  <si>
    <t>plots/3FT6Y578R04_015_S21P_20251218081014_M5358ACSC201811_RBGEUFRF04/dpll_52084/txpa_55200.png</t>
  </si>
  <si>
    <t>plots/3FT6Y578R04_015_S21P_20251218081014_M5358ACSC201811_RBGEUFRF04/dpll_52084/txpa_55201.png</t>
  </si>
  <si>
    <t>plots/3FT6Y578R04_015_S21P_20251218081014_M5358ACSC201811_RBGEUFRF04/dpll_52084/txpa_55202.png</t>
  </si>
  <si>
    <t>plots/3FT6Y578R04_015_S21P_20251218081014_M5358ACSC201811_RBGEUFRF04/dpll_52084/txpa_55203.png</t>
  </si>
  <si>
    <t>plots/3FT6Y578R04_015_S21P_20251218081014_M5358ACSC201811_RBGEUFRF04/dpll_52084/txpa_55204.png</t>
  </si>
  <si>
    <t>plots/3FT6Y578R04_015_S21P_20251218081014_M5358ACSC201811_RBGEUFRF04/dpll_52084/txpa_55205.png</t>
  </si>
  <si>
    <t>plots/3FT6Y578R04_015_S21P_20251218081014_M5358ACSC201811_RBGEUFRF04/dpll_52084/txpa_55206.png</t>
  </si>
  <si>
    <t>plots/3FT6Y578R04_015_S21P_20251218081014_M5358ACSC201811_RBGEUFRF04/dpll_52084/txpa_55207.png</t>
  </si>
  <si>
    <t>plots/3FT6Y578R04_015_S21P_20251218081014_M5358ACSC201811_RBGEUFRF04/dpll_52084/txpa_55208.png</t>
  </si>
  <si>
    <t>plots/3FT6Y578R04_015_S21P_20251218081014_M5358ACSC201811_RBGEUFRF04/dpll_52084/txpa_55209.png</t>
  </si>
  <si>
    <t>plots/3FT6Y578R04_015_S21P_20251218081014_M5358ACSC201811_RBGEUFRF04/dpll_52084/txpa_55210.png</t>
  </si>
  <si>
    <t>plots/3FT6Y578R04_015_S21P_20251218081014_M5358ACSC201811_RBGEUFRF04/dpll_52084/txpa_55211.png</t>
  </si>
  <si>
    <t>plots/3FT6Y578R04_015_S21P_20251218081014_M5358ACSC201811_RBGEUFRF04/dpll_52084/txpa_55212.png</t>
  </si>
  <si>
    <t>plots/3FT6Y578R04_015_S21P_20251218081014_M5358ACSC201811_RBGEUFRF04/dpll_52084/txpa_55213.png</t>
  </si>
  <si>
    <t>plots/3FT6Y578R04_015_S21P_20251218081014_M5358ACSC201811_RBGEUFRF04/dpll_52084/txpa_55214.png</t>
  </si>
  <si>
    <t>plots/3FT6Y578R04_015_S21P_20251218081014_M5358ACSC201811_RBGEUFRF04/dpll_52084/txpa_55215.png</t>
  </si>
  <si>
    <t>plots/3FT6Y578R04_015_S21P_20251218081014_M5358ACSC201811_RBGEUFRF04/dpll_52084/txpa_55216.png</t>
  </si>
  <si>
    <t>plots/3FT6Y578R04_015_S21P_20251218081014_M5358ACSC201811_RBGEUFRF04/dpll_52084/txpa_55217.png</t>
  </si>
  <si>
    <t>plots/3FT6Y578R04_015_S21P_20251218081014_M5358ACSC201811_RBGEUFRF04/dpll_52084/txpa_55218.png</t>
  </si>
  <si>
    <t>plots/3FT6Y578R04_015_S21P_20251218081014_M5358ACSC201811_RBGEUFRF04/dpll_52084/txpa_55219.png</t>
  </si>
  <si>
    <t>plots/3FT6Y578R04_015_S21P_20251218081014_M5358ACSC201811_RBGEUFRF04/dpll_52084/txpa_55220.png</t>
  </si>
  <si>
    <t>plots/3FT6Y578R04_015_S21P_20251218081014_M5358ACSC201811_RBGEUFRF04/dpll_52084/txpa_55221.png</t>
  </si>
  <si>
    <t>plots/3FT6Y578R04_015_S21P_20251218081014_M5358ACSC201811_RBGEUFRF04/dpll_52084/txpa_55222.png</t>
  </si>
  <si>
    <t>plots/3FT6Y578R04_015_S21P_20251218081014_M5358ACSC201811_RBGEUFRF04/dpll_52084/txpa_55223.png</t>
  </si>
  <si>
    <t>plots/3FT6Y578R04_015_S21P_20251218081014_M5358ACSC201811_RBGEUFRF04/dpll_52084/txpa_55224.png</t>
  </si>
  <si>
    <t>plots/3FT6Y578R04_015_S21P_20251218081014_M5358ACSC201811_RBGEUFRF04/dpll_52084/txpa_55225.png</t>
  </si>
  <si>
    <t>plots/3FT6Y578R04_015_S21P_20251218081014_M5358ACSC201811_RBGEUFRF04/dpll_52084/txpa_55226.png</t>
  </si>
  <si>
    <t>plots/3FT6Y578R04_015_S21P_20251218081014_M5358ACSC201811_RBGEUFRF04/dpll_52084/txpa_55227.png</t>
  </si>
  <si>
    <t>plots/3FT6Y578R04_015_S21P_20251218081014_M5358ACSC201811_RBGEUFRF04/dpll_52084/txpa_55228.png</t>
  </si>
  <si>
    <t>plots/3FT6Y578R04_015_S21P_20251218081014_M5358ACSC201811_RBGEUFRF04/dpll_52084/txpa_55229.png</t>
  </si>
  <si>
    <t>plots/3FT6Y578R04_015_S21P_20251218081014_M5358ACSC201811_RBGEUFRF04/dpll_52084/txpa_55230.png</t>
  </si>
  <si>
    <t>plots/3FT6Y578R04_015_S21P_20251218081014_M5358ACSC201811_RBGEUFRF04/dpll_52084/txpa_55231.png</t>
  </si>
  <si>
    <t>plots/3FT6Y578R04_015_S21P_20251218081014_M5358ACSC201811_RBGEUFRF04/dpll_52084/txpa_55232.png</t>
  </si>
  <si>
    <t>plots/3FT6Y578R04_015_S21P_20251218081014_M5358ACSC201811_RBGEUFRF04/dpll_52084/txpa_55233.png</t>
  </si>
  <si>
    <t>plots/3FT6Y578R04_015_S21P_20251218081014_M5358ACSC201811_RBGEUFRF04/dpll_52084/txpa_55234.png</t>
  </si>
  <si>
    <t>plots/3FT6Y578R04_015_S21P_20251218081014_M5358ACSC201811_RBGEUFRF04/dpll_52084/txpa_55235.png</t>
  </si>
  <si>
    <t>plots/3FT6Y578R04_015_S21P_20251218081014_M5358ACSC201811_RBGEUFRF04/dpll_52084/txpa_55236.png</t>
  </si>
  <si>
    <t>plots/3FT6Y578R04_015_S21P_20251218081014_M5358ACSC201811_RBGEUFRF04/dpll_52084/txpa_55237.png</t>
  </si>
  <si>
    <t>plots/3FT6Y578R04_015_S21P_20251218081014_M5358ACSC201811_RBGEUFRF04/dpll_52084/txpa_55238.png</t>
  </si>
  <si>
    <t>plots/3FT6Y578R04_015_S21P_20251218081014_M5358ACSC201811_RBGEUFRF04/dpll_52084/txpa_55239.png</t>
  </si>
  <si>
    <t>plots/3FT6Y578R04_015_S21P_20251218081014_M5358ACSC201811_RBGEUFRF04/dpll_52084/txpa_55240.png</t>
  </si>
  <si>
    <t>plots/3FT6Y578R04_015_S21P_20251218081014_M5358ACSC201811_RBGEUFRF04/dpll_52084/txpa_55241.png</t>
  </si>
  <si>
    <t>plots/3FT6Y578R04_015_S21P_20251218081014_M5358ACSC201811_RBGEUFRF04/dpll_52084/txpa_55242.png</t>
  </si>
  <si>
    <t>plots/3FT6Y578R04_015_S21P_20251218081014_M5358ACSC201811_RBGEUFRF04/dpll_52084/txpa_55243.png</t>
  </si>
  <si>
    <t>plots/3FT6Y578R04_015_S21P_20251218081014_M5358ACSC201811_RBGEUFRF04/dpll_52084/txpa_55244.png</t>
  </si>
  <si>
    <t>plots/3FT6Y578R04_015_S21P_20251218081014_M5358ACSC201811_RBGEUFRF04/dpll_52084/txpa_55245.png</t>
  </si>
  <si>
    <t>plots/3FT6Y578R04_015_S21P_20251218081014_M5358ACSC201811_RBGEUFRF04/dpll_52084/txpa_55246.png</t>
  </si>
  <si>
    <t>plots/3FT6Y578R04_015_S21P_20251218081014_M5358ACSC201811_RBGEUFRF04/dpll_52084/txpa_55247.png</t>
  </si>
  <si>
    <t>plots/3FT6Y578R04_015_S21P_20251218081014_M5358ACSC201811_RBGEUFRF04/dpll_52084/txpa_55248.png</t>
  </si>
  <si>
    <t>plots/3FT6Y578R04_015_S21P_20251218081014_M5358ACSC201811_RBGEUFRF04/dpll_52084/txpa_55249.png</t>
  </si>
  <si>
    <t>plots/3FT6Y578R04_015_S21P_20251218081014_M5358ACSC201811_RBGEUFRF04/dpll_52084/txpa_55250.png</t>
  </si>
  <si>
    <t>plots/3FT6Y578R04_015_S21P_20251218081014_M5358ACSC201811_RBGEUFRF04/dpll_52084/txpa_55251.png</t>
  </si>
  <si>
    <t>plots/3FT6Y578R04_015_S21P_20251218081014_M5358ACSC201811_RBGEUFRF04/dpll_52084/txpa_55252.png</t>
  </si>
  <si>
    <t>plots/3FT6Y578R04_015_S21P_20251218081014_M5358ACSC201811_RBGEUFRF04/dpll_52084/txpa_55253.png</t>
  </si>
  <si>
    <t>plots/3FT6Y578R04_015_S21P_20251218081014_M5358ACSC201811_RBGEUFRF04/dpll_52084/txpa_55254.png</t>
  </si>
  <si>
    <t>plots/3FT6Y578R04_015_S21P_20251218081014_M5358ACSC201811_RBGEUFRF04/dpll_52084/txpa_55255.png</t>
  </si>
  <si>
    <t>plots/3FT6Y578R04_015_S21P_20251218081014_M5358ACSC201811_RBGEUFRF04/dpll_52084/txpa_55256.png</t>
  </si>
  <si>
    <t>plots/3FT6Y578R04_015_S21P_20251218081014_M5358ACSC201811_RBGEUFRF04/dpll_52084/txpa_55257.png</t>
  </si>
  <si>
    <t>plots/3FT6Y578R04_015_S21P_20251218081014_M5358ACSC201811_RBGEUFRF04/dpll_52084/txpa_55258.png</t>
  </si>
  <si>
    <t>plots/3FT6Y578R04_015_S21P_20251218081014_M5358ACSC201811_RBGEUFRF04/dpll_52094/txpa_53179.png</t>
  </si>
  <si>
    <t>plots/3FT6Y578R04_015_S21P_20251218081014_M5358ACSC201811_RBGEUFRF04/dpll_52094/txpa_53180.png</t>
  </si>
  <si>
    <t>plots/3FT6Y578R04_015_S21P_20251218081014_M5358ACSC201811_RBGEUFRF04/dpll_52094/txpa_53181.png</t>
  </si>
  <si>
    <t>plots/3FT6Y578R04_015_S21P_20251218081014_M5358ACSC201811_RBGEUFRF04/dpll_52094/txpa_53182.png</t>
  </si>
  <si>
    <t>plots/3FT6Y578R04_015_S21P_20251218081014_M5358ACSC201811_RBGEUFRF04/dpll_52094/txpa_53183.png</t>
  </si>
  <si>
    <t>plots/3FT6Y578R04_015_S21P_20251218081014_M5358ACSC201811_RBGEUFRF04/dpll_52094/txpa_53184.png</t>
  </si>
  <si>
    <t>plots/3FT6Y578R04_015_S21P_20251218081014_M5358ACSC201811_RBGEUFRF04/dpll_52094/txpa_53185.png</t>
  </si>
  <si>
    <t>plots/3FT6Y578R04_015_S21P_20251218081014_M5358ACSC201811_RBGEUFRF04/dpll_52094/txpa_53186.png</t>
  </si>
  <si>
    <t>plots/3FT6Y578R04_015_S21P_20251218081014_M5358ACSC201811_RBGEUFRF04/dpll_52094/txpa_53187.png</t>
  </si>
  <si>
    <t>plots/3FT6Y578R04_015_S21P_20251218081014_M5358ACSC201811_RBGEUFRF04/dpll_52094/txpa_53188.png</t>
  </si>
  <si>
    <t>plots/3FT6Y578R04_015_S21P_20251218081014_M5358ACSC201811_RBGEUFRF04/dpll_52094/txpa_53189.png</t>
  </si>
  <si>
    <t>plots/3FT6Y578R04_015_S21P_20251218081014_M5358ACSC201811_RBGEUFRF04/dpll_52094/txpa_53190.png</t>
  </si>
  <si>
    <t>plots/3FT6Y578R04_015_S21P_20251218081014_M5358ACSC201811_RBGEUFRF04/dpll_52094/txpa_53191.png</t>
  </si>
  <si>
    <t>plots/3FT6Y578R04_015_S21P_20251218081014_M5358ACSC201811_RBGEUFRF04/dpll_52094/txpa_53192.png</t>
  </si>
  <si>
    <t>plots/3FT6Y578R04_015_S21P_20251218081014_M5358ACSC201811_RBGEUFRF04/dpll_52094/txpa_53193.png</t>
  </si>
  <si>
    <t>plots/3FT6Y578R04_015_S21P_20251218081014_M5358ACSC201811_RBGEUFRF04/dpll_52094/txpa_53194.png</t>
  </si>
  <si>
    <t>plots/3FT6Y578R04_015_S21P_20251218081014_M5358ACSC201811_RBGEUFRF04/dpll_52094/txpa_53195.png</t>
  </si>
  <si>
    <t>plots/3FT6Y578R04_015_S21P_20251218081014_M5358ACSC201811_RBGEUFRF04/dpll_52094/txpa_53196.png</t>
  </si>
  <si>
    <t>plots/3FT6Y578R04_015_S21P_20251218081014_M5358ACSC201811_RBGEUFRF04/dpll_52094/txpa_53197.png</t>
  </si>
  <si>
    <t>plots/3FT6Y578R04_015_S21P_20251218081014_M5358ACSC201811_RBGEUFRF04/dpll_52094/txpa_53198.png</t>
  </si>
  <si>
    <t>plots/3FT6Y578R04_015_S21P_20251218081014_M5358ACSC201811_RBGEUFRF04/dpll_52094/txpa_53199.png</t>
  </si>
  <si>
    <t>plots/3FT6Y578R04_015_S21P_20251218081014_M5358ACSC201811_RBGEUFRF04/dpll_52094/txpa_53200.png</t>
  </si>
  <si>
    <t>plots/3FT6Y578R04_015_S21P_20251218081014_M5358ACSC201811_RBGEUFRF04/dpll_52094/txpa_53201.png</t>
  </si>
  <si>
    <t>plots/3FT6Y578R04_015_S21P_20251218081014_M5358ACSC201811_RBGEUFRF04/dpll_52094/txpa_53202.png</t>
  </si>
  <si>
    <t>plots/3FT6Y578R04_015_S21P_20251218081014_M5358ACSC201811_RBGEUFRF04/dpll_52094/txpa_53203.png</t>
  </si>
  <si>
    <t>plots/3FT6Y578R04_015_S21P_20251218081014_M5358ACSC201811_RBGEUFRF04/dpll_52094/txpa_53204.png</t>
  </si>
  <si>
    <t>plots/3FT6Y578R04_015_S21P_20251218081014_M5358ACSC201811_RBGEUFRF04/dpll_52094/txpa_53205.png</t>
  </si>
  <si>
    <t>plots/3FT6Y578R04_015_S21P_20251218081014_M5358ACSC201811_RBGEUFRF04/dpll_52094/txpa_53206.png</t>
  </si>
  <si>
    <t>plots/3FT6Y578R04_015_S21P_20251218081014_M5358ACSC201811_RBGEUFRF04/dpll_52094/txpa_53207.png</t>
  </si>
  <si>
    <t>plots/3FT6Y578R04_015_S21P_20251218081014_M5358ACSC201811_RBGEUFRF04/dpll_52094/txpa_53208.png</t>
  </si>
  <si>
    <t>plots/3FT6Y578R04_015_S21P_20251218081014_M5358ACSC201811_RBGEUFRF04/dpll_52094/txpa_53209.png</t>
  </si>
  <si>
    <t>plots/3FT6Y578R04_015_S21P_20251218081014_M5358ACSC201811_RBGEUFRF04/dpll_52094/txpa_53210.png</t>
  </si>
  <si>
    <t>plots/3FT6Y578R04_015_S21P_20251218081014_M5358ACSC201811_RBGEUFRF04/dpll_52094/txpa_53211.png</t>
  </si>
  <si>
    <t>plots/3FT6Y578R04_015_S21P_20251218081014_M5358ACSC201811_RBGEUFRF04/dpll_52094/txpa_53212.png</t>
  </si>
  <si>
    <t>plots/3FT6Y578R04_015_S21P_20251218081014_M5358ACSC201811_RBGEUFRF04/dpll_52094/txpa_53213.png</t>
  </si>
  <si>
    <t>plots/3FT6Y578R04_015_S21P_20251218081014_M5358ACSC201811_RBGEUFRF04/dpll_52094/txpa_53214.png</t>
  </si>
  <si>
    <t>plots/3FT6Y578R04_015_S21P_20251218081014_M5358ACSC201811_RBGEUFRF04/dpll_52094/txpa_53215.png</t>
  </si>
  <si>
    <t>plots/3FT6Y578R04_015_S21P_20251218081014_M5358ACSC201811_RBGEUFRF04/dpll_52094/txpa_53216.png</t>
  </si>
  <si>
    <t>plots/3FT6Y578R04_015_S21P_20251218081014_M5358ACSC201811_RBGEUFRF04/dpll_52094/txpa_53217.png</t>
  </si>
  <si>
    <t>plots/3FT6Y578R04_015_S21P_20251218081014_M5358ACSC201811_RBGEUFRF04/dpll_52094/txpa_53218.png</t>
  </si>
  <si>
    <t>plots/3FT6Y578R04_015_S21P_20251218081014_M5358ACSC201811_RBGEUFRF04/dpll_52094/txpa_53219.png</t>
  </si>
  <si>
    <t>plots/3FT6Y578R04_015_S21P_20251218081014_M5358ACSC201811_RBGEUFRF04/dpll_52094/txpa_53220.png</t>
  </si>
  <si>
    <t>plots/3FT6Y578R04_015_S21P_20251218081014_M5358ACSC201811_RBGEUFRF04/dpll_52094/txpa_53221.png</t>
  </si>
  <si>
    <t>plots/3FT6Y578R04_015_S21P_20251218081014_M5358ACSC201811_RBGEUFRF04/dpll_52094/txpa_53222.png</t>
  </si>
  <si>
    <t>plots/3FT6Y578R04_015_S21P_20251218081014_M5358ACSC201811_RBGEUFRF04/dpll_52094/txpa_53223.png</t>
  </si>
  <si>
    <t>plots/3FT6Y578R04_015_S21P_20251218081014_M5358ACSC201811_RBGEUFRF04/dpll_52094/txpa_53224.png</t>
  </si>
  <si>
    <t>plots/3FT6Y578R04_015_S21P_20251218081014_M5358ACSC201811_RBGEUFRF04/dpll_52094/txpa_53225.png</t>
  </si>
  <si>
    <t>plots/3FT6Y578R04_015_S21P_20251218081014_M5358ACSC201811_RBGEUFRF04/dpll_52094/txpa_53226.png</t>
  </si>
  <si>
    <t>plots/3FT6Y578R04_015_S21P_20251218081014_M5358ACSC201811_RBGEUFRF04/dpll_52094/txpa_53227.png</t>
  </si>
  <si>
    <t>plots/3FT6Y578R04_015_S21P_20251218081014_M5358ACSC201811_RBGEUFRF04/dpll_52094/txpa_53228.png</t>
  </si>
  <si>
    <t>plots/3FT6Y578R04_015_S21P_20251218081014_M5358ACSC201811_RBGEUFRF04/dpll_52094/txpa_53229.png</t>
  </si>
  <si>
    <t>plots/3FT6Y578R04_015_S21P_20251218081014_M5358ACSC201811_RBGEUFRF04/dpll_52094/txpa_53230.png</t>
  </si>
  <si>
    <t>plots/3FT6Y578R04_015_S21P_20251218081014_M5358ACSC201811_RBGEUFRF04/dpll_52094/txpa_53231.png</t>
  </si>
  <si>
    <t>plots/3FT6Y578R04_015_S21P_20251218081014_M5358ACSC201811_RBGEUFRF04/dpll_52094/txpa_53232.png</t>
  </si>
  <si>
    <t>plots/3FT6Y578R04_015_S21P_20251218081014_M5358ACSC201811_RBGEUFRF04/dpll_52094/txpa_53233.png</t>
  </si>
  <si>
    <t>plots/3FT6Y578R04_015_S21P_20251218081014_M5358ACSC201811_RBGEUFRF04/dpll_52094/txpa_53234.png</t>
  </si>
  <si>
    <t>plots/3FT6Y578R04_015_S21P_20251218081014_M5358ACSC201811_RBGEUFRF04/dpll_52094/txpa_53235.png</t>
  </si>
  <si>
    <t>plots/3FT6Y578R04_015_S21P_20251218081014_M5358ACSC201811_RBGEUFRF04/dpll_52094/txpa_53236.png</t>
  </si>
  <si>
    <t>plots/3FT6Y578R04_015_S21P_20251218081014_M5358ACSC201811_RBGEUFRF04/dpll_52094/txpa_53237.png</t>
  </si>
  <si>
    <t>plots/3FT6Y578R04_015_S21P_20251218081014_M5358ACSC201811_RBGEUFRF04/dpll_52094/txpa_53238.png</t>
  </si>
  <si>
    <t>plots/3FT6Y578R04_015_S21P_20251218081014_M5358ACSC201811_RBGEUFRF04/dpll_52094/txpa_53239.png</t>
  </si>
  <si>
    <t>plots/3FT6Y578R04_015_S21P_20251218081014_M5358ACSC201811_RBGEUFRF04/dpll_52094/txpa_53240.png</t>
  </si>
  <si>
    <t>plots/3FT6Y578R04_015_S21P_20251218081014_M5358ACSC201811_RBGEUFRF04/dpll_52094/txpa_53241.png</t>
  </si>
  <si>
    <t>plots/3FT6Y578R04_015_S21P_20251218081014_M5358ACSC201811_RBGEUFRF04/dpll_52094/txpa_53242.png</t>
  </si>
  <si>
    <t>plots/3FT6Y578R04_015_S21P_20251218081014_M5358ACSC201811_RBGEUFRF04/dpll_52094/txpa_53243.png</t>
  </si>
  <si>
    <t>plots/3FT6Y578R04_015_S21P_20251218081014_M5358ACSC201811_RBGEUFRF04/dpll_52094/txpa_53244.png</t>
  </si>
  <si>
    <t>plots/3FT6Y578R04_015_S21P_20251218081014_M5358ACSC201811_RBGEUFRF04/dpll_52094/txpa_53245.png</t>
  </si>
  <si>
    <t>plots/3FT6Y578R04_015_S21P_20251218081014_M5358ACSC201811_RBGEUFRF04/dpll_52094/txpa_53246.png</t>
  </si>
  <si>
    <t>plots/3FT6Y578R04_015_S21P_20251218081014_M5358ACSC201811_RBGEUFRF04/dpll_52094/txpa_53247.png</t>
  </si>
  <si>
    <t>plots/3FT6Y578R04_015_S21P_20251218081014_M5358ACSC201811_RBGEUFRF04/dpll_52094/txpa_53248.png</t>
  </si>
  <si>
    <t>plots/3FT6Y578R04_015_S21P_20251218081014_M5358ACSC201811_RBGEUFRF04/dpll_52094/txpa_53249.png</t>
  </si>
  <si>
    <t>plots/3FT6Y578R04_015_S21P_20251218081014_M5358ACSC201811_RBGEUFRF04/dpll_52094/txpa_53250.png</t>
  </si>
  <si>
    <t>plots/3FT6Y578R04_015_S21P_20251218081014_M5358ACSC201811_RBGEUFRF04/dpll_52094/txpa_53251.png</t>
  </si>
  <si>
    <t>plots/3FT6Y578R04_015_S21P_20251218081014_M5358ACSC201811_RBGEUFRF04/dpll_52094/txpa_53252.png</t>
  </si>
  <si>
    <t>plots/3FT6Y578R04_015_S21P_20251218081014_M5358ACSC201811_RBGEUFRF04/dpll_52094/txpa_53253.png</t>
  </si>
  <si>
    <t>plots/3FT6Y578R04_015_S21P_20251218081014_M5358ACSC201811_RBGEUFRF04/dpll_52094/txpa_53254.png</t>
  </si>
  <si>
    <t>plots/3FT6Y578R04_015_S21P_20251218081014_M5358ACSC201811_RBGEUFRF04/dpll_52094/txpa_53255.png</t>
  </si>
  <si>
    <t>plots/3FT6Y578R04_015_S21P_20251218081014_M5358ACSC201811_RBGEUFRF04/dpll_52094/txpa_53256.png</t>
  </si>
  <si>
    <t>plots/3FT6Y578R04_015_S21P_20251218081014_M5358ACSC201811_RBGEUFRF04/dpll_52094/txpa_53257.png</t>
  </si>
  <si>
    <t>plots/3FT6Y578R04_015_S21P_20251218081014_M5358ACSC201811_RBGEUFRF04/dpll_52094/txpa_53258.png</t>
  </si>
  <si>
    <t>plots/3FT6Y578R04_015_S21P_20251218081014_M5358ACSC201811_RBGEUFRF04/dpll_52094/txpa_53259.png</t>
  </si>
  <si>
    <t>plots/3FT6Y578R04_015_S21P_20251218081014_M5358ACSC201811_RBGEUFRF04/dpll_52094/txpa_53260.png</t>
  </si>
  <si>
    <t>plots/3FT6Y578R04_015_S21P_20251218081014_M5358ACSC201811_RBGEUFRF04/dpll_52094/txpa_53261.png</t>
  </si>
  <si>
    <t>plots/3FT6Y578R04_015_S21P_20251218081014_M5358ACSC201811_RBGEUFRF04/dpll_52094/txpa_53262.png</t>
  </si>
  <si>
    <t>plots/3FT6Y578R04_015_S21P_20251218081014_M5358ACSC201811_RBGEUFRF04/dpll_52094/txpa_53263.png</t>
  </si>
  <si>
    <t>plots/3FT6Y578R04_015_S21P_20251218081014_M5358ACSC201811_RBGEUFRF04/dpll_52094/txpa_53264.png</t>
  </si>
  <si>
    <t>plots/3FT6Y578R04_015_S21P_20251218081014_M5358ACSC201811_RBGEUFRF04/dpll_52094/txpa_53265.png</t>
  </si>
  <si>
    <t>plots/3FT6Y578R04_015_S21P_20251218081014_M5358ACSC201811_RBGEUFRF04/dpll_52094/txpa_53266.png</t>
  </si>
  <si>
    <t>plots/3FT6Y578R04_015_S21P_20251218081014_M5358ACSC201811_RBGEUFRF04/dpll_52094/txpa_53267.png</t>
  </si>
  <si>
    <t>plots/3FT6Y578R04_015_S21P_20251218081014_M5358ACSC201811_RBGEUFRF04/dpll_52094/txpa_53268.png</t>
  </si>
  <si>
    <t>plots/3FT6Y578R04_015_S21P_20251218081014_M5358ACSC201811_RBGEUFRF04/dpll_52094/txpa_53269.png</t>
  </si>
  <si>
    <t>plots/3FT6Y578R04_015_S21P_20251218081014_M5358ACSC201811_RBGEUFRF04/dpll_52094/txpa_53270.png</t>
  </si>
  <si>
    <t>plots/3FT6Y578R04_015_S21P_20251218081014_M5358ACSC201811_RBGEUFRF04/dpll_52094/txpa_53271.png</t>
  </si>
  <si>
    <t>plots/3FT6Y578R04_015_S21P_20251218081014_M5358ACSC201811_RBGEUFRF04/dpll_52094/txpa_53272.png</t>
  </si>
  <si>
    <t>plots/3FT6Y578R04_015_S21P_20251218081014_M5358ACSC201811_RBGEUFRF04/dpll_52094/txpa_53273.png</t>
  </si>
  <si>
    <t>plots/3FT6Y578R04_015_S21P_20251218081014_M5358ACSC201811_RBGEUFRF04/dpll_52094/txpa_53274.png</t>
  </si>
  <si>
    <t>plots/3FT6Y578R04_015_S21P_20251218081014_M5358ACSC201811_RBGEUFRF04/dpll_52094/txpa_53275.png</t>
  </si>
  <si>
    <t>plots/3FT6Y578R04_015_S21P_20251218081014_M5358ACSC201811_RBGEUFRF04/dpll_52094/txpa_53276.png</t>
  </si>
  <si>
    <t>plots/3FT6Y578R04_015_S21P_20251218081014_M5358ACSC201811_RBGEUFRF04/dpll_52094/txpa_53277.png</t>
  </si>
  <si>
    <t>plots/3FT6Y578R04_015_S21P_20251218081014_M5358ACSC201811_RBGEUFRF04/dpll_52094/txpa_53278.png</t>
  </si>
  <si>
    <t>plots/3FT6Y578R04_015_S21P_20251218081014_M5358ACSC201811_RBGEUFRF04/dpll_52094/txpa_53279.png</t>
  </si>
  <si>
    <t>plots/3FT6Y578R04_015_S21P_20251218081014_M5358ACSC201811_RBGEUFRF04/dpll_52094/txpa_53280.png</t>
  </si>
  <si>
    <t>plots/3FT6Y578R04_015_S21P_20251218081014_M5358ACSC201811_RBGEUFRF04/dpll_52094/txpa_53281.png</t>
  </si>
  <si>
    <t>plots/3FT6Y578R04_015_S21P_20251218081014_M5358ACSC201811_RBGEUFRF04/dpll_52094/txpa_53282.png</t>
  </si>
  <si>
    <t>plots/3FT6Y578R04_015_S21P_20251218081014_M5358ACSC201811_RBGEUFRF04/dpll_52094/txpa_53283.png</t>
  </si>
  <si>
    <t>plots/3FT6Y578R04_015_S21P_20251218081014_M5358ACSC201811_RBGEUFRF04/dpll_52094/txpa_53284.png</t>
  </si>
  <si>
    <t>plots/3FT6Y578R04_015_S21P_20251218081014_M5358ACSC201811_RBGEUFRF04/dpll_52094/txpa_53285.png</t>
  </si>
  <si>
    <t>plots/3FT6Y578R04_015_S21P_20251218081014_M5358ACSC201811_RBGEUFRF04/dpll_52094/txpa_53286.png</t>
  </si>
  <si>
    <t>plots/3FT6Y578R04_015_S21P_20251218081014_M5358ACSC201811_RBGEUFRF04/dpll_52094/txpa_53287.png</t>
  </si>
  <si>
    <t>plots/3FT6Y578R04_015_S21P_20251218081014_M5358ACSC201811_RBGEUFRF04/dpll_52094/txpa_53288.png</t>
  </si>
  <si>
    <t>plots/3FT6Y578R04_015_S21P_20251218081014_M5358ACSC201811_RBGEUFRF04/dpll_52094/txpa_53289.png</t>
  </si>
  <si>
    <t>plots/3FT6Y578R04_015_S21P_20251218081014_M5358ACSC201811_RBGEUFRF04/dpll_52094/txpa_53290.png</t>
  </si>
  <si>
    <t>plots/3FT6Y578R04_015_S21P_20251218081014_M5358ACSC201811_RBGEUFRF04/dpll_52094/txpa_54146.png</t>
  </si>
  <si>
    <t>plots/3FT6Y578R04_015_S21P_20251218081014_M5358ACSC201811_RBGEUFRF04/dpll_52094/txpa_54147.png</t>
  </si>
  <si>
    <t>plots/3FT6Y578R04_015_S21P_20251218081014_M5358ACSC201811_RBGEUFRF04/dpll_52094/txpa_54148.png</t>
  </si>
  <si>
    <t>plots/3FT6Y578R04_015_S21P_20251218081014_M5358ACSC201811_RBGEUFRF04/dpll_52094/txpa_54149.png</t>
  </si>
  <si>
    <t>plots/3FT6Y578R04_015_S21P_20251218081014_M5358ACSC201811_RBGEUFRF04/dpll_52094/txpa_54150.png</t>
  </si>
  <si>
    <t>plots/3FT6Y578R04_015_S21P_20251218081014_M5358ACSC201811_RBGEUFRF04/dpll_52094/txpa_54151.png</t>
  </si>
  <si>
    <t>plots/3FT6Y578R04_015_S21P_20251218081014_M5358ACSC201811_RBGEUFRF04/dpll_52094/txpa_54152.png</t>
  </si>
  <si>
    <t>plots/3FT6Y578R04_015_S21P_20251218081014_M5358ACSC201811_RBGEUFRF04/dpll_52094/txpa_54153.png</t>
  </si>
  <si>
    <t>plots/3FT6Y578R04_015_S21P_20251218081014_M5358ACSC201811_RBGEUFRF04/dpll_52094/txpa_54154.png</t>
  </si>
  <si>
    <t>plots/3FT6Y578R04_015_S21P_20251218081014_M5358ACSC201811_RBGEUFRF04/dpll_52094/txpa_54155.png</t>
  </si>
  <si>
    <t>plots/3FT6Y578R04_015_S21P_20251218081014_M5358ACSC201811_RBGEUFRF04/dpll_52094/txpa_54156.png</t>
  </si>
  <si>
    <t>plots/3FT6Y578R04_015_S21P_20251218081014_M5358ACSC201811_RBGEUFRF04/dpll_52094/txpa_54157.png</t>
  </si>
  <si>
    <t>plots/3FT6Y578R04_015_S21P_20251218081014_M5358ACSC201811_RBGEUFRF04/dpll_52094/txpa_54158.png</t>
  </si>
  <si>
    <t>plots/3FT6Y578R04_015_S21P_20251218081014_M5358ACSC201811_RBGEUFRF04/dpll_52094/txpa_54159.png</t>
  </si>
  <si>
    <t>plots/3FT6Y578R04_015_S21P_20251218081014_M5358ACSC201811_RBGEUFRF04/dpll_52094/txpa_54160.png</t>
  </si>
  <si>
    <t>plots/3FT6Y578R04_015_S21P_20251218081014_M5358ACSC201811_RBGEUFRF04/dpll_52094/txpa_54161.png</t>
  </si>
  <si>
    <t>plots/3FT6Y578R04_015_S21P_20251218081014_M5358ACSC201811_RBGEUFRF04/dpll_52094/txpa_54162.png</t>
  </si>
  <si>
    <t>plots/3FT6Y578R04_015_S21P_20251218081014_M5358ACSC201811_RBGEUFRF04/dpll_52094/txpa_54163.png</t>
  </si>
  <si>
    <t>plots/3FT6Y578R04_015_S21P_20251218081014_M5358ACSC201811_RBGEUFRF04/dpll_52094/txpa_54164.png</t>
  </si>
  <si>
    <t>plots/3FT6Y578R04_015_S21P_20251218081014_M5358ACSC201811_RBGEUFRF04/dpll_52094/txpa_54165.png</t>
  </si>
  <si>
    <t>plots/3FT6Y578R04_015_S21P_20251218081014_M5358ACSC201811_RBGEUFRF04/dpll_52094/txpa_54166.png</t>
  </si>
  <si>
    <t>plots/3FT6Y578R04_015_S21P_20251218081014_M5358ACSC201811_RBGEUFRF04/dpll_52094/txpa_54167.png</t>
  </si>
  <si>
    <t>plots/3FT6Y578R04_015_S21P_20251218081014_M5358ACSC201811_RBGEUFRF04/dpll_52094/txpa_54168.png</t>
  </si>
  <si>
    <t>plots/3FT6Y578R04_015_S21P_20251218081014_M5358ACSC201811_RBGEUFRF04/dpll_52094/txpa_54169.png</t>
  </si>
  <si>
    <t>plots/3FT6Y578R04_015_S21P_20251218081014_M5358ACSC201811_RBGEUFRF04/dpll_52094/txpa_54170.png</t>
  </si>
  <si>
    <t>plots/3FT6Y578R04_015_S21P_20251218081014_M5358ACSC201811_RBGEUFRF04/dpll_52094/txpa_54171.png</t>
  </si>
  <si>
    <t>plots/3FT6Y578R04_015_S21P_20251218081014_M5358ACSC201811_RBGEUFRF04/dpll_52094/txpa_54172.png</t>
  </si>
  <si>
    <t>plots/3FT6Y578R04_015_S21P_20251218081014_M5358ACSC201811_RBGEUFRF04/dpll_52094/txpa_54173.png</t>
  </si>
  <si>
    <t>plots/3FT6Y578R04_015_S21P_20251218081014_M5358ACSC201811_RBGEUFRF04/dpll_52094/txpa_54174.png</t>
  </si>
  <si>
    <t>plots/3FT6Y578R04_015_S21P_20251218081014_M5358ACSC201811_RBGEUFRF04/dpll_52094/txpa_54175.png</t>
  </si>
  <si>
    <t>plots/3FT6Y578R04_015_S21P_20251218081014_M5358ACSC201811_RBGEUFRF04/dpll_52094/txpa_54176.png</t>
  </si>
  <si>
    <t>plots/3FT6Y578R04_015_S21P_20251218081014_M5358ACSC201811_RBGEUFRF04/dpll_52094/txpa_54177.png</t>
  </si>
  <si>
    <t>plots/3FT6Y578R04_015_S21P_20251218081014_M5358ACSC201811_RBGEUFRF04/dpll_52094/txpa_54178.png</t>
  </si>
  <si>
    <t>plots/3FT6Y578R04_015_S21P_20251218081014_M5358ACSC201811_RBGEUFRF04/dpll_52094/txpa_54179.png</t>
  </si>
  <si>
    <t>plots/3FT6Y578R04_015_S21P_20251218081014_M5358ACSC201811_RBGEUFRF04/dpll_52094/txpa_54180.png</t>
  </si>
  <si>
    <t>plots/3FT6Y578R04_015_S21P_20251218081014_M5358ACSC201811_RBGEUFRF04/dpll_52094/txpa_54181.png</t>
  </si>
  <si>
    <t>plots/3FT6Y578R04_015_S21P_20251218081014_M5358ACSC201811_RBGEUFRF04/dpll_52094/txpa_54182.png</t>
  </si>
  <si>
    <t>plots/3FT6Y578R04_015_S21P_20251218081014_M5358ACSC201811_RBGEUFRF04/dpll_52094/txpa_54183.png</t>
  </si>
  <si>
    <t>plots/3FT6Y578R04_015_S21P_20251218081014_M5358ACSC201811_RBGEUFRF04/dpll_52094/txpa_54184.png</t>
  </si>
  <si>
    <t>plots/3FT6Y578R04_015_S21P_20251218081014_M5358ACSC201811_RBGEUFRF04/dpll_52094/txpa_54185.png</t>
  </si>
  <si>
    <t>plots/3FT6Y578R04_015_S21P_20251218081014_M5358ACSC201811_RBGEUFRF04/dpll_52094/txpa_54186.png</t>
  </si>
  <si>
    <t>plots/3FT6Y578R04_015_S21P_20251218081014_M5358ACSC201811_RBGEUFRF04/dpll_52094/txpa_54187.png</t>
  </si>
  <si>
    <t>plots/3FT6Y578R04_015_S21P_20251218081014_M5358ACSC201811_RBGEUFRF04/dpll_52094/txpa_54188.png</t>
  </si>
  <si>
    <t>plots/3FT6Y578R04_015_S21P_20251218081014_M5358ACSC201811_RBGEUFRF04/dpll_52094/txpa_54189.png</t>
  </si>
  <si>
    <t>plots/3FT6Y578R04_015_S21P_20251218081014_M5358ACSC201811_RBGEUFRF04/dpll_52094/txpa_54190.png</t>
  </si>
  <si>
    <t>plots/3FT6Y578R04_015_S21P_20251218081014_M5358ACSC201811_RBGEUFRF04/dpll_52094/txpa_54191.png</t>
  </si>
  <si>
    <t>plots/3FT6Y578R04_015_S21P_20251218081014_M5358ACSC201811_RBGEUFRF04/dpll_52094/txpa_54192.png</t>
  </si>
  <si>
    <t>plots/3FT6Y578R04_015_S21P_20251218081014_M5358ACSC201811_RBGEUFRF04/dpll_52094/txpa_54193.png</t>
  </si>
  <si>
    <t>plots/3FT6Y578R04_015_S21P_20251218081014_M5358ACSC201811_RBGEUFRF04/dpll_52094/txpa_54194.png</t>
  </si>
  <si>
    <t>plots/3FT6Y578R04_015_S21P_20251218081014_M5358ACSC201811_RBGEUFRF04/dpll_52094/txpa_54195.png</t>
  </si>
  <si>
    <t>plots/3FT6Y578R04_015_S21P_20251218081014_M5358ACSC201811_RBGEUFRF04/dpll_52094/txpa_54196.png</t>
  </si>
  <si>
    <t>plots/3FT6Y578R04_015_S21P_20251218081014_M5358ACSC201811_RBGEUFRF04/dpll_52094/txpa_54197.png</t>
  </si>
  <si>
    <t>plots/3FT6Y578R04_015_S21P_20251218081014_M5358ACSC201811_RBGEUFRF04/dpll_52094/txpa_54198.png</t>
  </si>
  <si>
    <t>plots/3FT6Y578R04_015_S21P_20251218081014_M5358ACSC201811_RBGEUFRF04/dpll_52094/txpa_54199.png</t>
  </si>
  <si>
    <t>plots/3FT6Y578R04_015_S21P_20251218081014_M5358ACSC201811_RBGEUFRF04/dpll_52094/txpa_54200.png</t>
  </si>
  <si>
    <t>plots/3FT6Y578R04_015_S21P_20251218081014_M5358ACSC201811_RBGEUFRF04/dpll_52094/txpa_54201.png</t>
  </si>
  <si>
    <t>plots/3FT6Y578R04_015_S21P_20251218081014_M5358ACSC201811_RBGEUFRF04/dpll_52094/txpa_54202.png</t>
  </si>
  <si>
    <t>plots/3FT6Y578R04_015_S21P_20251218081014_M5358ACSC201811_RBGEUFRF04/dpll_52094/txpa_54203.png</t>
  </si>
  <si>
    <t>plots/3FT6Y578R04_015_S21P_20251218081014_M5358ACSC201811_RBGEUFRF04/dpll_52094/txpa_54204.png</t>
  </si>
  <si>
    <t>plots/3FT6Y578R04_015_S21P_20251218081014_M5358ACSC201811_RBGEUFRF04/dpll_52094/txpa_54205.png</t>
  </si>
  <si>
    <t>plots/3FT6Y578R04_015_S21P_20251218081014_M5358ACSC201811_RBGEUFRF04/dpll_52094/txpa_54206.png</t>
  </si>
  <si>
    <t>plots/3FT6Y578R04_015_S21P_20251218081014_M5358ACSC201811_RBGEUFRF04/dpll_52094/txpa_54207.png</t>
  </si>
  <si>
    <t>plots/3FT6Y578R04_015_S21P_20251218081014_M5358ACSC201811_RBGEUFRF04/dpll_52094/txpa_54208.png</t>
  </si>
  <si>
    <t>plots/3FT6Y578R04_015_S21P_20251218081014_M5358ACSC201811_RBGEUFRF04/dpll_52094/txpa_54209.png</t>
  </si>
  <si>
    <t>plots/3FT6Y578R04_015_S21P_20251218081014_M5358ACSC201811_RBGEUFRF04/dpll_52094/txpa_54210.png</t>
  </si>
  <si>
    <t>plots/3FT6Y578R04_015_S21P_20251218081014_M5358ACSC201811_RBGEUFRF04/dpll_52094/txpa_54211.png</t>
  </si>
  <si>
    <t>plots/3FT6Y578R04_015_S21P_20251218081014_M5358ACSC201811_RBGEUFRF04/dpll_52094/txpa_54212.png</t>
  </si>
  <si>
    <t>plots/3FT6Y578R04_015_S21P_20251218081014_M5358ACSC201811_RBGEUFRF04/dpll_52094/txpa_54213.png</t>
  </si>
  <si>
    <t>plots/3FT6Y578R04_015_S21P_20251218081014_M5358ACSC201811_RBGEUFRF04/dpll_52094/txpa_54214.png</t>
  </si>
  <si>
    <t>plots/3FT6Y578R04_015_S21P_20251218081014_M5358ACSC201811_RBGEUFRF04/dpll_52094/txpa_54215.png</t>
  </si>
  <si>
    <t>plots/3FT6Y578R04_015_S21P_20251218081014_M5358ACSC201811_RBGEUFRF04/dpll_52094/txpa_54216.png</t>
  </si>
  <si>
    <t>plots/3FT6Y578R04_015_S21P_20251218081014_M5358ACSC201811_RBGEUFRF04/dpll_52094/txpa_54217.png</t>
  </si>
  <si>
    <t>plots/3FT6Y578R04_015_S21P_20251218081014_M5358ACSC201811_RBGEUFRF04/dpll_52094/txpa_54218.png</t>
  </si>
  <si>
    <t>plots/3FT6Y578R04_015_S21P_20251218081014_M5358ACSC201811_RBGEUFRF04/dpll_52094/txpa_54219.png</t>
  </si>
  <si>
    <t>plots/3FT6Y578R04_015_S21P_20251218081014_M5358ACSC201811_RBGEUFRF04/dpll_52094/txpa_54220.png</t>
  </si>
  <si>
    <t>plots/3FT6Y578R04_015_S21P_20251218081014_M5358ACSC201811_RBGEUFRF04/dpll_52094/txpa_54221.png</t>
  </si>
  <si>
    <t>plots/3FT6Y578R04_015_S21P_20251218081014_M5358ACSC201811_RBGEUFRF04/dpll_52094/txpa_54222.png</t>
  </si>
  <si>
    <t>plots/3FT6Y578R04_015_S21P_20251218081014_M5358ACSC201811_RBGEUFRF04/dpll_52094/txpa_54223.png</t>
  </si>
  <si>
    <t>plots/3FT6Y578R04_015_S21P_20251218081014_M5358ACSC201811_RBGEUFRF04/dpll_52094/txpa_54224.png</t>
  </si>
  <si>
    <t>plots/3FT6Y578R04_015_S21P_20251218081014_M5358ACSC201811_RBGEUFRF04/dpll_52094/txpa_54225.png</t>
  </si>
  <si>
    <t>plots/3FT6Y578R04_015_S21P_20251218081014_M5358ACSC201811_RBGEUFRF04/dpll_52094/txpa_54226.png</t>
  </si>
  <si>
    <t>plots/3FT6Y578R04_015_S21P_20251218081014_M5358ACSC201811_RBGEUFRF04/dpll_52094/txpa_54227.png</t>
  </si>
  <si>
    <t>plots/3FT6Y578R04_015_S21P_20251218081014_M5358ACSC201811_RBGEUFRF04/dpll_52094/txpa_54228.png</t>
  </si>
  <si>
    <t>plots/3FT6Y578R04_015_S21P_20251218081014_M5358ACSC201811_RBGEUFRF04/dpll_52094/txpa_54229.png</t>
  </si>
  <si>
    <t>plots/3FT6Y578R04_015_S21P_20251218081014_M5358ACSC201811_RBGEUFRF04/dpll_52094/txpa_54230.png</t>
  </si>
  <si>
    <t>plots/3FT6Y578R04_015_S21P_20251218081014_M5358ACSC201811_RBGEUFRF04/dpll_52094/txpa_54231.png</t>
  </si>
  <si>
    <t>plots/3FT6Y578R04_015_S21P_20251218081014_M5358ACSC201811_RBGEUFRF04/dpll_52094/txpa_54232.png</t>
  </si>
  <si>
    <t>plots/3FT6Y578R04_015_S21P_20251218081014_M5358ACSC201811_RBGEUFRF04/dpll_52094/txpa_54233.png</t>
  </si>
  <si>
    <t>plots/3FT6Y578R04_015_S21P_20251218081014_M5358ACSC201811_RBGEUFRF04/dpll_52094/txpa_54234.png</t>
  </si>
  <si>
    <t>plots/3FT6Y578R04_015_S21P_20251218081014_M5358ACSC201811_RBGEUFRF04/dpll_52094/txpa_54235.png</t>
  </si>
  <si>
    <t>plots/3FT6Y578R04_015_S21P_20251218081014_M5358ACSC201811_RBGEUFRF04/dpll_52094/txpa_54236.png</t>
  </si>
  <si>
    <t>plots/3FT6Y578R04_015_S21P_20251218081014_M5358ACSC201811_RBGEUFRF04/dpll_52094/txpa_54237.png</t>
  </si>
  <si>
    <t>plots/3FT6Y578R04_015_S21P_20251218081014_M5358ACSC201811_RBGEUFRF04/dpll_52094/txpa_54238.png</t>
  </si>
  <si>
    <t>plots/3FT6Y578R04_015_S21P_20251218081014_M5358ACSC201811_RBGEUFRF04/dpll_52094/txpa_54239.png</t>
  </si>
  <si>
    <t>plots/3FT6Y578R04_015_S21P_20251218081014_M5358ACSC201811_RBGEUFRF04/dpll_52094/txpa_54240.png</t>
  </si>
  <si>
    <t>plots/3FT6Y578R04_015_S21P_20251218081014_M5358ACSC201811_RBGEUFRF04/dpll_52094/txpa_54241.png</t>
  </si>
  <si>
    <t>plots/3FT6Y578R04_015_S21P_20251218081014_M5358ACSC201811_RBGEUFRF04/dpll_52094/txpa_54242.png</t>
  </si>
  <si>
    <t>plots/3FT6Y578R04_015_S21P_20251218081014_M5358ACSC201811_RBGEUFRF04/dpll_52094/txpa_54243.png</t>
  </si>
  <si>
    <t>plots/3FT6Y578R04_015_S21P_20251218081014_M5358ACSC201811_RBGEUFRF04/dpll_52094/txpa_54244.png</t>
  </si>
  <si>
    <t>plots/3FT6Y578R04_015_S21P_20251218081014_M5358ACSC201811_RBGEUFRF04/dpll_52094/txpa_54245.png</t>
  </si>
  <si>
    <t>plots/3FT6Y578R04_015_S21P_20251218081014_M5358ACSC201811_RBGEUFRF04/dpll_52094/txpa_54246.png</t>
  </si>
  <si>
    <t>plots/3FT6Y578R04_015_S21P_20251218081014_M5358ACSC201811_RBGEUFRF04/dpll_52094/txpa_54247.png</t>
  </si>
  <si>
    <t>plots/3FT6Y578R04_015_S21P_20251218081014_M5358ACSC201811_RBGEUFRF04/dpll_52094/txpa_54248.png</t>
  </si>
  <si>
    <t>plots/3FT6Y578R04_015_S21P_20251218081014_M5358ACSC201811_RBGEUFRF04/dpll_52094/txpa_54249.png</t>
  </si>
  <si>
    <t>plots/3FT6Y578R04_015_S21P_20251218081014_M5358ACSC201811_RBGEUFRF04/dpll_52094/txpa_54250.png</t>
  </si>
  <si>
    <t>plots/3FT6Y578R04_015_S21P_20251218081014_M5358ACSC201811_RBGEUFRF04/dpll_52094/txpa_54251.png</t>
  </si>
  <si>
    <t>plots/3FT6Y578R04_015_S21P_20251218081014_M5358ACSC201811_RBGEUFRF04/dpll_52094/txpa_54252.png</t>
  </si>
  <si>
    <t>plots/3FT6Y578R04_015_S21P_20251218081014_M5358ACSC201811_RBGEUFRF04/dpll_52094/txpa_54253.png</t>
  </si>
  <si>
    <t>plots/3FT6Y578R04_015_S21P_20251218081014_M5358ACSC201811_RBGEUFRF04/dpll_52094/txpa_54254.png</t>
  </si>
  <si>
    <t>plots/3FT6Y578R04_015_S21P_20251218081014_M5358ACSC201811_RBGEUFRF04/dpll_52094/txpa_54255.png</t>
  </si>
  <si>
    <t>plots/3FT6Y578R04_015_S21P_20251218081014_M5358ACSC201811_RBGEUFRF04/dpll_52094/txpa_54256.png</t>
  </si>
  <si>
    <t>plots/3FT6Y578R04_015_S21P_20251218081014_M5358ACSC201811_RBGEUFRF04/dpll_52094/txpa_54257.png</t>
  </si>
  <si>
    <t>plots/3FT6Y578R04_015_S21P_20251218081014_M5358ACSC201811_RBGEUFRF04/dpll_52094/txpa_54258.png</t>
  </si>
  <si>
    <t>plots/3FT6Y578R04_015_S21P_20251218081014_M5358ACSC201811_RBGEUFRF04/dpll_52094/txpa_55146.png</t>
  </si>
  <si>
    <t>plots/3FT6Y578R04_015_S21P_20251218081014_M5358ACSC201811_RBGEUFRF04/dpll_52094/txpa_55147.png</t>
  </si>
  <si>
    <t>plots/3FT6Y578R04_015_S21P_20251218081014_M5358ACSC201811_RBGEUFRF04/dpll_52094/txpa_55148.png</t>
  </si>
  <si>
    <t>plots/3FT6Y578R04_015_S21P_20251218081014_M5358ACSC201811_RBGEUFRF04/dpll_52094/txpa_55149.png</t>
  </si>
  <si>
    <t>plots/3FT6Y578R04_015_S21P_20251218081014_M5358ACSC201811_RBGEUFRF04/dpll_52094/txpa_55150.png</t>
  </si>
  <si>
    <t>plots/3FT6Y578R04_015_S21P_20251218081014_M5358ACSC201811_RBGEUFRF04/dpll_52094/txpa_55151.png</t>
  </si>
  <si>
    <t>plots/3FT6Y578R04_015_S21P_20251218081014_M5358ACSC201811_RBGEUFRF04/dpll_52094/txpa_55152.png</t>
  </si>
  <si>
    <t>plots/3FT6Y578R04_015_S21P_20251218081014_M5358ACSC201811_RBGEUFRF04/dpll_52094/txpa_55153.png</t>
  </si>
  <si>
    <t>plots/3FT6Y578R04_015_S21P_20251218081014_M5358ACSC201811_RBGEUFRF04/dpll_52094/txpa_55154.png</t>
  </si>
  <si>
    <t>plots/3FT6Y578R04_015_S21P_20251218081014_M5358ACSC201811_RBGEUFRF04/dpll_52094/txpa_55155.png</t>
  </si>
  <si>
    <t>plots/3FT6Y578R04_015_S21P_20251218081014_M5358ACSC201811_RBGEUFRF04/dpll_52094/txpa_55156.png</t>
  </si>
  <si>
    <t>plots/3FT6Y578R04_015_S21P_20251218081014_M5358ACSC201811_RBGEUFRF04/dpll_52094/txpa_55157.png</t>
  </si>
  <si>
    <t>plots/3FT6Y578R04_015_S21P_20251218081014_M5358ACSC201811_RBGEUFRF04/dpll_52094/txpa_55158.png</t>
  </si>
  <si>
    <t>plots/3FT6Y578R04_015_S21P_20251218081014_M5358ACSC201811_RBGEUFRF04/dpll_52094/txpa_55159.png</t>
  </si>
  <si>
    <t>plots/3FT6Y578R04_015_S21P_20251218081014_M5358ACSC201811_RBGEUFRF04/dpll_52094/txpa_55160.png</t>
  </si>
  <si>
    <t>plots/3FT6Y578R04_015_S21P_20251218081014_M5358ACSC201811_RBGEUFRF04/dpll_52094/txpa_55161.png</t>
  </si>
  <si>
    <t>plots/3FT6Y578R04_015_S21P_20251218081014_M5358ACSC201811_RBGEUFRF04/dpll_52094/txpa_55162.png</t>
  </si>
  <si>
    <t>plots/3FT6Y578R04_015_S21P_20251218081014_M5358ACSC201811_RBGEUFRF04/dpll_52094/txpa_55163.png</t>
  </si>
  <si>
    <t>plots/3FT6Y578R04_015_S21P_20251218081014_M5358ACSC201811_RBGEUFRF04/dpll_52094/txpa_55164.png</t>
  </si>
  <si>
    <t>plots/3FT6Y578R04_015_S21P_20251218081014_M5358ACSC201811_RBGEUFRF04/dpll_52094/txpa_55165.png</t>
  </si>
  <si>
    <t>plots/3FT6Y578R04_015_S21P_20251218081014_M5358ACSC201811_RBGEUFRF04/dpll_52094/txpa_55166.png</t>
  </si>
  <si>
    <t>plots/3FT6Y578R04_015_S21P_20251218081014_M5358ACSC201811_RBGEUFRF04/dpll_52094/txpa_55167.png</t>
  </si>
  <si>
    <t>plots/3FT6Y578R04_015_S21P_20251218081014_M5358ACSC201811_RBGEUFRF04/dpll_52094/txpa_55168.png</t>
  </si>
  <si>
    <t>plots/3FT6Y578R04_015_S21P_20251218081014_M5358ACSC201811_RBGEUFRF04/dpll_52094/txpa_55169.png</t>
  </si>
  <si>
    <t>plots/3FT6Y578R04_015_S21P_20251218081014_M5358ACSC201811_RBGEUFRF04/dpll_52094/txpa_55170.png</t>
  </si>
  <si>
    <t>plots/3FT6Y578R04_015_S21P_20251218081014_M5358ACSC201811_RBGEUFRF04/dpll_52094/txpa_55171.png</t>
  </si>
  <si>
    <t>plots/3FT6Y578R04_015_S21P_20251218081014_M5358ACSC201811_RBGEUFRF04/dpll_52094/txpa_55172.png</t>
  </si>
  <si>
    <t>plots/3FT6Y578R04_015_S21P_20251218081014_M5358ACSC201811_RBGEUFRF04/dpll_52094/txpa_55173.png</t>
  </si>
  <si>
    <t>plots/3FT6Y578R04_015_S21P_20251218081014_M5358ACSC201811_RBGEUFRF04/dpll_52094/txpa_55174.png</t>
  </si>
  <si>
    <t>plots/3FT6Y578R04_015_S21P_20251218081014_M5358ACSC201811_RBGEUFRF04/dpll_52094/txpa_55175.png</t>
  </si>
  <si>
    <t>plots/3FT6Y578R04_015_S21P_20251218081014_M5358ACSC201811_RBGEUFRF04/dpll_52094/txpa_55176.png</t>
  </si>
  <si>
    <t>plots/3FT6Y578R04_015_S21P_20251218081014_M5358ACSC201811_RBGEUFRF04/dpll_52094/txpa_55177.png</t>
  </si>
  <si>
    <t>plots/3FT6Y578R04_015_S21P_20251218081014_M5358ACSC201811_RBGEUFRF04/dpll_52094/txpa_55178.png</t>
  </si>
  <si>
    <t>plots/3FT6Y578R04_015_S21P_20251218081014_M5358ACSC201811_RBGEUFRF04/dpll_52094/txpa_55179.png</t>
  </si>
  <si>
    <t>plots/3FT6Y578R04_015_S21P_20251218081014_M5358ACSC201811_RBGEUFRF04/dpll_52094/txpa_55180.png</t>
  </si>
  <si>
    <t>plots/3FT6Y578R04_015_S21P_20251218081014_M5358ACSC201811_RBGEUFRF04/dpll_52094/txpa_55181.png</t>
  </si>
  <si>
    <t>plots/3FT6Y578R04_015_S21P_20251218081014_M5358ACSC201811_RBGEUFRF04/dpll_52094/txpa_55182.png</t>
  </si>
  <si>
    <t>plots/3FT6Y578R04_015_S21P_20251218081014_M5358ACSC201811_RBGEUFRF04/dpll_52094/txpa_55183.png</t>
  </si>
  <si>
    <t>plots/3FT6Y578R04_015_S21P_20251218081014_M5358ACSC201811_RBGEUFRF04/dpll_52094/txpa_55184.png</t>
  </si>
  <si>
    <t>plots/3FT6Y578R04_015_S21P_20251218081014_M5358ACSC201811_RBGEUFRF04/dpll_52094/txpa_55185.png</t>
  </si>
  <si>
    <t>plots/3FT6Y578R04_015_S21P_20251218081014_M5358ACSC201811_RBGEUFRF04/dpll_52094/txpa_55186.png</t>
  </si>
  <si>
    <t>plots/3FT6Y578R04_015_S21P_20251218081014_M5358ACSC201811_RBGEUFRF04/dpll_52094/txpa_55187.png</t>
  </si>
  <si>
    <t>plots/3FT6Y578R04_015_S21P_20251218081014_M5358ACSC201811_RBGEUFRF04/dpll_52094/txpa_55188.png</t>
  </si>
  <si>
    <t>plots/3FT6Y578R04_015_S21P_20251218081014_M5358ACSC201811_RBGEUFRF04/dpll_52094/txpa_55189.png</t>
  </si>
  <si>
    <t>plots/3FT6Y578R04_015_S21P_20251218081014_M5358ACSC201811_RBGEUFRF04/dpll_52094/txpa_55190.png</t>
  </si>
  <si>
    <t>plots/3FT6Y578R04_015_S21P_20251218081014_M5358ACSC201811_RBGEUFRF04/dpll_52094/txpa_55191.png</t>
  </si>
  <si>
    <t>plots/3FT6Y578R04_015_S21P_20251218081014_M5358ACSC201811_RBGEUFRF04/dpll_52094/txpa_55192.png</t>
  </si>
  <si>
    <t>plots/3FT6Y578R04_015_S21P_20251218081014_M5358ACSC201811_RBGEUFRF04/dpll_52094/txpa_55193.png</t>
  </si>
  <si>
    <t>plots/3FT6Y578R04_015_S21P_20251218081014_M5358ACSC201811_RBGEUFRF04/dpll_52094/txpa_55194.png</t>
  </si>
  <si>
    <t>plots/3FT6Y578R04_015_S21P_20251218081014_M5358ACSC201811_RBGEUFRF04/dpll_52094/txpa_55195.png</t>
  </si>
  <si>
    <t>plots/3FT6Y578R04_015_S21P_20251218081014_M5358ACSC201811_RBGEUFRF04/dpll_52094/txpa_55196.png</t>
  </si>
  <si>
    <t>plots/3FT6Y578R04_015_S21P_20251218081014_M5358ACSC201811_RBGEUFRF04/dpll_52094/txpa_55197.png</t>
  </si>
  <si>
    <t>plots/3FT6Y578R04_015_S21P_20251218081014_M5358ACSC201811_RBGEUFRF04/dpll_52094/txpa_55198.png</t>
  </si>
  <si>
    <t>plots/3FT6Y578R04_015_S21P_20251218081014_M5358ACSC201811_RBGEUFRF04/dpll_52094/txpa_55199.png</t>
  </si>
  <si>
    <t>plots/3FT6Y578R04_015_S21P_20251218081014_M5358ACSC201811_RBGEUFRF04/dpll_52094/txpa_55200.png</t>
  </si>
  <si>
    <t>plots/3FT6Y578R04_015_S21P_20251218081014_M5358ACSC201811_RBGEUFRF04/dpll_52094/txpa_55201.png</t>
  </si>
  <si>
    <t>plots/3FT6Y578R04_015_S21P_20251218081014_M5358ACSC201811_RBGEUFRF04/dpll_52094/txpa_55202.png</t>
  </si>
  <si>
    <t>plots/3FT6Y578R04_015_S21P_20251218081014_M5358ACSC201811_RBGEUFRF04/dpll_52094/txpa_55203.png</t>
  </si>
  <si>
    <t>plots/3FT6Y578R04_015_S21P_20251218081014_M5358ACSC201811_RBGEUFRF04/dpll_52094/txpa_55204.png</t>
  </si>
  <si>
    <t>plots/3FT6Y578R04_015_S21P_20251218081014_M5358ACSC201811_RBGEUFRF04/dpll_52094/txpa_55205.png</t>
  </si>
  <si>
    <t>plots/3FT6Y578R04_015_S21P_20251218081014_M5358ACSC201811_RBGEUFRF04/dpll_52094/txpa_55206.png</t>
  </si>
  <si>
    <t>plots/3FT6Y578R04_015_S21P_20251218081014_M5358ACSC201811_RBGEUFRF04/dpll_52094/txpa_55207.png</t>
  </si>
  <si>
    <t>plots/3FT6Y578R04_015_S21P_20251218081014_M5358ACSC201811_RBGEUFRF04/dpll_52094/txpa_55208.png</t>
  </si>
  <si>
    <t>plots/3FT6Y578R04_015_S21P_20251218081014_M5358ACSC201811_RBGEUFRF04/dpll_52094/txpa_55209.png</t>
  </si>
  <si>
    <t>plots/3FT6Y578R04_015_S21P_20251218081014_M5358ACSC201811_RBGEUFRF04/dpll_52094/txpa_55210.png</t>
  </si>
  <si>
    <t>plots/3FT6Y578R04_015_S21P_20251218081014_M5358ACSC201811_RBGEUFRF04/dpll_52094/txpa_55211.png</t>
  </si>
  <si>
    <t>plots/3FT6Y578R04_015_S21P_20251218081014_M5358ACSC201811_RBGEUFRF04/dpll_52094/txpa_55212.png</t>
  </si>
  <si>
    <t>plots/3FT6Y578R04_015_S21P_20251218081014_M5358ACSC201811_RBGEUFRF04/dpll_52094/txpa_55213.png</t>
  </si>
  <si>
    <t>plots/3FT6Y578R04_015_S21P_20251218081014_M5358ACSC201811_RBGEUFRF04/dpll_52094/txpa_55214.png</t>
  </si>
  <si>
    <t>plots/3FT6Y578R04_015_S21P_20251218081014_M5358ACSC201811_RBGEUFRF04/dpll_52094/txpa_55215.png</t>
  </si>
  <si>
    <t>plots/3FT6Y578R04_015_S21P_20251218081014_M5358ACSC201811_RBGEUFRF04/dpll_52094/txpa_55216.png</t>
  </si>
  <si>
    <t>plots/3FT6Y578R04_015_S21P_20251218081014_M5358ACSC201811_RBGEUFRF04/dpll_52094/txpa_55217.png</t>
  </si>
  <si>
    <t>plots/3FT6Y578R04_015_S21P_20251218081014_M5358ACSC201811_RBGEUFRF04/dpll_52094/txpa_55218.png</t>
  </si>
  <si>
    <t>plots/3FT6Y578R04_015_S21P_20251218081014_M5358ACSC201811_RBGEUFRF04/dpll_52094/txpa_55219.png</t>
  </si>
  <si>
    <t>plots/3FT6Y578R04_015_S21P_20251218081014_M5358ACSC201811_RBGEUFRF04/dpll_52094/txpa_55220.png</t>
  </si>
  <si>
    <t>plots/3FT6Y578R04_015_S21P_20251218081014_M5358ACSC201811_RBGEUFRF04/dpll_52094/txpa_55221.png</t>
  </si>
  <si>
    <t>plots/3FT6Y578R04_015_S21P_20251218081014_M5358ACSC201811_RBGEUFRF04/dpll_52094/txpa_55222.png</t>
  </si>
  <si>
    <t>plots/3FT6Y578R04_015_S21P_20251218081014_M5358ACSC201811_RBGEUFRF04/dpll_52094/txpa_55223.png</t>
  </si>
  <si>
    <t>plots/3FT6Y578R04_015_S21P_20251218081014_M5358ACSC201811_RBGEUFRF04/dpll_52094/txpa_55224.png</t>
  </si>
  <si>
    <t>plots/3FT6Y578R04_015_S21P_20251218081014_M5358ACSC201811_RBGEUFRF04/dpll_52094/txpa_55225.png</t>
  </si>
  <si>
    <t>plots/3FT6Y578R04_015_S21P_20251218081014_M5358ACSC201811_RBGEUFRF04/dpll_52094/txpa_55226.png</t>
  </si>
  <si>
    <t>plots/3FT6Y578R04_015_S21P_20251218081014_M5358ACSC201811_RBGEUFRF04/dpll_52094/txpa_55227.png</t>
  </si>
  <si>
    <t>plots/3FT6Y578R04_015_S21P_20251218081014_M5358ACSC201811_RBGEUFRF04/dpll_52094/txpa_55228.png</t>
  </si>
  <si>
    <t>plots/3FT6Y578R04_015_S21P_20251218081014_M5358ACSC201811_RBGEUFRF04/dpll_52094/txpa_55229.png</t>
  </si>
  <si>
    <t>plots/3FT6Y578R04_015_S21P_20251218081014_M5358ACSC201811_RBGEUFRF04/dpll_52094/txpa_55230.png</t>
  </si>
  <si>
    <t>plots/3FT6Y578R04_015_S21P_20251218081014_M5358ACSC201811_RBGEUFRF04/dpll_52094/txpa_55231.png</t>
  </si>
  <si>
    <t>plots/3FT6Y578R04_015_S21P_20251218081014_M5358ACSC201811_RBGEUFRF04/dpll_52094/txpa_55232.png</t>
  </si>
  <si>
    <t>plots/3FT6Y578R04_015_S21P_20251218081014_M5358ACSC201811_RBGEUFRF04/dpll_52094/txpa_55233.png</t>
  </si>
  <si>
    <t>plots/3FT6Y578R04_015_S21P_20251218081014_M5358ACSC201811_RBGEUFRF04/dpll_52094/txpa_55234.png</t>
  </si>
  <si>
    <t>plots/3FT6Y578R04_015_S21P_20251218081014_M5358ACSC201811_RBGEUFRF04/dpll_52094/txpa_55235.png</t>
  </si>
  <si>
    <t>plots/3FT6Y578R04_015_S21P_20251218081014_M5358ACSC201811_RBGEUFRF04/dpll_52094/txpa_55236.png</t>
  </si>
  <si>
    <t>plots/3FT6Y578R04_015_S21P_20251218081014_M5358ACSC201811_RBGEUFRF04/dpll_52094/txpa_55237.png</t>
  </si>
  <si>
    <t>plots/3FT6Y578R04_015_S21P_20251218081014_M5358ACSC201811_RBGEUFRF04/dpll_52094/txpa_55238.png</t>
  </si>
  <si>
    <t>plots/3FT6Y578R04_015_S21P_20251218081014_M5358ACSC201811_RBGEUFRF04/dpll_52094/txpa_55239.png</t>
  </si>
  <si>
    <t>plots/3FT6Y578R04_015_S21P_20251218081014_M5358ACSC201811_RBGEUFRF04/dpll_52094/txpa_55240.png</t>
  </si>
  <si>
    <t>plots/3FT6Y578R04_015_S21P_20251218081014_M5358ACSC201811_RBGEUFRF04/dpll_52094/txpa_55241.png</t>
  </si>
  <si>
    <t>plots/3FT6Y578R04_015_S21P_20251218081014_M5358ACSC201811_RBGEUFRF04/dpll_52094/txpa_55242.png</t>
  </si>
  <si>
    <t>plots/3FT6Y578R04_015_S21P_20251218081014_M5358ACSC201811_RBGEUFRF04/dpll_52094/txpa_55243.png</t>
  </si>
  <si>
    <t>plots/3FT6Y578R04_015_S21P_20251218081014_M5358ACSC201811_RBGEUFRF04/dpll_52094/txpa_55244.png</t>
  </si>
  <si>
    <t>plots/3FT6Y578R04_015_S21P_20251218081014_M5358ACSC201811_RBGEUFRF04/dpll_52094/txpa_55245.png</t>
  </si>
  <si>
    <t>plots/3FT6Y578R04_015_S21P_20251218081014_M5358ACSC201811_RBGEUFRF04/dpll_52094/txpa_55246.png</t>
  </si>
  <si>
    <t>plots/3FT6Y578R04_015_S21P_20251218081014_M5358ACSC201811_RBGEUFRF04/dpll_52094/txpa_55247.png</t>
  </si>
  <si>
    <t>plots/3FT6Y578R04_015_S21P_20251218081014_M5358ACSC201811_RBGEUFRF04/dpll_52094/txpa_55248.png</t>
  </si>
  <si>
    <t>plots/3FT6Y578R04_015_S21P_20251218081014_M5358ACSC201811_RBGEUFRF04/dpll_52094/txpa_55249.png</t>
  </si>
  <si>
    <t>plots/3FT6Y578R04_015_S21P_20251218081014_M5358ACSC201811_RBGEUFRF04/dpll_52094/txpa_55250.png</t>
  </si>
  <si>
    <t>plots/3FT6Y578R04_015_S21P_20251218081014_M5358ACSC201811_RBGEUFRF04/dpll_52094/txpa_55251.png</t>
  </si>
  <si>
    <t>plots/3FT6Y578R04_015_S21P_20251218081014_M5358ACSC201811_RBGEUFRF04/dpll_52094/txpa_55252.png</t>
  </si>
  <si>
    <t>plots/3FT6Y578R04_015_S21P_20251218081014_M5358ACSC201811_RBGEUFRF04/dpll_52094/txpa_55253.png</t>
  </si>
  <si>
    <t>plots/3FT6Y578R04_015_S21P_20251218081014_M5358ACSC201811_RBGEUFRF04/dpll_52094/txpa_55254.png</t>
  </si>
  <si>
    <t>plots/3FT6Y578R04_015_S21P_20251218081014_M5358ACSC201811_RBGEUFRF04/dpll_52094/txpa_55255.png</t>
  </si>
  <si>
    <t>plots/3FT6Y578R04_015_S21P_20251218081014_M5358ACSC201811_RBGEUFRF04/dpll_52094/txpa_55256.png</t>
  </si>
  <si>
    <t>plots/3FT6Y578R04_015_S21P_20251218081014_M5358ACSC201811_RBGEUFRF04/dpll_52094/txpa_55257.png</t>
  </si>
  <si>
    <t>plots/3FT6Y578R04_015_S21P_20251218081014_M5358ACSC201811_RBGEUFRF04/dpll_52094/txpa_55258.png</t>
  </si>
  <si>
    <t>plots/3FT6Y578R04_015_S31P_20251219032831_M5358ACSA301811_RBGEUFRF04/dpll_52046/txpa_53179.png</t>
  </si>
  <si>
    <t>plots/3FT6Y578R04_015_S31P_20251219032831_M5358ACSA301811_RBGEUFRF04/dpll_52046/txpa_53180.png</t>
  </si>
  <si>
    <t>plots/3FT6Y578R04_015_S31P_20251219032831_M5358ACSA301811_RBGEUFRF04/dpll_52046/txpa_53181.png</t>
  </si>
  <si>
    <t>plots/3FT6Y578R04_015_S31P_20251219032831_M5358ACSA301811_RBGEUFRF04/dpll_52046/txpa_53182.png</t>
  </si>
  <si>
    <t>plots/3FT6Y578R04_015_S31P_20251219032831_M5358ACSA301811_RBGEUFRF04/dpll_52046/txpa_53183.png</t>
  </si>
  <si>
    <t>plots/3FT6Y578R04_015_S31P_20251219032831_M5358ACSA301811_RBGEUFRF04/dpll_52046/txpa_53184.png</t>
  </si>
  <si>
    <t>plots/3FT6Y578R04_015_S31P_20251219032831_M5358ACSA301811_RBGEUFRF04/dpll_52046/txpa_53185.png</t>
  </si>
  <si>
    <t>plots/3FT6Y578R04_015_S31P_20251219032831_M5358ACSA301811_RBGEUFRF04/dpll_52046/txpa_53186.png</t>
  </si>
  <si>
    <t>plots/3FT6Y578R04_015_S31P_20251219032831_M5358ACSA301811_RBGEUFRF04/dpll_52046/txpa_53187.png</t>
  </si>
  <si>
    <t>plots/3FT6Y578R04_015_S31P_20251219032831_M5358ACSA301811_RBGEUFRF04/dpll_52046/txpa_53188.png</t>
  </si>
  <si>
    <t>plots/3FT6Y578R04_015_S31P_20251219032831_M5358ACSA301811_RBGEUFRF04/dpll_52046/txpa_53189.png</t>
  </si>
  <si>
    <t>plots/3FT6Y578R04_015_S31P_20251219032831_M5358ACSA301811_RBGEUFRF04/dpll_52046/txpa_53190.png</t>
  </si>
  <si>
    <t>plots/3FT6Y578R04_015_S31P_20251219032831_M5358ACSA301811_RBGEUFRF04/dpll_52046/txpa_53191.png</t>
  </si>
  <si>
    <t>plots/3FT6Y578R04_015_S31P_20251219032831_M5358ACSA301811_RBGEUFRF04/dpll_52046/txpa_53192.png</t>
  </si>
  <si>
    <t>plots/3FT6Y578R04_015_S31P_20251219032831_M5358ACSA301811_RBGEUFRF04/dpll_52046/txpa_53193.png</t>
  </si>
  <si>
    <t>plots/3FT6Y578R04_015_S31P_20251219032831_M5358ACSA301811_RBGEUFRF04/dpll_52046/txpa_53194.png</t>
  </si>
  <si>
    <t>plots/3FT6Y578R04_015_S31P_20251219032831_M5358ACSA301811_RBGEUFRF04/dpll_52046/txpa_53195.png</t>
  </si>
  <si>
    <t>plots/3FT6Y578R04_015_S31P_20251219032831_M5358ACSA301811_RBGEUFRF04/dpll_52046/txpa_53196.png</t>
  </si>
  <si>
    <t>plots/3FT6Y578R04_015_S31P_20251219032831_M5358ACSA301811_RBGEUFRF04/dpll_52046/txpa_53197.png</t>
  </si>
  <si>
    <t>plots/3FT6Y578R04_015_S31P_20251219032831_M5358ACSA301811_RBGEUFRF04/dpll_52046/txpa_53198.png</t>
  </si>
  <si>
    <t>plots/3FT6Y578R04_015_S31P_20251219032831_M5358ACSA301811_RBGEUFRF04/dpll_52046/txpa_53199.png</t>
  </si>
  <si>
    <t>plots/3FT6Y578R04_015_S31P_20251219032831_M5358ACSA301811_RBGEUFRF04/dpll_52046/txpa_53200.png</t>
  </si>
  <si>
    <t>plots/3FT6Y578R04_015_S31P_20251219032831_M5358ACSA301811_RBGEUFRF04/dpll_52046/txpa_53201.png</t>
  </si>
  <si>
    <t>plots/3FT6Y578R04_015_S31P_20251219032831_M5358ACSA301811_RBGEUFRF04/dpll_52046/txpa_53202.png</t>
  </si>
  <si>
    <t>plots/3FT6Y578R04_015_S31P_20251219032831_M5358ACSA301811_RBGEUFRF04/dpll_52046/txpa_53203.png</t>
  </si>
  <si>
    <t>plots/3FT6Y578R04_015_S31P_20251219032831_M5358ACSA301811_RBGEUFRF04/dpll_52046/txpa_53204.png</t>
  </si>
  <si>
    <t>plots/3FT6Y578R04_015_S31P_20251219032831_M5358ACSA301811_RBGEUFRF04/dpll_52046/txpa_53205.png</t>
  </si>
  <si>
    <t>plots/3FT6Y578R04_015_S31P_20251219032831_M5358ACSA301811_RBGEUFRF04/dpll_52046/txpa_53206.png</t>
  </si>
  <si>
    <t>plots/3FT6Y578R04_015_S31P_20251219032831_M5358ACSA301811_RBGEUFRF04/dpll_52046/txpa_53207.png</t>
  </si>
  <si>
    <t>plots/3FT6Y578R04_015_S31P_20251219032831_M5358ACSA301811_RBGEUFRF04/dpll_52046/txpa_53208.png</t>
  </si>
  <si>
    <t>plots/3FT6Y578R04_015_S31P_20251219032831_M5358ACSA301811_RBGEUFRF04/dpll_52046/txpa_53209.png</t>
  </si>
  <si>
    <t>plots/3FT6Y578R04_015_S31P_20251219032831_M5358ACSA301811_RBGEUFRF04/dpll_52046/txpa_53210.png</t>
  </si>
  <si>
    <t>plots/3FT6Y578R04_015_S31P_20251219032831_M5358ACSA301811_RBGEUFRF04/dpll_52046/txpa_53211.png</t>
  </si>
  <si>
    <t>plots/3FT6Y578R04_015_S31P_20251219032831_M5358ACSA301811_RBGEUFRF04/dpll_52046/txpa_53212.png</t>
  </si>
  <si>
    <t>plots/3FT6Y578R04_015_S31P_20251219032831_M5358ACSA301811_RBGEUFRF04/dpll_52046/txpa_53213.png</t>
  </si>
  <si>
    <t>plots/3FT6Y578R04_015_S31P_20251219032831_M5358ACSA301811_RBGEUFRF04/dpll_52046/txpa_53214.png</t>
  </si>
  <si>
    <t>plots/3FT6Y578R04_015_S31P_20251219032831_M5358ACSA301811_RBGEUFRF04/dpll_52046/txpa_53215.png</t>
  </si>
  <si>
    <t>plots/3FT6Y578R04_015_S31P_20251219032831_M5358ACSA301811_RBGEUFRF04/dpll_52046/txpa_53216.png</t>
  </si>
  <si>
    <t>plots/3FT6Y578R04_015_S31P_20251219032831_M5358ACSA301811_RBGEUFRF04/dpll_52046/txpa_53217.png</t>
  </si>
  <si>
    <t>plots/3FT6Y578R04_015_S31P_20251219032831_M5358ACSA301811_RBGEUFRF04/dpll_52046/txpa_53218.png</t>
  </si>
  <si>
    <t>plots/3FT6Y578R04_015_S31P_20251219032831_M5358ACSA301811_RBGEUFRF04/dpll_52046/txpa_53219.png</t>
  </si>
  <si>
    <t>plots/3FT6Y578R04_015_S31P_20251219032831_M5358ACSA301811_RBGEUFRF04/dpll_52046/txpa_53220.png</t>
  </si>
  <si>
    <t>plots/3FT6Y578R04_015_S31P_20251219032831_M5358ACSA301811_RBGEUFRF04/dpll_52046/txpa_53221.png</t>
  </si>
  <si>
    <t>plots/3FT6Y578R04_015_S31P_20251219032831_M5358ACSA301811_RBGEUFRF04/dpll_52046/txpa_53222.png</t>
  </si>
  <si>
    <t>plots/3FT6Y578R04_015_S31P_20251219032831_M5358ACSA301811_RBGEUFRF04/dpll_52046/txpa_53223.png</t>
  </si>
  <si>
    <t>plots/3FT6Y578R04_015_S31P_20251219032831_M5358ACSA301811_RBGEUFRF04/dpll_52046/txpa_53224.png</t>
  </si>
  <si>
    <t>plots/3FT6Y578R04_015_S31P_20251219032831_M5358ACSA301811_RBGEUFRF04/dpll_52046/txpa_53225.png</t>
  </si>
  <si>
    <t>plots/3FT6Y578R04_015_S31P_20251219032831_M5358ACSA301811_RBGEUFRF04/dpll_52046/txpa_53226.png</t>
  </si>
  <si>
    <t>plots/3FT6Y578R04_015_S31P_20251219032831_M5358ACSA301811_RBGEUFRF04/dpll_52046/txpa_53227.png</t>
  </si>
  <si>
    <t>plots/3FT6Y578R04_015_S31P_20251219032831_M5358ACSA301811_RBGEUFRF04/dpll_52046/txpa_53228.png</t>
  </si>
  <si>
    <t>plots/3FT6Y578R04_015_S31P_20251219032831_M5358ACSA301811_RBGEUFRF04/dpll_52046/txpa_53229.png</t>
  </si>
  <si>
    <t>plots/3FT6Y578R04_015_S31P_20251219032831_M5358ACSA301811_RBGEUFRF04/dpll_52046/txpa_53230.png</t>
  </si>
  <si>
    <t>plots/3FT6Y578R04_015_S31P_20251219032831_M5358ACSA301811_RBGEUFRF04/dpll_52046/txpa_53231.png</t>
  </si>
  <si>
    <t>plots/3FT6Y578R04_015_S31P_20251219032831_M5358ACSA301811_RBGEUFRF04/dpll_52046/txpa_53232.png</t>
  </si>
  <si>
    <t>plots/3FT6Y578R04_015_S31P_20251219032831_M5358ACSA301811_RBGEUFRF04/dpll_52046/txpa_53233.png</t>
  </si>
  <si>
    <t>plots/3FT6Y578R04_015_S31P_20251219032831_M5358ACSA301811_RBGEUFRF04/dpll_52046/txpa_53234.png</t>
  </si>
  <si>
    <t>plots/3FT6Y578R04_015_S31P_20251219032831_M5358ACSA301811_RBGEUFRF04/dpll_52046/txpa_53235.png</t>
  </si>
  <si>
    <t>plots/3FT6Y578R04_015_S31P_20251219032831_M5358ACSA301811_RBGEUFRF04/dpll_52046/txpa_53236.png</t>
  </si>
  <si>
    <t>plots/3FT6Y578R04_015_S31P_20251219032831_M5358ACSA301811_RBGEUFRF04/dpll_52046/txpa_53237.png</t>
  </si>
  <si>
    <t>plots/3FT6Y578R04_015_S31P_20251219032831_M5358ACSA301811_RBGEUFRF04/dpll_52046/txpa_53238.png</t>
  </si>
  <si>
    <t>plots/3FT6Y578R04_015_S31P_20251219032831_M5358ACSA301811_RBGEUFRF04/dpll_52046/txpa_53239.png</t>
  </si>
  <si>
    <t>plots/3FT6Y578R04_015_S31P_20251219032831_M5358ACSA301811_RBGEUFRF04/dpll_52046/txpa_53240.png</t>
  </si>
  <si>
    <t>plots/3FT6Y578R04_015_S31P_20251219032831_M5358ACSA301811_RBGEUFRF04/dpll_52046/txpa_53241.png</t>
  </si>
  <si>
    <t>plots/3FT6Y578R04_015_S31P_20251219032831_M5358ACSA301811_RBGEUFRF04/dpll_52046/txpa_53242.png</t>
  </si>
  <si>
    <t>plots/3FT6Y578R04_015_S31P_20251219032831_M5358ACSA301811_RBGEUFRF04/dpll_52046/txpa_53243.png</t>
  </si>
  <si>
    <t>plots/3FT6Y578R04_015_S31P_20251219032831_M5358ACSA301811_RBGEUFRF04/dpll_52046/txpa_53244.png</t>
  </si>
  <si>
    <t>plots/3FT6Y578R04_015_S31P_20251219032831_M5358ACSA301811_RBGEUFRF04/dpll_52046/txpa_53245.png</t>
  </si>
  <si>
    <t>plots/3FT6Y578R04_015_S31P_20251219032831_M5358ACSA301811_RBGEUFRF04/dpll_52046/txpa_53246.png</t>
  </si>
  <si>
    <t>plots/3FT6Y578R04_015_S31P_20251219032831_M5358ACSA301811_RBGEUFRF04/dpll_52046/txpa_53247.png</t>
  </si>
  <si>
    <t>plots/3FT6Y578R04_015_S31P_20251219032831_M5358ACSA301811_RBGEUFRF04/dpll_52046/txpa_53248.png</t>
  </si>
  <si>
    <t>plots/3FT6Y578R04_015_S31P_20251219032831_M5358ACSA301811_RBGEUFRF04/dpll_52046/txpa_53249.png</t>
  </si>
  <si>
    <t>plots/3FT6Y578R04_015_S31P_20251219032831_M5358ACSA301811_RBGEUFRF04/dpll_52046/txpa_53250.png</t>
  </si>
  <si>
    <t>plots/3FT6Y578R04_015_S31P_20251219032831_M5358ACSA301811_RBGEUFRF04/dpll_52046/txpa_53251.png</t>
  </si>
  <si>
    <t>plots/3FT6Y578R04_015_S31P_20251219032831_M5358ACSA301811_RBGEUFRF04/dpll_52046/txpa_53252.png</t>
  </si>
  <si>
    <t>plots/3FT6Y578R04_015_S31P_20251219032831_M5358ACSA301811_RBGEUFRF04/dpll_52046/txpa_53253.png</t>
  </si>
  <si>
    <t>plots/3FT6Y578R04_015_S31P_20251219032831_M5358ACSA301811_RBGEUFRF04/dpll_52046/txpa_53254.png</t>
  </si>
  <si>
    <t>plots/3FT6Y578R04_015_S31P_20251219032831_M5358ACSA301811_RBGEUFRF04/dpll_52046/txpa_53255.png</t>
  </si>
  <si>
    <t>plots/3FT6Y578R04_015_S31P_20251219032831_M5358ACSA301811_RBGEUFRF04/dpll_52046/txpa_53256.png</t>
  </si>
  <si>
    <t>plots/3FT6Y578R04_015_S31P_20251219032831_M5358ACSA301811_RBGEUFRF04/dpll_52046/txpa_53257.png</t>
  </si>
  <si>
    <t>plots/3FT6Y578R04_015_S31P_20251219032831_M5358ACSA301811_RBGEUFRF04/dpll_52046/txpa_53258.png</t>
  </si>
  <si>
    <t>plots/3FT6Y578R04_015_S31P_20251219032831_M5358ACSA301811_RBGEUFRF04/dpll_52046/txpa_53259.png</t>
  </si>
  <si>
    <t>plots/3FT6Y578R04_015_S31P_20251219032831_M5358ACSA301811_RBGEUFRF04/dpll_52046/txpa_53260.png</t>
  </si>
  <si>
    <t>plots/3FT6Y578R04_015_S31P_20251219032831_M5358ACSA301811_RBGEUFRF04/dpll_52046/txpa_53261.png</t>
  </si>
  <si>
    <t>plots/3FT6Y578R04_015_S31P_20251219032831_M5358ACSA301811_RBGEUFRF04/dpll_52046/txpa_53262.png</t>
  </si>
  <si>
    <t>plots/3FT6Y578R04_015_S31P_20251219032831_M5358ACSA301811_RBGEUFRF04/dpll_52046/txpa_53263.png</t>
  </si>
  <si>
    <t>plots/3FT6Y578R04_015_S31P_20251219032831_M5358ACSA301811_RBGEUFRF04/dpll_52046/txpa_53264.png</t>
  </si>
  <si>
    <t>plots/3FT6Y578R04_015_S31P_20251219032831_M5358ACSA301811_RBGEUFRF04/dpll_52046/txpa_53265.png</t>
  </si>
  <si>
    <t>plots/3FT6Y578R04_015_S31P_20251219032831_M5358ACSA301811_RBGEUFRF04/dpll_52046/txpa_53266.png</t>
  </si>
  <si>
    <t>plots/3FT6Y578R04_015_S31P_20251219032831_M5358ACSA301811_RBGEUFRF04/dpll_52046/txpa_53267.png</t>
  </si>
  <si>
    <t>plots/3FT6Y578R04_015_S31P_20251219032831_M5358ACSA301811_RBGEUFRF04/dpll_52046/txpa_53268.png</t>
  </si>
  <si>
    <t>plots/3FT6Y578R04_015_S31P_20251219032831_M5358ACSA301811_RBGEUFRF04/dpll_52046/txpa_53269.png</t>
  </si>
  <si>
    <t>plots/3FT6Y578R04_015_S31P_20251219032831_M5358ACSA301811_RBGEUFRF04/dpll_52046/txpa_53270.png</t>
  </si>
  <si>
    <t>plots/3FT6Y578R04_015_S31P_20251219032831_M5358ACSA301811_RBGEUFRF04/dpll_52046/txpa_53271.png</t>
  </si>
  <si>
    <t>plots/3FT6Y578R04_015_S31P_20251219032831_M5358ACSA301811_RBGEUFRF04/dpll_52046/txpa_53272.png</t>
  </si>
  <si>
    <t>plots/3FT6Y578R04_015_S31P_20251219032831_M5358ACSA301811_RBGEUFRF04/dpll_52046/txpa_53273.png</t>
  </si>
  <si>
    <t>plots/3FT6Y578R04_015_S31P_20251219032831_M5358ACSA301811_RBGEUFRF04/dpll_52046/txpa_53274.png</t>
  </si>
  <si>
    <t>plots/3FT6Y578R04_015_S31P_20251219032831_M5358ACSA301811_RBGEUFRF04/dpll_52046/txpa_53275.png</t>
  </si>
  <si>
    <t>plots/3FT6Y578R04_015_S31P_20251219032831_M5358ACSA301811_RBGEUFRF04/dpll_52046/txpa_53276.png</t>
  </si>
  <si>
    <t>plots/3FT6Y578R04_015_S31P_20251219032831_M5358ACSA301811_RBGEUFRF04/dpll_52046/txpa_53277.png</t>
  </si>
  <si>
    <t>plots/3FT6Y578R04_015_S31P_20251219032831_M5358ACSA301811_RBGEUFRF04/dpll_52046/txpa_53278.png</t>
  </si>
  <si>
    <t>plots/3FT6Y578R04_015_S31P_20251219032831_M5358ACSA301811_RBGEUFRF04/dpll_52046/txpa_53279.png</t>
  </si>
  <si>
    <t>plots/3FT6Y578R04_015_S31P_20251219032831_M5358ACSA301811_RBGEUFRF04/dpll_52046/txpa_53280.png</t>
  </si>
  <si>
    <t>plots/3FT6Y578R04_015_S31P_20251219032831_M5358ACSA301811_RBGEUFRF04/dpll_52046/txpa_53281.png</t>
  </si>
  <si>
    <t>plots/3FT6Y578R04_015_S31P_20251219032831_M5358ACSA301811_RBGEUFRF04/dpll_52046/txpa_53282.png</t>
  </si>
  <si>
    <t>plots/3FT6Y578R04_015_S31P_20251219032831_M5358ACSA301811_RBGEUFRF04/dpll_52046/txpa_53283.png</t>
  </si>
  <si>
    <t>plots/3FT6Y578R04_015_S31P_20251219032831_M5358ACSA301811_RBGEUFRF04/dpll_52046/txpa_53284.png</t>
  </si>
  <si>
    <t>plots/3FT6Y578R04_015_S31P_20251219032831_M5358ACSA301811_RBGEUFRF04/dpll_52046/txpa_53285.png</t>
  </si>
  <si>
    <t>plots/3FT6Y578R04_015_S31P_20251219032831_M5358ACSA301811_RBGEUFRF04/dpll_52046/txpa_53286.png</t>
  </si>
  <si>
    <t>plots/3FT6Y578R04_015_S31P_20251219032831_M5358ACSA301811_RBGEUFRF04/dpll_52046/txpa_53287.png</t>
  </si>
  <si>
    <t>plots/3FT6Y578R04_015_S31P_20251219032831_M5358ACSA301811_RBGEUFRF04/dpll_52046/txpa_53288.png</t>
  </si>
  <si>
    <t>plots/3FT6Y578R04_015_S31P_20251219032831_M5358ACSA301811_RBGEUFRF04/dpll_52046/txpa_53289.png</t>
  </si>
  <si>
    <t>plots/3FT6Y578R04_015_S31P_20251219032831_M5358ACSA301811_RBGEUFRF04/dpll_52046/txpa_53290.png</t>
  </si>
  <si>
    <t>plots/3FT6Y578R04_015_S31P_20251219032831_M5358ACSA301811_RBGEUFRF04/dpll_52046/txpa_54146.png</t>
  </si>
  <si>
    <t>plots/3FT6Y578R04_015_S31P_20251219032831_M5358ACSA301811_RBGEUFRF04/dpll_52046/txpa_54147.png</t>
  </si>
  <si>
    <t>plots/3FT6Y578R04_015_S31P_20251219032831_M5358ACSA301811_RBGEUFRF04/dpll_52046/txpa_54148.png</t>
  </si>
  <si>
    <t>plots/3FT6Y578R04_015_S31P_20251219032831_M5358ACSA301811_RBGEUFRF04/dpll_52046/txpa_54149.png</t>
  </si>
  <si>
    <t>plots/3FT6Y578R04_015_S31P_20251219032831_M5358ACSA301811_RBGEUFRF04/dpll_52046/txpa_54150.png</t>
  </si>
  <si>
    <t>plots/3FT6Y578R04_015_S31P_20251219032831_M5358ACSA301811_RBGEUFRF04/dpll_52046/txpa_54151.png</t>
  </si>
  <si>
    <t>plots/3FT6Y578R04_015_S31P_20251219032831_M5358ACSA301811_RBGEUFRF04/dpll_52046/txpa_54152.png</t>
  </si>
  <si>
    <t>plots/3FT6Y578R04_015_S31P_20251219032831_M5358ACSA301811_RBGEUFRF04/dpll_52046/txpa_54153.png</t>
  </si>
  <si>
    <t>plots/3FT6Y578R04_015_S31P_20251219032831_M5358ACSA301811_RBGEUFRF04/dpll_52046/txpa_54154.png</t>
  </si>
  <si>
    <t>plots/3FT6Y578R04_015_S31P_20251219032831_M5358ACSA301811_RBGEUFRF04/dpll_52046/txpa_54155.png</t>
  </si>
  <si>
    <t>plots/3FT6Y578R04_015_S31P_20251219032831_M5358ACSA301811_RBGEUFRF04/dpll_52046/txpa_54156.png</t>
  </si>
  <si>
    <t>plots/3FT6Y578R04_015_S31P_20251219032831_M5358ACSA301811_RBGEUFRF04/dpll_52046/txpa_54157.png</t>
  </si>
  <si>
    <t>plots/3FT6Y578R04_015_S31P_20251219032831_M5358ACSA301811_RBGEUFRF04/dpll_52046/txpa_54158.png</t>
  </si>
  <si>
    <t>plots/3FT6Y578R04_015_S31P_20251219032831_M5358ACSA301811_RBGEUFRF04/dpll_52046/txpa_54159.png</t>
  </si>
  <si>
    <t>plots/3FT6Y578R04_015_S31P_20251219032831_M5358ACSA301811_RBGEUFRF04/dpll_52046/txpa_54160.png</t>
  </si>
  <si>
    <t>plots/3FT6Y578R04_015_S31P_20251219032831_M5358ACSA301811_RBGEUFRF04/dpll_52046/txpa_54161.png</t>
  </si>
  <si>
    <t>plots/3FT6Y578R04_015_S31P_20251219032831_M5358ACSA301811_RBGEUFRF04/dpll_52046/txpa_54162.png</t>
  </si>
  <si>
    <t>plots/3FT6Y578R04_015_S31P_20251219032831_M5358ACSA301811_RBGEUFRF04/dpll_52046/txpa_54163.png</t>
  </si>
  <si>
    <t>plots/3FT6Y578R04_015_S31P_20251219032831_M5358ACSA301811_RBGEUFRF04/dpll_52046/txpa_54164.png</t>
  </si>
  <si>
    <t>plots/3FT6Y578R04_015_S31P_20251219032831_M5358ACSA301811_RBGEUFRF04/dpll_52046/txpa_54165.png</t>
  </si>
  <si>
    <t>plots/3FT6Y578R04_015_S31P_20251219032831_M5358ACSA301811_RBGEUFRF04/dpll_52046/txpa_54166.png</t>
  </si>
  <si>
    <t>plots/3FT6Y578R04_015_S31P_20251219032831_M5358ACSA301811_RBGEUFRF04/dpll_52046/txpa_54167.png</t>
  </si>
  <si>
    <t>plots/3FT6Y578R04_015_S31P_20251219032831_M5358ACSA301811_RBGEUFRF04/dpll_52046/txpa_54168.png</t>
  </si>
  <si>
    <t>plots/3FT6Y578R04_015_S31P_20251219032831_M5358ACSA301811_RBGEUFRF04/dpll_52046/txpa_54169.png</t>
  </si>
  <si>
    <t>plots/3FT6Y578R04_015_S31P_20251219032831_M5358ACSA301811_RBGEUFRF04/dpll_52046/txpa_54170.png</t>
  </si>
  <si>
    <t>plots/3FT6Y578R04_015_S31P_20251219032831_M5358ACSA301811_RBGEUFRF04/dpll_52046/txpa_54171.png</t>
  </si>
  <si>
    <t>plots/3FT6Y578R04_015_S31P_20251219032831_M5358ACSA301811_RBGEUFRF04/dpll_52046/txpa_54172.png</t>
  </si>
  <si>
    <t>plots/3FT6Y578R04_015_S31P_20251219032831_M5358ACSA301811_RBGEUFRF04/dpll_52046/txpa_54173.png</t>
  </si>
  <si>
    <t>plots/3FT6Y578R04_015_S31P_20251219032831_M5358ACSA301811_RBGEUFRF04/dpll_52046/txpa_54174.png</t>
  </si>
  <si>
    <t>plots/3FT6Y578R04_015_S31P_20251219032831_M5358ACSA301811_RBGEUFRF04/dpll_52046/txpa_54175.png</t>
  </si>
  <si>
    <t>plots/3FT6Y578R04_015_S31P_20251219032831_M5358ACSA301811_RBGEUFRF04/dpll_52046/txpa_54176.png</t>
  </si>
  <si>
    <t>plots/3FT6Y578R04_015_S31P_20251219032831_M5358ACSA301811_RBGEUFRF04/dpll_52046/txpa_54177.png</t>
  </si>
  <si>
    <t>plots/3FT6Y578R04_015_S31P_20251219032831_M5358ACSA301811_RBGEUFRF04/dpll_52046/txpa_54178.png</t>
  </si>
  <si>
    <t>plots/3FT6Y578R04_015_S31P_20251219032831_M5358ACSA301811_RBGEUFRF04/dpll_52046/txpa_54179.png</t>
  </si>
  <si>
    <t>plots/3FT6Y578R04_015_S31P_20251219032831_M5358ACSA301811_RBGEUFRF04/dpll_52046/txpa_54180.png</t>
  </si>
  <si>
    <t>plots/3FT6Y578R04_015_S31P_20251219032831_M5358ACSA301811_RBGEUFRF04/dpll_52046/txpa_54181.png</t>
  </si>
  <si>
    <t>plots/3FT6Y578R04_015_S31P_20251219032831_M5358ACSA301811_RBGEUFRF04/dpll_52046/txpa_54182.png</t>
  </si>
  <si>
    <t>plots/3FT6Y578R04_015_S31P_20251219032831_M5358ACSA301811_RBGEUFRF04/dpll_52046/txpa_54183.png</t>
  </si>
  <si>
    <t>plots/3FT6Y578R04_015_S31P_20251219032831_M5358ACSA301811_RBGEUFRF04/dpll_52046/txpa_54184.png</t>
  </si>
  <si>
    <t>plots/3FT6Y578R04_015_S31P_20251219032831_M5358ACSA301811_RBGEUFRF04/dpll_52046/txpa_54185.png</t>
  </si>
  <si>
    <t>plots/3FT6Y578R04_015_S31P_20251219032831_M5358ACSA301811_RBGEUFRF04/dpll_52046/txpa_54186.png</t>
  </si>
  <si>
    <t>plots/3FT6Y578R04_015_S31P_20251219032831_M5358ACSA301811_RBGEUFRF04/dpll_52046/txpa_54187.png</t>
  </si>
  <si>
    <t>plots/3FT6Y578R04_015_S31P_20251219032831_M5358ACSA301811_RBGEUFRF04/dpll_52046/txpa_54188.png</t>
  </si>
  <si>
    <t>plots/3FT6Y578R04_015_S31P_20251219032831_M5358ACSA301811_RBGEUFRF04/dpll_52046/txpa_54189.png</t>
  </si>
  <si>
    <t>plots/3FT6Y578R04_015_S31P_20251219032831_M5358ACSA301811_RBGEUFRF04/dpll_52046/txpa_54190.png</t>
  </si>
  <si>
    <t>plots/3FT6Y578R04_015_S31P_20251219032831_M5358ACSA301811_RBGEUFRF04/dpll_52046/txpa_54191.png</t>
  </si>
  <si>
    <t>plots/3FT6Y578R04_015_S31P_20251219032831_M5358ACSA301811_RBGEUFRF04/dpll_52046/txpa_54192.png</t>
  </si>
  <si>
    <t>plots/3FT6Y578R04_015_S31P_20251219032831_M5358ACSA301811_RBGEUFRF04/dpll_52046/txpa_54193.png</t>
  </si>
  <si>
    <t>plots/3FT6Y578R04_015_S31P_20251219032831_M5358ACSA301811_RBGEUFRF04/dpll_52046/txpa_54194.png</t>
  </si>
  <si>
    <t>plots/3FT6Y578R04_015_S31P_20251219032831_M5358ACSA301811_RBGEUFRF04/dpll_52046/txpa_54195.png</t>
  </si>
  <si>
    <t>plots/3FT6Y578R04_015_S31P_20251219032831_M5358ACSA301811_RBGEUFRF04/dpll_52046/txpa_54196.png</t>
  </si>
  <si>
    <t>plots/3FT6Y578R04_015_S31P_20251219032831_M5358ACSA301811_RBGEUFRF04/dpll_52046/txpa_54197.png</t>
  </si>
  <si>
    <t>plots/3FT6Y578R04_015_S31P_20251219032831_M5358ACSA301811_RBGEUFRF04/dpll_52046/txpa_54198.png</t>
  </si>
  <si>
    <t>plots/3FT6Y578R04_015_S31P_20251219032831_M5358ACSA301811_RBGEUFRF04/dpll_52046/txpa_54199.png</t>
  </si>
  <si>
    <t>plots/3FT6Y578R04_015_S31P_20251219032831_M5358ACSA301811_RBGEUFRF04/dpll_52046/txpa_54200.png</t>
  </si>
  <si>
    <t>plots/3FT6Y578R04_015_S31P_20251219032831_M5358ACSA301811_RBGEUFRF04/dpll_52046/txpa_54201.png</t>
  </si>
  <si>
    <t>plots/3FT6Y578R04_015_S31P_20251219032831_M5358ACSA301811_RBGEUFRF04/dpll_52046/txpa_54202.png</t>
  </si>
  <si>
    <t>plots/3FT6Y578R04_015_S31P_20251219032831_M5358ACSA301811_RBGEUFRF04/dpll_52046/txpa_54203.png</t>
  </si>
  <si>
    <t>plots/3FT6Y578R04_015_S31P_20251219032831_M5358ACSA301811_RBGEUFRF04/dpll_52046/txpa_54204.png</t>
  </si>
  <si>
    <t>plots/3FT6Y578R04_015_S31P_20251219032831_M5358ACSA301811_RBGEUFRF04/dpll_52046/txpa_54205.png</t>
  </si>
  <si>
    <t>plots/3FT6Y578R04_015_S31P_20251219032831_M5358ACSA301811_RBGEUFRF04/dpll_52046/txpa_54206.png</t>
  </si>
  <si>
    <t>plots/3FT6Y578R04_015_S31P_20251219032831_M5358ACSA301811_RBGEUFRF04/dpll_52046/txpa_54207.png</t>
  </si>
  <si>
    <t>plots/3FT6Y578R04_015_S31P_20251219032831_M5358ACSA301811_RBGEUFRF04/dpll_52046/txpa_54208.png</t>
  </si>
  <si>
    <t>plots/3FT6Y578R04_015_S31P_20251219032831_M5358ACSA301811_RBGEUFRF04/dpll_52046/txpa_54209.png</t>
  </si>
  <si>
    <t>plots/3FT6Y578R04_015_S31P_20251219032831_M5358ACSA301811_RBGEUFRF04/dpll_52046/txpa_54210.png</t>
  </si>
  <si>
    <t>plots/3FT6Y578R04_015_S31P_20251219032831_M5358ACSA301811_RBGEUFRF04/dpll_52046/txpa_54211.png</t>
  </si>
  <si>
    <t>plots/3FT6Y578R04_015_S31P_20251219032831_M5358ACSA301811_RBGEUFRF04/dpll_52046/txpa_54212.png</t>
  </si>
  <si>
    <t>plots/3FT6Y578R04_015_S31P_20251219032831_M5358ACSA301811_RBGEUFRF04/dpll_52046/txpa_54213.png</t>
  </si>
  <si>
    <t>plots/3FT6Y578R04_015_S31P_20251219032831_M5358ACSA301811_RBGEUFRF04/dpll_52046/txpa_54214.png</t>
  </si>
  <si>
    <t>plots/3FT6Y578R04_015_S31P_20251219032831_M5358ACSA301811_RBGEUFRF04/dpll_52046/txpa_54215.png</t>
  </si>
  <si>
    <t>plots/3FT6Y578R04_015_S31P_20251219032831_M5358ACSA301811_RBGEUFRF04/dpll_52046/txpa_54216.png</t>
  </si>
  <si>
    <t>plots/3FT6Y578R04_015_S31P_20251219032831_M5358ACSA301811_RBGEUFRF04/dpll_52046/txpa_54217.png</t>
  </si>
  <si>
    <t>plots/3FT6Y578R04_015_S31P_20251219032831_M5358ACSA301811_RBGEUFRF04/dpll_52046/txpa_54218.png</t>
  </si>
  <si>
    <t>plots/3FT6Y578R04_015_S31P_20251219032831_M5358ACSA301811_RBGEUFRF04/dpll_52046/txpa_54219.png</t>
  </si>
  <si>
    <t>plots/3FT6Y578R04_015_S31P_20251219032831_M5358ACSA301811_RBGEUFRF04/dpll_52046/txpa_54220.png</t>
  </si>
  <si>
    <t>plots/3FT6Y578R04_015_S31P_20251219032831_M5358ACSA301811_RBGEUFRF04/dpll_52046/txpa_54221.png</t>
  </si>
  <si>
    <t>plots/3FT6Y578R04_015_S31P_20251219032831_M5358ACSA301811_RBGEUFRF04/dpll_52046/txpa_54222.png</t>
  </si>
  <si>
    <t>plots/3FT6Y578R04_015_S31P_20251219032831_M5358ACSA301811_RBGEUFRF04/dpll_52046/txpa_54223.png</t>
  </si>
  <si>
    <t>plots/3FT6Y578R04_015_S31P_20251219032831_M5358ACSA301811_RBGEUFRF04/dpll_52046/txpa_54224.png</t>
  </si>
  <si>
    <t>plots/3FT6Y578R04_015_S31P_20251219032831_M5358ACSA301811_RBGEUFRF04/dpll_52046/txpa_54225.png</t>
  </si>
  <si>
    <t>plots/3FT6Y578R04_015_S31P_20251219032831_M5358ACSA301811_RBGEUFRF04/dpll_52046/txpa_54226.png</t>
  </si>
  <si>
    <t>plots/3FT6Y578R04_015_S31P_20251219032831_M5358ACSA301811_RBGEUFRF04/dpll_52046/txpa_54227.png</t>
  </si>
  <si>
    <t>plots/3FT6Y578R04_015_S31P_20251219032831_M5358ACSA301811_RBGEUFRF04/dpll_52046/txpa_54228.png</t>
  </si>
  <si>
    <t>plots/3FT6Y578R04_015_S31P_20251219032831_M5358ACSA301811_RBGEUFRF04/dpll_52046/txpa_54229.png</t>
  </si>
  <si>
    <t>plots/3FT6Y578R04_015_S31P_20251219032831_M5358ACSA301811_RBGEUFRF04/dpll_52046/txpa_54230.png</t>
  </si>
  <si>
    <t>plots/3FT6Y578R04_015_S31P_20251219032831_M5358ACSA301811_RBGEUFRF04/dpll_52046/txpa_54231.png</t>
  </si>
  <si>
    <t>plots/3FT6Y578R04_015_S31P_20251219032831_M5358ACSA301811_RBGEUFRF04/dpll_52046/txpa_54232.png</t>
  </si>
  <si>
    <t>plots/3FT6Y578R04_015_S31P_20251219032831_M5358ACSA301811_RBGEUFRF04/dpll_52046/txpa_54233.png</t>
  </si>
  <si>
    <t>plots/3FT6Y578R04_015_S31P_20251219032831_M5358ACSA301811_RBGEUFRF04/dpll_52046/txpa_54234.png</t>
  </si>
  <si>
    <t>plots/3FT6Y578R04_015_S31P_20251219032831_M5358ACSA301811_RBGEUFRF04/dpll_52046/txpa_54235.png</t>
  </si>
  <si>
    <t>plots/3FT6Y578R04_015_S31P_20251219032831_M5358ACSA301811_RBGEUFRF04/dpll_52046/txpa_54236.png</t>
  </si>
  <si>
    <t>plots/3FT6Y578R04_015_S31P_20251219032831_M5358ACSA301811_RBGEUFRF04/dpll_52046/txpa_54237.png</t>
  </si>
  <si>
    <t>plots/3FT6Y578R04_015_S31P_20251219032831_M5358ACSA301811_RBGEUFRF04/dpll_52046/txpa_54238.png</t>
  </si>
  <si>
    <t>plots/3FT6Y578R04_015_S31P_20251219032831_M5358ACSA301811_RBGEUFRF04/dpll_52046/txpa_54239.png</t>
  </si>
  <si>
    <t>plots/3FT6Y578R04_015_S31P_20251219032831_M5358ACSA301811_RBGEUFRF04/dpll_52046/txpa_54240.png</t>
  </si>
  <si>
    <t>plots/3FT6Y578R04_015_S31P_20251219032831_M5358ACSA301811_RBGEUFRF04/dpll_52046/txpa_54241.png</t>
  </si>
  <si>
    <t>plots/3FT6Y578R04_015_S31P_20251219032831_M5358ACSA301811_RBGEUFRF04/dpll_52046/txpa_54242.png</t>
  </si>
  <si>
    <t>plots/3FT6Y578R04_015_S31P_20251219032831_M5358ACSA301811_RBGEUFRF04/dpll_52046/txpa_54243.png</t>
  </si>
  <si>
    <t>plots/3FT6Y578R04_015_S31P_20251219032831_M5358ACSA301811_RBGEUFRF04/dpll_52046/txpa_54244.png</t>
  </si>
  <si>
    <t>plots/3FT6Y578R04_015_S31P_20251219032831_M5358ACSA301811_RBGEUFRF04/dpll_52046/txpa_54245.png</t>
  </si>
  <si>
    <t>plots/3FT6Y578R04_015_S31P_20251219032831_M5358ACSA301811_RBGEUFRF04/dpll_52046/txpa_54246.png</t>
  </si>
  <si>
    <t>plots/3FT6Y578R04_015_S31P_20251219032831_M5358ACSA301811_RBGEUFRF04/dpll_52046/txpa_54247.png</t>
  </si>
  <si>
    <t>plots/3FT6Y578R04_015_S31P_20251219032831_M5358ACSA301811_RBGEUFRF04/dpll_52046/txpa_54248.png</t>
  </si>
  <si>
    <t>plots/3FT6Y578R04_015_S31P_20251219032831_M5358ACSA301811_RBGEUFRF04/dpll_52046/txpa_54249.png</t>
  </si>
  <si>
    <t>plots/3FT6Y578R04_015_S31P_20251219032831_M5358ACSA301811_RBGEUFRF04/dpll_52046/txpa_54250.png</t>
  </si>
  <si>
    <t>plots/3FT6Y578R04_015_S31P_20251219032831_M5358ACSA301811_RBGEUFRF04/dpll_52046/txpa_54251.png</t>
  </si>
  <si>
    <t>plots/3FT6Y578R04_015_S31P_20251219032831_M5358ACSA301811_RBGEUFRF04/dpll_52046/txpa_54252.png</t>
  </si>
  <si>
    <t>plots/3FT6Y578R04_015_S31P_20251219032831_M5358ACSA301811_RBGEUFRF04/dpll_52046/txpa_54253.png</t>
  </si>
  <si>
    <t>plots/3FT6Y578R04_015_S31P_20251219032831_M5358ACSA301811_RBGEUFRF04/dpll_52046/txpa_54254.png</t>
  </si>
  <si>
    <t>plots/3FT6Y578R04_015_S31P_20251219032831_M5358ACSA301811_RBGEUFRF04/dpll_52046/txpa_54255.png</t>
  </si>
  <si>
    <t>plots/3FT6Y578R04_015_S31P_20251219032831_M5358ACSA301811_RBGEUFRF04/dpll_52046/txpa_54256.png</t>
  </si>
  <si>
    <t>plots/3FT6Y578R04_015_S31P_20251219032831_M5358ACSA301811_RBGEUFRF04/dpll_52046/txpa_54257.png</t>
  </si>
  <si>
    <t>plots/3FT6Y578R04_015_S31P_20251219032831_M5358ACSA301811_RBGEUFRF04/dpll_52046/txpa_54258.png</t>
  </si>
  <si>
    <t>plots/3FT6Y578R04_015_S31P_20251219032831_M5358ACSA301811_RBGEUFRF04/dpll_52046/txpa_55146.png</t>
  </si>
  <si>
    <t>plots/3FT6Y578R04_015_S31P_20251219032831_M5358ACSA301811_RBGEUFRF04/dpll_52046/txpa_55147.png</t>
  </si>
  <si>
    <t>plots/3FT6Y578R04_015_S31P_20251219032831_M5358ACSA301811_RBGEUFRF04/dpll_52046/txpa_55148.png</t>
  </si>
  <si>
    <t>plots/3FT6Y578R04_015_S31P_20251219032831_M5358ACSA301811_RBGEUFRF04/dpll_52046/txpa_55149.png</t>
  </si>
  <si>
    <t>plots/3FT6Y578R04_015_S31P_20251219032831_M5358ACSA301811_RBGEUFRF04/dpll_52046/txpa_55150.png</t>
  </si>
  <si>
    <t>plots/3FT6Y578R04_015_S31P_20251219032831_M5358ACSA301811_RBGEUFRF04/dpll_52046/txpa_55151.png</t>
  </si>
  <si>
    <t>plots/3FT6Y578R04_015_S31P_20251219032831_M5358ACSA301811_RBGEUFRF04/dpll_52046/txpa_55152.png</t>
  </si>
  <si>
    <t>plots/3FT6Y578R04_015_S31P_20251219032831_M5358ACSA301811_RBGEUFRF04/dpll_52046/txpa_55153.png</t>
  </si>
  <si>
    <t>plots/3FT6Y578R04_015_S31P_20251219032831_M5358ACSA301811_RBGEUFRF04/dpll_52046/txpa_55154.png</t>
  </si>
  <si>
    <t>plots/3FT6Y578R04_015_S31P_20251219032831_M5358ACSA301811_RBGEUFRF04/dpll_52046/txpa_55155.png</t>
  </si>
  <si>
    <t>plots/3FT6Y578R04_015_S31P_20251219032831_M5358ACSA301811_RBGEUFRF04/dpll_52046/txpa_55156.png</t>
  </si>
  <si>
    <t>plots/3FT6Y578R04_015_S31P_20251219032831_M5358ACSA301811_RBGEUFRF04/dpll_52046/txpa_55157.png</t>
  </si>
  <si>
    <t>plots/3FT6Y578R04_015_S31P_20251219032831_M5358ACSA301811_RBGEUFRF04/dpll_52046/txpa_55158.png</t>
  </si>
  <si>
    <t>plots/3FT6Y578R04_015_S31P_20251219032831_M5358ACSA301811_RBGEUFRF04/dpll_52046/txpa_55159.png</t>
  </si>
  <si>
    <t>plots/3FT6Y578R04_015_S31P_20251219032831_M5358ACSA301811_RBGEUFRF04/dpll_52046/txpa_55160.png</t>
  </si>
  <si>
    <t>plots/3FT6Y578R04_015_S31P_20251219032831_M5358ACSA301811_RBGEUFRF04/dpll_52046/txpa_55161.png</t>
  </si>
  <si>
    <t>plots/3FT6Y578R04_015_S31P_20251219032831_M5358ACSA301811_RBGEUFRF04/dpll_52046/txpa_55162.png</t>
  </si>
  <si>
    <t>plots/3FT6Y578R04_015_S31P_20251219032831_M5358ACSA301811_RBGEUFRF04/dpll_52046/txpa_55163.png</t>
  </si>
  <si>
    <t>plots/3FT6Y578R04_015_S31P_20251219032831_M5358ACSA301811_RBGEUFRF04/dpll_52046/txpa_55164.png</t>
  </si>
  <si>
    <t>plots/3FT6Y578R04_015_S31P_20251219032831_M5358ACSA301811_RBGEUFRF04/dpll_52046/txpa_55165.png</t>
  </si>
  <si>
    <t>plots/3FT6Y578R04_015_S31P_20251219032831_M5358ACSA301811_RBGEUFRF04/dpll_52046/txpa_55166.png</t>
  </si>
  <si>
    <t>plots/3FT6Y578R04_015_S31P_20251219032831_M5358ACSA301811_RBGEUFRF04/dpll_52046/txpa_55167.png</t>
  </si>
  <si>
    <t>plots/3FT6Y578R04_015_S31P_20251219032831_M5358ACSA301811_RBGEUFRF04/dpll_52046/txpa_55168.png</t>
  </si>
  <si>
    <t>plots/3FT6Y578R04_015_S31P_20251219032831_M5358ACSA301811_RBGEUFRF04/dpll_52046/txpa_55169.png</t>
  </si>
  <si>
    <t>plots/3FT6Y578R04_015_S31P_20251219032831_M5358ACSA301811_RBGEUFRF04/dpll_52046/txpa_55170.png</t>
  </si>
  <si>
    <t>plots/3FT6Y578R04_015_S31P_20251219032831_M5358ACSA301811_RBGEUFRF04/dpll_52046/txpa_55171.png</t>
  </si>
  <si>
    <t>plots/3FT6Y578R04_015_S31P_20251219032831_M5358ACSA301811_RBGEUFRF04/dpll_52046/txpa_55172.png</t>
  </si>
  <si>
    <t>plots/3FT6Y578R04_015_S31P_20251219032831_M5358ACSA301811_RBGEUFRF04/dpll_52046/txpa_55173.png</t>
  </si>
  <si>
    <t>plots/3FT6Y578R04_015_S31P_20251219032831_M5358ACSA301811_RBGEUFRF04/dpll_52046/txpa_55174.png</t>
  </si>
  <si>
    <t>plots/3FT6Y578R04_015_S31P_20251219032831_M5358ACSA301811_RBGEUFRF04/dpll_52046/txpa_55175.png</t>
  </si>
  <si>
    <t>plots/3FT6Y578R04_015_S31P_20251219032831_M5358ACSA301811_RBGEUFRF04/dpll_52046/txpa_55176.png</t>
  </si>
  <si>
    <t>plots/3FT6Y578R04_015_S31P_20251219032831_M5358ACSA301811_RBGEUFRF04/dpll_52046/txpa_55177.png</t>
  </si>
  <si>
    <t>plots/3FT6Y578R04_015_S31P_20251219032831_M5358ACSA301811_RBGEUFRF04/dpll_52046/txpa_55178.png</t>
  </si>
  <si>
    <t>plots/3FT6Y578R04_015_S31P_20251219032831_M5358ACSA301811_RBGEUFRF04/dpll_52046/txpa_55179.png</t>
  </si>
  <si>
    <t>plots/3FT6Y578R04_015_S31P_20251219032831_M5358ACSA301811_RBGEUFRF04/dpll_52046/txpa_55180.png</t>
  </si>
  <si>
    <t>plots/3FT6Y578R04_015_S31P_20251219032831_M5358ACSA301811_RBGEUFRF04/dpll_52046/txpa_55181.png</t>
  </si>
  <si>
    <t>plots/3FT6Y578R04_015_S31P_20251219032831_M5358ACSA301811_RBGEUFRF04/dpll_52046/txpa_55182.png</t>
  </si>
  <si>
    <t>plots/3FT6Y578R04_015_S31P_20251219032831_M5358ACSA301811_RBGEUFRF04/dpll_52046/txpa_55183.png</t>
  </si>
  <si>
    <t>plots/3FT6Y578R04_015_S31P_20251219032831_M5358ACSA301811_RBGEUFRF04/dpll_52046/txpa_55184.png</t>
  </si>
  <si>
    <t>plots/3FT6Y578R04_015_S31P_20251219032831_M5358ACSA301811_RBGEUFRF04/dpll_52046/txpa_55185.png</t>
  </si>
  <si>
    <t>plots/3FT6Y578R04_015_S31P_20251219032831_M5358ACSA301811_RBGEUFRF04/dpll_52046/txpa_55186.png</t>
  </si>
  <si>
    <t>plots/3FT6Y578R04_015_S31P_20251219032831_M5358ACSA301811_RBGEUFRF04/dpll_52046/txpa_55187.png</t>
  </si>
  <si>
    <t>plots/3FT6Y578R04_015_S31P_20251219032831_M5358ACSA301811_RBGEUFRF04/dpll_52046/txpa_55188.png</t>
  </si>
  <si>
    <t>plots/3FT6Y578R04_015_S31P_20251219032831_M5358ACSA301811_RBGEUFRF04/dpll_52046/txpa_55189.png</t>
  </si>
  <si>
    <t>plots/3FT6Y578R04_015_S31P_20251219032831_M5358ACSA301811_RBGEUFRF04/dpll_52046/txpa_55190.png</t>
  </si>
  <si>
    <t>plots/3FT6Y578R04_015_S31P_20251219032831_M5358ACSA301811_RBGEUFRF04/dpll_52046/txpa_55191.png</t>
  </si>
  <si>
    <t>plots/3FT6Y578R04_015_S31P_20251219032831_M5358ACSA301811_RBGEUFRF04/dpll_52046/txpa_55192.png</t>
  </si>
  <si>
    <t>plots/3FT6Y578R04_015_S31P_20251219032831_M5358ACSA301811_RBGEUFRF04/dpll_52046/txpa_55193.png</t>
  </si>
  <si>
    <t>plots/3FT6Y578R04_015_S31P_20251219032831_M5358ACSA301811_RBGEUFRF04/dpll_52046/txpa_55194.png</t>
  </si>
  <si>
    <t>plots/3FT6Y578R04_015_S31P_20251219032831_M5358ACSA301811_RBGEUFRF04/dpll_52046/txpa_55195.png</t>
  </si>
  <si>
    <t>plots/3FT6Y578R04_015_S31P_20251219032831_M5358ACSA301811_RBGEUFRF04/dpll_52046/txpa_55196.png</t>
  </si>
  <si>
    <t>plots/3FT6Y578R04_015_S31P_20251219032831_M5358ACSA301811_RBGEUFRF04/dpll_52046/txpa_55197.png</t>
  </si>
  <si>
    <t>plots/3FT6Y578R04_015_S31P_20251219032831_M5358ACSA301811_RBGEUFRF04/dpll_52046/txpa_55198.png</t>
  </si>
  <si>
    <t>plots/3FT6Y578R04_015_S31P_20251219032831_M5358ACSA301811_RBGEUFRF04/dpll_52046/txpa_55199.png</t>
  </si>
  <si>
    <t>plots/3FT6Y578R04_015_S31P_20251219032831_M5358ACSA301811_RBGEUFRF04/dpll_52046/txpa_55200.png</t>
  </si>
  <si>
    <t>plots/3FT6Y578R04_015_S31P_20251219032831_M5358ACSA301811_RBGEUFRF04/dpll_52046/txpa_55201.png</t>
  </si>
  <si>
    <t>plots/3FT6Y578R04_015_S31P_20251219032831_M5358ACSA301811_RBGEUFRF04/dpll_52046/txpa_55202.png</t>
  </si>
  <si>
    <t>plots/3FT6Y578R04_015_S31P_20251219032831_M5358ACSA301811_RBGEUFRF04/dpll_52046/txpa_55203.png</t>
  </si>
  <si>
    <t>plots/3FT6Y578R04_015_S31P_20251219032831_M5358ACSA301811_RBGEUFRF04/dpll_52046/txpa_55204.png</t>
  </si>
  <si>
    <t>plots/3FT6Y578R04_015_S31P_20251219032831_M5358ACSA301811_RBGEUFRF04/dpll_52046/txpa_55205.png</t>
  </si>
  <si>
    <t>plots/3FT6Y578R04_015_S31P_20251219032831_M5358ACSA301811_RBGEUFRF04/dpll_52046/txpa_55206.png</t>
  </si>
  <si>
    <t>plots/3FT6Y578R04_015_S31P_20251219032831_M5358ACSA301811_RBGEUFRF04/dpll_52046/txpa_55207.png</t>
  </si>
  <si>
    <t>plots/3FT6Y578R04_015_S31P_20251219032831_M5358ACSA301811_RBGEUFRF04/dpll_52046/txpa_55208.png</t>
  </si>
  <si>
    <t>plots/3FT6Y578R04_015_S31P_20251219032831_M5358ACSA301811_RBGEUFRF04/dpll_52046/txpa_55209.png</t>
  </si>
  <si>
    <t>plots/3FT6Y578R04_015_S31P_20251219032831_M5358ACSA301811_RBGEUFRF04/dpll_52046/txpa_55210.png</t>
  </si>
  <si>
    <t>plots/3FT6Y578R04_015_S31P_20251219032831_M5358ACSA301811_RBGEUFRF04/dpll_52046/txpa_55211.png</t>
  </si>
  <si>
    <t>plots/3FT6Y578R04_015_S31P_20251219032831_M5358ACSA301811_RBGEUFRF04/dpll_52046/txpa_55212.png</t>
  </si>
  <si>
    <t>plots/3FT6Y578R04_015_S31P_20251219032831_M5358ACSA301811_RBGEUFRF04/dpll_52046/txpa_55213.png</t>
  </si>
  <si>
    <t>plots/3FT6Y578R04_015_S31P_20251219032831_M5358ACSA301811_RBGEUFRF04/dpll_52046/txpa_55214.png</t>
  </si>
  <si>
    <t>plots/3FT6Y578R04_015_S31P_20251219032831_M5358ACSA301811_RBGEUFRF04/dpll_52046/txpa_55215.png</t>
  </si>
  <si>
    <t>plots/3FT6Y578R04_015_S31P_20251219032831_M5358ACSA301811_RBGEUFRF04/dpll_52046/txpa_55216.png</t>
  </si>
  <si>
    <t>plots/3FT6Y578R04_015_S31P_20251219032831_M5358ACSA301811_RBGEUFRF04/dpll_52046/txpa_55217.png</t>
  </si>
  <si>
    <t>plots/3FT6Y578R04_015_S31P_20251219032831_M5358ACSA301811_RBGEUFRF04/dpll_52046/txpa_55218.png</t>
  </si>
  <si>
    <t>plots/3FT6Y578R04_015_S31P_20251219032831_M5358ACSA301811_RBGEUFRF04/dpll_52046/txpa_55219.png</t>
  </si>
  <si>
    <t>plots/3FT6Y578R04_015_S31P_20251219032831_M5358ACSA301811_RBGEUFRF04/dpll_52046/txpa_55220.png</t>
  </si>
  <si>
    <t>plots/3FT6Y578R04_015_S31P_20251219032831_M5358ACSA301811_RBGEUFRF04/dpll_52046/txpa_55221.png</t>
  </si>
  <si>
    <t>plots/3FT6Y578R04_015_S31P_20251219032831_M5358ACSA301811_RBGEUFRF04/dpll_52046/txpa_55222.png</t>
  </si>
  <si>
    <t>plots/3FT6Y578R04_015_S31P_20251219032831_M5358ACSA301811_RBGEUFRF04/dpll_52046/txpa_55223.png</t>
  </si>
  <si>
    <t>plots/3FT6Y578R04_015_S31P_20251219032831_M5358ACSA301811_RBGEUFRF04/dpll_52046/txpa_55224.png</t>
  </si>
  <si>
    <t>plots/3FT6Y578R04_015_S31P_20251219032831_M5358ACSA301811_RBGEUFRF04/dpll_52046/txpa_55225.png</t>
  </si>
  <si>
    <t>plots/3FT6Y578R04_015_S31P_20251219032831_M5358ACSA301811_RBGEUFRF04/dpll_52046/txpa_55226.png</t>
  </si>
  <si>
    <t>plots/3FT6Y578R04_015_S31P_20251219032831_M5358ACSA301811_RBGEUFRF04/dpll_52046/txpa_55227.png</t>
  </si>
  <si>
    <t>plots/3FT6Y578R04_015_S31P_20251219032831_M5358ACSA301811_RBGEUFRF04/dpll_52046/txpa_55228.png</t>
  </si>
  <si>
    <t>plots/3FT6Y578R04_015_S31P_20251219032831_M5358ACSA301811_RBGEUFRF04/dpll_52046/txpa_55229.png</t>
  </si>
  <si>
    <t>plots/3FT6Y578R04_015_S31P_20251219032831_M5358ACSA301811_RBGEUFRF04/dpll_52046/txpa_55230.png</t>
  </si>
  <si>
    <t>plots/3FT6Y578R04_015_S31P_20251219032831_M5358ACSA301811_RBGEUFRF04/dpll_52046/txpa_55231.png</t>
  </si>
  <si>
    <t>plots/3FT6Y578R04_015_S31P_20251219032831_M5358ACSA301811_RBGEUFRF04/dpll_52046/txpa_55232.png</t>
  </si>
  <si>
    <t>plots/3FT6Y578R04_015_S31P_20251219032831_M5358ACSA301811_RBGEUFRF04/dpll_52046/txpa_55233.png</t>
  </si>
  <si>
    <t>plots/3FT6Y578R04_015_S31P_20251219032831_M5358ACSA301811_RBGEUFRF04/dpll_52046/txpa_55234.png</t>
  </si>
  <si>
    <t>plots/3FT6Y578R04_015_S31P_20251219032831_M5358ACSA301811_RBGEUFRF04/dpll_52046/txpa_55235.png</t>
  </si>
  <si>
    <t>plots/3FT6Y578R04_015_S31P_20251219032831_M5358ACSA301811_RBGEUFRF04/dpll_52046/txpa_55236.png</t>
  </si>
  <si>
    <t>plots/3FT6Y578R04_015_S31P_20251219032831_M5358ACSA301811_RBGEUFRF04/dpll_52046/txpa_55237.png</t>
  </si>
  <si>
    <t>plots/3FT6Y578R04_015_S31P_20251219032831_M5358ACSA301811_RBGEUFRF04/dpll_52046/txpa_55238.png</t>
  </si>
  <si>
    <t>plots/3FT6Y578R04_015_S31P_20251219032831_M5358ACSA301811_RBGEUFRF04/dpll_52046/txpa_55239.png</t>
  </si>
  <si>
    <t>plots/3FT6Y578R04_015_S31P_20251219032831_M5358ACSA301811_RBGEUFRF04/dpll_52046/txpa_55240.png</t>
  </si>
  <si>
    <t>plots/3FT6Y578R04_015_S31P_20251219032831_M5358ACSA301811_RBGEUFRF04/dpll_52046/txpa_55241.png</t>
  </si>
  <si>
    <t>plots/3FT6Y578R04_015_S31P_20251219032831_M5358ACSA301811_RBGEUFRF04/dpll_52046/txpa_55242.png</t>
  </si>
  <si>
    <t>plots/3FT6Y578R04_015_S31P_20251219032831_M5358ACSA301811_RBGEUFRF04/dpll_52046/txpa_55243.png</t>
  </si>
  <si>
    <t>plots/3FT6Y578R04_015_S31P_20251219032831_M5358ACSA301811_RBGEUFRF04/dpll_52046/txpa_55244.png</t>
  </si>
  <si>
    <t>plots/3FT6Y578R04_015_S31P_20251219032831_M5358ACSA301811_RBGEUFRF04/dpll_52046/txpa_55245.png</t>
  </si>
  <si>
    <t>plots/3FT6Y578R04_015_S31P_20251219032831_M5358ACSA301811_RBGEUFRF04/dpll_52046/txpa_55246.png</t>
  </si>
  <si>
    <t>plots/3FT6Y578R04_015_S31P_20251219032831_M5358ACSA301811_RBGEUFRF04/dpll_52046/txpa_55247.png</t>
  </si>
  <si>
    <t>plots/3FT6Y578R04_015_S31P_20251219032831_M5358ACSA301811_RBGEUFRF04/dpll_52046/txpa_55248.png</t>
  </si>
  <si>
    <t>plots/3FT6Y578R04_015_S31P_20251219032831_M5358ACSA301811_RBGEUFRF04/dpll_52046/txpa_55249.png</t>
  </si>
  <si>
    <t>plots/3FT6Y578R04_015_S31P_20251219032831_M5358ACSA301811_RBGEUFRF04/dpll_52046/txpa_55250.png</t>
  </si>
  <si>
    <t>plots/3FT6Y578R04_015_S31P_20251219032831_M5358ACSA301811_RBGEUFRF04/dpll_52046/txpa_55251.png</t>
  </si>
  <si>
    <t>plots/3FT6Y578R04_015_S31P_20251219032831_M5358ACSA301811_RBGEUFRF04/dpll_52046/txpa_55252.png</t>
  </si>
  <si>
    <t>plots/3FT6Y578R04_015_S31P_20251219032831_M5358ACSA301811_RBGEUFRF04/dpll_52046/txpa_55253.png</t>
  </si>
  <si>
    <t>plots/3FT6Y578R04_015_S31P_20251219032831_M5358ACSA301811_RBGEUFRF04/dpll_52046/txpa_55254.png</t>
  </si>
  <si>
    <t>plots/3FT6Y578R04_015_S31P_20251219032831_M5358ACSA301811_RBGEUFRF04/dpll_52046/txpa_55255.png</t>
  </si>
  <si>
    <t>plots/3FT6Y578R04_015_S31P_20251219032831_M5358ACSA301811_RBGEUFRF04/dpll_52046/txpa_55256.png</t>
  </si>
  <si>
    <t>plots/3FT6Y578R04_015_S31P_20251219032831_M5358ACSA301811_RBGEUFRF04/dpll_52046/txpa_55257.png</t>
  </si>
  <si>
    <t>plots/3FT6Y578R04_015_S31P_20251219032831_M5358ACSA301811_RBGEUFRF04/dpll_52046/txpa_55258.png</t>
  </si>
  <si>
    <t>plots/3FT6Y578R04_015_S31P_20251219032831_M5358ACSA301811_RBGEUFRF04/dpll_52084/txpa_53179.png</t>
  </si>
  <si>
    <t>plots/3FT6Y578R04_015_S31P_20251219032831_M5358ACSA301811_RBGEUFRF04/dpll_52084/txpa_53180.png</t>
  </si>
  <si>
    <t>plots/3FT6Y578R04_015_S31P_20251219032831_M5358ACSA301811_RBGEUFRF04/dpll_52084/txpa_53181.png</t>
  </si>
  <si>
    <t>plots/3FT6Y578R04_015_S31P_20251219032831_M5358ACSA301811_RBGEUFRF04/dpll_52084/txpa_53182.png</t>
  </si>
  <si>
    <t>plots/3FT6Y578R04_015_S31P_20251219032831_M5358ACSA301811_RBGEUFRF04/dpll_52084/txpa_53183.png</t>
  </si>
  <si>
    <t>plots/3FT6Y578R04_015_S31P_20251219032831_M5358ACSA301811_RBGEUFRF04/dpll_52084/txpa_53184.png</t>
  </si>
  <si>
    <t>plots/3FT6Y578R04_015_S31P_20251219032831_M5358ACSA301811_RBGEUFRF04/dpll_52084/txpa_53185.png</t>
  </si>
  <si>
    <t>plots/3FT6Y578R04_015_S31P_20251219032831_M5358ACSA301811_RBGEUFRF04/dpll_52084/txpa_53186.png</t>
  </si>
  <si>
    <t>plots/3FT6Y578R04_015_S31P_20251219032831_M5358ACSA301811_RBGEUFRF04/dpll_52084/txpa_53187.png</t>
  </si>
  <si>
    <t>plots/3FT6Y578R04_015_S31P_20251219032831_M5358ACSA301811_RBGEUFRF04/dpll_52084/txpa_53188.png</t>
  </si>
  <si>
    <t>plots/3FT6Y578R04_015_S31P_20251219032831_M5358ACSA301811_RBGEUFRF04/dpll_52084/txpa_53189.png</t>
  </si>
  <si>
    <t>plots/3FT6Y578R04_015_S31P_20251219032831_M5358ACSA301811_RBGEUFRF04/dpll_52084/txpa_53190.png</t>
  </si>
  <si>
    <t>plots/3FT6Y578R04_015_S31P_20251219032831_M5358ACSA301811_RBGEUFRF04/dpll_52084/txpa_53191.png</t>
  </si>
  <si>
    <t>plots/3FT6Y578R04_015_S31P_20251219032831_M5358ACSA301811_RBGEUFRF04/dpll_52084/txpa_53192.png</t>
  </si>
  <si>
    <t>plots/3FT6Y578R04_015_S31P_20251219032831_M5358ACSA301811_RBGEUFRF04/dpll_52084/txpa_53193.png</t>
  </si>
  <si>
    <t>plots/3FT6Y578R04_015_S31P_20251219032831_M5358ACSA301811_RBGEUFRF04/dpll_52084/txpa_53194.png</t>
  </si>
  <si>
    <t>plots/3FT6Y578R04_015_S31P_20251219032831_M5358ACSA301811_RBGEUFRF04/dpll_52084/txpa_53195.png</t>
  </si>
  <si>
    <t>plots/3FT6Y578R04_015_S31P_20251219032831_M5358ACSA301811_RBGEUFRF04/dpll_52084/txpa_53196.png</t>
  </si>
  <si>
    <t>plots/3FT6Y578R04_015_S31P_20251219032831_M5358ACSA301811_RBGEUFRF04/dpll_52084/txpa_53197.png</t>
  </si>
  <si>
    <t>plots/3FT6Y578R04_015_S31P_20251219032831_M5358ACSA301811_RBGEUFRF04/dpll_52084/txpa_53198.png</t>
  </si>
  <si>
    <t>plots/3FT6Y578R04_015_S31P_20251219032831_M5358ACSA301811_RBGEUFRF04/dpll_52084/txpa_53199.png</t>
  </si>
  <si>
    <t>plots/3FT6Y578R04_015_S31P_20251219032831_M5358ACSA301811_RBGEUFRF04/dpll_52084/txpa_53200.png</t>
  </si>
  <si>
    <t>plots/3FT6Y578R04_015_S31P_20251219032831_M5358ACSA301811_RBGEUFRF04/dpll_52084/txpa_53201.png</t>
  </si>
  <si>
    <t>plots/3FT6Y578R04_015_S31P_20251219032831_M5358ACSA301811_RBGEUFRF04/dpll_52084/txpa_53202.png</t>
  </si>
  <si>
    <t>plots/3FT6Y578R04_015_S31P_20251219032831_M5358ACSA301811_RBGEUFRF04/dpll_52084/txpa_53203.png</t>
  </si>
  <si>
    <t>plots/3FT6Y578R04_015_S31P_20251219032831_M5358ACSA301811_RBGEUFRF04/dpll_52084/txpa_53204.png</t>
  </si>
  <si>
    <t>plots/3FT6Y578R04_015_S31P_20251219032831_M5358ACSA301811_RBGEUFRF04/dpll_52084/txpa_53205.png</t>
  </si>
  <si>
    <t>plots/3FT6Y578R04_015_S31P_20251219032831_M5358ACSA301811_RBGEUFRF04/dpll_52084/txpa_53206.png</t>
  </si>
  <si>
    <t>plots/3FT6Y578R04_015_S31P_20251219032831_M5358ACSA301811_RBGEUFRF04/dpll_52084/txpa_53207.png</t>
  </si>
  <si>
    <t>plots/3FT6Y578R04_015_S31P_20251219032831_M5358ACSA301811_RBGEUFRF04/dpll_52084/txpa_53208.png</t>
  </si>
  <si>
    <t>plots/3FT6Y578R04_015_S31P_20251219032831_M5358ACSA301811_RBGEUFRF04/dpll_52084/txpa_53209.png</t>
  </si>
  <si>
    <t>plots/3FT6Y578R04_015_S31P_20251219032831_M5358ACSA301811_RBGEUFRF04/dpll_52084/txpa_53210.png</t>
  </si>
  <si>
    <t>plots/3FT6Y578R04_015_S31P_20251219032831_M5358ACSA301811_RBGEUFRF04/dpll_52084/txpa_53211.png</t>
  </si>
  <si>
    <t>plots/3FT6Y578R04_015_S31P_20251219032831_M5358ACSA301811_RBGEUFRF04/dpll_52084/txpa_53212.png</t>
  </si>
  <si>
    <t>plots/3FT6Y578R04_015_S31P_20251219032831_M5358ACSA301811_RBGEUFRF04/dpll_52084/txpa_53213.png</t>
  </si>
  <si>
    <t>plots/3FT6Y578R04_015_S31P_20251219032831_M5358ACSA301811_RBGEUFRF04/dpll_52084/txpa_53214.png</t>
  </si>
  <si>
    <t>plots/3FT6Y578R04_015_S31P_20251219032831_M5358ACSA301811_RBGEUFRF04/dpll_52084/txpa_53215.png</t>
  </si>
  <si>
    <t>plots/3FT6Y578R04_015_S31P_20251219032831_M5358ACSA301811_RBGEUFRF04/dpll_52084/txpa_53216.png</t>
  </si>
  <si>
    <t>plots/3FT6Y578R04_015_S31P_20251219032831_M5358ACSA301811_RBGEUFRF04/dpll_52084/txpa_53217.png</t>
  </si>
  <si>
    <t>plots/3FT6Y578R04_015_S31P_20251219032831_M5358ACSA301811_RBGEUFRF04/dpll_52084/txpa_53218.png</t>
  </si>
  <si>
    <t>plots/3FT6Y578R04_015_S31P_20251219032831_M5358ACSA301811_RBGEUFRF04/dpll_52084/txpa_53219.png</t>
  </si>
  <si>
    <t>plots/3FT6Y578R04_015_S31P_20251219032831_M5358ACSA301811_RBGEUFRF04/dpll_52084/txpa_53220.png</t>
  </si>
  <si>
    <t>plots/3FT6Y578R04_015_S31P_20251219032831_M5358ACSA301811_RBGEUFRF04/dpll_52084/txpa_53221.png</t>
  </si>
  <si>
    <t>plots/3FT6Y578R04_015_S31P_20251219032831_M5358ACSA301811_RBGEUFRF04/dpll_52084/txpa_53222.png</t>
  </si>
  <si>
    <t>plots/3FT6Y578R04_015_S31P_20251219032831_M5358ACSA301811_RBGEUFRF04/dpll_52084/txpa_53223.png</t>
  </si>
  <si>
    <t>plots/3FT6Y578R04_015_S31P_20251219032831_M5358ACSA301811_RBGEUFRF04/dpll_52084/txpa_53224.png</t>
  </si>
  <si>
    <t>plots/3FT6Y578R04_015_S31P_20251219032831_M5358ACSA301811_RBGEUFRF04/dpll_52084/txpa_53225.png</t>
  </si>
  <si>
    <t>plots/3FT6Y578R04_015_S31P_20251219032831_M5358ACSA301811_RBGEUFRF04/dpll_52084/txpa_53226.png</t>
  </si>
  <si>
    <t>plots/3FT6Y578R04_015_S31P_20251219032831_M5358ACSA301811_RBGEUFRF04/dpll_52084/txpa_53227.png</t>
  </si>
  <si>
    <t>plots/3FT6Y578R04_015_S31P_20251219032831_M5358ACSA301811_RBGEUFRF04/dpll_52084/txpa_53228.png</t>
  </si>
  <si>
    <t>plots/3FT6Y578R04_015_S31P_20251219032831_M5358ACSA301811_RBGEUFRF04/dpll_52084/txpa_53229.png</t>
  </si>
  <si>
    <t>plots/3FT6Y578R04_015_S31P_20251219032831_M5358ACSA301811_RBGEUFRF04/dpll_52084/txpa_53230.png</t>
  </si>
  <si>
    <t>plots/3FT6Y578R04_015_S31P_20251219032831_M5358ACSA301811_RBGEUFRF04/dpll_52084/txpa_53231.png</t>
  </si>
  <si>
    <t>plots/3FT6Y578R04_015_S31P_20251219032831_M5358ACSA301811_RBGEUFRF04/dpll_52084/txpa_53232.png</t>
  </si>
  <si>
    <t>plots/3FT6Y578R04_015_S31P_20251219032831_M5358ACSA301811_RBGEUFRF04/dpll_52084/txpa_53233.png</t>
  </si>
  <si>
    <t>plots/3FT6Y578R04_015_S31P_20251219032831_M5358ACSA301811_RBGEUFRF04/dpll_52084/txpa_53234.png</t>
  </si>
  <si>
    <t>plots/3FT6Y578R04_015_S31P_20251219032831_M5358ACSA301811_RBGEUFRF04/dpll_52084/txpa_53235.png</t>
  </si>
  <si>
    <t>plots/3FT6Y578R04_015_S31P_20251219032831_M5358ACSA301811_RBGEUFRF04/dpll_52084/txpa_53236.png</t>
  </si>
  <si>
    <t>plots/3FT6Y578R04_015_S31P_20251219032831_M5358ACSA301811_RBGEUFRF04/dpll_52084/txpa_53237.png</t>
  </si>
  <si>
    <t>plots/3FT6Y578R04_015_S31P_20251219032831_M5358ACSA301811_RBGEUFRF04/dpll_52084/txpa_53238.png</t>
  </si>
  <si>
    <t>plots/3FT6Y578R04_015_S31P_20251219032831_M5358ACSA301811_RBGEUFRF04/dpll_52084/txpa_53239.png</t>
  </si>
  <si>
    <t>plots/3FT6Y578R04_015_S31P_20251219032831_M5358ACSA301811_RBGEUFRF04/dpll_52084/txpa_53240.png</t>
  </si>
  <si>
    <t>plots/3FT6Y578R04_015_S31P_20251219032831_M5358ACSA301811_RBGEUFRF04/dpll_52084/txpa_53241.png</t>
  </si>
  <si>
    <t>plots/3FT6Y578R04_015_S31P_20251219032831_M5358ACSA301811_RBGEUFRF04/dpll_52084/txpa_53242.png</t>
  </si>
  <si>
    <t>plots/3FT6Y578R04_015_S31P_20251219032831_M5358ACSA301811_RBGEUFRF04/dpll_52084/txpa_53243.png</t>
  </si>
  <si>
    <t>plots/3FT6Y578R04_015_S31P_20251219032831_M5358ACSA301811_RBGEUFRF04/dpll_52084/txpa_53244.png</t>
  </si>
  <si>
    <t>plots/3FT6Y578R04_015_S31P_20251219032831_M5358ACSA301811_RBGEUFRF04/dpll_52084/txpa_53245.png</t>
  </si>
  <si>
    <t>plots/3FT6Y578R04_015_S31P_20251219032831_M5358ACSA301811_RBGEUFRF04/dpll_52084/txpa_53246.png</t>
  </si>
  <si>
    <t>plots/3FT6Y578R04_015_S31P_20251219032831_M5358ACSA301811_RBGEUFRF04/dpll_52084/txpa_53247.png</t>
  </si>
  <si>
    <t>plots/3FT6Y578R04_015_S31P_20251219032831_M5358ACSA301811_RBGEUFRF04/dpll_52084/txpa_53248.png</t>
  </si>
  <si>
    <t>plots/3FT6Y578R04_015_S31P_20251219032831_M5358ACSA301811_RBGEUFRF04/dpll_52084/txpa_53249.png</t>
  </si>
  <si>
    <t>plots/3FT6Y578R04_015_S31P_20251219032831_M5358ACSA301811_RBGEUFRF04/dpll_52084/txpa_53250.png</t>
  </si>
  <si>
    <t>plots/3FT6Y578R04_015_S31P_20251219032831_M5358ACSA301811_RBGEUFRF04/dpll_52084/txpa_53251.png</t>
  </si>
  <si>
    <t>plots/3FT6Y578R04_015_S31P_20251219032831_M5358ACSA301811_RBGEUFRF04/dpll_52084/txpa_53252.png</t>
  </si>
  <si>
    <t>plots/3FT6Y578R04_015_S31P_20251219032831_M5358ACSA301811_RBGEUFRF04/dpll_52084/txpa_53253.png</t>
  </si>
  <si>
    <t>plots/3FT6Y578R04_015_S31P_20251219032831_M5358ACSA301811_RBGEUFRF04/dpll_52084/txpa_53254.png</t>
  </si>
  <si>
    <t>plots/3FT6Y578R04_015_S31P_20251219032831_M5358ACSA301811_RBGEUFRF04/dpll_52084/txpa_53255.png</t>
  </si>
  <si>
    <t>plots/3FT6Y578R04_015_S31P_20251219032831_M5358ACSA301811_RBGEUFRF04/dpll_52084/txpa_53256.png</t>
  </si>
  <si>
    <t>plots/3FT6Y578R04_015_S31P_20251219032831_M5358ACSA301811_RBGEUFRF04/dpll_52084/txpa_53257.png</t>
  </si>
  <si>
    <t>plots/3FT6Y578R04_015_S31P_20251219032831_M5358ACSA301811_RBGEUFRF04/dpll_52084/txpa_53258.png</t>
  </si>
  <si>
    <t>plots/3FT6Y578R04_015_S31P_20251219032831_M5358ACSA301811_RBGEUFRF04/dpll_52084/txpa_53259.png</t>
  </si>
  <si>
    <t>plots/3FT6Y578R04_015_S31P_20251219032831_M5358ACSA301811_RBGEUFRF04/dpll_52084/txpa_53260.png</t>
  </si>
  <si>
    <t>plots/3FT6Y578R04_015_S31P_20251219032831_M5358ACSA301811_RBGEUFRF04/dpll_52084/txpa_53261.png</t>
  </si>
  <si>
    <t>plots/3FT6Y578R04_015_S31P_20251219032831_M5358ACSA301811_RBGEUFRF04/dpll_52084/txpa_53262.png</t>
  </si>
  <si>
    <t>plots/3FT6Y578R04_015_S31P_20251219032831_M5358ACSA301811_RBGEUFRF04/dpll_52084/txpa_53263.png</t>
  </si>
  <si>
    <t>plots/3FT6Y578R04_015_S31P_20251219032831_M5358ACSA301811_RBGEUFRF04/dpll_52084/txpa_53264.png</t>
  </si>
  <si>
    <t>plots/3FT6Y578R04_015_S31P_20251219032831_M5358ACSA301811_RBGEUFRF04/dpll_52084/txpa_53265.png</t>
  </si>
  <si>
    <t>plots/3FT6Y578R04_015_S31P_20251219032831_M5358ACSA301811_RBGEUFRF04/dpll_52084/txpa_53266.png</t>
  </si>
  <si>
    <t>plots/3FT6Y578R04_015_S31P_20251219032831_M5358ACSA301811_RBGEUFRF04/dpll_52084/txpa_53267.png</t>
  </si>
  <si>
    <t>plots/3FT6Y578R04_015_S31P_20251219032831_M5358ACSA301811_RBGEUFRF04/dpll_52084/txpa_53268.png</t>
  </si>
  <si>
    <t>plots/3FT6Y578R04_015_S31P_20251219032831_M5358ACSA301811_RBGEUFRF04/dpll_52084/txpa_53269.png</t>
  </si>
  <si>
    <t>plots/3FT6Y578R04_015_S31P_20251219032831_M5358ACSA301811_RBGEUFRF04/dpll_52084/txpa_53270.png</t>
  </si>
  <si>
    <t>plots/3FT6Y578R04_015_S31P_20251219032831_M5358ACSA301811_RBGEUFRF04/dpll_52084/txpa_53271.png</t>
  </si>
  <si>
    <t>plots/3FT6Y578R04_015_S31P_20251219032831_M5358ACSA301811_RBGEUFRF04/dpll_52084/txpa_53272.png</t>
  </si>
  <si>
    <t>plots/3FT6Y578R04_015_S31P_20251219032831_M5358ACSA301811_RBGEUFRF04/dpll_52084/txpa_53273.png</t>
  </si>
  <si>
    <t>plots/3FT6Y578R04_015_S31P_20251219032831_M5358ACSA301811_RBGEUFRF04/dpll_52084/txpa_53274.png</t>
  </si>
  <si>
    <t>plots/3FT6Y578R04_015_S31P_20251219032831_M5358ACSA301811_RBGEUFRF04/dpll_52084/txpa_53275.png</t>
  </si>
  <si>
    <t>plots/3FT6Y578R04_015_S31P_20251219032831_M5358ACSA301811_RBGEUFRF04/dpll_52084/txpa_53276.png</t>
  </si>
  <si>
    <t>plots/3FT6Y578R04_015_S31P_20251219032831_M5358ACSA301811_RBGEUFRF04/dpll_52084/txpa_53277.png</t>
  </si>
  <si>
    <t>plots/3FT6Y578R04_015_S31P_20251219032831_M5358ACSA301811_RBGEUFRF04/dpll_52084/txpa_53278.png</t>
  </si>
  <si>
    <t>plots/3FT6Y578R04_015_S31P_20251219032831_M5358ACSA301811_RBGEUFRF04/dpll_52084/txpa_53279.png</t>
  </si>
  <si>
    <t>plots/3FT6Y578R04_015_S31P_20251219032831_M5358ACSA301811_RBGEUFRF04/dpll_52084/txpa_53280.png</t>
  </si>
  <si>
    <t>plots/3FT6Y578R04_015_S31P_20251219032831_M5358ACSA301811_RBGEUFRF04/dpll_52084/txpa_53281.png</t>
  </si>
  <si>
    <t>plots/3FT6Y578R04_015_S31P_20251219032831_M5358ACSA301811_RBGEUFRF04/dpll_52084/txpa_53282.png</t>
  </si>
  <si>
    <t>plots/3FT6Y578R04_015_S31P_20251219032831_M5358ACSA301811_RBGEUFRF04/dpll_52084/txpa_53283.png</t>
  </si>
  <si>
    <t>plots/3FT6Y578R04_015_S31P_20251219032831_M5358ACSA301811_RBGEUFRF04/dpll_52084/txpa_53284.png</t>
  </si>
  <si>
    <t>plots/3FT6Y578R04_015_S31P_20251219032831_M5358ACSA301811_RBGEUFRF04/dpll_52084/txpa_53285.png</t>
  </si>
  <si>
    <t>plots/3FT6Y578R04_015_S31P_20251219032831_M5358ACSA301811_RBGEUFRF04/dpll_52084/txpa_53286.png</t>
  </si>
  <si>
    <t>plots/3FT6Y578R04_015_S31P_20251219032831_M5358ACSA301811_RBGEUFRF04/dpll_52084/txpa_53287.png</t>
  </si>
  <si>
    <t>plots/3FT6Y578R04_015_S31P_20251219032831_M5358ACSA301811_RBGEUFRF04/dpll_52084/txpa_53288.png</t>
  </si>
  <si>
    <t>plots/3FT6Y578R04_015_S31P_20251219032831_M5358ACSA301811_RBGEUFRF04/dpll_52084/txpa_53289.png</t>
  </si>
  <si>
    <t>plots/3FT6Y578R04_015_S31P_20251219032831_M5358ACSA301811_RBGEUFRF04/dpll_52084/txpa_53290.png</t>
  </si>
  <si>
    <t>plots/3FT6Y578R04_015_S31P_20251219032831_M5358ACSA301811_RBGEUFRF04/dpll_52084/txpa_54146.png</t>
  </si>
  <si>
    <t>plots/3FT6Y578R04_015_S31P_20251219032831_M5358ACSA301811_RBGEUFRF04/dpll_52084/txpa_54147.png</t>
  </si>
  <si>
    <t>plots/3FT6Y578R04_015_S31P_20251219032831_M5358ACSA301811_RBGEUFRF04/dpll_52084/txpa_54148.png</t>
  </si>
  <si>
    <t>plots/3FT6Y578R04_015_S31P_20251219032831_M5358ACSA301811_RBGEUFRF04/dpll_52084/txpa_54149.png</t>
  </si>
  <si>
    <t>plots/3FT6Y578R04_015_S31P_20251219032831_M5358ACSA301811_RBGEUFRF04/dpll_52084/txpa_54150.png</t>
  </si>
  <si>
    <t>plots/3FT6Y578R04_015_S31P_20251219032831_M5358ACSA301811_RBGEUFRF04/dpll_52084/txpa_54151.png</t>
  </si>
  <si>
    <t>plots/3FT6Y578R04_015_S31P_20251219032831_M5358ACSA301811_RBGEUFRF04/dpll_52084/txpa_54152.png</t>
  </si>
  <si>
    <t>plots/3FT6Y578R04_015_S31P_20251219032831_M5358ACSA301811_RBGEUFRF04/dpll_52084/txpa_54153.png</t>
  </si>
  <si>
    <t>plots/3FT6Y578R04_015_S31P_20251219032831_M5358ACSA301811_RBGEUFRF04/dpll_52084/txpa_54154.png</t>
  </si>
  <si>
    <t>plots/3FT6Y578R04_015_S31P_20251219032831_M5358ACSA301811_RBGEUFRF04/dpll_52084/txpa_54155.png</t>
  </si>
  <si>
    <t>plots/3FT6Y578R04_015_S31P_20251219032831_M5358ACSA301811_RBGEUFRF04/dpll_52084/txpa_54156.png</t>
  </si>
  <si>
    <t>plots/3FT6Y578R04_015_S31P_20251219032831_M5358ACSA301811_RBGEUFRF04/dpll_52084/txpa_54157.png</t>
  </si>
  <si>
    <t>plots/3FT6Y578R04_015_S31P_20251219032831_M5358ACSA301811_RBGEUFRF04/dpll_52084/txpa_54158.png</t>
  </si>
  <si>
    <t>plots/3FT6Y578R04_015_S31P_20251219032831_M5358ACSA301811_RBGEUFRF04/dpll_52084/txpa_54159.png</t>
  </si>
  <si>
    <t>plots/3FT6Y578R04_015_S31P_20251219032831_M5358ACSA301811_RBGEUFRF04/dpll_52084/txpa_54160.png</t>
  </si>
  <si>
    <t>plots/3FT6Y578R04_015_S31P_20251219032831_M5358ACSA301811_RBGEUFRF04/dpll_52084/txpa_54161.png</t>
  </si>
  <si>
    <t>plots/3FT6Y578R04_015_S31P_20251219032831_M5358ACSA301811_RBGEUFRF04/dpll_52084/txpa_54162.png</t>
  </si>
  <si>
    <t>plots/3FT6Y578R04_015_S31P_20251219032831_M5358ACSA301811_RBGEUFRF04/dpll_52084/txpa_54163.png</t>
  </si>
  <si>
    <t>plots/3FT6Y578R04_015_S31P_20251219032831_M5358ACSA301811_RBGEUFRF04/dpll_52084/txpa_54164.png</t>
  </si>
  <si>
    <t>plots/3FT6Y578R04_015_S31P_20251219032831_M5358ACSA301811_RBGEUFRF04/dpll_52084/txpa_54165.png</t>
  </si>
  <si>
    <t>plots/3FT6Y578R04_015_S31P_20251219032831_M5358ACSA301811_RBGEUFRF04/dpll_52084/txpa_54166.png</t>
  </si>
  <si>
    <t>plots/3FT6Y578R04_015_S31P_20251219032831_M5358ACSA301811_RBGEUFRF04/dpll_52084/txpa_54167.png</t>
  </si>
  <si>
    <t>plots/3FT6Y578R04_015_S31P_20251219032831_M5358ACSA301811_RBGEUFRF04/dpll_52084/txpa_54168.png</t>
  </si>
  <si>
    <t>plots/3FT6Y578R04_015_S31P_20251219032831_M5358ACSA301811_RBGEUFRF04/dpll_52084/txpa_54169.png</t>
  </si>
  <si>
    <t>plots/3FT6Y578R04_015_S31P_20251219032831_M5358ACSA301811_RBGEUFRF04/dpll_52084/txpa_54170.png</t>
  </si>
  <si>
    <t>plots/3FT6Y578R04_015_S31P_20251219032831_M5358ACSA301811_RBGEUFRF04/dpll_52084/txpa_54171.png</t>
  </si>
  <si>
    <t>plots/3FT6Y578R04_015_S31P_20251219032831_M5358ACSA301811_RBGEUFRF04/dpll_52084/txpa_54172.png</t>
  </si>
  <si>
    <t>plots/3FT6Y578R04_015_S31P_20251219032831_M5358ACSA301811_RBGEUFRF04/dpll_52084/txpa_54173.png</t>
  </si>
  <si>
    <t>plots/3FT6Y578R04_015_S31P_20251219032831_M5358ACSA301811_RBGEUFRF04/dpll_52084/txpa_54174.png</t>
  </si>
  <si>
    <t>plots/3FT6Y578R04_015_S31P_20251219032831_M5358ACSA301811_RBGEUFRF04/dpll_52084/txpa_54175.png</t>
  </si>
  <si>
    <t>plots/3FT6Y578R04_015_S31P_20251219032831_M5358ACSA301811_RBGEUFRF04/dpll_52084/txpa_54176.png</t>
  </si>
  <si>
    <t>plots/3FT6Y578R04_015_S31P_20251219032831_M5358ACSA301811_RBGEUFRF04/dpll_52084/txpa_54177.png</t>
  </si>
  <si>
    <t>plots/3FT6Y578R04_015_S31P_20251219032831_M5358ACSA301811_RBGEUFRF04/dpll_52084/txpa_54178.png</t>
  </si>
  <si>
    <t>plots/3FT6Y578R04_015_S31P_20251219032831_M5358ACSA301811_RBGEUFRF04/dpll_52084/txpa_54179.png</t>
  </si>
  <si>
    <t>plots/3FT6Y578R04_015_S31P_20251219032831_M5358ACSA301811_RBGEUFRF04/dpll_52084/txpa_54180.png</t>
  </si>
  <si>
    <t>plots/3FT6Y578R04_015_S31P_20251219032831_M5358ACSA301811_RBGEUFRF04/dpll_52084/txpa_54181.png</t>
  </si>
  <si>
    <t>plots/3FT6Y578R04_015_S31P_20251219032831_M5358ACSA301811_RBGEUFRF04/dpll_52084/txpa_54182.png</t>
  </si>
  <si>
    <t>plots/3FT6Y578R04_015_S31P_20251219032831_M5358ACSA301811_RBGEUFRF04/dpll_52084/txpa_54183.png</t>
  </si>
  <si>
    <t>plots/3FT6Y578R04_015_S31P_20251219032831_M5358ACSA301811_RBGEUFRF04/dpll_52084/txpa_54184.png</t>
  </si>
  <si>
    <t>plots/3FT6Y578R04_015_S31P_20251219032831_M5358ACSA301811_RBGEUFRF04/dpll_52084/txpa_54185.png</t>
  </si>
  <si>
    <t>plots/3FT6Y578R04_015_S31P_20251219032831_M5358ACSA301811_RBGEUFRF04/dpll_52084/txpa_54186.png</t>
  </si>
  <si>
    <t>plots/3FT6Y578R04_015_S31P_20251219032831_M5358ACSA301811_RBGEUFRF04/dpll_52084/txpa_54187.png</t>
  </si>
  <si>
    <t>plots/3FT6Y578R04_015_S31P_20251219032831_M5358ACSA301811_RBGEUFRF04/dpll_52084/txpa_54188.png</t>
  </si>
  <si>
    <t>plots/3FT6Y578R04_015_S31P_20251219032831_M5358ACSA301811_RBGEUFRF04/dpll_52084/txpa_54189.png</t>
  </si>
  <si>
    <t>plots/3FT6Y578R04_015_S31P_20251219032831_M5358ACSA301811_RBGEUFRF04/dpll_52084/txpa_54190.png</t>
  </si>
  <si>
    <t>plots/3FT6Y578R04_015_S31P_20251219032831_M5358ACSA301811_RBGEUFRF04/dpll_52084/txpa_54191.png</t>
  </si>
  <si>
    <t>plots/3FT6Y578R04_015_S31P_20251219032831_M5358ACSA301811_RBGEUFRF04/dpll_52084/txpa_54192.png</t>
  </si>
  <si>
    <t>plots/3FT6Y578R04_015_S31P_20251219032831_M5358ACSA301811_RBGEUFRF04/dpll_52084/txpa_54193.png</t>
  </si>
  <si>
    <t>plots/3FT6Y578R04_015_S31P_20251219032831_M5358ACSA301811_RBGEUFRF04/dpll_52084/txpa_54194.png</t>
  </si>
  <si>
    <t>plots/3FT6Y578R04_015_S31P_20251219032831_M5358ACSA301811_RBGEUFRF04/dpll_52084/txpa_54195.png</t>
  </si>
  <si>
    <t>plots/3FT6Y578R04_015_S31P_20251219032831_M5358ACSA301811_RBGEUFRF04/dpll_52084/txpa_54196.png</t>
  </si>
  <si>
    <t>plots/3FT6Y578R04_015_S31P_20251219032831_M5358ACSA301811_RBGEUFRF04/dpll_52084/txpa_54197.png</t>
  </si>
  <si>
    <t>plots/3FT6Y578R04_015_S31P_20251219032831_M5358ACSA301811_RBGEUFRF04/dpll_52084/txpa_54198.png</t>
  </si>
  <si>
    <t>plots/3FT6Y578R04_015_S31P_20251219032831_M5358ACSA301811_RBGEUFRF04/dpll_52084/txpa_54199.png</t>
  </si>
  <si>
    <t>plots/3FT6Y578R04_015_S31P_20251219032831_M5358ACSA301811_RBGEUFRF04/dpll_52084/txpa_54200.png</t>
  </si>
  <si>
    <t>plots/3FT6Y578R04_015_S31P_20251219032831_M5358ACSA301811_RBGEUFRF04/dpll_52084/txpa_54201.png</t>
  </si>
  <si>
    <t>plots/3FT6Y578R04_015_S31P_20251219032831_M5358ACSA301811_RBGEUFRF04/dpll_52084/txpa_54202.png</t>
  </si>
  <si>
    <t>plots/3FT6Y578R04_015_S31P_20251219032831_M5358ACSA301811_RBGEUFRF04/dpll_52084/txpa_54203.png</t>
  </si>
  <si>
    <t>plots/3FT6Y578R04_015_S31P_20251219032831_M5358ACSA301811_RBGEUFRF04/dpll_52084/txpa_54204.png</t>
  </si>
  <si>
    <t>plots/3FT6Y578R04_015_S31P_20251219032831_M5358ACSA301811_RBGEUFRF04/dpll_52084/txpa_54205.png</t>
  </si>
  <si>
    <t>plots/3FT6Y578R04_015_S31P_20251219032831_M5358ACSA301811_RBGEUFRF04/dpll_52084/txpa_54206.png</t>
  </si>
  <si>
    <t>plots/3FT6Y578R04_015_S31P_20251219032831_M5358ACSA301811_RBGEUFRF04/dpll_52084/txpa_54207.png</t>
  </si>
  <si>
    <t>plots/3FT6Y578R04_015_S31P_20251219032831_M5358ACSA301811_RBGEUFRF04/dpll_52084/txpa_54208.png</t>
  </si>
  <si>
    <t>plots/3FT6Y578R04_015_S31P_20251219032831_M5358ACSA301811_RBGEUFRF04/dpll_52084/txpa_54209.png</t>
  </si>
  <si>
    <t>plots/3FT6Y578R04_015_S31P_20251219032831_M5358ACSA301811_RBGEUFRF04/dpll_52084/txpa_54210.png</t>
  </si>
  <si>
    <t>plots/3FT6Y578R04_015_S31P_20251219032831_M5358ACSA301811_RBGEUFRF04/dpll_52084/txpa_54211.png</t>
  </si>
  <si>
    <t>plots/3FT6Y578R04_015_S31P_20251219032831_M5358ACSA301811_RBGEUFRF04/dpll_52084/txpa_54212.png</t>
  </si>
  <si>
    <t>plots/3FT6Y578R04_015_S31P_20251219032831_M5358ACSA301811_RBGEUFRF04/dpll_52084/txpa_54213.png</t>
  </si>
  <si>
    <t>plots/3FT6Y578R04_015_S31P_20251219032831_M5358ACSA301811_RBGEUFRF04/dpll_52084/txpa_54214.png</t>
  </si>
  <si>
    <t>plots/3FT6Y578R04_015_S31P_20251219032831_M5358ACSA301811_RBGEUFRF04/dpll_52084/txpa_54215.png</t>
  </si>
  <si>
    <t>plots/3FT6Y578R04_015_S31P_20251219032831_M5358ACSA301811_RBGEUFRF04/dpll_52084/txpa_54216.png</t>
  </si>
  <si>
    <t>plots/3FT6Y578R04_015_S31P_20251219032831_M5358ACSA301811_RBGEUFRF04/dpll_52084/txpa_54217.png</t>
  </si>
  <si>
    <t>plots/3FT6Y578R04_015_S31P_20251219032831_M5358ACSA301811_RBGEUFRF04/dpll_52084/txpa_54218.png</t>
  </si>
  <si>
    <t>plots/3FT6Y578R04_015_S31P_20251219032831_M5358ACSA301811_RBGEUFRF04/dpll_52084/txpa_54219.png</t>
  </si>
  <si>
    <t>plots/3FT6Y578R04_015_S31P_20251219032831_M5358ACSA301811_RBGEUFRF04/dpll_52084/txpa_54220.png</t>
  </si>
  <si>
    <t>plots/3FT6Y578R04_015_S31P_20251219032831_M5358ACSA301811_RBGEUFRF04/dpll_52084/txpa_54221.png</t>
  </si>
  <si>
    <t>plots/3FT6Y578R04_015_S31P_20251219032831_M5358ACSA301811_RBGEUFRF04/dpll_52084/txpa_54222.png</t>
  </si>
  <si>
    <t>plots/3FT6Y578R04_015_S31P_20251219032831_M5358ACSA301811_RBGEUFRF04/dpll_52084/txpa_54223.png</t>
  </si>
  <si>
    <t>plots/3FT6Y578R04_015_S31P_20251219032831_M5358ACSA301811_RBGEUFRF04/dpll_52084/txpa_54224.png</t>
  </si>
  <si>
    <t>plots/3FT6Y578R04_015_S31P_20251219032831_M5358ACSA301811_RBGEUFRF04/dpll_52084/txpa_54225.png</t>
  </si>
  <si>
    <t>plots/3FT6Y578R04_015_S31P_20251219032831_M5358ACSA301811_RBGEUFRF04/dpll_52084/txpa_54226.png</t>
  </si>
  <si>
    <t>plots/3FT6Y578R04_015_S31P_20251219032831_M5358ACSA301811_RBGEUFRF04/dpll_52084/txpa_54227.png</t>
  </si>
  <si>
    <t>plots/3FT6Y578R04_015_S31P_20251219032831_M5358ACSA301811_RBGEUFRF04/dpll_52084/txpa_54228.png</t>
  </si>
  <si>
    <t>plots/3FT6Y578R04_015_S31P_20251219032831_M5358ACSA301811_RBGEUFRF04/dpll_52084/txpa_54229.png</t>
  </si>
  <si>
    <t>plots/3FT6Y578R04_015_S31P_20251219032831_M5358ACSA301811_RBGEUFRF04/dpll_52084/txpa_54230.png</t>
  </si>
  <si>
    <t>plots/3FT6Y578R04_015_S31P_20251219032831_M5358ACSA301811_RBGEUFRF04/dpll_52084/txpa_54231.png</t>
  </si>
  <si>
    <t>plots/3FT6Y578R04_015_S31P_20251219032831_M5358ACSA301811_RBGEUFRF04/dpll_52084/txpa_54232.png</t>
  </si>
  <si>
    <t>plots/3FT6Y578R04_015_S31P_20251219032831_M5358ACSA301811_RBGEUFRF04/dpll_52084/txpa_54233.png</t>
  </si>
  <si>
    <t>plots/3FT6Y578R04_015_S31P_20251219032831_M5358ACSA301811_RBGEUFRF04/dpll_52084/txpa_54234.png</t>
  </si>
  <si>
    <t>plots/3FT6Y578R04_015_S31P_20251219032831_M5358ACSA301811_RBGEUFRF04/dpll_52084/txpa_54235.png</t>
  </si>
  <si>
    <t>plots/3FT6Y578R04_015_S31P_20251219032831_M5358ACSA301811_RBGEUFRF04/dpll_52084/txpa_54236.png</t>
  </si>
  <si>
    <t>plots/3FT6Y578R04_015_S31P_20251219032831_M5358ACSA301811_RBGEUFRF04/dpll_52084/txpa_54237.png</t>
  </si>
  <si>
    <t>plots/3FT6Y578R04_015_S31P_20251219032831_M5358ACSA301811_RBGEUFRF04/dpll_52084/txpa_54238.png</t>
  </si>
  <si>
    <t>plots/3FT6Y578R04_015_S31P_20251219032831_M5358ACSA301811_RBGEUFRF04/dpll_52084/txpa_54239.png</t>
  </si>
  <si>
    <t>plots/3FT6Y578R04_015_S31P_20251219032831_M5358ACSA301811_RBGEUFRF04/dpll_52084/txpa_54240.png</t>
  </si>
  <si>
    <t>plots/3FT6Y578R04_015_S31P_20251219032831_M5358ACSA301811_RBGEUFRF04/dpll_52084/txpa_54241.png</t>
  </si>
  <si>
    <t>plots/3FT6Y578R04_015_S31P_20251219032831_M5358ACSA301811_RBGEUFRF04/dpll_52084/txpa_54242.png</t>
  </si>
  <si>
    <t>plots/3FT6Y578R04_015_S31P_20251219032831_M5358ACSA301811_RBGEUFRF04/dpll_52084/txpa_54243.png</t>
  </si>
  <si>
    <t>plots/3FT6Y578R04_015_S31P_20251219032831_M5358ACSA301811_RBGEUFRF04/dpll_52084/txpa_54244.png</t>
  </si>
  <si>
    <t>plots/3FT6Y578R04_015_S31P_20251219032831_M5358ACSA301811_RBGEUFRF04/dpll_52084/txpa_54245.png</t>
  </si>
  <si>
    <t>plots/3FT6Y578R04_015_S31P_20251219032831_M5358ACSA301811_RBGEUFRF04/dpll_52084/txpa_54246.png</t>
  </si>
  <si>
    <t>plots/3FT6Y578R04_015_S31P_20251219032831_M5358ACSA301811_RBGEUFRF04/dpll_52084/txpa_54247.png</t>
  </si>
  <si>
    <t>plots/3FT6Y578R04_015_S31P_20251219032831_M5358ACSA301811_RBGEUFRF04/dpll_52084/txpa_54248.png</t>
  </si>
  <si>
    <t>plots/3FT6Y578R04_015_S31P_20251219032831_M5358ACSA301811_RBGEUFRF04/dpll_52084/txpa_54249.png</t>
  </si>
  <si>
    <t>plots/3FT6Y578R04_015_S31P_20251219032831_M5358ACSA301811_RBGEUFRF04/dpll_52084/txpa_54250.png</t>
  </si>
  <si>
    <t>plots/3FT6Y578R04_015_S31P_20251219032831_M5358ACSA301811_RBGEUFRF04/dpll_52084/txpa_54251.png</t>
  </si>
  <si>
    <t>plots/3FT6Y578R04_015_S31P_20251219032831_M5358ACSA301811_RBGEUFRF04/dpll_52084/txpa_54252.png</t>
  </si>
  <si>
    <t>plots/3FT6Y578R04_015_S31P_20251219032831_M5358ACSA301811_RBGEUFRF04/dpll_52084/txpa_54253.png</t>
  </si>
  <si>
    <t>plots/3FT6Y578R04_015_S31P_20251219032831_M5358ACSA301811_RBGEUFRF04/dpll_52084/txpa_54254.png</t>
  </si>
  <si>
    <t>plots/3FT6Y578R04_015_S31P_20251219032831_M5358ACSA301811_RBGEUFRF04/dpll_52084/txpa_54255.png</t>
  </si>
  <si>
    <t>plots/3FT6Y578R04_015_S31P_20251219032831_M5358ACSA301811_RBGEUFRF04/dpll_52084/txpa_54256.png</t>
  </si>
  <si>
    <t>plots/3FT6Y578R04_015_S31P_20251219032831_M5358ACSA301811_RBGEUFRF04/dpll_52084/txpa_54257.png</t>
  </si>
  <si>
    <t>plots/3FT6Y578R04_015_S31P_20251219032831_M5358ACSA301811_RBGEUFRF04/dpll_52084/txpa_54258.png</t>
  </si>
  <si>
    <t>plots/3FT6Y578R04_015_S31P_20251219032831_M5358ACSA301811_RBGEUFRF04/dpll_52084/txpa_55146.png</t>
  </si>
  <si>
    <t>plots/3FT6Y578R04_015_S31P_20251219032831_M5358ACSA301811_RBGEUFRF04/dpll_52084/txpa_55147.png</t>
  </si>
  <si>
    <t>plots/3FT6Y578R04_015_S31P_20251219032831_M5358ACSA301811_RBGEUFRF04/dpll_52084/txpa_55148.png</t>
  </si>
  <si>
    <t>plots/3FT6Y578R04_015_S31P_20251219032831_M5358ACSA301811_RBGEUFRF04/dpll_52084/txpa_55149.png</t>
  </si>
  <si>
    <t>plots/3FT6Y578R04_015_S31P_20251219032831_M5358ACSA301811_RBGEUFRF04/dpll_52084/txpa_55150.png</t>
  </si>
  <si>
    <t>plots/3FT6Y578R04_015_S31P_20251219032831_M5358ACSA301811_RBGEUFRF04/dpll_52084/txpa_55151.png</t>
  </si>
  <si>
    <t>plots/3FT6Y578R04_015_S31P_20251219032831_M5358ACSA301811_RBGEUFRF04/dpll_52084/txpa_55152.png</t>
  </si>
  <si>
    <t>plots/3FT6Y578R04_015_S31P_20251219032831_M5358ACSA301811_RBGEUFRF04/dpll_52084/txpa_55153.png</t>
  </si>
  <si>
    <t>plots/3FT6Y578R04_015_S31P_20251219032831_M5358ACSA301811_RBGEUFRF04/dpll_52084/txpa_55154.png</t>
  </si>
  <si>
    <t>plots/3FT6Y578R04_015_S31P_20251219032831_M5358ACSA301811_RBGEUFRF04/dpll_52084/txpa_55155.png</t>
  </si>
  <si>
    <t>plots/3FT6Y578R04_015_S31P_20251219032831_M5358ACSA301811_RBGEUFRF04/dpll_52084/txpa_55156.png</t>
  </si>
  <si>
    <t>plots/3FT6Y578R04_015_S31P_20251219032831_M5358ACSA301811_RBGEUFRF04/dpll_52084/txpa_55157.png</t>
  </si>
  <si>
    <t>plots/3FT6Y578R04_015_S31P_20251219032831_M5358ACSA301811_RBGEUFRF04/dpll_52084/txpa_55158.png</t>
  </si>
  <si>
    <t>plots/3FT6Y578R04_015_S31P_20251219032831_M5358ACSA301811_RBGEUFRF04/dpll_52084/txpa_55159.png</t>
  </si>
  <si>
    <t>plots/3FT6Y578R04_015_S31P_20251219032831_M5358ACSA301811_RBGEUFRF04/dpll_52084/txpa_55160.png</t>
  </si>
  <si>
    <t>plots/3FT6Y578R04_015_S31P_20251219032831_M5358ACSA301811_RBGEUFRF04/dpll_52084/txpa_55161.png</t>
  </si>
  <si>
    <t>plots/3FT6Y578R04_015_S31P_20251219032831_M5358ACSA301811_RBGEUFRF04/dpll_52084/txpa_55162.png</t>
  </si>
  <si>
    <t>plots/3FT6Y578R04_015_S31P_20251219032831_M5358ACSA301811_RBGEUFRF04/dpll_52084/txpa_55163.png</t>
  </si>
  <si>
    <t>plots/3FT6Y578R04_015_S31P_20251219032831_M5358ACSA301811_RBGEUFRF04/dpll_52084/txpa_55164.png</t>
  </si>
  <si>
    <t>plots/3FT6Y578R04_015_S31P_20251219032831_M5358ACSA301811_RBGEUFRF04/dpll_52084/txpa_55165.png</t>
  </si>
  <si>
    <t>plots/3FT6Y578R04_015_S31P_20251219032831_M5358ACSA301811_RBGEUFRF04/dpll_52084/txpa_55166.png</t>
  </si>
  <si>
    <t>plots/3FT6Y578R04_015_S31P_20251219032831_M5358ACSA301811_RBGEUFRF04/dpll_52084/txpa_55167.png</t>
  </si>
  <si>
    <t>plots/3FT6Y578R04_015_S31P_20251219032831_M5358ACSA301811_RBGEUFRF04/dpll_52084/txpa_55168.png</t>
  </si>
  <si>
    <t>plots/3FT6Y578R04_015_S31P_20251219032831_M5358ACSA301811_RBGEUFRF04/dpll_52084/txpa_55169.png</t>
  </si>
  <si>
    <t>plots/3FT6Y578R04_015_S31P_20251219032831_M5358ACSA301811_RBGEUFRF04/dpll_52084/txpa_55170.png</t>
  </si>
  <si>
    <t>plots/3FT6Y578R04_015_S31P_20251219032831_M5358ACSA301811_RBGEUFRF04/dpll_52084/txpa_55171.png</t>
  </si>
  <si>
    <t>plots/3FT6Y578R04_015_S31P_20251219032831_M5358ACSA301811_RBGEUFRF04/dpll_52084/txpa_55172.png</t>
  </si>
  <si>
    <t>plots/3FT6Y578R04_015_S31P_20251219032831_M5358ACSA301811_RBGEUFRF04/dpll_52084/txpa_55173.png</t>
  </si>
  <si>
    <t>plots/3FT6Y578R04_015_S31P_20251219032831_M5358ACSA301811_RBGEUFRF04/dpll_52084/txpa_55174.png</t>
  </si>
  <si>
    <t>plots/3FT6Y578R04_015_S31P_20251219032831_M5358ACSA301811_RBGEUFRF04/dpll_52084/txpa_55175.png</t>
  </si>
  <si>
    <t>plots/3FT6Y578R04_015_S31P_20251219032831_M5358ACSA301811_RBGEUFRF04/dpll_52084/txpa_55176.png</t>
  </si>
  <si>
    <t>plots/3FT6Y578R04_015_S31P_20251219032831_M5358ACSA301811_RBGEUFRF04/dpll_52084/txpa_55177.png</t>
  </si>
  <si>
    <t>plots/3FT6Y578R04_015_S31P_20251219032831_M5358ACSA301811_RBGEUFRF04/dpll_52084/txpa_55178.png</t>
  </si>
  <si>
    <t>plots/3FT6Y578R04_015_S31P_20251219032831_M5358ACSA301811_RBGEUFRF04/dpll_52084/txpa_55179.png</t>
  </si>
  <si>
    <t>plots/3FT6Y578R04_015_S31P_20251219032831_M5358ACSA301811_RBGEUFRF04/dpll_52084/txpa_55180.png</t>
  </si>
  <si>
    <t>plots/3FT6Y578R04_015_S31P_20251219032831_M5358ACSA301811_RBGEUFRF04/dpll_52084/txpa_55181.png</t>
  </si>
  <si>
    <t>plots/3FT6Y578R04_015_S31P_20251219032831_M5358ACSA301811_RBGEUFRF04/dpll_52084/txpa_55182.png</t>
  </si>
  <si>
    <t>plots/3FT6Y578R04_015_S31P_20251219032831_M5358ACSA301811_RBGEUFRF04/dpll_52084/txpa_55183.png</t>
  </si>
  <si>
    <t>plots/3FT6Y578R04_015_S31P_20251219032831_M5358ACSA301811_RBGEUFRF04/dpll_52084/txpa_55184.png</t>
  </si>
  <si>
    <t>plots/3FT6Y578R04_015_S31P_20251219032831_M5358ACSA301811_RBGEUFRF04/dpll_52084/txpa_55185.png</t>
  </si>
  <si>
    <t>plots/3FT6Y578R04_015_S31P_20251219032831_M5358ACSA301811_RBGEUFRF04/dpll_52084/txpa_55186.png</t>
  </si>
  <si>
    <t>plots/3FT6Y578R04_015_S31P_20251219032831_M5358ACSA301811_RBGEUFRF04/dpll_52084/txpa_55187.png</t>
  </si>
  <si>
    <t>plots/3FT6Y578R04_015_S31P_20251219032831_M5358ACSA301811_RBGEUFRF04/dpll_52084/txpa_55188.png</t>
  </si>
  <si>
    <t>plots/3FT6Y578R04_015_S31P_20251219032831_M5358ACSA301811_RBGEUFRF04/dpll_52084/txpa_55189.png</t>
  </si>
  <si>
    <t>plots/3FT6Y578R04_015_S31P_20251219032831_M5358ACSA301811_RBGEUFRF04/dpll_52084/txpa_55190.png</t>
  </si>
  <si>
    <t>plots/3FT6Y578R04_015_S31P_20251219032831_M5358ACSA301811_RBGEUFRF04/dpll_52084/txpa_55191.png</t>
  </si>
  <si>
    <t>plots/3FT6Y578R04_015_S31P_20251219032831_M5358ACSA301811_RBGEUFRF04/dpll_52084/txpa_55192.png</t>
  </si>
  <si>
    <t>plots/3FT6Y578R04_015_S31P_20251219032831_M5358ACSA301811_RBGEUFRF04/dpll_52084/txpa_55193.png</t>
  </si>
  <si>
    <t>plots/3FT6Y578R04_015_S31P_20251219032831_M5358ACSA301811_RBGEUFRF04/dpll_52084/txpa_55194.png</t>
  </si>
  <si>
    <t>plots/3FT6Y578R04_015_S31P_20251219032831_M5358ACSA301811_RBGEUFRF04/dpll_52084/txpa_55195.png</t>
  </si>
  <si>
    <t>plots/3FT6Y578R04_015_S31P_20251219032831_M5358ACSA301811_RBGEUFRF04/dpll_52084/txpa_55196.png</t>
  </si>
  <si>
    <t>plots/3FT6Y578R04_015_S31P_20251219032831_M5358ACSA301811_RBGEUFRF04/dpll_52084/txpa_55197.png</t>
  </si>
  <si>
    <t>plots/3FT6Y578R04_015_S31P_20251219032831_M5358ACSA301811_RBGEUFRF04/dpll_52084/txpa_55198.png</t>
  </si>
  <si>
    <t>plots/3FT6Y578R04_015_S31P_20251219032831_M5358ACSA301811_RBGEUFRF04/dpll_52084/txpa_55199.png</t>
  </si>
  <si>
    <t>plots/3FT6Y578R04_015_S31P_20251219032831_M5358ACSA301811_RBGEUFRF04/dpll_52084/txpa_55200.png</t>
  </si>
  <si>
    <t>plots/3FT6Y578R04_015_S31P_20251219032831_M5358ACSA301811_RBGEUFRF04/dpll_52084/txpa_55201.png</t>
  </si>
  <si>
    <t>plots/3FT6Y578R04_015_S31P_20251219032831_M5358ACSA301811_RBGEUFRF04/dpll_52084/txpa_55202.png</t>
  </si>
  <si>
    <t>plots/3FT6Y578R04_015_S31P_20251219032831_M5358ACSA301811_RBGEUFRF04/dpll_52084/txpa_55203.png</t>
  </si>
  <si>
    <t>plots/3FT6Y578R04_015_S31P_20251219032831_M5358ACSA301811_RBGEUFRF04/dpll_52084/txpa_55204.png</t>
  </si>
  <si>
    <t>plots/3FT6Y578R04_015_S31P_20251219032831_M5358ACSA301811_RBGEUFRF04/dpll_52084/txpa_55205.png</t>
  </si>
  <si>
    <t>plots/3FT6Y578R04_015_S31P_20251219032831_M5358ACSA301811_RBGEUFRF04/dpll_52084/txpa_55206.png</t>
  </si>
  <si>
    <t>plots/3FT6Y578R04_015_S31P_20251219032831_M5358ACSA301811_RBGEUFRF04/dpll_52084/txpa_55207.png</t>
  </si>
  <si>
    <t>plots/3FT6Y578R04_015_S31P_20251219032831_M5358ACSA301811_RBGEUFRF04/dpll_52084/txpa_55208.png</t>
  </si>
  <si>
    <t>plots/3FT6Y578R04_015_S31P_20251219032831_M5358ACSA301811_RBGEUFRF04/dpll_52084/txpa_55209.png</t>
  </si>
  <si>
    <t>plots/3FT6Y578R04_015_S31P_20251219032831_M5358ACSA301811_RBGEUFRF04/dpll_52084/txpa_55210.png</t>
  </si>
  <si>
    <t>plots/3FT6Y578R04_015_S31P_20251219032831_M5358ACSA301811_RBGEUFRF04/dpll_52084/txpa_55211.png</t>
  </si>
  <si>
    <t>plots/3FT6Y578R04_015_S31P_20251219032831_M5358ACSA301811_RBGEUFRF04/dpll_52084/txpa_55212.png</t>
  </si>
  <si>
    <t>plots/3FT6Y578R04_015_S31P_20251219032831_M5358ACSA301811_RBGEUFRF04/dpll_52084/txpa_55213.png</t>
  </si>
  <si>
    <t>plots/3FT6Y578R04_015_S31P_20251219032831_M5358ACSA301811_RBGEUFRF04/dpll_52084/txpa_55214.png</t>
  </si>
  <si>
    <t>plots/3FT6Y578R04_015_S31P_20251219032831_M5358ACSA301811_RBGEUFRF04/dpll_52084/txpa_55215.png</t>
  </si>
  <si>
    <t>plots/3FT6Y578R04_015_S31P_20251219032831_M5358ACSA301811_RBGEUFRF04/dpll_52084/txpa_55216.png</t>
  </si>
  <si>
    <t>plots/3FT6Y578R04_015_S31P_20251219032831_M5358ACSA301811_RBGEUFRF04/dpll_52084/txpa_55217.png</t>
  </si>
  <si>
    <t>plots/3FT6Y578R04_015_S31P_20251219032831_M5358ACSA301811_RBGEUFRF04/dpll_52084/txpa_55218.png</t>
  </si>
  <si>
    <t>plots/3FT6Y578R04_015_S31P_20251219032831_M5358ACSA301811_RBGEUFRF04/dpll_52084/txpa_55219.png</t>
  </si>
  <si>
    <t>plots/3FT6Y578R04_015_S31P_20251219032831_M5358ACSA301811_RBGEUFRF04/dpll_52084/txpa_55220.png</t>
  </si>
  <si>
    <t>plots/3FT6Y578R04_015_S31P_20251219032831_M5358ACSA301811_RBGEUFRF04/dpll_52084/txpa_55221.png</t>
  </si>
  <si>
    <t>plots/3FT6Y578R04_015_S31P_20251219032831_M5358ACSA301811_RBGEUFRF04/dpll_52084/txpa_55222.png</t>
  </si>
  <si>
    <t>plots/3FT6Y578R04_015_S31P_20251219032831_M5358ACSA301811_RBGEUFRF04/dpll_52084/txpa_55223.png</t>
  </si>
  <si>
    <t>plots/3FT6Y578R04_015_S31P_20251219032831_M5358ACSA301811_RBGEUFRF04/dpll_52084/txpa_55224.png</t>
  </si>
  <si>
    <t>plots/3FT6Y578R04_015_S31P_20251219032831_M5358ACSA301811_RBGEUFRF04/dpll_52084/txpa_55225.png</t>
  </si>
  <si>
    <t>plots/3FT6Y578R04_015_S31P_20251219032831_M5358ACSA301811_RBGEUFRF04/dpll_52084/txpa_55226.png</t>
  </si>
  <si>
    <t>plots/3FT6Y578R04_015_S31P_20251219032831_M5358ACSA301811_RBGEUFRF04/dpll_52084/txpa_55227.png</t>
  </si>
  <si>
    <t>plots/3FT6Y578R04_015_S31P_20251219032831_M5358ACSA301811_RBGEUFRF04/dpll_52084/txpa_55228.png</t>
  </si>
  <si>
    <t>plots/3FT6Y578R04_015_S31P_20251219032831_M5358ACSA301811_RBGEUFRF04/dpll_52084/txpa_55229.png</t>
  </si>
  <si>
    <t>plots/3FT6Y578R04_015_S31P_20251219032831_M5358ACSA301811_RBGEUFRF04/dpll_52084/txpa_55230.png</t>
  </si>
  <si>
    <t>plots/3FT6Y578R04_015_S31P_20251219032831_M5358ACSA301811_RBGEUFRF04/dpll_52084/txpa_55231.png</t>
  </si>
  <si>
    <t>plots/3FT6Y578R04_015_S31P_20251219032831_M5358ACSA301811_RBGEUFRF04/dpll_52084/txpa_55232.png</t>
  </si>
  <si>
    <t>plots/3FT6Y578R04_015_S31P_20251219032831_M5358ACSA301811_RBGEUFRF04/dpll_52084/txpa_55233.png</t>
  </si>
  <si>
    <t>plots/3FT6Y578R04_015_S31P_20251219032831_M5358ACSA301811_RBGEUFRF04/dpll_52084/txpa_55234.png</t>
  </si>
  <si>
    <t>plots/3FT6Y578R04_015_S31P_20251219032831_M5358ACSA301811_RBGEUFRF04/dpll_52084/txpa_55235.png</t>
  </si>
  <si>
    <t>plots/3FT6Y578R04_015_S31P_20251219032831_M5358ACSA301811_RBGEUFRF04/dpll_52084/txpa_55236.png</t>
  </si>
  <si>
    <t>plots/3FT6Y578R04_015_S31P_20251219032831_M5358ACSA301811_RBGEUFRF04/dpll_52084/txpa_55237.png</t>
  </si>
  <si>
    <t>plots/3FT6Y578R04_015_S31P_20251219032831_M5358ACSA301811_RBGEUFRF04/dpll_52084/txpa_55238.png</t>
  </si>
  <si>
    <t>plots/3FT6Y578R04_015_S31P_20251219032831_M5358ACSA301811_RBGEUFRF04/dpll_52084/txpa_55239.png</t>
  </si>
  <si>
    <t>plots/3FT6Y578R04_015_S31P_20251219032831_M5358ACSA301811_RBGEUFRF04/dpll_52084/txpa_55240.png</t>
  </si>
  <si>
    <t>plots/3FT6Y578R04_015_S31P_20251219032831_M5358ACSA301811_RBGEUFRF04/dpll_52084/txpa_55241.png</t>
  </si>
  <si>
    <t>plots/3FT6Y578R04_015_S31P_20251219032831_M5358ACSA301811_RBGEUFRF04/dpll_52084/txpa_55242.png</t>
  </si>
  <si>
    <t>plots/3FT6Y578R04_015_S31P_20251219032831_M5358ACSA301811_RBGEUFRF04/dpll_52084/txpa_55243.png</t>
  </si>
  <si>
    <t>plots/3FT6Y578R04_015_S31P_20251219032831_M5358ACSA301811_RBGEUFRF04/dpll_52084/txpa_55244.png</t>
  </si>
  <si>
    <t>plots/3FT6Y578R04_015_S31P_20251219032831_M5358ACSA301811_RBGEUFRF04/dpll_52084/txpa_55245.png</t>
  </si>
  <si>
    <t>plots/3FT6Y578R04_015_S31P_20251219032831_M5358ACSA301811_RBGEUFRF04/dpll_52084/txpa_55246.png</t>
  </si>
  <si>
    <t>plots/3FT6Y578R04_015_S31P_20251219032831_M5358ACSA301811_RBGEUFRF04/dpll_52084/txpa_55247.png</t>
  </si>
  <si>
    <t>plots/3FT6Y578R04_015_S31P_20251219032831_M5358ACSA301811_RBGEUFRF04/dpll_52084/txpa_55248.png</t>
  </si>
  <si>
    <t>plots/3FT6Y578R04_015_S31P_20251219032831_M5358ACSA301811_RBGEUFRF04/dpll_52084/txpa_55249.png</t>
  </si>
  <si>
    <t>plots/3FT6Y578R04_015_S31P_20251219032831_M5358ACSA301811_RBGEUFRF04/dpll_52084/txpa_55250.png</t>
  </si>
  <si>
    <t>plots/3FT6Y578R04_015_S31P_20251219032831_M5358ACSA301811_RBGEUFRF04/dpll_52084/txpa_55251.png</t>
  </si>
  <si>
    <t>plots/3FT6Y578R04_015_S31P_20251219032831_M5358ACSA301811_RBGEUFRF04/dpll_52084/txpa_55252.png</t>
  </si>
  <si>
    <t>plots/3FT6Y578R04_015_S31P_20251219032831_M5358ACSA301811_RBGEUFRF04/dpll_52084/txpa_55253.png</t>
  </si>
  <si>
    <t>plots/3FT6Y578R04_015_S31P_20251219032831_M5358ACSA301811_RBGEUFRF04/dpll_52084/txpa_55254.png</t>
  </si>
  <si>
    <t>plots/3FT6Y578R04_015_S31P_20251219032831_M5358ACSA301811_RBGEUFRF04/dpll_52084/txpa_55255.png</t>
  </si>
  <si>
    <t>plots/3FT6Y578R04_015_S31P_20251219032831_M5358ACSA301811_RBGEUFRF04/dpll_52084/txpa_55256.png</t>
  </si>
  <si>
    <t>plots/3FT6Y578R04_015_S31P_20251219032831_M5358ACSA301811_RBGEUFRF04/dpll_52084/txpa_55257.png</t>
  </si>
  <si>
    <t>plots/3FT6Y578R04_015_S31P_20251219032831_M5358ACSA301811_RBGEUFRF04/dpll_52084/txpa_55258.png</t>
  </si>
  <si>
    <t>plots/3FT6Y578R04_015_S31P_20251219032831_M5358ACSA301811_RBGEUFRF04/dpll_52094/txpa_53179.png</t>
  </si>
  <si>
    <t>plots/3FT6Y578R04_015_S31P_20251219032831_M5358ACSA301811_RBGEUFRF04/dpll_52094/txpa_53180.png</t>
  </si>
  <si>
    <t>plots/3FT6Y578R04_015_S31P_20251219032831_M5358ACSA301811_RBGEUFRF04/dpll_52094/txpa_53181.png</t>
  </si>
  <si>
    <t>plots/3FT6Y578R04_015_S31P_20251219032831_M5358ACSA301811_RBGEUFRF04/dpll_52094/txpa_53182.png</t>
  </si>
  <si>
    <t>plots/3FT6Y578R04_015_S31P_20251219032831_M5358ACSA301811_RBGEUFRF04/dpll_52094/txpa_53183.png</t>
  </si>
  <si>
    <t>plots/3FT6Y578R04_015_S31P_20251219032831_M5358ACSA301811_RBGEUFRF04/dpll_52094/txpa_53184.png</t>
  </si>
  <si>
    <t>plots/3FT6Y578R04_015_S31P_20251219032831_M5358ACSA301811_RBGEUFRF04/dpll_52094/txpa_53185.png</t>
  </si>
  <si>
    <t>plots/3FT6Y578R04_015_S31P_20251219032831_M5358ACSA301811_RBGEUFRF04/dpll_52094/txpa_53186.png</t>
  </si>
  <si>
    <t>plots/3FT6Y578R04_015_S31P_20251219032831_M5358ACSA301811_RBGEUFRF04/dpll_52094/txpa_53187.png</t>
  </si>
  <si>
    <t>plots/3FT6Y578R04_015_S31P_20251219032831_M5358ACSA301811_RBGEUFRF04/dpll_52094/txpa_53188.png</t>
  </si>
  <si>
    <t>plots/3FT6Y578R04_015_S31P_20251219032831_M5358ACSA301811_RBGEUFRF04/dpll_52094/txpa_53189.png</t>
  </si>
  <si>
    <t>plots/3FT6Y578R04_015_S31P_20251219032831_M5358ACSA301811_RBGEUFRF04/dpll_52094/txpa_53190.png</t>
  </si>
  <si>
    <t>plots/3FT6Y578R04_015_S31P_20251219032831_M5358ACSA301811_RBGEUFRF04/dpll_52094/txpa_53191.png</t>
  </si>
  <si>
    <t>plots/3FT6Y578R04_015_S31P_20251219032831_M5358ACSA301811_RBGEUFRF04/dpll_52094/txpa_53192.png</t>
  </si>
  <si>
    <t>plots/3FT6Y578R04_015_S31P_20251219032831_M5358ACSA301811_RBGEUFRF04/dpll_52094/txpa_53193.png</t>
  </si>
  <si>
    <t>plots/3FT6Y578R04_015_S31P_20251219032831_M5358ACSA301811_RBGEUFRF04/dpll_52094/txpa_53194.png</t>
  </si>
  <si>
    <t>plots/3FT6Y578R04_015_S31P_20251219032831_M5358ACSA301811_RBGEUFRF04/dpll_52094/txpa_53195.png</t>
  </si>
  <si>
    <t>plots/3FT6Y578R04_015_S31P_20251219032831_M5358ACSA301811_RBGEUFRF04/dpll_52094/txpa_53196.png</t>
  </si>
  <si>
    <t>plots/3FT6Y578R04_015_S31P_20251219032831_M5358ACSA301811_RBGEUFRF04/dpll_52094/txpa_53197.png</t>
  </si>
  <si>
    <t>plots/3FT6Y578R04_015_S31P_20251219032831_M5358ACSA301811_RBGEUFRF04/dpll_52094/txpa_53198.png</t>
  </si>
  <si>
    <t>plots/3FT6Y578R04_015_S31P_20251219032831_M5358ACSA301811_RBGEUFRF04/dpll_52094/txpa_53199.png</t>
  </si>
  <si>
    <t>plots/3FT6Y578R04_015_S31P_20251219032831_M5358ACSA301811_RBGEUFRF04/dpll_52094/txpa_53200.png</t>
  </si>
  <si>
    <t>plots/3FT6Y578R04_015_S31P_20251219032831_M5358ACSA301811_RBGEUFRF04/dpll_52094/txpa_53201.png</t>
  </si>
  <si>
    <t>plots/3FT6Y578R04_015_S31P_20251219032831_M5358ACSA301811_RBGEUFRF04/dpll_52094/txpa_53202.png</t>
  </si>
  <si>
    <t>plots/3FT6Y578R04_015_S31P_20251219032831_M5358ACSA301811_RBGEUFRF04/dpll_52094/txpa_53203.png</t>
  </si>
  <si>
    <t>plots/3FT6Y578R04_015_S31P_20251219032831_M5358ACSA301811_RBGEUFRF04/dpll_52094/txpa_53204.png</t>
  </si>
  <si>
    <t>plots/3FT6Y578R04_015_S31P_20251219032831_M5358ACSA301811_RBGEUFRF04/dpll_52094/txpa_53205.png</t>
  </si>
  <si>
    <t>plots/3FT6Y578R04_015_S31P_20251219032831_M5358ACSA301811_RBGEUFRF04/dpll_52094/txpa_53206.png</t>
  </si>
  <si>
    <t>plots/3FT6Y578R04_015_S31P_20251219032831_M5358ACSA301811_RBGEUFRF04/dpll_52094/txpa_53207.png</t>
  </si>
  <si>
    <t>plots/3FT6Y578R04_015_S31P_20251219032831_M5358ACSA301811_RBGEUFRF04/dpll_52094/txpa_53208.png</t>
  </si>
  <si>
    <t>plots/3FT6Y578R04_015_S31P_20251219032831_M5358ACSA301811_RBGEUFRF04/dpll_52094/txpa_53209.png</t>
  </si>
  <si>
    <t>plots/3FT6Y578R04_015_S31P_20251219032831_M5358ACSA301811_RBGEUFRF04/dpll_52094/txpa_53210.png</t>
  </si>
  <si>
    <t>plots/3FT6Y578R04_015_S31P_20251219032831_M5358ACSA301811_RBGEUFRF04/dpll_52094/txpa_53211.png</t>
  </si>
  <si>
    <t>plots/3FT6Y578R04_015_S31P_20251219032831_M5358ACSA301811_RBGEUFRF04/dpll_52094/txpa_53212.png</t>
  </si>
  <si>
    <t>plots/3FT6Y578R04_015_S31P_20251219032831_M5358ACSA301811_RBGEUFRF04/dpll_52094/txpa_53213.png</t>
  </si>
  <si>
    <t>plots/3FT6Y578R04_015_S31P_20251219032831_M5358ACSA301811_RBGEUFRF04/dpll_52094/txpa_53214.png</t>
  </si>
  <si>
    <t>plots/3FT6Y578R04_015_S31P_20251219032831_M5358ACSA301811_RBGEUFRF04/dpll_52094/txpa_53215.png</t>
  </si>
  <si>
    <t>plots/3FT6Y578R04_015_S31P_20251219032831_M5358ACSA301811_RBGEUFRF04/dpll_52094/txpa_53216.png</t>
  </si>
  <si>
    <t>plots/3FT6Y578R04_015_S31P_20251219032831_M5358ACSA301811_RBGEUFRF04/dpll_52094/txpa_53217.png</t>
  </si>
  <si>
    <t>plots/3FT6Y578R04_015_S31P_20251219032831_M5358ACSA301811_RBGEUFRF04/dpll_52094/txpa_53218.png</t>
  </si>
  <si>
    <t>plots/3FT6Y578R04_015_S31P_20251219032831_M5358ACSA301811_RBGEUFRF04/dpll_52094/txpa_53219.png</t>
  </si>
  <si>
    <t>plots/3FT6Y578R04_015_S31P_20251219032831_M5358ACSA301811_RBGEUFRF04/dpll_52094/txpa_53220.png</t>
  </si>
  <si>
    <t>plots/3FT6Y578R04_015_S31P_20251219032831_M5358ACSA301811_RBGEUFRF04/dpll_52094/txpa_53221.png</t>
  </si>
  <si>
    <t>plots/3FT6Y578R04_015_S31P_20251219032831_M5358ACSA301811_RBGEUFRF04/dpll_52094/txpa_53222.png</t>
  </si>
  <si>
    <t>plots/3FT6Y578R04_015_S31P_20251219032831_M5358ACSA301811_RBGEUFRF04/dpll_52094/txpa_53223.png</t>
  </si>
  <si>
    <t>plots/3FT6Y578R04_015_S31P_20251219032831_M5358ACSA301811_RBGEUFRF04/dpll_52094/txpa_53224.png</t>
  </si>
  <si>
    <t>plots/3FT6Y578R04_015_S31P_20251219032831_M5358ACSA301811_RBGEUFRF04/dpll_52094/txpa_53225.png</t>
  </si>
  <si>
    <t>plots/3FT6Y578R04_015_S31P_20251219032831_M5358ACSA301811_RBGEUFRF04/dpll_52094/txpa_53226.png</t>
  </si>
  <si>
    <t>plots/3FT6Y578R04_015_S31P_20251219032831_M5358ACSA301811_RBGEUFRF04/dpll_52094/txpa_53227.png</t>
  </si>
  <si>
    <t>plots/3FT6Y578R04_015_S31P_20251219032831_M5358ACSA301811_RBGEUFRF04/dpll_52094/txpa_53228.png</t>
  </si>
  <si>
    <t>plots/3FT6Y578R04_015_S31P_20251219032831_M5358ACSA301811_RBGEUFRF04/dpll_52094/txpa_53229.png</t>
  </si>
  <si>
    <t>plots/3FT6Y578R04_015_S31P_20251219032831_M5358ACSA301811_RBGEUFRF04/dpll_52094/txpa_53230.png</t>
  </si>
  <si>
    <t>plots/3FT6Y578R04_015_S31P_20251219032831_M5358ACSA301811_RBGEUFRF04/dpll_52094/txpa_53231.png</t>
  </si>
  <si>
    <t>plots/3FT6Y578R04_015_S31P_20251219032831_M5358ACSA301811_RBGEUFRF04/dpll_52094/txpa_53232.png</t>
  </si>
  <si>
    <t>plots/3FT6Y578R04_015_S31P_20251219032831_M5358ACSA301811_RBGEUFRF04/dpll_52094/txpa_53233.png</t>
  </si>
  <si>
    <t>plots/3FT6Y578R04_015_S31P_20251219032831_M5358ACSA301811_RBGEUFRF04/dpll_52094/txpa_53234.png</t>
  </si>
  <si>
    <t>plots/3FT6Y578R04_015_S31P_20251219032831_M5358ACSA301811_RBGEUFRF04/dpll_52094/txpa_53235.png</t>
  </si>
  <si>
    <t>plots/3FT6Y578R04_015_S31P_20251219032831_M5358ACSA301811_RBGEUFRF04/dpll_52094/txpa_53236.png</t>
  </si>
  <si>
    <t>plots/3FT6Y578R04_015_S31P_20251219032831_M5358ACSA301811_RBGEUFRF04/dpll_52094/txpa_53237.png</t>
  </si>
  <si>
    <t>plots/3FT6Y578R04_015_S31P_20251219032831_M5358ACSA301811_RBGEUFRF04/dpll_52094/txpa_53238.png</t>
  </si>
  <si>
    <t>plots/3FT6Y578R04_015_S31P_20251219032831_M5358ACSA301811_RBGEUFRF04/dpll_52094/txpa_53239.png</t>
  </si>
  <si>
    <t>plots/3FT6Y578R04_015_S31P_20251219032831_M5358ACSA301811_RBGEUFRF04/dpll_52094/txpa_53240.png</t>
  </si>
  <si>
    <t>plots/3FT6Y578R04_015_S31P_20251219032831_M5358ACSA301811_RBGEUFRF04/dpll_52094/txpa_53241.png</t>
  </si>
  <si>
    <t>plots/3FT6Y578R04_015_S31P_20251219032831_M5358ACSA301811_RBGEUFRF04/dpll_52094/txpa_53242.png</t>
  </si>
  <si>
    <t>plots/3FT6Y578R04_015_S31P_20251219032831_M5358ACSA301811_RBGEUFRF04/dpll_52094/txpa_53243.png</t>
  </si>
  <si>
    <t>plots/3FT6Y578R04_015_S31P_20251219032831_M5358ACSA301811_RBGEUFRF04/dpll_52094/txpa_53244.png</t>
  </si>
  <si>
    <t>plots/3FT6Y578R04_015_S31P_20251219032831_M5358ACSA301811_RBGEUFRF04/dpll_52094/txpa_53245.png</t>
  </si>
  <si>
    <t>plots/3FT6Y578R04_015_S31P_20251219032831_M5358ACSA301811_RBGEUFRF04/dpll_52094/txpa_53246.png</t>
  </si>
  <si>
    <t>plots/3FT6Y578R04_015_S31P_20251219032831_M5358ACSA301811_RBGEUFRF04/dpll_52094/txpa_53247.png</t>
  </si>
  <si>
    <t>plots/3FT6Y578R04_015_S31P_20251219032831_M5358ACSA301811_RBGEUFRF04/dpll_52094/txpa_53248.png</t>
  </si>
  <si>
    <t>plots/3FT6Y578R04_015_S31P_20251219032831_M5358ACSA301811_RBGEUFRF04/dpll_52094/txpa_53249.png</t>
  </si>
  <si>
    <t>plots/3FT6Y578R04_015_S31P_20251219032831_M5358ACSA301811_RBGEUFRF04/dpll_52094/txpa_53250.png</t>
  </si>
  <si>
    <t>plots/3FT6Y578R04_015_S31P_20251219032831_M5358ACSA301811_RBGEUFRF04/dpll_52094/txpa_53251.png</t>
  </si>
  <si>
    <t>plots/3FT6Y578R04_015_S31P_20251219032831_M5358ACSA301811_RBGEUFRF04/dpll_52094/txpa_53252.png</t>
  </si>
  <si>
    <t>plots/3FT6Y578R04_015_S31P_20251219032831_M5358ACSA301811_RBGEUFRF04/dpll_52094/txpa_53253.png</t>
  </si>
  <si>
    <t>plots/3FT6Y578R04_015_S31P_20251219032831_M5358ACSA301811_RBGEUFRF04/dpll_52094/txpa_53254.png</t>
  </si>
  <si>
    <t>plots/3FT6Y578R04_015_S31P_20251219032831_M5358ACSA301811_RBGEUFRF04/dpll_52094/txpa_53255.png</t>
  </si>
  <si>
    <t>plots/3FT6Y578R04_015_S31P_20251219032831_M5358ACSA301811_RBGEUFRF04/dpll_52094/txpa_53256.png</t>
  </si>
  <si>
    <t>plots/3FT6Y578R04_015_S31P_20251219032831_M5358ACSA301811_RBGEUFRF04/dpll_52094/txpa_53257.png</t>
  </si>
  <si>
    <t>plots/3FT6Y578R04_015_S31P_20251219032831_M5358ACSA301811_RBGEUFRF04/dpll_52094/txpa_53258.png</t>
  </si>
  <si>
    <t>plots/3FT6Y578R04_015_S31P_20251219032831_M5358ACSA301811_RBGEUFRF04/dpll_52094/txpa_53259.png</t>
  </si>
  <si>
    <t>plots/3FT6Y578R04_015_S31P_20251219032831_M5358ACSA301811_RBGEUFRF04/dpll_52094/txpa_53260.png</t>
  </si>
  <si>
    <t>plots/3FT6Y578R04_015_S31P_20251219032831_M5358ACSA301811_RBGEUFRF04/dpll_52094/txpa_53261.png</t>
  </si>
  <si>
    <t>plots/3FT6Y578R04_015_S31P_20251219032831_M5358ACSA301811_RBGEUFRF04/dpll_52094/txpa_53262.png</t>
  </si>
  <si>
    <t>plots/3FT6Y578R04_015_S31P_20251219032831_M5358ACSA301811_RBGEUFRF04/dpll_52094/txpa_53263.png</t>
  </si>
  <si>
    <t>plots/3FT6Y578R04_015_S31P_20251219032831_M5358ACSA301811_RBGEUFRF04/dpll_52094/txpa_53264.png</t>
  </si>
  <si>
    <t>plots/3FT6Y578R04_015_S31P_20251219032831_M5358ACSA301811_RBGEUFRF04/dpll_52094/txpa_53265.png</t>
  </si>
  <si>
    <t>plots/3FT6Y578R04_015_S31P_20251219032831_M5358ACSA301811_RBGEUFRF04/dpll_52094/txpa_53266.png</t>
  </si>
  <si>
    <t>plots/3FT6Y578R04_015_S31P_20251219032831_M5358ACSA301811_RBGEUFRF04/dpll_52094/txpa_53267.png</t>
  </si>
  <si>
    <t>plots/3FT6Y578R04_015_S31P_20251219032831_M5358ACSA301811_RBGEUFRF04/dpll_52094/txpa_53268.png</t>
  </si>
  <si>
    <t>plots/3FT6Y578R04_015_S31P_20251219032831_M5358ACSA301811_RBGEUFRF04/dpll_52094/txpa_53269.png</t>
  </si>
  <si>
    <t>plots/3FT6Y578R04_015_S31P_20251219032831_M5358ACSA301811_RBGEUFRF04/dpll_52094/txpa_53270.png</t>
  </si>
  <si>
    <t>plots/3FT6Y578R04_015_S31P_20251219032831_M5358ACSA301811_RBGEUFRF04/dpll_52094/txpa_53271.png</t>
  </si>
  <si>
    <t>plots/3FT6Y578R04_015_S31P_20251219032831_M5358ACSA301811_RBGEUFRF04/dpll_52094/txpa_53272.png</t>
  </si>
  <si>
    <t>plots/3FT6Y578R04_015_S31P_20251219032831_M5358ACSA301811_RBGEUFRF04/dpll_52094/txpa_53273.png</t>
  </si>
  <si>
    <t>plots/3FT6Y578R04_015_S31P_20251219032831_M5358ACSA301811_RBGEUFRF04/dpll_52094/txpa_53274.png</t>
  </si>
  <si>
    <t>plots/3FT6Y578R04_015_S31P_20251219032831_M5358ACSA301811_RBGEUFRF04/dpll_52094/txpa_53275.png</t>
  </si>
  <si>
    <t>plots/3FT6Y578R04_015_S31P_20251219032831_M5358ACSA301811_RBGEUFRF04/dpll_52094/txpa_53276.png</t>
  </si>
  <si>
    <t>plots/3FT6Y578R04_015_S31P_20251219032831_M5358ACSA301811_RBGEUFRF04/dpll_52094/txpa_53277.png</t>
  </si>
  <si>
    <t>plots/3FT6Y578R04_015_S31P_20251219032831_M5358ACSA301811_RBGEUFRF04/dpll_52094/txpa_53278.png</t>
  </si>
  <si>
    <t>plots/3FT6Y578R04_015_S31P_20251219032831_M5358ACSA301811_RBGEUFRF04/dpll_52094/txpa_53279.png</t>
  </si>
  <si>
    <t>plots/3FT6Y578R04_015_S31P_20251219032831_M5358ACSA301811_RBGEUFRF04/dpll_52094/txpa_53280.png</t>
  </si>
  <si>
    <t>plots/3FT6Y578R04_015_S31P_20251219032831_M5358ACSA301811_RBGEUFRF04/dpll_52094/txpa_53281.png</t>
  </si>
  <si>
    <t>plots/3FT6Y578R04_015_S31P_20251219032831_M5358ACSA301811_RBGEUFRF04/dpll_52094/txpa_53282.png</t>
  </si>
  <si>
    <t>plots/3FT6Y578R04_015_S31P_20251219032831_M5358ACSA301811_RBGEUFRF04/dpll_52094/txpa_53283.png</t>
  </si>
  <si>
    <t>plots/3FT6Y578R04_015_S31P_20251219032831_M5358ACSA301811_RBGEUFRF04/dpll_52094/txpa_53284.png</t>
  </si>
  <si>
    <t>plots/3FT6Y578R04_015_S31P_20251219032831_M5358ACSA301811_RBGEUFRF04/dpll_52094/txpa_53285.png</t>
  </si>
  <si>
    <t>plots/3FT6Y578R04_015_S31P_20251219032831_M5358ACSA301811_RBGEUFRF04/dpll_52094/txpa_53286.png</t>
  </si>
  <si>
    <t>plots/3FT6Y578R04_015_S31P_20251219032831_M5358ACSA301811_RBGEUFRF04/dpll_52094/txpa_53287.png</t>
  </si>
  <si>
    <t>plots/3FT6Y578R04_015_S31P_20251219032831_M5358ACSA301811_RBGEUFRF04/dpll_52094/txpa_53288.png</t>
  </si>
  <si>
    <t>plots/3FT6Y578R04_015_S31P_20251219032831_M5358ACSA301811_RBGEUFRF04/dpll_52094/txpa_53289.png</t>
  </si>
  <si>
    <t>plots/3FT6Y578R04_015_S31P_20251219032831_M5358ACSA301811_RBGEUFRF04/dpll_52094/txpa_53290.png</t>
  </si>
  <si>
    <t>plots/3FT6Y578R04_015_S31P_20251219032831_M5358ACSA301811_RBGEUFRF04/dpll_52094/txpa_54146.png</t>
  </si>
  <si>
    <t>plots/3FT6Y578R04_015_S31P_20251219032831_M5358ACSA301811_RBGEUFRF04/dpll_52094/txpa_54147.png</t>
  </si>
  <si>
    <t>plots/3FT6Y578R04_015_S31P_20251219032831_M5358ACSA301811_RBGEUFRF04/dpll_52094/txpa_54148.png</t>
  </si>
  <si>
    <t>plots/3FT6Y578R04_015_S31P_20251219032831_M5358ACSA301811_RBGEUFRF04/dpll_52094/txpa_54149.png</t>
  </si>
  <si>
    <t>plots/3FT6Y578R04_015_S31P_20251219032831_M5358ACSA301811_RBGEUFRF04/dpll_52094/txpa_54150.png</t>
  </si>
  <si>
    <t>plots/3FT6Y578R04_015_S31P_20251219032831_M5358ACSA301811_RBGEUFRF04/dpll_52094/txpa_54151.png</t>
  </si>
  <si>
    <t>plots/3FT6Y578R04_015_S31P_20251219032831_M5358ACSA301811_RBGEUFRF04/dpll_52094/txpa_54152.png</t>
  </si>
  <si>
    <t>plots/3FT6Y578R04_015_S31P_20251219032831_M5358ACSA301811_RBGEUFRF04/dpll_52094/txpa_54153.png</t>
  </si>
  <si>
    <t>plots/3FT6Y578R04_015_S31P_20251219032831_M5358ACSA301811_RBGEUFRF04/dpll_52094/txpa_54154.png</t>
  </si>
  <si>
    <t>plots/3FT6Y578R04_015_S31P_20251219032831_M5358ACSA301811_RBGEUFRF04/dpll_52094/txpa_54155.png</t>
  </si>
  <si>
    <t>plots/3FT6Y578R04_015_S31P_20251219032831_M5358ACSA301811_RBGEUFRF04/dpll_52094/txpa_54156.png</t>
  </si>
  <si>
    <t>plots/3FT6Y578R04_015_S31P_20251219032831_M5358ACSA301811_RBGEUFRF04/dpll_52094/txpa_54157.png</t>
  </si>
  <si>
    <t>plots/3FT6Y578R04_015_S31P_20251219032831_M5358ACSA301811_RBGEUFRF04/dpll_52094/txpa_54158.png</t>
  </si>
  <si>
    <t>plots/3FT6Y578R04_015_S31P_20251219032831_M5358ACSA301811_RBGEUFRF04/dpll_52094/txpa_54159.png</t>
  </si>
  <si>
    <t>plots/3FT6Y578R04_015_S31P_20251219032831_M5358ACSA301811_RBGEUFRF04/dpll_52094/txpa_54160.png</t>
  </si>
  <si>
    <t>plots/3FT6Y578R04_015_S31P_20251219032831_M5358ACSA301811_RBGEUFRF04/dpll_52094/txpa_54161.png</t>
  </si>
  <si>
    <t>plots/3FT6Y578R04_015_S31P_20251219032831_M5358ACSA301811_RBGEUFRF04/dpll_52094/txpa_54162.png</t>
  </si>
  <si>
    <t>plots/3FT6Y578R04_015_S31P_20251219032831_M5358ACSA301811_RBGEUFRF04/dpll_52094/txpa_54163.png</t>
  </si>
  <si>
    <t>plots/3FT6Y578R04_015_S31P_20251219032831_M5358ACSA301811_RBGEUFRF04/dpll_52094/txpa_54164.png</t>
  </si>
  <si>
    <t>plots/3FT6Y578R04_015_S31P_20251219032831_M5358ACSA301811_RBGEUFRF04/dpll_52094/txpa_54165.png</t>
  </si>
  <si>
    <t>plots/3FT6Y578R04_015_S31P_20251219032831_M5358ACSA301811_RBGEUFRF04/dpll_52094/txpa_54166.png</t>
  </si>
  <si>
    <t>plots/3FT6Y578R04_015_S31P_20251219032831_M5358ACSA301811_RBGEUFRF04/dpll_52094/txpa_54167.png</t>
  </si>
  <si>
    <t>plots/3FT6Y578R04_015_S31P_20251219032831_M5358ACSA301811_RBGEUFRF04/dpll_52094/txpa_54168.png</t>
  </si>
  <si>
    <t>plots/3FT6Y578R04_015_S31P_20251219032831_M5358ACSA301811_RBGEUFRF04/dpll_52094/txpa_54169.png</t>
  </si>
  <si>
    <t>plots/3FT6Y578R04_015_S31P_20251219032831_M5358ACSA301811_RBGEUFRF04/dpll_52094/txpa_54170.png</t>
  </si>
  <si>
    <t>plots/3FT6Y578R04_015_S31P_20251219032831_M5358ACSA301811_RBGEUFRF04/dpll_52094/txpa_54171.png</t>
  </si>
  <si>
    <t>plots/3FT6Y578R04_015_S31P_20251219032831_M5358ACSA301811_RBGEUFRF04/dpll_52094/txpa_54172.png</t>
  </si>
  <si>
    <t>plots/3FT6Y578R04_015_S31P_20251219032831_M5358ACSA301811_RBGEUFRF04/dpll_52094/txpa_54173.png</t>
  </si>
  <si>
    <t>plots/3FT6Y578R04_015_S31P_20251219032831_M5358ACSA301811_RBGEUFRF04/dpll_52094/txpa_54174.png</t>
  </si>
  <si>
    <t>plots/3FT6Y578R04_015_S31P_20251219032831_M5358ACSA301811_RBGEUFRF04/dpll_52094/txpa_54175.png</t>
  </si>
  <si>
    <t>plots/3FT6Y578R04_015_S31P_20251219032831_M5358ACSA301811_RBGEUFRF04/dpll_52094/txpa_54176.png</t>
  </si>
  <si>
    <t>plots/3FT6Y578R04_015_S31P_20251219032831_M5358ACSA301811_RBGEUFRF04/dpll_52094/txpa_54177.png</t>
  </si>
  <si>
    <t>plots/3FT6Y578R04_015_S31P_20251219032831_M5358ACSA301811_RBGEUFRF04/dpll_52094/txpa_54178.png</t>
  </si>
  <si>
    <t>plots/3FT6Y578R04_015_S31P_20251219032831_M5358ACSA301811_RBGEUFRF04/dpll_52094/txpa_54179.png</t>
  </si>
  <si>
    <t>plots/3FT6Y578R04_015_S31P_20251219032831_M5358ACSA301811_RBGEUFRF04/dpll_52094/txpa_54180.png</t>
  </si>
  <si>
    <t>plots/3FT6Y578R04_015_S31P_20251219032831_M5358ACSA301811_RBGEUFRF04/dpll_52094/txpa_54181.png</t>
  </si>
  <si>
    <t>plots/3FT6Y578R04_015_S31P_20251219032831_M5358ACSA301811_RBGEUFRF04/dpll_52094/txpa_54182.png</t>
  </si>
  <si>
    <t>plots/3FT6Y578R04_015_S31P_20251219032831_M5358ACSA301811_RBGEUFRF04/dpll_52094/txpa_54183.png</t>
  </si>
  <si>
    <t>plots/3FT6Y578R04_015_S31P_20251219032831_M5358ACSA301811_RBGEUFRF04/dpll_52094/txpa_54184.png</t>
  </si>
  <si>
    <t>plots/3FT6Y578R04_015_S31P_20251219032831_M5358ACSA301811_RBGEUFRF04/dpll_52094/txpa_54185.png</t>
  </si>
  <si>
    <t>plots/3FT6Y578R04_015_S31P_20251219032831_M5358ACSA301811_RBGEUFRF04/dpll_52094/txpa_54186.png</t>
  </si>
  <si>
    <t>plots/3FT6Y578R04_015_S31P_20251219032831_M5358ACSA301811_RBGEUFRF04/dpll_52094/txpa_54187.png</t>
  </si>
  <si>
    <t>plots/3FT6Y578R04_015_S31P_20251219032831_M5358ACSA301811_RBGEUFRF04/dpll_52094/txpa_54188.png</t>
  </si>
  <si>
    <t>plots/3FT6Y578R04_015_S31P_20251219032831_M5358ACSA301811_RBGEUFRF04/dpll_52094/txpa_54189.png</t>
  </si>
  <si>
    <t>plots/3FT6Y578R04_015_S31P_20251219032831_M5358ACSA301811_RBGEUFRF04/dpll_52094/txpa_54190.png</t>
  </si>
  <si>
    <t>plots/3FT6Y578R04_015_S31P_20251219032831_M5358ACSA301811_RBGEUFRF04/dpll_52094/txpa_54191.png</t>
  </si>
  <si>
    <t>plots/3FT6Y578R04_015_S31P_20251219032831_M5358ACSA301811_RBGEUFRF04/dpll_52094/txpa_54192.png</t>
  </si>
  <si>
    <t>plots/3FT6Y578R04_015_S31P_20251219032831_M5358ACSA301811_RBGEUFRF04/dpll_52094/txpa_54193.png</t>
  </si>
  <si>
    <t>plots/3FT6Y578R04_015_S31P_20251219032831_M5358ACSA301811_RBGEUFRF04/dpll_52094/txpa_54194.png</t>
  </si>
  <si>
    <t>plots/3FT6Y578R04_015_S31P_20251219032831_M5358ACSA301811_RBGEUFRF04/dpll_52094/txpa_54195.png</t>
  </si>
  <si>
    <t>plots/3FT6Y578R04_015_S31P_20251219032831_M5358ACSA301811_RBGEUFRF04/dpll_52094/txpa_54196.png</t>
  </si>
  <si>
    <t>plots/3FT6Y578R04_015_S31P_20251219032831_M5358ACSA301811_RBGEUFRF04/dpll_52094/txpa_54197.png</t>
  </si>
  <si>
    <t>plots/3FT6Y578R04_015_S31P_20251219032831_M5358ACSA301811_RBGEUFRF04/dpll_52094/txpa_54198.png</t>
  </si>
  <si>
    <t>plots/3FT6Y578R04_015_S31P_20251219032831_M5358ACSA301811_RBGEUFRF04/dpll_52094/txpa_54199.png</t>
  </si>
  <si>
    <t>plots/3FT6Y578R04_015_S31P_20251219032831_M5358ACSA301811_RBGEUFRF04/dpll_52094/txpa_54200.png</t>
  </si>
  <si>
    <t>plots/3FT6Y578R04_015_S31P_20251219032831_M5358ACSA301811_RBGEUFRF04/dpll_52094/txpa_54201.png</t>
  </si>
  <si>
    <t>plots/3FT6Y578R04_015_S31P_20251219032831_M5358ACSA301811_RBGEUFRF04/dpll_52094/txpa_54202.png</t>
  </si>
  <si>
    <t>plots/3FT6Y578R04_015_S31P_20251219032831_M5358ACSA301811_RBGEUFRF04/dpll_52094/txpa_54203.png</t>
  </si>
  <si>
    <t>plots/3FT6Y578R04_015_S31P_20251219032831_M5358ACSA301811_RBGEUFRF04/dpll_52094/txpa_54204.png</t>
  </si>
  <si>
    <t>plots/3FT6Y578R04_015_S31P_20251219032831_M5358ACSA301811_RBGEUFRF04/dpll_52094/txpa_54205.png</t>
  </si>
  <si>
    <t>plots/3FT6Y578R04_015_S31P_20251219032831_M5358ACSA301811_RBGEUFRF04/dpll_52094/txpa_54206.png</t>
  </si>
  <si>
    <t>plots/3FT6Y578R04_015_S31P_20251219032831_M5358ACSA301811_RBGEUFRF04/dpll_52094/txpa_54207.png</t>
  </si>
  <si>
    <t>plots/3FT6Y578R04_015_S31P_20251219032831_M5358ACSA301811_RBGEUFRF04/dpll_52094/txpa_54208.png</t>
  </si>
  <si>
    <t>plots/3FT6Y578R04_015_S31P_20251219032831_M5358ACSA301811_RBGEUFRF04/dpll_52094/txpa_54209.png</t>
  </si>
  <si>
    <t>plots/3FT6Y578R04_015_S31P_20251219032831_M5358ACSA301811_RBGEUFRF04/dpll_52094/txpa_54210.png</t>
  </si>
  <si>
    <t>plots/3FT6Y578R04_015_S31P_20251219032831_M5358ACSA301811_RBGEUFRF04/dpll_52094/txpa_54211.png</t>
  </si>
  <si>
    <t>plots/3FT6Y578R04_015_S31P_20251219032831_M5358ACSA301811_RBGEUFRF04/dpll_52094/txpa_54212.png</t>
  </si>
  <si>
    <t>plots/3FT6Y578R04_015_S31P_20251219032831_M5358ACSA301811_RBGEUFRF04/dpll_52094/txpa_54213.png</t>
  </si>
  <si>
    <t>plots/3FT6Y578R04_015_S31P_20251219032831_M5358ACSA301811_RBGEUFRF04/dpll_52094/txpa_54214.png</t>
  </si>
  <si>
    <t>plots/3FT6Y578R04_015_S31P_20251219032831_M5358ACSA301811_RBGEUFRF04/dpll_52094/txpa_54215.png</t>
  </si>
  <si>
    <t>plots/3FT6Y578R04_015_S31P_20251219032831_M5358ACSA301811_RBGEUFRF04/dpll_52094/txpa_54216.png</t>
  </si>
  <si>
    <t>plots/3FT6Y578R04_015_S31P_20251219032831_M5358ACSA301811_RBGEUFRF04/dpll_52094/txpa_54217.png</t>
  </si>
  <si>
    <t>plots/3FT6Y578R04_015_S31P_20251219032831_M5358ACSA301811_RBGEUFRF04/dpll_52094/txpa_54218.png</t>
  </si>
  <si>
    <t>plots/3FT6Y578R04_015_S31P_20251219032831_M5358ACSA301811_RBGEUFRF04/dpll_52094/txpa_54219.png</t>
  </si>
  <si>
    <t>plots/3FT6Y578R04_015_S31P_20251219032831_M5358ACSA301811_RBGEUFRF04/dpll_52094/txpa_54220.png</t>
  </si>
  <si>
    <t>plots/3FT6Y578R04_015_S31P_20251219032831_M5358ACSA301811_RBGEUFRF04/dpll_52094/txpa_54221.png</t>
  </si>
  <si>
    <t>plots/3FT6Y578R04_015_S31P_20251219032831_M5358ACSA301811_RBGEUFRF04/dpll_52094/txpa_54222.png</t>
  </si>
  <si>
    <t>plots/3FT6Y578R04_015_S31P_20251219032831_M5358ACSA301811_RBGEUFRF04/dpll_52094/txpa_54223.png</t>
  </si>
  <si>
    <t>plots/3FT6Y578R04_015_S31P_20251219032831_M5358ACSA301811_RBGEUFRF04/dpll_52094/txpa_54224.png</t>
  </si>
  <si>
    <t>plots/3FT6Y578R04_015_S31P_20251219032831_M5358ACSA301811_RBGEUFRF04/dpll_52094/txpa_54225.png</t>
  </si>
  <si>
    <t>plots/3FT6Y578R04_015_S31P_20251219032831_M5358ACSA301811_RBGEUFRF04/dpll_52094/txpa_54226.png</t>
  </si>
  <si>
    <t>plots/3FT6Y578R04_015_S31P_20251219032831_M5358ACSA301811_RBGEUFRF04/dpll_52094/txpa_54227.png</t>
  </si>
  <si>
    <t>plots/3FT6Y578R04_015_S31P_20251219032831_M5358ACSA301811_RBGEUFRF04/dpll_52094/txpa_54228.png</t>
  </si>
  <si>
    <t>plots/3FT6Y578R04_015_S31P_20251219032831_M5358ACSA301811_RBGEUFRF04/dpll_52094/txpa_54229.png</t>
  </si>
  <si>
    <t>plots/3FT6Y578R04_015_S31P_20251219032831_M5358ACSA301811_RBGEUFRF04/dpll_52094/txpa_54230.png</t>
  </si>
  <si>
    <t>plots/3FT6Y578R04_015_S31P_20251219032831_M5358ACSA301811_RBGEUFRF04/dpll_52094/txpa_54231.png</t>
  </si>
  <si>
    <t>plots/3FT6Y578R04_015_S31P_20251219032831_M5358ACSA301811_RBGEUFRF04/dpll_52094/txpa_54232.png</t>
  </si>
  <si>
    <t>plots/3FT6Y578R04_015_S31P_20251219032831_M5358ACSA301811_RBGEUFRF04/dpll_52094/txpa_54233.png</t>
  </si>
  <si>
    <t>plots/3FT6Y578R04_015_S31P_20251219032831_M5358ACSA301811_RBGEUFRF04/dpll_52094/txpa_54234.png</t>
  </si>
  <si>
    <t>plots/3FT6Y578R04_015_S31P_20251219032831_M5358ACSA301811_RBGEUFRF04/dpll_52094/txpa_54235.png</t>
  </si>
  <si>
    <t>plots/3FT6Y578R04_015_S31P_20251219032831_M5358ACSA301811_RBGEUFRF04/dpll_52094/txpa_54236.png</t>
  </si>
  <si>
    <t>plots/3FT6Y578R04_015_S31P_20251219032831_M5358ACSA301811_RBGEUFRF04/dpll_52094/txpa_54237.png</t>
  </si>
  <si>
    <t>plots/3FT6Y578R04_015_S31P_20251219032831_M5358ACSA301811_RBGEUFRF04/dpll_52094/txpa_54238.png</t>
  </si>
  <si>
    <t>plots/3FT6Y578R04_015_S31P_20251219032831_M5358ACSA301811_RBGEUFRF04/dpll_52094/txpa_54239.png</t>
  </si>
  <si>
    <t>plots/3FT6Y578R04_015_S31P_20251219032831_M5358ACSA301811_RBGEUFRF04/dpll_52094/txpa_54240.png</t>
  </si>
  <si>
    <t>plots/3FT6Y578R04_015_S31P_20251219032831_M5358ACSA301811_RBGEUFRF04/dpll_52094/txpa_54241.png</t>
  </si>
  <si>
    <t>plots/3FT6Y578R04_015_S31P_20251219032831_M5358ACSA301811_RBGEUFRF04/dpll_52094/txpa_54242.png</t>
  </si>
  <si>
    <t>plots/3FT6Y578R04_015_S31P_20251219032831_M5358ACSA301811_RBGEUFRF04/dpll_52094/txpa_54243.png</t>
  </si>
  <si>
    <t>plots/3FT6Y578R04_015_S31P_20251219032831_M5358ACSA301811_RBGEUFRF04/dpll_52094/txpa_54244.png</t>
  </si>
  <si>
    <t>plots/3FT6Y578R04_015_S31P_20251219032831_M5358ACSA301811_RBGEUFRF04/dpll_52094/txpa_54245.png</t>
  </si>
  <si>
    <t>plots/3FT6Y578R04_015_S31P_20251219032831_M5358ACSA301811_RBGEUFRF04/dpll_52094/txpa_54246.png</t>
  </si>
  <si>
    <t>plots/3FT6Y578R04_015_S31P_20251219032831_M5358ACSA301811_RBGEUFRF04/dpll_52094/txpa_54247.png</t>
  </si>
  <si>
    <t>plots/3FT6Y578R04_015_S31P_20251219032831_M5358ACSA301811_RBGEUFRF04/dpll_52094/txpa_54248.png</t>
  </si>
  <si>
    <t>plots/3FT6Y578R04_015_S31P_20251219032831_M5358ACSA301811_RBGEUFRF04/dpll_52094/txpa_54249.png</t>
  </si>
  <si>
    <t>plots/3FT6Y578R04_015_S31P_20251219032831_M5358ACSA301811_RBGEUFRF04/dpll_52094/txpa_54250.png</t>
  </si>
  <si>
    <t>plots/3FT6Y578R04_015_S31P_20251219032831_M5358ACSA301811_RBGEUFRF04/dpll_52094/txpa_54251.png</t>
  </si>
  <si>
    <t>plots/3FT6Y578R04_015_S31P_20251219032831_M5358ACSA301811_RBGEUFRF04/dpll_52094/txpa_54252.png</t>
  </si>
  <si>
    <t>plots/3FT6Y578R04_015_S31P_20251219032831_M5358ACSA301811_RBGEUFRF04/dpll_52094/txpa_54253.png</t>
  </si>
  <si>
    <t>plots/3FT6Y578R04_015_S31P_20251219032831_M5358ACSA301811_RBGEUFRF04/dpll_52094/txpa_54254.png</t>
  </si>
  <si>
    <t>plots/3FT6Y578R04_015_S31P_20251219032831_M5358ACSA301811_RBGEUFRF04/dpll_52094/txpa_54255.png</t>
  </si>
  <si>
    <t>plots/3FT6Y578R04_015_S31P_20251219032831_M5358ACSA301811_RBGEUFRF04/dpll_52094/txpa_54256.png</t>
  </si>
  <si>
    <t>plots/3FT6Y578R04_015_S31P_20251219032831_M5358ACSA301811_RBGEUFRF04/dpll_52094/txpa_54257.png</t>
  </si>
  <si>
    <t>plots/3FT6Y578R04_015_S31P_20251219032831_M5358ACSA301811_RBGEUFRF04/dpll_52094/txpa_54258.png</t>
  </si>
  <si>
    <t>plots/3FT6Y578R04_015_S31P_20251219032831_M5358ACSA301811_RBGEUFRF04/dpll_52094/txpa_55146.png</t>
  </si>
  <si>
    <t>plots/3FT6Y578R04_015_S31P_20251219032831_M5358ACSA301811_RBGEUFRF04/dpll_52094/txpa_55147.png</t>
  </si>
  <si>
    <t>plots/3FT6Y578R04_015_S31P_20251219032831_M5358ACSA301811_RBGEUFRF04/dpll_52094/txpa_55148.png</t>
  </si>
  <si>
    <t>plots/3FT6Y578R04_015_S31P_20251219032831_M5358ACSA301811_RBGEUFRF04/dpll_52094/txpa_55149.png</t>
  </si>
  <si>
    <t>plots/3FT6Y578R04_015_S31P_20251219032831_M5358ACSA301811_RBGEUFRF04/dpll_52094/txpa_55150.png</t>
  </si>
  <si>
    <t>plots/3FT6Y578R04_015_S31P_20251219032831_M5358ACSA301811_RBGEUFRF04/dpll_52094/txpa_55151.png</t>
  </si>
  <si>
    <t>plots/3FT6Y578R04_015_S31P_20251219032831_M5358ACSA301811_RBGEUFRF04/dpll_52094/txpa_55152.png</t>
  </si>
  <si>
    <t>plots/3FT6Y578R04_015_S31P_20251219032831_M5358ACSA301811_RBGEUFRF04/dpll_52094/txpa_55153.png</t>
  </si>
  <si>
    <t>plots/3FT6Y578R04_015_S31P_20251219032831_M5358ACSA301811_RBGEUFRF04/dpll_52094/txpa_55154.png</t>
  </si>
  <si>
    <t>plots/3FT6Y578R04_015_S31P_20251219032831_M5358ACSA301811_RBGEUFRF04/dpll_52094/txpa_55155.png</t>
  </si>
  <si>
    <t>plots/3FT6Y578R04_015_S31P_20251219032831_M5358ACSA301811_RBGEUFRF04/dpll_52094/txpa_55156.png</t>
  </si>
  <si>
    <t>plots/3FT6Y578R04_015_S31P_20251219032831_M5358ACSA301811_RBGEUFRF04/dpll_52094/txpa_55157.png</t>
  </si>
  <si>
    <t>plots/3FT6Y578R04_015_S31P_20251219032831_M5358ACSA301811_RBGEUFRF04/dpll_52094/txpa_55158.png</t>
  </si>
  <si>
    <t>plots/3FT6Y578R04_015_S31P_20251219032831_M5358ACSA301811_RBGEUFRF04/dpll_52094/txpa_55159.png</t>
  </si>
  <si>
    <t>plots/3FT6Y578R04_015_S31P_20251219032831_M5358ACSA301811_RBGEUFRF04/dpll_52094/txpa_55160.png</t>
  </si>
  <si>
    <t>plots/3FT6Y578R04_015_S31P_20251219032831_M5358ACSA301811_RBGEUFRF04/dpll_52094/txpa_55161.png</t>
  </si>
  <si>
    <t>plots/3FT6Y578R04_015_S31P_20251219032831_M5358ACSA301811_RBGEUFRF04/dpll_52094/txpa_55162.png</t>
  </si>
  <si>
    <t>plots/3FT6Y578R04_015_S31P_20251219032831_M5358ACSA301811_RBGEUFRF04/dpll_52094/txpa_55163.png</t>
  </si>
  <si>
    <t>plots/3FT6Y578R04_015_S31P_20251219032831_M5358ACSA301811_RBGEUFRF04/dpll_52094/txpa_55164.png</t>
  </si>
  <si>
    <t>plots/3FT6Y578R04_015_S31P_20251219032831_M5358ACSA301811_RBGEUFRF04/dpll_52094/txpa_55165.png</t>
  </si>
  <si>
    <t>plots/3FT6Y578R04_015_S31P_20251219032831_M5358ACSA301811_RBGEUFRF04/dpll_52094/txpa_55166.png</t>
  </si>
  <si>
    <t>plots/3FT6Y578R04_015_S31P_20251219032831_M5358ACSA301811_RBGEUFRF04/dpll_52094/txpa_55167.png</t>
  </si>
  <si>
    <t>plots/3FT6Y578R04_015_S31P_20251219032831_M5358ACSA301811_RBGEUFRF04/dpll_52094/txpa_55168.png</t>
  </si>
  <si>
    <t>plots/3FT6Y578R04_015_S31P_20251219032831_M5358ACSA301811_RBGEUFRF04/dpll_52094/txpa_55169.png</t>
  </si>
  <si>
    <t>plots/3FT6Y578R04_015_S31P_20251219032831_M5358ACSA301811_RBGEUFRF04/dpll_52094/txpa_55170.png</t>
  </si>
  <si>
    <t>plots/3FT6Y578R04_015_S31P_20251219032831_M5358ACSA301811_RBGEUFRF04/dpll_52094/txpa_55171.png</t>
  </si>
  <si>
    <t>plots/3FT6Y578R04_015_S31P_20251219032831_M5358ACSA301811_RBGEUFRF04/dpll_52094/txpa_55172.png</t>
  </si>
  <si>
    <t>plots/3FT6Y578R04_015_S31P_20251219032831_M5358ACSA301811_RBGEUFRF04/dpll_52094/txpa_55173.png</t>
  </si>
  <si>
    <t>plots/3FT6Y578R04_015_S31P_20251219032831_M5358ACSA301811_RBGEUFRF04/dpll_52094/txpa_55174.png</t>
  </si>
  <si>
    <t>plots/3FT6Y578R04_015_S31P_20251219032831_M5358ACSA301811_RBGEUFRF04/dpll_52094/txpa_55175.png</t>
  </si>
  <si>
    <t>plots/3FT6Y578R04_015_S31P_20251219032831_M5358ACSA301811_RBGEUFRF04/dpll_52094/txpa_55176.png</t>
  </si>
  <si>
    <t>plots/3FT6Y578R04_015_S31P_20251219032831_M5358ACSA301811_RBGEUFRF04/dpll_52094/txpa_55177.png</t>
  </si>
  <si>
    <t>plots/3FT6Y578R04_015_S31P_20251219032831_M5358ACSA301811_RBGEUFRF04/dpll_52094/txpa_55178.png</t>
  </si>
  <si>
    <t>plots/3FT6Y578R04_015_S31P_20251219032831_M5358ACSA301811_RBGEUFRF04/dpll_52094/txpa_55179.png</t>
  </si>
  <si>
    <t>plots/3FT6Y578R04_015_S31P_20251219032831_M5358ACSA301811_RBGEUFRF04/dpll_52094/txpa_55180.png</t>
  </si>
  <si>
    <t>plots/3FT6Y578R04_015_S31P_20251219032831_M5358ACSA301811_RBGEUFRF04/dpll_52094/txpa_55181.png</t>
  </si>
  <si>
    <t>plots/3FT6Y578R04_015_S31P_20251219032831_M5358ACSA301811_RBGEUFRF04/dpll_52094/txpa_55182.png</t>
  </si>
  <si>
    <t>plots/3FT6Y578R04_015_S31P_20251219032831_M5358ACSA301811_RBGEUFRF04/dpll_52094/txpa_55183.png</t>
  </si>
  <si>
    <t>plots/3FT6Y578R04_015_S31P_20251219032831_M5358ACSA301811_RBGEUFRF04/dpll_52094/txpa_55184.png</t>
  </si>
  <si>
    <t>plots/3FT6Y578R04_015_S31P_20251219032831_M5358ACSA301811_RBGEUFRF04/dpll_52094/txpa_55185.png</t>
  </si>
  <si>
    <t>plots/3FT6Y578R04_015_S31P_20251219032831_M5358ACSA301811_RBGEUFRF04/dpll_52094/txpa_55186.png</t>
  </si>
  <si>
    <t>plots/3FT6Y578R04_015_S31P_20251219032831_M5358ACSA301811_RBGEUFRF04/dpll_52094/txpa_55187.png</t>
  </si>
  <si>
    <t>plots/3FT6Y578R04_015_S31P_20251219032831_M5358ACSA301811_RBGEUFRF04/dpll_52094/txpa_55188.png</t>
  </si>
  <si>
    <t>plots/3FT6Y578R04_015_S31P_20251219032831_M5358ACSA301811_RBGEUFRF04/dpll_52094/txpa_55189.png</t>
  </si>
  <si>
    <t>plots/3FT6Y578R04_015_S31P_20251219032831_M5358ACSA301811_RBGEUFRF04/dpll_52094/txpa_55190.png</t>
  </si>
  <si>
    <t>plots/3FT6Y578R04_015_S31P_20251219032831_M5358ACSA301811_RBGEUFRF04/dpll_52094/txpa_55191.png</t>
  </si>
  <si>
    <t>plots/3FT6Y578R04_015_S31P_20251219032831_M5358ACSA301811_RBGEUFRF04/dpll_52094/txpa_55192.png</t>
  </si>
  <si>
    <t>plots/3FT6Y578R04_015_S31P_20251219032831_M5358ACSA301811_RBGEUFRF04/dpll_52094/txpa_55193.png</t>
  </si>
  <si>
    <t>plots/3FT6Y578R04_015_S31P_20251219032831_M5358ACSA301811_RBGEUFRF04/dpll_52094/txpa_55194.png</t>
  </si>
  <si>
    <t>plots/3FT6Y578R04_015_S31P_20251219032831_M5358ACSA301811_RBGEUFRF04/dpll_52094/txpa_55195.png</t>
  </si>
  <si>
    <t>plots/3FT6Y578R04_015_S31P_20251219032831_M5358ACSA301811_RBGEUFRF04/dpll_52094/txpa_55196.png</t>
  </si>
  <si>
    <t>plots/3FT6Y578R04_015_S31P_20251219032831_M5358ACSA301811_RBGEUFRF04/dpll_52094/txpa_55197.png</t>
  </si>
  <si>
    <t>plots/3FT6Y578R04_015_S31P_20251219032831_M5358ACSA301811_RBGEUFRF04/dpll_52094/txpa_55198.png</t>
  </si>
  <si>
    <t>plots/3FT6Y578R04_015_S31P_20251219032831_M5358ACSA301811_RBGEUFRF04/dpll_52094/txpa_55199.png</t>
  </si>
  <si>
    <t>plots/3FT6Y578R04_015_S31P_20251219032831_M5358ACSA301811_RBGEUFRF04/dpll_52094/txpa_55200.png</t>
  </si>
  <si>
    <t>plots/3FT6Y578R04_015_S31P_20251219032831_M5358ACSA301811_RBGEUFRF04/dpll_52094/txpa_55201.png</t>
  </si>
  <si>
    <t>plots/3FT6Y578R04_015_S31P_20251219032831_M5358ACSA301811_RBGEUFRF04/dpll_52094/txpa_55202.png</t>
  </si>
  <si>
    <t>plots/3FT6Y578R04_015_S31P_20251219032831_M5358ACSA301811_RBGEUFRF04/dpll_52094/txpa_55203.png</t>
  </si>
  <si>
    <t>plots/3FT6Y578R04_015_S31P_20251219032831_M5358ACSA301811_RBGEUFRF04/dpll_52094/txpa_55204.png</t>
  </si>
  <si>
    <t>plots/3FT6Y578R04_015_S31P_20251219032831_M5358ACSA301811_RBGEUFRF04/dpll_52094/txpa_55205.png</t>
  </si>
  <si>
    <t>plots/3FT6Y578R04_015_S31P_20251219032831_M5358ACSA301811_RBGEUFRF04/dpll_52094/txpa_55206.png</t>
  </si>
  <si>
    <t>plots/3FT6Y578R04_015_S31P_20251219032831_M5358ACSA301811_RBGEUFRF04/dpll_52094/txpa_55207.png</t>
  </si>
  <si>
    <t>plots/3FT6Y578R04_015_S31P_20251219032831_M5358ACSA301811_RBGEUFRF04/dpll_52094/txpa_55208.png</t>
  </si>
  <si>
    <t>plots/3FT6Y578R04_015_S31P_20251219032831_M5358ACSA301811_RBGEUFRF04/dpll_52094/txpa_55209.png</t>
  </si>
  <si>
    <t>plots/3FT6Y578R04_015_S31P_20251219032831_M5358ACSA301811_RBGEUFRF04/dpll_52094/txpa_55210.png</t>
  </si>
  <si>
    <t>plots/3FT6Y578R04_015_S31P_20251219032831_M5358ACSA301811_RBGEUFRF04/dpll_52094/txpa_55211.png</t>
  </si>
  <si>
    <t>plots/3FT6Y578R04_015_S31P_20251219032831_M5358ACSA301811_RBGEUFRF04/dpll_52094/txpa_55212.png</t>
  </si>
  <si>
    <t>plots/3FT6Y578R04_015_S31P_20251219032831_M5358ACSA301811_RBGEUFRF04/dpll_52094/txpa_55213.png</t>
  </si>
  <si>
    <t>plots/3FT6Y578R04_015_S31P_20251219032831_M5358ACSA301811_RBGEUFRF04/dpll_52094/txpa_55214.png</t>
  </si>
  <si>
    <t>plots/3FT6Y578R04_015_S31P_20251219032831_M5358ACSA301811_RBGEUFRF04/dpll_52094/txpa_55215.png</t>
  </si>
  <si>
    <t>plots/3FT6Y578R04_015_S31P_20251219032831_M5358ACSA301811_RBGEUFRF04/dpll_52094/txpa_55216.png</t>
  </si>
  <si>
    <t>plots/3FT6Y578R04_015_S31P_20251219032831_M5358ACSA301811_RBGEUFRF04/dpll_52094/txpa_55217.png</t>
  </si>
  <si>
    <t>plots/3FT6Y578R04_015_S31P_20251219032831_M5358ACSA301811_RBGEUFRF04/dpll_52094/txpa_55218.png</t>
  </si>
  <si>
    <t>plots/3FT6Y578R04_015_S31P_20251219032831_M5358ACSA301811_RBGEUFRF04/dpll_52094/txpa_55219.png</t>
  </si>
  <si>
    <t>plots/3FT6Y578R04_015_S31P_20251219032831_M5358ACSA301811_RBGEUFRF04/dpll_52094/txpa_55220.png</t>
  </si>
  <si>
    <t>plots/3FT6Y578R04_015_S31P_20251219032831_M5358ACSA301811_RBGEUFRF04/dpll_52094/txpa_55221.png</t>
  </si>
  <si>
    <t>plots/3FT6Y578R04_015_S31P_20251219032831_M5358ACSA301811_RBGEUFRF04/dpll_52094/txpa_55222.png</t>
  </si>
  <si>
    <t>plots/3FT6Y578R04_015_S31P_20251219032831_M5358ACSA301811_RBGEUFRF04/dpll_52094/txpa_55223.png</t>
  </si>
  <si>
    <t>plots/3FT6Y578R04_015_S31P_20251219032831_M5358ACSA301811_RBGEUFRF04/dpll_52094/txpa_55224.png</t>
  </si>
  <si>
    <t>plots/3FT6Y578R04_015_S31P_20251219032831_M5358ACSA301811_RBGEUFRF04/dpll_52094/txpa_55225.png</t>
  </si>
  <si>
    <t>plots/3FT6Y578R04_015_S31P_20251219032831_M5358ACSA301811_RBGEUFRF04/dpll_52094/txpa_55226.png</t>
  </si>
  <si>
    <t>plots/3FT6Y578R04_015_S31P_20251219032831_M5358ACSA301811_RBGEUFRF04/dpll_52094/txpa_55227.png</t>
  </si>
  <si>
    <t>plots/3FT6Y578R04_015_S31P_20251219032831_M5358ACSA301811_RBGEUFRF04/dpll_52094/txpa_55228.png</t>
  </si>
  <si>
    <t>plots/3FT6Y578R04_015_S31P_20251219032831_M5358ACSA301811_RBGEUFRF04/dpll_52094/txpa_55229.png</t>
  </si>
  <si>
    <t>plots/3FT6Y578R04_015_S31P_20251219032831_M5358ACSA301811_RBGEUFRF04/dpll_52094/txpa_55230.png</t>
  </si>
  <si>
    <t>plots/3FT6Y578R04_015_S31P_20251219032831_M5358ACSA301811_RBGEUFRF04/dpll_52094/txpa_55231.png</t>
  </si>
  <si>
    <t>plots/3FT6Y578R04_015_S31P_20251219032831_M5358ACSA301811_RBGEUFRF04/dpll_52094/txpa_55232.png</t>
  </si>
  <si>
    <t>plots/3FT6Y578R04_015_S31P_20251219032831_M5358ACSA301811_RBGEUFRF04/dpll_52094/txpa_55233.png</t>
  </si>
  <si>
    <t>plots/3FT6Y578R04_015_S31P_20251219032831_M5358ACSA301811_RBGEUFRF04/dpll_52094/txpa_55234.png</t>
  </si>
  <si>
    <t>plots/3FT6Y578R04_015_S31P_20251219032831_M5358ACSA301811_RBGEUFRF04/dpll_52094/txpa_55235.png</t>
  </si>
  <si>
    <t>plots/3FT6Y578R04_015_S31P_20251219032831_M5358ACSA301811_RBGEUFRF04/dpll_52094/txpa_55236.png</t>
  </si>
  <si>
    <t>plots/3FT6Y578R04_015_S31P_20251219032831_M5358ACSA301811_RBGEUFRF04/dpll_52094/txpa_55237.png</t>
  </si>
  <si>
    <t>plots/3FT6Y578R04_015_S31P_20251219032831_M5358ACSA301811_RBGEUFRF04/dpll_52094/txpa_55238.png</t>
  </si>
  <si>
    <t>plots/3FT6Y578R04_015_S31P_20251219032831_M5358ACSA301811_RBGEUFRF04/dpll_52094/txpa_55239.png</t>
  </si>
  <si>
    <t>plots/3FT6Y578R04_015_S31P_20251219032831_M5358ACSA301811_RBGEUFRF04/dpll_52094/txpa_55240.png</t>
  </si>
  <si>
    <t>plots/3FT6Y578R04_015_S31P_20251219032831_M5358ACSA301811_RBGEUFRF04/dpll_52094/txpa_55241.png</t>
  </si>
  <si>
    <t>plots/3FT6Y578R04_015_S31P_20251219032831_M5358ACSA301811_RBGEUFRF04/dpll_52094/txpa_55242.png</t>
  </si>
  <si>
    <t>plots/3FT6Y578R04_015_S31P_20251219032831_M5358ACSA301811_RBGEUFRF04/dpll_52094/txpa_55243.png</t>
  </si>
  <si>
    <t>plots/3FT6Y578R04_015_S31P_20251219032831_M5358ACSA301811_RBGEUFRF04/dpll_52094/txpa_55244.png</t>
  </si>
  <si>
    <t>plots/3FT6Y578R04_015_S31P_20251219032831_M5358ACSA301811_RBGEUFRF04/dpll_52094/txpa_55245.png</t>
  </si>
  <si>
    <t>plots/3FT6Y578R04_015_S31P_20251219032831_M5358ACSA301811_RBGEUFRF04/dpll_52094/txpa_55246.png</t>
  </si>
  <si>
    <t>plots/3FT6Y578R04_015_S31P_20251219032831_M5358ACSA301811_RBGEUFRF04/dpll_52094/txpa_55247.png</t>
  </si>
  <si>
    <t>plots/3FT6Y578R04_015_S31P_20251219032831_M5358ACSA301811_RBGEUFRF04/dpll_52094/txpa_55248.png</t>
  </si>
  <si>
    <t>plots/3FT6Y578R04_015_S31P_20251219032831_M5358ACSA301811_RBGEUFRF04/dpll_52094/txpa_55249.png</t>
  </si>
  <si>
    <t>plots/3FT6Y578R04_015_S31P_20251219032831_M5358ACSA301811_RBGEUFRF04/dpll_52094/txpa_55250.png</t>
  </si>
  <si>
    <t>plots/3FT6Y578R04_015_S31P_20251219032831_M5358ACSA301811_RBGEUFRF04/dpll_52094/txpa_55251.png</t>
  </si>
  <si>
    <t>plots/3FT6Y578R04_015_S31P_20251219032831_M5358ACSA301811_RBGEUFRF04/dpll_52094/txpa_55252.png</t>
  </si>
  <si>
    <t>plots/3FT6Y578R04_015_S31P_20251219032831_M5358ACSA301811_RBGEUFRF04/dpll_52094/txpa_55253.png</t>
  </si>
  <si>
    <t>plots/3FT6Y578R04_015_S31P_20251219032831_M5358ACSA301811_RBGEUFRF04/dpll_52094/txpa_55254.png</t>
  </si>
  <si>
    <t>plots/3FT6Y578R04_015_S31P_20251219032831_M5358ACSA301811_RBGEUFRF04/dpll_52094/txpa_55255.png</t>
  </si>
  <si>
    <t>plots/3FT6Y578R04_015_S31P_20251219032831_M5358ACSA301811_RBGEUFRF04/dpll_52094/txpa_55256.png</t>
  </si>
  <si>
    <t>plots/3FT6Y578R04_015_S31P_20251219032831_M5358ACSA301811_RBGEUFRF04/dpll_52094/txpa_55257.png</t>
  </si>
  <si>
    <t>plots/3FT6Y578R04_015_S31P_20251219032831_M5358ACSA301811_RBGEUFRF04/dpll_52094/txpa_55258.png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</si>
</sst>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3" borderId="0" xfId="2"/>
    <xf numFmtId="0" fontId="2" fillId="4" borderId="0" xfId="3"/>
    <xf numFmtId="0" fontId="2" fillId="2" borderId="0" xfId="1"/>
  </cellXfs>
  <cellStyles count="4">
    <cellStyle name="20% - Accent1" xfId="1" builtinId="30"/>
    <cellStyle name="20% - Accent2" xfId="2" builtinId="34"/>
    <cellStyle name="20% - Accent3" xfId="3" builtinId="3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workbookViewId="0"/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11</v>
      </c>
      <c r="C2" t="s">
        <v>12</v>
      </c>
      <c r="D2">
        <v>5</v>
      </c>
      <c r="E2" t="s">
        <v>13</v>
      </c>
      <c r="F2">
        <v>338</v>
      </c>
      <c r="G2" t="s">
        <v>14</v>
      </c>
      <c r="H2" t="s">
        <v>15</v>
      </c>
      <c r="I2">
        <v>10</v>
      </c>
      <c r="J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rgb="FF7030A0"/>
  </sheetPr>
  <dimension ref="A1:AC5071"/>
  <sheetViews>
    <sheetView tabSelected="1" workbookViewId="0">
      <pane ySplit="1" topLeftCell="A2" activePane="bottomLeft" state="frozen"/>
      <selection pane="bottomLeft" activeCell="C33" sqref="C33"/>
    </sheetView>
  </sheetViews>
  <sheetFormatPr defaultRowHeight="14.5" outlineLevelCol="1" x14ac:dyDescent="0.35"/>
  <cols>
    <col min="1" max="1" width="70" bestFit="1" customWidth="1"/>
    <col min="2" max="2" width="12.7265625" bestFit="1" customWidth="1"/>
    <col min="3" max="3" width="22.54296875" bestFit="1" customWidth="1"/>
    <col min="4" max="4" width="13.36328125" bestFit="1" customWidth="1"/>
    <col min="5" max="5" width="23.7265625" bestFit="1" customWidth="1"/>
    <col min="6" max="6" width="6.453125" bestFit="1" customWidth="1"/>
    <col min="7" max="7" width="13.90625" bestFit="1" customWidth="1"/>
    <col min="8" max="8" width="14.26953125" bestFit="1" customWidth="1"/>
    <col min="9" max="9" width="17.81640625" bestFit="1" customWidth="1"/>
    <col min="10" max="10" width="17.7265625" bestFit="1" customWidth="1"/>
    <col min="11" max="11" width="15.81640625" bestFit="1" customWidth="1"/>
    <col min="12" max="12" width="19.36328125" bestFit="1" customWidth="1"/>
    <col min="13" max="13" width="15.26953125" bestFit="1" customWidth="1"/>
    <col min="14" max="14" width="13.54296875" bestFit="1" customWidth="1"/>
    <col min="15" max="15" width="17" bestFit="1" customWidth="1"/>
    <col min="16" max="16" width="11.81640625" bestFit="1" customWidth="1"/>
    <col min="17" max="17" width="12.453125" hidden="1" customWidth="1" outlineLevel="1"/>
    <col min="18" max="18" width="13" hidden="1" customWidth="1" outlineLevel="1"/>
    <col min="19" max="20" width="11.81640625" hidden="1" customWidth="1" outlineLevel="1"/>
    <col min="21" max="21" width="12" hidden="1" customWidth="1" outlineLevel="1"/>
    <col min="22" max="22" width="11.81640625" hidden="1" customWidth="1" outlineLevel="1"/>
    <col min="23" max="23" width="12.453125" hidden="1" customWidth="1" outlineLevel="1"/>
    <col min="24" max="24" width="11.81640625" hidden="1" customWidth="1" outlineLevel="1"/>
    <col min="25" max="25" width="9.26953125" hidden="1" customWidth="1" outlineLevel="1"/>
    <col min="26" max="26" width="18.6328125" hidden="1" customWidth="1" outlineLevel="1"/>
    <col min="27" max="27" width="27.08984375" hidden="1" customWidth="1" outlineLevel="1"/>
    <col min="28" max="28" width="96.453125" hidden="1" customWidth="1" outlineLevel="1"/>
    <col min="29" max="29" width="12.7265625" bestFit="1" customWidth="1" collapsed="1"/>
  </cols>
  <sheetData>
    <row r="1" spans="1:29" x14ac:dyDescent="0.3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</row>
    <row r="2" spans="1:29" x14ac:dyDescent="0.35">
      <c r="A2" s="2" t="s">
        <v>46</v>
      </c>
      <c r="B2">
        <v>52046</v>
      </c>
      <c r="C2" t="s">
        <v>51</v>
      </c>
      <c r="D2">
        <v>53179</v>
      </c>
      <c r="E2" t="s">
        <v>54</v>
      </c>
      <c r="F2">
        <v>8716</v>
      </c>
      <c r="G2">
        <v>0.1509483337981635</v>
      </c>
      <c r="H2">
        <v>1.3711305692375361E-45</v>
      </c>
      <c r="I2">
        <v>1.400127288224433E-45</v>
      </c>
      <c r="J2">
        <v>0.12878735577720299</v>
      </c>
      <c r="K2">
        <v>1.482943062687176E-33</v>
      </c>
      <c r="L2">
        <v>1.5297093240740561E-33</v>
      </c>
      <c r="M2">
        <v>8.6200755910701421E-2</v>
      </c>
      <c r="N2">
        <v>1.6624679613174241E-33</v>
      </c>
      <c r="O2">
        <v>1.7148957403620229E-33</v>
      </c>
      <c r="P2">
        <v>2.278539947644179E-2</v>
      </c>
      <c r="Q2">
        <v>1.25019813309756</v>
      </c>
      <c r="R2">
        <v>-27.055879827393849</v>
      </c>
      <c r="S2">
        <v>1.077998370437288</v>
      </c>
      <c r="T2">
        <v>0.83113699570912281</v>
      </c>
      <c r="U2">
        <v>4.4782817893529154</v>
      </c>
      <c r="V2">
        <v>0.1316732403778659</v>
      </c>
      <c r="W2">
        <v>-21.457140294860029</v>
      </c>
      <c r="X2">
        <v>1.090556186724315</v>
      </c>
      <c r="Z2" t="s">
        <v>392</v>
      </c>
      <c r="AA2">
        <v>9937</v>
      </c>
      <c r="AB2" t="s">
        <v>393</v>
      </c>
      <c r="AC2" t="str">
        <f>HYPERLINK("plots/20251231000436_3FT6Y121H01_04823_B11P_N_UFLEX98_M5358A8BH101511/dpll_52046/txpa_53179.png","plot")</f>
        <v>plot</v>
      </c>
    </row>
    <row r="3" spans="1:29" x14ac:dyDescent="0.35">
      <c r="A3" s="2" t="s">
        <v>46</v>
      </c>
      <c r="B3">
        <v>52046</v>
      </c>
      <c r="C3" t="s">
        <v>51</v>
      </c>
      <c r="D3">
        <v>53180</v>
      </c>
      <c r="E3" t="s">
        <v>55</v>
      </c>
      <c r="F3">
        <v>8716</v>
      </c>
      <c r="G3">
        <v>0.17578014959996399</v>
      </c>
      <c r="H3">
        <v>1.9764084334396181E-61</v>
      </c>
      <c r="I3">
        <v>2.0618087978475029E-61</v>
      </c>
      <c r="J3">
        <v>0.12603219774345681</v>
      </c>
      <c r="K3">
        <v>3.39453113066551E-32</v>
      </c>
      <c r="L3">
        <v>3.4768227944392191E-32</v>
      </c>
      <c r="M3">
        <v>8.4888747268509632E-2</v>
      </c>
      <c r="N3">
        <v>1.5130565657959779E-32</v>
      </c>
      <c r="O3">
        <v>1.5497367249667889E-32</v>
      </c>
      <c r="P3">
        <v>3.0898660993385708E-2</v>
      </c>
      <c r="Q3">
        <v>1.4332499461415411</v>
      </c>
      <c r="R3">
        <v>-27.442903317426079</v>
      </c>
      <c r="S3">
        <v>1.0568401632678579</v>
      </c>
      <c r="T3">
        <v>0.81680629620893863</v>
      </c>
      <c r="U3">
        <v>4.4782817893529154</v>
      </c>
      <c r="V3">
        <v>0.1316732403778659</v>
      </c>
      <c r="W3">
        <v>-21.02440618402937</v>
      </c>
      <c r="X3">
        <v>1.0736176133047111</v>
      </c>
      <c r="Z3" t="s">
        <v>392</v>
      </c>
      <c r="AA3">
        <v>9937</v>
      </c>
      <c r="AB3" t="s">
        <v>394</v>
      </c>
      <c r="AC3" t="str">
        <f>HYPERLINK("plots/20251231000436_3FT6Y121H01_04823_B11P_N_UFLEX98_M5358A8BH101511/dpll_52046/txpa_53180.png","plot")</f>
        <v>plot</v>
      </c>
    </row>
    <row r="4" spans="1:29" x14ac:dyDescent="0.35">
      <c r="A4" s="2" t="s">
        <v>46</v>
      </c>
      <c r="B4">
        <v>52046</v>
      </c>
      <c r="C4" t="s">
        <v>51</v>
      </c>
      <c r="D4">
        <v>53181</v>
      </c>
      <c r="E4" t="s">
        <v>56</v>
      </c>
      <c r="F4">
        <v>8716</v>
      </c>
      <c r="G4">
        <v>0.15770465846220541</v>
      </c>
      <c r="H4">
        <v>1.1911286907920761E-49</v>
      </c>
      <c r="I4">
        <v>1.223712758321343E-49</v>
      </c>
      <c r="J4">
        <v>0.12769434166451951</v>
      </c>
      <c r="K4">
        <v>5.1773512515488153E-33</v>
      </c>
      <c r="L4">
        <v>5.3243754250207902E-33</v>
      </c>
      <c r="M4">
        <v>8.5753155179045915E-2</v>
      </c>
      <c r="N4">
        <v>3.5452947468160541E-33</v>
      </c>
      <c r="O4">
        <v>3.6533830012921531E-33</v>
      </c>
      <c r="P4">
        <v>2.4870759300680851E-2</v>
      </c>
      <c r="Q4">
        <v>1.2485827745494591</v>
      </c>
      <c r="R4">
        <v>-26.763102397129419</v>
      </c>
      <c r="S4">
        <v>1.0293818700498021</v>
      </c>
      <c r="T4">
        <v>0.79525199588227247</v>
      </c>
      <c r="U4">
        <v>4.4782817893529154</v>
      </c>
      <c r="V4">
        <v>0.1316732403778659</v>
      </c>
      <c r="W4">
        <v>-21.17159689536485</v>
      </c>
      <c r="X4">
        <v>1.042486261395468</v>
      </c>
      <c r="Z4" t="s">
        <v>392</v>
      </c>
      <c r="AA4">
        <v>9937</v>
      </c>
      <c r="AB4" t="s">
        <v>395</v>
      </c>
      <c r="AC4" t="str">
        <f>HYPERLINK("plots/20251231000436_3FT6Y121H01_04823_B11P_N_UFLEX98_M5358A8BH101511/dpll_52046/txpa_53181.png","plot")</f>
        <v>plot</v>
      </c>
    </row>
    <row r="5" spans="1:29" x14ac:dyDescent="0.35">
      <c r="A5" s="2" t="s">
        <v>46</v>
      </c>
      <c r="B5">
        <v>52046</v>
      </c>
      <c r="C5" t="s">
        <v>51</v>
      </c>
      <c r="D5">
        <v>53182</v>
      </c>
      <c r="E5" t="s">
        <v>57</v>
      </c>
      <c r="F5">
        <v>8716</v>
      </c>
      <c r="G5">
        <v>0.15929945392256981</v>
      </c>
      <c r="H5">
        <v>1.231259801525343E-50</v>
      </c>
      <c r="I5">
        <v>1.2662245829074009E-50</v>
      </c>
      <c r="J5">
        <v>0.11056505622243511</v>
      </c>
      <c r="K5">
        <v>4.073872068548737E-25</v>
      </c>
      <c r="L5">
        <v>4.122660955597225E-25</v>
      </c>
      <c r="M5">
        <v>7.450025844827951E-2</v>
      </c>
      <c r="N5">
        <v>1.895268070374227E-25</v>
      </c>
      <c r="O5">
        <v>1.917965891576314E-25</v>
      </c>
      <c r="P5">
        <v>2.5376316020028919E-2</v>
      </c>
      <c r="Q5">
        <v>1.2579345886857849</v>
      </c>
      <c r="R5">
        <v>-26.618044104765609</v>
      </c>
      <c r="S5">
        <v>1.026443054725678</v>
      </c>
      <c r="T5">
        <v>0.793435673730294</v>
      </c>
      <c r="U5">
        <v>4.4782817893529154</v>
      </c>
      <c r="V5">
        <v>0.1316732403778659</v>
      </c>
      <c r="W5">
        <v>-20.984658544056909</v>
      </c>
      <c r="X5">
        <v>1.039779606251291</v>
      </c>
      <c r="Z5" t="s">
        <v>392</v>
      </c>
      <c r="AA5">
        <v>9937</v>
      </c>
      <c r="AB5" t="s">
        <v>396</v>
      </c>
      <c r="AC5" t="str">
        <f>HYPERLINK("plots/20251231000436_3FT6Y121H01_04823_B11P_N_UFLEX98_M5358A8BH101511/dpll_52046/txpa_53182.png","plot")</f>
        <v>plot</v>
      </c>
    </row>
    <row r="6" spans="1:29" x14ac:dyDescent="0.35">
      <c r="A6" s="2" t="s">
        <v>46</v>
      </c>
      <c r="B6">
        <v>52046</v>
      </c>
      <c r="C6" t="s">
        <v>51</v>
      </c>
      <c r="D6">
        <v>53183</v>
      </c>
      <c r="E6" t="s">
        <v>58</v>
      </c>
      <c r="F6">
        <v>8716</v>
      </c>
      <c r="G6">
        <v>0.18234911991616989</v>
      </c>
      <c r="H6">
        <v>4.7974680753380874E-66</v>
      </c>
      <c r="I6">
        <v>5.0832106879757794E-66</v>
      </c>
      <c r="J6">
        <v>0.13436440796460769</v>
      </c>
      <c r="K6">
        <v>2.1230428163876481E-36</v>
      </c>
      <c r="L6">
        <v>2.2262310401417531E-36</v>
      </c>
      <c r="M6">
        <v>9.0362887130110717E-2</v>
      </c>
      <c r="N6">
        <v>1.18986631456649E-36</v>
      </c>
      <c r="O6">
        <v>1.248990106594639E-36</v>
      </c>
      <c r="P6">
        <v>3.3251201534201733E-2</v>
      </c>
      <c r="Q6">
        <v>1.31438600055233</v>
      </c>
      <c r="R6">
        <v>-26.629985047177179</v>
      </c>
      <c r="S6">
        <v>0.93314403017824132</v>
      </c>
      <c r="T6">
        <v>0.72523073924608927</v>
      </c>
      <c r="U6">
        <v>4.4782817893529154</v>
      </c>
      <c r="V6">
        <v>0.1316732403778659</v>
      </c>
      <c r="W6">
        <v>-20.743794156723268</v>
      </c>
      <c r="X6">
        <v>0.94911049682933923</v>
      </c>
      <c r="Z6" t="s">
        <v>392</v>
      </c>
      <c r="AA6">
        <v>9937</v>
      </c>
      <c r="AB6" t="s">
        <v>397</v>
      </c>
      <c r="AC6" t="str">
        <f>HYPERLINK("plots/20251231000436_3FT6Y121H01_04823_B11P_N_UFLEX98_M5358A8BH101511/dpll_52046/txpa_53183.png","plot")</f>
        <v>plot</v>
      </c>
    </row>
    <row r="7" spans="1:29" x14ac:dyDescent="0.35">
      <c r="A7" s="2" t="s">
        <v>46</v>
      </c>
      <c r="B7">
        <v>52046</v>
      </c>
      <c r="C7" t="s">
        <v>51</v>
      </c>
      <c r="D7">
        <v>53184</v>
      </c>
      <c r="E7" t="s">
        <v>59</v>
      </c>
      <c r="F7">
        <v>8716</v>
      </c>
      <c r="G7">
        <v>0.18926175728320541</v>
      </c>
      <c r="H7">
        <v>4.2689679222860473E-71</v>
      </c>
      <c r="I7">
        <v>4.5517702136677727E-71</v>
      </c>
      <c r="J7">
        <v>0.1334504445615449</v>
      </c>
      <c r="K7">
        <v>6.3315142794579134E-36</v>
      </c>
      <c r="L7">
        <v>6.6255474503305724E-36</v>
      </c>
      <c r="M7">
        <v>8.9695509901311463E-2</v>
      </c>
      <c r="N7">
        <v>3.8851497865948703E-36</v>
      </c>
      <c r="O7">
        <v>4.0697746731479321E-36</v>
      </c>
      <c r="P7">
        <v>3.5820012769926947E-2</v>
      </c>
      <c r="Q7">
        <v>1.412711305297621</v>
      </c>
      <c r="R7">
        <v>-27.105933252008001</v>
      </c>
      <c r="S7">
        <v>0.96503311688824656</v>
      </c>
      <c r="T7">
        <v>0.74993115542058308</v>
      </c>
      <c r="U7">
        <v>4.4782817893529154</v>
      </c>
      <c r="V7">
        <v>0.1316732403778659</v>
      </c>
      <c r="W7">
        <v>-20.77941393988068</v>
      </c>
      <c r="X7">
        <v>0.98285188702244475</v>
      </c>
      <c r="Z7" t="s">
        <v>392</v>
      </c>
      <c r="AA7">
        <v>9937</v>
      </c>
      <c r="AB7" t="s">
        <v>398</v>
      </c>
      <c r="AC7" t="str">
        <f>HYPERLINK("plots/20251231000436_3FT6Y121H01_04823_B11P_N_UFLEX98_M5358A8BH101511/dpll_52046/txpa_53184.png","plot")</f>
        <v>plot</v>
      </c>
    </row>
    <row r="8" spans="1:29" x14ac:dyDescent="0.35">
      <c r="A8" s="2" t="s">
        <v>46</v>
      </c>
      <c r="B8">
        <v>52046</v>
      </c>
      <c r="C8" t="s">
        <v>51</v>
      </c>
      <c r="D8">
        <v>53185</v>
      </c>
      <c r="E8" t="s">
        <v>60</v>
      </c>
      <c r="F8">
        <v>8716</v>
      </c>
      <c r="G8">
        <v>0.17056825267835429</v>
      </c>
      <c r="H8">
        <v>6.7637339289179731E-58</v>
      </c>
      <c r="I8">
        <v>7.034283286074692E-58</v>
      </c>
      <c r="J8">
        <v>0.1304501641662664</v>
      </c>
      <c r="K8">
        <v>2.167817656575994E-34</v>
      </c>
      <c r="L8">
        <v>2.2499151522702739E-34</v>
      </c>
      <c r="M8">
        <v>8.7563488866899533E-2</v>
      </c>
      <c r="N8">
        <v>1.608247978359692E-34</v>
      </c>
      <c r="O8">
        <v>1.6708641906318931E-34</v>
      </c>
      <c r="P8">
        <v>2.9093528821746921E-2</v>
      </c>
      <c r="Q8">
        <v>1.2742384545962899</v>
      </c>
      <c r="R8">
        <v>-26.548707583813279</v>
      </c>
      <c r="S8">
        <v>0.96920090931146607</v>
      </c>
      <c r="T8">
        <v>0.75183969436019193</v>
      </c>
      <c r="U8">
        <v>4.4782817893529154</v>
      </c>
      <c r="V8">
        <v>0.1316732403778659</v>
      </c>
      <c r="W8">
        <v>-20.84230871730151</v>
      </c>
      <c r="X8">
        <v>0.98367136730403981</v>
      </c>
      <c r="Z8" t="s">
        <v>392</v>
      </c>
      <c r="AA8">
        <v>9937</v>
      </c>
      <c r="AB8" t="s">
        <v>399</v>
      </c>
      <c r="AC8" t="str">
        <f>HYPERLINK("plots/20251231000436_3FT6Y121H01_04823_B11P_N_UFLEX98_M5358A8BH101511/dpll_52046/txpa_53185.png","plot")</f>
        <v>plot</v>
      </c>
    </row>
    <row r="9" spans="1:29" x14ac:dyDescent="0.35">
      <c r="A9" s="2" t="s">
        <v>46</v>
      </c>
      <c r="B9">
        <v>52046</v>
      </c>
      <c r="C9" t="s">
        <v>51</v>
      </c>
      <c r="D9">
        <v>53186</v>
      </c>
      <c r="E9" t="s">
        <v>61</v>
      </c>
      <c r="F9">
        <v>8716</v>
      </c>
      <c r="G9">
        <v>0.19298861429238659</v>
      </c>
      <c r="H9">
        <v>6.6688347808424667E-74</v>
      </c>
      <c r="I9">
        <v>7.148201340141925E-74</v>
      </c>
      <c r="J9">
        <v>0.15226821084996089</v>
      </c>
      <c r="K9">
        <v>2.2815796433318639E-46</v>
      </c>
      <c r="L9">
        <v>2.4611933599345849E-46</v>
      </c>
      <c r="M9">
        <v>0.10266485447946749</v>
      </c>
      <c r="N9">
        <v>8.3638135164409975E-47</v>
      </c>
      <c r="O9">
        <v>9.0222413890118835E-47</v>
      </c>
      <c r="P9">
        <v>3.7244605246495581E-2</v>
      </c>
      <c r="Q9">
        <v>1.587343458554858</v>
      </c>
      <c r="R9">
        <v>-28.492111614817141</v>
      </c>
      <c r="S9">
        <v>1.0625999901015739</v>
      </c>
      <c r="T9">
        <v>0.825543332032042</v>
      </c>
      <c r="U9">
        <v>4.4782817893529154</v>
      </c>
      <c r="V9">
        <v>0.1316732403778659</v>
      </c>
      <c r="W9">
        <v>-21.383540310922449</v>
      </c>
      <c r="X9">
        <v>1.083020661850373</v>
      </c>
      <c r="Z9" t="s">
        <v>392</v>
      </c>
      <c r="AA9">
        <v>9937</v>
      </c>
      <c r="AB9" t="s">
        <v>400</v>
      </c>
      <c r="AC9" t="str">
        <f>HYPERLINK("plots/20251231000436_3FT6Y121H01_04823_B11P_N_UFLEX98_M5358A8BH101511/dpll_52046/txpa_53186.png","plot")</f>
        <v>plot</v>
      </c>
    </row>
    <row r="10" spans="1:29" x14ac:dyDescent="0.35">
      <c r="A10" s="2" t="s">
        <v>46</v>
      </c>
      <c r="B10">
        <v>52046</v>
      </c>
      <c r="C10" t="s">
        <v>51</v>
      </c>
      <c r="D10">
        <v>53187</v>
      </c>
      <c r="E10" t="s">
        <v>62</v>
      </c>
      <c r="F10">
        <v>8716</v>
      </c>
      <c r="G10">
        <v>0.35964812812070979</v>
      </c>
      <c r="H10">
        <v>1.9107205040679759E-264</v>
      </c>
      <c r="I10">
        <v>2.380185001381975E-264</v>
      </c>
      <c r="J10">
        <v>0.28863802094506219</v>
      </c>
      <c r="K10">
        <v>7.4197159506470133E-167</v>
      </c>
      <c r="L10">
        <v>9.9386948136804107E-167</v>
      </c>
      <c r="M10">
        <v>0.1964275554230942</v>
      </c>
      <c r="N10">
        <v>1.8373803509087641E-166</v>
      </c>
      <c r="O10">
        <v>2.4644228516157231E-166</v>
      </c>
      <c r="P10">
        <v>0.1293467760607305</v>
      </c>
      <c r="Q10">
        <v>0.78550915036777769</v>
      </c>
      <c r="R10">
        <v>-11.49423903651855</v>
      </c>
      <c r="S10">
        <v>0.2683296466673285</v>
      </c>
      <c r="T10">
        <v>0.2020330114362979</v>
      </c>
      <c r="U10">
        <v>4.4782817893529154</v>
      </c>
      <c r="V10">
        <v>0.1316732403778659</v>
      </c>
      <c r="W10">
        <v>-7.9765077130564483</v>
      </c>
      <c r="X10">
        <v>0.28758813709347297</v>
      </c>
      <c r="Z10" t="s">
        <v>392</v>
      </c>
      <c r="AA10">
        <v>9937</v>
      </c>
      <c r="AB10" t="s">
        <v>401</v>
      </c>
      <c r="AC10" t="str">
        <f>HYPERLINK("plots/20251231000436_3FT6Y121H01_04823_B11P_N_UFLEX98_M5358A8BH101511/dpll_52046/txpa_53187.png","plot")</f>
        <v>plot</v>
      </c>
    </row>
    <row r="11" spans="1:29" x14ac:dyDescent="0.35">
      <c r="A11" s="2" t="s">
        <v>46</v>
      </c>
      <c r="B11">
        <v>52046</v>
      </c>
      <c r="C11" t="s">
        <v>51</v>
      </c>
      <c r="D11">
        <v>53188</v>
      </c>
      <c r="E11" t="s">
        <v>63</v>
      </c>
      <c r="F11">
        <v>8716</v>
      </c>
      <c r="G11">
        <v>0.31500574555713329</v>
      </c>
      <c r="H11">
        <v>4.8839410563970491E-200</v>
      </c>
      <c r="I11">
        <v>5.6340343927037624E-200</v>
      </c>
      <c r="J11">
        <v>0.1950267411073012</v>
      </c>
      <c r="K11">
        <v>1.8389586440282751E-75</v>
      </c>
      <c r="L11">
        <v>2.02465153642201E-75</v>
      </c>
      <c r="M11">
        <v>0.1327397106068583</v>
      </c>
      <c r="N11">
        <v>4.3827085827280088E-77</v>
      </c>
      <c r="O11">
        <v>4.8410310488956443E-77</v>
      </c>
      <c r="P11">
        <v>9.9228619734005402E-2</v>
      </c>
      <c r="Q11">
        <v>0.93653267964113918</v>
      </c>
      <c r="R11">
        <v>-11.851399645931149</v>
      </c>
      <c r="S11">
        <v>0.37152184862052151</v>
      </c>
      <c r="T11">
        <v>0.29497077872313071</v>
      </c>
      <c r="U11">
        <v>4.4782817893529154</v>
      </c>
      <c r="V11">
        <v>0.1316732403778659</v>
      </c>
      <c r="W11">
        <v>-7.6573424015603493</v>
      </c>
      <c r="X11">
        <v>0.39147315370394847</v>
      </c>
      <c r="Z11" t="s">
        <v>392</v>
      </c>
      <c r="AA11">
        <v>9937</v>
      </c>
      <c r="AB11" t="s">
        <v>402</v>
      </c>
      <c r="AC11" t="str">
        <f>HYPERLINK("plots/20251231000436_3FT6Y121H01_04823_B11P_N_UFLEX98_M5358A8BH101511/dpll_52046/txpa_53188.png","plot")</f>
        <v>plot</v>
      </c>
    </row>
    <row r="12" spans="1:29" x14ac:dyDescent="0.35">
      <c r="A12" s="2" t="s">
        <v>46</v>
      </c>
      <c r="B12">
        <v>52046</v>
      </c>
      <c r="C12" t="s">
        <v>51</v>
      </c>
      <c r="D12">
        <v>53189</v>
      </c>
      <c r="E12" t="s">
        <v>64</v>
      </c>
      <c r="F12">
        <v>8716</v>
      </c>
      <c r="G12">
        <v>0.36352984441636588</v>
      </c>
      <c r="H12">
        <v>1.4647455272069461E-270</v>
      </c>
      <c r="I12">
        <v>1.8427443729377711E-270</v>
      </c>
      <c r="J12">
        <v>0.27477472497378469</v>
      </c>
      <c r="K12">
        <v>8.8371483629915463E-151</v>
      </c>
      <c r="L12">
        <v>1.134287144313092E-150</v>
      </c>
      <c r="M12">
        <v>0.18713230772545261</v>
      </c>
      <c r="N12">
        <v>2.8475244408287911E-151</v>
      </c>
      <c r="O12">
        <v>3.673523896947066E-151</v>
      </c>
      <c r="P12">
        <v>0.1321539477813872</v>
      </c>
      <c r="Q12">
        <v>0.80148592251078687</v>
      </c>
      <c r="R12">
        <v>-11.332612359504751</v>
      </c>
      <c r="S12">
        <v>0.27042683325554911</v>
      </c>
      <c r="T12">
        <v>0.21003957745476079</v>
      </c>
      <c r="U12">
        <v>4.4782817893529154</v>
      </c>
      <c r="V12">
        <v>0.1316732403778659</v>
      </c>
      <c r="W12">
        <v>-7.7433325483019733</v>
      </c>
      <c r="X12">
        <v>0.29030422166210279</v>
      </c>
      <c r="Z12" t="s">
        <v>392</v>
      </c>
      <c r="AA12">
        <v>9937</v>
      </c>
      <c r="AB12" t="s">
        <v>403</v>
      </c>
      <c r="AC12" t="str">
        <f>HYPERLINK("plots/20251231000436_3FT6Y121H01_04823_B11P_N_UFLEX98_M5358A8BH101511/dpll_52046/txpa_53189.png","plot")</f>
        <v>plot</v>
      </c>
    </row>
    <row r="13" spans="1:29" x14ac:dyDescent="0.35">
      <c r="A13" s="2" t="s">
        <v>46</v>
      </c>
      <c r="B13">
        <v>52046</v>
      </c>
      <c r="C13" t="s">
        <v>51</v>
      </c>
      <c r="D13">
        <v>53190</v>
      </c>
      <c r="E13" t="s">
        <v>65</v>
      </c>
      <c r="F13">
        <v>8716</v>
      </c>
      <c r="G13">
        <v>0.34143398543541781</v>
      </c>
      <c r="H13">
        <v>7.158356674522107E-237</v>
      </c>
      <c r="I13">
        <v>8.5495567349415984E-237</v>
      </c>
      <c r="J13">
        <v>0.2168202710420444</v>
      </c>
      <c r="K13">
        <v>3.0240030771790622E-93</v>
      </c>
      <c r="L13">
        <v>3.4299095304916882E-93</v>
      </c>
      <c r="M13">
        <v>0.14773998589567741</v>
      </c>
      <c r="N13">
        <v>4.9218690077718593E-95</v>
      </c>
      <c r="O13">
        <v>5.6842541843743353E-95</v>
      </c>
      <c r="P13">
        <v>0.1165771664103131</v>
      </c>
      <c r="Q13">
        <v>0.89970115821710439</v>
      </c>
      <c r="R13">
        <v>-11.71133434540187</v>
      </c>
      <c r="S13">
        <v>0.3260982367066752</v>
      </c>
      <c r="T13">
        <v>0.25413591378690392</v>
      </c>
      <c r="U13">
        <v>4.4782817893529154</v>
      </c>
      <c r="V13">
        <v>0.1316732403778659</v>
      </c>
      <c r="W13">
        <v>-7.6822190326984856</v>
      </c>
      <c r="X13">
        <v>0.34696770657756659</v>
      </c>
      <c r="Z13" t="s">
        <v>392</v>
      </c>
      <c r="AA13">
        <v>9937</v>
      </c>
      <c r="AB13" t="s">
        <v>404</v>
      </c>
      <c r="AC13" t="str">
        <f>HYPERLINK("plots/20251231000436_3FT6Y121H01_04823_B11P_N_UFLEX98_M5358A8BH101511/dpll_52046/txpa_53190.png","plot")</f>
        <v>plot</v>
      </c>
    </row>
    <row r="14" spans="1:29" x14ac:dyDescent="0.35">
      <c r="A14" s="2" t="s">
        <v>46</v>
      </c>
      <c r="B14">
        <v>52046</v>
      </c>
      <c r="C14" t="s">
        <v>51</v>
      </c>
      <c r="D14">
        <v>53191</v>
      </c>
      <c r="E14" t="s">
        <v>66</v>
      </c>
      <c r="F14">
        <v>8716</v>
      </c>
      <c r="G14">
        <v>0.39261013196608319</v>
      </c>
      <c r="H14">
        <v>0</v>
      </c>
      <c r="I14">
        <v>0</v>
      </c>
      <c r="J14">
        <v>0.28517323195705019</v>
      </c>
      <c r="K14">
        <v>9.4420787984994635E-163</v>
      </c>
      <c r="L14">
        <v>1.245028335718915E-162</v>
      </c>
      <c r="M14">
        <v>0.19491976048663509</v>
      </c>
      <c r="N14">
        <v>5.9556562299916513E-164</v>
      </c>
      <c r="O14">
        <v>7.9252433296739297E-164</v>
      </c>
      <c r="P14">
        <v>0.15414271572242519</v>
      </c>
      <c r="Q14">
        <v>0.8382305069150584</v>
      </c>
      <c r="R14">
        <v>-11.295023764443661</v>
      </c>
      <c r="S14">
        <v>0.25853724386306082</v>
      </c>
      <c r="T14">
        <v>0.20011934628851069</v>
      </c>
      <c r="U14">
        <v>4.4782817893529154</v>
      </c>
      <c r="V14">
        <v>0.1316732403778659</v>
      </c>
      <c r="W14">
        <v>-7.5411913500458931</v>
      </c>
      <c r="X14">
        <v>0.28112500937347618</v>
      </c>
      <c r="Z14" t="s">
        <v>392</v>
      </c>
      <c r="AA14">
        <v>9937</v>
      </c>
      <c r="AB14" t="s">
        <v>405</v>
      </c>
      <c r="AC14" t="str">
        <f>HYPERLINK("plots/20251231000436_3FT6Y121H01_04823_B11P_N_UFLEX98_M5358A8BH101511/dpll_52046/txpa_53191.png","plot")</f>
        <v>plot</v>
      </c>
    </row>
    <row r="15" spans="1:29" x14ac:dyDescent="0.35">
      <c r="A15" s="2" t="s">
        <v>46</v>
      </c>
      <c r="B15">
        <v>52046</v>
      </c>
      <c r="C15" t="s">
        <v>51</v>
      </c>
      <c r="D15">
        <v>53192</v>
      </c>
      <c r="E15" t="s">
        <v>67</v>
      </c>
      <c r="F15">
        <v>8714</v>
      </c>
      <c r="G15">
        <v>0.37047485652135892</v>
      </c>
      <c r="H15">
        <v>1.1862245796513599E-281</v>
      </c>
      <c r="I15">
        <v>1.5091991515263229E-281</v>
      </c>
      <c r="J15">
        <v>0.24696073897522369</v>
      </c>
      <c r="K15">
        <v>3.0955368996353621E-121</v>
      </c>
      <c r="L15">
        <v>3.710253447080682E-121</v>
      </c>
      <c r="M15">
        <v>0.16918820145721661</v>
      </c>
      <c r="N15">
        <v>5.4079232873413503E-124</v>
      </c>
      <c r="O15">
        <v>6.5126297070832886E-124</v>
      </c>
      <c r="P15">
        <v>0.13725161931452151</v>
      </c>
      <c r="Q15">
        <v>0.93831071471840521</v>
      </c>
      <c r="R15">
        <v>-11.73178436146384</v>
      </c>
      <c r="S15">
        <v>0.3095219693381337</v>
      </c>
      <c r="T15">
        <v>0.24010393914324049</v>
      </c>
      <c r="U15">
        <v>4.478363023295846</v>
      </c>
      <c r="V15">
        <v>0.13157894114453109</v>
      </c>
      <c r="W15">
        <v>-7.5296883523066329</v>
      </c>
      <c r="X15">
        <v>0.33325319690109118</v>
      </c>
      <c r="Z15" t="s">
        <v>392</v>
      </c>
      <c r="AA15">
        <v>9937</v>
      </c>
      <c r="AB15" t="s">
        <v>406</v>
      </c>
      <c r="AC15" t="str">
        <f>HYPERLINK("plots/20251231000436_3FT6Y121H01_04823_B11P_N_UFLEX98_M5358A8BH101511/dpll_52046/txpa_53192.png","plot")</f>
        <v>plot</v>
      </c>
    </row>
    <row r="16" spans="1:29" x14ac:dyDescent="0.35">
      <c r="A16" s="2" t="s">
        <v>46</v>
      </c>
      <c r="B16">
        <v>52046</v>
      </c>
      <c r="C16" t="s">
        <v>51</v>
      </c>
      <c r="D16">
        <v>53193</v>
      </c>
      <c r="E16" t="s">
        <v>68</v>
      </c>
      <c r="F16">
        <v>8716</v>
      </c>
      <c r="G16">
        <v>0.38305261753470449</v>
      </c>
      <c r="H16">
        <v>1.240465523225822E-302</v>
      </c>
      <c r="I16">
        <v>1.618831455020571E-302</v>
      </c>
      <c r="J16">
        <v>0.28601147129182231</v>
      </c>
      <c r="K16">
        <v>9.7132461864110983E-164</v>
      </c>
      <c r="L16">
        <v>1.2874812592184121E-163</v>
      </c>
      <c r="M16">
        <v>0.19551695460262089</v>
      </c>
      <c r="N16">
        <v>6.0113800150300871E-165</v>
      </c>
      <c r="O16">
        <v>8.0416086216893257E-165</v>
      </c>
      <c r="P16">
        <v>0.14672930780018861</v>
      </c>
      <c r="Q16">
        <v>0.8423398577780139</v>
      </c>
      <c r="R16">
        <v>-11.277201012054739</v>
      </c>
      <c r="S16">
        <v>0.26745143933384707</v>
      </c>
      <c r="T16">
        <v>0.20935595361717049</v>
      </c>
      <c r="U16">
        <v>4.4782817893529154</v>
      </c>
      <c r="V16">
        <v>0.1316732403778659</v>
      </c>
      <c r="W16">
        <v>-7.504965766521341</v>
      </c>
      <c r="X16">
        <v>0.28955191400829711</v>
      </c>
      <c r="Z16" t="s">
        <v>392</v>
      </c>
      <c r="AA16">
        <v>9937</v>
      </c>
      <c r="AB16" t="s">
        <v>407</v>
      </c>
      <c r="AC16" t="str">
        <f>HYPERLINK("plots/20251231000436_3FT6Y121H01_04823_B11P_N_UFLEX98_M5358A8BH101511/dpll_52046/txpa_53193.png","plot")</f>
        <v>plot</v>
      </c>
    </row>
    <row r="17" spans="1:29" x14ac:dyDescent="0.35">
      <c r="A17" s="2" t="s">
        <v>46</v>
      </c>
      <c r="B17">
        <v>52046</v>
      </c>
      <c r="C17" t="s">
        <v>51</v>
      </c>
      <c r="D17">
        <v>53194</v>
      </c>
      <c r="E17" t="s">
        <v>69</v>
      </c>
      <c r="F17">
        <v>8713</v>
      </c>
      <c r="G17">
        <v>0.39276496416722773</v>
      </c>
      <c r="H17">
        <v>0</v>
      </c>
      <c r="I17">
        <v>0</v>
      </c>
      <c r="J17">
        <v>0.28259800885131442</v>
      </c>
      <c r="K17">
        <v>1.102806740371676E-159</v>
      </c>
      <c r="L17">
        <v>1.4428981093379089E-159</v>
      </c>
      <c r="M17">
        <v>0.19347183996800671</v>
      </c>
      <c r="N17">
        <v>1.686256397654094E-161</v>
      </c>
      <c r="O17">
        <v>2.2263854000276711E-161</v>
      </c>
      <c r="P17">
        <v>0.15426431707728361</v>
      </c>
      <c r="Q17">
        <v>0.91904746875162557</v>
      </c>
      <c r="R17">
        <v>-12.01721550413032</v>
      </c>
      <c r="S17">
        <v>0.28301153554852421</v>
      </c>
      <c r="T17">
        <v>0.21718767980642939</v>
      </c>
      <c r="U17">
        <v>4.4784064057155977</v>
      </c>
      <c r="V17">
        <v>0.1315244611822548</v>
      </c>
      <c r="W17">
        <v>-7.9013474329163316</v>
      </c>
      <c r="X17">
        <v>0.3077596887613599</v>
      </c>
      <c r="Z17" t="s">
        <v>392</v>
      </c>
      <c r="AA17">
        <v>9937</v>
      </c>
      <c r="AB17" t="s">
        <v>408</v>
      </c>
      <c r="AC17" t="str">
        <f>HYPERLINK("plots/20251231000436_3FT6Y121H01_04823_B11P_N_UFLEX98_M5358A8BH101511/dpll_52046/txpa_53194.png","plot")</f>
        <v>plot</v>
      </c>
    </row>
    <row r="18" spans="1:29" x14ac:dyDescent="0.35">
      <c r="A18" s="2" t="s">
        <v>46</v>
      </c>
      <c r="B18">
        <v>52046</v>
      </c>
      <c r="C18" t="s">
        <v>51</v>
      </c>
      <c r="D18">
        <v>53195</v>
      </c>
      <c r="E18" t="s">
        <v>70</v>
      </c>
      <c r="F18">
        <v>8715</v>
      </c>
      <c r="G18">
        <v>0.38713921739715701</v>
      </c>
      <c r="H18">
        <v>0</v>
      </c>
      <c r="I18">
        <v>0</v>
      </c>
      <c r="J18">
        <v>0.30988462781193787</v>
      </c>
      <c r="K18">
        <v>2.6812076486637508E-193</v>
      </c>
      <c r="L18">
        <v>3.9118626701367528E-193</v>
      </c>
      <c r="M18">
        <v>0.21125755743575839</v>
      </c>
      <c r="N18">
        <v>3.1042232005828839E-192</v>
      </c>
      <c r="O18">
        <v>4.5421101376494154E-192</v>
      </c>
      <c r="P18">
        <v>0.14987677364688309</v>
      </c>
      <c r="Q18">
        <v>0.76885210435307194</v>
      </c>
      <c r="R18">
        <v>-5.3984675772945554</v>
      </c>
      <c r="S18">
        <v>0.24107068950471841</v>
      </c>
      <c r="T18">
        <v>0.17931814000677321</v>
      </c>
      <c r="U18">
        <v>4.4783070546184733</v>
      </c>
      <c r="V18">
        <v>0.13165966554254599</v>
      </c>
      <c r="W18">
        <v>-1.955311774411933</v>
      </c>
      <c r="X18">
        <v>0.26147392555934718</v>
      </c>
      <c r="Z18" t="s">
        <v>392</v>
      </c>
      <c r="AA18">
        <v>9937</v>
      </c>
      <c r="AB18" t="s">
        <v>409</v>
      </c>
      <c r="AC18" t="str">
        <f>HYPERLINK("plots/20251231000436_3FT6Y121H01_04823_B11P_N_UFLEX98_M5358A8BH101511/dpll_52046/txpa_53195.png","plot")</f>
        <v>plot</v>
      </c>
    </row>
    <row r="19" spans="1:29" x14ac:dyDescent="0.35">
      <c r="A19" s="2" t="s">
        <v>46</v>
      </c>
      <c r="B19">
        <v>52046</v>
      </c>
      <c r="C19" t="s">
        <v>51</v>
      </c>
      <c r="D19">
        <v>53196</v>
      </c>
      <c r="E19" t="s">
        <v>71</v>
      </c>
      <c r="F19">
        <v>8716</v>
      </c>
      <c r="G19">
        <v>0.33308724282360153</v>
      </c>
      <c r="H19">
        <v>7.6984672564211257E-225</v>
      </c>
      <c r="I19">
        <v>9.0350067106609044E-225</v>
      </c>
      <c r="J19">
        <v>0.20679756095109261</v>
      </c>
      <c r="K19">
        <v>8.1774134103167316E-85</v>
      </c>
      <c r="L19">
        <v>9.1219991177790603E-85</v>
      </c>
      <c r="M19">
        <v>0.14090100253399121</v>
      </c>
      <c r="N19">
        <v>1.2638240571585879E-86</v>
      </c>
      <c r="O19">
        <v>1.416041540285976E-86</v>
      </c>
      <c r="P19">
        <v>0.1109471113318288</v>
      </c>
      <c r="Q19">
        <v>0.89467000927695206</v>
      </c>
      <c r="R19">
        <v>-5.6760599795180644</v>
      </c>
      <c r="S19">
        <v>0.33345811185419638</v>
      </c>
      <c r="T19">
        <v>0.26394312057934582</v>
      </c>
      <c r="U19">
        <v>4.4782817893529154</v>
      </c>
      <c r="V19">
        <v>0.1316732403778659</v>
      </c>
      <c r="W19">
        <v>-1.6694755694928869</v>
      </c>
      <c r="X19">
        <v>0.35367340457640722</v>
      </c>
      <c r="Z19" t="s">
        <v>392</v>
      </c>
      <c r="AA19">
        <v>9937</v>
      </c>
      <c r="AB19" t="s">
        <v>410</v>
      </c>
      <c r="AC19" t="str">
        <f>HYPERLINK("plots/20251231000436_3FT6Y121H01_04823_B11P_N_UFLEX98_M5358A8BH101511/dpll_52046/txpa_53196.png","plot")</f>
        <v>plot</v>
      </c>
    </row>
    <row r="20" spans="1:29" x14ac:dyDescent="0.35">
      <c r="A20" s="2" t="s">
        <v>46</v>
      </c>
      <c r="B20">
        <v>52046</v>
      </c>
      <c r="C20" t="s">
        <v>51</v>
      </c>
      <c r="D20">
        <v>53197</v>
      </c>
      <c r="E20" t="s">
        <v>72</v>
      </c>
      <c r="F20">
        <v>8716</v>
      </c>
      <c r="G20">
        <v>0.39401792552631359</v>
      </c>
      <c r="H20">
        <v>0</v>
      </c>
      <c r="I20">
        <v>0</v>
      </c>
      <c r="J20">
        <v>0.30007073016125813</v>
      </c>
      <c r="K20">
        <v>8.1130234626555199E-181</v>
      </c>
      <c r="L20">
        <v>1.1362715181122509E-180</v>
      </c>
      <c r="M20">
        <v>0.20516820449850021</v>
      </c>
      <c r="N20">
        <v>1.8847682665040369E-181</v>
      </c>
      <c r="O20">
        <v>2.6692109249093481E-181</v>
      </c>
      <c r="P20">
        <v>0.15525012563605961</v>
      </c>
      <c r="Q20">
        <v>0.78667967031593922</v>
      </c>
      <c r="R20">
        <v>-5.2778419024377357</v>
      </c>
      <c r="S20">
        <v>0.24161206833966639</v>
      </c>
      <c r="T20">
        <v>0.18569677872017731</v>
      </c>
      <c r="U20">
        <v>4.4782817893529154</v>
      </c>
      <c r="V20">
        <v>0.1316732403778659</v>
      </c>
      <c r="W20">
        <v>-1.75486866080771</v>
      </c>
      <c r="X20">
        <v>0.26289327114122202</v>
      </c>
      <c r="Z20" t="s">
        <v>392</v>
      </c>
      <c r="AA20">
        <v>9937</v>
      </c>
      <c r="AB20" t="s">
        <v>411</v>
      </c>
      <c r="AC20" t="str">
        <f>HYPERLINK("plots/20251231000436_3FT6Y121H01_04823_B11P_N_UFLEX98_M5358A8BH101511/dpll_52046/txpa_53197.png","plot")</f>
        <v>plot</v>
      </c>
    </row>
    <row r="21" spans="1:29" x14ac:dyDescent="0.35">
      <c r="A21" s="2" t="s">
        <v>46</v>
      </c>
      <c r="B21">
        <v>52046</v>
      </c>
      <c r="C21" t="s">
        <v>51</v>
      </c>
      <c r="D21">
        <v>53198</v>
      </c>
      <c r="E21" t="s">
        <v>73</v>
      </c>
      <c r="F21">
        <v>8716</v>
      </c>
      <c r="G21">
        <v>0.36340634953676032</v>
      </c>
      <c r="H21">
        <v>2.29951917450014E-270</v>
      </c>
      <c r="I21">
        <v>2.8893586653570541E-270</v>
      </c>
      <c r="J21">
        <v>0.23379843176248799</v>
      </c>
      <c r="K21">
        <v>1.569531012035063E-108</v>
      </c>
      <c r="L21">
        <v>1.8356452666707661E-108</v>
      </c>
      <c r="M21">
        <v>0.15958505978709689</v>
      </c>
      <c r="N21">
        <v>1.4182004514219539E-110</v>
      </c>
      <c r="O21">
        <v>1.6760550789532189E-110</v>
      </c>
      <c r="P21">
        <v>0.13206417488363401</v>
      </c>
      <c r="Q21">
        <v>0.86570255151307351</v>
      </c>
      <c r="R21">
        <v>-5.5813105834841608</v>
      </c>
      <c r="S21">
        <v>0.29220833660674012</v>
      </c>
      <c r="T21">
        <v>0.22657779009524551</v>
      </c>
      <c r="U21">
        <v>4.4782817893529154</v>
      </c>
      <c r="V21">
        <v>0.1316732403778659</v>
      </c>
      <c r="W21">
        <v>-1.7044506120468099</v>
      </c>
      <c r="X21">
        <v>0.31367052421185659</v>
      </c>
      <c r="Z21" t="s">
        <v>392</v>
      </c>
      <c r="AA21">
        <v>9937</v>
      </c>
      <c r="AB21" t="s">
        <v>412</v>
      </c>
      <c r="AC21" t="str">
        <f>HYPERLINK("plots/20251231000436_3FT6Y121H01_04823_B11P_N_UFLEX98_M5358A8BH101511/dpll_52046/txpa_53198.png","plot")</f>
        <v>plot</v>
      </c>
    </row>
    <row r="22" spans="1:29" x14ac:dyDescent="0.35">
      <c r="A22" s="2" t="s">
        <v>46</v>
      </c>
      <c r="B22">
        <v>52046</v>
      </c>
      <c r="C22" t="s">
        <v>51</v>
      </c>
      <c r="D22">
        <v>53199</v>
      </c>
      <c r="E22" t="s">
        <v>74</v>
      </c>
      <c r="F22">
        <v>8713</v>
      </c>
      <c r="G22">
        <v>0.42485818937844427</v>
      </c>
      <c r="H22">
        <v>0</v>
      </c>
      <c r="I22">
        <v>0</v>
      </c>
      <c r="J22">
        <v>0.31506820825768739</v>
      </c>
      <c r="K22">
        <v>4.7226937599846479E-200</v>
      </c>
      <c r="L22">
        <v>7.0320285941621633E-200</v>
      </c>
      <c r="M22">
        <v>0.2163107294679775</v>
      </c>
      <c r="N22">
        <v>2.145844941327774E-201</v>
      </c>
      <c r="O22">
        <v>3.2140129549577001E-201</v>
      </c>
      <c r="P22">
        <v>0.1805044810819301</v>
      </c>
      <c r="Q22">
        <v>0.82083162616116789</v>
      </c>
      <c r="R22">
        <v>-5.2641221406992011</v>
      </c>
      <c r="S22">
        <v>0.230117247415976</v>
      </c>
      <c r="T22">
        <v>0.17671682992238269</v>
      </c>
      <c r="U22">
        <v>4.4783822412487089</v>
      </c>
      <c r="V22">
        <v>0.1315802524523027</v>
      </c>
      <c r="W22">
        <v>-1.5881243630437281</v>
      </c>
      <c r="X22">
        <v>0.25421478340603321</v>
      </c>
      <c r="Z22" t="s">
        <v>392</v>
      </c>
      <c r="AA22">
        <v>9937</v>
      </c>
      <c r="AB22" t="s">
        <v>413</v>
      </c>
      <c r="AC22" t="str">
        <f>HYPERLINK("plots/20251231000436_3FT6Y121H01_04823_B11P_N_UFLEX98_M5358A8BH101511/dpll_52046/txpa_53199.png","plot")</f>
        <v>plot</v>
      </c>
    </row>
    <row r="23" spans="1:29" x14ac:dyDescent="0.35">
      <c r="A23" s="2" t="s">
        <v>46</v>
      </c>
      <c r="B23">
        <v>52046</v>
      </c>
      <c r="C23" t="s">
        <v>51</v>
      </c>
      <c r="D23">
        <v>53200</v>
      </c>
      <c r="E23" t="s">
        <v>75</v>
      </c>
      <c r="F23">
        <v>8712</v>
      </c>
      <c r="G23">
        <v>0.39375450818928459</v>
      </c>
      <c r="H23">
        <v>0</v>
      </c>
      <c r="I23">
        <v>0</v>
      </c>
      <c r="J23">
        <v>0.26652381999909308</v>
      </c>
      <c r="K23">
        <v>1.389370946289874E-141</v>
      </c>
      <c r="L23">
        <v>1.7371419723032449E-141</v>
      </c>
      <c r="M23">
        <v>0.18305822294282911</v>
      </c>
      <c r="N23">
        <v>8.3929029137074452E-145</v>
      </c>
      <c r="O23">
        <v>1.065131859136339E-144</v>
      </c>
      <c r="P23">
        <v>0.15504261271938541</v>
      </c>
      <c r="Q23">
        <v>0.90388550454437189</v>
      </c>
      <c r="R23">
        <v>-5.6196995951965114</v>
      </c>
      <c r="S23">
        <v>0.2775374432398301</v>
      </c>
      <c r="T23">
        <v>0.21391482498037859</v>
      </c>
      <c r="U23">
        <v>4.4784221364784207</v>
      </c>
      <c r="V23">
        <v>0.13153496798293221</v>
      </c>
      <c r="W23">
        <v>-1.5717187428030299</v>
      </c>
      <c r="X23">
        <v>0.30194587853030169</v>
      </c>
      <c r="Z23" t="s">
        <v>392</v>
      </c>
      <c r="AA23">
        <v>9937</v>
      </c>
      <c r="AB23" t="s">
        <v>414</v>
      </c>
      <c r="AC23" t="str">
        <f>HYPERLINK("plots/20251231000436_3FT6Y121H01_04823_B11P_N_UFLEX98_M5358A8BH101511/dpll_52046/txpa_53200.png","plot")</f>
        <v>plot</v>
      </c>
    </row>
    <row r="24" spans="1:29" x14ac:dyDescent="0.35">
      <c r="A24" s="2" t="s">
        <v>46</v>
      </c>
      <c r="B24">
        <v>52046</v>
      </c>
      <c r="C24" t="s">
        <v>51</v>
      </c>
      <c r="D24">
        <v>53201</v>
      </c>
      <c r="E24" t="s">
        <v>76</v>
      </c>
      <c r="F24">
        <v>8715</v>
      </c>
      <c r="G24">
        <v>0.4149215462533199</v>
      </c>
      <c r="H24">
        <v>0</v>
      </c>
      <c r="I24">
        <v>0</v>
      </c>
      <c r="J24">
        <v>0.31163674442432793</v>
      </c>
      <c r="K24">
        <v>1.3973110289378E-195</v>
      </c>
      <c r="L24">
        <v>2.05046799326039E-195</v>
      </c>
      <c r="M24">
        <v>0.21365806981095289</v>
      </c>
      <c r="N24">
        <v>1.393913936279841E-196</v>
      </c>
      <c r="O24">
        <v>2.0603917367168489E-196</v>
      </c>
      <c r="P24">
        <v>0.17215988954524589</v>
      </c>
      <c r="Q24">
        <v>0.82571162715120738</v>
      </c>
      <c r="R24">
        <v>-5.2425969668721564</v>
      </c>
      <c r="S24">
        <v>0.238346266832865</v>
      </c>
      <c r="T24">
        <v>0.18481809400738031</v>
      </c>
      <c r="U24">
        <v>4.4783155982788294</v>
      </c>
      <c r="V24">
        <v>0.13164295642035209</v>
      </c>
      <c r="W24">
        <v>-1.5447997073207109</v>
      </c>
      <c r="X24">
        <v>0.26197511488709452</v>
      </c>
      <c r="Z24" t="s">
        <v>392</v>
      </c>
      <c r="AA24">
        <v>9937</v>
      </c>
      <c r="AB24" t="s">
        <v>415</v>
      </c>
      <c r="AC24" t="str">
        <f>HYPERLINK("plots/20251231000436_3FT6Y121H01_04823_B11P_N_UFLEX98_M5358A8BH101511/dpll_52046/txpa_53201.png","plot")</f>
        <v>plot</v>
      </c>
    </row>
    <row r="25" spans="1:29" x14ac:dyDescent="0.35">
      <c r="A25" s="2" t="s">
        <v>46</v>
      </c>
      <c r="B25">
        <v>52046</v>
      </c>
      <c r="C25" t="s">
        <v>51</v>
      </c>
      <c r="D25">
        <v>53202</v>
      </c>
      <c r="E25" t="s">
        <v>77</v>
      </c>
      <c r="F25">
        <v>8712</v>
      </c>
      <c r="G25">
        <v>0.41152251448852828</v>
      </c>
      <c r="H25">
        <v>0</v>
      </c>
      <c r="I25">
        <v>0</v>
      </c>
      <c r="J25">
        <v>0.29599007889539608</v>
      </c>
      <c r="K25">
        <v>1.111759815735352E-175</v>
      </c>
      <c r="L25">
        <v>1.533774766198159E-175</v>
      </c>
      <c r="M25">
        <v>0.20297160428939301</v>
      </c>
      <c r="N25">
        <v>1.50045773396136E-177</v>
      </c>
      <c r="O25">
        <v>2.0927979948236852E-177</v>
      </c>
      <c r="P25">
        <v>0.16935077993096101</v>
      </c>
      <c r="Q25">
        <v>0.87140843061409623</v>
      </c>
      <c r="R25">
        <v>-5.7826792140875547</v>
      </c>
      <c r="S25">
        <v>0.25375714123882642</v>
      </c>
      <c r="T25">
        <v>0.19372177239626759</v>
      </c>
      <c r="U25">
        <v>4.4784402405876946</v>
      </c>
      <c r="V25">
        <v>0.131494083357066</v>
      </c>
      <c r="W25">
        <v>-1.8801286324380171</v>
      </c>
      <c r="X25">
        <v>0.27844175902656287</v>
      </c>
      <c r="Z25" t="s">
        <v>392</v>
      </c>
      <c r="AA25">
        <v>9937</v>
      </c>
      <c r="AB25" t="s">
        <v>416</v>
      </c>
      <c r="AC25" t="str">
        <f>HYPERLINK("plots/20251231000436_3FT6Y121H01_04823_B11P_N_UFLEX98_M5358A8BH101511/dpll_52046/txpa_53202.png","plot")</f>
        <v>plot</v>
      </c>
    </row>
    <row r="26" spans="1:29" x14ac:dyDescent="0.35">
      <c r="A26" s="2" t="s">
        <v>46</v>
      </c>
      <c r="B26">
        <v>52046</v>
      </c>
      <c r="C26" t="s">
        <v>51</v>
      </c>
      <c r="D26">
        <v>53203</v>
      </c>
      <c r="E26" t="s">
        <v>78</v>
      </c>
      <c r="F26">
        <v>8711</v>
      </c>
      <c r="G26">
        <v>0.40537574635353829</v>
      </c>
      <c r="H26">
        <v>0</v>
      </c>
      <c r="I26">
        <v>0</v>
      </c>
      <c r="J26">
        <v>0.32783305906702709</v>
      </c>
      <c r="K26">
        <v>2.473962841837385E-217</v>
      </c>
      <c r="L26">
        <v>3.8357772501882397E-217</v>
      </c>
      <c r="M26">
        <v>0.22404675131488519</v>
      </c>
      <c r="N26">
        <v>7.3220258981445012E-216</v>
      </c>
      <c r="O26">
        <v>1.133516681025729E-215</v>
      </c>
      <c r="P26">
        <v>0.16432949573168831</v>
      </c>
      <c r="Q26">
        <v>0.80403324509619734</v>
      </c>
      <c r="R26">
        <v>-2.6997961377728368</v>
      </c>
      <c r="S26">
        <v>0.2383549933749475</v>
      </c>
      <c r="T26">
        <v>0.17571407861106519</v>
      </c>
      <c r="U26">
        <v>4.4784712066352892</v>
      </c>
      <c r="V26">
        <v>0.13146659114673959</v>
      </c>
      <c r="W26">
        <v>0.90104359956801749</v>
      </c>
      <c r="X26">
        <v>0.26075440095338448</v>
      </c>
      <c r="Z26" t="s">
        <v>392</v>
      </c>
      <c r="AA26">
        <v>9937</v>
      </c>
      <c r="AB26" t="s">
        <v>417</v>
      </c>
      <c r="AC26" t="str">
        <f>HYPERLINK("plots/20251231000436_3FT6Y121H01_04823_B11P_N_UFLEX98_M5358A8BH101511/dpll_52046/txpa_53203.png","plot")</f>
        <v>plot</v>
      </c>
    </row>
    <row r="27" spans="1:29" x14ac:dyDescent="0.35">
      <c r="A27" s="2" t="s">
        <v>46</v>
      </c>
      <c r="B27">
        <v>52046</v>
      </c>
      <c r="C27" t="s">
        <v>51</v>
      </c>
      <c r="D27">
        <v>53204</v>
      </c>
      <c r="E27" t="s">
        <v>79</v>
      </c>
      <c r="F27">
        <v>8716</v>
      </c>
      <c r="G27">
        <v>0.356183126120722</v>
      </c>
      <c r="H27">
        <v>4.6598937670933452E-259</v>
      </c>
      <c r="I27">
        <v>5.7135819586851891E-259</v>
      </c>
      <c r="J27">
        <v>0.2233024065647144</v>
      </c>
      <c r="K27">
        <v>6.2325604741800221E-99</v>
      </c>
      <c r="L27">
        <v>7.239193952827655E-99</v>
      </c>
      <c r="M27">
        <v>0.15227156527185459</v>
      </c>
      <c r="N27">
        <v>7.5325788022965851E-101</v>
      </c>
      <c r="O27">
        <v>8.7491808768943154E-101</v>
      </c>
      <c r="P27">
        <v>0.1268664193331302</v>
      </c>
      <c r="Q27">
        <v>0.93267551762496215</v>
      </c>
      <c r="R27">
        <v>-2.9999695522794032</v>
      </c>
      <c r="S27">
        <v>0.32215894145412349</v>
      </c>
      <c r="T27">
        <v>0.25321064247227693</v>
      </c>
      <c r="U27">
        <v>4.4782817893529154</v>
      </c>
      <c r="V27">
        <v>0.1316732403778659</v>
      </c>
      <c r="W27">
        <v>1.176814233675769</v>
      </c>
      <c r="X27">
        <v>0.34479007740854772</v>
      </c>
      <c r="Z27" t="s">
        <v>392</v>
      </c>
      <c r="AA27">
        <v>9937</v>
      </c>
      <c r="AB27" t="s">
        <v>418</v>
      </c>
      <c r="AC27" t="str">
        <f>HYPERLINK("plots/20251231000436_3FT6Y121H01_04823_B11P_N_UFLEX98_M5358A8BH101511/dpll_52046/txpa_53204.png","plot")</f>
        <v>plot</v>
      </c>
    </row>
    <row r="28" spans="1:29" x14ac:dyDescent="0.35">
      <c r="A28" s="2" t="s">
        <v>46</v>
      </c>
      <c r="B28">
        <v>52046</v>
      </c>
      <c r="C28" t="s">
        <v>51</v>
      </c>
      <c r="D28">
        <v>53205</v>
      </c>
      <c r="E28" t="s">
        <v>80</v>
      </c>
      <c r="F28">
        <v>8715</v>
      </c>
      <c r="G28">
        <v>0.42040476346492123</v>
      </c>
      <c r="H28">
        <v>0</v>
      </c>
      <c r="I28">
        <v>0</v>
      </c>
      <c r="J28">
        <v>0.32497310303893018</v>
      </c>
      <c r="K28">
        <v>1.7861498161961919E-213</v>
      </c>
      <c r="L28">
        <v>2.7400240750725248E-213</v>
      </c>
      <c r="M28">
        <v>0.22285314837935441</v>
      </c>
      <c r="N28">
        <v>1.0925137918135769E-213</v>
      </c>
      <c r="O28">
        <v>1.6836002810014701E-213</v>
      </c>
      <c r="P28">
        <v>0.17674016514399629</v>
      </c>
      <c r="Q28">
        <v>0.83781535336079349</v>
      </c>
      <c r="R28">
        <v>-2.6667953852939972</v>
      </c>
      <c r="S28">
        <v>0.23799065352188281</v>
      </c>
      <c r="T28">
        <v>0.18064079356352991</v>
      </c>
      <c r="U28">
        <v>4.4783231440045892</v>
      </c>
      <c r="V28">
        <v>0.1316241771431339</v>
      </c>
      <c r="W28">
        <v>1.085212502064028</v>
      </c>
      <c r="X28">
        <v>0.26231091097805798</v>
      </c>
      <c r="Z28" t="s">
        <v>392</v>
      </c>
      <c r="AA28">
        <v>9937</v>
      </c>
      <c r="AB28" t="s">
        <v>419</v>
      </c>
      <c r="AC28" t="str">
        <f>HYPERLINK("plots/20251231000436_3FT6Y121H01_04823_B11P_N_UFLEX98_M5358A8BH101511/dpll_52046/txpa_53205.png","plot")</f>
        <v>plot</v>
      </c>
    </row>
    <row r="29" spans="1:29" x14ac:dyDescent="0.35">
      <c r="A29" s="2" t="s">
        <v>46</v>
      </c>
      <c r="B29">
        <v>52046</v>
      </c>
      <c r="C29" t="s">
        <v>51</v>
      </c>
      <c r="D29">
        <v>53206</v>
      </c>
      <c r="E29" t="s">
        <v>81</v>
      </c>
      <c r="F29">
        <v>8713</v>
      </c>
      <c r="G29">
        <v>0.38572121686052802</v>
      </c>
      <c r="H29">
        <v>4.3709295646156661E-307</v>
      </c>
      <c r="I29">
        <v>5.7485377153311093E-307</v>
      </c>
      <c r="J29">
        <v>0.25338547531838268</v>
      </c>
      <c r="K29">
        <v>1.015394968927942E-127</v>
      </c>
      <c r="L29">
        <v>1.2315915053743221E-127</v>
      </c>
      <c r="M29">
        <v>0.17322377053486621</v>
      </c>
      <c r="N29">
        <v>6.8710937724028118E-130</v>
      </c>
      <c r="O29">
        <v>8.3842227258922394E-130</v>
      </c>
      <c r="P29">
        <v>0.14878085713636649</v>
      </c>
      <c r="Q29">
        <v>0.900340067290613</v>
      </c>
      <c r="R29">
        <v>-2.8901291425562259</v>
      </c>
      <c r="S29">
        <v>0.28325181647206571</v>
      </c>
      <c r="T29">
        <v>0.21838277495175831</v>
      </c>
      <c r="U29">
        <v>4.4783986741650406</v>
      </c>
      <c r="V29">
        <v>0.13153577465989449</v>
      </c>
      <c r="W29">
        <v>1.1419526210957189</v>
      </c>
      <c r="X29">
        <v>0.30702725966778749</v>
      </c>
      <c r="Z29" t="s">
        <v>392</v>
      </c>
      <c r="AA29">
        <v>9937</v>
      </c>
      <c r="AB29" t="s">
        <v>420</v>
      </c>
      <c r="AC29" t="str">
        <f>HYPERLINK("plots/20251231000436_3FT6Y121H01_04823_B11P_N_UFLEX98_M5358A8BH101511/dpll_52046/txpa_53206.png","plot")</f>
        <v>plot</v>
      </c>
    </row>
    <row r="30" spans="1:29" x14ac:dyDescent="0.35">
      <c r="A30" s="2" t="s">
        <v>46</v>
      </c>
      <c r="B30">
        <v>52046</v>
      </c>
      <c r="C30" t="s">
        <v>51</v>
      </c>
      <c r="D30">
        <v>53207</v>
      </c>
      <c r="E30" t="s">
        <v>82</v>
      </c>
      <c r="F30">
        <v>8712</v>
      </c>
      <c r="G30">
        <v>0.44945837116719128</v>
      </c>
      <c r="H30">
        <v>0</v>
      </c>
      <c r="I30">
        <v>0</v>
      </c>
      <c r="J30">
        <v>0.33939042697111182</v>
      </c>
      <c r="K30">
        <v>8.7403640496151419E-234</v>
      </c>
      <c r="L30">
        <v>1.4203091580624611E-233</v>
      </c>
      <c r="M30">
        <v>0.2338588775652333</v>
      </c>
      <c r="N30">
        <v>5.0711221384328712E-235</v>
      </c>
      <c r="O30">
        <v>8.3340645840695796E-235</v>
      </c>
      <c r="P30">
        <v>0.2020128274122647</v>
      </c>
      <c r="Q30">
        <v>0.86931004138388124</v>
      </c>
      <c r="R30">
        <v>-2.650219856003114</v>
      </c>
      <c r="S30">
        <v>0.22723706118894671</v>
      </c>
      <c r="T30">
        <v>0.17231186092269821</v>
      </c>
      <c r="U30">
        <v>4.4784244446740127</v>
      </c>
      <c r="V30">
        <v>0.1315288166323213</v>
      </c>
      <c r="W30">
        <v>1.242919483331038</v>
      </c>
      <c r="X30">
        <v>0.25439357316427369</v>
      </c>
      <c r="Z30" t="s">
        <v>392</v>
      </c>
      <c r="AA30">
        <v>9937</v>
      </c>
      <c r="AB30" t="s">
        <v>421</v>
      </c>
      <c r="AC30" t="str">
        <f>HYPERLINK("plots/20251231000436_3FT6Y121H01_04823_B11P_N_UFLEX98_M5358A8BH101511/dpll_52046/txpa_53207.png","plot")</f>
        <v>plot</v>
      </c>
    </row>
    <row r="31" spans="1:29" x14ac:dyDescent="0.35">
      <c r="A31" s="2" t="s">
        <v>46</v>
      </c>
      <c r="B31">
        <v>52046</v>
      </c>
      <c r="C31" t="s">
        <v>51</v>
      </c>
      <c r="D31">
        <v>53208</v>
      </c>
      <c r="E31" t="s">
        <v>83</v>
      </c>
      <c r="F31">
        <v>8707</v>
      </c>
      <c r="G31">
        <v>0.41446701797581009</v>
      </c>
      <c r="H31">
        <v>0</v>
      </c>
      <c r="I31">
        <v>0</v>
      </c>
      <c r="J31">
        <v>0.28672259788465121</v>
      </c>
      <c r="K31">
        <v>2.0636948569897249E-164</v>
      </c>
      <c r="L31">
        <v>2.7389876766853158E-164</v>
      </c>
      <c r="M31">
        <v>0.1971941174414486</v>
      </c>
      <c r="N31">
        <v>1.300802274966574E-167</v>
      </c>
      <c r="O31">
        <v>1.747037757372326E-167</v>
      </c>
      <c r="P31">
        <v>0.17178290898976051</v>
      </c>
      <c r="Q31">
        <v>0.92819097276637164</v>
      </c>
      <c r="R31">
        <v>-2.8993682864649259</v>
      </c>
      <c r="S31">
        <v>0.26752712445772758</v>
      </c>
      <c r="T31">
        <v>0.2051472061186484</v>
      </c>
      <c r="U31">
        <v>4.4786344009417718</v>
      </c>
      <c r="V31">
        <v>0.1312723634072499</v>
      </c>
      <c r="W31">
        <v>1.257659734810153</v>
      </c>
      <c r="X31">
        <v>0.29398195128623561</v>
      </c>
      <c r="Z31" t="s">
        <v>392</v>
      </c>
      <c r="AA31">
        <v>9937</v>
      </c>
      <c r="AB31" t="s">
        <v>422</v>
      </c>
      <c r="AC31" t="str">
        <f>HYPERLINK("plots/20251231000436_3FT6Y121H01_04823_B11P_N_UFLEX98_M5358A8BH101511/dpll_52046/txpa_53208.png","plot")</f>
        <v>plot</v>
      </c>
    </row>
    <row r="32" spans="1:29" x14ac:dyDescent="0.35">
      <c r="A32" s="2" t="s">
        <v>46</v>
      </c>
      <c r="B32">
        <v>52046</v>
      </c>
      <c r="C32" t="s">
        <v>51</v>
      </c>
      <c r="D32">
        <v>53209</v>
      </c>
      <c r="E32" t="s">
        <v>84</v>
      </c>
      <c r="F32">
        <v>8714</v>
      </c>
      <c r="G32">
        <v>0.44175356847584618</v>
      </c>
      <c r="H32">
        <v>0</v>
      </c>
      <c r="I32">
        <v>0</v>
      </c>
      <c r="J32">
        <v>0.33408719950594912</v>
      </c>
      <c r="K32">
        <v>3.2816860316592619E-226</v>
      </c>
      <c r="L32">
        <v>5.1913098847152763E-226</v>
      </c>
      <c r="M32">
        <v>0.2297443973830586</v>
      </c>
      <c r="N32">
        <v>5.9778862726132913E-227</v>
      </c>
      <c r="O32">
        <v>9.5158189645680968E-227</v>
      </c>
      <c r="P32">
        <v>0.19514621526114409</v>
      </c>
      <c r="Q32">
        <v>0.8744148876317297</v>
      </c>
      <c r="R32">
        <v>-2.6320308317570609</v>
      </c>
      <c r="S32">
        <v>0.23367200477313169</v>
      </c>
      <c r="T32">
        <v>0.17920573271298959</v>
      </c>
      <c r="U32">
        <v>4.4783569615561172</v>
      </c>
      <c r="V32">
        <v>0.13159386215411439</v>
      </c>
      <c r="W32">
        <v>1.2839111675568049</v>
      </c>
      <c r="X32">
        <v>0.2604792363885724</v>
      </c>
      <c r="Z32" t="s">
        <v>392</v>
      </c>
      <c r="AA32">
        <v>9937</v>
      </c>
      <c r="AB32" t="s">
        <v>423</v>
      </c>
      <c r="AC32" t="str">
        <f>HYPERLINK("plots/20251231000436_3FT6Y121H01_04823_B11P_N_UFLEX98_M5358A8BH101511/dpll_52046/txpa_53209.png","plot")</f>
        <v>plot</v>
      </c>
    </row>
    <row r="33" spans="1:29" x14ac:dyDescent="0.35">
      <c r="A33" s="2" t="s">
        <v>46</v>
      </c>
      <c r="B33">
        <v>52046</v>
      </c>
      <c r="C33" t="s">
        <v>51</v>
      </c>
      <c r="D33">
        <v>53210</v>
      </c>
      <c r="E33" t="s">
        <v>85</v>
      </c>
      <c r="F33">
        <v>8708</v>
      </c>
      <c r="G33">
        <v>0.42795740132436882</v>
      </c>
      <c r="H33">
        <v>0</v>
      </c>
      <c r="I33">
        <v>0</v>
      </c>
      <c r="J33">
        <v>0.31077521454665819</v>
      </c>
      <c r="K33">
        <v>2.657002320092021E-194</v>
      </c>
      <c r="L33">
        <v>3.8933531106550697E-194</v>
      </c>
      <c r="M33">
        <v>0.21338664538456059</v>
      </c>
      <c r="N33">
        <v>6.1517573727303836E-196</v>
      </c>
      <c r="O33">
        <v>9.0666889185299545E-196</v>
      </c>
      <c r="P33">
        <v>0.1831475373483068</v>
      </c>
      <c r="Q33">
        <v>0.89821247784337166</v>
      </c>
      <c r="R33">
        <v>-3.0447270436039169</v>
      </c>
      <c r="S33">
        <v>0.2490094902538324</v>
      </c>
      <c r="T33">
        <v>0.18899722295224669</v>
      </c>
      <c r="U33">
        <v>4.4786118559944876</v>
      </c>
      <c r="V33">
        <v>0.13127755623753801</v>
      </c>
      <c r="W33">
        <v>0.97801800886759283</v>
      </c>
      <c r="X33">
        <v>0.27553008478983682</v>
      </c>
      <c r="Z33" t="s">
        <v>392</v>
      </c>
      <c r="AA33">
        <v>9937</v>
      </c>
      <c r="AB33" t="s">
        <v>424</v>
      </c>
      <c r="AC33" t="str">
        <f>HYPERLINK("plots/20251231000436_3FT6Y121H01_04823_B11P_N_UFLEX98_M5358A8BH101511/dpll_52046/txpa_53210.png","plot")</f>
        <v>plot</v>
      </c>
    </row>
    <row r="34" spans="1:29" x14ac:dyDescent="0.35">
      <c r="A34" s="2" t="s">
        <v>46</v>
      </c>
      <c r="B34">
        <v>52046</v>
      </c>
      <c r="C34" t="s">
        <v>51</v>
      </c>
      <c r="D34">
        <v>53211</v>
      </c>
      <c r="E34" t="s">
        <v>86</v>
      </c>
      <c r="F34">
        <v>8702</v>
      </c>
      <c r="G34">
        <v>0.4297354453734335</v>
      </c>
      <c r="H34">
        <v>0</v>
      </c>
      <c r="I34">
        <v>0</v>
      </c>
      <c r="J34">
        <v>0.35760137581946932</v>
      </c>
      <c r="K34">
        <v>7.7236119190939569E-261</v>
      </c>
      <c r="L34">
        <v>1.381259697700401E-260</v>
      </c>
      <c r="M34">
        <v>0.24540916156610351</v>
      </c>
      <c r="N34">
        <v>2.6438769910715082E-258</v>
      </c>
      <c r="O34">
        <v>4.7115839524543213E-258</v>
      </c>
      <c r="P34">
        <v>0.18467255301030319</v>
      </c>
      <c r="Q34">
        <v>0.8873608967788128</v>
      </c>
      <c r="R34">
        <v>0.12856271284789139</v>
      </c>
      <c r="S34">
        <v>0.24429659346193</v>
      </c>
      <c r="T34">
        <v>0.1770397115929275</v>
      </c>
      <c r="U34">
        <v>4.4788360271202023</v>
      </c>
      <c r="V34">
        <v>0.1310319562022047</v>
      </c>
      <c r="W34">
        <v>4.1029066663985292</v>
      </c>
      <c r="X34">
        <v>0.27056793991296518</v>
      </c>
      <c r="Z34" t="s">
        <v>392</v>
      </c>
      <c r="AA34">
        <v>9937</v>
      </c>
      <c r="AB34" t="s">
        <v>425</v>
      </c>
      <c r="AC34" t="str">
        <f>HYPERLINK("plots/20251231000436_3FT6Y121H01_04823_B11P_N_UFLEX98_M5358A8BH101511/dpll_52046/txpa_53211.png","plot")</f>
        <v>plot</v>
      </c>
    </row>
    <row r="35" spans="1:29" x14ac:dyDescent="0.35">
      <c r="A35" s="2" t="s">
        <v>46</v>
      </c>
      <c r="B35">
        <v>52046</v>
      </c>
      <c r="C35" t="s">
        <v>51</v>
      </c>
      <c r="D35">
        <v>53212</v>
      </c>
      <c r="E35" t="s">
        <v>87</v>
      </c>
      <c r="F35">
        <v>8710</v>
      </c>
      <c r="G35">
        <v>0.39228389859019741</v>
      </c>
      <c r="H35">
        <v>0</v>
      </c>
      <c r="I35">
        <v>0</v>
      </c>
      <c r="J35">
        <v>0.25800916489200088</v>
      </c>
      <c r="K35">
        <v>1.812056205874627E-132</v>
      </c>
      <c r="L35">
        <v>2.2164354556777709E-132</v>
      </c>
      <c r="M35">
        <v>0.17624636953834741</v>
      </c>
      <c r="N35">
        <v>2.3882479864373272E-134</v>
      </c>
      <c r="O35">
        <v>2.935373888784787E-134</v>
      </c>
      <c r="P35">
        <v>0.1538866570931243</v>
      </c>
      <c r="Q35">
        <v>1.010862519895001</v>
      </c>
      <c r="R35">
        <v>-0.1603789766051005</v>
      </c>
      <c r="S35">
        <v>0.3114513317593019</v>
      </c>
      <c r="T35">
        <v>0.24106710596257441</v>
      </c>
      <c r="U35">
        <v>4.4785170879448906</v>
      </c>
      <c r="V35">
        <v>0.13140419831271541</v>
      </c>
      <c r="W35">
        <v>4.3667860923076924</v>
      </c>
      <c r="X35">
        <v>0.33861083645938128</v>
      </c>
      <c r="Z35" t="s">
        <v>392</v>
      </c>
      <c r="AA35">
        <v>9937</v>
      </c>
      <c r="AB35" t="s">
        <v>426</v>
      </c>
      <c r="AC35" t="str">
        <f>HYPERLINK("plots/20251231000436_3FT6Y121H01_04823_B11P_N_UFLEX98_M5358A8BH101511/dpll_52046/txpa_53212.png","plot")</f>
        <v>plot</v>
      </c>
    </row>
    <row r="36" spans="1:29" x14ac:dyDescent="0.35">
      <c r="A36" s="2" t="s">
        <v>46</v>
      </c>
      <c r="B36">
        <v>52046</v>
      </c>
      <c r="C36" t="s">
        <v>51</v>
      </c>
      <c r="D36">
        <v>53213</v>
      </c>
      <c r="E36" t="s">
        <v>88</v>
      </c>
      <c r="F36">
        <v>8703</v>
      </c>
      <c r="G36">
        <v>0.45091228245187032</v>
      </c>
      <c r="H36">
        <v>0</v>
      </c>
      <c r="I36">
        <v>0</v>
      </c>
      <c r="J36">
        <v>0.36358135345805331</v>
      </c>
      <c r="K36">
        <v>3.0521525635754078E-270</v>
      </c>
      <c r="L36">
        <v>5.596532910425794E-270</v>
      </c>
      <c r="M36">
        <v>0.25074035518150312</v>
      </c>
      <c r="N36">
        <v>1.3846065180318081E-269</v>
      </c>
      <c r="O36">
        <v>2.5388625846008191E-269</v>
      </c>
      <c r="P36">
        <v>0.20332188646595531</v>
      </c>
      <c r="Q36">
        <v>0.92393207716620118</v>
      </c>
      <c r="R36">
        <v>0.12577905579361559</v>
      </c>
      <c r="S36">
        <v>0.23968960089195471</v>
      </c>
      <c r="T36">
        <v>0.1780269153524888</v>
      </c>
      <c r="U36">
        <v>4.4788008825692289</v>
      </c>
      <c r="V36">
        <v>0.13106439327268321</v>
      </c>
      <c r="W36">
        <v>4.2638868584396183</v>
      </c>
      <c r="X36">
        <v>0.26855466535641209</v>
      </c>
      <c r="Z36" t="s">
        <v>392</v>
      </c>
      <c r="AA36">
        <v>9937</v>
      </c>
      <c r="AB36" t="s">
        <v>427</v>
      </c>
      <c r="AC36" t="str">
        <f>HYPERLINK("plots/20251231000436_3FT6Y121H01_04823_B11P_N_UFLEX98_M5358A8BH101511/dpll_52046/txpa_53213.png","plot")</f>
        <v>plot</v>
      </c>
    </row>
    <row r="37" spans="1:29" x14ac:dyDescent="0.35">
      <c r="A37" s="2" t="s">
        <v>46</v>
      </c>
      <c r="B37">
        <v>52046</v>
      </c>
      <c r="C37" t="s">
        <v>51</v>
      </c>
      <c r="D37">
        <v>53214</v>
      </c>
      <c r="E37" t="s">
        <v>89</v>
      </c>
      <c r="F37">
        <v>8697</v>
      </c>
      <c r="G37">
        <v>0.41369969036830451</v>
      </c>
      <c r="H37">
        <v>0</v>
      </c>
      <c r="I37">
        <v>0</v>
      </c>
      <c r="J37">
        <v>0.28807222078658867</v>
      </c>
      <c r="K37">
        <v>7.990397197559783E-166</v>
      </c>
      <c r="L37">
        <v>1.067491799515892E-165</v>
      </c>
      <c r="M37">
        <v>0.19744988644053521</v>
      </c>
      <c r="N37">
        <v>7.4622015165715463E-168</v>
      </c>
      <c r="O37">
        <v>1.0035374453320359E-167</v>
      </c>
      <c r="P37">
        <v>0.171147433810831</v>
      </c>
      <c r="Q37">
        <v>0.95455751899325536</v>
      </c>
      <c r="R37">
        <v>6.1095860199285923E-2</v>
      </c>
      <c r="S37">
        <v>0.27469556826240782</v>
      </c>
      <c r="T37">
        <v>0.20979567852059211</v>
      </c>
      <c r="U37">
        <v>4.479046353800161</v>
      </c>
      <c r="V37">
        <v>0.13077389893473579</v>
      </c>
      <c r="W37">
        <v>4.3366032351385542</v>
      </c>
      <c r="X37">
        <v>0.30174353866468367</v>
      </c>
      <c r="Z37" t="s">
        <v>392</v>
      </c>
      <c r="AA37">
        <v>9937</v>
      </c>
      <c r="AB37" t="s">
        <v>428</v>
      </c>
      <c r="AC37" t="str">
        <f>HYPERLINK("plots/20251231000436_3FT6Y121H01_04823_B11P_N_UFLEX98_M5358A8BH101511/dpll_52046/txpa_53214.png","plot")</f>
        <v>plot</v>
      </c>
    </row>
    <row r="38" spans="1:29" x14ac:dyDescent="0.35">
      <c r="A38" s="2" t="s">
        <v>46</v>
      </c>
      <c r="B38">
        <v>52046</v>
      </c>
      <c r="C38" t="s">
        <v>51</v>
      </c>
      <c r="D38">
        <v>53215</v>
      </c>
      <c r="E38" t="s">
        <v>90</v>
      </c>
      <c r="F38">
        <v>8698</v>
      </c>
      <c r="G38">
        <v>0.47514899452992548</v>
      </c>
      <c r="H38">
        <v>0</v>
      </c>
      <c r="I38">
        <v>0</v>
      </c>
      <c r="J38">
        <v>0.37476384028958881</v>
      </c>
      <c r="K38">
        <v>3.7469370250751053E-288</v>
      </c>
      <c r="L38">
        <v>7.2646159530136832E-288</v>
      </c>
      <c r="M38">
        <v>0.25962270919529939</v>
      </c>
      <c r="N38">
        <v>1.0554109830275711E-288</v>
      </c>
      <c r="O38">
        <v>2.0659975613705729E-288</v>
      </c>
      <c r="P38">
        <v>0.22576656700279921</v>
      </c>
      <c r="Q38">
        <v>0.94951715934062586</v>
      </c>
      <c r="R38">
        <v>0.160142346847163</v>
      </c>
      <c r="S38">
        <v>0.23001982493295739</v>
      </c>
      <c r="T38">
        <v>0.17136006017577121</v>
      </c>
      <c r="U38">
        <v>4.4790075093124857</v>
      </c>
      <c r="V38">
        <v>0.13082214680276741</v>
      </c>
      <c r="W38">
        <v>4.4130368337548864</v>
      </c>
      <c r="X38">
        <v>0.26142930878744097</v>
      </c>
      <c r="Z38" t="s">
        <v>392</v>
      </c>
      <c r="AA38">
        <v>9937</v>
      </c>
      <c r="AB38" t="s">
        <v>429</v>
      </c>
      <c r="AC38" t="str">
        <f>HYPERLINK("plots/20251231000436_3FT6Y121H01_04823_B11P_N_UFLEX98_M5358A8BH101511/dpll_52046/txpa_53215.png","plot")</f>
        <v>plot</v>
      </c>
    </row>
    <row r="39" spans="1:29" x14ac:dyDescent="0.35">
      <c r="A39" s="2" t="s">
        <v>46</v>
      </c>
      <c r="B39">
        <v>52046</v>
      </c>
      <c r="C39" t="s">
        <v>51</v>
      </c>
      <c r="D39">
        <v>53216</v>
      </c>
      <c r="E39" t="s">
        <v>91</v>
      </c>
      <c r="F39">
        <v>8694</v>
      </c>
      <c r="G39">
        <v>0.44394441970285892</v>
      </c>
      <c r="H39">
        <v>0</v>
      </c>
      <c r="I39">
        <v>0</v>
      </c>
      <c r="J39">
        <v>0.32443882959819292</v>
      </c>
      <c r="K39">
        <v>3.1200851807204109E-212</v>
      </c>
      <c r="L39">
        <v>4.7791032828557356E-212</v>
      </c>
      <c r="M39">
        <v>0.2238256628488115</v>
      </c>
      <c r="N39">
        <v>4.9893825261155937E-215</v>
      </c>
      <c r="O39">
        <v>7.7122467705506273E-215</v>
      </c>
      <c r="P39">
        <v>0.19708664778530821</v>
      </c>
      <c r="Q39">
        <v>0.98816700547481806</v>
      </c>
      <c r="R39">
        <v>-2.6124560257132501E-3</v>
      </c>
      <c r="S39">
        <v>0.26045602219345743</v>
      </c>
      <c r="T39">
        <v>0.1969992964638512</v>
      </c>
      <c r="U39">
        <v>4.4791817298136651</v>
      </c>
      <c r="V39">
        <v>0.13059402100173159</v>
      </c>
      <c r="W39">
        <v>4.4235671409017714</v>
      </c>
      <c r="X39">
        <v>0.29068661962813142</v>
      </c>
      <c r="Z39" t="s">
        <v>392</v>
      </c>
      <c r="AA39">
        <v>9937</v>
      </c>
      <c r="AB39" t="s">
        <v>430</v>
      </c>
      <c r="AC39" t="str">
        <f>HYPERLINK("plots/20251231000436_3FT6Y121H01_04823_B11P_N_UFLEX98_M5358A8BH101511/dpll_52046/txpa_53216.png","plot")</f>
        <v>plot</v>
      </c>
    </row>
    <row r="40" spans="1:29" x14ac:dyDescent="0.35">
      <c r="A40" s="2" t="s">
        <v>46</v>
      </c>
      <c r="B40">
        <v>52046</v>
      </c>
      <c r="C40" t="s">
        <v>51</v>
      </c>
      <c r="D40">
        <v>53217</v>
      </c>
      <c r="E40" t="s">
        <v>92</v>
      </c>
      <c r="F40">
        <v>8708</v>
      </c>
      <c r="G40">
        <v>0.47594057828398229</v>
      </c>
      <c r="H40">
        <v>0</v>
      </c>
      <c r="I40">
        <v>0</v>
      </c>
      <c r="J40">
        <v>0.36792207760242829</v>
      </c>
      <c r="K40">
        <v>2.4863041426710632E-277</v>
      </c>
      <c r="L40">
        <v>4.6429325979161281E-277</v>
      </c>
      <c r="M40">
        <v>0.25456344285105731</v>
      </c>
      <c r="N40">
        <v>5.8278571197202879E-278</v>
      </c>
      <c r="O40">
        <v>1.096372378366674E-277</v>
      </c>
      <c r="P40">
        <v>0.2265194340572915</v>
      </c>
      <c r="Q40">
        <v>0.97130725177139743</v>
      </c>
      <c r="R40">
        <v>9.6599908637111653E-2</v>
      </c>
      <c r="S40">
        <v>0.23563764952126079</v>
      </c>
      <c r="T40">
        <v>0.1773011594824003</v>
      </c>
      <c r="U40">
        <v>4.4786068054662387</v>
      </c>
      <c r="V40">
        <v>0.13129283301679501</v>
      </c>
      <c r="W40">
        <v>4.4467031766192013</v>
      </c>
      <c r="X40">
        <v>0.26794454314994898</v>
      </c>
      <c r="Z40" t="s">
        <v>392</v>
      </c>
      <c r="AA40">
        <v>9937</v>
      </c>
      <c r="AB40" t="s">
        <v>431</v>
      </c>
      <c r="AC40" t="str">
        <f>HYPERLINK("plots/20251231000436_3FT6Y121H01_04823_B11P_N_UFLEX98_M5358A8BH101511/dpll_52046/txpa_53217.png","plot")</f>
        <v>plot</v>
      </c>
    </row>
    <row r="41" spans="1:29" x14ac:dyDescent="0.35">
      <c r="A41" s="2" t="s">
        <v>46</v>
      </c>
      <c r="B41">
        <v>52046</v>
      </c>
      <c r="C41" t="s">
        <v>51</v>
      </c>
      <c r="D41">
        <v>53218</v>
      </c>
      <c r="E41" t="s">
        <v>93</v>
      </c>
      <c r="F41">
        <v>8695</v>
      </c>
      <c r="G41">
        <v>0.44855966842777512</v>
      </c>
      <c r="H41">
        <v>0</v>
      </c>
      <c r="I41">
        <v>0</v>
      </c>
      <c r="J41">
        <v>0.33642589018866348</v>
      </c>
      <c r="K41">
        <v>4.6441589450337803E-229</v>
      </c>
      <c r="L41">
        <v>7.4512296997852095E-229</v>
      </c>
      <c r="M41">
        <v>0.23171315161566869</v>
      </c>
      <c r="N41">
        <v>2.5215431690993431E-230</v>
      </c>
      <c r="O41">
        <v>4.0649360468469542E-230</v>
      </c>
      <c r="P41">
        <v>0.20120577614003551</v>
      </c>
      <c r="Q41">
        <v>0.95461610105820072</v>
      </c>
      <c r="R41">
        <v>-9.2269157856372352E-2</v>
      </c>
      <c r="S41">
        <v>0.2485183167104123</v>
      </c>
      <c r="T41">
        <v>0.18655434021495029</v>
      </c>
      <c r="U41">
        <v>4.4791339606670499</v>
      </c>
      <c r="V41">
        <v>0.1306644328136112</v>
      </c>
      <c r="W41">
        <v>4.1835842397929834</v>
      </c>
      <c r="X41">
        <v>0.27807754503812437</v>
      </c>
      <c r="Z41" t="s">
        <v>392</v>
      </c>
      <c r="AA41">
        <v>9937</v>
      </c>
      <c r="AB41" t="s">
        <v>432</v>
      </c>
      <c r="AC41" t="str">
        <f>HYPERLINK("plots/20251231000436_3FT6Y121H01_04823_B11P_N_UFLEX98_M5358A8BH101511/dpll_52046/txpa_53218.png","plot")</f>
        <v>plot</v>
      </c>
    </row>
    <row r="42" spans="1:29" x14ac:dyDescent="0.35">
      <c r="A42" s="2" t="s">
        <v>46</v>
      </c>
      <c r="B42">
        <v>52046</v>
      </c>
      <c r="C42" t="s">
        <v>51</v>
      </c>
      <c r="D42">
        <v>53219</v>
      </c>
      <c r="E42" t="s">
        <v>94</v>
      </c>
      <c r="F42">
        <v>8697</v>
      </c>
      <c r="G42">
        <v>0.44251525650167028</v>
      </c>
      <c r="H42">
        <v>0</v>
      </c>
      <c r="I42">
        <v>0</v>
      </c>
      <c r="J42">
        <v>0.37582992993205139</v>
      </c>
      <c r="K42">
        <v>7.0273574499234176E-290</v>
      </c>
      <c r="L42">
        <v>1.3756255703131941E-289</v>
      </c>
      <c r="M42">
        <v>0.25894852255174883</v>
      </c>
      <c r="N42">
        <v>3.4786244735970542E-287</v>
      </c>
      <c r="O42">
        <v>6.7702979198222889E-287</v>
      </c>
      <c r="P42">
        <v>0.19581975223673909</v>
      </c>
      <c r="Q42">
        <v>0.96282180812047569</v>
      </c>
      <c r="R42">
        <v>1.547622574388563</v>
      </c>
      <c r="S42">
        <v>0.25507848558440799</v>
      </c>
      <c r="T42">
        <v>0.182251243039637</v>
      </c>
      <c r="U42">
        <v>4.4790585187995857</v>
      </c>
      <c r="V42">
        <v>0.13073878008976639</v>
      </c>
      <c r="W42">
        <v>5.8601577961365994</v>
      </c>
      <c r="X42">
        <v>0.28446058477764341</v>
      </c>
      <c r="Z42" t="s">
        <v>392</v>
      </c>
      <c r="AA42">
        <v>9937</v>
      </c>
      <c r="AB42" t="s">
        <v>433</v>
      </c>
      <c r="AC42" t="str">
        <f>HYPERLINK("plots/20251231000436_3FT6Y121H01_04823_B11P_N_UFLEX98_M5358A8BH101511/dpll_52046/txpa_53219.png","plot")</f>
        <v>plot</v>
      </c>
    </row>
    <row r="43" spans="1:29" x14ac:dyDescent="0.35">
      <c r="A43" s="2" t="s">
        <v>46</v>
      </c>
      <c r="B43">
        <v>52046</v>
      </c>
      <c r="C43" t="s">
        <v>51</v>
      </c>
      <c r="D43">
        <v>53220</v>
      </c>
      <c r="E43" t="s">
        <v>95</v>
      </c>
      <c r="F43">
        <v>8702</v>
      </c>
      <c r="G43">
        <v>0.41295436139970698</v>
      </c>
      <c r="H43">
        <v>0</v>
      </c>
      <c r="I43">
        <v>0</v>
      </c>
      <c r="J43">
        <v>0.28600873480436168</v>
      </c>
      <c r="K43">
        <v>1.7798560458346949E-163</v>
      </c>
      <c r="L43">
        <v>2.3530300266967161E-163</v>
      </c>
      <c r="M43">
        <v>0.19556653194247239</v>
      </c>
      <c r="N43">
        <v>8.4301719997840379E-165</v>
      </c>
      <c r="O43">
        <v>1.126244322500792E-164</v>
      </c>
      <c r="P43">
        <v>0.17053130459903981</v>
      </c>
      <c r="Q43">
        <v>1.068840644661506</v>
      </c>
      <c r="R43">
        <v>1.3314075569544479</v>
      </c>
      <c r="S43">
        <v>0.30889247674990727</v>
      </c>
      <c r="T43">
        <v>0.23531810043981041</v>
      </c>
      <c r="U43">
        <v>4.4788314037002994</v>
      </c>
      <c r="V43">
        <v>0.13104527995678941</v>
      </c>
      <c r="W43">
        <v>6.1185646018156747</v>
      </c>
      <c r="X43">
        <v>0.33918160116800178</v>
      </c>
      <c r="Z43" t="s">
        <v>392</v>
      </c>
      <c r="AA43">
        <v>9937</v>
      </c>
      <c r="AB43" t="s">
        <v>434</v>
      </c>
      <c r="AC43" t="str">
        <f>HYPERLINK("plots/20251231000436_3FT6Y121H01_04823_B11P_N_UFLEX98_M5358A8BH101511/dpll_52046/txpa_53220.png","plot")</f>
        <v>plot</v>
      </c>
    </row>
    <row r="44" spans="1:29" x14ac:dyDescent="0.35">
      <c r="A44" s="2" t="s">
        <v>46</v>
      </c>
      <c r="B44">
        <v>52046</v>
      </c>
      <c r="C44" t="s">
        <v>51</v>
      </c>
      <c r="D44">
        <v>53221</v>
      </c>
      <c r="E44" t="s">
        <v>96</v>
      </c>
      <c r="F44">
        <v>8697</v>
      </c>
      <c r="G44">
        <v>0.4671459760747757</v>
      </c>
      <c r="H44">
        <v>0</v>
      </c>
      <c r="I44">
        <v>0</v>
      </c>
      <c r="J44">
        <v>0.38684384235519598</v>
      </c>
      <c r="K44">
        <v>0</v>
      </c>
      <c r="L44">
        <v>3.9675855503936862E-308</v>
      </c>
      <c r="M44">
        <v>0.26815074208349587</v>
      </c>
      <c r="N44">
        <v>8.4061927887949602E-308</v>
      </c>
      <c r="O44">
        <v>1.757500925327441E-307</v>
      </c>
      <c r="P44">
        <v>0.21822536296285491</v>
      </c>
      <c r="Q44">
        <v>1.0057045329542851</v>
      </c>
      <c r="R44">
        <v>1.5001108337236879</v>
      </c>
      <c r="S44">
        <v>0.24892243186551921</v>
      </c>
      <c r="T44">
        <v>0.1812634759872658</v>
      </c>
      <c r="U44">
        <v>4.4790455516844876</v>
      </c>
      <c r="V44">
        <v>0.13077671409651431</v>
      </c>
      <c r="W44">
        <v>6.0047072483615036</v>
      </c>
      <c r="X44">
        <v>0.2815452576020438</v>
      </c>
      <c r="Z44" t="s">
        <v>392</v>
      </c>
      <c r="AA44">
        <v>9937</v>
      </c>
      <c r="AB44" t="s">
        <v>435</v>
      </c>
      <c r="AC44" t="str">
        <f>HYPERLINK("plots/20251231000436_3FT6Y121H01_04823_B11P_N_UFLEX98_M5358A8BH101511/dpll_52046/txpa_53221.png","plot")</f>
        <v>plot</v>
      </c>
    </row>
    <row r="45" spans="1:29" x14ac:dyDescent="0.35">
      <c r="A45" s="2" t="s">
        <v>46</v>
      </c>
      <c r="B45">
        <v>52046</v>
      </c>
      <c r="C45" t="s">
        <v>51</v>
      </c>
      <c r="D45">
        <v>53222</v>
      </c>
      <c r="E45" t="s">
        <v>97</v>
      </c>
      <c r="F45">
        <v>8691</v>
      </c>
      <c r="G45">
        <v>0.43452950905667193</v>
      </c>
      <c r="H45">
        <v>0</v>
      </c>
      <c r="I45">
        <v>0</v>
      </c>
      <c r="J45">
        <v>0.31682622551793149</v>
      </c>
      <c r="K45">
        <v>6.9717221717414173E-202</v>
      </c>
      <c r="L45">
        <v>1.044213631040738E-201</v>
      </c>
      <c r="M45">
        <v>0.21779203994564819</v>
      </c>
      <c r="N45">
        <v>1.2342642971628701E-203</v>
      </c>
      <c r="O45">
        <v>1.8596493273746661E-203</v>
      </c>
      <c r="P45">
        <v>0.18881589424103229</v>
      </c>
      <c r="Q45">
        <v>1.026155508272526</v>
      </c>
      <c r="R45">
        <v>1.49413118103001</v>
      </c>
      <c r="S45">
        <v>0.27745139619801412</v>
      </c>
      <c r="T45">
        <v>0.2088769536017418</v>
      </c>
      <c r="U45">
        <v>4.4793019514440227</v>
      </c>
      <c r="V45">
        <v>0.13045426409445199</v>
      </c>
      <c r="W45">
        <v>6.0905915517201699</v>
      </c>
      <c r="X45">
        <v>0.30807196953959182</v>
      </c>
      <c r="Z45" t="s">
        <v>392</v>
      </c>
      <c r="AA45">
        <v>9937</v>
      </c>
      <c r="AB45" t="s">
        <v>436</v>
      </c>
      <c r="AC45" t="str">
        <f>HYPERLINK("plots/20251231000436_3FT6Y121H01_04823_B11P_N_UFLEX98_M5358A8BH101511/dpll_52046/txpa_53222.png","plot")</f>
        <v>plot</v>
      </c>
    </row>
    <row r="46" spans="1:29" x14ac:dyDescent="0.35">
      <c r="A46" s="2" t="s">
        <v>46</v>
      </c>
      <c r="B46">
        <v>52046</v>
      </c>
      <c r="C46" t="s">
        <v>51</v>
      </c>
      <c r="D46">
        <v>53223</v>
      </c>
      <c r="E46" t="s">
        <v>98</v>
      </c>
      <c r="F46">
        <v>8689</v>
      </c>
      <c r="G46">
        <v>0.48582628310045961</v>
      </c>
      <c r="H46">
        <v>0</v>
      </c>
      <c r="I46">
        <v>0</v>
      </c>
      <c r="J46">
        <v>0.39321093368373861</v>
      </c>
      <c r="K46">
        <v>0</v>
      </c>
      <c r="L46">
        <v>0</v>
      </c>
      <c r="M46">
        <v>0.27356543627839552</v>
      </c>
      <c r="N46">
        <v>0</v>
      </c>
      <c r="O46">
        <v>0</v>
      </c>
      <c r="P46">
        <v>0.2360271773512079</v>
      </c>
      <c r="Q46">
        <v>1.019682807183846</v>
      </c>
      <c r="R46">
        <v>1.582406553835632</v>
      </c>
      <c r="S46">
        <v>0.23914188798580821</v>
      </c>
      <c r="T46">
        <v>0.1754752197895901</v>
      </c>
      <c r="U46">
        <v>4.4793798157440454</v>
      </c>
      <c r="V46">
        <v>0.13036397700869029</v>
      </c>
      <c r="W46">
        <v>6.1499531387961799</v>
      </c>
      <c r="X46">
        <v>0.2736161271134529</v>
      </c>
      <c r="Z46" t="s">
        <v>392</v>
      </c>
      <c r="AA46">
        <v>9937</v>
      </c>
      <c r="AB46" t="s">
        <v>437</v>
      </c>
      <c r="AC46" t="str">
        <f>HYPERLINK("plots/20251231000436_3FT6Y121H01_04823_B11P_N_UFLEX98_M5358A8BH101511/dpll_52046/txpa_53223.png","plot")</f>
        <v>plot</v>
      </c>
    </row>
    <row r="47" spans="1:29" x14ac:dyDescent="0.35">
      <c r="A47" s="2" t="s">
        <v>46</v>
      </c>
      <c r="B47">
        <v>52046</v>
      </c>
      <c r="C47" t="s">
        <v>51</v>
      </c>
      <c r="D47">
        <v>53224</v>
      </c>
      <c r="E47" t="s">
        <v>99</v>
      </c>
      <c r="F47">
        <v>8690</v>
      </c>
      <c r="G47">
        <v>0.46334369099697659</v>
      </c>
      <c r="H47">
        <v>0</v>
      </c>
      <c r="I47">
        <v>0</v>
      </c>
      <c r="J47">
        <v>0.35351868602437919</v>
      </c>
      <c r="K47">
        <v>3.3082251540167608E-254</v>
      </c>
      <c r="L47">
        <v>5.7244715122406069E-254</v>
      </c>
      <c r="M47">
        <v>0.24463210200311269</v>
      </c>
      <c r="N47">
        <v>2.4609334563037559E-256</v>
      </c>
      <c r="O47">
        <v>4.347363283435554E-256</v>
      </c>
      <c r="P47">
        <v>0.21468737598670171</v>
      </c>
      <c r="Q47">
        <v>1.059887723574408</v>
      </c>
      <c r="R47">
        <v>1.4085217998480579</v>
      </c>
      <c r="S47">
        <v>0.26411613751056362</v>
      </c>
      <c r="T47">
        <v>0.19631266372768719</v>
      </c>
      <c r="U47">
        <v>4.4793747550057539</v>
      </c>
      <c r="V47">
        <v>0.1302992841344256</v>
      </c>
      <c r="W47">
        <v>6.1561561119677783</v>
      </c>
      <c r="X47">
        <v>0.29805652764464291</v>
      </c>
      <c r="Z47" t="s">
        <v>392</v>
      </c>
      <c r="AA47">
        <v>9937</v>
      </c>
      <c r="AB47" t="s">
        <v>438</v>
      </c>
      <c r="AC47" t="str">
        <f>HYPERLINK("plots/20251231000436_3FT6Y121H01_04823_B11P_N_UFLEX98_M5358A8BH101511/dpll_52046/txpa_53224.png","plot")</f>
        <v>plot</v>
      </c>
    </row>
    <row r="48" spans="1:29" x14ac:dyDescent="0.35">
      <c r="A48" s="2" t="s">
        <v>46</v>
      </c>
      <c r="B48">
        <v>52046</v>
      </c>
      <c r="C48" t="s">
        <v>51</v>
      </c>
      <c r="D48">
        <v>53225</v>
      </c>
      <c r="E48" t="s">
        <v>100</v>
      </c>
      <c r="F48">
        <v>8698</v>
      </c>
      <c r="G48">
        <v>0.48977858510985112</v>
      </c>
      <c r="H48">
        <v>0</v>
      </c>
      <c r="I48">
        <v>0</v>
      </c>
      <c r="J48">
        <v>0.3864808448369858</v>
      </c>
      <c r="K48">
        <v>7.2958282361950423E-308</v>
      </c>
      <c r="L48">
        <v>1.5348485127597041E-307</v>
      </c>
      <c r="M48">
        <v>0.26851400646606771</v>
      </c>
      <c r="N48">
        <v>0</v>
      </c>
      <c r="O48">
        <v>2.4174032620128898E-308</v>
      </c>
      <c r="P48">
        <v>0.23988306243220761</v>
      </c>
      <c r="Q48">
        <v>1.0389726761967459</v>
      </c>
      <c r="R48">
        <v>1.5246705534265499</v>
      </c>
      <c r="S48">
        <v>0.24197674024777199</v>
      </c>
      <c r="T48">
        <v>0.17982298138084829</v>
      </c>
      <c r="U48">
        <v>4.4789993992871926</v>
      </c>
      <c r="V48">
        <v>0.1308440714654297</v>
      </c>
      <c r="W48">
        <v>6.178228545987583</v>
      </c>
      <c r="X48">
        <v>0.27756096168317662</v>
      </c>
      <c r="Z48" t="s">
        <v>392</v>
      </c>
      <c r="AA48">
        <v>9937</v>
      </c>
      <c r="AB48" t="s">
        <v>439</v>
      </c>
      <c r="AC48" t="str">
        <f>HYPERLINK("plots/20251231000436_3FT6Y121H01_04823_B11P_N_UFLEX98_M5358A8BH101511/dpll_52046/txpa_53225.png","plot")</f>
        <v>plot</v>
      </c>
    </row>
    <row r="49" spans="1:29" x14ac:dyDescent="0.35">
      <c r="A49" s="2" t="s">
        <v>46</v>
      </c>
      <c r="B49">
        <v>52046</v>
      </c>
      <c r="C49" t="s">
        <v>51</v>
      </c>
      <c r="D49">
        <v>53226</v>
      </c>
      <c r="E49" t="s">
        <v>101</v>
      </c>
      <c r="F49">
        <v>8691</v>
      </c>
      <c r="G49">
        <v>0.46297567992175392</v>
      </c>
      <c r="H49">
        <v>0</v>
      </c>
      <c r="I49">
        <v>0</v>
      </c>
      <c r="J49">
        <v>0.35491491360616723</v>
      </c>
      <c r="K49">
        <v>2.2637075819932181E-256</v>
      </c>
      <c r="L49">
        <v>3.9439853748129259E-256</v>
      </c>
      <c r="M49">
        <v>0.24523960060594571</v>
      </c>
      <c r="N49">
        <v>1.2537043332872201E-257</v>
      </c>
      <c r="O49">
        <v>2.2263681155048E-257</v>
      </c>
      <c r="P49">
        <v>0.21434648019901029</v>
      </c>
      <c r="Q49">
        <v>1.024788293250013</v>
      </c>
      <c r="R49">
        <v>1.3529780641185361</v>
      </c>
      <c r="S49">
        <v>0.25594735445498362</v>
      </c>
      <c r="T49">
        <v>0.1894198370533095</v>
      </c>
      <c r="U49">
        <v>4.4792986239788277</v>
      </c>
      <c r="V49">
        <v>0.13046202762306691</v>
      </c>
      <c r="W49">
        <v>5.9433108559429293</v>
      </c>
      <c r="X49">
        <v>0.28877533835983432</v>
      </c>
      <c r="Z49" t="s">
        <v>392</v>
      </c>
      <c r="AA49">
        <v>9937</v>
      </c>
      <c r="AB49" t="s">
        <v>440</v>
      </c>
      <c r="AC49" t="str">
        <f>HYPERLINK("plots/20251231000436_3FT6Y121H01_04823_B11P_N_UFLEX98_M5358A8BH101511/dpll_52046/txpa_53226.png","plot")</f>
        <v>plot</v>
      </c>
    </row>
    <row r="50" spans="1:29" x14ac:dyDescent="0.35">
      <c r="A50" s="2" t="s">
        <v>46</v>
      </c>
      <c r="B50">
        <v>52046</v>
      </c>
      <c r="C50" t="s">
        <v>51</v>
      </c>
      <c r="D50">
        <v>53227</v>
      </c>
      <c r="E50" t="s">
        <v>102</v>
      </c>
      <c r="F50">
        <v>8686</v>
      </c>
      <c r="G50">
        <v>0.44806287368236208</v>
      </c>
      <c r="H50">
        <v>0</v>
      </c>
      <c r="I50">
        <v>0</v>
      </c>
      <c r="J50">
        <v>0.39289172418370583</v>
      </c>
      <c r="K50">
        <v>0</v>
      </c>
      <c r="L50">
        <v>0</v>
      </c>
      <c r="M50">
        <v>0.2722719508613502</v>
      </c>
      <c r="N50">
        <v>0</v>
      </c>
      <c r="O50">
        <v>0</v>
      </c>
      <c r="P50">
        <v>0.20076033877249641</v>
      </c>
      <c r="Q50">
        <v>1.0636151218114951</v>
      </c>
      <c r="R50">
        <v>3.1662993945902951</v>
      </c>
      <c r="S50">
        <v>0.27622453237701788</v>
      </c>
      <c r="T50">
        <v>0.19339144519242579</v>
      </c>
      <c r="U50">
        <v>4.4795173153350216</v>
      </c>
      <c r="V50">
        <v>0.13016768806460641</v>
      </c>
      <c r="W50">
        <v>7.9307817495970534</v>
      </c>
      <c r="X50">
        <v>0.30899306666257043</v>
      </c>
      <c r="Z50" t="s">
        <v>392</v>
      </c>
      <c r="AA50">
        <v>9937</v>
      </c>
      <c r="AB50" t="s">
        <v>441</v>
      </c>
      <c r="AC50" t="str">
        <f>HYPERLINK("plots/20251231000436_3FT6Y121H01_04823_B11P_N_UFLEX98_M5358A8BH101511/dpll_52046/txpa_53227.png","plot")</f>
        <v>plot</v>
      </c>
    </row>
    <row r="51" spans="1:29" x14ac:dyDescent="0.35">
      <c r="A51" s="2" t="s">
        <v>46</v>
      </c>
      <c r="B51">
        <v>52046</v>
      </c>
      <c r="C51" t="s">
        <v>51</v>
      </c>
      <c r="D51">
        <v>53228</v>
      </c>
      <c r="E51" t="s">
        <v>103</v>
      </c>
      <c r="F51">
        <v>8686</v>
      </c>
      <c r="G51">
        <v>0.42919291066874699</v>
      </c>
      <c r="H51">
        <v>0</v>
      </c>
      <c r="I51">
        <v>0</v>
      </c>
      <c r="J51">
        <v>0.32773499420041108</v>
      </c>
      <c r="K51">
        <v>1.403491201129801E-216</v>
      </c>
      <c r="L51">
        <v>2.1628268661787509E-216</v>
      </c>
      <c r="M51">
        <v>0.22505104803327269</v>
      </c>
      <c r="N51">
        <v>3.5975066962656389E-217</v>
      </c>
      <c r="O51">
        <v>5.5863273966513897E-217</v>
      </c>
      <c r="P51">
        <v>0.18420655456831109</v>
      </c>
      <c r="Q51">
        <v>1.1410180596122039</v>
      </c>
      <c r="R51">
        <v>3.0648900727683031</v>
      </c>
      <c r="S51">
        <v>0.31239727834875419</v>
      </c>
      <c r="T51">
        <v>0.2311792540033322</v>
      </c>
      <c r="U51">
        <v>4.4795361264103164</v>
      </c>
      <c r="V51">
        <v>0.13010744796096169</v>
      </c>
      <c r="W51">
        <v>8.1761216916877721</v>
      </c>
      <c r="X51">
        <v>0.34589328976146699</v>
      </c>
      <c r="Z51" t="s">
        <v>392</v>
      </c>
      <c r="AA51">
        <v>9937</v>
      </c>
      <c r="AB51" t="s">
        <v>442</v>
      </c>
      <c r="AC51" t="str">
        <f>HYPERLINK("plots/20251231000436_3FT6Y121H01_04823_B11P_N_UFLEX98_M5358A8BH101511/dpll_52046/txpa_53228.png","plot")</f>
        <v>plot</v>
      </c>
    </row>
    <row r="52" spans="1:29" x14ac:dyDescent="0.35">
      <c r="A52" s="2" t="s">
        <v>46</v>
      </c>
      <c r="B52">
        <v>52046</v>
      </c>
      <c r="C52" t="s">
        <v>51</v>
      </c>
      <c r="D52">
        <v>53229</v>
      </c>
      <c r="E52" t="s">
        <v>104</v>
      </c>
      <c r="F52">
        <v>8685</v>
      </c>
      <c r="G52">
        <v>0.47503479298697648</v>
      </c>
      <c r="H52">
        <v>0</v>
      </c>
      <c r="I52">
        <v>0</v>
      </c>
      <c r="J52">
        <v>0.41062203304513689</v>
      </c>
      <c r="K52">
        <v>0</v>
      </c>
      <c r="L52">
        <v>0</v>
      </c>
      <c r="M52">
        <v>0.286906681458103</v>
      </c>
      <c r="N52">
        <v>0</v>
      </c>
      <c r="O52">
        <v>0</v>
      </c>
      <c r="P52">
        <v>0.22565805454817961</v>
      </c>
      <c r="Q52">
        <v>1.1207678016445191</v>
      </c>
      <c r="R52">
        <v>3.0256706886168532</v>
      </c>
      <c r="S52">
        <v>0.27015001934009869</v>
      </c>
      <c r="T52">
        <v>0.19090076368073419</v>
      </c>
      <c r="U52">
        <v>4.4795540095567068</v>
      </c>
      <c r="V52">
        <v>0.13012878908861431</v>
      </c>
      <c r="W52">
        <v>8.0462105882556152</v>
      </c>
      <c r="X52">
        <v>0.30701784170471941</v>
      </c>
      <c r="Z52" t="s">
        <v>392</v>
      </c>
      <c r="AA52">
        <v>9937</v>
      </c>
      <c r="AB52" t="s">
        <v>443</v>
      </c>
      <c r="AC52" t="str">
        <f>HYPERLINK("plots/20251231000436_3FT6Y121H01_04823_B11P_N_UFLEX98_M5358A8BH101511/dpll_52046/txpa_53229.png","plot")</f>
        <v>plot</v>
      </c>
    </row>
    <row r="53" spans="1:29" x14ac:dyDescent="0.35">
      <c r="A53" s="2" t="s">
        <v>46</v>
      </c>
      <c r="B53">
        <v>52046</v>
      </c>
      <c r="C53" t="s">
        <v>51</v>
      </c>
      <c r="D53">
        <v>53230</v>
      </c>
      <c r="E53" t="s">
        <v>105</v>
      </c>
      <c r="F53">
        <v>8672</v>
      </c>
      <c r="G53">
        <v>0.44229358929774931</v>
      </c>
      <c r="H53">
        <v>0</v>
      </c>
      <c r="I53">
        <v>0</v>
      </c>
      <c r="J53">
        <v>0.35360574041450782</v>
      </c>
      <c r="K53">
        <v>8.1153064195098528E-254</v>
      </c>
      <c r="L53">
        <v>1.397100290217825E-253</v>
      </c>
      <c r="M53">
        <v>0.24449874798273841</v>
      </c>
      <c r="N53">
        <v>1.5596261279289529E-255</v>
      </c>
      <c r="O53">
        <v>2.7408334379895292E-255</v>
      </c>
      <c r="P53">
        <v>0.19562361913388621</v>
      </c>
      <c r="Q53">
        <v>1.0992836820519529</v>
      </c>
      <c r="R53">
        <v>3.226811137930552</v>
      </c>
      <c r="S53">
        <v>0.28757385499034982</v>
      </c>
      <c r="T53">
        <v>0.21083567532112529</v>
      </c>
      <c r="U53">
        <v>4.480231090636531</v>
      </c>
      <c r="V53">
        <v>0.1290166168060887</v>
      </c>
      <c r="W53">
        <v>8.1518560676891134</v>
      </c>
      <c r="X53">
        <v>0.32065999824611241</v>
      </c>
      <c r="Z53" t="s">
        <v>392</v>
      </c>
      <c r="AA53">
        <v>9937</v>
      </c>
      <c r="AB53" t="s">
        <v>444</v>
      </c>
      <c r="AC53" t="str">
        <f>HYPERLINK("plots/20251231000436_3FT6Y121H01_04823_B11P_N_UFLEX98_M5358A8BH101511/dpll_52046/txpa_53230.png","plot")</f>
        <v>plot</v>
      </c>
    </row>
    <row r="54" spans="1:29" x14ac:dyDescent="0.35">
      <c r="A54" s="2" t="s">
        <v>46</v>
      </c>
      <c r="B54">
        <v>52046</v>
      </c>
      <c r="C54" t="s">
        <v>51</v>
      </c>
      <c r="D54">
        <v>53231</v>
      </c>
      <c r="E54" t="s">
        <v>106</v>
      </c>
      <c r="F54">
        <v>8683</v>
      </c>
      <c r="G54">
        <v>0.49113299647868047</v>
      </c>
      <c r="H54">
        <v>0</v>
      </c>
      <c r="I54">
        <v>0</v>
      </c>
      <c r="J54">
        <v>0.41355791769634431</v>
      </c>
      <c r="K54">
        <v>0</v>
      </c>
      <c r="L54">
        <v>0</v>
      </c>
      <c r="M54">
        <v>0.2896563747084881</v>
      </c>
      <c r="N54">
        <v>0</v>
      </c>
      <c r="O54">
        <v>0</v>
      </c>
      <c r="P54">
        <v>0.2412116202301276</v>
      </c>
      <c r="Q54">
        <v>1.146929434707435</v>
      </c>
      <c r="R54">
        <v>3.0479781935034742</v>
      </c>
      <c r="S54">
        <v>0.26388717013297242</v>
      </c>
      <c r="T54">
        <v>0.18758978338751939</v>
      </c>
      <c r="U54">
        <v>4.4797284027409887</v>
      </c>
      <c r="V54">
        <v>0.1297314775076219</v>
      </c>
      <c r="W54">
        <v>8.185910558102039</v>
      </c>
      <c r="X54">
        <v>0.30295836612158072</v>
      </c>
      <c r="Z54" t="s">
        <v>392</v>
      </c>
      <c r="AA54">
        <v>9937</v>
      </c>
      <c r="AB54" t="s">
        <v>445</v>
      </c>
      <c r="AC54" t="str">
        <f>HYPERLINK("plots/20251231000436_3FT6Y121H01_04823_B11P_N_UFLEX98_M5358A8BH101511/dpll_52046/txpa_53231.png","plot")</f>
        <v>plot</v>
      </c>
    </row>
    <row r="55" spans="1:29" x14ac:dyDescent="0.35">
      <c r="A55" s="2" t="s">
        <v>46</v>
      </c>
      <c r="B55">
        <v>52046</v>
      </c>
      <c r="C55" t="s">
        <v>51</v>
      </c>
      <c r="D55">
        <v>53232</v>
      </c>
      <c r="E55" t="s">
        <v>107</v>
      </c>
      <c r="F55">
        <v>8679</v>
      </c>
      <c r="G55">
        <v>0.4745344967982999</v>
      </c>
      <c r="H55">
        <v>0</v>
      </c>
      <c r="I55">
        <v>0</v>
      </c>
      <c r="J55">
        <v>0.38755912580192531</v>
      </c>
      <c r="K55">
        <v>0</v>
      </c>
      <c r="L55">
        <v>0</v>
      </c>
      <c r="M55">
        <v>0.27001888928080542</v>
      </c>
      <c r="N55">
        <v>0</v>
      </c>
      <c r="O55">
        <v>0</v>
      </c>
      <c r="P55">
        <v>0.22518298865161571</v>
      </c>
      <c r="Q55">
        <v>1.1550246371576509</v>
      </c>
      <c r="R55">
        <v>3.012819058378104</v>
      </c>
      <c r="S55">
        <v>0.27763837518340351</v>
      </c>
      <c r="T55">
        <v>0.20054508687786299</v>
      </c>
      <c r="U55">
        <v>4.4798762714598457</v>
      </c>
      <c r="V55">
        <v>0.12959298196875599</v>
      </c>
      <c r="W55">
        <v>8.1871865233321817</v>
      </c>
      <c r="X55">
        <v>0.31543141328303242</v>
      </c>
      <c r="Z55" t="s">
        <v>392</v>
      </c>
      <c r="AA55">
        <v>9937</v>
      </c>
      <c r="AB55" t="s">
        <v>446</v>
      </c>
      <c r="AC55" t="str">
        <f>HYPERLINK("plots/20251231000436_3FT6Y121H01_04823_B11P_N_UFLEX98_M5358A8BH101511/dpll_52046/txpa_53232.png","plot")</f>
        <v>plot</v>
      </c>
    </row>
    <row r="56" spans="1:29" x14ac:dyDescent="0.35">
      <c r="A56" s="2" t="s">
        <v>46</v>
      </c>
      <c r="B56">
        <v>52046</v>
      </c>
      <c r="C56" t="s">
        <v>51</v>
      </c>
      <c r="D56">
        <v>53233</v>
      </c>
      <c r="E56" t="s">
        <v>108</v>
      </c>
      <c r="F56">
        <v>8689</v>
      </c>
      <c r="G56">
        <v>0.49853358480987969</v>
      </c>
      <c r="H56">
        <v>0</v>
      </c>
      <c r="I56">
        <v>0</v>
      </c>
      <c r="J56">
        <v>0.40721454081364422</v>
      </c>
      <c r="K56">
        <v>0</v>
      </c>
      <c r="L56">
        <v>0</v>
      </c>
      <c r="M56">
        <v>0.28490173097349242</v>
      </c>
      <c r="N56">
        <v>0</v>
      </c>
      <c r="O56">
        <v>0</v>
      </c>
      <c r="P56">
        <v>0.24853573518338951</v>
      </c>
      <c r="Q56">
        <v>1.160023067551035</v>
      </c>
      <c r="R56">
        <v>3.0107044359017472</v>
      </c>
      <c r="S56">
        <v>0.26284130220606933</v>
      </c>
      <c r="T56">
        <v>0.18966569949074469</v>
      </c>
      <c r="U56">
        <v>4.4793956586488664</v>
      </c>
      <c r="V56">
        <v>0.13031434683227061</v>
      </c>
      <c r="W56">
        <v>8.2069067286223962</v>
      </c>
      <c r="X56">
        <v>0.30322460304440529</v>
      </c>
      <c r="Z56" t="s">
        <v>392</v>
      </c>
      <c r="AA56">
        <v>9937</v>
      </c>
      <c r="AB56" t="s">
        <v>447</v>
      </c>
      <c r="AC56" t="str">
        <f>HYPERLINK("plots/20251231000436_3FT6Y121H01_04823_B11P_N_UFLEX98_M5358A8BH101511/dpll_52046/txpa_53233.png","plot")</f>
        <v>plot</v>
      </c>
    </row>
    <row r="57" spans="1:29" x14ac:dyDescent="0.35">
      <c r="A57" s="2" t="s">
        <v>46</v>
      </c>
      <c r="B57">
        <v>52046</v>
      </c>
      <c r="C57" t="s">
        <v>51</v>
      </c>
      <c r="D57">
        <v>53234</v>
      </c>
      <c r="E57" t="s">
        <v>109</v>
      </c>
      <c r="F57">
        <v>8686</v>
      </c>
      <c r="G57">
        <v>0.47241817953681953</v>
      </c>
      <c r="H57">
        <v>0</v>
      </c>
      <c r="I57">
        <v>0</v>
      </c>
      <c r="J57">
        <v>0.37464377818264211</v>
      </c>
      <c r="K57">
        <v>1.465081141845621E-287</v>
      </c>
      <c r="L57">
        <v>2.8243199198316731E-287</v>
      </c>
      <c r="M57">
        <v>0.26011246775994779</v>
      </c>
      <c r="N57">
        <v>2.1647171355815678E-289</v>
      </c>
      <c r="O57">
        <v>4.2539208827126157E-289</v>
      </c>
      <c r="P57">
        <v>0.22317893635688271</v>
      </c>
      <c r="Q57">
        <v>1.130176067837825</v>
      </c>
      <c r="R57">
        <v>2.9549648031612361</v>
      </c>
      <c r="S57">
        <v>0.27434124862862552</v>
      </c>
      <c r="T57">
        <v>0.19831287729485861</v>
      </c>
      <c r="U57">
        <v>4.47953574245913</v>
      </c>
      <c r="V57">
        <v>0.1301176199170829</v>
      </c>
      <c r="W57">
        <v>8.0176288943126881</v>
      </c>
      <c r="X57">
        <v>0.31128315209733431</v>
      </c>
      <c r="Z57" t="s">
        <v>392</v>
      </c>
      <c r="AA57">
        <v>9937</v>
      </c>
      <c r="AB57" t="s">
        <v>448</v>
      </c>
      <c r="AC57" t="str">
        <f>HYPERLINK("plots/20251231000436_3FT6Y121H01_04823_B11P_N_UFLEX98_M5358A8BH101511/dpll_52046/txpa_53234.png","plot")</f>
        <v>plot</v>
      </c>
    </row>
    <row r="58" spans="1:29" x14ac:dyDescent="0.35">
      <c r="A58" s="2" t="s">
        <v>46</v>
      </c>
      <c r="B58">
        <v>52046</v>
      </c>
      <c r="C58" t="s">
        <v>51</v>
      </c>
      <c r="D58">
        <v>53235</v>
      </c>
      <c r="E58" t="s">
        <v>110</v>
      </c>
      <c r="F58">
        <v>8682</v>
      </c>
      <c r="G58">
        <v>0.45340819240149999</v>
      </c>
      <c r="H58">
        <v>0</v>
      </c>
      <c r="I58">
        <v>0</v>
      </c>
      <c r="J58">
        <v>0.40174283547802792</v>
      </c>
      <c r="K58">
        <v>0</v>
      </c>
      <c r="L58">
        <v>0</v>
      </c>
      <c r="M58">
        <v>0.27953112636109079</v>
      </c>
      <c r="N58">
        <v>0</v>
      </c>
      <c r="O58">
        <v>0</v>
      </c>
      <c r="P58">
        <v>0.2055789889367956</v>
      </c>
      <c r="Q58">
        <v>1.137321274099002</v>
      </c>
      <c r="R58">
        <v>3.7248318454122979</v>
      </c>
      <c r="S58">
        <v>0.29079607522120637</v>
      </c>
      <c r="T58">
        <v>0.20137824056645429</v>
      </c>
      <c r="U58">
        <v>4.4795571361437458</v>
      </c>
      <c r="V58">
        <v>0.13007516706453201</v>
      </c>
      <c r="W58">
        <v>8.8195274748905792</v>
      </c>
      <c r="X58">
        <v>0.32627830112843093</v>
      </c>
      <c r="Z58" t="s">
        <v>392</v>
      </c>
      <c r="AA58">
        <v>9937</v>
      </c>
      <c r="AB58" t="s">
        <v>449</v>
      </c>
      <c r="AC58" t="str">
        <f>HYPERLINK("plots/20251231000436_3FT6Y121H01_04823_B11P_N_UFLEX98_M5358A8BH101511/dpll_52046/txpa_53235.png","plot")</f>
        <v>plot</v>
      </c>
    </row>
    <row r="59" spans="1:29" x14ac:dyDescent="0.35">
      <c r="A59" s="2" t="s">
        <v>46</v>
      </c>
      <c r="B59">
        <v>52046</v>
      </c>
      <c r="C59" t="s">
        <v>51</v>
      </c>
      <c r="D59">
        <v>53236</v>
      </c>
      <c r="E59" t="s">
        <v>111</v>
      </c>
      <c r="F59">
        <v>8681</v>
      </c>
      <c r="G59">
        <v>0.43663975259199139</v>
      </c>
      <c r="H59">
        <v>0</v>
      </c>
      <c r="I59">
        <v>0</v>
      </c>
      <c r="J59">
        <v>0.35302569291946462</v>
      </c>
      <c r="K59">
        <v>3.3993545646199407E-253</v>
      </c>
      <c r="L59">
        <v>5.8422805568213902E-253</v>
      </c>
      <c r="M59">
        <v>0.24360173753570691</v>
      </c>
      <c r="N59">
        <v>6.1310068384666338E-254</v>
      </c>
      <c r="O59">
        <v>1.0681857275266611E-253</v>
      </c>
      <c r="P59">
        <v>0.19065427354359549</v>
      </c>
      <c r="Q59">
        <v>1.1973004612163241</v>
      </c>
      <c r="R59">
        <v>3.687605004415579</v>
      </c>
      <c r="S59">
        <v>0.31987800349959961</v>
      </c>
      <c r="T59">
        <v>0.2315866114166511</v>
      </c>
      <c r="U59">
        <v>4.479796807280267</v>
      </c>
      <c r="V59">
        <v>0.12967685695843439</v>
      </c>
      <c r="W59">
        <v>9.0512677879276584</v>
      </c>
      <c r="X59">
        <v>0.3555841164798802</v>
      </c>
      <c r="Z59" t="s">
        <v>392</v>
      </c>
      <c r="AA59">
        <v>9937</v>
      </c>
      <c r="AB59" t="s">
        <v>450</v>
      </c>
      <c r="AC59" t="str">
        <f>HYPERLINK("plots/20251231000436_3FT6Y121H01_04823_B11P_N_UFLEX98_M5358A8BH101511/dpll_52046/txpa_53236.png","plot")</f>
        <v>plot</v>
      </c>
    </row>
    <row r="60" spans="1:29" x14ac:dyDescent="0.35">
      <c r="A60" s="2" t="s">
        <v>46</v>
      </c>
      <c r="B60">
        <v>52046</v>
      </c>
      <c r="C60" t="s">
        <v>51</v>
      </c>
      <c r="D60">
        <v>53237</v>
      </c>
      <c r="E60" t="s">
        <v>112</v>
      </c>
      <c r="F60">
        <v>8677</v>
      </c>
      <c r="G60">
        <v>0.4765327498096909</v>
      </c>
      <c r="H60">
        <v>0</v>
      </c>
      <c r="I60">
        <v>0</v>
      </c>
      <c r="J60">
        <v>0.42214467739939471</v>
      </c>
      <c r="K60">
        <v>0</v>
      </c>
      <c r="L60">
        <v>0</v>
      </c>
      <c r="M60">
        <v>0.29653350282691082</v>
      </c>
      <c r="N60">
        <v>0</v>
      </c>
      <c r="O60">
        <v>0</v>
      </c>
      <c r="P60">
        <v>0.22708346164118551</v>
      </c>
      <c r="Q60">
        <v>1.1930265796743</v>
      </c>
      <c r="R60">
        <v>3.5719261350562901</v>
      </c>
      <c r="S60">
        <v>0.28532574209525052</v>
      </c>
      <c r="T60">
        <v>0.1984013128565911</v>
      </c>
      <c r="U60">
        <v>4.4798231930390688</v>
      </c>
      <c r="V60">
        <v>0.1296409831582499</v>
      </c>
      <c r="W60">
        <v>8.9164742765932932</v>
      </c>
      <c r="X60">
        <v>0.32456350331570638</v>
      </c>
      <c r="Z60" t="s">
        <v>392</v>
      </c>
      <c r="AA60">
        <v>9937</v>
      </c>
      <c r="AB60" t="s">
        <v>451</v>
      </c>
      <c r="AC60" t="str">
        <f>HYPERLINK("plots/20251231000436_3FT6Y121H01_04823_B11P_N_UFLEX98_M5358A8BH101511/dpll_52046/txpa_53237.png","plot")</f>
        <v>plot</v>
      </c>
    </row>
    <row r="61" spans="1:29" x14ac:dyDescent="0.35">
      <c r="A61" s="2" t="s">
        <v>46</v>
      </c>
      <c r="B61">
        <v>52046</v>
      </c>
      <c r="C61" t="s">
        <v>51</v>
      </c>
      <c r="D61">
        <v>53238</v>
      </c>
      <c r="E61" t="s">
        <v>113</v>
      </c>
      <c r="F61">
        <v>8662</v>
      </c>
      <c r="G61">
        <v>0.44063064632872329</v>
      </c>
      <c r="H61">
        <v>0</v>
      </c>
      <c r="I61">
        <v>0</v>
      </c>
      <c r="J61">
        <v>0.37341421498623001</v>
      </c>
      <c r="K61">
        <v>9.2695482650127174E-285</v>
      </c>
      <c r="L61">
        <v>1.7768094405903389E-284</v>
      </c>
      <c r="M61">
        <v>0.25943694006792217</v>
      </c>
      <c r="N61">
        <v>4.1155695188470819E-287</v>
      </c>
      <c r="O61">
        <v>7.9946120538523775E-287</v>
      </c>
      <c r="P61">
        <v>0.19415536648406839</v>
      </c>
      <c r="Q61">
        <v>1.1426502865293191</v>
      </c>
      <c r="R61">
        <v>3.909692626782924</v>
      </c>
      <c r="S61">
        <v>0.29797978404524728</v>
      </c>
      <c r="T61">
        <v>0.21420608472104771</v>
      </c>
      <c r="U61">
        <v>4.4807910106211031</v>
      </c>
      <c r="V61">
        <v>0.1280110851345595</v>
      </c>
      <c r="W61">
        <v>9.0296697589471258</v>
      </c>
      <c r="X61">
        <v>0.33196034893771409</v>
      </c>
      <c r="Z61" t="s">
        <v>392</v>
      </c>
      <c r="AA61">
        <v>9937</v>
      </c>
      <c r="AB61" t="s">
        <v>452</v>
      </c>
      <c r="AC61" t="str">
        <f>HYPERLINK("plots/20251231000436_3FT6Y121H01_04823_B11P_N_UFLEX98_M5358A8BH101511/dpll_52046/txpa_53238.png","plot")</f>
        <v>plot</v>
      </c>
    </row>
    <row r="62" spans="1:29" x14ac:dyDescent="0.35">
      <c r="A62" s="2" t="s">
        <v>46</v>
      </c>
      <c r="B62">
        <v>52046</v>
      </c>
      <c r="C62" t="s">
        <v>51</v>
      </c>
      <c r="D62">
        <v>53239</v>
      </c>
      <c r="E62" t="s">
        <v>114</v>
      </c>
      <c r="F62">
        <v>8668</v>
      </c>
      <c r="G62">
        <v>0.47871930777261268</v>
      </c>
      <c r="H62">
        <v>0</v>
      </c>
      <c r="I62">
        <v>0</v>
      </c>
      <c r="J62">
        <v>0.42043371807038421</v>
      </c>
      <c r="K62">
        <v>0</v>
      </c>
      <c r="L62">
        <v>0</v>
      </c>
      <c r="M62">
        <v>0.29556400440992309</v>
      </c>
      <c r="N62">
        <v>0</v>
      </c>
      <c r="O62">
        <v>0</v>
      </c>
      <c r="P62">
        <v>0.22917217563428949</v>
      </c>
      <c r="Q62">
        <v>1.185118571035114</v>
      </c>
      <c r="R62">
        <v>3.74418299653026</v>
      </c>
      <c r="S62">
        <v>0.2792128731300656</v>
      </c>
      <c r="T62">
        <v>0.19509739169811779</v>
      </c>
      <c r="U62">
        <v>4.4804997157360402</v>
      </c>
      <c r="V62">
        <v>0.12846976786917319</v>
      </c>
      <c r="W62">
        <v>9.0541064171665901</v>
      </c>
      <c r="X62">
        <v>0.3180400398444877</v>
      </c>
      <c r="Z62" t="s">
        <v>392</v>
      </c>
      <c r="AA62">
        <v>9937</v>
      </c>
      <c r="AB62" t="s">
        <v>453</v>
      </c>
      <c r="AC62" t="str">
        <f>HYPERLINK("plots/20251231000436_3FT6Y121H01_04823_B11P_N_UFLEX98_M5358A8BH101511/dpll_52046/txpa_53239.png","plot")</f>
        <v>plot</v>
      </c>
    </row>
    <row r="63" spans="1:29" x14ac:dyDescent="0.35">
      <c r="A63" s="2" t="s">
        <v>46</v>
      </c>
      <c r="B63">
        <v>52046</v>
      </c>
      <c r="C63" t="s">
        <v>51</v>
      </c>
      <c r="D63">
        <v>53240</v>
      </c>
      <c r="E63" t="s">
        <v>115</v>
      </c>
      <c r="F63">
        <v>8675</v>
      </c>
      <c r="G63">
        <v>0.47762769697997448</v>
      </c>
      <c r="H63">
        <v>0</v>
      </c>
      <c r="I63">
        <v>0</v>
      </c>
      <c r="J63">
        <v>0.40409452977103999</v>
      </c>
      <c r="K63">
        <v>0</v>
      </c>
      <c r="L63">
        <v>0</v>
      </c>
      <c r="M63">
        <v>0.28303663634790138</v>
      </c>
      <c r="N63">
        <v>0</v>
      </c>
      <c r="O63">
        <v>0</v>
      </c>
      <c r="P63">
        <v>0.22812821692239429</v>
      </c>
      <c r="Q63">
        <v>1.220299342375742</v>
      </c>
      <c r="R63">
        <v>3.5814891520645409</v>
      </c>
      <c r="S63">
        <v>0.29026860310791491</v>
      </c>
      <c r="T63">
        <v>0.20599356767261079</v>
      </c>
      <c r="U63">
        <v>4.4800581983861667</v>
      </c>
      <c r="V63">
        <v>0.12932296079719729</v>
      </c>
      <c r="W63">
        <v>9.0485012253602299</v>
      </c>
      <c r="X63">
        <v>0.33040949051478541</v>
      </c>
      <c r="Z63" t="s">
        <v>392</v>
      </c>
      <c r="AA63">
        <v>9937</v>
      </c>
      <c r="AB63" t="s">
        <v>454</v>
      </c>
      <c r="AC63" t="str">
        <f>HYPERLINK("plots/20251231000436_3FT6Y121H01_04823_B11P_N_UFLEX98_M5358A8BH101511/dpll_52046/txpa_53240.png","plot")</f>
        <v>plot</v>
      </c>
    </row>
    <row r="64" spans="1:29" x14ac:dyDescent="0.35">
      <c r="A64" s="2" t="s">
        <v>46</v>
      </c>
      <c r="B64">
        <v>52046</v>
      </c>
      <c r="C64" t="s">
        <v>51</v>
      </c>
      <c r="D64">
        <v>53241</v>
      </c>
      <c r="E64" t="s">
        <v>116</v>
      </c>
      <c r="F64">
        <v>8679</v>
      </c>
      <c r="G64">
        <v>0.49423248733074848</v>
      </c>
      <c r="H64">
        <v>0</v>
      </c>
      <c r="I64">
        <v>0</v>
      </c>
      <c r="J64">
        <v>0.41672138076354209</v>
      </c>
      <c r="K64">
        <v>0</v>
      </c>
      <c r="L64">
        <v>0</v>
      </c>
      <c r="M64">
        <v>0.29273784653438228</v>
      </c>
      <c r="N64">
        <v>0</v>
      </c>
      <c r="O64">
        <v>0</v>
      </c>
      <c r="P64">
        <v>0.24426575153313851</v>
      </c>
      <c r="Q64">
        <v>1.2167413339480699</v>
      </c>
      <c r="R64">
        <v>3.6182517506973402</v>
      </c>
      <c r="S64">
        <v>0.2775160369606528</v>
      </c>
      <c r="T64">
        <v>0.1967470660477352</v>
      </c>
      <c r="U64">
        <v>4.4798488034335744</v>
      </c>
      <c r="V64">
        <v>0.12967659006923321</v>
      </c>
      <c r="W64">
        <v>9.0690689596727729</v>
      </c>
      <c r="X64">
        <v>0.3192482712636513</v>
      </c>
      <c r="Z64" t="s">
        <v>392</v>
      </c>
      <c r="AA64">
        <v>9937</v>
      </c>
      <c r="AB64" t="s">
        <v>455</v>
      </c>
      <c r="AC64" t="str">
        <f>HYPERLINK("plots/20251231000436_3FT6Y121H01_04823_B11P_N_UFLEX98_M5358A8BH101511/dpll_52046/txpa_53241.png","plot")</f>
        <v>plot</v>
      </c>
    </row>
    <row r="65" spans="1:29" x14ac:dyDescent="0.35">
      <c r="A65" s="2" t="s">
        <v>46</v>
      </c>
      <c r="B65">
        <v>52046</v>
      </c>
      <c r="C65" t="s">
        <v>51</v>
      </c>
      <c r="D65">
        <v>53242</v>
      </c>
      <c r="E65" t="s">
        <v>117</v>
      </c>
      <c r="F65">
        <v>8680</v>
      </c>
      <c r="G65">
        <v>0.47077276008639413</v>
      </c>
      <c r="H65">
        <v>0</v>
      </c>
      <c r="I65">
        <v>0</v>
      </c>
      <c r="J65">
        <v>0.38385146026174483</v>
      </c>
      <c r="K65">
        <v>9.562163141457881E-303</v>
      </c>
      <c r="L65">
        <v>1.958794631401675E-302</v>
      </c>
      <c r="M65">
        <v>0.26731873961505381</v>
      </c>
      <c r="N65">
        <v>2.5653280262959208E-305</v>
      </c>
      <c r="O65">
        <v>5.3304152021804577E-305</v>
      </c>
      <c r="P65">
        <v>0.22162699163936159</v>
      </c>
      <c r="Q65">
        <v>1.1788075134836249</v>
      </c>
      <c r="R65">
        <v>3.626896117473295</v>
      </c>
      <c r="S65">
        <v>0.28642089222094741</v>
      </c>
      <c r="T65">
        <v>0.20446932590603181</v>
      </c>
      <c r="U65">
        <v>4.4798304763824888</v>
      </c>
      <c r="V65">
        <v>0.12965947486312629</v>
      </c>
      <c r="W65">
        <v>8.9077539421658987</v>
      </c>
      <c r="X65">
        <v>0.3246652655411611</v>
      </c>
      <c r="Z65" t="s">
        <v>392</v>
      </c>
      <c r="AA65">
        <v>9937</v>
      </c>
      <c r="AB65" t="s">
        <v>456</v>
      </c>
      <c r="AC65" t="str">
        <f>HYPERLINK("plots/20251231000436_3FT6Y121H01_04823_B11P_N_UFLEX98_M5358A8BH101511/dpll_52046/txpa_53242.png","plot")</f>
        <v>plot</v>
      </c>
    </row>
    <row r="66" spans="1:29" x14ac:dyDescent="0.35">
      <c r="A66" s="2" t="s">
        <v>46</v>
      </c>
      <c r="B66">
        <v>52046</v>
      </c>
      <c r="C66" t="s">
        <v>51</v>
      </c>
      <c r="D66">
        <v>53243</v>
      </c>
      <c r="E66" t="s">
        <v>118</v>
      </c>
      <c r="F66">
        <v>8666</v>
      </c>
      <c r="G66">
        <v>0.4465826370322184</v>
      </c>
      <c r="H66">
        <v>0</v>
      </c>
      <c r="I66">
        <v>0</v>
      </c>
      <c r="J66">
        <v>0.41055097100707161</v>
      </c>
      <c r="K66">
        <v>0</v>
      </c>
      <c r="L66">
        <v>0</v>
      </c>
      <c r="M66">
        <v>0.28709958656901619</v>
      </c>
      <c r="N66">
        <v>0</v>
      </c>
      <c r="O66">
        <v>0</v>
      </c>
      <c r="P66">
        <v>0.19943605169865011</v>
      </c>
      <c r="Q66">
        <v>1.1845128289399121</v>
      </c>
      <c r="R66">
        <v>4.3490900699858379</v>
      </c>
      <c r="S66">
        <v>0.30627747654686138</v>
      </c>
      <c r="T66">
        <v>0.20955076757104399</v>
      </c>
      <c r="U66">
        <v>4.4802166243941839</v>
      </c>
      <c r="V66">
        <v>0.12906371739378891</v>
      </c>
      <c r="W66">
        <v>9.6559641380106154</v>
      </c>
      <c r="X66">
        <v>0.34232774928190712</v>
      </c>
      <c r="Z66" t="s">
        <v>392</v>
      </c>
      <c r="AA66">
        <v>9937</v>
      </c>
      <c r="AB66" t="s">
        <v>457</v>
      </c>
      <c r="AC66" t="str">
        <f>HYPERLINK("plots/20251231000436_3FT6Y121H01_04823_B11P_N_UFLEX98_M5358A8BH101511/dpll_52046/txpa_53243.png","plot")</f>
        <v>plot</v>
      </c>
    </row>
    <row r="67" spans="1:29" x14ac:dyDescent="0.35">
      <c r="A67" s="2" t="s">
        <v>46</v>
      </c>
      <c r="B67">
        <v>52046</v>
      </c>
      <c r="C67" t="s">
        <v>51</v>
      </c>
      <c r="D67">
        <v>53244</v>
      </c>
      <c r="E67" t="s">
        <v>119</v>
      </c>
      <c r="F67">
        <v>8653</v>
      </c>
      <c r="G67">
        <v>0.41940354121392909</v>
      </c>
      <c r="H67">
        <v>0</v>
      </c>
      <c r="I67">
        <v>0</v>
      </c>
      <c r="J67">
        <v>0.37907423788437561</v>
      </c>
      <c r="K67">
        <v>8.5874503197466849E-294</v>
      </c>
      <c r="L67">
        <v>1.6974024608622101E-293</v>
      </c>
      <c r="M67">
        <v>0.26353533963394432</v>
      </c>
      <c r="N67">
        <v>7.0114556375384059E-296</v>
      </c>
      <c r="O67">
        <v>1.410638098504751E-295</v>
      </c>
      <c r="P67">
        <v>0.17589933038278391</v>
      </c>
      <c r="Q67">
        <v>1.1795666262162181</v>
      </c>
      <c r="R67">
        <v>4.5802264985452732</v>
      </c>
      <c r="S67">
        <v>0.32476444904199192</v>
      </c>
      <c r="T67">
        <v>0.2292103938407215</v>
      </c>
      <c r="U67">
        <v>4.4812696641627179</v>
      </c>
      <c r="V67">
        <v>0.12720760086541991</v>
      </c>
      <c r="W67">
        <v>9.8661826374667747</v>
      </c>
      <c r="X67">
        <v>0.35776960811436109</v>
      </c>
      <c r="Z67" t="s">
        <v>392</v>
      </c>
      <c r="AA67">
        <v>9937</v>
      </c>
      <c r="AB67" t="s">
        <v>458</v>
      </c>
      <c r="AC67" t="str">
        <f>HYPERLINK("plots/20251231000436_3FT6Y121H01_04823_B11P_N_UFLEX98_M5358A8BH101511/dpll_52046/txpa_53244.png","plot")</f>
        <v>plot</v>
      </c>
    </row>
    <row r="68" spans="1:29" x14ac:dyDescent="0.35">
      <c r="A68" s="2" t="s">
        <v>46</v>
      </c>
      <c r="B68">
        <v>52046</v>
      </c>
      <c r="C68" t="s">
        <v>51</v>
      </c>
      <c r="D68">
        <v>53245</v>
      </c>
      <c r="E68" t="s">
        <v>120</v>
      </c>
      <c r="F68">
        <v>8659</v>
      </c>
      <c r="G68">
        <v>0.46159403811784427</v>
      </c>
      <c r="H68">
        <v>0</v>
      </c>
      <c r="I68">
        <v>0</v>
      </c>
      <c r="J68">
        <v>0.43150342711852158</v>
      </c>
      <c r="K68">
        <v>0</v>
      </c>
      <c r="L68">
        <v>0</v>
      </c>
      <c r="M68">
        <v>0.30495756426164011</v>
      </c>
      <c r="N68">
        <v>0</v>
      </c>
      <c r="O68">
        <v>0</v>
      </c>
      <c r="P68">
        <v>0.2130690560259379</v>
      </c>
      <c r="Q68">
        <v>1.236193995842783</v>
      </c>
      <c r="R68">
        <v>4.1881558589504344</v>
      </c>
      <c r="S68">
        <v>0.30404742015401509</v>
      </c>
      <c r="T68">
        <v>0.2073356186844755</v>
      </c>
      <c r="U68">
        <v>4.4807891465527199</v>
      </c>
      <c r="V68">
        <v>0.1279887068926838</v>
      </c>
      <c r="W68">
        <v>9.7272804985564161</v>
      </c>
      <c r="X68">
        <v>0.34276627930801962</v>
      </c>
      <c r="Z68" t="s">
        <v>392</v>
      </c>
      <c r="AA68">
        <v>9937</v>
      </c>
      <c r="AB68" t="s">
        <v>459</v>
      </c>
      <c r="AC68" t="str">
        <f>HYPERLINK("plots/20251231000436_3FT6Y121H01_04823_B11P_N_UFLEX98_M5358A8BH101511/dpll_52046/txpa_53245.png","plot")</f>
        <v>plot</v>
      </c>
    </row>
    <row r="69" spans="1:29" x14ac:dyDescent="0.35">
      <c r="A69" s="2" t="s">
        <v>46</v>
      </c>
      <c r="B69">
        <v>52046</v>
      </c>
      <c r="C69" t="s">
        <v>51</v>
      </c>
      <c r="D69">
        <v>53246</v>
      </c>
      <c r="E69" t="s">
        <v>121</v>
      </c>
      <c r="F69">
        <v>8648</v>
      </c>
      <c r="G69">
        <v>0.43689467465184723</v>
      </c>
      <c r="H69">
        <v>0</v>
      </c>
      <c r="I69">
        <v>0</v>
      </c>
      <c r="J69">
        <v>0.39579660720420279</v>
      </c>
      <c r="K69">
        <v>0</v>
      </c>
      <c r="L69">
        <v>0</v>
      </c>
      <c r="M69">
        <v>0.27698636888527639</v>
      </c>
      <c r="N69">
        <v>0</v>
      </c>
      <c r="O69">
        <v>0</v>
      </c>
      <c r="P69">
        <v>0.1908769567391434</v>
      </c>
      <c r="Q69">
        <v>1.1911646798004021</v>
      </c>
      <c r="R69">
        <v>4.5043087827495789</v>
      </c>
      <c r="S69">
        <v>0.31125424198782331</v>
      </c>
      <c r="T69">
        <v>0.21898895635788571</v>
      </c>
      <c r="U69">
        <v>4.4814871130897318</v>
      </c>
      <c r="V69">
        <v>0.12692233372597661</v>
      </c>
      <c r="W69">
        <v>9.842497944842739</v>
      </c>
      <c r="X69">
        <v>0.34604541960301838</v>
      </c>
      <c r="Z69" t="s">
        <v>392</v>
      </c>
      <c r="AA69">
        <v>9937</v>
      </c>
      <c r="AB69" t="s">
        <v>460</v>
      </c>
      <c r="AC69" t="str">
        <f>HYPERLINK("plots/20251231000436_3FT6Y121H01_04823_B11P_N_UFLEX98_M5358A8BH101511/dpll_52046/txpa_53246.png","plot")</f>
        <v>plot</v>
      </c>
    </row>
    <row r="70" spans="1:29" x14ac:dyDescent="0.35">
      <c r="A70" s="2" t="s">
        <v>46</v>
      </c>
      <c r="B70">
        <v>52046</v>
      </c>
      <c r="C70" t="s">
        <v>51</v>
      </c>
      <c r="D70">
        <v>53247</v>
      </c>
      <c r="E70" t="s">
        <v>122</v>
      </c>
      <c r="F70">
        <v>8651</v>
      </c>
      <c r="G70">
        <v>0.4671030152277042</v>
      </c>
      <c r="H70">
        <v>0</v>
      </c>
      <c r="I70">
        <v>0</v>
      </c>
      <c r="J70">
        <v>0.42905351657567159</v>
      </c>
      <c r="K70">
        <v>0</v>
      </c>
      <c r="L70">
        <v>0</v>
      </c>
      <c r="M70">
        <v>0.30318792312902088</v>
      </c>
      <c r="N70">
        <v>0</v>
      </c>
      <c r="O70">
        <v>0</v>
      </c>
      <c r="P70">
        <v>0.2181852268348129</v>
      </c>
      <c r="Q70">
        <v>1.2365467107168131</v>
      </c>
      <c r="R70">
        <v>4.3183232834971728</v>
      </c>
      <c r="S70">
        <v>0.29773876193974569</v>
      </c>
      <c r="T70">
        <v>0.20458415033032171</v>
      </c>
      <c r="U70">
        <v>4.4812777484683846</v>
      </c>
      <c r="V70">
        <v>0.12720690563156181</v>
      </c>
      <c r="W70">
        <v>9.8596325431742002</v>
      </c>
      <c r="X70">
        <v>0.33675072866419492</v>
      </c>
      <c r="Z70" t="s">
        <v>392</v>
      </c>
      <c r="AA70">
        <v>9937</v>
      </c>
      <c r="AB70" t="s">
        <v>461</v>
      </c>
      <c r="AC70" t="str">
        <f>HYPERLINK("plots/20251231000436_3FT6Y121H01_04823_B11P_N_UFLEX98_M5358A8BH101511/dpll_52046/txpa_53247.png","plot")</f>
        <v>plot</v>
      </c>
    </row>
    <row r="71" spans="1:29" x14ac:dyDescent="0.35">
      <c r="A71" s="2" t="s">
        <v>46</v>
      </c>
      <c r="B71">
        <v>52046</v>
      </c>
      <c r="C71" t="s">
        <v>51</v>
      </c>
      <c r="D71">
        <v>53248</v>
      </c>
      <c r="E71" t="s">
        <v>123</v>
      </c>
      <c r="F71">
        <v>8654</v>
      </c>
      <c r="G71">
        <v>0.46091417365892517</v>
      </c>
      <c r="H71">
        <v>0</v>
      </c>
      <c r="I71">
        <v>0</v>
      </c>
      <c r="J71">
        <v>0.41820487276300661</v>
      </c>
      <c r="K71">
        <v>0</v>
      </c>
      <c r="L71">
        <v>0</v>
      </c>
      <c r="M71">
        <v>0.29499088146327512</v>
      </c>
      <c r="N71">
        <v>0</v>
      </c>
      <c r="O71">
        <v>0</v>
      </c>
      <c r="P71">
        <v>0.2124418754796899</v>
      </c>
      <c r="Q71">
        <v>1.2357343343799221</v>
      </c>
      <c r="R71">
        <v>4.3109148657239542</v>
      </c>
      <c r="S71">
        <v>0.30305971678724702</v>
      </c>
      <c r="T71">
        <v>0.2112523671699133</v>
      </c>
      <c r="U71">
        <v>4.4811903045990293</v>
      </c>
      <c r="V71">
        <v>0.12738167297969649</v>
      </c>
      <c r="W71">
        <v>9.8484755840073959</v>
      </c>
      <c r="X71">
        <v>0.34151674187448389</v>
      </c>
      <c r="Z71" t="s">
        <v>392</v>
      </c>
      <c r="AA71">
        <v>9937</v>
      </c>
      <c r="AB71" t="s">
        <v>462</v>
      </c>
      <c r="AC71" t="str">
        <f>HYPERLINK("plots/20251231000436_3FT6Y121H01_04823_B11P_N_UFLEX98_M5358A8BH101511/dpll_52046/txpa_53248.png","plot")</f>
        <v>plot</v>
      </c>
    </row>
    <row r="72" spans="1:29" x14ac:dyDescent="0.35">
      <c r="A72" s="2" t="s">
        <v>46</v>
      </c>
      <c r="B72">
        <v>52046</v>
      </c>
      <c r="C72" t="s">
        <v>51</v>
      </c>
      <c r="D72">
        <v>53249</v>
      </c>
      <c r="E72" t="s">
        <v>124</v>
      </c>
      <c r="F72">
        <v>8669</v>
      </c>
      <c r="G72">
        <v>0.48742728424156517</v>
      </c>
      <c r="H72">
        <v>0</v>
      </c>
      <c r="I72">
        <v>0</v>
      </c>
      <c r="J72">
        <v>0.428236402791358</v>
      </c>
      <c r="K72">
        <v>0</v>
      </c>
      <c r="L72">
        <v>0</v>
      </c>
      <c r="M72">
        <v>0.3024830117002193</v>
      </c>
      <c r="N72">
        <v>0</v>
      </c>
      <c r="O72">
        <v>0</v>
      </c>
      <c r="P72">
        <v>0.2375853574231076</v>
      </c>
      <c r="Q72">
        <v>1.2887490401833479</v>
      </c>
      <c r="R72">
        <v>4.0938350269354338</v>
      </c>
      <c r="S72">
        <v>0.29734589739602818</v>
      </c>
      <c r="T72">
        <v>0.20672259814017671</v>
      </c>
      <c r="U72">
        <v>4.4803728758795716</v>
      </c>
      <c r="V72">
        <v>0.1288050431277955</v>
      </c>
      <c r="W72">
        <v>9.8679112703887402</v>
      </c>
      <c r="X72">
        <v>0.34055823518376199</v>
      </c>
      <c r="Z72" t="s">
        <v>392</v>
      </c>
      <c r="AA72">
        <v>9937</v>
      </c>
      <c r="AB72" t="s">
        <v>463</v>
      </c>
      <c r="AC72" t="str">
        <f>HYPERLINK("plots/20251231000436_3FT6Y121H01_04823_B11P_N_UFLEX98_M5358A8BH101511/dpll_52046/txpa_53249.png","plot")</f>
        <v>plot</v>
      </c>
    </row>
    <row r="73" spans="1:29" x14ac:dyDescent="0.35">
      <c r="A73" s="2" t="s">
        <v>46</v>
      </c>
      <c r="B73">
        <v>52046</v>
      </c>
      <c r="C73" t="s">
        <v>51</v>
      </c>
      <c r="D73">
        <v>53250</v>
      </c>
      <c r="E73" t="s">
        <v>125</v>
      </c>
      <c r="F73">
        <v>8671</v>
      </c>
      <c r="G73">
        <v>0.46677341730709909</v>
      </c>
      <c r="H73">
        <v>0</v>
      </c>
      <c r="I73">
        <v>0</v>
      </c>
      <c r="J73">
        <v>0.39573112742472039</v>
      </c>
      <c r="K73">
        <v>0</v>
      </c>
      <c r="L73">
        <v>0</v>
      </c>
      <c r="M73">
        <v>0.27691077644438938</v>
      </c>
      <c r="N73">
        <v>0</v>
      </c>
      <c r="O73">
        <v>0</v>
      </c>
      <c r="P73">
        <v>0.2178774231045473</v>
      </c>
      <c r="Q73">
        <v>1.2315658985564839</v>
      </c>
      <c r="R73">
        <v>4.2244237999741392</v>
      </c>
      <c r="S73">
        <v>0.30090161057423748</v>
      </c>
      <c r="T73">
        <v>0.21203196771621091</v>
      </c>
      <c r="U73">
        <v>4.4802737415523008</v>
      </c>
      <c r="V73">
        <v>0.12896165724826739</v>
      </c>
      <c r="W73">
        <v>9.7421761562680196</v>
      </c>
      <c r="X73">
        <v>0.34026097759504992</v>
      </c>
      <c r="Z73" t="s">
        <v>392</v>
      </c>
      <c r="AA73">
        <v>9937</v>
      </c>
      <c r="AB73" t="s">
        <v>464</v>
      </c>
      <c r="AC73" t="str">
        <f>HYPERLINK("plots/20251231000436_3FT6Y121H01_04823_B11P_N_UFLEX98_M5358A8BH101511/dpll_52046/txpa_53250.png","plot")</f>
        <v>plot</v>
      </c>
    </row>
    <row r="74" spans="1:29" x14ac:dyDescent="0.35">
      <c r="A74" s="2" t="s">
        <v>46</v>
      </c>
      <c r="B74">
        <v>52046</v>
      </c>
      <c r="C74" t="s">
        <v>51</v>
      </c>
      <c r="D74">
        <v>53251</v>
      </c>
      <c r="E74" t="s">
        <v>126</v>
      </c>
      <c r="F74">
        <v>8642</v>
      </c>
      <c r="G74">
        <v>0.42906816006604342</v>
      </c>
      <c r="H74">
        <v>0</v>
      </c>
      <c r="I74">
        <v>0</v>
      </c>
      <c r="J74">
        <v>0.42138514466393079</v>
      </c>
      <c r="K74">
        <v>0</v>
      </c>
      <c r="L74">
        <v>0</v>
      </c>
      <c r="M74">
        <v>0.29681296364270188</v>
      </c>
      <c r="N74">
        <v>0</v>
      </c>
      <c r="O74">
        <v>0</v>
      </c>
      <c r="P74">
        <v>0.1840994859824599</v>
      </c>
      <c r="Q74">
        <v>1.213160150141654</v>
      </c>
      <c r="R74">
        <v>5.0186395158445416</v>
      </c>
      <c r="S74">
        <v>0.32466859672876758</v>
      </c>
      <c r="T74">
        <v>0.21878022649796569</v>
      </c>
      <c r="U74">
        <v>4.4813952302707696</v>
      </c>
      <c r="V74">
        <v>0.12713202386827399</v>
      </c>
      <c r="W74">
        <v>10.455289626243919</v>
      </c>
      <c r="X74">
        <v>0.35945688708318002</v>
      </c>
      <c r="Z74" t="s">
        <v>392</v>
      </c>
      <c r="AA74">
        <v>9937</v>
      </c>
      <c r="AB74" t="s">
        <v>465</v>
      </c>
      <c r="AC74" t="str">
        <f>HYPERLINK("plots/20251231000436_3FT6Y121H01_04823_B11P_N_UFLEX98_M5358A8BH101511/dpll_52046/txpa_53251.png","plot")</f>
        <v>plot</v>
      </c>
    </row>
    <row r="75" spans="1:29" x14ac:dyDescent="0.35">
      <c r="A75" s="2" t="s">
        <v>46</v>
      </c>
      <c r="B75">
        <v>52046</v>
      </c>
      <c r="C75" t="s">
        <v>51</v>
      </c>
      <c r="D75">
        <v>53252</v>
      </c>
      <c r="E75" t="s">
        <v>127</v>
      </c>
      <c r="F75">
        <v>8641</v>
      </c>
      <c r="G75">
        <v>0.42244179863551651</v>
      </c>
      <c r="H75">
        <v>0</v>
      </c>
      <c r="I75">
        <v>0</v>
      </c>
      <c r="J75">
        <v>0.41193263176286271</v>
      </c>
      <c r="K75">
        <v>0</v>
      </c>
      <c r="L75">
        <v>0</v>
      </c>
      <c r="M75">
        <v>0.29042673117171453</v>
      </c>
      <c r="N75">
        <v>0</v>
      </c>
      <c r="O75">
        <v>0</v>
      </c>
      <c r="P75">
        <v>0.17845707323441021</v>
      </c>
      <c r="Q75">
        <v>1.2484755561534009</v>
      </c>
      <c r="R75">
        <v>5.026479913333902</v>
      </c>
      <c r="S75">
        <v>0.33818347250680703</v>
      </c>
      <c r="T75">
        <v>0.2317916739152463</v>
      </c>
      <c r="U75">
        <v>4.4818709691007976</v>
      </c>
      <c r="V75">
        <v>0.12625518407767039</v>
      </c>
      <c r="W75">
        <v>10.6219862640898</v>
      </c>
      <c r="X75">
        <v>0.37313190046002082</v>
      </c>
      <c r="Z75" t="s">
        <v>392</v>
      </c>
      <c r="AA75">
        <v>9937</v>
      </c>
      <c r="AB75" t="s">
        <v>466</v>
      </c>
      <c r="AC75" t="str">
        <f>HYPERLINK("plots/20251231000436_3FT6Y121H01_04823_B11P_N_UFLEX98_M5358A8BH101511/dpll_52046/txpa_53252.png","plot")</f>
        <v>plot</v>
      </c>
    </row>
    <row r="76" spans="1:29" x14ac:dyDescent="0.35">
      <c r="A76" s="2" t="s">
        <v>46</v>
      </c>
      <c r="B76">
        <v>52046</v>
      </c>
      <c r="C76" t="s">
        <v>51</v>
      </c>
      <c r="D76">
        <v>53253</v>
      </c>
      <c r="E76" t="s">
        <v>128</v>
      </c>
      <c r="F76">
        <v>8629</v>
      </c>
      <c r="G76">
        <v>0.4372686662402071</v>
      </c>
      <c r="H76">
        <v>0</v>
      </c>
      <c r="I76">
        <v>0</v>
      </c>
      <c r="J76">
        <v>0.44001636648192283</v>
      </c>
      <c r="K76">
        <v>0</v>
      </c>
      <c r="L76">
        <v>0</v>
      </c>
      <c r="M76">
        <v>0.31319234865871842</v>
      </c>
      <c r="N76">
        <v>0</v>
      </c>
      <c r="O76">
        <v>0</v>
      </c>
      <c r="P76">
        <v>0.19120388647548961</v>
      </c>
      <c r="Q76">
        <v>1.256165200846298</v>
      </c>
      <c r="R76">
        <v>4.8609615156574302</v>
      </c>
      <c r="S76">
        <v>0.32440331711981019</v>
      </c>
      <c r="T76">
        <v>0.21713773568975059</v>
      </c>
      <c r="U76">
        <v>4.4822586678641789</v>
      </c>
      <c r="V76">
        <v>0.1255719170552311</v>
      </c>
      <c r="W76">
        <v>10.49141887542009</v>
      </c>
      <c r="X76">
        <v>0.36073719565738882</v>
      </c>
      <c r="Z76" t="s">
        <v>392</v>
      </c>
      <c r="AA76">
        <v>9937</v>
      </c>
      <c r="AB76" t="s">
        <v>467</v>
      </c>
      <c r="AC76" t="str">
        <f>HYPERLINK("plots/20251231000436_3FT6Y121H01_04823_B11P_N_UFLEX98_M5358A8BH101511/dpll_52046/txpa_53253.png","plot")</f>
        <v>plot</v>
      </c>
    </row>
    <row r="77" spans="1:29" x14ac:dyDescent="0.35">
      <c r="A77" s="2" t="s">
        <v>46</v>
      </c>
      <c r="B77">
        <v>52046</v>
      </c>
      <c r="C77" t="s">
        <v>51</v>
      </c>
      <c r="D77">
        <v>53254</v>
      </c>
      <c r="E77" t="s">
        <v>129</v>
      </c>
      <c r="F77">
        <v>8634</v>
      </c>
      <c r="G77">
        <v>0.43435003658798599</v>
      </c>
      <c r="H77">
        <v>0</v>
      </c>
      <c r="I77">
        <v>0</v>
      </c>
      <c r="J77">
        <v>0.42058474149261071</v>
      </c>
      <c r="K77">
        <v>0</v>
      </c>
      <c r="L77">
        <v>0</v>
      </c>
      <c r="M77">
        <v>0.29755077707139599</v>
      </c>
      <c r="N77">
        <v>0</v>
      </c>
      <c r="O77">
        <v>0</v>
      </c>
      <c r="P77">
        <v>0.1886599542839848</v>
      </c>
      <c r="Q77">
        <v>1.2634621591397881</v>
      </c>
      <c r="R77">
        <v>4.9354844204145971</v>
      </c>
      <c r="S77">
        <v>0.32948794987254071</v>
      </c>
      <c r="T77">
        <v>0.22623578946803291</v>
      </c>
      <c r="U77">
        <v>4.4821985843178132</v>
      </c>
      <c r="V77">
        <v>0.1257595152986335</v>
      </c>
      <c r="W77">
        <v>10.598572721450079</v>
      </c>
      <c r="X77">
        <v>0.36581645066673768</v>
      </c>
      <c r="Z77" t="s">
        <v>392</v>
      </c>
      <c r="AA77">
        <v>9937</v>
      </c>
      <c r="AB77" t="s">
        <v>468</v>
      </c>
      <c r="AC77" t="str">
        <f>HYPERLINK("plots/20251231000436_3FT6Y121H01_04823_B11P_N_UFLEX98_M5358A8BH101511/dpll_52046/txpa_53254.png","plot")</f>
        <v>plot</v>
      </c>
    </row>
    <row r="78" spans="1:29" x14ac:dyDescent="0.35">
      <c r="A78" s="2" t="s">
        <v>46</v>
      </c>
      <c r="B78">
        <v>52046</v>
      </c>
      <c r="C78" t="s">
        <v>51</v>
      </c>
      <c r="D78">
        <v>53255</v>
      </c>
      <c r="E78" t="s">
        <v>130</v>
      </c>
      <c r="F78">
        <v>8626</v>
      </c>
      <c r="G78">
        <v>0.44519593571324428</v>
      </c>
      <c r="H78">
        <v>0</v>
      </c>
      <c r="I78">
        <v>0</v>
      </c>
      <c r="J78">
        <v>0.43675007465442489</v>
      </c>
      <c r="K78">
        <v>0</v>
      </c>
      <c r="L78">
        <v>0</v>
      </c>
      <c r="M78">
        <v>0.31056845245052139</v>
      </c>
      <c r="N78">
        <v>0</v>
      </c>
      <c r="O78">
        <v>0</v>
      </c>
      <c r="P78">
        <v>0.19819942117559119</v>
      </c>
      <c r="Q78">
        <v>1.2673118669122601</v>
      </c>
      <c r="R78">
        <v>4.9326161622511044</v>
      </c>
      <c r="S78">
        <v>0.31917588330114521</v>
      </c>
      <c r="T78">
        <v>0.21544392851191019</v>
      </c>
      <c r="U78">
        <v>4.4825238418734061</v>
      </c>
      <c r="V78">
        <v>0.12522462811419649</v>
      </c>
      <c r="W78">
        <v>10.6133718207744</v>
      </c>
      <c r="X78">
        <v>0.35646924086255682</v>
      </c>
      <c r="Z78" t="s">
        <v>392</v>
      </c>
      <c r="AA78">
        <v>9937</v>
      </c>
      <c r="AB78" t="s">
        <v>469</v>
      </c>
      <c r="AC78" t="str">
        <f>HYPERLINK("plots/20251231000436_3FT6Y121H01_04823_B11P_N_UFLEX98_M5358A8BH101511/dpll_52046/txpa_53255.png","plot")</f>
        <v>plot</v>
      </c>
    </row>
    <row r="79" spans="1:29" x14ac:dyDescent="0.35">
      <c r="A79" s="2" t="s">
        <v>46</v>
      </c>
      <c r="B79">
        <v>52046</v>
      </c>
      <c r="C79" t="s">
        <v>51</v>
      </c>
      <c r="D79">
        <v>53256</v>
      </c>
      <c r="E79" t="s">
        <v>131</v>
      </c>
      <c r="F79">
        <v>8649</v>
      </c>
      <c r="G79">
        <v>0.46280475868239068</v>
      </c>
      <c r="H79">
        <v>0</v>
      </c>
      <c r="I79">
        <v>0</v>
      </c>
      <c r="J79">
        <v>0.43573065666777938</v>
      </c>
      <c r="K79">
        <v>0</v>
      </c>
      <c r="L79">
        <v>0</v>
      </c>
      <c r="M79">
        <v>0.3104435579726193</v>
      </c>
      <c r="N79">
        <v>0</v>
      </c>
      <c r="O79">
        <v>0</v>
      </c>
      <c r="P79">
        <v>0.21418824465906591</v>
      </c>
      <c r="Q79">
        <v>1.336619141130315</v>
      </c>
      <c r="R79">
        <v>4.6003073553499458</v>
      </c>
      <c r="S79">
        <v>0.32504493242425547</v>
      </c>
      <c r="T79">
        <v>0.2221890282619241</v>
      </c>
      <c r="U79">
        <v>4.4814469539831192</v>
      </c>
      <c r="V79">
        <v>0.12696949336934829</v>
      </c>
      <c r="W79">
        <v>10.590295134003931</v>
      </c>
      <c r="X79">
        <v>0.36669859588361847</v>
      </c>
      <c r="Z79" t="s">
        <v>392</v>
      </c>
      <c r="AA79">
        <v>9937</v>
      </c>
      <c r="AB79" t="s">
        <v>470</v>
      </c>
      <c r="AC79" t="str">
        <f>HYPERLINK("plots/20251231000436_3FT6Y121H01_04823_B11P_N_UFLEX98_M5358A8BH101511/dpll_52046/txpa_53256.png","plot")</f>
        <v>plot</v>
      </c>
    </row>
    <row r="80" spans="1:29" x14ac:dyDescent="0.35">
      <c r="A80" s="2" t="s">
        <v>46</v>
      </c>
      <c r="B80">
        <v>52046</v>
      </c>
      <c r="C80" t="s">
        <v>51</v>
      </c>
      <c r="D80">
        <v>53257</v>
      </c>
      <c r="E80" t="s">
        <v>132</v>
      </c>
      <c r="F80">
        <v>8646</v>
      </c>
      <c r="G80">
        <v>0.46666186579403401</v>
      </c>
      <c r="H80">
        <v>0</v>
      </c>
      <c r="I80">
        <v>0</v>
      </c>
      <c r="J80">
        <v>0.43791311216598111</v>
      </c>
      <c r="K80">
        <v>0</v>
      </c>
      <c r="L80">
        <v>0</v>
      </c>
      <c r="M80">
        <v>0.31130594673199752</v>
      </c>
      <c r="N80">
        <v>0</v>
      </c>
      <c r="O80">
        <v>0</v>
      </c>
      <c r="P80">
        <v>0.21777329698636899</v>
      </c>
      <c r="Q80">
        <v>1.3297388802326431</v>
      </c>
      <c r="R80">
        <v>4.656691555816443</v>
      </c>
      <c r="S80">
        <v>0.31934872883302978</v>
      </c>
      <c r="T80">
        <v>0.2178306905500019</v>
      </c>
      <c r="U80">
        <v>4.4816001524404347</v>
      </c>
      <c r="V80">
        <v>0.1267243101329221</v>
      </c>
      <c r="W80">
        <v>10.616049524173031</v>
      </c>
      <c r="X80">
        <v>0.36109709107617499</v>
      </c>
      <c r="Z80" t="s">
        <v>392</v>
      </c>
      <c r="AA80">
        <v>9937</v>
      </c>
      <c r="AB80" t="s">
        <v>471</v>
      </c>
      <c r="AC80" t="str">
        <f>HYPERLINK("plots/20251231000436_3FT6Y121H01_04823_B11P_N_UFLEX98_M5358A8BH101511/dpll_52046/txpa_53257.png","plot")</f>
        <v>plot</v>
      </c>
    </row>
    <row r="81" spans="1:29" x14ac:dyDescent="0.35">
      <c r="A81" s="2" t="s">
        <v>46</v>
      </c>
      <c r="B81">
        <v>52046</v>
      </c>
      <c r="C81" t="s">
        <v>51</v>
      </c>
      <c r="D81">
        <v>53258</v>
      </c>
      <c r="E81" t="s">
        <v>133</v>
      </c>
      <c r="F81">
        <v>8662</v>
      </c>
      <c r="G81">
        <v>0.46317106615696368</v>
      </c>
      <c r="H81">
        <v>0</v>
      </c>
      <c r="I81">
        <v>0</v>
      </c>
      <c r="J81">
        <v>0.412440969357174</v>
      </c>
      <c r="K81">
        <v>0</v>
      </c>
      <c r="L81">
        <v>0</v>
      </c>
      <c r="M81">
        <v>0.29071303053490422</v>
      </c>
      <c r="N81">
        <v>0</v>
      </c>
      <c r="O81">
        <v>0</v>
      </c>
      <c r="P81">
        <v>0.21452743652497849</v>
      </c>
      <c r="Q81">
        <v>1.303914635526465</v>
      </c>
      <c r="R81">
        <v>4.6924680229360201</v>
      </c>
      <c r="S81">
        <v>0.31969102896601481</v>
      </c>
      <c r="T81">
        <v>0.22173374712065</v>
      </c>
      <c r="U81">
        <v>4.4807597223504958</v>
      </c>
      <c r="V81">
        <v>0.12813927769112229</v>
      </c>
      <c r="W81">
        <v>10.53499620318633</v>
      </c>
      <c r="X81">
        <v>0.36073643579156922</v>
      </c>
      <c r="Z81" t="s">
        <v>392</v>
      </c>
      <c r="AA81">
        <v>9937</v>
      </c>
      <c r="AB81" t="s">
        <v>472</v>
      </c>
      <c r="AC81" t="str">
        <f>HYPERLINK("plots/20251231000436_3FT6Y121H01_04823_B11P_N_UFLEX98_M5358A8BH101511/dpll_52046/txpa_53258.png","plot")</f>
        <v>plot</v>
      </c>
    </row>
    <row r="82" spans="1:29" x14ac:dyDescent="0.35">
      <c r="A82" s="2" t="s">
        <v>46</v>
      </c>
      <c r="B82">
        <v>52046</v>
      </c>
      <c r="C82" t="s">
        <v>51</v>
      </c>
      <c r="D82">
        <v>53259</v>
      </c>
      <c r="E82" t="s">
        <v>134</v>
      </c>
      <c r="F82">
        <v>8632</v>
      </c>
      <c r="G82">
        <v>0.42283473479129319</v>
      </c>
      <c r="H82">
        <v>0</v>
      </c>
      <c r="I82">
        <v>0</v>
      </c>
      <c r="J82">
        <v>0.42790809571794453</v>
      </c>
      <c r="K82">
        <v>0</v>
      </c>
      <c r="L82">
        <v>0</v>
      </c>
      <c r="M82">
        <v>0.3027578537012115</v>
      </c>
      <c r="N82">
        <v>0</v>
      </c>
      <c r="O82">
        <v>0</v>
      </c>
      <c r="P82">
        <v>0.17878921294602329</v>
      </c>
      <c r="Q82">
        <v>1.2411549378623949</v>
      </c>
      <c r="R82">
        <v>5.2496495263973726</v>
      </c>
      <c r="S82">
        <v>0.3360934797096623</v>
      </c>
      <c r="T82">
        <v>0.22476867553107149</v>
      </c>
      <c r="U82">
        <v>4.4818818222891563</v>
      </c>
      <c r="V82">
        <v>0.12635795215220569</v>
      </c>
      <c r="W82">
        <v>10.81235928104727</v>
      </c>
      <c r="X82">
        <v>0.37090092971973992</v>
      </c>
      <c r="Z82" t="s">
        <v>392</v>
      </c>
      <c r="AA82">
        <v>9937</v>
      </c>
      <c r="AB82" t="s">
        <v>473</v>
      </c>
      <c r="AC82" t="str">
        <f>HYPERLINK("plots/20251231000436_3FT6Y121H01_04823_B11P_N_UFLEX98_M5358A8BH101511/dpll_52046/txpa_53259.png","plot")</f>
        <v>plot</v>
      </c>
    </row>
    <row r="83" spans="1:29" x14ac:dyDescent="0.35">
      <c r="A83" s="2" t="s">
        <v>46</v>
      </c>
      <c r="B83">
        <v>52046</v>
      </c>
      <c r="C83" t="s">
        <v>51</v>
      </c>
      <c r="D83">
        <v>53260</v>
      </c>
      <c r="E83" t="s">
        <v>135</v>
      </c>
      <c r="F83">
        <v>8639</v>
      </c>
      <c r="G83">
        <v>0.42811079132817542</v>
      </c>
      <c r="H83">
        <v>0</v>
      </c>
      <c r="I83">
        <v>0</v>
      </c>
      <c r="J83">
        <v>0.42702719635977548</v>
      </c>
      <c r="K83">
        <v>0</v>
      </c>
      <c r="L83">
        <v>0</v>
      </c>
      <c r="M83">
        <v>0.30345152624154498</v>
      </c>
      <c r="N83">
        <v>0</v>
      </c>
      <c r="O83">
        <v>0</v>
      </c>
      <c r="P83">
        <v>0.18327884965163649</v>
      </c>
      <c r="Q83">
        <v>1.308694327214313</v>
      </c>
      <c r="R83">
        <v>5.0861184702261264</v>
      </c>
      <c r="S83">
        <v>0.34833293938708559</v>
      </c>
      <c r="T83">
        <v>0.23537799630610681</v>
      </c>
      <c r="U83">
        <v>4.4819717397846972</v>
      </c>
      <c r="V83">
        <v>0.1260958332194326</v>
      </c>
      <c r="W83">
        <v>10.951649460817221</v>
      </c>
      <c r="X83">
        <v>0.38546307395726032</v>
      </c>
      <c r="Z83" t="s">
        <v>392</v>
      </c>
      <c r="AA83">
        <v>9937</v>
      </c>
      <c r="AB83" t="s">
        <v>474</v>
      </c>
      <c r="AC83" t="str">
        <f>HYPERLINK("plots/20251231000436_3FT6Y121H01_04823_B11P_N_UFLEX98_M5358A8BH101511/dpll_52046/txpa_53260.png","plot")</f>
        <v>plot</v>
      </c>
    </row>
    <row r="84" spans="1:29" x14ac:dyDescent="0.35">
      <c r="A84" s="2" t="s">
        <v>46</v>
      </c>
      <c r="B84">
        <v>52046</v>
      </c>
      <c r="C84" t="s">
        <v>51</v>
      </c>
      <c r="D84">
        <v>53261</v>
      </c>
      <c r="E84" t="s">
        <v>136</v>
      </c>
      <c r="F84">
        <v>8620</v>
      </c>
      <c r="G84">
        <v>0.43319600952265519</v>
      </c>
      <c r="H84">
        <v>0</v>
      </c>
      <c r="I84">
        <v>0</v>
      </c>
      <c r="J84">
        <v>0.44507029997378089</v>
      </c>
      <c r="K84">
        <v>0</v>
      </c>
      <c r="L84">
        <v>0</v>
      </c>
      <c r="M84">
        <v>0.3180855278088241</v>
      </c>
      <c r="N84">
        <v>0</v>
      </c>
      <c r="O84">
        <v>0</v>
      </c>
      <c r="P84">
        <v>0.18765878266635239</v>
      </c>
      <c r="Q84">
        <v>1.2960873369057939</v>
      </c>
      <c r="R84">
        <v>5.0180216784869689</v>
      </c>
      <c r="S84">
        <v>0.33712361653475059</v>
      </c>
      <c r="T84">
        <v>0.22396384704067321</v>
      </c>
      <c r="U84">
        <v>4.482622956148492</v>
      </c>
      <c r="V84">
        <v>0.1250245514124278</v>
      </c>
      <c r="W84">
        <v>10.82789252807425</v>
      </c>
      <c r="X84">
        <v>0.37406332081990379</v>
      </c>
      <c r="Z84" t="s">
        <v>392</v>
      </c>
      <c r="AA84">
        <v>9937</v>
      </c>
      <c r="AB84" t="s">
        <v>475</v>
      </c>
      <c r="AC84" t="str">
        <f>HYPERLINK("plots/20251231000436_3FT6Y121H01_04823_B11P_N_UFLEX98_M5358A8BH101511/dpll_52046/txpa_53261.png","plot")</f>
        <v>plot</v>
      </c>
    </row>
    <row r="85" spans="1:29" x14ac:dyDescent="0.35">
      <c r="A85" s="2" t="s">
        <v>46</v>
      </c>
      <c r="B85">
        <v>52046</v>
      </c>
      <c r="C85" t="s">
        <v>51</v>
      </c>
      <c r="D85">
        <v>53262</v>
      </c>
      <c r="E85" t="s">
        <v>137</v>
      </c>
      <c r="F85">
        <v>8631</v>
      </c>
      <c r="G85">
        <v>0.43729251674986752</v>
      </c>
      <c r="H85">
        <v>0</v>
      </c>
      <c r="I85">
        <v>0</v>
      </c>
      <c r="J85">
        <v>0.4322661534231782</v>
      </c>
      <c r="K85">
        <v>0</v>
      </c>
      <c r="L85">
        <v>0</v>
      </c>
      <c r="M85">
        <v>0.3075944866134166</v>
      </c>
      <c r="N85">
        <v>0</v>
      </c>
      <c r="O85">
        <v>0</v>
      </c>
      <c r="P85">
        <v>0.1912247452054332</v>
      </c>
      <c r="Q85">
        <v>1.324336174878801</v>
      </c>
      <c r="R85">
        <v>4.9918700759636012</v>
      </c>
      <c r="S85">
        <v>0.34175512441347872</v>
      </c>
      <c r="T85">
        <v>0.2318613864745824</v>
      </c>
      <c r="U85">
        <v>4.4823587222801526</v>
      </c>
      <c r="V85">
        <v>0.1254873856327294</v>
      </c>
      <c r="W85">
        <v>10.928019880662729</v>
      </c>
      <c r="X85">
        <v>0.38003733866648692</v>
      </c>
      <c r="Z85" t="s">
        <v>392</v>
      </c>
      <c r="AA85">
        <v>9937</v>
      </c>
      <c r="AB85" t="s">
        <v>476</v>
      </c>
      <c r="AC85" t="str">
        <f>HYPERLINK("plots/20251231000436_3FT6Y121H01_04823_B11P_N_UFLEX98_M5358A8BH101511/dpll_52046/txpa_53262.png","plot")</f>
        <v>plot</v>
      </c>
    </row>
    <row r="86" spans="1:29" x14ac:dyDescent="0.35">
      <c r="A86" s="2" t="s">
        <v>46</v>
      </c>
      <c r="B86">
        <v>52046</v>
      </c>
      <c r="C86" t="s">
        <v>51</v>
      </c>
      <c r="D86">
        <v>53263</v>
      </c>
      <c r="E86" t="s">
        <v>138</v>
      </c>
      <c r="F86">
        <v>8620</v>
      </c>
      <c r="G86">
        <v>0.44087299651077061</v>
      </c>
      <c r="H86">
        <v>0</v>
      </c>
      <c r="I86">
        <v>0</v>
      </c>
      <c r="J86">
        <v>0.44153474322114128</v>
      </c>
      <c r="K86">
        <v>0</v>
      </c>
      <c r="L86">
        <v>0</v>
      </c>
      <c r="M86">
        <v>0.31520477249746509</v>
      </c>
      <c r="N86">
        <v>0</v>
      </c>
      <c r="O86">
        <v>0</v>
      </c>
      <c r="P86">
        <v>0.19436899905238589</v>
      </c>
      <c r="Q86">
        <v>1.311738539252846</v>
      </c>
      <c r="R86">
        <v>5.0621946463573266</v>
      </c>
      <c r="S86">
        <v>0.33305194799451049</v>
      </c>
      <c r="T86">
        <v>0.22294239951081921</v>
      </c>
      <c r="U86">
        <v>4.4828300126450111</v>
      </c>
      <c r="V86">
        <v>0.1247197715089452</v>
      </c>
      <c r="W86">
        <v>10.94249553886311</v>
      </c>
      <c r="X86">
        <v>0.3710813140969853</v>
      </c>
      <c r="Z86" t="s">
        <v>392</v>
      </c>
      <c r="AA86">
        <v>9937</v>
      </c>
      <c r="AB86" t="s">
        <v>477</v>
      </c>
      <c r="AC86" t="str">
        <f>HYPERLINK("plots/20251231000436_3FT6Y121H01_04823_B11P_N_UFLEX98_M5358A8BH101511/dpll_52046/txpa_53263.png","plot")</f>
        <v>plot</v>
      </c>
    </row>
    <row r="87" spans="1:29" x14ac:dyDescent="0.35">
      <c r="A87" s="2" t="s">
        <v>46</v>
      </c>
      <c r="B87">
        <v>52046</v>
      </c>
      <c r="C87" t="s">
        <v>51</v>
      </c>
      <c r="D87">
        <v>53264</v>
      </c>
      <c r="E87" t="s">
        <v>139</v>
      </c>
      <c r="F87">
        <v>8645</v>
      </c>
      <c r="G87">
        <v>0.46217399541654092</v>
      </c>
      <c r="H87">
        <v>0</v>
      </c>
      <c r="I87">
        <v>0</v>
      </c>
      <c r="J87">
        <v>0.44290720628819608</v>
      </c>
      <c r="K87">
        <v>0</v>
      </c>
      <c r="L87">
        <v>0</v>
      </c>
      <c r="M87">
        <v>0.31702600021862248</v>
      </c>
      <c r="N87">
        <v>0</v>
      </c>
      <c r="O87">
        <v>0</v>
      </c>
      <c r="P87">
        <v>0.2136048020392888</v>
      </c>
      <c r="Q87">
        <v>1.389755782902877</v>
      </c>
      <c r="R87">
        <v>4.685368146418404</v>
      </c>
      <c r="S87">
        <v>0.33762228044124343</v>
      </c>
      <c r="T87">
        <v>0.2289255985453468</v>
      </c>
      <c r="U87">
        <v>4.4816571230769231</v>
      </c>
      <c r="V87">
        <v>0.12662014551241091</v>
      </c>
      <c r="W87">
        <v>10.91377705020243</v>
      </c>
      <c r="X87">
        <v>0.38074638816335921</v>
      </c>
      <c r="Z87" t="s">
        <v>392</v>
      </c>
      <c r="AA87">
        <v>9937</v>
      </c>
      <c r="AB87" t="s">
        <v>478</v>
      </c>
      <c r="AC87" t="str">
        <f>HYPERLINK("plots/20251231000436_3FT6Y121H01_04823_B11P_N_UFLEX98_M5358A8BH101511/dpll_52046/txpa_53264.png","plot")</f>
        <v>plot</v>
      </c>
    </row>
    <row r="88" spans="1:29" x14ac:dyDescent="0.35">
      <c r="A88" s="2" t="s">
        <v>46</v>
      </c>
      <c r="B88">
        <v>52046</v>
      </c>
      <c r="C88" t="s">
        <v>51</v>
      </c>
      <c r="D88">
        <v>53265</v>
      </c>
      <c r="E88" t="s">
        <v>140</v>
      </c>
      <c r="F88">
        <v>8640</v>
      </c>
      <c r="G88">
        <v>0.4626149183471151</v>
      </c>
      <c r="H88">
        <v>0</v>
      </c>
      <c r="I88">
        <v>0</v>
      </c>
      <c r="J88">
        <v>0.44286783922176282</v>
      </c>
      <c r="K88">
        <v>0</v>
      </c>
      <c r="L88">
        <v>0</v>
      </c>
      <c r="M88">
        <v>0.31595408443844758</v>
      </c>
      <c r="N88">
        <v>0</v>
      </c>
      <c r="O88">
        <v>0</v>
      </c>
      <c r="P88">
        <v>0.214012562677308</v>
      </c>
      <c r="Q88">
        <v>1.3761337090644039</v>
      </c>
      <c r="R88">
        <v>4.7744220561270616</v>
      </c>
      <c r="S88">
        <v>0.33299004616530392</v>
      </c>
      <c r="T88">
        <v>0.22519422831081409</v>
      </c>
      <c r="U88">
        <v>4.4818939099537038</v>
      </c>
      <c r="V88">
        <v>0.12627215259421309</v>
      </c>
      <c r="W88">
        <v>10.942107346064811</v>
      </c>
      <c r="X88">
        <v>0.37561989207325458</v>
      </c>
      <c r="Z88" t="s">
        <v>392</v>
      </c>
      <c r="AA88">
        <v>9937</v>
      </c>
      <c r="AB88" t="s">
        <v>479</v>
      </c>
      <c r="AC88" t="str">
        <f>HYPERLINK("plots/20251231000436_3FT6Y121H01_04823_B11P_N_UFLEX98_M5358A8BH101511/dpll_52046/txpa_53265.png","plot")</f>
        <v>plot</v>
      </c>
    </row>
    <row r="89" spans="1:29" x14ac:dyDescent="0.35">
      <c r="A89" s="2" t="s">
        <v>46</v>
      </c>
      <c r="B89">
        <v>52046</v>
      </c>
      <c r="C89" t="s">
        <v>51</v>
      </c>
      <c r="D89">
        <v>53266</v>
      </c>
      <c r="E89" t="s">
        <v>141</v>
      </c>
      <c r="F89">
        <v>8652</v>
      </c>
      <c r="G89">
        <v>0.45591970991576752</v>
      </c>
      <c r="H89">
        <v>0</v>
      </c>
      <c r="I89">
        <v>0</v>
      </c>
      <c r="J89">
        <v>0.42059132518638348</v>
      </c>
      <c r="K89">
        <v>0</v>
      </c>
      <c r="L89">
        <v>0</v>
      </c>
      <c r="M89">
        <v>0.29763191141201523</v>
      </c>
      <c r="N89">
        <v>0</v>
      </c>
      <c r="O89">
        <v>0</v>
      </c>
      <c r="P89">
        <v>0.20786278188967761</v>
      </c>
      <c r="Q89">
        <v>1.3258755310797921</v>
      </c>
      <c r="R89">
        <v>4.9466181261635089</v>
      </c>
      <c r="S89">
        <v>0.32926309708770268</v>
      </c>
      <c r="T89">
        <v>0.22659518593143929</v>
      </c>
      <c r="U89">
        <v>4.4812963066343041</v>
      </c>
      <c r="V89">
        <v>0.1272194637637363</v>
      </c>
      <c r="W89">
        <v>10.888259246648181</v>
      </c>
      <c r="X89">
        <v>0.3699712261016172</v>
      </c>
      <c r="Z89" t="s">
        <v>392</v>
      </c>
      <c r="AA89">
        <v>9937</v>
      </c>
      <c r="AB89" t="s">
        <v>480</v>
      </c>
      <c r="AC89" t="str">
        <f>HYPERLINK("plots/20251231000436_3FT6Y121H01_04823_B11P_N_UFLEX98_M5358A8BH101511/dpll_52046/txpa_53266.png","plot")</f>
        <v>plot</v>
      </c>
    </row>
    <row r="90" spans="1:29" x14ac:dyDescent="0.35">
      <c r="A90" s="2" t="s">
        <v>46</v>
      </c>
      <c r="B90">
        <v>52046</v>
      </c>
      <c r="C90" t="s">
        <v>51</v>
      </c>
      <c r="D90">
        <v>53267</v>
      </c>
      <c r="E90" t="s">
        <v>142</v>
      </c>
      <c r="F90">
        <v>8630</v>
      </c>
      <c r="G90">
        <v>0.4252637018224284</v>
      </c>
      <c r="H90">
        <v>0</v>
      </c>
      <c r="I90">
        <v>0</v>
      </c>
      <c r="J90">
        <v>0.43589830311174332</v>
      </c>
      <c r="K90">
        <v>0</v>
      </c>
      <c r="L90">
        <v>0</v>
      </c>
      <c r="M90">
        <v>0.31003206217909479</v>
      </c>
      <c r="N90">
        <v>0</v>
      </c>
      <c r="O90">
        <v>0</v>
      </c>
      <c r="P90">
        <v>0.18084921608771529</v>
      </c>
      <c r="Q90">
        <v>1.300504078450438</v>
      </c>
      <c r="R90">
        <v>5.3018971723804356</v>
      </c>
      <c r="S90">
        <v>0.34924646561874401</v>
      </c>
      <c r="T90">
        <v>0.2317758083789313</v>
      </c>
      <c r="U90">
        <v>4.4819846169177282</v>
      </c>
      <c r="V90">
        <v>0.12618910330883101</v>
      </c>
      <c r="W90">
        <v>11.130736446234071</v>
      </c>
      <c r="X90">
        <v>0.3859004255615105</v>
      </c>
      <c r="Z90" t="s">
        <v>392</v>
      </c>
      <c r="AA90">
        <v>9937</v>
      </c>
      <c r="AB90" t="s">
        <v>481</v>
      </c>
      <c r="AC90" t="str">
        <f>HYPERLINK("plots/20251231000436_3FT6Y121H01_04823_B11P_N_UFLEX98_M5358A8BH101511/dpll_52046/txpa_53267.png","plot")</f>
        <v>plot</v>
      </c>
    </row>
    <row r="91" spans="1:29" x14ac:dyDescent="0.35">
      <c r="A91" s="2" t="s">
        <v>46</v>
      </c>
      <c r="B91">
        <v>52046</v>
      </c>
      <c r="C91" t="s">
        <v>51</v>
      </c>
      <c r="D91">
        <v>53268</v>
      </c>
      <c r="E91" t="s">
        <v>143</v>
      </c>
      <c r="F91">
        <v>8632</v>
      </c>
      <c r="G91">
        <v>0.43006444303081942</v>
      </c>
      <c r="H91">
        <v>0</v>
      </c>
      <c r="I91">
        <v>0</v>
      </c>
      <c r="J91">
        <v>0.43893270959242731</v>
      </c>
      <c r="K91">
        <v>0</v>
      </c>
      <c r="L91">
        <v>0</v>
      </c>
      <c r="M91">
        <v>0.31393530555985172</v>
      </c>
      <c r="N91">
        <v>0</v>
      </c>
      <c r="O91">
        <v>0</v>
      </c>
      <c r="P91">
        <v>0.18495542515940891</v>
      </c>
      <c r="Q91">
        <v>1.353826061756698</v>
      </c>
      <c r="R91">
        <v>5.1757590596758227</v>
      </c>
      <c r="S91">
        <v>0.35686257826351431</v>
      </c>
      <c r="T91">
        <v>0.23852989967778551</v>
      </c>
      <c r="U91">
        <v>4.4822749672150133</v>
      </c>
      <c r="V91">
        <v>0.12557585766963969</v>
      </c>
      <c r="W91">
        <v>11.24397972625116</v>
      </c>
      <c r="X91">
        <v>0.39530789302761499</v>
      </c>
      <c r="Z91" t="s">
        <v>392</v>
      </c>
      <c r="AA91">
        <v>9937</v>
      </c>
      <c r="AB91" t="s">
        <v>482</v>
      </c>
      <c r="AC91" t="str">
        <f>HYPERLINK("plots/20251231000436_3FT6Y121H01_04823_B11P_N_UFLEX98_M5358A8BH101511/dpll_52046/txpa_53268.png","plot")</f>
        <v>plot</v>
      </c>
    </row>
    <row r="92" spans="1:29" x14ac:dyDescent="0.35">
      <c r="A92" s="2" t="s">
        <v>46</v>
      </c>
      <c r="B92">
        <v>52046</v>
      </c>
      <c r="C92" t="s">
        <v>51</v>
      </c>
      <c r="D92">
        <v>53269</v>
      </c>
      <c r="E92" t="s">
        <v>144</v>
      </c>
      <c r="F92">
        <v>8614</v>
      </c>
      <c r="G92">
        <v>0.43192190557598509</v>
      </c>
      <c r="H92">
        <v>0</v>
      </c>
      <c r="I92">
        <v>0</v>
      </c>
      <c r="J92">
        <v>0.44955945796916719</v>
      </c>
      <c r="K92">
        <v>0</v>
      </c>
      <c r="L92">
        <v>0</v>
      </c>
      <c r="M92">
        <v>0.32241665676429282</v>
      </c>
      <c r="N92">
        <v>0</v>
      </c>
      <c r="O92">
        <v>0</v>
      </c>
      <c r="P92">
        <v>0.18655653251639021</v>
      </c>
      <c r="Q92">
        <v>1.3456470126278091</v>
      </c>
      <c r="R92">
        <v>5.094373908587567</v>
      </c>
      <c r="S92">
        <v>0.35016584417604962</v>
      </c>
      <c r="T92">
        <v>0.23127291721497389</v>
      </c>
      <c r="U92">
        <v>4.48286752623636</v>
      </c>
      <c r="V92">
        <v>0.1246262086014614</v>
      </c>
      <c r="W92">
        <v>11.12673120327374</v>
      </c>
      <c r="X92">
        <v>0.38827131278754701</v>
      </c>
      <c r="Z92" t="s">
        <v>392</v>
      </c>
      <c r="AA92">
        <v>9937</v>
      </c>
      <c r="AB92" t="s">
        <v>483</v>
      </c>
      <c r="AC92" t="str">
        <f>HYPERLINK("plots/20251231000436_3FT6Y121H01_04823_B11P_N_UFLEX98_M5358A8BH101511/dpll_52046/txpa_53269.png","plot")</f>
        <v>plot</v>
      </c>
    </row>
    <row r="93" spans="1:29" x14ac:dyDescent="0.35">
      <c r="A93" s="2" t="s">
        <v>46</v>
      </c>
      <c r="B93">
        <v>52046</v>
      </c>
      <c r="C93" t="s">
        <v>51</v>
      </c>
      <c r="D93">
        <v>53270</v>
      </c>
      <c r="E93" t="s">
        <v>145</v>
      </c>
      <c r="F93">
        <v>8623</v>
      </c>
      <c r="G93">
        <v>0.43611336566318493</v>
      </c>
      <c r="H93">
        <v>0</v>
      </c>
      <c r="I93">
        <v>0</v>
      </c>
      <c r="J93">
        <v>0.44086430987413638</v>
      </c>
      <c r="K93">
        <v>0</v>
      </c>
      <c r="L93">
        <v>0</v>
      </c>
      <c r="M93">
        <v>0.3152930568612855</v>
      </c>
      <c r="N93">
        <v>0</v>
      </c>
      <c r="O93">
        <v>0</v>
      </c>
      <c r="P93">
        <v>0.19019486771007091</v>
      </c>
      <c r="Q93">
        <v>1.364986233016531</v>
      </c>
      <c r="R93">
        <v>5.1007900614140587</v>
      </c>
      <c r="S93">
        <v>0.35190039940571849</v>
      </c>
      <c r="T93">
        <v>0.23663262701354659</v>
      </c>
      <c r="U93">
        <v>4.4827288094630644</v>
      </c>
      <c r="V93">
        <v>0.1249469924122564</v>
      </c>
      <c r="W93">
        <v>11.21965317267772</v>
      </c>
      <c r="X93">
        <v>0.39107016186077947</v>
      </c>
      <c r="Z93" t="s">
        <v>392</v>
      </c>
      <c r="AA93">
        <v>9937</v>
      </c>
      <c r="AB93" t="s">
        <v>484</v>
      </c>
      <c r="AC93" t="str">
        <f>HYPERLINK("plots/20251231000436_3FT6Y121H01_04823_B11P_N_UFLEX98_M5358A8BH101511/dpll_52046/txpa_53270.png","plot")</f>
        <v>plot</v>
      </c>
    </row>
    <row r="94" spans="1:29" x14ac:dyDescent="0.35">
      <c r="A94" s="2" t="s">
        <v>46</v>
      </c>
      <c r="B94">
        <v>52046</v>
      </c>
      <c r="C94" t="s">
        <v>51</v>
      </c>
      <c r="D94">
        <v>53271</v>
      </c>
      <c r="E94" t="s">
        <v>146</v>
      </c>
      <c r="F94">
        <v>8618</v>
      </c>
      <c r="G94">
        <v>0.44203103622108442</v>
      </c>
      <c r="H94">
        <v>0</v>
      </c>
      <c r="I94">
        <v>0</v>
      </c>
      <c r="J94">
        <v>0.44664471264974609</v>
      </c>
      <c r="K94">
        <v>0</v>
      </c>
      <c r="L94">
        <v>0</v>
      </c>
      <c r="M94">
        <v>0.32007122195759702</v>
      </c>
      <c r="N94">
        <v>0</v>
      </c>
      <c r="O94">
        <v>0</v>
      </c>
      <c r="P94">
        <v>0.19539143698268571</v>
      </c>
      <c r="Q94">
        <v>1.3721194466437661</v>
      </c>
      <c r="R94">
        <v>5.0820878804129901</v>
      </c>
      <c r="S94">
        <v>0.34686709423673501</v>
      </c>
      <c r="T94">
        <v>0.23062934849888159</v>
      </c>
      <c r="U94">
        <v>4.482923429449988</v>
      </c>
      <c r="V94">
        <v>0.1245824362531858</v>
      </c>
      <c r="W94">
        <v>11.233194295776279</v>
      </c>
      <c r="X94">
        <v>0.38671941444345992</v>
      </c>
      <c r="Z94" t="s">
        <v>392</v>
      </c>
      <c r="AA94">
        <v>9937</v>
      </c>
      <c r="AB94" t="s">
        <v>485</v>
      </c>
      <c r="AC94" t="str">
        <f>HYPERLINK("plots/20251231000436_3FT6Y121H01_04823_B11P_N_UFLEX98_M5358A8BH101511/dpll_52046/txpa_53271.png","plot")</f>
        <v>plot</v>
      </c>
    </row>
    <row r="95" spans="1:29" x14ac:dyDescent="0.35">
      <c r="A95" s="2" t="s">
        <v>46</v>
      </c>
      <c r="B95">
        <v>52046</v>
      </c>
      <c r="C95" t="s">
        <v>51</v>
      </c>
      <c r="D95">
        <v>53272</v>
      </c>
      <c r="E95" t="s">
        <v>147</v>
      </c>
      <c r="F95">
        <v>8646</v>
      </c>
      <c r="G95">
        <v>0.46669813102683427</v>
      </c>
      <c r="H95">
        <v>0</v>
      </c>
      <c r="I95">
        <v>0</v>
      </c>
      <c r="J95">
        <v>0.44976973355288508</v>
      </c>
      <c r="K95">
        <v>0</v>
      </c>
      <c r="L95">
        <v>0</v>
      </c>
      <c r="M95">
        <v>0.32341720511554012</v>
      </c>
      <c r="N95">
        <v>0</v>
      </c>
      <c r="O95">
        <v>0</v>
      </c>
      <c r="P95">
        <v>0.2178071455039402</v>
      </c>
      <c r="Q95">
        <v>1.463438699870484</v>
      </c>
      <c r="R95">
        <v>4.6403421909529428</v>
      </c>
      <c r="S95">
        <v>0.35121782874733282</v>
      </c>
      <c r="T95">
        <v>0.23657652019657111</v>
      </c>
      <c r="U95">
        <v>4.481621013185288</v>
      </c>
      <c r="V95">
        <v>0.1266503150727164</v>
      </c>
      <c r="W95">
        <v>11.198919819801061</v>
      </c>
      <c r="X95">
        <v>0.39714102137157758</v>
      </c>
      <c r="Z95" t="s">
        <v>392</v>
      </c>
      <c r="AA95">
        <v>9937</v>
      </c>
      <c r="AB95" t="s">
        <v>486</v>
      </c>
      <c r="AC95" t="str">
        <f>HYPERLINK("plots/20251231000436_3FT6Y121H01_04823_B11P_N_UFLEX98_M5358A8BH101511/dpll_52046/txpa_53272.png","plot")</f>
        <v>plot</v>
      </c>
    </row>
    <row r="96" spans="1:29" x14ac:dyDescent="0.35">
      <c r="A96" s="2" t="s">
        <v>46</v>
      </c>
      <c r="B96">
        <v>52046</v>
      </c>
      <c r="C96" t="s">
        <v>51</v>
      </c>
      <c r="D96">
        <v>53273</v>
      </c>
      <c r="E96" t="s">
        <v>148</v>
      </c>
      <c r="F96">
        <v>8639</v>
      </c>
      <c r="G96">
        <v>0.46424795447202472</v>
      </c>
      <c r="H96">
        <v>0</v>
      </c>
      <c r="I96">
        <v>0</v>
      </c>
      <c r="J96">
        <v>0.44787617765759757</v>
      </c>
      <c r="K96">
        <v>0</v>
      </c>
      <c r="L96">
        <v>0</v>
      </c>
      <c r="M96">
        <v>0.32064226106460031</v>
      </c>
      <c r="N96">
        <v>0</v>
      </c>
      <c r="O96">
        <v>0</v>
      </c>
      <c r="P96">
        <v>0.21552616323145909</v>
      </c>
      <c r="Q96">
        <v>1.4412242932554471</v>
      </c>
      <c r="R96">
        <v>4.7706932519777414</v>
      </c>
      <c r="S96">
        <v>0.34707582310872648</v>
      </c>
      <c r="T96">
        <v>0.23300872775190301</v>
      </c>
      <c r="U96">
        <v>4.4819300840375043</v>
      </c>
      <c r="V96">
        <v>0.12623468259422091</v>
      </c>
      <c r="W96">
        <v>11.23015976976502</v>
      </c>
      <c r="X96">
        <v>0.39188646811182598</v>
      </c>
      <c r="Z96" t="s">
        <v>392</v>
      </c>
      <c r="AA96">
        <v>9937</v>
      </c>
      <c r="AB96" t="s">
        <v>487</v>
      </c>
      <c r="AC96" t="str">
        <f>HYPERLINK("plots/20251231000436_3FT6Y121H01_04823_B11P_N_UFLEX98_M5358A8BH101511/dpll_52046/txpa_53273.png","plot")</f>
        <v>plot</v>
      </c>
    </row>
    <row r="97" spans="1:29" x14ac:dyDescent="0.35">
      <c r="A97" s="2" t="s">
        <v>46</v>
      </c>
      <c r="B97">
        <v>52046</v>
      </c>
      <c r="C97" t="s">
        <v>51</v>
      </c>
      <c r="D97">
        <v>53274</v>
      </c>
      <c r="E97" t="s">
        <v>149</v>
      </c>
      <c r="F97">
        <v>8648</v>
      </c>
      <c r="G97">
        <v>0.45672221256051521</v>
      </c>
      <c r="H97">
        <v>0</v>
      </c>
      <c r="I97">
        <v>0</v>
      </c>
      <c r="J97">
        <v>0.42976862132984472</v>
      </c>
      <c r="K97">
        <v>0</v>
      </c>
      <c r="L97">
        <v>0</v>
      </c>
      <c r="M97">
        <v>0.30551015127151671</v>
      </c>
      <c r="N97">
        <v>0</v>
      </c>
      <c r="O97">
        <v>0</v>
      </c>
      <c r="P97">
        <v>0.2085951794461724</v>
      </c>
      <c r="Q97">
        <v>1.375664814845551</v>
      </c>
      <c r="R97">
        <v>5.0378311714817068</v>
      </c>
      <c r="S97">
        <v>0.34003019411584801</v>
      </c>
      <c r="T97">
        <v>0.23217275871872431</v>
      </c>
      <c r="U97">
        <v>4.4814951984273828</v>
      </c>
      <c r="V97">
        <v>0.12690617458798259</v>
      </c>
      <c r="W97">
        <v>11.20286643385754</v>
      </c>
      <c r="X97">
        <v>0.38224626340940759</v>
      </c>
      <c r="Z97" t="s">
        <v>392</v>
      </c>
      <c r="AA97">
        <v>9937</v>
      </c>
      <c r="AB97" t="s">
        <v>488</v>
      </c>
      <c r="AC97" t="str">
        <f>HYPERLINK("plots/20251231000436_3FT6Y121H01_04823_B11P_N_UFLEX98_M5358A8BH101511/dpll_52046/txpa_53274.png","plot")</f>
        <v>plot</v>
      </c>
    </row>
    <row r="98" spans="1:29" x14ac:dyDescent="0.35">
      <c r="A98" s="2" t="s">
        <v>46</v>
      </c>
      <c r="B98">
        <v>52046</v>
      </c>
      <c r="C98" t="s">
        <v>51</v>
      </c>
      <c r="D98">
        <v>53275</v>
      </c>
      <c r="E98" t="s">
        <v>150</v>
      </c>
      <c r="F98">
        <v>8620</v>
      </c>
      <c r="G98">
        <v>0.43380748280151771</v>
      </c>
      <c r="H98">
        <v>0</v>
      </c>
      <c r="I98">
        <v>0</v>
      </c>
      <c r="J98">
        <v>0.45631226195462821</v>
      </c>
      <c r="K98">
        <v>0</v>
      </c>
      <c r="L98">
        <v>0</v>
      </c>
      <c r="M98">
        <v>0.32889280817591948</v>
      </c>
      <c r="N98">
        <v>0</v>
      </c>
      <c r="O98">
        <v>0</v>
      </c>
      <c r="P98">
        <v>0.18818893213458901</v>
      </c>
      <c r="Q98">
        <v>1.4749552260442511</v>
      </c>
      <c r="R98">
        <v>5.3558780674729993</v>
      </c>
      <c r="S98">
        <v>0.38398482084850127</v>
      </c>
      <c r="T98">
        <v>0.25093801059914361</v>
      </c>
      <c r="U98">
        <v>4.4824977975638038</v>
      </c>
      <c r="V98">
        <v>0.12535162469910921</v>
      </c>
      <c r="W98">
        <v>11.967361619721579</v>
      </c>
      <c r="X98">
        <v>0.42619835128035699</v>
      </c>
      <c r="Z98" t="s">
        <v>392</v>
      </c>
      <c r="AA98">
        <v>9937</v>
      </c>
      <c r="AB98" t="s">
        <v>489</v>
      </c>
      <c r="AC98" t="str">
        <f>HYPERLINK("plots/20251231000436_3FT6Y121H01_04823_B11P_N_UFLEX98_M5358A8BH101511/dpll_52046/txpa_53275.png","plot")</f>
        <v>plot</v>
      </c>
    </row>
    <row r="99" spans="1:29" x14ac:dyDescent="0.35">
      <c r="A99" s="2" t="s">
        <v>46</v>
      </c>
      <c r="B99">
        <v>52046</v>
      </c>
      <c r="C99" t="s">
        <v>51</v>
      </c>
      <c r="D99">
        <v>53276</v>
      </c>
      <c r="E99" t="s">
        <v>151</v>
      </c>
      <c r="F99">
        <v>8642</v>
      </c>
      <c r="G99">
        <v>0.46111014831444069</v>
      </c>
      <c r="H99">
        <v>0</v>
      </c>
      <c r="I99">
        <v>0</v>
      </c>
      <c r="J99">
        <v>0.46155898631644399</v>
      </c>
      <c r="K99">
        <v>0</v>
      </c>
      <c r="L99">
        <v>0</v>
      </c>
      <c r="M99">
        <v>0.33412020164663142</v>
      </c>
      <c r="N99">
        <v>0</v>
      </c>
      <c r="O99">
        <v>0</v>
      </c>
      <c r="P99">
        <v>0.21262256887856551</v>
      </c>
      <c r="Q99">
        <v>1.612081744340943</v>
      </c>
      <c r="R99">
        <v>4.7539997024352907</v>
      </c>
      <c r="S99">
        <v>0.39229390729006369</v>
      </c>
      <c r="T99">
        <v>0.25915924952388503</v>
      </c>
      <c r="U99">
        <v>4.4817521100439706</v>
      </c>
      <c r="V99">
        <v>0.1264628109815947</v>
      </c>
      <c r="W99">
        <v>11.97895046169868</v>
      </c>
      <c r="X99">
        <v>0.44212514009222381</v>
      </c>
      <c r="Z99" t="s">
        <v>392</v>
      </c>
      <c r="AA99">
        <v>9937</v>
      </c>
      <c r="AB99" t="s">
        <v>490</v>
      </c>
      <c r="AC99" t="str">
        <f>HYPERLINK("plots/20251231000436_3FT6Y121H01_04823_B11P_N_UFLEX98_M5358A8BH101511/dpll_52046/txpa_53276.png","plot")</f>
        <v>plot</v>
      </c>
    </row>
    <row r="100" spans="1:29" x14ac:dyDescent="0.35">
      <c r="A100" s="2" t="s">
        <v>46</v>
      </c>
      <c r="B100">
        <v>52046</v>
      </c>
      <c r="C100" t="s">
        <v>51</v>
      </c>
      <c r="D100">
        <v>53277</v>
      </c>
      <c r="E100" t="s">
        <v>152</v>
      </c>
      <c r="F100">
        <v>8621</v>
      </c>
      <c r="G100">
        <v>0.4453545374013359</v>
      </c>
      <c r="H100">
        <v>0</v>
      </c>
      <c r="I100">
        <v>0</v>
      </c>
      <c r="J100">
        <v>0.46006951139616531</v>
      </c>
      <c r="K100">
        <v>0</v>
      </c>
      <c r="L100">
        <v>0</v>
      </c>
      <c r="M100">
        <v>0.33284574031347558</v>
      </c>
      <c r="N100">
        <v>0</v>
      </c>
      <c r="O100">
        <v>0</v>
      </c>
      <c r="P100">
        <v>0.19834066398395789</v>
      </c>
      <c r="Q100">
        <v>1.5683821514983789</v>
      </c>
      <c r="R100">
        <v>4.8581637123090138</v>
      </c>
      <c r="S100">
        <v>0.39370938215934698</v>
      </c>
      <c r="T100">
        <v>0.25747932394583067</v>
      </c>
      <c r="U100">
        <v>4.4827231485906509</v>
      </c>
      <c r="V100">
        <v>0.12487054770490261</v>
      </c>
      <c r="W100">
        <v>11.88878668866721</v>
      </c>
      <c r="X100">
        <v>0.43975018063352223</v>
      </c>
      <c r="Z100" t="s">
        <v>392</v>
      </c>
      <c r="AA100">
        <v>9937</v>
      </c>
      <c r="AB100" t="s">
        <v>491</v>
      </c>
      <c r="AC100" t="str">
        <f>HYPERLINK("plots/20251231000436_3FT6Y121H01_04823_B11P_N_UFLEX98_M5358A8BH101511/dpll_52046/txpa_53277.png","plot")</f>
        <v>plot</v>
      </c>
    </row>
    <row r="101" spans="1:29" x14ac:dyDescent="0.35">
      <c r="A101" s="2" t="s">
        <v>46</v>
      </c>
      <c r="B101">
        <v>52046</v>
      </c>
      <c r="C101" t="s">
        <v>51</v>
      </c>
      <c r="D101">
        <v>53278</v>
      </c>
      <c r="E101" t="s">
        <v>153</v>
      </c>
      <c r="F101">
        <v>8627</v>
      </c>
      <c r="G101">
        <v>0.45874104008203892</v>
      </c>
      <c r="H101">
        <v>0</v>
      </c>
      <c r="I101">
        <v>0</v>
      </c>
      <c r="J101">
        <v>0.46038765862847703</v>
      </c>
      <c r="K101">
        <v>0</v>
      </c>
      <c r="L101">
        <v>0</v>
      </c>
      <c r="M101">
        <v>0.33288651770058758</v>
      </c>
      <c r="N101">
        <v>0</v>
      </c>
      <c r="O101">
        <v>0</v>
      </c>
      <c r="P101">
        <v>0.2104433418555508</v>
      </c>
      <c r="Q101">
        <v>1.601433879507741</v>
      </c>
      <c r="R101">
        <v>4.7716861844982272</v>
      </c>
      <c r="S101">
        <v>0.38823743767136581</v>
      </c>
      <c r="T101">
        <v>0.25766135887167768</v>
      </c>
      <c r="U101">
        <v>4.4825607270198207</v>
      </c>
      <c r="V101">
        <v>0.12516690594522031</v>
      </c>
      <c r="W101">
        <v>11.95021079969862</v>
      </c>
      <c r="X101">
        <v>0.43694918540095679</v>
      </c>
      <c r="Z101" t="s">
        <v>392</v>
      </c>
      <c r="AA101">
        <v>9937</v>
      </c>
      <c r="AB101" t="s">
        <v>492</v>
      </c>
      <c r="AC101" t="str">
        <f>HYPERLINK("plots/20251231000436_3FT6Y121H01_04823_B11P_N_UFLEX98_M5358A8BH101511/dpll_52046/txpa_53278.png","plot")</f>
        <v>plot</v>
      </c>
    </row>
    <row r="102" spans="1:29" x14ac:dyDescent="0.35">
      <c r="A102" s="2" t="s">
        <v>46</v>
      </c>
      <c r="B102">
        <v>52046</v>
      </c>
      <c r="C102" t="s">
        <v>51</v>
      </c>
      <c r="D102">
        <v>53279</v>
      </c>
      <c r="E102" t="s">
        <v>154</v>
      </c>
      <c r="F102">
        <v>8624</v>
      </c>
      <c r="G102">
        <v>0.45814909025479772</v>
      </c>
      <c r="H102">
        <v>0</v>
      </c>
      <c r="I102">
        <v>0</v>
      </c>
      <c r="J102">
        <v>0.46069652462906568</v>
      </c>
      <c r="K102">
        <v>0</v>
      </c>
      <c r="L102">
        <v>0</v>
      </c>
      <c r="M102">
        <v>0.3334085940839594</v>
      </c>
      <c r="N102">
        <v>0</v>
      </c>
      <c r="O102">
        <v>0</v>
      </c>
      <c r="P102">
        <v>0.20990058890129881</v>
      </c>
      <c r="Q102">
        <v>1.589982791720719</v>
      </c>
      <c r="R102">
        <v>4.8466045552393444</v>
      </c>
      <c r="S102">
        <v>0.3853093829463336</v>
      </c>
      <c r="T102">
        <v>0.2533024448884868</v>
      </c>
      <c r="U102">
        <v>4.4827149889842293</v>
      </c>
      <c r="V102">
        <v>0.124913190548075</v>
      </c>
      <c r="W102">
        <v>11.974044247912801</v>
      </c>
      <c r="X102">
        <v>0.43350478622562427</v>
      </c>
      <c r="Z102" t="s">
        <v>392</v>
      </c>
      <c r="AA102">
        <v>9937</v>
      </c>
      <c r="AB102" t="s">
        <v>493</v>
      </c>
      <c r="AC102" t="str">
        <f>HYPERLINK("plots/20251231000436_3FT6Y121H01_04823_B11P_N_UFLEX98_M5358A8BH101511/dpll_52046/txpa_53279.png","plot")</f>
        <v>plot</v>
      </c>
    </row>
    <row r="103" spans="1:29" x14ac:dyDescent="0.35">
      <c r="A103" s="2" t="s">
        <v>46</v>
      </c>
      <c r="B103">
        <v>52046</v>
      </c>
      <c r="C103" t="s">
        <v>51</v>
      </c>
      <c r="D103">
        <v>53280</v>
      </c>
      <c r="E103" t="s">
        <v>155</v>
      </c>
      <c r="F103">
        <v>8665</v>
      </c>
      <c r="G103">
        <v>0.49797852630951178</v>
      </c>
      <c r="H103">
        <v>0</v>
      </c>
      <c r="I103">
        <v>0</v>
      </c>
      <c r="J103">
        <v>0.46606994554605091</v>
      </c>
      <c r="K103">
        <v>0</v>
      </c>
      <c r="L103">
        <v>0</v>
      </c>
      <c r="M103">
        <v>0.33792460383177519</v>
      </c>
      <c r="N103">
        <v>0</v>
      </c>
      <c r="O103">
        <v>0</v>
      </c>
      <c r="P103">
        <v>0.24798261266539309</v>
      </c>
      <c r="Q103">
        <v>1.754116515131342</v>
      </c>
      <c r="R103">
        <v>4.0647670350754694</v>
      </c>
      <c r="S103">
        <v>0.39185730552732112</v>
      </c>
      <c r="T103">
        <v>0.2626222993048476</v>
      </c>
      <c r="U103">
        <v>4.4806313115983842</v>
      </c>
      <c r="V103">
        <v>0.12828953965438369</v>
      </c>
      <c r="W103">
        <v>11.9243164169648</v>
      </c>
      <c r="X103">
        <v>0.45189659460633919</v>
      </c>
      <c r="Z103" t="s">
        <v>392</v>
      </c>
      <c r="AA103">
        <v>9937</v>
      </c>
      <c r="AB103" t="s">
        <v>494</v>
      </c>
      <c r="AC103" t="str">
        <f>HYPERLINK("plots/20251231000436_3FT6Y121H01_04823_B11P_N_UFLEX98_M5358A8BH101511/dpll_52046/txpa_53280.png","plot")</f>
        <v>plot</v>
      </c>
    </row>
    <row r="104" spans="1:29" x14ac:dyDescent="0.35">
      <c r="A104" s="2" t="s">
        <v>46</v>
      </c>
      <c r="B104">
        <v>52046</v>
      </c>
      <c r="C104" t="s">
        <v>51</v>
      </c>
      <c r="D104">
        <v>53281</v>
      </c>
      <c r="E104" t="s">
        <v>156</v>
      </c>
      <c r="F104">
        <v>8651</v>
      </c>
      <c r="G104">
        <v>0.4849421709729933</v>
      </c>
      <c r="H104">
        <v>0</v>
      </c>
      <c r="I104">
        <v>0</v>
      </c>
      <c r="J104">
        <v>0.46103115827238389</v>
      </c>
      <c r="K104">
        <v>0</v>
      </c>
      <c r="L104">
        <v>0</v>
      </c>
      <c r="M104">
        <v>0.33264066648290341</v>
      </c>
      <c r="N104">
        <v>0</v>
      </c>
      <c r="O104">
        <v>0</v>
      </c>
      <c r="P104">
        <v>0.2351689091879999</v>
      </c>
      <c r="Q104">
        <v>1.689063479126198</v>
      </c>
      <c r="R104">
        <v>4.3961679514788701</v>
      </c>
      <c r="S104">
        <v>0.38720068743363872</v>
      </c>
      <c r="T104">
        <v>0.25779146321023222</v>
      </c>
      <c r="U104">
        <v>4.4813522602011329</v>
      </c>
      <c r="V104">
        <v>0.12712250306744979</v>
      </c>
      <c r="W104">
        <v>11.965456391284251</v>
      </c>
      <c r="X104">
        <v>0.44277027274308822</v>
      </c>
      <c r="Z104" t="s">
        <v>392</v>
      </c>
      <c r="AA104">
        <v>9937</v>
      </c>
      <c r="AB104" t="s">
        <v>495</v>
      </c>
      <c r="AC104" t="str">
        <f>HYPERLINK("plots/20251231000436_3FT6Y121H01_04823_B11P_N_UFLEX98_M5358A8BH101511/dpll_52046/txpa_53281.png","plot")</f>
        <v>plot</v>
      </c>
    </row>
    <row r="105" spans="1:29" x14ac:dyDescent="0.35">
      <c r="A105" s="2" t="s">
        <v>46</v>
      </c>
      <c r="B105">
        <v>52046</v>
      </c>
      <c r="C105" t="s">
        <v>51</v>
      </c>
      <c r="D105">
        <v>53282</v>
      </c>
      <c r="E105" t="s">
        <v>157</v>
      </c>
      <c r="F105">
        <v>8640</v>
      </c>
      <c r="G105">
        <v>0.46639784053149042</v>
      </c>
      <c r="H105">
        <v>0</v>
      </c>
      <c r="I105">
        <v>0</v>
      </c>
      <c r="J105">
        <v>0.45264944356964593</v>
      </c>
      <c r="K105">
        <v>0</v>
      </c>
      <c r="L105">
        <v>0</v>
      </c>
      <c r="M105">
        <v>0.32538182629271423</v>
      </c>
      <c r="N105">
        <v>0</v>
      </c>
      <c r="O105">
        <v>0</v>
      </c>
      <c r="P105">
        <v>0.21752694565243749</v>
      </c>
      <c r="Q105">
        <v>1.5498156288711651</v>
      </c>
      <c r="R105">
        <v>5.0786399265060131</v>
      </c>
      <c r="S105">
        <v>0.37095430247107097</v>
      </c>
      <c r="T105">
        <v>0.24894931707148599</v>
      </c>
      <c r="U105">
        <v>4.4819133194444438</v>
      </c>
      <c r="V105">
        <v>0.12620813412661461</v>
      </c>
      <c r="W105">
        <v>12.02477923622685</v>
      </c>
      <c r="X105">
        <v>0.41938302831161811</v>
      </c>
      <c r="Z105" t="s">
        <v>392</v>
      </c>
      <c r="AA105">
        <v>9937</v>
      </c>
      <c r="AB105" t="s">
        <v>496</v>
      </c>
      <c r="AC105" t="str">
        <f>HYPERLINK("plots/20251231000436_3FT6Y121H01_04823_B11P_N_UFLEX98_M5358A8BH101511/dpll_52046/txpa_53282.png","plot")</f>
        <v>plot</v>
      </c>
    </row>
    <row r="106" spans="1:29" x14ac:dyDescent="0.35">
      <c r="A106" s="2" t="s">
        <v>46</v>
      </c>
      <c r="B106">
        <v>52046</v>
      </c>
      <c r="C106" t="s">
        <v>51</v>
      </c>
      <c r="D106">
        <v>53283</v>
      </c>
      <c r="E106" t="s">
        <v>158</v>
      </c>
      <c r="F106">
        <v>8626</v>
      </c>
      <c r="G106">
        <v>0.44594118394025373</v>
      </c>
      <c r="H106">
        <v>0</v>
      </c>
      <c r="I106">
        <v>0</v>
      </c>
      <c r="J106">
        <v>0.4626018597237721</v>
      </c>
      <c r="K106">
        <v>0</v>
      </c>
      <c r="L106">
        <v>0</v>
      </c>
      <c r="M106">
        <v>0.33462846707283839</v>
      </c>
      <c r="N106">
        <v>0</v>
      </c>
      <c r="O106">
        <v>0</v>
      </c>
      <c r="P106">
        <v>0.19886353953403521</v>
      </c>
      <c r="Q106">
        <v>1.571170888140589</v>
      </c>
      <c r="R106">
        <v>5.1181757525795852</v>
      </c>
      <c r="S106">
        <v>0.39685986916707722</v>
      </c>
      <c r="T106">
        <v>0.25874943773515219</v>
      </c>
      <c r="U106">
        <v>4.4822265323440762</v>
      </c>
      <c r="V106">
        <v>0.12585291241697061</v>
      </c>
      <c r="W106">
        <v>12.160519594249941</v>
      </c>
      <c r="X106">
        <v>0.44341370409005337</v>
      </c>
      <c r="Z106" t="s">
        <v>392</v>
      </c>
      <c r="AA106">
        <v>9937</v>
      </c>
      <c r="AB106" t="s">
        <v>497</v>
      </c>
      <c r="AC106" t="str">
        <f>HYPERLINK("plots/20251231000436_3FT6Y121H01_04823_B11P_N_UFLEX98_M5358A8BH101511/dpll_52046/txpa_53283.png","plot")</f>
        <v>plot</v>
      </c>
    </row>
    <row r="107" spans="1:29" x14ac:dyDescent="0.35">
      <c r="A107" s="2" t="s">
        <v>46</v>
      </c>
      <c r="B107">
        <v>52046</v>
      </c>
      <c r="C107" t="s">
        <v>51</v>
      </c>
      <c r="D107">
        <v>53284</v>
      </c>
      <c r="E107" t="s">
        <v>159</v>
      </c>
      <c r="F107">
        <v>8647</v>
      </c>
      <c r="G107">
        <v>0.46965440018733401</v>
      </c>
      <c r="H107">
        <v>0</v>
      </c>
      <c r="I107">
        <v>0</v>
      </c>
      <c r="J107">
        <v>0.46478100345785228</v>
      </c>
      <c r="K107">
        <v>0</v>
      </c>
      <c r="L107">
        <v>0</v>
      </c>
      <c r="M107">
        <v>0.33690856611372599</v>
      </c>
      <c r="N107">
        <v>0</v>
      </c>
      <c r="O107">
        <v>0</v>
      </c>
      <c r="P107">
        <v>0.22057525561532451</v>
      </c>
      <c r="Q107">
        <v>1.6948736708004219</v>
      </c>
      <c r="R107">
        <v>4.5499423452232168</v>
      </c>
      <c r="S107">
        <v>0.40396415805326458</v>
      </c>
      <c r="T107">
        <v>0.26727107031967401</v>
      </c>
      <c r="U107">
        <v>4.4815533150225511</v>
      </c>
      <c r="V107">
        <v>0.12680077721440039</v>
      </c>
      <c r="W107">
        <v>12.14560906314329</v>
      </c>
      <c r="X107">
        <v>0.45759456028090939</v>
      </c>
      <c r="Z107" t="s">
        <v>392</v>
      </c>
      <c r="AA107">
        <v>9937</v>
      </c>
      <c r="AB107" t="s">
        <v>498</v>
      </c>
      <c r="AC107" t="str">
        <f>HYPERLINK("plots/20251231000436_3FT6Y121H01_04823_B11P_N_UFLEX98_M5358A8BH101511/dpll_52046/txpa_53284.png","plot")</f>
        <v>plot</v>
      </c>
    </row>
    <row r="108" spans="1:29" x14ac:dyDescent="0.35">
      <c r="A108" s="2" t="s">
        <v>46</v>
      </c>
      <c r="B108">
        <v>52046</v>
      </c>
      <c r="C108" t="s">
        <v>51</v>
      </c>
      <c r="D108">
        <v>53285</v>
      </c>
      <c r="E108" t="s">
        <v>160</v>
      </c>
      <c r="F108">
        <v>8636</v>
      </c>
      <c r="G108">
        <v>0.460788076790562</v>
      </c>
      <c r="H108">
        <v>0</v>
      </c>
      <c r="I108">
        <v>0</v>
      </c>
      <c r="J108">
        <v>0.46432200407426588</v>
      </c>
      <c r="K108">
        <v>0</v>
      </c>
      <c r="L108">
        <v>0</v>
      </c>
      <c r="M108">
        <v>0.33677477205311451</v>
      </c>
      <c r="N108">
        <v>0</v>
      </c>
      <c r="O108">
        <v>0</v>
      </c>
      <c r="P108">
        <v>0.21232565171234491</v>
      </c>
      <c r="Q108">
        <v>1.6901842321584259</v>
      </c>
      <c r="R108">
        <v>4.4855547200640631</v>
      </c>
      <c r="S108">
        <v>0.40995197407595951</v>
      </c>
      <c r="T108">
        <v>0.26810645537567329</v>
      </c>
      <c r="U108">
        <v>4.482096130616025</v>
      </c>
      <c r="V108">
        <v>0.125936599906532</v>
      </c>
      <c r="W108">
        <v>12.06112292704956</v>
      </c>
      <c r="X108">
        <v>0.46193915627381188</v>
      </c>
      <c r="Z108" t="s">
        <v>392</v>
      </c>
      <c r="AA108">
        <v>9937</v>
      </c>
      <c r="AB108" t="s">
        <v>499</v>
      </c>
      <c r="AC108" t="str">
        <f>HYPERLINK("plots/20251231000436_3FT6Y121H01_04823_B11P_N_UFLEX98_M5358A8BH101511/dpll_52046/txpa_53285.png","plot")</f>
        <v>plot</v>
      </c>
    </row>
    <row r="109" spans="1:29" x14ac:dyDescent="0.35">
      <c r="A109" s="2" t="s">
        <v>46</v>
      </c>
      <c r="B109">
        <v>52046</v>
      </c>
      <c r="C109" t="s">
        <v>51</v>
      </c>
      <c r="D109">
        <v>53286</v>
      </c>
      <c r="E109" t="s">
        <v>161</v>
      </c>
      <c r="F109">
        <v>8635</v>
      </c>
      <c r="G109">
        <v>0.4719468366060357</v>
      </c>
      <c r="H109">
        <v>0</v>
      </c>
      <c r="I109">
        <v>0</v>
      </c>
      <c r="J109">
        <v>0.46525581833674118</v>
      </c>
      <c r="K109">
        <v>0</v>
      </c>
      <c r="L109">
        <v>0</v>
      </c>
      <c r="M109">
        <v>0.33709546578400729</v>
      </c>
      <c r="N109">
        <v>0</v>
      </c>
      <c r="O109">
        <v>0</v>
      </c>
      <c r="P109">
        <v>0.22273381658244409</v>
      </c>
      <c r="Q109">
        <v>1.704871976314452</v>
      </c>
      <c r="R109">
        <v>4.4717372872232346</v>
      </c>
      <c r="S109">
        <v>0.40055431623318621</v>
      </c>
      <c r="T109">
        <v>0.26579179696170241</v>
      </c>
      <c r="U109">
        <v>4.482167707353792</v>
      </c>
      <c r="V109">
        <v>0.12577750784070979</v>
      </c>
      <c r="W109">
        <v>12.113259404632309</v>
      </c>
      <c r="X109">
        <v>0.45436166054292182</v>
      </c>
      <c r="Z109" t="s">
        <v>392</v>
      </c>
      <c r="AA109">
        <v>9937</v>
      </c>
      <c r="AB109" t="s">
        <v>500</v>
      </c>
      <c r="AC109" t="str">
        <f>HYPERLINK("plots/20251231000436_3FT6Y121H01_04823_B11P_N_UFLEX98_M5358A8BH101511/dpll_52046/txpa_53286.png","plot")</f>
        <v>plot</v>
      </c>
    </row>
    <row r="110" spans="1:29" x14ac:dyDescent="0.35">
      <c r="A110" s="2" t="s">
        <v>46</v>
      </c>
      <c r="B110">
        <v>52046</v>
      </c>
      <c r="C110" t="s">
        <v>51</v>
      </c>
      <c r="D110">
        <v>53287</v>
      </c>
      <c r="E110" t="s">
        <v>162</v>
      </c>
      <c r="F110">
        <v>8629</v>
      </c>
      <c r="G110">
        <v>0.46811325734690029</v>
      </c>
      <c r="H110">
        <v>0</v>
      </c>
      <c r="I110">
        <v>0</v>
      </c>
      <c r="J110">
        <v>0.46539307847809802</v>
      </c>
      <c r="K110">
        <v>0</v>
      </c>
      <c r="L110">
        <v>0</v>
      </c>
      <c r="M110">
        <v>0.33775062004682382</v>
      </c>
      <c r="N110">
        <v>0</v>
      </c>
      <c r="O110">
        <v>0</v>
      </c>
      <c r="P110">
        <v>0.21913002170392529</v>
      </c>
      <c r="Q110">
        <v>1.675054785177537</v>
      </c>
      <c r="R110">
        <v>4.6314393314792692</v>
      </c>
      <c r="S110">
        <v>0.3963316842755239</v>
      </c>
      <c r="T110">
        <v>0.26046597712503522</v>
      </c>
      <c r="U110">
        <v>4.4824555818750724</v>
      </c>
      <c r="V110">
        <v>0.12534774376761931</v>
      </c>
      <c r="W110">
        <v>12.13979800324487</v>
      </c>
      <c r="X110">
        <v>0.44853320155716592</v>
      </c>
      <c r="Z110" t="s">
        <v>392</v>
      </c>
      <c r="AA110">
        <v>9937</v>
      </c>
      <c r="AB110" t="s">
        <v>501</v>
      </c>
      <c r="AC110" t="str">
        <f>HYPERLINK("plots/20251231000436_3FT6Y121H01_04823_B11P_N_UFLEX98_M5358A8BH101511/dpll_52046/txpa_53287.png","plot")</f>
        <v>plot</v>
      </c>
    </row>
    <row r="111" spans="1:29" x14ac:dyDescent="0.35">
      <c r="A111" s="2" t="s">
        <v>46</v>
      </c>
      <c r="B111">
        <v>52046</v>
      </c>
      <c r="C111" t="s">
        <v>51</v>
      </c>
      <c r="D111">
        <v>53288</v>
      </c>
      <c r="E111" t="s">
        <v>163</v>
      </c>
      <c r="F111">
        <v>8666</v>
      </c>
      <c r="G111">
        <v>0.50247942591198136</v>
      </c>
      <c r="H111">
        <v>0</v>
      </c>
      <c r="I111">
        <v>0</v>
      </c>
      <c r="J111">
        <v>0.46882621690356152</v>
      </c>
      <c r="K111">
        <v>0</v>
      </c>
      <c r="L111">
        <v>0</v>
      </c>
      <c r="M111">
        <v>0.34034252897856332</v>
      </c>
      <c r="N111">
        <v>0</v>
      </c>
      <c r="O111">
        <v>0</v>
      </c>
      <c r="P111">
        <v>0.25248557346483441</v>
      </c>
      <c r="Q111">
        <v>1.8221759335721419</v>
      </c>
      <c r="R111">
        <v>3.923182882431727</v>
      </c>
      <c r="S111">
        <v>0.40233342700345698</v>
      </c>
      <c r="T111">
        <v>0.26969960445144592</v>
      </c>
      <c r="U111">
        <v>4.4805913004846527</v>
      </c>
      <c r="V111">
        <v>0.12833034558694439</v>
      </c>
      <c r="W111">
        <v>12.087608518347571</v>
      </c>
      <c r="X111">
        <v>0.46537321772153012</v>
      </c>
      <c r="Z111" t="s">
        <v>392</v>
      </c>
      <c r="AA111">
        <v>9937</v>
      </c>
      <c r="AB111" t="s">
        <v>502</v>
      </c>
      <c r="AC111" t="str">
        <f>HYPERLINK("plots/20251231000436_3FT6Y121H01_04823_B11P_N_UFLEX98_M5358A8BH101511/dpll_52046/txpa_53288.png","plot")</f>
        <v>plot</v>
      </c>
    </row>
    <row r="112" spans="1:29" x14ac:dyDescent="0.35">
      <c r="A112" s="2" t="s">
        <v>46</v>
      </c>
      <c r="B112">
        <v>52046</v>
      </c>
      <c r="C112" t="s">
        <v>51</v>
      </c>
      <c r="D112">
        <v>53289</v>
      </c>
      <c r="E112" t="s">
        <v>164</v>
      </c>
      <c r="F112">
        <v>8655</v>
      </c>
      <c r="G112">
        <v>0.49284769699279157</v>
      </c>
      <c r="H112">
        <v>0</v>
      </c>
      <c r="I112">
        <v>0</v>
      </c>
      <c r="J112">
        <v>0.46458701834258043</v>
      </c>
      <c r="K112">
        <v>0</v>
      </c>
      <c r="L112">
        <v>0</v>
      </c>
      <c r="M112">
        <v>0.33581000200921052</v>
      </c>
      <c r="N112">
        <v>0</v>
      </c>
      <c r="O112">
        <v>0</v>
      </c>
      <c r="P112">
        <v>0.24289885243109849</v>
      </c>
      <c r="Q112">
        <v>1.7678547870147781</v>
      </c>
      <c r="R112">
        <v>4.2085464963538621</v>
      </c>
      <c r="S112">
        <v>0.39795501225638602</v>
      </c>
      <c r="T112">
        <v>0.26513667992669521</v>
      </c>
      <c r="U112">
        <v>4.4811322499133448</v>
      </c>
      <c r="V112">
        <v>0.12751117863499159</v>
      </c>
      <c r="W112">
        <v>12.13053759560947</v>
      </c>
      <c r="X112">
        <v>0.45738521032606838</v>
      </c>
      <c r="Z112" t="s">
        <v>392</v>
      </c>
      <c r="AA112">
        <v>9937</v>
      </c>
      <c r="AB112" t="s">
        <v>503</v>
      </c>
      <c r="AC112" t="str">
        <f>HYPERLINK("plots/20251231000436_3FT6Y121H01_04823_B11P_N_UFLEX98_M5358A8BH101511/dpll_52046/txpa_53289.png","plot")</f>
        <v>plot</v>
      </c>
    </row>
    <row r="113" spans="1:29" x14ac:dyDescent="0.35">
      <c r="A113" s="2" t="s">
        <v>46</v>
      </c>
      <c r="B113">
        <v>52046</v>
      </c>
      <c r="C113" t="s">
        <v>51</v>
      </c>
      <c r="D113">
        <v>53290</v>
      </c>
      <c r="E113" t="s">
        <v>165</v>
      </c>
      <c r="F113">
        <v>8647</v>
      </c>
      <c r="G113">
        <v>0.47874174027788191</v>
      </c>
      <c r="H113">
        <v>0</v>
      </c>
      <c r="I113">
        <v>0</v>
      </c>
      <c r="J113">
        <v>0.45948912631516198</v>
      </c>
      <c r="K113">
        <v>0</v>
      </c>
      <c r="L113">
        <v>0</v>
      </c>
      <c r="M113">
        <v>0.33126315259236472</v>
      </c>
      <c r="N113">
        <v>0</v>
      </c>
      <c r="O113">
        <v>0</v>
      </c>
      <c r="P113">
        <v>0.22919365388429491</v>
      </c>
      <c r="Q113">
        <v>1.6499719052812321</v>
      </c>
      <c r="R113">
        <v>4.8167037230069294</v>
      </c>
      <c r="S113">
        <v>0.38339732590418102</v>
      </c>
      <c r="T113">
        <v>0.25653938782262159</v>
      </c>
      <c r="U113">
        <v>4.4815791968312713</v>
      </c>
      <c r="V113">
        <v>0.1267144950700432</v>
      </c>
      <c r="W113">
        <v>12.211183489071351</v>
      </c>
      <c r="X113">
        <v>0.43671846272713188</v>
      </c>
      <c r="Z113" t="s">
        <v>392</v>
      </c>
      <c r="AA113">
        <v>9937</v>
      </c>
      <c r="AB113" t="s">
        <v>504</v>
      </c>
      <c r="AC113" t="str">
        <f>HYPERLINK("plots/20251231000436_3FT6Y121H01_04823_B11P_N_UFLEX98_M5358A8BH101511/dpll_52046/txpa_53290.png","plot")</f>
        <v>plot</v>
      </c>
    </row>
    <row r="114" spans="1:29" hidden="1" x14ac:dyDescent="0.35">
      <c r="A114" s="2" t="s">
        <v>46</v>
      </c>
      <c r="B114">
        <v>52046</v>
      </c>
      <c r="C114" t="s">
        <v>51</v>
      </c>
      <c r="D114">
        <v>54146</v>
      </c>
      <c r="E114" t="s">
        <v>166</v>
      </c>
      <c r="F114">
        <v>8705</v>
      </c>
      <c r="G114">
        <v>-7.2334814450869343E-3</v>
      </c>
      <c r="H114">
        <v>0.49980284503849509</v>
      </c>
      <c r="I114">
        <v>0.50178226224656841</v>
      </c>
      <c r="J114">
        <v>-4.0799104077502094E-3</v>
      </c>
      <c r="K114">
        <v>0.70349639616272819</v>
      </c>
      <c r="L114">
        <v>0.70488670524605368</v>
      </c>
      <c r="M114">
        <v>-2.811816598500392E-3</v>
      </c>
      <c r="N114">
        <v>0.69400295165114612</v>
      </c>
      <c r="O114">
        <v>0.695374498986425</v>
      </c>
      <c r="P114">
        <v>5.2323253816416961E-5</v>
      </c>
      <c r="Q114">
        <v>-0.28305452836042588</v>
      </c>
      <c r="R114">
        <v>-9.3409990175615718</v>
      </c>
      <c r="S114">
        <v>5.1528256574457529</v>
      </c>
      <c r="T114">
        <v>3.8876364499145519</v>
      </c>
      <c r="U114">
        <v>4.4783006029867893</v>
      </c>
      <c r="V114">
        <v>0.13169188737223891</v>
      </c>
      <c r="W114">
        <v>-10.608602282596211</v>
      </c>
      <c r="X114">
        <v>5.1532564715931723</v>
      </c>
      <c r="Z114" t="s">
        <v>392</v>
      </c>
      <c r="AA114">
        <v>9937</v>
      </c>
      <c r="AB114" t="s">
        <v>505</v>
      </c>
      <c r="AC114" t="str">
        <f>HYPERLINK("plots/20251231000436_3FT6Y121H01_04823_B11P_N_UFLEX98_M5358A8BH101511/dpll_52046/txpa_54146.png","plot")</f>
        <v>plot</v>
      </c>
    </row>
    <row r="115" spans="1:29" x14ac:dyDescent="0.35">
      <c r="A115" s="2" t="s">
        <v>46</v>
      </c>
      <c r="B115">
        <v>52046</v>
      </c>
      <c r="C115" t="s">
        <v>51</v>
      </c>
      <c r="D115">
        <v>54147</v>
      </c>
      <c r="E115" t="s">
        <v>167</v>
      </c>
      <c r="F115">
        <v>8716</v>
      </c>
      <c r="G115">
        <v>0.1134643969788439</v>
      </c>
      <c r="H115">
        <v>2.2608590751260369E-26</v>
      </c>
      <c r="I115">
        <v>2.2743165696208351E-26</v>
      </c>
      <c r="J115">
        <v>9.7786473331585202E-2</v>
      </c>
      <c r="K115">
        <v>5.6973757073472851E-20</v>
      </c>
      <c r="L115">
        <v>5.7312886579862572E-20</v>
      </c>
      <c r="M115">
        <v>6.4893888932638352E-2</v>
      </c>
      <c r="N115">
        <v>1.075554860800454E-19</v>
      </c>
      <c r="O115">
        <v>1.081956973067123E-19</v>
      </c>
      <c r="P115">
        <v>1.2874169381772681E-2</v>
      </c>
      <c r="Q115">
        <v>1.041881364680457</v>
      </c>
      <c r="R115">
        <v>-26.71548080310593</v>
      </c>
      <c r="S115">
        <v>1.2012060955498081</v>
      </c>
      <c r="T115">
        <v>0.93851206283750288</v>
      </c>
      <c r="U115">
        <v>4.4782817893529154</v>
      </c>
      <c r="V115">
        <v>0.1316732403778659</v>
      </c>
      <c r="W115">
        <v>-22.049642460991279</v>
      </c>
      <c r="X115">
        <v>1.209083192874749</v>
      </c>
      <c r="Z115" t="s">
        <v>392</v>
      </c>
      <c r="AA115">
        <v>9937</v>
      </c>
      <c r="AB115" t="s">
        <v>506</v>
      </c>
      <c r="AC115" t="str">
        <f>HYPERLINK("plots/20251231000436_3FT6Y121H01_04823_B11P_N_UFLEX98_M5358A8BH101511/dpll_52046/txpa_54147.png","plot")</f>
        <v>plot</v>
      </c>
    </row>
    <row r="116" spans="1:29" x14ac:dyDescent="0.35">
      <c r="A116" s="2" t="s">
        <v>46</v>
      </c>
      <c r="B116">
        <v>52046</v>
      </c>
      <c r="C116" t="s">
        <v>51</v>
      </c>
      <c r="D116">
        <v>54148</v>
      </c>
      <c r="E116" t="s">
        <v>168</v>
      </c>
      <c r="F116">
        <v>8716</v>
      </c>
      <c r="G116">
        <v>0.1558822244578755</v>
      </c>
      <c r="H116">
        <v>1.547407340745784E-48</v>
      </c>
      <c r="I116">
        <v>1.5849202459759849E-48</v>
      </c>
      <c r="J116">
        <v>0.13122099812633861</v>
      </c>
      <c r="K116">
        <v>8.8141313603365597E-35</v>
      </c>
      <c r="L116">
        <v>9.1666966147500227E-35</v>
      </c>
      <c r="M116">
        <v>8.767389335639636E-2</v>
      </c>
      <c r="N116">
        <v>1.3301939462555659E-34</v>
      </c>
      <c r="O116">
        <v>1.384822034397479E-34</v>
      </c>
      <c r="P116">
        <v>2.4299267901935481E-2</v>
      </c>
      <c r="Q116">
        <v>1.3641755709101691</v>
      </c>
      <c r="R116">
        <v>-27.688895556108879</v>
      </c>
      <c r="S116">
        <v>1.138163351140931</v>
      </c>
      <c r="T116">
        <v>0.88267281202852088</v>
      </c>
      <c r="U116">
        <v>4.4782817893529154</v>
      </c>
      <c r="V116">
        <v>0.1316732403778659</v>
      </c>
      <c r="W116">
        <v>-21.579732939421749</v>
      </c>
      <c r="X116">
        <v>1.1523149511803881</v>
      </c>
      <c r="Z116" t="s">
        <v>392</v>
      </c>
      <c r="AA116">
        <v>9937</v>
      </c>
      <c r="AB116" t="s">
        <v>507</v>
      </c>
      <c r="AC116" t="str">
        <f>HYPERLINK("plots/20251231000436_3FT6Y121H01_04823_B11P_N_UFLEX98_M5358A8BH101511/dpll_52046/txpa_54148.png","plot")</f>
        <v>plot</v>
      </c>
    </row>
    <row r="117" spans="1:29" x14ac:dyDescent="0.35">
      <c r="A117" s="2" t="s">
        <v>46</v>
      </c>
      <c r="B117">
        <v>52046</v>
      </c>
      <c r="C117" t="s">
        <v>51</v>
      </c>
      <c r="D117">
        <v>54149</v>
      </c>
      <c r="E117" t="s">
        <v>169</v>
      </c>
      <c r="F117">
        <v>8716</v>
      </c>
      <c r="G117">
        <v>0.18140410740909571</v>
      </c>
      <c r="H117">
        <v>2.2696530198101441E-65</v>
      </c>
      <c r="I117">
        <v>2.3998208155239691E-65</v>
      </c>
      <c r="J117">
        <v>0.13630964070861479</v>
      </c>
      <c r="K117">
        <v>2.0225658709592949E-37</v>
      </c>
      <c r="L117">
        <v>2.136335201200756E-37</v>
      </c>
      <c r="M117">
        <v>9.1471202717638506E-2</v>
      </c>
      <c r="N117">
        <v>1.627536935887206E-37</v>
      </c>
      <c r="O117">
        <v>1.719085888530861E-37</v>
      </c>
      <c r="P117">
        <v>3.2907450184890732E-2</v>
      </c>
      <c r="Q117">
        <v>1.461604920166913</v>
      </c>
      <c r="R117">
        <v>-27.60850282181055</v>
      </c>
      <c r="S117">
        <v>1.0432526754303999</v>
      </c>
      <c r="T117">
        <v>0.81135231634774108</v>
      </c>
      <c r="U117">
        <v>4.4782817893529154</v>
      </c>
      <c r="V117">
        <v>0.1316732403778659</v>
      </c>
      <c r="W117">
        <v>-21.063024124598439</v>
      </c>
      <c r="X117">
        <v>1.060914544545531</v>
      </c>
      <c r="Z117" t="s">
        <v>392</v>
      </c>
      <c r="AA117">
        <v>9937</v>
      </c>
      <c r="AB117" t="s">
        <v>508</v>
      </c>
      <c r="AC117" t="str">
        <f>HYPERLINK("plots/20251231000436_3FT6Y121H01_04823_B11P_N_UFLEX98_M5358A8BH101511/dpll_52046/txpa_54149.png","plot")</f>
        <v>plot</v>
      </c>
    </row>
    <row r="118" spans="1:29" x14ac:dyDescent="0.35">
      <c r="A118" s="2" t="s">
        <v>46</v>
      </c>
      <c r="B118">
        <v>52046</v>
      </c>
      <c r="C118" t="s">
        <v>51</v>
      </c>
      <c r="D118">
        <v>54150</v>
      </c>
      <c r="E118" t="s">
        <v>170</v>
      </c>
      <c r="F118">
        <v>8716</v>
      </c>
      <c r="G118">
        <v>0.18035922141313279</v>
      </c>
      <c r="H118">
        <v>1.2528730676733999E-64</v>
      </c>
      <c r="I118">
        <v>1.3219701255159499E-64</v>
      </c>
      <c r="J118">
        <v>0.14605663659848769</v>
      </c>
      <c r="K118">
        <v>9.1702496657913656E-43</v>
      </c>
      <c r="L118">
        <v>9.8502469927038595E-43</v>
      </c>
      <c r="M118">
        <v>9.7981418038788501E-2</v>
      </c>
      <c r="N118">
        <v>8.6855647343691888E-43</v>
      </c>
      <c r="O118">
        <v>9.3296214413669026E-43</v>
      </c>
      <c r="P118">
        <v>3.252944874875148E-2</v>
      </c>
      <c r="Q118">
        <v>1.552713229074681</v>
      </c>
      <c r="R118">
        <v>-28.577254208967691</v>
      </c>
      <c r="S118">
        <v>1.114921747582887</v>
      </c>
      <c r="T118">
        <v>0.86601943364679235</v>
      </c>
      <c r="U118">
        <v>4.4782817893529154</v>
      </c>
      <c r="V118">
        <v>0.1316732403778659</v>
      </c>
      <c r="W118">
        <v>-21.623766831115191</v>
      </c>
      <c r="X118">
        <v>1.133575431563467</v>
      </c>
      <c r="Z118" t="s">
        <v>392</v>
      </c>
      <c r="AA118">
        <v>9937</v>
      </c>
      <c r="AB118" t="s">
        <v>509</v>
      </c>
      <c r="AC118" t="str">
        <f>HYPERLINK("plots/20251231000436_3FT6Y121H01_04823_B11P_N_UFLEX98_M5358A8BH101511/dpll_52046/txpa_54150.png","plot")</f>
        <v>plot</v>
      </c>
    </row>
    <row r="119" spans="1:29" x14ac:dyDescent="0.35">
      <c r="A119" s="2" t="s">
        <v>46</v>
      </c>
      <c r="B119">
        <v>52046</v>
      </c>
      <c r="C119" t="s">
        <v>51</v>
      </c>
      <c r="D119">
        <v>54151</v>
      </c>
      <c r="E119" t="s">
        <v>171</v>
      </c>
      <c r="F119">
        <v>8716</v>
      </c>
      <c r="G119">
        <v>0.16160072190286509</v>
      </c>
      <c r="H119">
        <v>4.4656647951397037E-52</v>
      </c>
      <c r="I119">
        <v>4.6111854401951741E-52</v>
      </c>
      <c r="J119">
        <v>0.12772721588522609</v>
      </c>
      <c r="K119">
        <v>4.9870686437880319E-33</v>
      </c>
      <c r="L119">
        <v>5.133896045483314E-33</v>
      </c>
      <c r="M119">
        <v>8.5209434771422551E-2</v>
      </c>
      <c r="N119">
        <v>8.8787796843646326E-33</v>
      </c>
      <c r="O119">
        <v>9.1124317813215968E-33</v>
      </c>
      <c r="P119">
        <v>2.6114793319527149E-2</v>
      </c>
      <c r="Q119">
        <v>1.264278089944203</v>
      </c>
      <c r="R119">
        <v>-26.840867953713008</v>
      </c>
      <c r="S119">
        <v>1.01654312583611</v>
      </c>
      <c r="T119">
        <v>0.78414462457946021</v>
      </c>
      <c r="U119">
        <v>4.4782817893529154</v>
      </c>
      <c r="V119">
        <v>0.1316732403778659</v>
      </c>
      <c r="W119">
        <v>-21.179074406838001</v>
      </c>
      <c r="X119">
        <v>1.0301413934385439</v>
      </c>
      <c r="Z119" t="s">
        <v>392</v>
      </c>
      <c r="AA119">
        <v>9937</v>
      </c>
      <c r="AB119" t="s">
        <v>510</v>
      </c>
      <c r="AC119" t="str">
        <f>HYPERLINK("plots/20251231000436_3FT6Y121H01_04823_B11P_N_UFLEX98_M5358A8BH101511/dpll_52046/txpa_54151.png","plot")</f>
        <v>plot</v>
      </c>
    </row>
    <row r="120" spans="1:29" x14ac:dyDescent="0.35">
      <c r="A120" s="2" t="s">
        <v>46</v>
      </c>
      <c r="B120">
        <v>52046</v>
      </c>
      <c r="C120" t="s">
        <v>51</v>
      </c>
      <c r="D120">
        <v>54152</v>
      </c>
      <c r="E120" t="s">
        <v>172</v>
      </c>
      <c r="F120">
        <v>8716</v>
      </c>
      <c r="G120">
        <v>0.17896949250237029</v>
      </c>
      <c r="H120">
        <v>1.195857940258602E-63</v>
      </c>
      <c r="I120">
        <v>1.255279452818036E-63</v>
      </c>
      <c r="J120">
        <v>0.13591172695480369</v>
      </c>
      <c r="K120">
        <v>3.2808965589409951E-37</v>
      </c>
      <c r="L120">
        <v>3.454651205364661E-37</v>
      </c>
      <c r="M120">
        <v>9.0869115683770194E-2</v>
      </c>
      <c r="N120">
        <v>4.8290586372507308E-37</v>
      </c>
      <c r="O120">
        <v>5.0795284835811632E-37</v>
      </c>
      <c r="P120">
        <v>3.2030079246555973E-2</v>
      </c>
      <c r="Q120">
        <v>1.44693962262278</v>
      </c>
      <c r="R120">
        <v>-27.86554757637381</v>
      </c>
      <c r="S120">
        <v>1.0473092567811091</v>
      </c>
      <c r="T120">
        <v>0.81145616999915704</v>
      </c>
      <c r="U120">
        <v>4.4782817893529154</v>
      </c>
      <c r="V120">
        <v>0.1316732403778659</v>
      </c>
      <c r="W120">
        <v>-21.38574421408903</v>
      </c>
      <c r="X120">
        <v>1.064557015153544</v>
      </c>
      <c r="Z120" t="s">
        <v>392</v>
      </c>
      <c r="AA120">
        <v>9937</v>
      </c>
      <c r="AB120" t="s">
        <v>511</v>
      </c>
      <c r="AC120" t="str">
        <f>HYPERLINK("plots/20251231000436_3FT6Y121H01_04823_B11P_N_UFLEX98_M5358A8BH101511/dpll_52046/txpa_54152.png","plot")</f>
        <v>plot</v>
      </c>
    </row>
    <row r="121" spans="1:29" x14ac:dyDescent="0.35">
      <c r="A121" s="2" t="s">
        <v>46</v>
      </c>
      <c r="B121">
        <v>52046</v>
      </c>
      <c r="C121" t="s">
        <v>51</v>
      </c>
      <c r="D121">
        <v>54153</v>
      </c>
      <c r="E121" t="s">
        <v>173</v>
      </c>
      <c r="F121">
        <v>8716</v>
      </c>
      <c r="G121">
        <v>0.19160392875958709</v>
      </c>
      <c r="H121">
        <v>7.4736762255268017E-73</v>
      </c>
      <c r="I121">
        <v>7.9855718574121994E-73</v>
      </c>
      <c r="J121">
        <v>0.13548591960576331</v>
      </c>
      <c r="K121">
        <v>5.4968257309882839E-37</v>
      </c>
      <c r="L121">
        <v>5.7759391618882066E-37</v>
      </c>
      <c r="M121">
        <v>9.0837291497826669E-2</v>
      </c>
      <c r="N121">
        <v>5.0982020430128168E-37</v>
      </c>
      <c r="O121">
        <v>5.357074478357509E-37</v>
      </c>
      <c r="P121">
        <v>3.6712065516108908E-2</v>
      </c>
      <c r="Q121">
        <v>1.513866311643268</v>
      </c>
      <c r="R121">
        <v>-27.911220302087798</v>
      </c>
      <c r="S121">
        <v>1.0210189047892499</v>
      </c>
      <c r="T121">
        <v>0.79183460918027015</v>
      </c>
      <c r="U121">
        <v>4.4782817893529154</v>
      </c>
      <c r="V121">
        <v>0.1316732403778659</v>
      </c>
      <c r="W121">
        <v>-21.131700367140891</v>
      </c>
      <c r="X121">
        <v>1.0403527946604461</v>
      </c>
      <c r="Z121" t="s">
        <v>392</v>
      </c>
      <c r="AA121">
        <v>9937</v>
      </c>
      <c r="AB121" t="s">
        <v>512</v>
      </c>
      <c r="AC121" t="str">
        <f>HYPERLINK("plots/20251231000436_3FT6Y121H01_04823_B11P_N_UFLEX98_M5358A8BH101511/dpll_52046/txpa_54153.png","plot")</f>
        <v>plot</v>
      </c>
    </row>
    <row r="122" spans="1:29" x14ac:dyDescent="0.35">
      <c r="A122" s="2" t="s">
        <v>46</v>
      </c>
      <c r="B122">
        <v>52046</v>
      </c>
      <c r="C122" t="s">
        <v>51</v>
      </c>
      <c r="D122">
        <v>54154</v>
      </c>
      <c r="E122" t="s">
        <v>174</v>
      </c>
      <c r="F122">
        <v>8716</v>
      </c>
      <c r="G122">
        <v>0.1240527006311565</v>
      </c>
      <c r="H122">
        <v>3.084374568368221E-31</v>
      </c>
      <c r="I122">
        <v>3.1119958331595778E-31</v>
      </c>
      <c r="J122">
        <v>0.1065794014551882</v>
      </c>
      <c r="K122">
        <v>1.9179794137482869E-23</v>
      </c>
      <c r="L122">
        <v>1.9370827943633099E-23</v>
      </c>
      <c r="M122">
        <v>7.1157040840570271E-2</v>
      </c>
      <c r="N122">
        <v>2.3536824415885859E-23</v>
      </c>
      <c r="O122">
        <v>2.3771254937956441E-23</v>
      </c>
      <c r="P122">
        <v>1.538907253388333E-2</v>
      </c>
      <c r="Q122">
        <v>1.1987310979381609</v>
      </c>
      <c r="R122">
        <v>-27.75646933943538</v>
      </c>
      <c r="S122">
        <v>1.262468302251559</v>
      </c>
      <c r="T122">
        <v>0.98907757524943307</v>
      </c>
      <c r="U122">
        <v>4.4782817893529154</v>
      </c>
      <c r="V122">
        <v>0.1316732403778659</v>
      </c>
      <c r="W122">
        <v>-22.388213693207891</v>
      </c>
      <c r="X122">
        <v>1.272368978701558</v>
      </c>
      <c r="Z122" t="s">
        <v>392</v>
      </c>
      <c r="AA122">
        <v>9937</v>
      </c>
      <c r="AB122" t="s">
        <v>513</v>
      </c>
      <c r="AC122" t="str">
        <f>HYPERLINK("plots/20251231000436_3FT6Y121H01_04823_B11P_N_UFLEX98_M5358A8BH101511/dpll_52046/txpa_54154.png","plot")</f>
        <v>plot</v>
      </c>
    </row>
    <row r="123" spans="1:29" x14ac:dyDescent="0.35">
      <c r="A123" s="2" t="s">
        <v>46</v>
      </c>
      <c r="B123">
        <v>52046</v>
      </c>
      <c r="C123" t="s">
        <v>51</v>
      </c>
      <c r="D123">
        <v>54155</v>
      </c>
      <c r="E123" t="s">
        <v>175</v>
      </c>
      <c r="F123">
        <v>8716</v>
      </c>
      <c r="G123">
        <v>0.20571369374288101</v>
      </c>
      <c r="H123">
        <v>6.2878567311097204E-84</v>
      </c>
      <c r="I123">
        <v>6.8118447920355299E-84</v>
      </c>
      <c r="J123">
        <v>0.18043448139977919</v>
      </c>
      <c r="K123">
        <v>1.108201506597021E-64</v>
      </c>
      <c r="L123">
        <v>1.206999277861846E-64</v>
      </c>
      <c r="M123">
        <v>0.1180998048953493</v>
      </c>
      <c r="N123">
        <v>2.1128486359351119E-61</v>
      </c>
      <c r="O123">
        <v>2.3012121555727211E-61</v>
      </c>
      <c r="P123">
        <v>4.231812379333983E-2</v>
      </c>
      <c r="Q123">
        <v>0.63113855550277986</v>
      </c>
      <c r="R123">
        <v>-11.510860682755171</v>
      </c>
      <c r="S123">
        <v>0.39531632720778792</v>
      </c>
      <c r="T123">
        <v>0.30154820200270271</v>
      </c>
      <c r="U123">
        <v>4.4782817893529154</v>
      </c>
      <c r="V123">
        <v>0.1316732403778659</v>
      </c>
      <c r="W123">
        <v>-8.6844443830885716</v>
      </c>
      <c r="X123">
        <v>0.40397922577933643</v>
      </c>
      <c r="Z123" t="s">
        <v>392</v>
      </c>
      <c r="AA123">
        <v>9937</v>
      </c>
      <c r="AB123" t="s">
        <v>514</v>
      </c>
      <c r="AC123" t="str">
        <f>HYPERLINK("plots/20251231000436_3FT6Y121H01_04823_B11P_N_UFLEX98_M5358A8BH101511/dpll_52046/txpa_54155.png","plot")</f>
        <v>plot</v>
      </c>
    </row>
    <row r="124" spans="1:29" x14ac:dyDescent="0.35">
      <c r="A124" s="2" t="s">
        <v>46</v>
      </c>
      <c r="B124">
        <v>52046</v>
      </c>
      <c r="C124" t="s">
        <v>51</v>
      </c>
      <c r="D124">
        <v>54156</v>
      </c>
      <c r="E124" t="s">
        <v>176</v>
      </c>
      <c r="F124">
        <v>8716</v>
      </c>
      <c r="G124">
        <v>0.33093928112273979</v>
      </c>
      <c r="H124">
        <v>8.3648349260337446E-222</v>
      </c>
      <c r="I124">
        <v>9.7605783831970279E-222</v>
      </c>
      <c r="J124">
        <v>0.26624738385898211</v>
      </c>
      <c r="K124">
        <v>2.394053816911525E-141</v>
      </c>
      <c r="L124">
        <v>2.989618929000352E-141</v>
      </c>
      <c r="M124">
        <v>0.17905696943525051</v>
      </c>
      <c r="N124">
        <v>1.130617308924756E-138</v>
      </c>
      <c r="O124">
        <v>1.4084102595205189E-138</v>
      </c>
      <c r="P124">
        <v>0.1095208077900358</v>
      </c>
      <c r="Q124">
        <v>0.90368200911350682</v>
      </c>
      <c r="R124">
        <v>-12.26481174994638</v>
      </c>
      <c r="S124">
        <v>0.33927496412601571</v>
      </c>
      <c r="T124">
        <v>0.26690030391669162</v>
      </c>
      <c r="U124">
        <v>4.4782817893529154</v>
      </c>
      <c r="V124">
        <v>0.1316732403778659</v>
      </c>
      <c r="W124">
        <v>-8.2178690651675073</v>
      </c>
      <c r="X124">
        <v>0.35955459263545031</v>
      </c>
      <c r="Z124" t="s">
        <v>392</v>
      </c>
      <c r="AA124">
        <v>9937</v>
      </c>
      <c r="AB124" t="s">
        <v>515</v>
      </c>
      <c r="AC124" t="str">
        <f>HYPERLINK("plots/20251231000436_3FT6Y121H01_04823_B11P_N_UFLEX98_M5358A8BH101511/dpll_52046/txpa_54156.png","plot")</f>
        <v>plot</v>
      </c>
    </row>
    <row r="125" spans="1:29" x14ac:dyDescent="0.35">
      <c r="A125" s="2" t="s">
        <v>46</v>
      </c>
      <c r="B125">
        <v>52046</v>
      </c>
      <c r="C125" t="s">
        <v>51</v>
      </c>
      <c r="D125">
        <v>54157</v>
      </c>
      <c r="E125" t="s">
        <v>177</v>
      </c>
      <c r="F125">
        <v>8716</v>
      </c>
      <c r="G125">
        <v>0.34328537698351358</v>
      </c>
      <c r="H125">
        <v>1.3653448204934931E-239</v>
      </c>
      <c r="I125">
        <v>1.636477125272343E-239</v>
      </c>
      <c r="J125">
        <v>0.2194429188696542</v>
      </c>
      <c r="K125">
        <v>1.592970589424251E-95</v>
      </c>
      <c r="L125">
        <v>1.8355365655411249E-95</v>
      </c>
      <c r="M125">
        <v>0.14766127563622591</v>
      </c>
      <c r="N125">
        <v>6.1553955255979101E-95</v>
      </c>
      <c r="O125">
        <v>7.1007634390856446E-95</v>
      </c>
      <c r="P125">
        <v>0.117844850050713</v>
      </c>
      <c r="Q125">
        <v>0.99412161286766143</v>
      </c>
      <c r="R125">
        <v>-12.25891874467867</v>
      </c>
      <c r="S125">
        <v>0.35812060284568398</v>
      </c>
      <c r="T125">
        <v>0.28695062997639392</v>
      </c>
      <c r="U125">
        <v>4.4782817893529154</v>
      </c>
      <c r="V125">
        <v>0.1316732403778659</v>
      </c>
      <c r="W125">
        <v>-7.8069620293712712</v>
      </c>
      <c r="X125">
        <v>0.38131310819639691</v>
      </c>
      <c r="Z125" t="s">
        <v>392</v>
      </c>
      <c r="AA125">
        <v>9937</v>
      </c>
      <c r="AB125" t="s">
        <v>516</v>
      </c>
      <c r="AC125" t="str">
        <f>HYPERLINK("plots/20251231000436_3FT6Y121H01_04823_B11P_N_UFLEX98_M5358A8BH101511/dpll_52046/txpa_54157.png","plot")</f>
        <v>plot</v>
      </c>
    </row>
    <row r="126" spans="1:29" x14ac:dyDescent="0.35">
      <c r="A126" s="2" t="s">
        <v>46</v>
      </c>
      <c r="B126">
        <v>52046</v>
      </c>
      <c r="C126" t="s">
        <v>51</v>
      </c>
      <c r="D126">
        <v>54158</v>
      </c>
      <c r="E126" t="s">
        <v>178</v>
      </c>
      <c r="F126">
        <v>8716</v>
      </c>
      <c r="G126">
        <v>0.3710866996251807</v>
      </c>
      <c r="H126">
        <v>1.032535848238753E-282</v>
      </c>
      <c r="I126">
        <v>1.3202917403708639E-282</v>
      </c>
      <c r="J126">
        <v>0.28001725558871471</v>
      </c>
      <c r="K126">
        <v>9.4565795835302154E-157</v>
      </c>
      <c r="L126">
        <v>1.2309334656867321E-156</v>
      </c>
      <c r="M126">
        <v>0.18879019004525291</v>
      </c>
      <c r="N126">
        <v>6.2205890422755608E-154</v>
      </c>
      <c r="O126">
        <v>8.0867657549582289E-154</v>
      </c>
      <c r="P126">
        <v>0.1377053386387091</v>
      </c>
      <c r="Q126">
        <v>0.99118829751454895</v>
      </c>
      <c r="R126">
        <v>-12.691854096314779</v>
      </c>
      <c r="S126">
        <v>0.32657372055441952</v>
      </c>
      <c r="T126">
        <v>0.2590961472635821</v>
      </c>
      <c r="U126">
        <v>4.4782817893529154</v>
      </c>
      <c r="V126">
        <v>0.1316732403778659</v>
      </c>
      <c r="W126">
        <v>-8.2530335937356583</v>
      </c>
      <c r="X126">
        <v>0.35170480399913739</v>
      </c>
      <c r="Z126" t="s">
        <v>392</v>
      </c>
      <c r="AA126">
        <v>9937</v>
      </c>
      <c r="AB126" t="s">
        <v>517</v>
      </c>
      <c r="AC126" t="str">
        <f>HYPERLINK("plots/20251231000436_3FT6Y121H01_04823_B11P_N_UFLEX98_M5358A8BH101511/dpll_52046/txpa_54158.png","plot")</f>
        <v>plot</v>
      </c>
    </row>
    <row r="127" spans="1:29" x14ac:dyDescent="0.35">
      <c r="A127" s="2" t="s">
        <v>46</v>
      </c>
      <c r="B127">
        <v>52046</v>
      </c>
      <c r="C127" t="s">
        <v>51</v>
      </c>
      <c r="D127">
        <v>54159</v>
      </c>
      <c r="E127" t="s">
        <v>179</v>
      </c>
      <c r="F127">
        <v>8716</v>
      </c>
      <c r="G127">
        <v>0.3633899695019458</v>
      </c>
      <c r="H127">
        <v>2.441242078184232E-270</v>
      </c>
      <c r="I127">
        <v>3.0636379545529838E-270</v>
      </c>
      <c r="J127">
        <v>0.25471818555606068</v>
      </c>
      <c r="K127">
        <v>3.9023715835601387E-129</v>
      </c>
      <c r="L127">
        <v>4.744610054832112E-129</v>
      </c>
      <c r="M127">
        <v>0.1703319836920372</v>
      </c>
      <c r="N127">
        <v>1.123091846158699E-125</v>
      </c>
      <c r="O127">
        <v>1.3573481907090829E-125</v>
      </c>
      <c r="P127">
        <v>0.1320522699346251</v>
      </c>
      <c r="Q127">
        <v>0.90490195380172256</v>
      </c>
      <c r="R127">
        <v>-12.04156721759257</v>
      </c>
      <c r="S127">
        <v>0.3054555247239113</v>
      </c>
      <c r="T127">
        <v>0.24064621964319299</v>
      </c>
      <c r="U127">
        <v>4.4782817893529154</v>
      </c>
      <c r="V127">
        <v>0.1316732403778659</v>
      </c>
      <c r="W127">
        <v>-7.9891612767324469</v>
      </c>
      <c r="X127">
        <v>0.32788844624589092</v>
      </c>
      <c r="Z127" t="s">
        <v>392</v>
      </c>
      <c r="AA127">
        <v>9937</v>
      </c>
      <c r="AB127" t="s">
        <v>518</v>
      </c>
      <c r="AC127" t="str">
        <f>HYPERLINK("plots/20251231000436_3FT6Y121H01_04823_B11P_N_UFLEX98_M5358A8BH101511/dpll_52046/txpa_54159.png","plot")</f>
        <v>plot</v>
      </c>
    </row>
    <row r="128" spans="1:29" x14ac:dyDescent="0.35">
      <c r="A128" s="2" t="s">
        <v>46</v>
      </c>
      <c r="B128">
        <v>52046</v>
      </c>
      <c r="C128" t="s">
        <v>51</v>
      </c>
      <c r="D128">
        <v>54160</v>
      </c>
      <c r="E128" t="s">
        <v>180</v>
      </c>
      <c r="F128">
        <v>8716</v>
      </c>
      <c r="G128">
        <v>0.39088312093165128</v>
      </c>
      <c r="H128">
        <v>0</v>
      </c>
      <c r="I128">
        <v>0</v>
      </c>
      <c r="J128">
        <v>0.28488142413095069</v>
      </c>
      <c r="K128">
        <v>2.0802137456942589E-162</v>
      </c>
      <c r="L128">
        <v>2.73939836121296E-162</v>
      </c>
      <c r="M128">
        <v>0.1905697895902545</v>
      </c>
      <c r="N128">
        <v>8.3148142215945603E-157</v>
      </c>
      <c r="O128">
        <v>1.087899563960888E-156</v>
      </c>
      <c r="P128">
        <v>0.1527896142292679</v>
      </c>
      <c r="Q128">
        <v>0.92828442904166131</v>
      </c>
      <c r="R128">
        <v>-12.246544020438479</v>
      </c>
      <c r="S128">
        <v>0.28780768904498449</v>
      </c>
      <c r="T128">
        <v>0.22623123130743469</v>
      </c>
      <c r="U128">
        <v>4.4782817893529154</v>
      </c>
      <c r="V128">
        <v>0.1316732403778659</v>
      </c>
      <c r="W128">
        <v>-8.0894247665213381</v>
      </c>
      <c r="X128">
        <v>0.31270272932968513</v>
      </c>
      <c r="Z128" t="s">
        <v>392</v>
      </c>
      <c r="AA128">
        <v>9937</v>
      </c>
      <c r="AB128" t="s">
        <v>519</v>
      </c>
      <c r="AC128" t="str">
        <f>HYPERLINK("plots/20251231000436_3FT6Y121H01_04823_B11P_N_UFLEX98_M5358A8BH101511/dpll_52046/txpa_54160.png","plot")</f>
        <v>plot</v>
      </c>
    </row>
    <row r="129" spans="1:29" x14ac:dyDescent="0.35">
      <c r="A129" s="2" t="s">
        <v>46</v>
      </c>
      <c r="B129">
        <v>52046</v>
      </c>
      <c r="C129" t="s">
        <v>51</v>
      </c>
      <c r="D129">
        <v>54161</v>
      </c>
      <c r="E129" t="s">
        <v>181</v>
      </c>
      <c r="F129">
        <v>8716</v>
      </c>
      <c r="G129">
        <v>0.35586968333854901</v>
      </c>
      <c r="H129">
        <v>1.420299050074259E-258</v>
      </c>
      <c r="I129">
        <v>1.7393517352358691E-258</v>
      </c>
      <c r="J129">
        <v>0.21828386368304631</v>
      </c>
      <c r="K129">
        <v>1.6323533028604089E-94</v>
      </c>
      <c r="L129">
        <v>1.861874295951018E-94</v>
      </c>
      <c r="M129">
        <v>0.14632017839947781</v>
      </c>
      <c r="N129">
        <v>2.9684079843362062E-93</v>
      </c>
      <c r="O129">
        <v>3.3896010091406672E-93</v>
      </c>
      <c r="P129">
        <v>0.12664323151947909</v>
      </c>
      <c r="Q129">
        <v>0.96464838063169001</v>
      </c>
      <c r="R129">
        <v>-12.2046990858868</v>
      </c>
      <c r="S129">
        <v>0.33353890693724492</v>
      </c>
      <c r="T129">
        <v>0.2687881104293996</v>
      </c>
      <c r="U129">
        <v>4.4782817893529154</v>
      </c>
      <c r="V129">
        <v>0.1316732403778659</v>
      </c>
      <c r="W129">
        <v>-7.8847318097751264</v>
      </c>
      <c r="X129">
        <v>0.35692385176345409</v>
      </c>
      <c r="Z129" t="s">
        <v>392</v>
      </c>
      <c r="AA129">
        <v>9937</v>
      </c>
      <c r="AB129" t="s">
        <v>520</v>
      </c>
      <c r="AC129" t="str">
        <f>HYPERLINK("plots/20251231000436_3FT6Y121H01_04823_B11P_N_UFLEX98_M5358A8BH101511/dpll_52046/txpa_54161.png","plot")</f>
        <v>plot</v>
      </c>
    </row>
    <row r="130" spans="1:29" x14ac:dyDescent="0.35">
      <c r="A130" s="2" t="s">
        <v>46</v>
      </c>
      <c r="B130">
        <v>52046</v>
      </c>
      <c r="C130" t="s">
        <v>51</v>
      </c>
      <c r="D130">
        <v>54162</v>
      </c>
      <c r="E130" t="s">
        <v>182</v>
      </c>
      <c r="F130">
        <v>8716</v>
      </c>
      <c r="G130">
        <v>0.23619126857360609</v>
      </c>
      <c r="H130">
        <v>8.6890271366227077E-111</v>
      </c>
      <c r="I130">
        <v>9.5976835692107041E-111</v>
      </c>
      <c r="J130">
        <v>0.2226975066893214</v>
      </c>
      <c r="K130">
        <v>2.153016985800473E-98</v>
      </c>
      <c r="L130">
        <v>2.497893848514507E-98</v>
      </c>
      <c r="M130">
        <v>0.14823339144894249</v>
      </c>
      <c r="N130">
        <v>1.1859276121561351E-95</v>
      </c>
      <c r="O130">
        <v>1.372751825030047E-95</v>
      </c>
      <c r="P130">
        <v>5.5786315350409309E-2</v>
      </c>
      <c r="Q130">
        <v>0.73686703048393631</v>
      </c>
      <c r="R130">
        <v>-12.108145573685221</v>
      </c>
      <c r="S130">
        <v>0.39914715689227293</v>
      </c>
      <c r="T130">
        <v>0.2989024726841667</v>
      </c>
      <c r="U130">
        <v>4.4782817893529154</v>
      </c>
      <c r="V130">
        <v>0.1316732403778659</v>
      </c>
      <c r="W130">
        <v>-8.8082473698944472</v>
      </c>
      <c r="X130">
        <v>0.41079278763092292</v>
      </c>
      <c r="Z130" t="s">
        <v>392</v>
      </c>
      <c r="AA130">
        <v>9937</v>
      </c>
      <c r="AB130" t="s">
        <v>521</v>
      </c>
      <c r="AC130" t="str">
        <f>HYPERLINK("plots/20251231000436_3FT6Y121H01_04823_B11P_N_UFLEX98_M5358A8BH101511/dpll_52046/txpa_54162.png","plot")</f>
        <v>plot</v>
      </c>
    </row>
    <row r="131" spans="1:29" x14ac:dyDescent="0.35">
      <c r="A131" s="2" t="s">
        <v>46</v>
      </c>
      <c r="B131">
        <v>52046</v>
      </c>
      <c r="C131" t="s">
        <v>51</v>
      </c>
      <c r="D131">
        <v>54163</v>
      </c>
      <c r="E131" t="s">
        <v>183</v>
      </c>
      <c r="F131">
        <v>8716</v>
      </c>
      <c r="G131">
        <v>0.21802984863229541</v>
      </c>
      <c r="H131">
        <v>2.7133909738112321E-94</v>
      </c>
      <c r="I131">
        <v>2.9712510231583028E-94</v>
      </c>
      <c r="J131">
        <v>0.19391260898217169</v>
      </c>
      <c r="K131">
        <v>1.3159203097140151E-74</v>
      </c>
      <c r="L131">
        <v>1.4472268915943721E-74</v>
      </c>
      <c r="M131">
        <v>0.12735835659640071</v>
      </c>
      <c r="N131">
        <v>4.0748084458460033E-71</v>
      </c>
      <c r="O131">
        <v>4.4814053840432188E-71</v>
      </c>
      <c r="P131">
        <v>4.7537014894621643E-2</v>
      </c>
      <c r="Q131">
        <v>0.58995188484533145</v>
      </c>
      <c r="R131">
        <v>-5.3202119419740992</v>
      </c>
      <c r="S131">
        <v>0.34769408421153508</v>
      </c>
      <c r="T131">
        <v>0.26390955893233298</v>
      </c>
      <c r="U131">
        <v>4.4782817893529154</v>
      </c>
      <c r="V131">
        <v>0.1316732403778659</v>
      </c>
      <c r="W131">
        <v>-2.6782411594768241</v>
      </c>
      <c r="X131">
        <v>0.35628551242826489</v>
      </c>
      <c r="Z131" t="s">
        <v>392</v>
      </c>
      <c r="AA131">
        <v>9937</v>
      </c>
      <c r="AB131" t="s">
        <v>522</v>
      </c>
      <c r="AC131" t="str">
        <f>HYPERLINK("plots/20251231000436_3FT6Y121H01_04823_B11P_N_UFLEX98_M5358A8BH101511/dpll_52046/txpa_54163.png","plot")</f>
        <v>plot</v>
      </c>
    </row>
    <row r="132" spans="1:29" x14ac:dyDescent="0.35">
      <c r="A132" s="2" t="s">
        <v>46</v>
      </c>
      <c r="B132">
        <v>52046</v>
      </c>
      <c r="C132" t="s">
        <v>51</v>
      </c>
      <c r="D132">
        <v>54164</v>
      </c>
      <c r="E132" t="s">
        <v>184</v>
      </c>
      <c r="F132">
        <v>8716</v>
      </c>
      <c r="G132">
        <v>0.35737266200055012</v>
      </c>
      <c r="H132">
        <v>6.7073228190952688E-261</v>
      </c>
      <c r="I132">
        <v>8.2739967622416086E-261</v>
      </c>
      <c r="J132">
        <v>0.28874812047987569</v>
      </c>
      <c r="K132">
        <v>5.4827308161440793E-167</v>
      </c>
      <c r="L132">
        <v>7.363561652410724E-167</v>
      </c>
      <c r="M132">
        <v>0.19460819480903199</v>
      </c>
      <c r="N132">
        <v>1.8412236816238999E-163</v>
      </c>
      <c r="O132">
        <v>2.4437183418411449E-163</v>
      </c>
      <c r="P132">
        <v>0.12771521954535939</v>
      </c>
      <c r="Q132">
        <v>0.85590702956419784</v>
      </c>
      <c r="R132">
        <v>-6.1032122264281234</v>
      </c>
      <c r="S132">
        <v>0.29451473083331198</v>
      </c>
      <c r="T132">
        <v>0.231429698097982</v>
      </c>
      <c r="U132">
        <v>4.4782817893529154</v>
      </c>
      <c r="V132">
        <v>0.1316732403778659</v>
      </c>
      <c r="W132">
        <v>-2.27021936255163</v>
      </c>
      <c r="X132">
        <v>0.31535722798163662</v>
      </c>
      <c r="Z132" t="s">
        <v>392</v>
      </c>
      <c r="AA132">
        <v>9937</v>
      </c>
      <c r="AB132" t="s">
        <v>523</v>
      </c>
      <c r="AC132" t="str">
        <f>HYPERLINK("plots/20251231000436_3FT6Y121H01_04823_B11P_N_UFLEX98_M5358A8BH101511/dpll_52046/txpa_54164.png","plot")</f>
        <v>plot</v>
      </c>
    </row>
    <row r="133" spans="1:29" x14ac:dyDescent="0.35">
      <c r="A133" s="2" t="s">
        <v>46</v>
      </c>
      <c r="B133">
        <v>52046</v>
      </c>
      <c r="C133" t="s">
        <v>51</v>
      </c>
      <c r="D133">
        <v>54165</v>
      </c>
      <c r="E133" t="s">
        <v>185</v>
      </c>
      <c r="F133">
        <v>8716</v>
      </c>
      <c r="G133">
        <v>0.36983201338090382</v>
      </c>
      <c r="H133">
        <v>1.1330153450315661E-280</v>
      </c>
      <c r="I133">
        <v>1.4396961903032679E-280</v>
      </c>
      <c r="J133">
        <v>0.23901904517859579</v>
      </c>
      <c r="K133">
        <v>1.7335199724044629E-113</v>
      </c>
      <c r="L133">
        <v>2.0607142462111669E-113</v>
      </c>
      <c r="M133">
        <v>0.160889206140372</v>
      </c>
      <c r="N133">
        <v>2.3380069474044921E-112</v>
      </c>
      <c r="O133">
        <v>2.7727942042902389E-112</v>
      </c>
      <c r="P133">
        <v>0.13677571812137301</v>
      </c>
      <c r="Q133">
        <v>0.94340946845364138</v>
      </c>
      <c r="R133">
        <v>-6.1418278861573476</v>
      </c>
      <c r="S133">
        <v>0.31205429273297058</v>
      </c>
      <c r="T133">
        <v>0.2497008202996242</v>
      </c>
      <c r="U133">
        <v>4.4782817893529154</v>
      </c>
      <c r="V133">
        <v>0.1316732403778659</v>
      </c>
      <c r="W133">
        <v>-1.9169744436782929</v>
      </c>
      <c r="X133">
        <v>0.33588704390095731</v>
      </c>
      <c r="Z133" t="s">
        <v>392</v>
      </c>
      <c r="AA133">
        <v>9937</v>
      </c>
      <c r="AB133" t="s">
        <v>524</v>
      </c>
      <c r="AC133" t="str">
        <f>HYPERLINK("plots/20251231000436_3FT6Y121H01_04823_B11P_N_UFLEX98_M5358A8BH101511/dpll_52046/txpa_54165.png","plot")</f>
        <v>plot</v>
      </c>
    </row>
    <row r="134" spans="1:29" x14ac:dyDescent="0.35">
      <c r="A134" s="2" t="s">
        <v>46</v>
      </c>
      <c r="B134">
        <v>52046</v>
      </c>
      <c r="C134" t="s">
        <v>51</v>
      </c>
      <c r="D134">
        <v>54166</v>
      </c>
      <c r="E134" t="s">
        <v>186</v>
      </c>
      <c r="F134">
        <v>8716</v>
      </c>
      <c r="G134">
        <v>0.39635118197191721</v>
      </c>
      <c r="H134">
        <v>0</v>
      </c>
      <c r="I134">
        <v>0</v>
      </c>
      <c r="J134">
        <v>0.29942751438015253</v>
      </c>
      <c r="K134">
        <v>5.1498730465486418E-180</v>
      </c>
      <c r="L134">
        <v>7.2027189920004457E-180</v>
      </c>
      <c r="M134">
        <v>0.20225904285399801</v>
      </c>
      <c r="N134">
        <v>2.1117709865416388E-176</v>
      </c>
      <c r="O134">
        <v>2.9293239129319049E-176</v>
      </c>
      <c r="P134">
        <v>0.15709425945053579</v>
      </c>
      <c r="Q134">
        <v>0.92824268171005475</v>
      </c>
      <c r="R134">
        <v>-6.4606006424852254</v>
      </c>
      <c r="S134">
        <v>0.2831023603877767</v>
      </c>
      <c r="T134">
        <v>0.22407073535992481</v>
      </c>
      <c r="U134">
        <v>4.4782817893529154</v>
      </c>
      <c r="V134">
        <v>0.1316732403778659</v>
      </c>
      <c r="W134">
        <v>-2.3036683448829738</v>
      </c>
      <c r="X134">
        <v>0.30837481334031441</v>
      </c>
      <c r="Z134" t="s">
        <v>392</v>
      </c>
      <c r="AA134">
        <v>9937</v>
      </c>
      <c r="AB134" t="s">
        <v>525</v>
      </c>
      <c r="AC134" t="str">
        <f>HYPERLINK("plots/20251231000436_3FT6Y121H01_04823_B11P_N_UFLEX98_M5358A8BH101511/dpll_52046/txpa_54166.png","plot")</f>
        <v>plot</v>
      </c>
    </row>
    <row r="135" spans="1:29" x14ac:dyDescent="0.35">
      <c r="A135" s="2" t="s">
        <v>46</v>
      </c>
      <c r="B135">
        <v>52046</v>
      </c>
      <c r="C135" t="s">
        <v>51</v>
      </c>
      <c r="D135">
        <v>54167</v>
      </c>
      <c r="E135" t="s">
        <v>187</v>
      </c>
      <c r="F135">
        <v>8716</v>
      </c>
      <c r="G135">
        <v>0.39379692784498133</v>
      </c>
      <c r="H135">
        <v>0</v>
      </c>
      <c r="I135">
        <v>0</v>
      </c>
      <c r="J135">
        <v>0.27767652328736298</v>
      </c>
      <c r="K135">
        <v>4.5473754534270107E-154</v>
      </c>
      <c r="L135">
        <v>5.8739346621337438E-154</v>
      </c>
      <c r="M135">
        <v>0.1862896507031841</v>
      </c>
      <c r="N135">
        <v>5.9068515630269392E-150</v>
      </c>
      <c r="O135">
        <v>7.6106067152596137E-150</v>
      </c>
      <c r="P135">
        <v>0.1550760203801454</v>
      </c>
      <c r="Q135">
        <v>0.86637802572705502</v>
      </c>
      <c r="R135">
        <v>-5.9585839591731604</v>
      </c>
      <c r="S135">
        <v>0.26626650089790521</v>
      </c>
      <c r="T135">
        <v>0.20912075084815551</v>
      </c>
      <c r="U135">
        <v>4.4782817893529154</v>
      </c>
      <c r="V135">
        <v>0.1316732403778659</v>
      </c>
      <c r="W135">
        <v>-2.0786990238641581</v>
      </c>
      <c r="X135">
        <v>0.28968941597372411</v>
      </c>
      <c r="Z135" t="s">
        <v>392</v>
      </c>
      <c r="AA135">
        <v>9937</v>
      </c>
      <c r="AB135" t="s">
        <v>526</v>
      </c>
      <c r="AC135" t="str">
        <f>HYPERLINK("plots/20251231000436_3FT6Y121H01_04823_B11P_N_UFLEX98_M5358A8BH101511/dpll_52046/txpa_54167.png","plot")</f>
        <v>plot</v>
      </c>
    </row>
    <row r="136" spans="1:29" x14ac:dyDescent="0.35">
      <c r="A136" s="2" t="s">
        <v>46</v>
      </c>
      <c r="B136">
        <v>52046</v>
      </c>
      <c r="C136" t="s">
        <v>51</v>
      </c>
      <c r="D136">
        <v>54168</v>
      </c>
      <c r="E136" t="s">
        <v>188</v>
      </c>
      <c r="F136">
        <v>8716</v>
      </c>
      <c r="G136">
        <v>0.41945701797907031</v>
      </c>
      <c r="H136">
        <v>0</v>
      </c>
      <c r="I136">
        <v>0</v>
      </c>
      <c r="J136">
        <v>0.3066248360311512</v>
      </c>
      <c r="K136">
        <v>4.1024722023835047E-189</v>
      </c>
      <c r="L136">
        <v>5.917363887932964E-189</v>
      </c>
      <c r="M136">
        <v>0.20583068955245551</v>
      </c>
      <c r="N136">
        <v>1.3025506098643201E-182</v>
      </c>
      <c r="O136">
        <v>1.852435229175905E-182</v>
      </c>
      <c r="P136">
        <v>0.17594418993189409</v>
      </c>
      <c r="Q136">
        <v>0.87150862195063694</v>
      </c>
      <c r="R136">
        <v>-6.0641629422076377</v>
      </c>
      <c r="S136">
        <v>0.24833340544822169</v>
      </c>
      <c r="T136">
        <v>0.19440208847912199</v>
      </c>
      <c r="U136">
        <v>4.4782817893529154</v>
      </c>
      <c r="V136">
        <v>0.1316732403778659</v>
      </c>
      <c r="W136">
        <v>-2.1613017512620472</v>
      </c>
      <c r="X136">
        <v>0.27357836286151921</v>
      </c>
      <c r="Z136" t="s">
        <v>392</v>
      </c>
      <c r="AA136">
        <v>9937</v>
      </c>
      <c r="AB136" t="s">
        <v>527</v>
      </c>
      <c r="AC136" t="str">
        <f>HYPERLINK("plots/20251231000436_3FT6Y121H01_04823_B11P_N_UFLEX98_M5358A8BH101511/dpll_52046/txpa_54168.png","plot")</f>
        <v>plot</v>
      </c>
    </row>
    <row r="137" spans="1:29" x14ac:dyDescent="0.35">
      <c r="A137" s="2" t="s">
        <v>46</v>
      </c>
      <c r="B137">
        <v>52046</v>
      </c>
      <c r="C137" t="s">
        <v>51</v>
      </c>
      <c r="D137">
        <v>54169</v>
      </c>
      <c r="E137" t="s">
        <v>189</v>
      </c>
      <c r="F137">
        <v>8716</v>
      </c>
      <c r="G137">
        <v>0.38221882958403658</v>
      </c>
      <c r="H137">
        <v>3.2284932538041198E-301</v>
      </c>
      <c r="I137">
        <v>4.1970412299453561E-301</v>
      </c>
      <c r="J137">
        <v>0.23735370469500411</v>
      </c>
      <c r="K137">
        <v>6.8136950994836277E-112</v>
      </c>
      <c r="L137">
        <v>8.0713631201827088E-112</v>
      </c>
      <c r="M137">
        <v>0.15957194779913031</v>
      </c>
      <c r="N137">
        <v>1.4783096714681019E-110</v>
      </c>
      <c r="O137">
        <v>1.7450593793581561E-110</v>
      </c>
      <c r="P137">
        <v>0.14609123368859081</v>
      </c>
      <c r="Q137">
        <v>0.91146858962511323</v>
      </c>
      <c r="R137">
        <v>-6.0632895446427417</v>
      </c>
      <c r="S137">
        <v>0.2901402446782928</v>
      </c>
      <c r="T137">
        <v>0.2336026163418585</v>
      </c>
      <c r="U137">
        <v>4.4782817893529154</v>
      </c>
      <c r="V137">
        <v>0.1316732403778659</v>
      </c>
      <c r="W137">
        <v>-1.981476358157412</v>
      </c>
      <c r="X137">
        <v>0.3139981952987343</v>
      </c>
      <c r="Z137" t="s">
        <v>392</v>
      </c>
      <c r="AA137">
        <v>9937</v>
      </c>
      <c r="AB137" t="s">
        <v>528</v>
      </c>
      <c r="AC137" t="str">
        <f>HYPERLINK("plots/20251231000436_3FT6Y121H01_04823_B11P_N_UFLEX98_M5358A8BH101511/dpll_52046/txpa_54169.png","plot")</f>
        <v>plot</v>
      </c>
    </row>
    <row r="138" spans="1:29" x14ac:dyDescent="0.35">
      <c r="A138" s="2" t="s">
        <v>46</v>
      </c>
      <c r="B138">
        <v>52046</v>
      </c>
      <c r="C138" t="s">
        <v>51</v>
      </c>
      <c r="D138">
        <v>54170</v>
      </c>
      <c r="E138" t="s">
        <v>190</v>
      </c>
      <c r="F138">
        <v>8716</v>
      </c>
      <c r="G138">
        <v>0.25112998778284668</v>
      </c>
      <c r="H138">
        <v>1.8481858903599051E-125</v>
      </c>
      <c r="I138">
        <v>2.0684994402041321E-125</v>
      </c>
      <c r="J138">
        <v>0.2373133535929855</v>
      </c>
      <c r="K138">
        <v>7.4449514345240177E-112</v>
      </c>
      <c r="L138">
        <v>8.8088456879899115E-112</v>
      </c>
      <c r="M138">
        <v>0.15835825934044551</v>
      </c>
      <c r="N138">
        <v>6.5616780755914386E-109</v>
      </c>
      <c r="O138">
        <v>7.7187257176910884E-109</v>
      </c>
      <c r="P138">
        <v>6.3066270763812743E-2</v>
      </c>
      <c r="Q138">
        <v>0.68810538060111448</v>
      </c>
      <c r="R138">
        <v>-5.8454391225455087</v>
      </c>
      <c r="S138">
        <v>0.34920738809816138</v>
      </c>
      <c r="T138">
        <v>0.26083746836804678</v>
      </c>
      <c r="U138">
        <v>4.4782817893529154</v>
      </c>
      <c r="V138">
        <v>0.1316732403778659</v>
      </c>
      <c r="W138">
        <v>-2.7639093274437809</v>
      </c>
      <c r="X138">
        <v>0.36078950978781599</v>
      </c>
      <c r="Z138" t="s">
        <v>392</v>
      </c>
      <c r="AA138">
        <v>9937</v>
      </c>
      <c r="AB138" t="s">
        <v>529</v>
      </c>
      <c r="AC138" t="str">
        <f>HYPERLINK("plots/20251231000436_3FT6Y121H01_04823_B11P_N_UFLEX98_M5358A8BH101511/dpll_52046/txpa_54170.png","plot")</f>
        <v>plot</v>
      </c>
    </row>
    <row r="139" spans="1:29" x14ac:dyDescent="0.35">
      <c r="A139" s="2" t="s">
        <v>46</v>
      </c>
      <c r="B139">
        <v>52046</v>
      </c>
      <c r="C139" t="s">
        <v>51</v>
      </c>
      <c r="D139">
        <v>54171</v>
      </c>
      <c r="E139" t="s">
        <v>191</v>
      </c>
      <c r="F139">
        <v>8716</v>
      </c>
      <c r="G139">
        <v>0.24434634265925881</v>
      </c>
      <c r="H139">
        <v>1.1338616193817109E-118</v>
      </c>
      <c r="I139">
        <v>1.259294284833577E-118</v>
      </c>
      <c r="J139">
        <v>0.2172727467374124</v>
      </c>
      <c r="K139">
        <v>1.229258765253652E-93</v>
      </c>
      <c r="L139">
        <v>1.397386085165025E-93</v>
      </c>
      <c r="M139">
        <v>0.1434432612077059</v>
      </c>
      <c r="N139">
        <v>1.038403049618487E-89</v>
      </c>
      <c r="O139">
        <v>1.175157022670922E-89</v>
      </c>
      <c r="P139">
        <v>5.9705135170955922E-2</v>
      </c>
      <c r="Q139">
        <v>0.62932050121705341</v>
      </c>
      <c r="R139">
        <v>-2.647184528459757</v>
      </c>
      <c r="S139">
        <v>0.32882942827636569</v>
      </c>
      <c r="T139">
        <v>0.24785598011162049</v>
      </c>
      <c r="U139">
        <v>4.4782817893529154</v>
      </c>
      <c r="V139">
        <v>0.1316732403778659</v>
      </c>
      <c r="W139">
        <v>0.1710900118070216</v>
      </c>
      <c r="X139">
        <v>0.3391279309918997</v>
      </c>
      <c r="Z139" t="s">
        <v>392</v>
      </c>
      <c r="AA139">
        <v>9937</v>
      </c>
      <c r="AB139" t="s">
        <v>530</v>
      </c>
      <c r="AC139" t="str">
        <f>HYPERLINK("plots/20251231000436_3FT6Y121H01_04823_B11P_N_UFLEX98_M5358A8BH101511/dpll_52046/txpa_54171.png","plot")</f>
        <v>plot</v>
      </c>
    </row>
    <row r="140" spans="1:29" x14ac:dyDescent="0.35">
      <c r="A140" s="2" t="s">
        <v>46</v>
      </c>
      <c r="B140">
        <v>52046</v>
      </c>
      <c r="C140" t="s">
        <v>51</v>
      </c>
      <c r="D140">
        <v>54172</v>
      </c>
      <c r="E140" t="s">
        <v>192</v>
      </c>
      <c r="F140">
        <v>8716</v>
      </c>
      <c r="G140">
        <v>0.38438360284277712</v>
      </c>
      <c r="H140">
        <v>6.6919824376367261E-305</v>
      </c>
      <c r="I140">
        <v>8.7557034732434064E-305</v>
      </c>
      <c r="J140">
        <v>0.30959847372243671</v>
      </c>
      <c r="K140">
        <v>5.9952721477862411E-193</v>
      </c>
      <c r="L140">
        <v>8.7344913187575405E-193</v>
      </c>
      <c r="M140">
        <v>0.2093527933199823</v>
      </c>
      <c r="N140">
        <v>7.5299701678267164E-189</v>
      </c>
      <c r="O140">
        <v>1.095464813511663E-188</v>
      </c>
      <c r="P140">
        <v>0.14775075413439381</v>
      </c>
      <c r="Q140">
        <v>0.88480754361542358</v>
      </c>
      <c r="R140">
        <v>-3.414956680519539</v>
      </c>
      <c r="S140">
        <v>0.27979495833729501</v>
      </c>
      <c r="T140">
        <v>0.2187794605245251</v>
      </c>
      <c r="U140">
        <v>4.4782817893529154</v>
      </c>
      <c r="V140">
        <v>0.1316732403778659</v>
      </c>
      <c r="W140">
        <v>0.54746082913549787</v>
      </c>
      <c r="X140">
        <v>0.30309689465675888</v>
      </c>
      <c r="Z140" t="s">
        <v>392</v>
      </c>
      <c r="AA140">
        <v>9937</v>
      </c>
      <c r="AB140" t="s">
        <v>531</v>
      </c>
      <c r="AC140" t="str">
        <f>HYPERLINK("plots/20251231000436_3FT6Y121H01_04823_B11P_N_UFLEX98_M5358A8BH101511/dpll_52046/txpa_54172.png","plot")</f>
        <v>plot</v>
      </c>
    </row>
    <row r="141" spans="1:29" x14ac:dyDescent="0.35">
      <c r="A141" s="2" t="s">
        <v>46</v>
      </c>
      <c r="B141">
        <v>52046</v>
      </c>
      <c r="C141" t="s">
        <v>51</v>
      </c>
      <c r="D141">
        <v>54173</v>
      </c>
      <c r="E141" t="s">
        <v>193</v>
      </c>
      <c r="F141">
        <v>8716</v>
      </c>
      <c r="G141">
        <v>0.39826706542746859</v>
      </c>
      <c r="H141">
        <v>0</v>
      </c>
      <c r="I141">
        <v>0</v>
      </c>
      <c r="J141">
        <v>0.26475993535525028</v>
      </c>
      <c r="K141">
        <v>9.7604194208223698E-140</v>
      </c>
      <c r="L141">
        <v>1.212875648616897E-139</v>
      </c>
      <c r="M141">
        <v>0.1785211540121148</v>
      </c>
      <c r="N141">
        <v>7.0545515886041455E-138</v>
      </c>
      <c r="O141">
        <v>8.7663177828977981E-138</v>
      </c>
      <c r="P141">
        <v>0.15861665540420761</v>
      </c>
      <c r="Q141">
        <v>0.97046562407314452</v>
      </c>
      <c r="R141">
        <v>-3.4779933806807839</v>
      </c>
      <c r="S141">
        <v>0.29428987872392892</v>
      </c>
      <c r="T141">
        <v>0.2332385073246126</v>
      </c>
      <c r="U141">
        <v>4.4782817893529154</v>
      </c>
      <c r="V141">
        <v>0.1316732403778659</v>
      </c>
      <c r="W141">
        <v>0.86802515079899034</v>
      </c>
      <c r="X141">
        <v>0.32085091761199269</v>
      </c>
      <c r="Z141" t="s">
        <v>392</v>
      </c>
      <c r="AA141">
        <v>9937</v>
      </c>
      <c r="AB141" t="s">
        <v>532</v>
      </c>
      <c r="AC141" t="str">
        <f>HYPERLINK("plots/20251231000436_3FT6Y121H01_04823_B11P_N_UFLEX98_M5358A8BH101511/dpll_52046/txpa_54173.png","plot")</f>
        <v>plot</v>
      </c>
    </row>
    <row r="142" spans="1:29" x14ac:dyDescent="0.35">
      <c r="A142" s="2" t="s">
        <v>46</v>
      </c>
      <c r="B142">
        <v>52046</v>
      </c>
      <c r="C142" t="s">
        <v>51</v>
      </c>
      <c r="D142">
        <v>54174</v>
      </c>
      <c r="E142" t="s">
        <v>194</v>
      </c>
      <c r="F142">
        <v>8716</v>
      </c>
      <c r="G142">
        <v>0.42145376720731109</v>
      </c>
      <c r="H142">
        <v>0</v>
      </c>
      <c r="I142">
        <v>0</v>
      </c>
      <c r="J142">
        <v>0.31963122078285189</v>
      </c>
      <c r="K142">
        <v>3.2053854442891308E-206</v>
      </c>
      <c r="L142">
        <v>4.8656599408820051E-206</v>
      </c>
      <c r="M142">
        <v>0.21640825760713431</v>
      </c>
      <c r="N142">
        <v>1.192742430237839E-201</v>
      </c>
      <c r="O142">
        <v>1.79176418409062E-201</v>
      </c>
      <c r="P142">
        <v>0.1776232778932344</v>
      </c>
      <c r="Q142">
        <v>0.95034787826548051</v>
      </c>
      <c r="R142">
        <v>-3.7408465720183539</v>
      </c>
      <c r="S142">
        <v>0.26924068200733781</v>
      </c>
      <c r="T142">
        <v>0.21178937228092151</v>
      </c>
      <c r="U142">
        <v>4.4782817893529154</v>
      </c>
      <c r="V142">
        <v>0.1316732403778659</v>
      </c>
      <c r="W142">
        <v>0.51507902476812761</v>
      </c>
      <c r="X142">
        <v>0.29691366966923322</v>
      </c>
      <c r="Z142" t="s">
        <v>392</v>
      </c>
      <c r="AA142">
        <v>9937</v>
      </c>
      <c r="AB142" t="s">
        <v>533</v>
      </c>
      <c r="AC142" t="str">
        <f>HYPERLINK("plots/20251231000436_3FT6Y121H01_04823_B11P_N_UFLEX98_M5358A8BH101511/dpll_52046/txpa_54174.png","plot")</f>
        <v>plot</v>
      </c>
    </row>
    <row r="143" spans="1:29" x14ac:dyDescent="0.35">
      <c r="A143" s="2" t="s">
        <v>46</v>
      </c>
      <c r="B143">
        <v>52046</v>
      </c>
      <c r="C143" t="s">
        <v>51</v>
      </c>
      <c r="D143">
        <v>54175</v>
      </c>
      <c r="E143" t="s">
        <v>195</v>
      </c>
      <c r="F143">
        <v>8716</v>
      </c>
      <c r="G143">
        <v>0.42389287594689212</v>
      </c>
      <c r="H143">
        <v>0</v>
      </c>
      <c r="I143">
        <v>0</v>
      </c>
      <c r="J143">
        <v>0.30270778999165349</v>
      </c>
      <c r="K143">
        <v>3.9542845618475652E-184</v>
      </c>
      <c r="L143">
        <v>5.5922518071317025E-184</v>
      </c>
      <c r="M143">
        <v>0.20357657402315191</v>
      </c>
      <c r="N143">
        <v>1.101383431105728E-178</v>
      </c>
      <c r="O143">
        <v>1.544678836986457E-178</v>
      </c>
      <c r="P143">
        <v>0.17968517027852721</v>
      </c>
      <c r="Q143">
        <v>0.89938107054745375</v>
      </c>
      <c r="R143">
        <v>-3.304414397207073</v>
      </c>
      <c r="S143">
        <v>0.25301747338535407</v>
      </c>
      <c r="T143">
        <v>0.19740503224161141</v>
      </c>
      <c r="U143">
        <v>4.4782817893529154</v>
      </c>
      <c r="V143">
        <v>0.1316732403778659</v>
      </c>
      <c r="W143">
        <v>0.72326747271431857</v>
      </c>
      <c r="X143">
        <v>0.27937346111080708</v>
      </c>
      <c r="Z143" t="s">
        <v>392</v>
      </c>
      <c r="AA143">
        <v>9937</v>
      </c>
      <c r="AB143" t="s">
        <v>534</v>
      </c>
      <c r="AC143" t="str">
        <f>HYPERLINK("plots/20251231000436_3FT6Y121H01_04823_B11P_N_UFLEX98_M5358A8BH101511/dpll_52046/txpa_54175.png","plot")</f>
        <v>plot</v>
      </c>
    </row>
    <row r="144" spans="1:29" x14ac:dyDescent="0.35">
      <c r="A144" s="2" t="s">
        <v>46</v>
      </c>
      <c r="B144">
        <v>52046</v>
      </c>
      <c r="C144" t="s">
        <v>51</v>
      </c>
      <c r="D144">
        <v>54176</v>
      </c>
      <c r="E144" t="s">
        <v>196</v>
      </c>
      <c r="F144">
        <v>8716</v>
      </c>
      <c r="G144">
        <v>0.44855188818705788</v>
      </c>
      <c r="H144">
        <v>0</v>
      </c>
      <c r="I144">
        <v>0</v>
      </c>
      <c r="J144">
        <v>0.33124490552911201</v>
      </c>
      <c r="K144">
        <v>3.1042909936815627E-222</v>
      </c>
      <c r="L144">
        <v>4.88781221675948E-222</v>
      </c>
      <c r="M144">
        <v>0.22318643854829839</v>
      </c>
      <c r="N144">
        <v>2.4041970524813271E-214</v>
      </c>
      <c r="O144">
        <v>3.7105872316835099E-214</v>
      </c>
      <c r="P144">
        <v>0.20119879639617491</v>
      </c>
      <c r="Q144">
        <v>0.89998998923837747</v>
      </c>
      <c r="R144">
        <v>-3.3859165328671428</v>
      </c>
      <c r="S144">
        <v>0.23611139825866831</v>
      </c>
      <c r="T144">
        <v>0.1835305162382018</v>
      </c>
      <c r="U144">
        <v>4.4782817893529154</v>
      </c>
      <c r="V144">
        <v>0.1316732403778659</v>
      </c>
      <c r="W144">
        <v>0.64449224653900872</v>
      </c>
      <c r="X144">
        <v>0.26419373390584933</v>
      </c>
      <c r="Z144" t="s">
        <v>392</v>
      </c>
      <c r="AA144">
        <v>9937</v>
      </c>
      <c r="AB144" t="s">
        <v>535</v>
      </c>
      <c r="AC144" t="str">
        <f>HYPERLINK("plots/20251231000436_3FT6Y121H01_04823_B11P_N_UFLEX98_M5358A8BH101511/dpll_52046/txpa_54176.png","plot")</f>
        <v>plot</v>
      </c>
    </row>
    <row r="145" spans="1:29" x14ac:dyDescent="0.35">
      <c r="A145" s="2" t="s">
        <v>46</v>
      </c>
      <c r="B145">
        <v>52046</v>
      </c>
      <c r="C145" t="s">
        <v>51</v>
      </c>
      <c r="D145">
        <v>54177</v>
      </c>
      <c r="E145" t="s">
        <v>197</v>
      </c>
      <c r="F145">
        <v>8716</v>
      </c>
      <c r="G145">
        <v>0.41159441212033959</v>
      </c>
      <c r="H145">
        <v>0</v>
      </c>
      <c r="I145">
        <v>0</v>
      </c>
      <c r="J145">
        <v>0.26120187631945008</v>
      </c>
      <c r="K145">
        <v>6.3029309077666933E-136</v>
      </c>
      <c r="L145">
        <v>7.7657010212338112E-136</v>
      </c>
      <c r="M145">
        <v>0.17588450224638749</v>
      </c>
      <c r="N145">
        <v>6.8013204246902815E-134</v>
      </c>
      <c r="O145">
        <v>8.339224801252655E-134</v>
      </c>
      <c r="P145">
        <v>0.169409960088688</v>
      </c>
      <c r="Q145">
        <v>0.9376209273595878</v>
      </c>
      <c r="R145">
        <v>-3.386053922920087</v>
      </c>
      <c r="S145">
        <v>0.27335296550834709</v>
      </c>
      <c r="T145">
        <v>0.21819350092122661</v>
      </c>
      <c r="U145">
        <v>4.4782817893529154</v>
      </c>
      <c r="V145">
        <v>0.1316732403778659</v>
      </c>
      <c r="W145">
        <v>0.81287680139054608</v>
      </c>
      <c r="X145">
        <v>0.29995447488106369</v>
      </c>
      <c r="Z145" t="s">
        <v>392</v>
      </c>
      <c r="AA145">
        <v>9937</v>
      </c>
      <c r="AB145" t="s">
        <v>536</v>
      </c>
      <c r="AC145" t="str">
        <f>HYPERLINK("plots/20251231000436_3FT6Y121H01_04823_B11P_N_UFLEX98_M5358A8BH101511/dpll_52046/txpa_54177.png","plot")</f>
        <v>plot</v>
      </c>
    </row>
    <row r="146" spans="1:29" x14ac:dyDescent="0.35">
      <c r="A146" s="2" t="s">
        <v>46</v>
      </c>
      <c r="B146">
        <v>52046</v>
      </c>
      <c r="C146" t="s">
        <v>51</v>
      </c>
      <c r="D146">
        <v>54178</v>
      </c>
      <c r="E146" t="s">
        <v>198</v>
      </c>
      <c r="F146">
        <v>8716</v>
      </c>
      <c r="G146">
        <v>0.27743648399293552</v>
      </c>
      <c r="H146">
        <v>8.5372304417401433E-154</v>
      </c>
      <c r="I146">
        <v>9.6507822384888571E-154</v>
      </c>
      <c r="J146">
        <v>0.2579399654847791</v>
      </c>
      <c r="K146">
        <v>1.7408487306221909E-132</v>
      </c>
      <c r="L146">
        <v>2.1319089527184811E-132</v>
      </c>
      <c r="M146">
        <v>0.17313012563469199</v>
      </c>
      <c r="N146">
        <v>8.5558699956353616E-130</v>
      </c>
      <c r="O146">
        <v>1.04274665571806E-129</v>
      </c>
      <c r="P146">
        <v>7.6971002650362372E-2</v>
      </c>
      <c r="Q146">
        <v>0.7227349789480223</v>
      </c>
      <c r="R146">
        <v>-3.1380683059900458</v>
      </c>
      <c r="S146">
        <v>0.32953062569432018</v>
      </c>
      <c r="T146">
        <v>0.2455064790745636</v>
      </c>
      <c r="U146">
        <v>4.4782817893529154</v>
      </c>
      <c r="V146">
        <v>0.1316732403778659</v>
      </c>
      <c r="W146">
        <v>9.8542588761243693E-2</v>
      </c>
      <c r="X146">
        <v>0.34301493171654401</v>
      </c>
      <c r="Z146" t="s">
        <v>392</v>
      </c>
      <c r="AA146">
        <v>9937</v>
      </c>
      <c r="AB146" t="s">
        <v>537</v>
      </c>
      <c r="AC146" t="str">
        <f>HYPERLINK("plots/20251231000436_3FT6Y121H01_04823_B11P_N_UFLEX98_M5358A8BH101511/dpll_52046/txpa_54178.png","plot")</f>
        <v>plot</v>
      </c>
    </row>
    <row r="147" spans="1:29" x14ac:dyDescent="0.35">
      <c r="A147" s="2" t="s">
        <v>46</v>
      </c>
      <c r="B147">
        <v>52046</v>
      </c>
      <c r="C147" t="s">
        <v>51</v>
      </c>
      <c r="D147">
        <v>54179</v>
      </c>
      <c r="E147" t="s">
        <v>199</v>
      </c>
      <c r="F147">
        <v>8716</v>
      </c>
      <c r="G147">
        <v>0.29881945476067379</v>
      </c>
      <c r="H147">
        <v>2.942054703584667E-179</v>
      </c>
      <c r="I147">
        <v>3.359508411525735E-179</v>
      </c>
      <c r="J147">
        <v>0.26512214998245381</v>
      </c>
      <c r="K147">
        <v>3.9653678825307318E-140</v>
      </c>
      <c r="L147">
        <v>4.9335988133572548E-140</v>
      </c>
      <c r="M147">
        <v>0.17796028193521771</v>
      </c>
      <c r="N147">
        <v>5.0039725447721788E-137</v>
      </c>
      <c r="O147">
        <v>6.1878392199987673E-137</v>
      </c>
      <c r="P147">
        <v>8.9293066543466401E-2</v>
      </c>
      <c r="Q147">
        <v>0.73155069261855288</v>
      </c>
      <c r="R147">
        <v>9.9799648855804168E-2</v>
      </c>
      <c r="S147">
        <v>0.30760790126616722</v>
      </c>
      <c r="T147">
        <v>0.22794368882496499</v>
      </c>
      <c r="U147">
        <v>4.4782817893529154</v>
      </c>
      <c r="V147">
        <v>0.1316732403778659</v>
      </c>
      <c r="W147">
        <v>3.375889793597981</v>
      </c>
      <c r="X147">
        <v>0.3223540123078828</v>
      </c>
      <c r="Z147" t="s">
        <v>392</v>
      </c>
      <c r="AA147">
        <v>9937</v>
      </c>
      <c r="AB147" t="s">
        <v>538</v>
      </c>
      <c r="AC147" t="str">
        <f>HYPERLINK("plots/20251231000436_3FT6Y121H01_04823_B11P_N_UFLEX98_M5358A8BH101511/dpll_52046/txpa_54179.png","plot")</f>
        <v>plot</v>
      </c>
    </row>
    <row r="148" spans="1:29" x14ac:dyDescent="0.35">
      <c r="A148" s="2" t="s">
        <v>46</v>
      </c>
      <c r="B148">
        <v>52046</v>
      </c>
      <c r="C148" t="s">
        <v>51</v>
      </c>
      <c r="D148">
        <v>54180</v>
      </c>
      <c r="E148" t="s">
        <v>200</v>
      </c>
      <c r="F148">
        <v>8716</v>
      </c>
      <c r="G148">
        <v>0.43132035906825172</v>
      </c>
      <c r="H148">
        <v>0</v>
      </c>
      <c r="I148">
        <v>0</v>
      </c>
      <c r="J148">
        <v>0.34689797649970111</v>
      </c>
      <c r="K148">
        <v>5.9550894477408738E-245</v>
      </c>
      <c r="L148">
        <v>1.0047355574058651E-244</v>
      </c>
      <c r="M148">
        <v>0.23615139270481561</v>
      </c>
      <c r="N148">
        <v>1.007480516516689E-239</v>
      </c>
      <c r="O148">
        <v>1.685784230607132E-239</v>
      </c>
      <c r="P148">
        <v>0.18603725214676561</v>
      </c>
      <c r="Q148">
        <v>0.97208244420839129</v>
      </c>
      <c r="R148">
        <v>-0.64715996044755908</v>
      </c>
      <c r="S148">
        <v>0.26771827293304401</v>
      </c>
      <c r="T148">
        <v>0.20648257270031731</v>
      </c>
      <c r="U148">
        <v>4.4782817893529154</v>
      </c>
      <c r="V148">
        <v>0.1316732403778659</v>
      </c>
      <c r="W148">
        <v>3.70609914720055</v>
      </c>
      <c r="X148">
        <v>0.29675679028891111</v>
      </c>
      <c r="Z148" t="s">
        <v>392</v>
      </c>
      <c r="AA148">
        <v>9937</v>
      </c>
      <c r="AB148" t="s">
        <v>539</v>
      </c>
      <c r="AC148" t="str">
        <f>HYPERLINK("plots/20251231000436_3FT6Y121H01_04823_B11P_N_UFLEX98_M5358A8BH101511/dpll_52046/txpa_54180.png","plot")</f>
        <v>plot</v>
      </c>
    </row>
    <row r="149" spans="1:29" x14ac:dyDescent="0.35">
      <c r="A149" s="2" t="s">
        <v>46</v>
      </c>
      <c r="B149">
        <v>52046</v>
      </c>
      <c r="C149" t="s">
        <v>51</v>
      </c>
      <c r="D149">
        <v>54181</v>
      </c>
      <c r="E149" t="s">
        <v>201</v>
      </c>
      <c r="F149">
        <v>8716</v>
      </c>
      <c r="G149">
        <v>0.44535841336135801</v>
      </c>
      <c r="H149">
        <v>0</v>
      </c>
      <c r="I149">
        <v>0</v>
      </c>
      <c r="J149">
        <v>0.31455217226021331</v>
      </c>
      <c r="K149">
        <v>1.9460171318406949E-199</v>
      </c>
      <c r="L149">
        <v>2.8806735353087082E-199</v>
      </c>
      <c r="M149">
        <v>0.21307390863521861</v>
      </c>
      <c r="N149">
        <v>1.496991169536801E-195</v>
      </c>
      <c r="O149">
        <v>2.20311907969567E-195</v>
      </c>
      <c r="P149">
        <v>0.1983441163517462</v>
      </c>
      <c r="Q149">
        <v>1.0502524674844551</v>
      </c>
      <c r="R149">
        <v>-0.72328472755960904</v>
      </c>
      <c r="S149">
        <v>0.27800374729491611</v>
      </c>
      <c r="T149">
        <v>0.21466617266409871</v>
      </c>
      <c r="U149">
        <v>4.4782817893529154</v>
      </c>
      <c r="V149">
        <v>0.1316732403778659</v>
      </c>
      <c r="W149">
        <v>3.98004177179899</v>
      </c>
      <c r="X149">
        <v>0.31051427672552068</v>
      </c>
      <c r="Z149" t="s">
        <v>392</v>
      </c>
      <c r="AA149">
        <v>9937</v>
      </c>
      <c r="AB149" t="s">
        <v>540</v>
      </c>
      <c r="AC149" t="str">
        <f>HYPERLINK("plots/20251231000436_3FT6Y121H01_04823_B11P_N_UFLEX98_M5358A8BH101511/dpll_52046/txpa_54181.png","plot")</f>
        <v>plot</v>
      </c>
    </row>
    <row r="150" spans="1:29" x14ac:dyDescent="0.35">
      <c r="A150" s="2" t="s">
        <v>46</v>
      </c>
      <c r="B150">
        <v>52046</v>
      </c>
      <c r="C150" t="s">
        <v>51</v>
      </c>
      <c r="D150">
        <v>54182</v>
      </c>
      <c r="E150" t="s">
        <v>202</v>
      </c>
      <c r="F150">
        <v>8716</v>
      </c>
      <c r="G150">
        <v>0.465713825204779</v>
      </c>
      <c r="H150">
        <v>0</v>
      </c>
      <c r="I150">
        <v>0</v>
      </c>
      <c r="J150">
        <v>0.35755315203239141</v>
      </c>
      <c r="K150">
        <v>3.518791850739881E-261</v>
      </c>
      <c r="L150">
        <v>6.3151414807968836E-261</v>
      </c>
      <c r="M150">
        <v>0.24367079875389769</v>
      </c>
      <c r="N150">
        <v>4.2803666552985043E-255</v>
      </c>
      <c r="O150">
        <v>7.4961861631652563E-255</v>
      </c>
      <c r="P150">
        <v>0.21688936698686739</v>
      </c>
      <c r="Q150">
        <v>1.0319772556134841</v>
      </c>
      <c r="R150">
        <v>-0.9474330390688066</v>
      </c>
      <c r="S150">
        <v>0.25818747115317919</v>
      </c>
      <c r="T150">
        <v>0.19964859294933479</v>
      </c>
      <c r="U150">
        <v>4.4782817893529154</v>
      </c>
      <c r="V150">
        <v>0.1316732403778659</v>
      </c>
      <c r="W150">
        <v>3.6740519117714552</v>
      </c>
      <c r="X150">
        <v>0.29177529609118902</v>
      </c>
      <c r="Z150" t="s">
        <v>392</v>
      </c>
      <c r="AA150">
        <v>9937</v>
      </c>
      <c r="AB150" t="s">
        <v>541</v>
      </c>
      <c r="AC150" t="str">
        <f>HYPERLINK("plots/20251231000436_3FT6Y121H01_04823_B11P_N_UFLEX98_M5358A8BH101511/dpll_52046/txpa_54182.png","plot")</f>
        <v>plot</v>
      </c>
    </row>
    <row r="151" spans="1:29" x14ac:dyDescent="0.35">
      <c r="A151" s="2" t="s">
        <v>46</v>
      </c>
      <c r="B151">
        <v>52046</v>
      </c>
      <c r="C151" t="s">
        <v>51</v>
      </c>
      <c r="D151">
        <v>54183</v>
      </c>
      <c r="E151" t="s">
        <v>203</v>
      </c>
      <c r="F151">
        <v>8716</v>
      </c>
      <c r="G151">
        <v>0.47419984636337381</v>
      </c>
      <c r="H151">
        <v>0</v>
      </c>
      <c r="I151">
        <v>0</v>
      </c>
      <c r="J151">
        <v>0.34699010231842858</v>
      </c>
      <c r="K151">
        <v>4.3377100582058411E-245</v>
      </c>
      <c r="L151">
        <v>7.330729998367872E-245</v>
      </c>
      <c r="M151">
        <v>0.23497939080026159</v>
      </c>
      <c r="N151">
        <v>2.269127515685144E-237</v>
      </c>
      <c r="O151">
        <v>3.7657860898604509E-237</v>
      </c>
      <c r="P151">
        <v>0.2248654942910473</v>
      </c>
      <c r="Q151">
        <v>0.99134143911765027</v>
      </c>
      <c r="R151">
        <v>-0.57821641617200736</v>
      </c>
      <c r="S151">
        <v>0.24233882341999841</v>
      </c>
      <c r="T151">
        <v>0.18515802616373081</v>
      </c>
      <c r="U151">
        <v>4.4782817893529154</v>
      </c>
      <c r="V151">
        <v>0.1316732403778659</v>
      </c>
      <c r="W151">
        <v>3.8612898976594772</v>
      </c>
      <c r="X151">
        <v>0.27527031189599321</v>
      </c>
      <c r="Z151" t="s">
        <v>392</v>
      </c>
      <c r="AA151">
        <v>9937</v>
      </c>
      <c r="AB151" t="s">
        <v>542</v>
      </c>
      <c r="AC151" t="str">
        <f>HYPERLINK("plots/20251231000436_3FT6Y121H01_04823_B11P_N_UFLEX98_M5358A8BH101511/dpll_52046/txpa_54183.png","plot")</f>
        <v>plot</v>
      </c>
    </row>
    <row r="152" spans="1:29" x14ac:dyDescent="0.35">
      <c r="A152" s="2" t="s">
        <v>46</v>
      </c>
      <c r="B152">
        <v>52046</v>
      </c>
      <c r="C152" t="s">
        <v>51</v>
      </c>
      <c r="D152">
        <v>54184</v>
      </c>
      <c r="E152" t="s">
        <v>204</v>
      </c>
      <c r="F152">
        <v>8715</v>
      </c>
      <c r="G152">
        <v>0.49649632803489369</v>
      </c>
      <c r="H152">
        <v>0</v>
      </c>
      <c r="I152">
        <v>0</v>
      </c>
      <c r="J152">
        <v>0.3747431164518229</v>
      </c>
      <c r="K152">
        <v>1.1188707356992261E-288</v>
      </c>
      <c r="L152">
        <v>2.1776102226468629E-288</v>
      </c>
      <c r="M152">
        <v>0.25485419682185217</v>
      </c>
      <c r="N152">
        <v>8.1924314224548674E-279</v>
      </c>
      <c r="O152">
        <v>1.5440753647526459E-278</v>
      </c>
      <c r="P152">
        <v>0.24650860375213279</v>
      </c>
      <c r="Q152">
        <v>0.98538532438581938</v>
      </c>
      <c r="R152">
        <v>-0.62567402318790544</v>
      </c>
      <c r="S152">
        <v>0.2267785149408128</v>
      </c>
      <c r="T152">
        <v>0.1722968922774287</v>
      </c>
      <c r="U152">
        <v>4.4783155982788294</v>
      </c>
      <c r="V152">
        <v>0.13164295642035209</v>
      </c>
      <c r="W152">
        <v>3.7871924453241541</v>
      </c>
      <c r="X152">
        <v>0.26126887549963979</v>
      </c>
      <c r="Z152" t="s">
        <v>392</v>
      </c>
      <c r="AA152">
        <v>9937</v>
      </c>
      <c r="AB152" t="s">
        <v>543</v>
      </c>
      <c r="AC152" t="str">
        <f>HYPERLINK("plots/20251231000436_3FT6Y121H01_04823_B11P_N_UFLEX98_M5358A8BH101511/dpll_52046/txpa_54184.png","plot")</f>
        <v>plot</v>
      </c>
    </row>
    <row r="153" spans="1:29" x14ac:dyDescent="0.35">
      <c r="A153" s="2" t="s">
        <v>46</v>
      </c>
      <c r="B153">
        <v>52046</v>
      </c>
      <c r="C153" t="s">
        <v>51</v>
      </c>
      <c r="D153">
        <v>54185</v>
      </c>
      <c r="E153" t="s">
        <v>205</v>
      </c>
      <c r="F153">
        <v>8716</v>
      </c>
      <c r="G153">
        <v>0.46157967399586441</v>
      </c>
      <c r="H153">
        <v>0</v>
      </c>
      <c r="I153">
        <v>0</v>
      </c>
      <c r="J153">
        <v>0.30987176605354139</v>
      </c>
      <c r="K153">
        <v>2.649026715813552E-193</v>
      </c>
      <c r="L153">
        <v>3.8704799565344982E-193</v>
      </c>
      <c r="M153">
        <v>0.20957766159158689</v>
      </c>
      <c r="N153">
        <v>2.969785779247946E-189</v>
      </c>
      <c r="O153">
        <v>4.3266706611457148E-189</v>
      </c>
      <c r="P153">
        <v>0.2130557954461284</v>
      </c>
      <c r="Q153">
        <v>1.016716533558041</v>
      </c>
      <c r="R153">
        <v>-0.61371365127897359</v>
      </c>
      <c r="S153">
        <v>0.2572751196627171</v>
      </c>
      <c r="T153">
        <v>0.20052390973532799</v>
      </c>
      <c r="U153">
        <v>4.4782817893529154</v>
      </c>
      <c r="V153">
        <v>0.1316732403778659</v>
      </c>
      <c r="W153">
        <v>3.9394294858880219</v>
      </c>
      <c r="X153">
        <v>0.29003521615325267</v>
      </c>
      <c r="Z153" t="s">
        <v>392</v>
      </c>
      <c r="AA153">
        <v>9937</v>
      </c>
      <c r="AB153" t="s">
        <v>544</v>
      </c>
      <c r="AC153" t="str">
        <f>HYPERLINK("plots/20251231000436_3FT6Y121H01_04823_B11P_N_UFLEX98_M5358A8BH101511/dpll_52046/txpa_54185.png","plot")</f>
        <v>plot</v>
      </c>
    </row>
    <row r="154" spans="1:29" x14ac:dyDescent="0.35">
      <c r="A154" s="2" t="s">
        <v>46</v>
      </c>
      <c r="B154">
        <v>52046</v>
      </c>
      <c r="C154" t="s">
        <v>51</v>
      </c>
      <c r="D154">
        <v>54186</v>
      </c>
      <c r="E154" t="s">
        <v>206</v>
      </c>
      <c r="F154">
        <v>8716</v>
      </c>
      <c r="G154">
        <v>0.32974892150641821</v>
      </c>
      <c r="H154">
        <v>3.9306100630713097E-220</v>
      </c>
      <c r="I154">
        <v>4.5811937976486312E-220</v>
      </c>
      <c r="J154">
        <v>0.29479771218581913</v>
      </c>
      <c r="K154">
        <v>2.681627858853827E-174</v>
      </c>
      <c r="L154">
        <v>3.6945253381491582E-174</v>
      </c>
      <c r="M154">
        <v>0.2007198925439026</v>
      </c>
      <c r="N154">
        <v>9.1530110209641735E-174</v>
      </c>
      <c r="O154">
        <v>1.261026246638271E-173</v>
      </c>
      <c r="P154">
        <v>0.10873435123464591</v>
      </c>
      <c r="Q154">
        <v>0.81227379411174316</v>
      </c>
      <c r="R154">
        <v>-0.3207204062934168</v>
      </c>
      <c r="S154">
        <v>0.30619299492162488</v>
      </c>
      <c r="T154">
        <v>0.22669783412090641</v>
      </c>
      <c r="U154">
        <v>4.4782817893529154</v>
      </c>
      <c r="V154">
        <v>0.1316732403778659</v>
      </c>
      <c r="W154">
        <v>3.3168705338458011</v>
      </c>
      <c r="X154">
        <v>0.32435200108041912</v>
      </c>
      <c r="Z154" t="s">
        <v>392</v>
      </c>
      <c r="AA154">
        <v>9937</v>
      </c>
      <c r="AB154" t="s">
        <v>545</v>
      </c>
      <c r="AC154" t="str">
        <f>HYPERLINK("plots/20251231000436_3FT6Y121H01_04823_B11P_N_UFLEX98_M5358A8BH101511/dpll_52046/txpa_54186.png","plot")</f>
        <v>plot</v>
      </c>
    </row>
    <row r="155" spans="1:29" x14ac:dyDescent="0.35">
      <c r="A155" s="2" t="s">
        <v>46</v>
      </c>
      <c r="B155">
        <v>52046</v>
      </c>
      <c r="C155" t="s">
        <v>51</v>
      </c>
      <c r="D155">
        <v>54187</v>
      </c>
      <c r="E155" t="s">
        <v>207</v>
      </c>
      <c r="F155">
        <v>8716</v>
      </c>
      <c r="G155">
        <v>0.34085019092517471</v>
      </c>
      <c r="H155">
        <v>5.1111545850974901E-236</v>
      </c>
      <c r="I155">
        <v>6.0901418910562326E-236</v>
      </c>
      <c r="J155">
        <v>0.29862783657262298</v>
      </c>
      <c r="K155">
        <v>5.0907072275154897E-179</v>
      </c>
      <c r="L155">
        <v>7.1003811949115628E-179</v>
      </c>
      <c r="M155">
        <v>0.20312866709077931</v>
      </c>
      <c r="N155">
        <v>6.5231712502764196E-178</v>
      </c>
      <c r="O155">
        <v>9.1234422728003997E-178</v>
      </c>
      <c r="P155">
        <v>0.116178852653728</v>
      </c>
      <c r="Q155">
        <v>0.8178619032583867</v>
      </c>
      <c r="R155">
        <v>1.484239787985457</v>
      </c>
      <c r="S155">
        <v>0.29701011498663238</v>
      </c>
      <c r="T155">
        <v>0.21667928809698939</v>
      </c>
      <c r="U155">
        <v>4.4782817893529154</v>
      </c>
      <c r="V155">
        <v>0.1316732403778659</v>
      </c>
      <c r="W155">
        <v>5.1468558555530057</v>
      </c>
      <c r="X155">
        <v>0.31594679965217132</v>
      </c>
      <c r="Z155" t="s">
        <v>392</v>
      </c>
      <c r="AA155">
        <v>9937</v>
      </c>
      <c r="AB155" t="s">
        <v>546</v>
      </c>
      <c r="AC155" t="str">
        <f>HYPERLINK("plots/20251231000436_3FT6Y121H01_04823_B11P_N_UFLEX98_M5358A8BH101511/dpll_52046/txpa_54187.png","plot")</f>
        <v>plot</v>
      </c>
    </row>
    <row r="156" spans="1:29" x14ac:dyDescent="0.35">
      <c r="A156" s="2" t="s">
        <v>46</v>
      </c>
      <c r="B156">
        <v>52046</v>
      </c>
      <c r="C156" t="s">
        <v>51</v>
      </c>
      <c r="D156">
        <v>54188</v>
      </c>
      <c r="E156" t="s">
        <v>208</v>
      </c>
      <c r="F156">
        <v>8716</v>
      </c>
      <c r="G156">
        <v>0.46015064780037851</v>
      </c>
      <c r="H156">
        <v>0</v>
      </c>
      <c r="I156">
        <v>0</v>
      </c>
      <c r="J156">
        <v>0.37136067288837121</v>
      </c>
      <c r="K156">
        <v>3.691200185048681E-283</v>
      </c>
      <c r="L156">
        <v>6.9699757684159458E-283</v>
      </c>
      <c r="M156">
        <v>0.25425527541010451</v>
      </c>
      <c r="N156">
        <v>1.507139489038688E-277</v>
      </c>
      <c r="O156">
        <v>2.8300730405282028E-277</v>
      </c>
      <c r="P156">
        <v>0.21173861867110799</v>
      </c>
      <c r="Q156">
        <v>1.04670935958787</v>
      </c>
      <c r="R156">
        <v>0.75738565450059792</v>
      </c>
      <c r="S156">
        <v>0.26590946923146258</v>
      </c>
      <c r="T156">
        <v>0.20158998045384069</v>
      </c>
      <c r="U156">
        <v>4.4782817893529154</v>
      </c>
      <c r="V156">
        <v>0.1316732403778659</v>
      </c>
      <c r="W156">
        <v>5.4448451182882058</v>
      </c>
      <c r="X156">
        <v>0.29951845937760352</v>
      </c>
      <c r="Z156" t="s">
        <v>392</v>
      </c>
      <c r="AA156">
        <v>9937</v>
      </c>
      <c r="AB156" t="s">
        <v>547</v>
      </c>
      <c r="AC156" t="str">
        <f>HYPERLINK("plots/20251231000436_3FT6Y121H01_04823_B11P_N_UFLEX98_M5358A8BH101511/dpll_52046/txpa_54188.png","plot")</f>
        <v>plot</v>
      </c>
    </row>
    <row r="157" spans="1:29" x14ac:dyDescent="0.35">
      <c r="A157" s="2" t="s">
        <v>46</v>
      </c>
      <c r="B157">
        <v>52046</v>
      </c>
      <c r="C157" t="s">
        <v>51</v>
      </c>
      <c r="D157">
        <v>54189</v>
      </c>
      <c r="E157" t="s">
        <v>209</v>
      </c>
      <c r="F157">
        <v>8713</v>
      </c>
      <c r="G157">
        <v>0.47281263662844358</v>
      </c>
      <c r="H157">
        <v>0</v>
      </c>
      <c r="I157">
        <v>0</v>
      </c>
      <c r="J157">
        <v>0.35286878967942148</v>
      </c>
      <c r="K157">
        <v>7.0016040885758146E-254</v>
      </c>
      <c r="L157">
        <v>1.2094764132565381E-253</v>
      </c>
      <c r="M157">
        <v>0.24043988760406881</v>
      </c>
      <c r="N157">
        <v>2.3917270510062371E-248</v>
      </c>
      <c r="O157">
        <v>4.069146358591148E-248</v>
      </c>
      <c r="P157">
        <v>0.2235517893555406</v>
      </c>
      <c r="Q157">
        <v>1.1136601110261479</v>
      </c>
      <c r="R157">
        <v>0.70082437625523841</v>
      </c>
      <c r="S157">
        <v>0.27295411539149023</v>
      </c>
      <c r="T157">
        <v>0.2050049393663089</v>
      </c>
      <c r="U157">
        <v>4.4784062690232993</v>
      </c>
      <c r="V157">
        <v>0.13152088857069821</v>
      </c>
      <c r="W157">
        <v>5.6882467990359231</v>
      </c>
      <c r="X157">
        <v>0.30978352950199051</v>
      </c>
      <c r="Z157" t="s">
        <v>392</v>
      </c>
      <c r="AA157">
        <v>9937</v>
      </c>
      <c r="AB157" t="s">
        <v>548</v>
      </c>
      <c r="AC157" t="str">
        <f>HYPERLINK("plots/20251231000436_3FT6Y121H01_04823_B11P_N_UFLEX98_M5358A8BH101511/dpll_52046/txpa_54189.png","plot")</f>
        <v>plot</v>
      </c>
    </row>
    <row r="158" spans="1:29" x14ac:dyDescent="0.35">
      <c r="A158" s="2" t="s">
        <v>46</v>
      </c>
      <c r="B158">
        <v>52046</v>
      </c>
      <c r="C158" t="s">
        <v>51</v>
      </c>
      <c r="D158">
        <v>54190</v>
      </c>
      <c r="E158" t="s">
        <v>210</v>
      </c>
      <c r="F158">
        <v>8715</v>
      </c>
      <c r="G158">
        <v>0.49257924648305351</v>
      </c>
      <c r="H158">
        <v>0</v>
      </c>
      <c r="I158">
        <v>0</v>
      </c>
      <c r="J158">
        <v>0.38337060756515817</v>
      </c>
      <c r="K158">
        <v>3.8656866401395552E-303</v>
      </c>
      <c r="L158">
        <v>7.9833121244429923E-303</v>
      </c>
      <c r="M158">
        <v>0.26287215314028339</v>
      </c>
      <c r="N158">
        <v>1.7004490501783661E-296</v>
      </c>
      <c r="O158">
        <v>3.4416274189238791E-296</v>
      </c>
      <c r="P158">
        <v>0.24263431406581279</v>
      </c>
      <c r="Q158">
        <v>1.101864919577956</v>
      </c>
      <c r="R158">
        <v>0.47884220909175568</v>
      </c>
      <c r="S158">
        <v>0.25625819801662753</v>
      </c>
      <c r="T158">
        <v>0.19445019005001021</v>
      </c>
      <c r="U158">
        <v>4.4783155982788294</v>
      </c>
      <c r="V158">
        <v>0.13164295642035209</v>
      </c>
      <c r="W158">
        <v>5.413341065633964</v>
      </c>
      <c r="X158">
        <v>0.29447597848421719</v>
      </c>
      <c r="Z158" t="s">
        <v>392</v>
      </c>
      <c r="AA158">
        <v>9937</v>
      </c>
      <c r="AB158" t="s">
        <v>549</v>
      </c>
      <c r="AC158" t="str">
        <f>HYPERLINK("plots/20251231000436_3FT6Y121H01_04823_B11P_N_UFLEX98_M5358A8BH101511/dpll_52046/txpa_54190.png","plot")</f>
        <v>plot</v>
      </c>
    </row>
    <row r="159" spans="1:29" x14ac:dyDescent="0.35">
      <c r="A159" s="2" t="s">
        <v>46</v>
      </c>
      <c r="B159">
        <v>52046</v>
      </c>
      <c r="C159" t="s">
        <v>51</v>
      </c>
      <c r="D159">
        <v>54191</v>
      </c>
      <c r="E159" t="s">
        <v>211</v>
      </c>
      <c r="F159">
        <v>8713</v>
      </c>
      <c r="G159">
        <v>0.50249855338469929</v>
      </c>
      <c r="H159">
        <v>0</v>
      </c>
      <c r="I159">
        <v>0</v>
      </c>
      <c r="J159">
        <v>0.37646379904344779</v>
      </c>
      <c r="K159">
        <v>1.844777917456501E-291</v>
      </c>
      <c r="L159">
        <v>3.6252031168621947E-291</v>
      </c>
      <c r="M159">
        <v>0.25666277309106439</v>
      </c>
      <c r="N159">
        <v>1.0852246901129131E-282</v>
      </c>
      <c r="O159">
        <v>2.0801849447532958E-282</v>
      </c>
      <c r="P159">
        <v>0.25250479615371552</v>
      </c>
      <c r="Q159">
        <v>1.0615687096029041</v>
      </c>
      <c r="R159">
        <v>0.83338176599454084</v>
      </c>
      <c r="S159">
        <v>0.24025078975897751</v>
      </c>
      <c r="T159">
        <v>0.1798587751480932</v>
      </c>
      <c r="U159">
        <v>4.4783984655113054</v>
      </c>
      <c r="V159">
        <v>0.13154436513250781</v>
      </c>
      <c r="W159">
        <v>5.5875094461150008</v>
      </c>
      <c r="X159">
        <v>0.27789807753405082</v>
      </c>
      <c r="Z159" t="s">
        <v>392</v>
      </c>
      <c r="AA159">
        <v>9937</v>
      </c>
      <c r="AB159" t="s">
        <v>550</v>
      </c>
      <c r="AC159" t="str">
        <f>HYPERLINK("plots/20251231000436_3FT6Y121H01_04823_B11P_N_UFLEX98_M5358A8BH101511/dpll_52046/txpa_54191.png","plot")</f>
        <v>plot</v>
      </c>
    </row>
    <row r="160" spans="1:29" x14ac:dyDescent="0.35">
      <c r="A160" s="2" t="s">
        <v>46</v>
      </c>
      <c r="B160">
        <v>52046</v>
      </c>
      <c r="C160" t="s">
        <v>51</v>
      </c>
      <c r="D160">
        <v>54192</v>
      </c>
      <c r="E160" t="s">
        <v>212</v>
      </c>
      <c r="F160">
        <v>8710</v>
      </c>
      <c r="G160">
        <v>0.52063237612979818</v>
      </c>
      <c r="H160">
        <v>0</v>
      </c>
      <c r="I160">
        <v>0</v>
      </c>
      <c r="J160">
        <v>0.40196336971793722</v>
      </c>
      <c r="K160">
        <v>0</v>
      </c>
      <c r="L160">
        <v>0</v>
      </c>
      <c r="M160">
        <v>0.27576148554122398</v>
      </c>
      <c r="N160">
        <v>0</v>
      </c>
      <c r="O160">
        <v>0</v>
      </c>
      <c r="P160">
        <v>0.27105807107455959</v>
      </c>
      <c r="Q160">
        <v>1.04709212762009</v>
      </c>
      <c r="R160">
        <v>0.82685544322158844</v>
      </c>
      <c r="S160">
        <v>0.22558739970824071</v>
      </c>
      <c r="T160">
        <v>0.16776075198218279</v>
      </c>
      <c r="U160">
        <v>4.4785273634902403</v>
      </c>
      <c r="V160">
        <v>0.13138312331066171</v>
      </c>
      <c r="W160">
        <v>5.5162861888633747</v>
      </c>
      <c r="X160">
        <v>0.26423680206633138</v>
      </c>
      <c r="Z160" t="s">
        <v>392</v>
      </c>
      <c r="AA160">
        <v>9937</v>
      </c>
      <c r="AB160" t="s">
        <v>551</v>
      </c>
      <c r="AC160" t="str">
        <f>HYPERLINK("plots/20251231000436_3FT6Y121H01_04823_B11P_N_UFLEX98_M5358A8BH101511/dpll_52046/txpa_54192.png","plot")</f>
        <v>plot</v>
      </c>
    </row>
    <row r="161" spans="1:29" x14ac:dyDescent="0.35">
      <c r="A161" s="2" t="s">
        <v>46</v>
      </c>
      <c r="B161">
        <v>52046</v>
      </c>
      <c r="C161" t="s">
        <v>51</v>
      </c>
      <c r="D161">
        <v>54193</v>
      </c>
      <c r="E161" t="s">
        <v>213</v>
      </c>
      <c r="F161">
        <v>8710</v>
      </c>
      <c r="G161">
        <v>0.48997186318314268</v>
      </c>
      <c r="H161">
        <v>0</v>
      </c>
      <c r="I161">
        <v>0</v>
      </c>
      <c r="J161">
        <v>0.34650805375939808</v>
      </c>
      <c r="K161">
        <v>3.3395301772094858E-244</v>
      </c>
      <c r="L161">
        <v>5.6157273626706792E-244</v>
      </c>
      <c r="M161">
        <v>0.23551688001816551</v>
      </c>
      <c r="N161">
        <v>2.7530151825792731E-238</v>
      </c>
      <c r="O161">
        <v>4.5838380872502187E-238</v>
      </c>
      <c r="P161">
        <v>0.2400724267111603</v>
      </c>
      <c r="Q161">
        <v>1.0727934104948531</v>
      </c>
      <c r="R161">
        <v>0.85350347626864043</v>
      </c>
      <c r="S161">
        <v>0.25080064353689802</v>
      </c>
      <c r="T161">
        <v>0.19119219047441111</v>
      </c>
      <c r="U161">
        <v>4.4785181290470728</v>
      </c>
      <c r="V161">
        <v>0.13140821660253749</v>
      </c>
      <c r="W161">
        <v>5.6580282138920781</v>
      </c>
      <c r="X161">
        <v>0.28771829455723069</v>
      </c>
      <c r="Z161" t="s">
        <v>392</v>
      </c>
      <c r="AA161">
        <v>9937</v>
      </c>
      <c r="AB161" t="s">
        <v>552</v>
      </c>
      <c r="AC161" t="str">
        <f>HYPERLINK("plots/20251231000436_3FT6Y121H01_04823_B11P_N_UFLEX98_M5358A8BH101511/dpll_52046/txpa_54193.png","plot")</f>
        <v>plot</v>
      </c>
    </row>
    <row r="162" spans="1:29" x14ac:dyDescent="0.35">
      <c r="A162" s="2" t="s">
        <v>46</v>
      </c>
      <c r="B162">
        <v>52046</v>
      </c>
      <c r="C162" t="s">
        <v>51</v>
      </c>
      <c r="D162">
        <v>54194</v>
      </c>
      <c r="E162" t="s">
        <v>214</v>
      </c>
      <c r="F162">
        <v>8716</v>
      </c>
      <c r="G162">
        <v>0.37083121763496463</v>
      </c>
      <c r="H162">
        <v>2.692152156732644E-282</v>
      </c>
      <c r="I162">
        <v>3.433763882926919E-282</v>
      </c>
      <c r="J162">
        <v>0.31910337176923859</v>
      </c>
      <c r="K162">
        <v>1.6482767055591569E-205</v>
      </c>
      <c r="L162">
        <v>2.4871318146383701E-205</v>
      </c>
      <c r="M162">
        <v>0.21926338103858239</v>
      </c>
      <c r="N162">
        <v>5.9114424934719983E-207</v>
      </c>
      <c r="O162">
        <v>8.9733573179350388E-207</v>
      </c>
      <c r="P162">
        <v>0.1375157919726305</v>
      </c>
      <c r="Q162">
        <v>0.89044051145314895</v>
      </c>
      <c r="R162">
        <v>1.10766591236429</v>
      </c>
      <c r="S162">
        <v>0.29361403238515582</v>
      </c>
      <c r="T162">
        <v>0.2158141071739608</v>
      </c>
      <c r="U162">
        <v>4.4782817893529154</v>
      </c>
      <c r="V162">
        <v>0.1316732403778659</v>
      </c>
      <c r="W162">
        <v>5.0953094393070222</v>
      </c>
      <c r="X162">
        <v>0.31617399488242398</v>
      </c>
      <c r="Z162" t="s">
        <v>392</v>
      </c>
      <c r="AA162">
        <v>9937</v>
      </c>
      <c r="AB162" t="s">
        <v>553</v>
      </c>
      <c r="AC162" t="str">
        <f>HYPERLINK("plots/20251231000436_3FT6Y121H01_04823_B11P_N_UFLEX98_M5358A8BH101511/dpll_52046/txpa_54194.png","plot")</f>
        <v>plot</v>
      </c>
    </row>
    <row r="163" spans="1:29" x14ac:dyDescent="0.35">
      <c r="A163" s="2" t="s">
        <v>46</v>
      </c>
      <c r="B163">
        <v>52046</v>
      </c>
      <c r="C163" t="s">
        <v>51</v>
      </c>
      <c r="D163">
        <v>54195</v>
      </c>
      <c r="E163" t="s">
        <v>215</v>
      </c>
      <c r="F163">
        <v>8716</v>
      </c>
      <c r="G163">
        <v>0.39606574926359578</v>
      </c>
      <c r="H163">
        <v>0</v>
      </c>
      <c r="I163">
        <v>0</v>
      </c>
      <c r="J163">
        <v>0.33525529924461439</v>
      </c>
      <c r="K163">
        <v>6.2672837456920398E-228</v>
      </c>
      <c r="L163">
        <v>1.000791451674288E-227</v>
      </c>
      <c r="M163">
        <v>0.23065455722030459</v>
      </c>
      <c r="N163">
        <v>8.5704315791731828E-229</v>
      </c>
      <c r="O163">
        <v>1.3772452648623779E-228</v>
      </c>
      <c r="P163">
        <v>0.1568680777397336</v>
      </c>
      <c r="Q163">
        <v>0.94792270186374405</v>
      </c>
      <c r="R163">
        <v>3.0084131428671528</v>
      </c>
      <c r="S163">
        <v>0.28935168221983598</v>
      </c>
      <c r="T163">
        <v>0.20634069323719159</v>
      </c>
      <c r="U163">
        <v>4.4782817893529154</v>
      </c>
      <c r="V163">
        <v>0.1316732403778659</v>
      </c>
      <c r="W163">
        <v>7.25347811633777</v>
      </c>
      <c r="X163">
        <v>0.31513973125475009</v>
      </c>
      <c r="Z163" t="s">
        <v>392</v>
      </c>
      <c r="AA163">
        <v>9937</v>
      </c>
      <c r="AB163" t="s">
        <v>554</v>
      </c>
      <c r="AC163" t="str">
        <f>HYPERLINK("plots/20251231000436_3FT6Y121H01_04823_B11P_N_UFLEX98_M5358A8BH101511/dpll_52046/txpa_54195.png","plot")</f>
        <v>plot</v>
      </c>
    </row>
    <row r="164" spans="1:29" x14ac:dyDescent="0.35">
      <c r="A164" s="2" t="s">
        <v>46</v>
      </c>
      <c r="B164">
        <v>52046</v>
      </c>
      <c r="C164" t="s">
        <v>51</v>
      </c>
      <c r="D164">
        <v>54196</v>
      </c>
      <c r="E164" t="s">
        <v>216</v>
      </c>
      <c r="F164">
        <v>8710</v>
      </c>
      <c r="G164">
        <v>0.48662373461269398</v>
      </c>
      <c r="H164">
        <v>0</v>
      </c>
      <c r="I164">
        <v>0</v>
      </c>
      <c r="J164">
        <v>0.40059816508327339</v>
      </c>
      <c r="K164">
        <v>0</v>
      </c>
      <c r="L164">
        <v>0</v>
      </c>
      <c r="M164">
        <v>0.27661105765445748</v>
      </c>
      <c r="N164">
        <v>0</v>
      </c>
      <c r="O164">
        <v>0</v>
      </c>
      <c r="P164">
        <v>0.2368026590884057</v>
      </c>
      <c r="Q164">
        <v>1.144948251121052</v>
      </c>
      <c r="R164">
        <v>2.37577350103424</v>
      </c>
      <c r="S164">
        <v>0.27011426026573182</v>
      </c>
      <c r="T164">
        <v>0.19828397468011971</v>
      </c>
      <c r="U164">
        <v>4.4785108305396086</v>
      </c>
      <c r="V164">
        <v>0.1314199961104176</v>
      </c>
      <c r="W164">
        <v>7.5034366440872562</v>
      </c>
      <c r="X164">
        <v>0.3092103487897423</v>
      </c>
      <c r="Z164" t="s">
        <v>392</v>
      </c>
      <c r="AA164">
        <v>9937</v>
      </c>
      <c r="AB164" t="s">
        <v>555</v>
      </c>
      <c r="AC164" t="str">
        <f>HYPERLINK("plots/20251231000436_3FT6Y121H01_04823_B11P_N_UFLEX98_M5358A8BH101511/dpll_52046/txpa_54196.png","plot")</f>
        <v>plot</v>
      </c>
    </row>
    <row r="165" spans="1:29" x14ac:dyDescent="0.35">
      <c r="A165" s="2" t="s">
        <v>46</v>
      </c>
      <c r="B165">
        <v>52046</v>
      </c>
      <c r="C165" t="s">
        <v>51</v>
      </c>
      <c r="D165">
        <v>54197</v>
      </c>
      <c r="E165" t="s">
        <v>217</v>
      </c>
      <c r="F165">
        <v>8695</v>
      </c>
      <c r="G165">
        <v>0.48992052957739091</v>
      </c>
      <c r="H165">
        <v>0</v>
      </c>
      <c r="I165">
        <v>0</v>
      </c>
      <c r="J165">
        <v>0.39867942577185822</v>
      </c>
      <c r="K165">
        <v>0</v>
      </c>
      <c r="L165">
        <v>0</v>
      </c>
      <c r="M165">
        <v>0.27496720468954022</v>
      </c>
      <c r="N165">
        <v>0</v>
      </c>
      <c r="O165">
        <v>0</v>
      </c>
      <c r="P165">
        <v>0.24002212530139119</v>
      </c>
      <c r="Q165">
        <v>1.1751275488313031</v>
      </c>
      <c r="R165">
        <v>2.4371640315889569</v>
      </c>
      <c r="S165">
        <v>0.27300047660607868</v>
      </c>
      <c r="T165">
        <v>0.19594024284025019</v>
      </c>
      <c r="U165">
        <v>4.4791615510063254</v>
      </c>
      <c r="V165">
        <v>0.1305655302615378</v>
      </c>
      <c r="W165">
        <v>7.7007501658424378</v>
      </c>
      <c r="X165">
        <v>0.31317559129528838</v>
      </c>
      <c r="Z165" t="s">
        <v>392</v>
      </c>
      <c r="AA165">
        <v>9937</v>
      </c>
      <c r="AB165" t="s">
        <v>556</v>
      </c>
      <c r="AC165" t="str">
        <f>HYPERLINK("plots/20251231000436_3FT6Y121H01_04823_B11P_N_UFLEX98_M5358A8BH101511/dpll_52046/txpa_54197.png","plot")</f>
        <v>plot</v>
      </c>
    </row>
    <row r="166" spans="1:29" x14ac:dyDescent="0.35">
      <c r="A166" s="2" t="s">
        <v>46</v>
      </c>
      <c r="B166">
        <v>52046</v>
      </c>
      <c r="C166" t="s">
        <v>51</v>
      </c>
      <c r="D166">
        <v>54198</v>
      </c>
      <c r="E166" t="s">
        <v>218</v>
      </c>
      <c r="F166">
        <v>8705</v>
      </c>
      <c r="G166">
        <v>0.51349007713464512</v>
      </c>
      <c r="H166">
        <v>0</v>
      </c>
      <c r="I166">
        <v>0</v>
      </c>
      <c r="J166">
        <v>0.41386521006363602</v>
      </c>
      <c r="K166">
        <v>0</v>
      </c>
      <c r="L166">
        <v>0</v>
      </c>
      <c r="M166">
        <v>0.28679228110257698</v>
      </c>
      <c r="N166">
        <v>0</v>
      </c>
      <c r="O166">
        <v>0</v>
      </c>
      <c r="P166">
        <v>0.26367205931574378</v>
      </c>
      <c r="Q166">
        <v>1.1864336450667929</v>
      </c>
      <c r="R166">
        <v>2.1583146839776508</v>
      </c>
      <c r="S166">
        <v>0.26002131031973802</v>
      </c>
      <c r="T166">
        <v>0.19067869745918081</v>
      </c>
      <c r="U166">
        <v>4.4787218099942567</v>
      </c>
      <c r="V166">
        <v>0.13115560356113631</v>
      </c>
      <c r="W166">
        <v>7.4720209262492823</v>
      </c>
      <c r="X166">
        <v>0.30303880782329401</v>
      </c>
      <c r="Z166" t="s">
        <v>392</v>
      </c>
      <c r="AA166">
        <v>9937</v>
      </c>
      <c r="AB166" t="s">
        <v>557</v>
      </c>
      <c r="AC166" t="str">
        <f>HYPERLINK("plots/20251231000436_3FT6Y121H01_04823_B11P_N_UFLEX98_M5358A8BH101511/dpll_52046/txpa_54198.png","plot")</f>
        <v>plot</v>
      </c>
    </row>
    <row r="167" spans="1:29" x14ac:dyDescent="0.35">
      <c r="A167" s="2" t="s">
        <v>46</v>
      </c>
      <c r="B167">
        <v>52046</v>
      </c>
      <c r="C167" t="s">
        <v>51</v>
      </c>
      <c r="D167">
        <v>54199</v>
      </c>
      <c r="E167" t="s">
        <v>219</v>
      </c>
      <c r="F167">
        <v>8693</v>
      </c>
      <c r="G167">
        <v>0.51897754634932713</v>
      </c>
      <c r="H167">
        <v>0</v>
      </c>
      <c r="I167">
        <v>0</v>
      </c>
      <c r="J167">
        <v>0.40858485627787527</v>
      </c>
      <c r="K167">
        <v>0</v>
      </c>
      <c r="L167">
        <v>0</v>
      </c>
      <c r="M167">
        <v>0.28172998769000102</v>
      </c>
      <c r="N167">
        <v>0</v>
      </c>
      <c r="O167">
        <v>0</v>
      </c>
      <c r="P167">
        <v>0.269337693614768</v>
      </c>
      <c r="Q167">
        <v>1.1358254874368481</v>
      </c>
      <c r="R167">
        <v>2.5420255068580841</v>
      </c>
      <c r="S167">
        <v>0.24425634214703901</v>
      </c>
      <c r="T167">
        <v>0.17646272551277581</v>
      </c>
      <c r="U167">
        <v>4.4792113273898542</v>
      </c>
      <c r="V167">
        <v>0.1305718137677479</v>
      </c>
      <c r="W167">
        <v>7.6296278961233179</v>
      </c>
      <c r="X167">
        <v>0.28576726500309751</v>
      </c>
      <c r="Z167" t="s">
        <v>392</v>
      </c>
      <c r="AA167">
        <v>9937</v>
      </c>
      <c r="AB167" t="s">
        <v>558</v>
      </c>
      <c r="AC167" t="str">
        <f>HYPERLINK("plots/20251231000436_3FT6Y121H01_04823_B11P_N_UFLEX98_M5358A8BH101511/dpll_52046/txpa_54199.png","plot")</f>
        <v>plot</v>
      </c>
    </row>
    <row r="168" spans="1:29" x14ac:dyDescent="0.35">
      <c r="A168" s="2" t="s">
        <v>46</v>
      </c>
      <c r="B168">
        <v>52046</v>
      </c>
      <c r="C168" t="s">
        <v>51</v>
      </c>
      <c r="D168">
        <v>54200</v>
      </c>
      <c r="E168" t="s">
        <v>220</v>
      </c>
      <c r="F168">
        <v>8692</v>
      </c>
      <c r="G168">
        <v>0.53311800801478859</v>
      </c>
      <c r="H168">
        <v>0</v>
      </c>
      <c r="I168">
        <v>0</v>
      </c>
      <c r="J168">
        <v>0.43193111585410388</v>
      </c>
      <c r="K168">
        <v>0</v>
      </c>
      <c r="L168">
        <v>0</v>
      </c>
      <c r="M168">
        <v>0.30057266975320618</v>
      </c>
      <c r="N168">
        <v>0</v>
      </c>
      <c r="O168">
        <v>0</v>
      </c>
      <c r="P168">
        <v>0.28421481046965619</v>
      </c>
      <c r="Q168">
        <v>1.1182084422792979</v>
      </c>
      <c r="R168">
        <v>2.5534759444493331</v>
      </c>
      <c r="S168">
        <v>0.231466448372557</v>
      </c>
      <c r="T168">
        <v>0.1657798299976288</v>
      </c>
      <c r="U168">
        <v>4.4792783726415104</v>
      </c>
      <c r="V168">
        <v>0.13044344608523431</v>
      </c>
      <c r="W168">
        <v>7.5622428360561438</v>
      </c>
      <c r="X168">
        <v>0.27360351828232982</v>
      </c>
      <c r="Z168" t="s">
        <v>392</v>
      </c>
      <c r="AA168">
        <v>9937</v>
      </c>
      <c r="AB168" t="s">
        <v>559</v>
      </c>
      <c r="AC168" t="str">
        <f>HYPERLINK("plots/20251231000436_3FT6Y121H01_04823_B11P_N_UFLEX98_M5358A8BH101511/dpll_52046/txpa_54200.png","plot")</f>
        <v>plot</v>
      </c>
    </row>
    <row r="169" spans="1:29" x14ac:dyDescent="0.35">
      <c r="A169" s="2" t="s">
        <v>46</v>
      </c>
      <c r="B169">
        <v>52046</v>
      </c>
      <c r="C169" t="s">
        <v>51</v>
      </c>
      <c r="D169">
        <v>54201</v>
      </c>
      <c r="E169" t="s">
        <v>221</v>
      </c>
      <c r="F169">
        <v>8692</v>
      </c>
      <c r="G169">
        <v>0.50918920730135364</v>
      </c>
      <c r="H169">
        <v>0</v>
      </c>
      <c r="I169">
        <v>0</v>
      </c>
      <c r="J169">
        <v>0.38980994721333362</v>
      </c>
      <c r="K169">
        <v>0</v>
      </c>
      <c r="L169">
        <v>0</v>
      </c>
      <c r="M169">
        <v>0.26785191130689179</v>
      </c>
      <c r="N169">
        <v>6.0119666207203578E-307</v>
      </c>
      <c r="O169">
        <v>1.2543485912367169E-306</v>
      </c>
      <c r="P169">
        <v>0.2592736488321809</v>
      </c>
      <c r="Q169">
        <v>1.134791731778521</v>
      </c>
      <c r="R169">
        <v>2.604190742993203</v>
      </c>
      <c r="S169">
        <v>0.25008269465098099</v>
      </c>
      <c r="T169">
        <v>0.18306211010518589</v>
      </c>
      <c r="U169">
        <v>4.4792965539576617</v>
      </c>
      <c r="V169">
        <v>0.130389540153794</v>
      </c>
      <c r="W169">
        <v>7.6872594366083771</v>
      </c>
      <c r="X169">
        <v>0.29058937219256242</v>
      </c>
      <c r="Z169" t="s">
        <v>392</v>
      </c>
      <c r="AA169">
        <v>9937</v>
      </c>
      <c r="AB169" t="s">
        <v>560</v>
      </c>
      <c r="AC169" t="str">
        <f>HYPERLINK("plots/20251231000436_3FT6Y121H01_04823_B11P_N_UFLEX98_M5358A8BH101511/dpll_52046/txpa_54201.png","plot")</f>
        <v>plot</v>
      </c>
    </row>
    <row r="170" spans="1:29" x14ac:dyDescent="0.35">
      <c r="A170" s="2" t="s">
        <v>46</v>
      </c>
      <c r="B170">
        <v>52046</v>
      </c>
      <c r="C170" t="s">
        <v>51</v>
      </c>
      <c r="D170">
        <v>54202</v>
      </c>
      <c r="E170" t="s">
        <v>222</v>
      </c>
      <c r="F170">
        <v>8714</v>
      </c>
      <c r="G170">
        <v>0.42337516234948408</v>
      </c>
      <c r="H170">
        <v>0</v>
      </c>
      <c r="I170">
        <v>0</v>
      </c>
      <c r="J170">
        <v>0.34377786803388621</v>
      </c>
      <c r="K170">
        <v>2.9063289072719697E-240</v>
      </c>
      <c r="L170">
        <v>4.8311762491373393E-240</v>
      </c>
      <c r="M170">
        <v>0.23778045900277059</v>
      </c>
      <c r="N170">
        <v>5.8453073649683375E-243</v>
      </c>
      <c r="O170">
        <v>9.8621325591978271E-243</v>
      </c>
      <c r="P170">
        <v>0.17924652809445199</v>
      </c>
      <c r="Q170">
        <v>0.99916829400571683</v>
      </c>
      <c r="R170">
        <v>2.738122603094832</v>
      </c>
      <c r="S170">
        <v>0.28134100730948258</v>
      </c>
      <c r="T170">
        <v>0.20482365393470409</v>
      </c>
      <c r="U170">
        <v>4.4783566626118887</v>
      </c>
      <c r="V170">
        <v>0.1315946781972934</v>
      </c>
      <c r="W170">
        <v>7.2127545896258889</v>
      </c>
      <c r="X170">
        <v>0.31056434530772892</v>
      </c>
      <c r="Z170" t="s">
        <v>392</v>
      </c>
      <c r="AA170">
        <v>9937</v>
      </c>
      <c r="AB170" t="s">
        <v>561</v>
      </c>
      <c r="AC170" t="str">
        <f>HYPERLINK("plots/20251231000436_3FT6Y121H01_04823_B11P_N_UFLEX98_M5358A8BH101511/dpll_52046/txpa_54202.png","plot")</f>
        <v>plot</v>
      </c>
    </row>
    <row r="171" spans="1:29" x14ac:dyDescent="0.35">
      <c r="A171" s="2" t="s">
        <v>46</v>
      </c>
      <c r="B171">
        <v>52046</v>
      </c>
      <c r="C171" t="s">
        <v>51</v>
      </c>
      <c r="D171">
        <v>54203</v>
      </c>
      <c r="E171" t="s">
        <v>223</v>
      </c>
      <c r="F171">
        <v>8715</v>
      </c>
      <c r="G171">
        <v>0.42065802972954008</v>
      </c>
      <c r="H171">
        <v>0</v>
      </c>
      <c r="I171">
        <v>0</v>
      </c>
      <c r="J171">
        <v>0.35148974416082002</v>
      </c>
      <c r="K171">
        <v>7.7106982614037305E-252</v>
      </c>
      <c r="L171">
        <v>1.3207175738282741E-251</v>
      </c>
      <c r="M171">
        <v>0.24260671974613321</v>
      </c>
      <c r="N171">
        <v>7.2797354512461872E-253</v>
      </c>
      <c r="O171">
        <v>1.2596675337139309E-252</v>
      </c>
      <c r="P171">
        <v>0.1769531779759386</v>
      </c>
      <c r="Q171">
        <v>1.0203786015178311</v>
      </c>
      <c r="R171">
        <v>3.6013699850250172</v>
      </c>
      <c r="S171">
        <v>0.28971585281336809</v>
      </c>
      <c r="T171">
        <v>0.20395383785288551</v>
      </c>
      <c r="U171">
        <v>4.4783070546184733</v>
      </c>
      <c r="V171">
        <v>0.13165966554254599</v>
      </c>
      <c r="W171">
        <v>8.1709386745840504</v>
      </c>
      <c r="X171">
        <v>0.31936322596524158</v>
      </c>
      <c r="Z171" t="s">
        <v>392</v>
      </c>
      <c r="AA171">
        <v>9937</v>
      </c>
      <c r="AB171" t="s">
        <v>562</v>
      </c>
      <c r="AC171" t="str">
        <f>HYPERLINK("plots/20251231000436_3FT6Y121H01_04823_B11P_N_UFLEX98_M5358A8BH101511/dpll_52046/txpa_54203.png","plot")</f>
        <v>plot</v>
      </c>
    </row>
    <row r="172" spans="1:29" x14ac:dyDescent="0.35">
      <c r="A172" s="2" t="s">
        <v>46</v>
      </c>
      <c r="B172">
        <v>52046</v>
      </c>
      <c r="C172" t="s">
        <v>51</v>
      </c>
      <c r="D172">
        <v>54204</v>
      </c>
      <c r="E172" t="s">
        <v>224</v>
      </c>
      <c r="F172">
        <v>8704</v>
      </c>
      <c r="G172">
        <v>0.49351862910864341</v>
      </c>
      <c r="H172">
        <v>0</v>
      </c>
      <c r="I172">
        <v>0</v>
      </c>
      <c r="J172">
        <v>0.41469891445399432</v>
      </c>
      <c r="K172">
        <v>0</v>
      </c>
      <c r="L172">
        <v>0</v>
      </c>
      <c r="M172">
        <v>0.287966784329242</v>
      </c>
      <c r="N172">
        <v>0</v>
      </c>
      <c r="O172">
        <v>0</v>
      </c>
      <c r="P172">
        <v>0.2435606372772747</v>
      </c>
      <c r="Q172">
        <v>1.194095745152328</v>
      </c>
      <c r="R172">
        <v>3.046508216208617</v>
      </c>
      <c r="S172">
        <v>0.27594552025095398</v>
      </c>
      <c r="T172">
        <v>0.1982417932172689</v>
      </c>
      <c r="U172">
        <v>4.4787511749770221</v>
      </c>
      <c r="V172">
        <v>0.13113711874936271</v>
      </c>
      <c r="W172">
        <v>8.3945659378446678</v>
      </c>
      <c r="X172">
        <v>0.31729354535809767</v>
      </c>
      <c r="Z172" t="s">
        <v>392</v>
      </c>
      <c r="AA172">
        <v>9937</v>
      </c>
      <c r="AB172" t="s">
        <v>563</v>
      </c>
      <c r="AC172" t="str">
        <f>HYPERLINK("plots/20251231000436_3FT6Y121H01_04823_B11P_N_UFLEX98_M5358A8BH101511/dpll_52046/txpa_54204.png","plot")</f>
        <v>plot</v>
      </c>
    </row>
    <row r="173" spans="1:29" x14ac:dyDescent="0.35">
      <c r="A173" s="2" t="s">
        <v>46</v>
      </c>
      <c r="B173">
        <v>52046</v>
      </c>
      <c r="C173" t="s">
        <v>51</v>
      </c>
      <c r="D173">
        <v>54205</v>
      </c>
      <c r="E173" t="s">
        <v>225</v>
      </c>
      <c r="F173">
        <v>8675</v>
      </c>
      <c r="G173">
        <v>0.48266788480883033</v>
      </c>
      <c r="H173">
        <v>0</v>
      </c>
      <c r="I173">
        <v>0</v>
      </c>
      <c r="J173">
        <v>0.41748636075258738</v>
      </c>
      <c r="K173">
        <v>0</v>
      </c>
      <c r="L173">
        <v>0</v>
      </c>
      <c r="M173">
        <v>0.29055227460065702</v>
      </c>
      <c r="N173">
        <v>0</v>
      </c>
      <c r="O173">
        <v>0</v>
      </c>
      <c r="P173">
        <v>0.23296828702583031</v>
      </c>
      <c r="Q173">
        <v>1.182875092413874</v>
      </c>
      <c r="R173">
        <v>3.2646851570072459</v>
      </c>
      <c r="S173">
        <v>0.27723344090993862</v>
      </c>
      <c r="T173">
        <v>0.19371946736910839</v>
      </c>
      <c r="U173">
        <v>4.4801033088184434</v>
      </c>
      <c r="V173">
        <v>0.12917352292111101</v>
      </c>
      <c r="W173">
        <v>8.5640877724495663</v>
      </c>
      <c r="X173">
        <v>0.31656579538796659</v>
      </c>
      <c r="Z173" t="s">
        <v>392</v>
      </c>
      <c r="AA173">
        <v>9937</v>
      </c>
      <c r="AB173" t="s">
        <v>564</v>
      </c>
      <c r="AC173" t="str">
        <f>HYPERLINK("plots/20251231000436_3FT6Y121H01_04823_B11P_N_UFLEX98_M5358A8BH101511/dpll_52046/txpa_54205.png","plot")</f>
        <v>plot</v>
      </c>
    </row>
    <row r="174" spans="1:29" x14ac:dyDescent="0.35">
      <c r="A174" s="2" t="s">
        <v>46</v>
      </c>
      <c r="B174">
        <v>52046</v>
      </c>
      <c r="C174" t="s">
        <v>51</v>
      </c>
      <c r="D174">
        <v>54206</v>
      </c>
      <c r="E174" t="s">
        <v>226</v>
      </c>
      <c r="F174">
        <v>8696</v>
      </c>
      <c r="G174">
        <v>0.51681917008362921</v>
      </c>
      <c r="H174">
        <v>0</v>
      </c>
      <c r="I174">
        <v>0</v>
      </c>
      <c r="J174">
        <v>0.42795419470682672</v>
      </c>
      <c r="K174">
        <v>0</v>
      </c>
      <c r="L174">
        <v>0</v>
      </c>
      <c r="M174">
        <v>0.29862459394617369</v>
      </c>
      <c r="N174">
        <v>0</v>
      </c>
      <c r="O174">
        <v>0</v>
      </c>
      <c r="P174">
        <v>0.26710205456593128</v>
      </c>
      <c r="Q174">
        <v>1.2272895920124831</v>
      </c>
      <c r="R174">
        <v>2.8660896086639891</v>
      </c>
      <c r="S174">
        <v>0.26570201469037341</v>
      </c>
      <c r="T174">
        <v>0.1905956446163041</v>
      </c>
      <c r="U174">
        <v>4.4790909145584168</v>
      </c>
      <c r="V174">
        <v>0.13070422635826401</v>
      </c>
      <c r="W174">
        <v>8.3632312697792095</v>
      </c>
      <c r="X174">
        <v>0.31038310095111982</v>
      </c>
      <c r="Z174" t="s">
        <v>392</v>
      </c>
      <c r="AA174">
        <v>9937</v>
      </c>
      <c r="AB174" t="s">
        <v>565</v>
      </c>
      <c r="AC174" t="str">
        <f>HYPERLINK("plots/20251231000436_3FT6Y121H01_04823_B11P_N_UFLEX98_M5358A8BH101511/dpll_52046/txpa_54206.png","plot")</f>
        <v>plot</v>
      </c>
    </row>
    <row r="175" spans="1:29" x14ac:dyDescent="0.35">
      <c r="A175" s="2" t="s">
        <v>46</v>
      </c>
      <c r="B175">
        <v>52046</v>
      </c>
      <c r="C175" t="s">
        <v>51</v>
      </c>
      <c r="D175">
        <v>54207</v>
      </c>
      <c r="E175" t="s">
        <v>227</v>
      </c>
      <c r="F175">
        <v>8678</v>
      </c>
      <c r="G175">
        <v>0.51437099222642813</v>
      </c>
      <c r="H175">
        <v>0</v>
      </c>
      <c r="I175">
        <v>0</v>
      </c>
      <c r="J175">
        <v>0.42333205085639158</v>
      </c>
      <c r="K175">
        <v>0</v>
      </c>
      <c r="L175">
        <v>0</v>
      </c>
      <c r="M175">
        <v>0.29433045602780389</v>
      </c>
      <c r="N175">
        <v>0</v>
      </c>
      <c r="O175">
        <v>0</v>
      </c>
      <c r="P175">
        <v>0.26457751764400023</v>
      </c>
      <c r="Q175">
        <v>1.16705893729279</v>
      </c>
      <c r="R175">
        <v>3.2815795204610971</v>
      </c>
      <c r="S175">
        <v>0.25164733514324639</v>
      </c>
      <c r="T175">
        <v>0.17707163669059919</v>
      </c>
      <c r="U175">
        <v>4.4799764622032718</v>
      </c>
      <c r="V175">
        <v>0.12933992019513199</v>
      </c>
      <c r="W175">
        <v>8.5099760895367602</v>
      </c>
      <c r="X175">
        <v>0.2934599969549167</v>
      </c>
      <c r="Z175" t="s">
        <v>392</v>
      </c>
      <c r="AA175">
        <v>9937</v>
      </c>
      <c r="AB175" t="s">
        <v>566</v>
      </c>
      <c r="AC175" t="str">
        <f>HYPERLINK("plots/20251231000436_3FT6Y121H01_04823_B11P_N_UFLEX98_M5358A8BH101511/dpll_52046/txpa_54207.png","plot")</f>
        <v>plot</v>
      </c>
    </row>
    <row r="176" spans="1:29" x14ac:dyDescent="0.35">
      <c r="A176" s="2" t="s">
        <v>46</v>
      </c>
      <c r="B176">
        <v>52046</v>
      </c>
      <c r="C176" t="s">
        <v>51</v>
      </c>
      <c r="D176">
        <v>54208</v>
      </c>
      <c r="E176" t="s">
        <v>228</v>
      </c>
      <c r="F176">
        <v>8684</v>
      </c>
      <c r="G176">
        <v>0.53151028000054057</v>
      </c>
      <c r="H176">
        <v>0</v>
      </c>
      <c r="I176">
        <v>0</v>
      </c>
      <c r="J176">
        <v>0.44551940045917998</v>
      </c>
      <c r="K176">
        <v>0</v>
      </c>
      <c r="L176">
        <v>0</v>
      </c>
      <c r="M176">
        <v>0.3129914683286501</v>
      </c>
      <c r="N176">
        <v>0</v>
      </c>
      <c r="O176">
        <v>0</v>
      </c>
      <c r="P176">
        <v>0.28250317774625311</v>
      </c>
      <c r="Q176">
        <v>1.1636818424105919</v>
      </c>
      <c r="R176">
        <v>3.2308975271063578</v>
      </c>
      <c r="S176">
        <v>0.2407044925539801</v>
      </c>
      <c r="T176">
        <v>0.16802690070414539</v>
      </c>
      <c r="U176">
        <v>4.4796826308152928</v>
      </c>
      <c r="V176">
        <v>0.1298005769495412</v>
      </c>
      <c r="W176">
        <v>8.4438228643482258</v>
      </c>
      <c r="X176">
        <v>0.28418373117909651</v>
      </c>
      <c r="Z176" t="s">
        <v>392</v>
      </c>
      <c r="AA176">
        <v>9937</v>
      </c>
      <c r="AB176" t="s">
        <v>567</v>
      </c>
      <c r="AC176" t="str">
        <f>HYPERLINK("plots/20251231000436_3FT6Y121H01_04823_B11P_N_UFLEX98_M5358A8BH101511/dpll_52046/txpa_54208.png","plot")</f>
        <v>plot</v>
      </c>
    </row>
    <row r="177" spans="1:29" x14ac:dyDescent="0.35">
      <c r="A177" s="2" t="s">
        <v>46</v>
      </c>
      <c r="B177">
        <v>52046</v>
      </c>
      <c r="C177" t="s">
        <v>51</v>
      </c>
      <c r="D177">
        <v>54209</v>
      </c>
      <c r="E177" t="s">
        <v>229</v>
      </c>
      <c r="F177">
        <v>8664</v>
      </c>
      <c r="G177">
        <v>0.49467268606651371</v>
      </c>
      <c r="H177">
        <v>0</v>
      </c>
      <c r="I177">
        <v>0</v>
      </c>
      <c r="J177">
        <v>0.40666063887593801</v>
      </c>
      <c r="K177">
        <v>0</v>
      </c>
      <c r="L177">
        <v>0</v>
      </c>
      <c r="M177">
        <v>0.28148433963078862</v>
      </c>
      <c r="N177">
        <v>0</v>
      </c>
      <c r="O177">
        <v>0</v>
      </c>
      <c r="P177">
        <v>0.24470106634025959</v>
      </c>
      <c r="Q177">
        <v>1.1203771032168619</v>
      </c>
      <c r="R177">
        <v>3.5399184899934779</v>
      </c>
      <c r="S177">
        <v>0.25232544321485822</v>
      </c>
      <c r="T177">
        <v>0.1798644688112277</v>
      </c>
      <c r="U177">
        <v>4.4806866147276088</v>
      </c>
      <c r="V177">
        <v>0.12819774318151669</v>
      </c>
      <c r="W177">
        <v>8.5599771798245623</v>
      </c>
      <c r="X177">
        <v>0.29035323799004809</v>
      </c>
      <c r="Z177" t="s">
        <v>392</v>
      </c>
      <c r="AA177">
        <v>9937</v>
      </c>
      <c r="AB177" t="s">
        <v>568</v>
      </c>
      <c r="AC177" t="str">
        <f>HYPERLINK("plots/20251231000436_3FT6Y121H01_04823_B11P_N_UFLEX98_M5358A8BH101511/dpll_52046/txpa_54209.png","plot")</f>
        <v>plot</v>
      </c>
    </row>
    <row r="178" spans="1:29" x14ac:dyDescent="0.35">
      <c r="A178" s="2" t="s">
        <v>46</v>
      </c>
      <c r="B178">
        <v>52046</v>
      </c>
      <c r="C178" t="s">
        <v>51</v>
      </c>
      <c r="D178">
        <v>54210</v>
      </c>
      <c r="E178" t="s">
        <v>230</v>
      </c>
      <c r="F178">
        <v>8712</v>
      </c>
      <c r="G178">
        <v>0.4464322321084</v>
      </c>
      <c r="H178">
        <v>0</v>
      </c>
      <c r="I178">
        <v>0</v>
      </c>
      <c r="J178">
        <v>0.35419389390759609</v>
      </c>
      <c r="K178">
        <v>7.035381901524262E-256</v>
      </c>
      <c r="L178">
        <v>1.223649613747102E-255</v>
      </c>
      <c r="M178">
        <v>0.24526261545555109</v>
      </c>
      <c r="N178">
        <v>2.6967311953058329E-258</v>
      </c>
      <c r="O178">
        <v>4.7973428632282714E-258</v>
      </c>
      <c r="P178">
        <v>0.19930173786528829</v>
      </c>
      <c r="Q178">
        <v>1.056677541676994</v>
      </c>
      <c r="R178">
        <v>3.4030178117263579</v>
      </c>
      <c r="S178">
        <v>0.27848554821442961</v>
      </c>
      <c r="T178">
        <v>0.20140014257467401</v>
      </c>
      <c r="U178">
        <v>4.4784402405876946</v>
      </c>
      <c r="V178">
        <v>0.131494083357066</v>
      </c>
      <c r="W178">
        <v>8.1352850356978887</v>
      </c>
      <c r="X178">
        <v>0.31123838010216959</v>
      </c>
      <c r="Z178" t="s">
        <v>392</v>
      </c>
      <c r="AA178">
        <v>9937</v>
      </c>
      <c r="AB178" t="s">
        <v>569</v>
      </c>
      <c r="AC178" t="str">
        <f>HYPERLINK("plots/20251231000436_3FT6Y121H01_04823_B11P_N_UFLEX98_M5358A8BH101511/dpll_52046/txpa_54210.png","plot")</f>
        <v>plot</v>
      </c>
    </row>
    <row r="179" spans="1:29" x14ac:dyDescent="0.35">
      <c r="A179" s="2" t="s">
        <v>46</v>
      </c>
      <c r="B179">
        <v>52046</v>
      </c>
      <c r="C179" t="s">
        <v>51</v>
      </c>
      <c r="D179">
        <v>54211</v>
      </c>
      <c r="E179" t="s">
        <v>231</v>
      </c>
      <c r="F179">
        <v>8707</v>
      </c>
      <c r="G179">
        <v>0.43851833925103018</v>
      </c>
      <c r="H179">
        <v>0</v>
      </c>
      <c r="I179">
        <v>0</v>
      </c>
      <c r="J179">
        <v>0.36897555291714479</v>
      </c>
      <c r="K179">
        <v>5.3456653905557733E-279</v>
      </c>
      <c r="L179">
        <v>1.0037971677821399E-278</v>
      </c>
      <c r="M179">
        <v>0.25548785319192391</v>
      </c>
      <c r="N179">
        <v>6.1246857960379301E-280</v>
      </c>
      <c r="O179">
        <v>1.160828298538778E-279</v>
      </c>
      <c r="P179">
        <v>0.19229833385948161</v>
      </c>
      <c r="Q179">
        <v>1.0869862096741509</v>
      </c>
      <c r="R179">
        <v>4.1794099023856432</v>
      </c>
      <c r="S179">
        <v>0.292439861397992</v>
      </c>
      <c r="T179">
        <v>0.20293557820795119</v>
      </c>
      <c r="U179">
        <v>4.4786296923165274</v>
      </c>
      <c r="V179">
        <v>0.131280356437662</v>
      </c>
      <c r="W179">
        <v>9.0476186161708956</v>
      </c>
      <c r="X179">
        <v>0.32541384082720681</v>
      </c>
      <c r="Z179" t="s">
        <v>392</v>
      </c>
      <c r="AA179">
        <v>9937</v>
      </c>
      <c r="AB179" t="s">
        <v>570</v>
      </c>
      <c r="AC179" t="str">
        <f>HYPERLINK("plots/20251231000436_3FT6Y121H01_04823_B11P_N_UFLEX98_M5358A8BH101511/dpll_52046/txpa_54211.png","plot")</f>
        <v>plot</v>
      </c>
    </row>
    <row r="180" spans="1:29" x14ac:dyDescent="0.35">
      <c r="A180" s="2" t="s">
        <v>46</v>
      </c>
      <c r="B180">
        <v>52046</v>
      </c>
      <c r="C180" t="s">
        <v>51</v>
      </c>
      <c r="D180">
        <v>54212</v>
      </c>
      <c r="E180" t="s">
        <v>232</v>
      </c>
      <c r="F180">
        <v>8689</v>
      </c>
      <c r="G180">
        <v>0.49408328286950998</v>
      </c>
      <c r="H180">
        <v>0</v>
      </c>
      <c r="I180">
        <v>0</v>
      </c>
      <c r="J180">
        <v>0.4302284152279458</v>
      </c>
      <c r="K180">
        <v>0</v>
      </c>
      <c r="L180">
        <v>0</v>
      </c>
      <c r="M180">
        <v>0.30117439065886997</v>
      </c>
      <c r="N180">
        <v>0</v>
      </c>
      <c r="O180">
        <v>0</v>
      </c>
      <c r="P180">
        <v>0.24411829041111219</v>
      </c>
      <c r="Q180">
        <v>1.2377346159431359</v>
      </c>
      <c r="R180">
        <v>3.695270009315974</v>
      </c>
      <c r="S180">
        <v>0.28391591283980672</v>
      </c>
      <c r="T180">
        <v>0.1988822294750206</v>
      </c>
      <c r="U180">
        <v>4.4793358372655083</v>
      </c>
      <c r="V180">
        <v>0.1303648266324062</v>
      </c>
      <c r="W180">
        <v>9.2394990315341232</v>
      </c>
      <c r="X180">
        <v>0.3265786644049844</v>
      </c>
      <c r="Z180" t="s">
        <v>392</v>
      </c>
      <c r="AA180">
        <v>9937</v>
      </c>
      <c r="AB180" t="s">
        <v>571</v>
      </c>
      <c r="AC180" t="str">
        <f>HYPERLINK("plots/20251231000436_3FT6Y121H01_04823_B11P_N_UFLEX98_M5358A8BH101511/dpll_52046/txpa_54212.png","plot")</f>
        <v>plot</v>
      </c>
    </row>
    <row r="181" spans="1:29" x14ac:dyDescent="0.35">
      <c r="A181" s="2" t="s">
        <v>46</v>
      </c>
      <c r="B181">
        <v>52046</v>
      </c>
      <c r="C181" t="s">
        <v>51</v>
      </c>
      <c r="D181">
        <v>54213</v>
      </c>
      <c r="E181" t="s">
        <v>233</v>
      </c>
      <c r="F181">
        <v>8631</v>
      </c>
      <c r="G181">
        <v>0.46156494454646602</v>
      </c>
      <c r="H181">
        <v>0</v>
      </c>
      <c r="I181">
        <v>0</v>
      </c>
      <c r="J181">
        <v>0.43547811727293267</v>
      </c>
      <c r="K181">
        <v>0</v>
      </c>
      <c r="L181">
        <v>0</v>
      </c>
      <c r="M181">
        <v>0.30688643769364771</v>
      </c>
      <c r="N181">
        <v>0</v>
      </c>
      <c r="O181">
        <v>0</v>
      </c>
      <c r="P181">
        <v>0.21304219803418231</v>
      </c>
      <c r="Q181">
        <v>1.155815280387863</v>
      </c>
      <c r="R181">
        <v>4.1944280059430481</v>
      </c>
      <c r="S181">
        <v>0.28011385969612812</v>
      </c>
      <c r="T181">
        <v>0.19104990020068721</v>
      </c>
      <c r="U181">
        <v>4.4819011113428333</v>
      </c>
      <c r="V181">
        <v>0.1261038717520776</v>
      </c>
      <c r="W181">
        <v>9.3746777956204372</v>
      </c>
      <c r="X181">
        <v>0.31577957470392259</v>
      </c>
      <c r="Z181" t="s">
        <v>392</v>
      </c>
      <c r="AA181">
        <v>9937</v>
      </c>
      <c r="AB181" t="s">
        <v>572</v>
      </c>
      <c r="AC181" t="str">
        <f>HYPERLINK("plots/20251231000436_3FT6Y121H01_04823_B11P_N_UFLEX98_M5358A8BH101511/dpll_52046/txpa_54213.png","plot")</f>
        <v>plot</v>
      </c>
    </row>
    <row r="182" spans="1:29" x14ac:dyDescent="0.35">
      <c r="A182" s="2" t="s">
        <v>46</v>
      </c>
      <c r="B182">
        <v>52046</v>
      </c>
      <c r="C182" t="s">
        <v>51</v>
      </c>
      <c r="D182">
        <v>54214</v>
      </c>
      <c r="E182" t="s">
        <v>234</v>
      </c>
      <c r="F182">
        <v>8684</v>
      </c>
      <c r="G182">
        <v>0.5168129125408536</v>
      </c>
      <c r="H182">
        <v>0</v>
      </c>
      <c r="I182">
        <v>0</v>
      </c>
      <c r="J182">
        <v>0.44378812839917892</v>
      </c>
      <c r="K182">
        <v>0</v>
      </c>
      <c r="L182">
        <v>0</v>
      </c>
      <c r="M182">
        <v>0.31278430344148189</v>
      </c>
      <c r="N182">
        <v>0</v>
      </c>
      <c r="O182">
        <v>0</v>
      </c>
      <c r="P182">
        <v>0.26709558656895999</v>
      </c>
      <c r="Q182">
        <v>1.277512738573169</v>
      </c>
      <c r="R182">
        <v>3.4836959934698801</v>
      </c>
      <c r="S182">
        <v>0.27511258825425061</v>
      </c>
      <c r="T182">
        <v>0.19218811961614729</v>
      </c>
      <c r="U182">
        <v>4.4795735756563788</v>
      </c>
      <c r="V182">
        <v>0.1300109458151647</v>
      </c>
      <c r="W182">
        <v>9.206408299746661</v>
      </c>
      <c r="X182">
        <v>0.32137478650882112</v>
      </c>
      <c r="Z182" t="s">
        <v>392</v>
      </c>
      <c r="AA182">
        <v>9937</v>
      </c>
      <c r="AB182" t="s">
        <v>573</v>
      </c>
      <c r="AC182" t="str">
        <f>HYPERLINK("plots/20251231000436_3FT6Y121H01_04823_B11P_N_UFLEX98_M5358A8BH101511/dpll_52046/txpa_54214.png","plot")</f>
        <v>plot</v>
      </c>
    </row>
    <row r="183" spans="1:29" x14ac:dyDescent="0.35">
      <c r="A183" s="2" t="s">
        <v>46</v>
      </c>
      <c r="B183">
        <v>52046</v>
      </c>
      <c r="C183" t="s">
        <v>51</v>
      </c>
      <c r="D183">
        <v>54215</v>
      </c>
      <c r="E183" t="s">
        <v>235</v>
      </c>
      <c r="F183">
        <v>8633</v>
      </c>
      <c r="G183">
        <v>0.4853100638587009</v>
      </c>
      <c r="H183">
        <v>0</v>
      </c>
      <c r="I183">
        <v>0</v>
      </c>
      <c r="J183">
        <v>0.43546106539377077</v>
      </c>
      <c r="K183">
        <v>0</v>
      </c>
      <c r="L183">
        <v>0</v>
      </c>
      <c r="M183">
        <v>0.30579942983463859</v>
      </c>
      <c r="N183">
        <v>0</v>
      </c>
      <c r="O183">
        <v>0</v>
      </c>
      <c r="P183">
        <v>0.23552585808253629</v>
      </c>
      <c r="Q183">
        <v>1.13328576897644</v>
      </c>
      <c r="R183">
        <v>4.2643777216105043</v>
      </c>
      <c r="S183">
        <v>0.25711186462411639</v>
      </c>
      <c r="T183">
        <v>0.17610461149908871</v>
      </c>
      <c r="U183">
        <v>4.4820551042511294</v>
      </c>
      <c r="V183">
        <v>0.12593479357582871</v>
      </c>
      <c r="W183">
        <v>9.3438269870265245</v>
      </c>
      <c r="X183">
        <v>0.29408025921346959</v>
      </c>
      <c r="Z183" t="s">
        <v>392</v>
      </c>
      <c r="AA183">
        <v>9937</v>
      </c>
      <c r="AB183" t="s">
        <v>574</v>
      </c>
      <c r="AC183" t="str">
        <f>HYPERLINK("plots/20251231000436_3FT6Y121H01_04823_B11P_N_UFLEX98_M5358A8BH101511/dpll_52046/txpa_54215.png","plot")</f>
        <v>plot</v>
      </c>
    </row>
    <row r="184" spans="1:29" x14ac:dyDescent="0.35">
      <c r="A184" s="2" t="s">
        <v>46</v>
      </c>
      <c r="B184">
        <v>52046</v>
      </c>
      <c r="C184" t="s">
        <v>51</v>
      </c>
      <c r="D184">
        <v>54216</v>
      </c>
      <c r="E184" t="s">
        <v>236</v>
      </c>
      <c r="F184">
        <v>8648</v>
      </c>
      <c r="G184">
        <v>0.50322055784049569</v>
      </c>
      <c r="H184">
        <v>0</v>
      </c>
      <c r="I184">
        <v>0</v>
      </c>
      <c r="J184">
        <v>0.45470404814149779</v>
      </c>
      <c r="K184">
        <v>0</v>
      </c>
      <c r="L184">
        <v>0</v>
      </c>
      <c r="M184">
        <v>0.32290233496109799</v>
      </c>
      <c r="N184">
        <v>0</v>
      </c>
      <c r="O184">
        <v>0</v>
      </c>
      <c r="P184">
        <v>0.25323092983329959</v>
      </c>
      <c r="Q184">
        <v>1.1467033146747421</v>
      </c>
      <c r="R184">
        <v>4.1406416657600289</v>
      </c>
      <c r="S184">
        <v>0.2500191272832113</v>
      </c>
      <c r="T184">
        <v>0.17009683606215761</v>
      </c>
      <c r="U184">
        <v>4.481473116790009</v>
      </c>
      <c r="V184">
        <v>0.12697332482931131</v>
      </c>
      <c r="W184">
        <v>9.2795617434088804</v>
      </c>
      <c r="X184">
        <v>0.28933780663069542</v>
      </c>
      <c r="Z184" t="s">
        <v>392</v>
      </c>
      <c r="AA184">
        <v>9937</v>
      </c>
      <c r="AB184" t="s">
        <v>575</v>
      </c>
      <c r="AC184" t="str">
        <f>HYPERLINK("plots/20251231000436_3FT6Y121H01_04823_B11P_N_UFLEX98_M5358A8BH101511/dpll_52046/txpa_54216.png","plot")</f>
        <v>plot</v>
      </c>
    </row>
    <row r="185" spans="1:29" x14ac:dyDescent="0.35">
      <c r="A185" s="2" t="s">
        <v>46</v>
      </c>
      <c r="B185">
        <v>52046</v>
      </c>
      <c r="C185" t="s">
        <v>51</v>
      </c>
      <c r="D185">
        <v>54217</v>
      </c>
      <c r="E185" t="s">
        <v>237</v>
      </c>
      <c r="F185">
        <v>8630</v>
      </c>
      <c r="G185">
        <v>0.46885309452696289</v>
      </c>
      <c r="H185">
        <v>0</v>
      </c>
      <c r="I185">
        <v>0</v>
      </c>
      <c r="J185">
        <v>0.42336231997537671</v>
      </c>
      <c r="K185">
        <v>0</v>
      </c>
      <c r="L185">
        <v>0</v>
      </c>
      <c r="M185">
        <v>0.29626511872312439</v>
      </c>
      <c r="N185">
        <v>0</v>
      </c>
      <c r="O185">
        <v>0</v>
      </c>
      <c r="P185">
        <v>0.21982322424750919</v>
      </c>
      <c r="Q185">
        <v>1.096588007799562</v>
      </c>
      <c r="R185">
        <v>4.4631930438401257</v>
      </c>
      <c r="S185">
        <v>0.2592446613889931</v>
      </c>
      <c r="T185">
        <v>0.17926105963200001</v>
      </c>
      <c r="U185">
        <v>4.482379063267671</v>
      </c>
      <c r="V185">
        <v>0.1254965453177993</v>
      </c>
      <c r="W185">
        <v>9.3785161710312863</v>
      </c>
      <c r="X185">
        <v>0.29352052534625811</v>
      </c>
      <c r="Z185" t="s">
        <v>392</v>
      </c>
      <c r="AA185">
        <v>9937</v>
      </c>
      <c r="AB185" t="s">
        <v>576</v>
      </c>
      <c r="AC185" t="str">
        <f>HYPERLINK("plots/20251231000436_3FT6Y121H01_04823_B11P_N_UFLEX98_M5358A8BH101511/dpll_52046/txpa_54217.png","plot")</f>
        <v>plot</v>
      </c>
    </row>
    <row r="186" spans="1:29" x14ac:dyDescent="0.35">
      <c r="A186" s="2" t="s">
        <v>46</v>
      </c>
      <c r="B186">
        <v>52046</v>
      </c>
      <c r="C186" t="s">
        <v>51</v>
      </c>
      <c r="D186">
        <v>54218</v>
      </c>
      <c r="E186" t="s">
        <v>238</v>
      </c>
      <c r="F186">
        <v>8709</v>
      </c>
      <c r="G186">
        <v>0.46795439565653418</v>
      </c>
      <c r="H186">
        <v>0</v>
      </c>
      <c r="I186">
        <v>0</v>
      </c>
      <c r="J186">
        <v>0.36681648819519952</v>
      </c>
      <c r="K186">
        <v>1.3826791804964709E-275</v>
      </c>
      <c r="L186">
        <v>2.5772733254107011E-275</v>
      </c>
      <c r="M186">
        <v>0.25414746064471921</v>
      </c>
      <c r="N186">
        <v>4.274463580632394E-277</v>
      </c>
      <c r="O186">
        <v>7.9968746693011954E-277</v>
      </c>
      <c r="P186">
        <v>0.21898131641427221</v>
      </c>
      <c r="Q186">
        <v>1.124327471783964</v>
      </c>
      <c r="R186">
        <v>3.9811670138026121</v>
      </c>
      <c r="S186">
        <v>0.27887819741368269</v>
      </c>
      <c r="T186">
        <v>0.199897640791559</v>
      </c>
      <c r="U186">
        <v>4.4785637383166836</v>
      </c>
      <c r="V186">
        <v>0.13134679949712469</v>
      </c>
      <c r="W186">
        <v>9.0165392589275459</v>
      </c>
      <c r="X186">
        <v>0.31557950171261601</v>
      </c>
      <c r="Z186" t="s">
        <v>392</v>
      </c>
      <c r="AA186">
        <v>9937</v>
      </c>
      <c r="AB186" t="s">
        <v>577</v>
      </c>
      <c r="AC186" t="str">
        <f>HYPERLINK("plots/20251231000436_3FT6Y121H01_04823_B11P_N_UFLEX98_M5358A8BH101511/dpll_52046/txpa_54218.png","plot")</f>
        <v>plot</v>
      </c>
    </row>
    <row r="187" spans="1:29" x14ac:dyDescent="0.35">
      <c r="A187" s="2" t="s">
        <v>46</v>
      </c>
      <c r="B187">
        <v>52046</v>
      </c>
      <c r="C187" t="s">
        <v>51</v>
      </c>
      <c r="D187">
        <v>54219</v>
      </c>
      <c r="E187" t="s">
        <v>239</v>
      </c>
      <c r="F187">
        <v>8697</v>
      </c>
      <c r="G187">
        <v>0.46028316941515668</v>
      </c>
      <c r="H187">
        <v>0</v>
      </c>
      <c r="I187">
        <v>0</v>
      </c>
      <c r="J187">
        <v>0.39329939782043738</v>
      </c>
      <c r="K187">
        <v>0</v>
      </c>
      <c r="L187">
        <v>0</v>
      </c>
      <c r="M187">
        <v>0.27374029386500642</v>
      </c>
      <c r="N187">
        <v>0</v>
      </c>
      <c r="O187">
        <v>0</v>
      </c>
      <c r="P187">
        <v>0.2118605960468618</v>
      </c>
      <c r="Q187">
        <v>1.188500711268071</v>
      </c>
      <c r="R187">
        <v>4.5847768919849461</v>
      </c>
      <c r="S187">
        <v>0.3002088865763563</v>
      </c>
      <c r="T187">
        <v>0.2049403403046581</v>
      </c>
      <c r="U187">
        <v>4.4788322689433144</v>
      </c>
      <c r="V187">
        <v>0.13097024551861941</v>
      </c>
      <c r="W187">
        <v>9.9078722292744619</v>
      </c>
      <c r="X187">
        <v>0.33817927809877318</v>
      </c>
      <c r="Z187" t="s">
        <v>392</v>
      </c>
      <c r="AA187">
        <v>9937</v>
      </c>
      <c r="AB187" t="s">
        <v>578</v>
      </c>
      <c r="AC187" t="str">
        <f>HYPERLINK("plots/20251231000436_3FT6Y121H01_04823_B11P_N_UFLEX98_M5358A8BH101511/dpll_52046/txpa_54219.png","plot")</f>
        <v>plot</v>
      </c>
    </row>
    <row r="188" spans="1:29" x14ac:dyDescent="0.35">
      <c r="A188" s="2" t="s">
        <v>46</v>
      </c>
      <c r="B188">
        <v>52046</v>
      </c>
      <c r="C188" t="s">
        <v>51</v>
      </c>
      <c r="D188">
        <v>54220</v>
      </c>
      <c r="E188" t="s">
        <v>240</v>
      </c>
      <c r="F188">
        <v>8666</v>
      </c>
      <c r="G188">
        <v>0.49415495152853123</v>
      </c>
      <c r="H188">
        <v>0</v>
      </c>
      <c r="I188">
        <v>0</v>
      </c>
      <c r="J188">
        <v>0.45072802500088888</v>
      </c>
      <c r="K188">
        <v>0</v>
      </c>
      <c r="L188">
        <v>0</v>
      </c>
      <c r="M188">
        <v>0.31954026659348422</v>
      </c>
      <c r="N188">
        <v>0</v>
      </c>
      <c r="O188">
        <v>0</v>
      </c>
      <c r="P188">
        <v>0.24418911612016511</v>
      </c>
      <c r="Q188">
        <v>1.30043574079137</v>
      </c>
      <c r="R188">
        <v>4.2327279831242111</v>
      </c>
      <c r="S188">
        <v>0.29502792363461988</v>
      </c>
      <c r="T188">
        <v>0.20082849927783711</v>
      </c>
      <c r="U188">
        <v>4.4800894562658673</v>
      </c>
      <c r="V188">
        <v>0.12896024966259881</v>
      </c>
      <c r="W188">
        <v>10.058796433994919</v>
      </c>
      <c r="X188">
        <v>0.33937637836851448</v>
      </c>
      <c r="Z188" t="s">
        <v>392</v>
      </c>
      <c r="AA188">
        <v>9937</v>
      </c>
      <c r="AB188" t="s">
        <v>579</v>
      </c>
      <c r="AC188" t="str">
        <f>HYPERLINK("plots/20251231000436_3FT6Y121H01_04823_B11P_N_UFLEX98_M5358A8BH101511/dpll_52046/txpa_54220.png","plot")</f>
        <v>plot</v>
      </c>
    </row>
    <row r="189" spans="1:29" x14ac:dyDescent="0.35">
      <c r="A189" s="2" t="s">
        <v>46</v>
      </c>
      <c r="B189">
        <v>52046</v>
      </c>
      <c r="C189" t="s">
        <v>51</v>
      </c>
      <c r="D189">
        <v>54221</v>
      </c>
      <c r="E189" t="s">
        <v>241</v>
      </c>
      <c r="F189">
        <v>8588</v>
      </c>
      <c r="G189">
        <v>0.42424219700136429</v>
      </c>
      <c r="H189">
        <v>0</v>
      </c>
      <c r="I189">
        <v>0</v>
      </c>
      <c r="J189">
        <v>0.44579279111548809</v>
      </c>
      <c r="K189">
        <v>0</v>
      </c>
      <c r="L189">
        <v>0</v>
      </c>
      <c r="M189">
        <v>0.31783553937055858</v>
      </c>
      <c r="N189">
        <v>0</v>
      </c>
      <c r="O189">
        <v>0</v>
      </c>
      <c r="P189">
        <v>0.1799814417165444</v>
      </c>
      <c r="Q189">
        <v>1.1113846643867411</v>
      </c>
      <c r="R189">
        <v>5.158874332095805</v>
      </c>
      <c r="S189">
        <v>0.29190277906842221</v>
      </c>
      <c r="T189">
        <v>0.19487589224809279</v>
      </c>
      <c r="U189">
        <v>4.4838849913833254</v>
      </c>
      <c r="V189">
        <v>0.12305553102826999</v>
      </c>
      <c r="W189">
        <v>10.142195348393111</v>
      </c>
      <c r="X189">
        <v>0.32236781494026201</v>
      </c>
      <c r="Z189" t="s">
        <v>392</v>
      </c>
      <c r="AA189">
        <v>9937</v>
      </c>
      <c r="AB189" t="s">
        <v>580</v>
      </c>
      <c r="AC189" t="str">
        <f>HYPERLINK("plots/20251231000436_3FT6Y121H01_04823_B11P_N_UFLEX98_M5358A8BH101511/dpll_52046/txpa_54221.png","plot")</f>
        <v>plot</v>
      </c>
    </row>
    <row r="190" spans="1:29" x14ac:dyDescent="0.35">
      <c r="A190" s="2" t="s">
        <v>46</v>
      </c>
      <c r="B190">
        <v>52046</v>
      </c>
      <c r="C190" t="s">
        <v>51</v>
      </c>
      <c r="D190">
        <v>54222</v>
      </c>
      <c r="E190" t="s">
        <v>242</v>
      </c>
      <c r="F190">
        <v>8649</v>
      </c>
      <c r="G190">
        <v>0.49814054025508031</v>
      </c>
      <c r="H190">
        <v>0</v>
      </c>
      <c r="I190">
        <v>0</v>
      </c>
      <c r="J190">
        <v>0.45920580294062391</v>
      </c>
      <c r="K190">
        <v>0</v>
      </c>
      <c r="L190">
        <v>0</v>
      </c>
      <c r="M190">
        <v>0.32782641366967769</v>
      </c>
      <c r="N190">
        <v>0</v>
      </c>
      <c r="O190">
        <v>0</v>
      </c>
      <c r="P190">
        <v>0.2481439978456233</v>
      </c>
      <c r="Q190">
        <v>1.2891577527884019</v>
      </c>
      <c r="R190">
        <v>4.2483620714406207</v>
      </c>
      <c r="S190">
        <v>0.28568034306143097</v>
      </c>
      <c r="T190">
        <v>0.1939819595428072</v>
      </c>
      <c r="U190">
        <v>4.4811085327783564</v>
      </c>
      <c r="V190">
        <v>0.1273162838903007</v>
      </c>
      <c r="W190">
        <v>10.0252178775581</v>
      </c>
      <c r="X190">
        <v>0.32948688406156351</v>
      </c>
      <c r="Z190" t="s">
        <v>392</v>
      </c>
      <c r="AA190">
        <v>9937</v>
      </c>
      <c r="AB190" t="s">
        <v>581</v>
      </c>
      <c r="AC190" t="str">
        <f>HYPERLINK("plots/20251231000436_3FT6Y121H01_04823_B11P_N_UFLEX98_M5358A8BH101511/dpll_52046/txpa_54222.png","plot")</f>
        <v>plot</v>
      </c>
    </row>
    <row r="191" spans="1:29" x14ac:dyDescent="0.35">
      <c r="A191" s="2" t="s">
        <v>46</v>
      </c>
      <c r="B191">
        <v>52046</v>
      </c>
      <c r="C191" t="s">
        <v>51</v>
      </c>
      <c r="D191">
        <v>54223</v>
      </c>
      <c r="E191" t="s">
        <v>243</v>
      </c>
      <c r="F191">
        <v>8586</v>
      </c>
      <c r="G191">
        <v>0.4440185709037951</v>
      </c>
      <c r="H191">
        <v>0</v>
      </c>
      <c r="I191">
        <v>0</v>
      </c>
      <c r="J191">
        <v>0.4468308578924296</v>
      </c>
      <c r="K191">
        <v>0</v>
      </c>
      <c r="L191">
        <v>0</v>
      </c>
      <c r="M191">
        <v>0.31806730006087708</v>
      </c>
      <c r="N191">
        <v>0</v>
      </c>
      <c r="O191">
        <v>0</v>
      </c>
      <c r="P191">
        <v>0.1971524913074485</v>
      </c>
      <c r="Q191">
        <v>1.079255325515061</v>
      </c>
      <c r="R191">
        <v>5.3041115763785083</v>
      </c>
      <c r="S191">
        <v>0.26719299432955501</v>
      </c>
      <c r="T191">
        <v>0.17878182862006509</v>
      </c>
      <c r="U191">
        <v>4.4842037658979734</v>
      </c>
      <c r="V191">
        <v>0.122690450639467</v>
      </c>
      <c r="W191">
        <v>10.143712371418591</v>
      </c>
      <c r="X191">
        <v>0.29821798212844902</v>
      </c>
      <c r="Z191" t="s">
        <v>392</v>
      </c>
      <c r="AA191">
        <v>9937</v>
      </c>
      <c r="AB191" t="s">
        <v>582</v>
      </c>
      <c r="AC191" t="str">
        <f>HYPERLINK("plots/20251231000436_3FT6Y121H01_04823_B11P_N_UFLEX98_M5358A8BH101511/dpll_52046/txpa_54223.png","plot")</f>
        <v>plot</v>
      </c>
    </row>
    <row r="192" spans="1:29" x14ac:dyDescent="0.35">
      <c r="A192" s="2" t="s">
        <v>46</v>
      </c>
      <c r="B192">
        <v>52046</v>
      </c>
      <c r="C192" t="s">
        <v>51</v>
      </c>
      <c r="D192">
        <v>54224</v>
      </c>
      <c r="E192" t="s">
        <v>244</v>
      </c>
      <c r="F192">
        <v>8619</v>
      </c>
      <c r="G192">
        <v>0.47209294333097851</v>
      </c>
      <c r="H192">
        <v>0</v>
      </c>
      <c r="I192">
        <v>0</v>
      </c>
      <c r="J192">
        <v>0.46372466595118111</v>
      </c>
      <c r="K192">
        <v>0</v>
      </c>
      <c r="L192">
        <v>0</v>
      </c>
      <c r="M192">
        <v>0.33348668638331302</v>
      </c>
      <c r="N192">
        <v>0</v>
      </c>
      <c r="O192">
        <v>0</v>
      </c>
      <c r="P192">
        <v>0.22287174714290639</v>
      </c>
      <c r="Q192">
        <v>1.1514540616441571</v>
      </c>
      <c r="R192">
        <v>4.9203210727569946</v>
      </c>
      <c r="S192">
        <v>0.26778199923602353</v>
      </c>
      <c r="T192">
        <v>0.17809348896027041</v>
      </c>
      <c r="U192">
        <v>4.4829575890474533</v>
      </c>
      <c r="V192">
        <v>0.1245492505958822</v>
      </c>
      <c r="W192">
        <v>10.082240796844181</v>
      </c>
      <c r="X192">
        <v>0.30378073322061838</v>
      </c>
      <c r="Z192" t="s">
        <v>392</v>
      </c>
      <c r="AA192">
        <v>9937</v>
      </c>
      <c r="AB192" t="s">
        <v>583</v>
      </c>
      <c r="AC192" t="str">
        <f>HYPERLINK("plots/20251231000436_3FT6Y121H01_04823_B11P_N_UFLEX98_M5358A8BH101511/dpll_52046/txpa_54224.png","plot")</f>
        <v>plot</v>
      </c>
    </row>
    <row r="193" spans="1:29" x14ac:dyDescent="0.35">
      <c r="A193" s="2" t="s">
        <v>46</v>
      </c>
      <c r="B193">
        <v>52046</v>
      </c>
      <c r="C193" t="s">
        <v>51</v>
      </c>
      <c r="D193">
        <v>54225</v>
      </c>
      <c r="E193" t="s">
        <v>245</v>
      </c>
      <c r="F193">
        <v>8594</v>
      </c>
      <c r="G193">
        <v>0.43494538342167649</v>
      </c>
      <c r="H193">
        <v>0</v>
      </c>
      <c r="I193">
        <v>0</v>
      </c>
      <c r="J193">
        <v>0.43635982663989392</v>
      </c>
      <c r="K193">
        <v>0</v>
      </c>
      <c r="L193">
        <v>0</v>
      </c>
      <c r="M193">
        <v>0.30905390217670148</v>
      </c>
      <c r="N193">
        <v>0</v>
      </c>
      <c r="O193">
        <v>0</v>
      </c>
      <c r="P193">
        <v>0.18917748655982919</v>
      </c>
      <c r="Q193">
        <v>1.073726264648116</v>
      </c>
      <c r="R193">
        <v>5.3415326755655386</v>
      </c>
      <c r="S193">
        <v>0.27316787565272432</v>
      </c>
      <c r="T193">
        <v>0.18461095839111469</v>
      </c>
      <c r="U193">
        <v>4.4840887159646261</v>
      </c>
      <c r="V193">
        <v>0.12289469711274981</v>
      </c>
      <c r="W193">
        <v>10.156216502909009</v>
      </c>
      <c r="X193">
        <v>0.30338352608287089</v>
      </c>
      <c r="Z193" t="s">
        <v>392</v>
      </c>
      <c r="AA193">
        <v>9937</v>
      </c>
      <c r="AB193" t="s">
        <v>584</v>
      </c>
      <c r="AC193" t="str">
        <f>HYPERLINK("plots/20251231000436_3FT6Y121H01_04823_B11P_N_UFLEX98_M5358A8BH101511/dpll_52046/txpa_54225.png","plot")</f>
        <v>plot</v>
      </c>
    </row>
    <row r="194" spans="1:29" x14ac:dyDescent="0.35">
      <c r="A194" s="2" t="s">
        <v>46</v>
      </c>
      <c r="B194">
        <v>52046</v>
      </c>
      <c r="C194" t="s">
        <v>51</v>
      </c>
      <c r="D194">
        <v>54226</v>
      </c>
      <c r="E194" t="s">
        <v>246</v>
      </c>
      <c r="F194">
        <v>8701</v>
      </c>
      <c r="G194">
        <v>0.48522552874645641</v>
      </c>
      <c r="H194">
        <v>0</v>
      </c>
      <c r="I194">
        <v>0</v>
      </c>
      <c r="J194">
        <v>0.38457875635938721</v>
      </c>
      <c r="K194">
        <v>1.0323260292829971E-304</v>
      </c>
      <c r="L194">
        <v>2.1494426975214761E-304</v>
      </c>
      <c r="M194">
        <v>0.26675050546014512</v>
      </c>
      <c r="N194">
        <v>9.2448972091663542E-305</v>
      </c>
      <c r="O194">
        <v>1.9170400347841889E-304</v>
      </c>
      <c r="P194">
        <v>0.23544381374727821</v>
      </c>
      <c r="Q194">
        <v>1.199717098556492</v>
      </c>
      <c r="R194">
        <v>4.5106322811373678</v>
      </c>
      <c r="S194">
        <v>0.28321160054582911</v>
      </c>
      <c r="T194">
        <v>0.20060187714118249</v>
      </c>
      <c r="U194">
        <v>4.4788702597402592</v>
      </c>
      <c r="V194">
        <v>0.13100747808887919</v>
      </c>
      <c r="W194">
        <v>9.8840095139639139</v>
      </c>
      <c r="X194">
        <v>0.32391517385335239</v>
      </c>
      <c r="Z194" t="s">
        <v>392</v>
      </c>
      <c r="AA194">
        <v>9937</v>
      </c>
      <c r="AB194" t="s">
        <v>585</v>
      </c>
      <c r="AC194" t="str">
        <f>HYPERLINK("plots/20251231000436_3FT6Y121H01_04823_B11P_N_UFLEX98_M5358A8BH101511/dpll_52046/txpa_54226.png","plot")</f>
        <v>plot</v>
      </c>
    </row>
    <row r="195" spans="1:29" x14ac:dyDescent="0.35">
      <c r="A195" s="2" t="s">
        <v>46</v>
      </c>
      <c r="B195">
        <v>52046</v>
      </c>
      <c r="C195" t="s">
        <v>51</v>
      </c>
      <c r="D195">
        <v>54227</v>
      </c>
      <c r="E195" t="s">
        <v>247</v>
      </c>
      <c r="F195">
        <v>8690</v>
      </c>
      <c r="G195">
        <v>0.47055196978649272</v>
      </c>
      <c r="H195">
        <v>0</v>
      </c>
      <c r="I195">
        <v>0</v>
      </c>
      <c r="J195">
        <v>0.40784538083576921</v>
      </c>
      <c r="K195">
        <v>0</v>
      </c>
      <c r="L195">
        <v>0</v>
      </c>
      <c r="M195">
        <v>0.28491947976759602</v>
      </c>
      <c r="N195">
        <v>0</v>
      </c>
      <c r="O195">
        <v>0</v>
      </c>
      <c r="P195">
        <v>0.22141915626994829</v>
      </c>
      <c r="Q195">
        <v>1.2506619112883171</v>
      </c>
      <c r="R195">
        <v>4.7043592214175458</v>
      </c>
      <c r="S195">
        <v>0.30676344826578589</v>
      </c>
      <c r="T195">
        <v>0.20787151100173021</v>
      </c>
      <c r="U195">
        <v>4.4789347867663976</v>
      </c>
      <c r="V195">
        <v>0.13081104515229891</v>
      </c>
      <c r="W195">
        <v>10.305992362370541</v>
      </c>
      <c r="X195">
        <v>0.34767762596345791</v>
      </c>
      <c r="Z195" t="s">
        <v>392</v>
      </c>
      <c r="AA195">
        <v>9937</v>
      </c>
      <c r="AB195" t="s">
        <v>586</v>
      </c>
      <c r="AC195" t="str">
        <f>HYPERLINK("plots/20251231000436_3FT6Y121H01_04823_B11P_N_UFLEX98_M5358A8BH101511/dpll_52046/txpa_54227.png","plot")</f>
        <v>plot</v>
      </c>
    </row>
    <row r="196" spans="1:29" x14ac:dyDescent="0.35">
      <c r="A196" s="2" t="s">
        <v>46</v>
      </c>
      <c r="B196">
        <v>52046</v>
      </c>
      <c r="C196" t="s">
        <v>51</v>
      </c>
      <c r="D196">
        <v>54228</v>
      </c>
      <c r="E196" t="s">
        <v>248</v>
      </c>
      <c r="F196">
        <v>8649</v>
      </c>
      <c r="G196">
        <v>0.48174623233206598</v>
      </c>
      <c r="H196">
        <v>0</v>
      </c>
      <c r="I196">
        <v>0</v>
      </c>
      <c r="J196">
        <v>0.45809788188363659</v>
      </c>
      <c r="K196">
        <v>0</v>
      </c>
      <c r="L196">
        <v>0</v>
      </c>
      <c r="M196">
        <v>0.32694911975368318</v>
      </c>
      <c r="N196">
        <v>0</v>
      </c>
      <c r="O196">
        <v>0</v>
      </c>
      <c r="P196">
        <v>0.23207943236614101</v>
      </c>
      <c r="Q196">
        <v>1.3076764229257081</v>
      </c>
      <c r="R196">
        <v>4.5746699139129836</v>
      </c>
      <c r="S196">
        <v>0.30355532558104481</v>
      </c>
      <c r="T196">
        <v>0.2032914415852955</v>
      </c>
      <c r="U196">
        <v>4.4809146427332642</v>
      </c>
      <c r="V196">
        <v>0.12762120707614999</v>
      </c>
      <c r="W196">
        <v>10.43425634535784</v>
      </c>
      <c r="X196">
        <v>0.34642148159814973</v>
      </c>
      <c r="Z196" t="s">
        <v>392</v>
      </c>
      <c r="AA196">
        <v>9937</v>
      </c>
      <c r="AB196" t="s">
        <v>587</v>
      </c>
      <c r="AC196" t="str">
        <f>HYPERLINK("plots/20251231000436_3FT6Y121H01_04823_B11P_N_UFLEX98_M5358A8BH101511/dpll_52046/txpa_54228.png","plot")</f>
        <v>plot</v>
      </c>
    </row>
    <row r="197" spans="1:29" x14ac:dyDescent="0.35">
      <c r="A197" s="2" t="s">
        <v>46</v>
      </c>
      <c r="B197">
        <v>52046</v>
      </c>
      <c r="C197" t="s">
        <v>51</v>
      </c>
      <c r="D197">
        <v>54229</v>
      </c>
      <c r="E197" t="s">
        <v>249</v>
      </c>
      <c r="F197">
        <v>8591</v>
      </c>
      <c r="G197">
        <v>0.42355771860169222</v>
      </c>
      <c r="H197">
        <v>0</v>
      </c>
      <c r="I197">
        <v>0</v>
      </c>
      <c r="J197">
        <v>0.44874425237294968</v>
      </c>
      <c r="K197">
        <v>0</v>
      </c>
      <c r="L197">
        <v>0</v>
      </c>
      <c r="M197">
        <v>0.32107718525179202</v>
      </c>
      <c r="N197">
        <v>0</v>
      </c>
      <c r="O197">
        <v>0</v>
      </c>
      <c r="P197">
        <v>0.1794011409870703</v>
      </c>
      <c r="Q197">
        <v>1.1681158116364969</v>
      </c>
      <c r="R197">
        <v>5.2428568441780534</v>
      </c>
      <c r="S197">
        <v>0.30772106367361252</v>
      </c>
      <c r="T197">
        <v>0.20444922686434949</v>
      </c>
      <c r="U197">
        <v>4.4838116842043991</v>
      </c>
      <c r="V197">
        <v>0.12318100583252189</v>
      </c>
      <c r="W197">
        <v>10.48046816889768</v>
      </c>
      <c r="X197">
        <v>0.33971681848057222</v>
      </c>
      <c r="Z197" t="s">
        <v>392</v>
      </c>
      <c r="AA197">
        <v>9937</v>
      </c>
      <c r="AB197" t="s">
        <v>588</v>
      </c>
      <c r="AC197" t="str">
        <f>HYPERLINK("plots/20251231000436_3FT6Y121H01_04823_B11P_N_UFLEX98_M5358A8BH101511/dpll_52046/txpa_54229.png","plot")</f>
        <v>plot</v>
      </c>
    </row>
    <row r="198" spans="1:29" x14ac:dyDescent="0.35">
      <c r="A198" s="2" t="s">
        <v>46</v>
      </c>
      <c r="B198">
        <v>52046</v>
      </c>
      <c r="C198" t="s">
        <v>51</v>
      </c>
      <c r="D198">
        <v>54230</v>
      </c>
      <c r="E198" t="s">
        <v>250</v>
      </c>
      <c r="F198">
        <v>8622</v>
      </c>
      <c r="G198">
        <v>0.47620650230479322</v>
      </c>
      <c r="H198">
        <v>0</v>
      </c>
      <c r="I198">
        <v>0</v>
      </c>
      <c r="J198">
        <v>0.46288461667935638</v>
      </c>
      <c r="K198">
        <v>0</v>
      </c>
      <c r="L198">
        <v>0</v>
      </c>
      <c r="M198">
        <v>0.33241671225480829</v>
      </c>
      <c r="N198">
        <v>0</v>
      </c>
      <c r="O198">
        <v>0</v>
      </c>
      <c r="P198">
        <v>0.22677263283736501</v>
      </c>
      <c r="Q198">
        <v>1.2596172201100291</v>
      </c>
      <c r="R198">
        <v>4.7549371403140626</v>
      </c>
      <c r="S198">
        <v>0.29168092824846947</v>
      </c>
      <c r="T198">
        <v>0.19552454747750761</v>
      </c>
      <c r="U198">
        <v>4.4823509119693803</v>
      </c>
      <c r="V198">
        <v>0.1254112058426862</v>
      </c>
      <c r="W198">
        <v>10.40098353560659</v>
      </c>
      <c r="X198">
        <v>0.33172607620780298</v>
      </c>
      <c r="Z198" t="s">
        <v>392</v>
      </c>
      <c r="AA198">
        <v>9937</v>
      </c>
      <c r="AB198" t="s">
        <v>589</v>
      </c>
      <c r="AC198" t="str">
        <f>HYPERLINK("plots/20251231000436_3FT6Y121H01_04823_B11P_N_UFLEX98_M5358A8BH101511/dpll_52046/txpa_54230.png","plot")</f>
        <v>plot</v>
      </c>
    </row>
    <row r="199" spans="1:29" x14ac:dyDescent="0.35">
      <c r="A199" s="2" t="s">
        <v>46</v>
      </c>
      <c r="B199">
        <v>52046</v>
      </c>
      <c r="C199" t="s">
        <v>51</v>
      </c>
      <c r="D199">
        <v>54231</v>
      </c>
      <c r="E199" t="s">
        <v>251</v>
      </c>
      <c r="F199">
        <v>8579</v>
      </c>
      <c r="G199">
        <v>0.4350993633030743</v>
      </c>
      <c r="H199">
        <v>0</v>
      </c>
      <c r="I199">
        <v>0</v>
      </c>
      <c r="J199">
        <v>0.45218398767677942</v>
      </c>
      <c r="K199">
        <v>0</v>
      </c>
      <c r="L199">
        <v>0</v>
      </c>
      <c r="M199">
        <v>0.32388838675764131</v>
      </c>
      <c r="N199">
        <v>0</v>
      </c>
      <c r="O199">
        <v>0</v>
      </c>
      <c r="P199">
        <v>0.18931145594674059</v>
      </c>
      <c r="Q199">
        <v>1.103413356442956</v>
      </c>
      <c r="R199">
        <v>5.5535050488665672</v>
      </c>
      <c r="S199">
        <v>0.27905425436220382</v>
      </c>
      <c r="T199">
        <v>0.18532808023258529</v>
      </c>
      <c r="U199">
        <v>4.4845233130901034</v>
      </c>
      <c r="V199">
        <v>0.12221855764230589</v>
      </c>
      <c r="W199">
        <v>10.50178796981</v>
      </c>
      <c r="X199">
        <v>0.30994664732197469</v>
      </c>
      <c r="Z199" t="s">
        <v>392</v>
      </c>
      <c r="AA199">
        <v>9937</v>
      </c>
      <c r="AB199" t="s">
        <v>590</v>
      </c>
      <c r="AC199" t="str">
        <f>HYPERLINK("plots/20251231000436_3FT6Y121H01_04823_B11P_N_UFLEX98_M5358A8BH101511/dpll_52046/txpa_54231.png","plot")</f>
        <v>plot</v>
      </c>
    </row>
    <row r="200" spans="1:29" x14ac:dyDescent="0.35">
      <c r="A200" s="2" t="s">
        <v>46</v>
      </c>
      <c r="B200">
        <v>52046</v>
      </c>
      <c r="C200" t="s">
        <v>51</v>
      </c>
      <c r="D200">
        <v>54232</v>
      </c>
      <c r="E200" t="s">
        <v>252</v>
      </c>
      <c r="F200">
        <v>8617</v>
      </c>
      <c r="G200">
        <v>0.46726737047117278</v>
      </c>
      <c r="H200">
        <v>0</v>
      </c>
      <c r="I200">
        <v>0</v>
      </c>
      <c r="J200">
        <v>0.46713514027065939</v>
      </c>
      <c r="K200">
        <v>0</v>
      </c>
      <c r="L200">
        <v>0</v>
      </c>
      <c r="M200">
        <v>0.33756826253713251</v>
      </c>
      <c r="N200">
        <v>0</v>
      </c>
      <c r="O200">
        <v>0</v>
      </c>
      <c r="P200">
        <v>0.2183387955070443</v>
      </c>
      <c r="Q200">
        <v>1.198194929849677</v>
      </c>
      <c r="R200">
        <v>5.0711958639765546</v>
      </c>
      <c r="S200">
        <v>0.28214588668119378</v>
      </c>
      <c r="T200">
        <v>0.1864149605968651</v>
      </c>
      <c r="U200">
        <v>4.4830350850644081</v>
      </c>
      <c r="V200">
        <v>0.12445937716098091</v>
      </c>
      <c r="W200">
        <v>10.44274577323894</v>
      </c>
      <c r="X200">
        <v>0.31914617649454741</v>
      </c>
      <c r="Z200" t="s">
        <v>392</v>
      </c>
      <c r="AA200">
        <v>9937</v>
      </c>
      <c r="AB200" t="s">
        <v>591</v>
      </c>
      <c r="AC200" t="str">
        <f>HYPERLINK("plots/20251231000436_3FT6Y121H01_04823_B11P_N_UFLEX98_M5358A8BH101511/dpll_52046/txpa_54232.png","plot")</f>
        <v>plot</v>
      </c>
    </row>
    <row r="201" spans="1:29" x14ac:dyDescent="0.35">
      <c r="A201" s="2" t="s">
        <v>46</v>
      </c>
      <c r="B201">
        <v>52046</v>
      </c>
      <c r="C201" t="s">
        <v>51</v>
      </c>
      <c r="D201">
        <v>54233</v>
      </c>
      <c r="E201" t="s">
        <v>253</v>
      </c>
      <c r="F201">
        <v>8598</v>
      </c>
      <c r="G201">
        <v>0.43720526799548248</v>
      </c>
      <c r="H201">
        <v>0</v>
      </c>
      <c r="I201">
        <v>0</v>
      </c>
      <c r="J201">
        <v>0.44140301076550709</v>
      </c>
      <c r="K201">
        <v>0</v>
      </c>
      <c r="L201">
        <v>0</v>
      </c>
      <c r="M201">
        <v>0.31396908451036842</v>
      </c>
      <c r="N201">
        <v>0</v>
      </c>
      <c r="O201">
        <v>0</v>
      </c>
      <c r="P201">
        <v>0.19114844636300171</v>
      </c>
      <c r="Q201">
        <v>1.141595499876336</v>
      </c>
      <c r="R201">
        <v>5.3804367326195974</v>
      </c>
      <c r="S201">
        <v>0.28929482853451399</v>
      </c>
      <c r="T201">
        <v>0.19434377154056259</v>
      </c>
      <c r="U201">
        <v>4.4838975200046516</v>
      </c>
      <c r="V201">
        <v>0.1231982824802058</v>
      </c>
      <c r="W201">
        <v>10.499233963363571</v>
      </c>
      <c r="X201">
        <v>0.32168552203572681</v>
      </c>
      <c r="Z201" t="s">
        <v>392</v>
      </c>
      <c r="AA201">
        <v>9937</v>
      </c>
      <c r="AB201" t="s">
        <v>592</v>
      </c>
      <c r="AC201" t="str">
        <f>HYPERLINK("plots/20251231000436_3FT6Y121H01_04823_B11P_N_UFLEX98_M5358A8BH101511/dpll_52046/txpa_54233.png","plot")</f>
        <v>plot</v>
      </c>
    </row>
    <row r="202" spans="1:29" x14ac:dyDescent="0.35">
      <c r="A202" s="2" t="s">
        <v>46</v>
      </c>
      <c r="B202">
        <v>52046</v>
      </c>
      <c r="C202" t="s">
        <v>51</v>
      </c>
      <c r="D202">
        <v>54234</v>
      </c>
      <c r="E202" t="s">
        <v>254</v>
      </c>
      <c r="F202">
        <v>8695</v>
      </c>
      <c r="G202">
        <v>0.4898195372102413</v>
      </c>
      <c r="H202">
        <v>0</v>
      </c>
      <c r="I202">
        <v>0</v>
      </c>
      <c r="J202">
        <v>0.39607377440842911</v>
      </c>
      <c r="K202">
        <v>0</v>
      </c>
      <c r="L202">
        <v>0</v>
      </c>
      <c r="M202">
        <v>0.27527250980407703</v>
      </c>
      <c r="N202">
        <v>0</v>
      </c>
      <c r="O202">
        <v>0</v>
      </c>
      <c r="P202">
        <v>0.23992317903285501</v>
      </c>
      <c r="Q202">
        <v>1.23965043999467</v>
      </c>
      <c r="R202">
        <v>4.7334557938517001</v>
      </c>
      <c r="S202">
        <v>0.28829391794303583</v>
      </c>
      <c r="T202">
        <v>0.20257639900336619</v>
      </c>
      <c r="U202">
        <v>4.47913286106958</v>
      </c>
      <c r="V202">
        <v>0.13066779905119291</v>
      </c>
      <c r="W202">
        <v>10.286014815871191</v>
      </c>
      <c r="X202">
        <v>0.33069810875555178</v>
      </c>
      <c r="Z202" t="s">
        <v>392</v>
      </c>
      <c r="AA202">
        <v>9937</v>
      </c>
      <c r="AB202" t="s">
        <v>593</v>
      </c>
      <c r="AC202" t="str">
        <f>HYPERLINK("plots/20251231000436_3FT6Y121H01_04823_B11P_N_UFLEX98_M5358A8BH101511/dpll_52046/txpa_54234.png","plot")</f>
        <v>plot</v>
      </c>
    </row>
    <row r="203" spans="1:29" x14ac:dyDescent="0.35">
      <c r="A203" s="2" t="s">
        <v>46</v>
      </c>
      <c r="B203">
        <v>52046</v>
      </c>
      <c r="C203" t="s">
        <v>51</v>
      </c>
      <c r="D203">
        <v>54235</v>
      </c>
      <c r="E203" t="s">
        <v>255</v>
      </c>
      <c r="F203">
        <v>8680</v>
      </c>
      <c r="G203">
        <v>0.47596564290217119</v>
      </c>
      <c r="H203">
        <v>0</v>
      </c>
      <c r="I203">
        <v>0</v>
      </c>
      <c r="J203">
        <v>0.4217338008842309</v>
      </c>
      <c r="K203">
        <v>0</v>
      </c>
      <c r="L203">
        <v>0</v>
      </c>
      <c r="M203">
        <v>0.29597983704888281</v>
      </c>
      <c r="N203">
        <v>0</v>
      </c>
      <c r="O203">
        <v>0</v>
      </c>
      <c r="P203">
        <v>0.22654329322327721</v>
      </c>
      <c r="Q203">
        <v>1.304457983253589</v>
      </c>
      <c r="R203">
        <v>4.8296843268376577</v>
      </c>
      <c r="S203">
        <v>0.31424991288789839</v>
      </c>
      <c r="T203">
        <v>0.21169348815366909</v>
      </c>
      <c r="U203">
        <v>4.4792105824884789</v>
      </c>
      <c r="V203">
        <v>0.13038501740444239</v>
      </c>
      <c r="W203">
        <v>10.67262632983871</v>
      </c>
      <c r="X203">
        <v>0.3573404496442637</v>
      </c>
      <c r="Z203" t="s">
        <v>392</v>
      </c>
      <c r="AA203">
        <v>9937</v>
      </c>
      <c r="AB203" t="s">
        <v>594</v>
      </c>
      <c r="AC203" t="str">
        <f>HYPERLINK("plots/20251231000436_3FT6Y121H01_04823_B11P_N_UFLEX98_M5358A8BH101511/dpll_52046/txpa_54235.png","plot")</f>
        <v>plot</v>
      </c>
    </row>
    <row r="204" spans="1:29" x14ac:dyDescent="0.35">
      <c r="A204" s="2" t="s">
        <v>46</v>
      </c>
      <c r="B204">
        <v>52046</v>
      </c>
      <c r="C204" t="s">
        <v>51</v>
      </c>
      <c r="D204">
        <v>54236</v>
      </c>
      <c r="E204" t="s">
        <v>256</v>
      </c>
      <c r="F204">
        <v>8634</v>
      </c>
      <c r="G204">
        <v>0.46790881277197688</v>
      </c>
      <c r="H204">
        <v>0</v>
      </c>
      <c r="I204">
        <v>0</v>
      </c>
      <c r="J204">
        <v>0.46297977812419328</v>
      </c>
      <c r="K204">
        <v>0</v>
      </c>
      <c r="L204">
        <v>0</v>
      </c>
      <c r="M204">
        <v>0.33235536151716127</v>
      </c>
      <c r="N204">
        <v>0</v>
      </c>
      <c r="O204">
        <v>0</v>
      </c>
      <c r="P204">
        <v>0.21893865706968091</v>
      </c>
      <c r="Q204">
        <v>1.314773793300869</v>
      </c>
      <c r="R204">
        <v>4.8842900990697737</v>
      </c>
      <c r="S204">
        <v>0.31372032465696043</v>
      </c>
      <c r="T204">
        <v>0.2075420577495892</v>
      </c>
      <c r="U204">
        <v>4.4816886400277971</v>
      </c>
      <c r="V204">
        <v>0.12633841427416009</v>
      </c>
      <c r="W204">
        <v>10.776696872712529</v>
      </c>
      <c r="X204">
        <v>0.35499745172741992</v>
      </c>
      <c r="Z204" t="s">
        <v>392</v>
      </c>
      <c r="AA204">
        <v>9937</v>
      </c>
      <c r="AB204" t="s">
        <v>595</v>
      </c>
      <c r="AC204" t="str">
        <f>HYPERLINK("plots/20251231000436_3FT6Y121H01_04823_B11P_N_UFLEX98_M5358A8BH101511/dpll_52046/txpa_54236.png","plot")</f>
        <v>plot</v>
      </c>
    </row>
    <row r="205" spans="1:29" x14ac:dyDescent="0.35">
      <c r="A205" s="2" t="s">
        <v>46</v>
      </c>
      <c r="B205">
        <v>52046</v>
      </c>
      <c r="C205" t="s">
        <v>51</v>
      </c>
      <c r="D205">
        <v>54237</v>
      </c>
      <c r="E205" t="s">
        <v>257</v>
      </c>
      <c r="F205">
        <v>8598</v>
      </c>
      <c r="G205">
        <v>0.42921090145676749</v>
      </c>
      <c r="H205">
        <v>0</v>
      </c>
      <c r="I205">
        <v>0</v>
      </c>
      <c r="J205">
        <v>0.44820409367980008</v>
      </c>
      <c r="K205">
        <v>0</v>
      </c>
      <c r="L205">
        <v>0</v>
      </c>
      <c r="M205">
        <v>0.32093788305097137</v>
      </c>
      <c r="N205">
        <v>0</v>
      </c>
      <c r="O205">
        <v>0</v>
      </c>
      <c r="P205">
        <v>0.184221997929331</v>
      </c>
      <c r="Q205">
        <v>1.2495190530900211</v>
      </c>
      <c r="R205">
        <v>5.1807274694022132</v>
      </c>
      <c r="S205">
        <v>0.32532561745805633</v>
      </c>
      <c r="T205">
        <v>0.2166154516851643</v>
      </c>
      <c r="U205">
        <v>4.4834640333798559</v>
      </c>
      <c r="V205">
        <v>0.12373295528819329</v>
      </c>
      <c r="W205">
        <v>10.78290120295418</v>
      </c>
      <c r="X205">
        <v>0.36021145922200248</v>
      </c>
      <c r="Z205" t="s">
        <v>392</v>
      </c>
      <c r="AA205">
        <v>9937</v>
      </c>
      <c r="AB205" t="s">
        <v>596</v>
      </c>
      <c r="AC205" t="str">
        <f>HYPERLINK("plots/20251231000436_3FT6Y121H01_04823_B11P_N_UFLEX98_M5358A8BH101511/dpll_52046/txpa_54237.png","plot")</f>
        <v>plot</v>
      </c>
    </row>
    <row r="206" spans="1:29" x14ac:dyDescent="0.35">
      <c r="A206" s="2" t="s">
        <v>46</v>
      </c>
      <c r="B206">
        <v>52046</v>
      </c>
      <c r="C206" t="s">
        <v>51</v>
      </c>
      <c r="D206">
        <v>54238</v>
      </c>
      <c r="E206" t="s">
        <v>258</v>
      </c>
      <c r="F206">
        <v>8613</v>
      </c>
      <c r="G206">
        <v>0.4665679010990928</v>
      </c>
      <c r="H206">
        <v>0</v>
      </c>
      <c r="I206">
        <v>0</v>
      </c>
      <c r="J206">
        <v>0.46738534102589951</v>
      </c>
      <c r="K206">
        <v>0</v>
      </c>
      <c r="L206">
        <v>0</v>
      </c>
      <c r="M206">
        <v>0.33736256199996001</v>
      </c>
      <c r="N206">
        <v>0</v>
      </c>
      <c r="O206">
        <v>0</v>
      </c>
      <c r="P206">
        <v>0.2176856063360128</v>
      </c>
      <c r="Q206">
        <v>1.281065636128045</v>
      </c>
      <c r="R206">
        <v>4.9975286054584052</v>
      </c>
      <c r="S206">
        <v>0.30273373099871159</v>
      </c>
      <c r="T206">
        <v>0.20095748239328309</v>
      </c>
      <c r="U206">
        <v>4.482811105538139</v>
      </c>
      <c r="V206">
        <v>0.12466336377784459</v>
      </c>
      <c r="W206">
        <v>10.74030386601649</v>
      </c>
      <c r="X206">
        <v>0.34229090994840611</v>
      </c>
      <c r="Z206" t="s">
        <v>392</v>
      </c>
      <c r="AA206">
        <v>9937</v>
      </c>
      <c r="AB206" t="s">
        <v>597</v>
      </c>
      <c r="AC206" t="str">
        <f>HYPERLINK("plots/20251231000436_3FT6Y121H01_04823_B11P_N_UFLEX98_M5358A8BH101511/dpll_52046/txpa_54238.png","plot")</f>
        <v>plot</v>
      </c>
    </row>
    <row r="207" spans="1:29" x14ac:dyDescent="0.35">
      <c r="A207" s="2" t="s">
        <v>46</v>
      </c>
      <c r="B207">
        <v>52046</v>
      </c>
      <c r="C207" t="s">
        <v>51</v>
      </c>
      <c r="D207">
        <v>54239</v>
      </c>
      <c r="E207" t="s">
        <v>259</v>
      </c>
      <c r="F207">
        <v>8576</v>
      </c>
      <c r="G207">
        <v>0.43154324206687827</v>
      </c>
      <c r="H207">
        <v>0</v>
      </c>
      <c r="I207">
        <v>0</v>
      </c>
      <c r="J207">
        <v>0.4551857726947669</v>
      </c>
      <c r="K207">
        <v>0</v>
      </c>
      <c r="L207">
        <v>0</v>
      </c>
      <c r="M207">
        <v>0.32721436295456569</v>
      </c>
      <c r="N207">
        <v>0</v>
      </c>
      <c r="O207">
        <v>0</v>
      </c>
      <c r="P207">
        <v>0.18622956977359231</v>
      </c>
      <c r="Q207">
        <v>1.146073384738618</v>
      </c>
      <c r="R207">
        <v>5.6853183909391918</v>
      </c>
      <c r="S207">
        <v>0.29245965353612069</v>
      </c>
      <c r="T207">
        <v>0.193996050917083</v>
      </c>
      <c r="U207">
        <v>4.4846055717117537</v>
      </c>
      <c r="V207">
        <v>0.1220821652884503</v>
      </c>
      <c r="W207">
        <v>10.825005477728549</v>
      </c>
      <c r="X207">
        <v>0.32422039496720989</v>
      </c>
      <c r="Z207" t="s">
        <v>392</v>
      </c>
      <c r="AA207">
        <v>9937</v>
      </c>
      <c r="AB207" t="s">
        <v>598</v>
      </c>
      <c r="AC207" t="str">
        <f>HYPERLINK("plots/20251231000436_3FT6Y121H01_04823_B11P_N_UFLEX98_M5358A8BH101511/dpll_52046/txpa_54239.png","plot")</f>
        <v>plot</v>
      </c>
    </row>
    <row r="208" spans="1:29" x14ac:dyDescent="0.35">
      <c r="A208" s="2" t="s">
        <v>46</v>
      </c>
      <c r="B208">
        <v>52046</v>
      </c>
      <c r="C208" t="s">
        <v>51</v>
      </c>
      <c r="D208">
        <v>54240</v>
      </c>
      <c r="E208" t="s">
        <v>260</v>
      </c>
      <c r="F208">
        <v>8624</v>
      </c>
      <c r="G208">
        <v>0.47051058768360982</v>
      </c>
      <c r="H208">
        <v>0</v>
      </c>
      <c r="I208">
        <v>0</v>
      </c>
      <c r="J208">
        <v>0.46882210897964349</v>
      </c>
      <c r="K208">
        <v>0</v>
      </c>
      <c r="L208">
        <v>0</v>
      </c>
      <c r="M208">
        <v>0.33951980671131893</v>
      </c>
      <c r="N208">
        <v>0</v>
      </c>
      <c r="O208">
        <v>0</v>
      </c>
      <c r="P208">
        <v>0.22138021312237591</v>
      </c>
      <c r="Q208">
        <v>1.278525592444228</v>
      </c>
      <c r="R208">
        <v>5.0366993664542754</v>
      </c>
      <c r="S208">
        <v>0.29966926188742898</v>
      </c>
      <c r="T208">
        <v>0.1976579418663483</v>
      </c>
      <c r="U208">
        <v>4.4826940015074213</v>
      </c>
      <c r="V208">
        <v>0.1249869400591935</v>
      </c>
      <c r="W208">
        <v>10.76793837047774</v>
      </c>
      <c r="X208">
        <v>0.33962891754186592</v>
      </c>
      <c r="Z208" t="s">
        <v>392</v>
      </c>
      <c r="AA208">
        <v>9937</v>
      </c>
      <c r="AB208" t="s">
        <v>599</v>
      </c>
      <c r="AC208" t="str">
        <f>HYPERLINK("plots/20251231000436_3FT6Y121H01_04823_B11P_N_UFLEX98_M5358A8BH101511/dpll_52046/txpa_54240.png","plot")</f>
        <v>plot</v>
      </c>
    </row>
    <row r="209" spans="1:29" x14ac:dyDescent="0.35">
      <c r="A209" s="2" t="s">
        <v>46</v>
      </c>
      <c r="B209">
        <v>52046</v>
      </c>
      <c r="C209" t="s">
        <v>51</v>
      </c>
      <c r="D209">
        <v>54241</v>
      </c>
      <c r="E209" t="s">
        <v>261</v>
      </c>
      <c r="F209">
        <v>8608</v>
      </c>
      <c r="G209">
        <v>0.44527377973386101</v>
      </c>
      <c r="H209">
        <v>0</v>
      </c>
      <c r="I209">
        <v>0</v>
      </c>
      <c r="J209">
        <v>0.44286694370041779</v>
      </c>
      <c r="K209">
        <v>0</v>
      </c>
      <c r="L209">
        <v>0</v>
      </c>
      <c r="M209">
        <v>0.31551206233222617</v>
      </c>
      <c r="N209">
        <v>0</v>
      </c>
      <c r="O209">
        <v>0</v>
      </c>
      <c r="P209">
        <v>0.1982687389184789</v>
      </c>
      <c r="Q209">
        <v>1.2361371542760979</v>
      </c>
      <c r="R209">
        <v>5.2641540693400746</v>
      </c>
      <c r="S209">
        <v>0.30814959815136261</v>
      </c>
      <c r="T209">
        <v>0.20717807948814479</v>
      </c>
      <c r="U209">
        <v>4.4834075148698878</v>
      </c>
      <c r="V209">
        <v>0.123974648739744</v>
      </c>
      <c r="W209">
        <v>10.80626067623141</v>
      </c>
      <c r="X209">
        <v>0.34416953449880461</v>
      </c>
      <c r="Z209" t="s">
        <v>392</v>
      </c>
      <c r="AA209">
        <v>9937</v>
      </c>
      <c r="AB209" t="s">
        <v>600</v>
      </c>
      <c r="AC209" t="str">
        <f>HYPERLINK("plots/20251231000436_3FT6Y121H01_04823_B11P_N_UFLEX98_M5358A8BH101511/dpll_52046/txpa_54241.png","plot")</f>
        <v>plot</v>
      </c>
    </row>
    <row r="210" spans="1:29" x14ac:dyDescent="0.35">
      <c r="A210" s="2" t="s">
        <v>46</v>
      </c>
      <c r="B210">
        <v>52046</v>
      </c>
      <c r="C210" t="s">
        <v>51</v>
      </c>
      <c r="D210">
        <v>54242</v>
      </c>
      <c r="E210" t="s">
        <v>262</v>
      </c>
      <c r="F210">
        <v>8693</v>
      </c>
      <c r="G210">
        <v>0.49579050715398809</v>
      </c>
      <c r="H210">
        <v>0</v>
      </c>
      <c r="I210">
        <v>0</v>
      </c>
      <c r="J210">
        <v>0.4086328000296533</v>
      </c>
      <c r="K210">
        <v>0</v>
      </c>
      <c r="L210">
        <v>0</v>
      </c>
      <c r="M210">
        <v>0.28496255719127628</v>
      </c>
      <c r="N210">
        <v>0</v>
      </c>
      <c r="O210">
        <v>0</v>
      </c>
      <c r="P210">
        <v>0.2458082269840087</v>
      </c>
      <c r="Q210">
        <v>1.2962186259934381</v>
      </c>
      <c r="R210">
        <v>4.8500153470920537</v>
      </c>
      <c r="S210">
        <v>0.29646305245234877</v>
      </c>
      <c r="T210">
        <v>0.20659286618244699</v>
      </c>
      <c r="U210">
        <v>4.4792100837455422</v>
      </c>
      <c r="V210">
        <v>0.13057938261906751</v>
      </c>
      <c r="W210">
        <v>10.656050887380649</v>
      </c>
      <c r="X210">
        <v>0.34139303895342349</v>
      </c>
      <c r="Z210" t="s">
        <v>392</v>
      </c>
      <c r="AA210">
        <v>9937</v>
      </c>
      <c r="AB210" t="s">
        <v>601</v>
      </c>
      <c r="AC210" t="str">
        <f>HYPERLINK("plots/20251231000436_3FT6Y121H01_04823_B11P_N_UFLEX98_M5358A8BH101511/dpll_52046/txpa_54242.png","plot")</f>
        <v>plot</v>
      </c>
    </row>
    <row r="211" spans="1:29" x14ac:dyDescent="0.35">
      <c r="A211" s="2" t="s">
        <v>46</v>
      </c>
      <c r="B211">
        <v>52046</v>
      </c>
      <c r="C211" t="s">
        <v>51</v>
      </c>
      <c r="D211">
        <v>54243</v>
      </c>
      <c r="E211" t="s">
        <v>263</v>
      </c>
      <c r="F211">
        <v>8663</v>
      </c>
      <c r="G211">
        <v>0.4761234233678861</v>
      </c>
      <c r="H211">
        <v>0</v>
      </c>
      <c r="I211">
        <v>0</v>
      </c>
      <c r="J211">
        <v>0.44832518791695442</v>
      </c>
      <c r="K211">
        <v>0</v>
      </c>
      <c r="L211">
        <v>0</v>
      </c>
      <c r="M211">
        <v>0.31894816564886069</v>
      </c>
      <c r="N211">
        <v>0</v>
      </c>
      <c r="O211">
        <v>0</v>
      </c>
      <c r="P211">
        <v>0.22669351427955531</v>
      </c>
      <c r="Q211">
        <v>1.4796112239516901</v>
      </c>
      <c r="R211">
        <v>5.0554768030837147</v>
      </c>
      <c r="S211">
        <v>0.35278477994142038</v>
      </c>
      <c r="T211">
        <v>0.23620572794371841</v>
      </c>
      <c r="U211">
        <v>4.4800457762899688</v>
      </c>
      <c r="V211">
        <v>0.12910141784826931</v>
      </c>
      <c r="W211">
        <v>11.68420281749971</v>
      </c>
      <c r="X211">
        <v>0.40119829754475472</v>
      </c>
      <c r="Z211" t="s">
        <v>392</v>
      </c>
      <c r="AA211">
        <v>9937</v>
      </c>
      <c r="AB211" t="s">
        <v>602</v>
      </c>
      <c r="AC211" t="str">
        <f>HYPERLINK("plots/20251231000436_3FT6Y121H01_04823_B11P_N_UFLEX98_M5358A8BH101511/dpll_52046/txpa_54243.png","plot")</f>
        <v>plot</v>
      </c>
    </row>
    <row r="212" spans="1:29" x14ac:dyDescent="0.35">
      <c r="A212" s="2" t="s">
        <v>46</v>
      </c>
      <c r="B212">
        <v>52046</v>
      </c>
      <c r="C212" t="s">
        <v>51</v>
      </c>
      <c r="D212">
        <v>54244</v>
      </c>
      <c r="E212" t="s">
        <v>264</v>
      </c>
      <c r="F212">
        <v>8643</v>
      </c>
      <c r="G212">
        <v>0.47072846417300701</v>
      </c>
      <c r="H212">
        <v>0</v>
      </c>
      <c r="I212">
        <v>0</v>
      </c>
      <c r="J212">
        <v>0.46295029331430487</v>
      </c>
      <c r="K212">
        <v>0</v>
      </c>
      <c r="L212">
        <v>0</v>
      </c>
      <c r="M212">
        <v>0.33391453976358881</v>
      </c>
      <c r="N212">
        <v>0</v>
      </c>
      <c r="O212">
        <v>0</v>
      </c>
      <c r="P212">
        <v>0.2215852869826779</v>
      </c>
      <c r="Q212">
        <v>1.5290120080336571</v>
      </c>
      <c r="R212">
        <v>4.8427984424023354</v>
      </c>
      <c r="S212">
        <v>0.3635930090287301</v>
      </c>
      <c r="T212">
        <v>0.24169708559065359</v>
      </c>
      <c r="U212">
        <v>4.481361455628833</v>
      </c>
      <c r="V212">
        <v>0.12688044576454391</v>
      </c>
      <c r="W212">
        <v>11.69485392039801</v>
      </c>
      <c r="X212">
        <v>0.41213085658518678</v>
      </c>
      <c r="Z212" t="s">
        <v>392</v>
      </c>
      <c r="AA212">
        <v>9937</v>
      </c>
      <c r="AB212" t="s">
        <v>603</v>
      </c>
      <c r="AC212" t="str">
        <f>HYPERLINK("plots/20251231000436_3FT6Y121H01_04823_B11P_N_UFLEX98_M5358A8BH101511/dpll_52046/txpa_54244.png","plot")</f>
        <v>plot</v>
      </c>
    </row>
    <row r="213" spans="1:29" x14ac:dyDescent="0.35">
      <c r="A213" s="2" t="s">
        <v>46</v>
      </c>
      <c r="B213">
        <v>52046</v>
      </c>
      <c r="C213" t="s">
        <v>51</v>
      </c>
      <c r="D213">
        <v>54245</v>
      </c>
      <c r="E213" t="s">
        <v>265</v>
      </c>
      <c r="F213">
        <v>8662</v>
      </c>
      <c r="G213">
        <v>0.47141742046780177</v>
      </c>
      <c r="H213">
        <v>0</v>
      </c>
      <c r="I213">
        <v>0</v>
      </c>
      <c r="J213">
        <v>0.43244607744355379</v>
      </c>
      <c r="K213">
        <v>0</v>
      </c>
      <c r="L213">
        <v>0</v>
      </c>
      <c r="M213">
        <v>0.30793275244189222</v>
      </c>
      <c r="N213">
        <v>0</v>
      </c>
      <c r="O213">
        <v>0</v>
      </c>
      <c r="P213">
        <v>0.22223438432051629</v>
      </c>
      <c r="Q213">
        <v>1.6602681864468409</v>
      </c>
      <c r="R213">
        <v>4.1281321925190628</v>
      </c>
      <c r="S213">
        <v>0.39787092592015361</v>
      </c>
      <c r="T213">
        <v>0.27245738249852153</v>
      </c>
      <c r="U213">
        <v>4.4806812946201804</v>
      </c>
      <c r="V213">
        <v>0.12810624049599351</v>
      </c>
      <c r="W213">
        <v>11.56726479958439</v>
      </c>
      <c r="X213">
        <v>0.45117279579898989</v>
      </c>
      <c r="Z213" t="s">
        <v>392</v>
      </c>
      <c r="AA213">
        <v>9937</v>
      </c>
      <c r="AB213" t="s">
        <v>604</v>
      </c>
      <c r="AC213" t="str">
        <f>HYPERLINK("plots/20251231000436_3FT6Y121H01_04823_B11P_N_UFLEX98_M5358A8BH101511/dpll_52046/txpa_54245.png","plot")</f>
        <v>plot</v>
      </c>
    </row>
    <row r="214" spans="1:29" x14ac:dyDescent="0.35">
      <c r="A214" s="2" t="s">
        <v>46</v>
      </c>
      <c r="B214">
        <v>52046</v>
      </c>
      <c r="C214" t="s">
        <v>51</v>
      </c>
      <c r="D214">
        <v>54246</v>
      </c>
      <c r="E214" t="s">
        <v>266</v>
      </c>
      <c r="F214">
        <v>8630</v>
      </c>
      <c r="G214">
        <v>0.47407629361185682</v>
      </c>
      <c r="H214">
        <v>0</v>
      </c>
      <c r="I214">
        <v>0</v>
      </c>
      <c r="J214">
        <v>0.467664579989016</v>
      </c>
      <c r="K214">
        <v>0</v>
      </c>
      <c r="L214">
        <v>0</v>
      </c>
      <c r="M214">
        <v>0.33842415908730028</v>
      </c>
      <c r="N214">
        <v>0</v>
      </c>
      <c r="O214">
        <v>0</v>
      </c>
      <c r="P214">
        <v>0.22474833216475551</v>
      </c>
      <c r="Q214">
        <v>1.5132309362484611</v>
      </c>
      <c r="R214">
        <v>4.8634127862115069</v>
      </c>
      <c r="S214">
        <v>0.35364402270523021</v>
      </c>
      <c r="T214">
        <v>0.23435858642533841</v>
      </c>
      <c r="U214">
        <v>4.4821330533024337</v>
      </c>
      <c r="V214">
        <v>0.1258383914478409</v>
      </c>
      <c r="W214">
        <v>11.645915182850519</v>
      </c>
      <c r="X214">
        <v>0.40167067932429118</v>
      </c>
      <c r="Z214" t="s">
        <v>392</v>
      </c>
      <c r="AA214">
        <v>9937</v>
      </c>
      <c r="AB214" t="s">
        <v>605</v>
      </c>
      <c r="AC214" t="str">
        <f>HYPERLINK("plots/20251231000436_3FT6Y121H01_04823_B11P_N_UFLEX98_M5358A8BH101511/dpll_52046/txpa_54246.png","plot")</f>
        <v>plot</v>
      </c>
    </row>
    <row r="215" spans="1:29" x14ac:dyDescent="0.35">
      <c r="A215" s="2" t="s">
        <v>46</v>
      </c>
      <c r="B215">
        <v>52046</v>
      </c>
      <c r="C215" t="s">
        <v>51</v>
      </c>
      <c r="D215">
        <v>54247</v>
      </c>
      <c r="E215" t="s">
        <v>267</v>
      </c>
      <c r="F215">
        <v>8607</v>
      </c>
      <c r="G215">
        <v>0.4443597479380359</v>
      </c>
      <c r="H215">
        <v>0</v>
      </c>
      <c r="I215">
        <v>0</v>
      </c>
      <c r="J215">
        <v>0.4468119502339119</v>
      </c>
      <c r="K215">
        <v>0</v>
      </c>
      <c r="L215">
        <v>0</v>
      </c>
      <c r="M215">
        <v>0.31999681278125203</v>
      </c>
      <c r="N215">
        <v>0</v>
      </c>
      <c r="O215">
        <v>0</v>
      </c>
      <c r="P215">
        <v>0.1974555855875548</v>
      </c>
      <c r="Q215">
        <v>1.4148357302130761</v>
      </c>
      <c r="R215">
        <v>5.3368618799138003</v>
      </c>
      <c r="S215">
        <v>0.35336272518477602</v>
      </c>
      <c r="T215">
        <v>0.237706877078014</v>
      </c>
      <c r="U215">
        <v>4.4834102794237243</v>
      </c>
      <c r="V215">
        <v>0.1238911033736146</v>
      </c>
      <c r="W215">
        <v>11.680150936447079</v>
      </c>
      <c r="X215">
        <v>0.39446768192188858</v>
      </c>
      <c r="Z215" t="s">
        <v>392</v>
      </c>
      <c r="AA215">
        <v>9937</v>
      </c>
      <c r="AB215" t="s">
        <v>606</v>
      </c>
      <c r="AC215" t="str">
        <f>HYPERLINK("plots/20251231000436_3FT6Y121H01_04823_B11P_N_UFLEX98_M5358A8BH101511/dpll_52046/txpa_54247.png","plot")</f>
        <v>plot</v>
      </c>
    </row>
    <row r="216" spans="1:29" x14ac:dyDescent="0.35">
      <c r="A216" s="2" t="s">
        <v>46</v>
      </c>
      <c r="B216">
        <v>52046</v>
      </c>
      <c r="C216" t="s">
        <v>51</v>
      </c>
      <c r="D216">
        <v>54248</v>
      </c>
      <c r="E216" t="s">
        <v>268</v>
      </c>
      <c r="F216">
        <v>8658</v>
      </c>
      <c r="G216">
        <v>0.49330556412624083</v>
      </c>
      <c r="H216">
        <v>0</v>
      </c>
      <c r="I216">
        <v>0</v>
      </c>
      <c r="J216">
        <v>0.4592691738094648</v>
      </c>
      <c r="K216">
        <v>0</v>
      </c>
      <c r="L216">
        <v>0</v>
      </c>
      <c r="M216">
        <v>0.33066125024266452</v>
      </c>
      <c r="N216">
        <v>0</v>
      </c>
      <c r="O216">
        <v>0</v>
      </c>
      <c r="P216">
        <v>0.24335037959790859</v>
      </c>
      <c r="Q216">
        <v>1.602655707744477</v>
      </c>
      <c r="R216">
        <v>4.4553991502397547</v>
      </c>
      <c r="S216">
        <v>0.36075801676134212</v>
      </c>
      <c r="T216">
        <v>0.24304257545576041</v>
      </c>
      <c r="U216">
        <v>4.4810010362670356</v>
      </c>
      <c r="V216">
        <v>0.12766429253771561</v>
      </c>
      <c r="W216">
        <v>11.636901037422041</v>
      </c>
      <c r="X216">
        <v>0.414756941720551</v>
      </c>
      <c r="Z216" t="s">
        <v>392</v>
      </c>
      <c r="AA216">
        <v>9937</v>
      </c>
      <c r="AB216" t="s">
        <v>607</v>
      </c>
      <c r="AC216" t="str">
        <f>HYPERLINK("plots/20251231000436_3FT6Y121H01_04823_B11P_N_UFLEX98_M5358A8BH101511/dpll_52046/txpa_54248.png","plot")</f>
        <v>plot</v>
      </c>
    </row>
    <row r="217" spans="1:29" x14ac:dyDescent="0.35">
      <c r="A217" s="2" t="s">
        <v>46</v>
      </c>
      <c r="B217">
        <v>52046</v>
      </c>
      <c r="C217" t="s">
        <v>51</v>
      </c>
      <c r="D217">
        <v>54249</v>
      </c>
      <c r="E217" t="s">
        <v>269</v>
      </c>
      <c r="F217">
        <v>8665</v>
      </c>
      <c r="G217">
        <v>0.49008005057270682</v>
      </c>
      <c r="H217">
        <v>0</v>
      </c>
      <c r="I217">
        <v>0</v>
      </c>
      <c r="J217">
        <v>0.43293901062004009</v>
      </c>
      <c r="K217">
        <v>0</v>
      </c>
      <c r="L217">
        <v>0</v>
      </c>
      <c r="M217">
        <v>0.30744647979565298</v>
      </c>
      <c r="N217">
        <v>0</v>
      </c>
      <c r="O217">
        <v>0</v>
      </c>
      <c r="P217">
        <v>0.24017845596934689</v>
      </c>
      <c r="Q217">
        <v>1.656319496435811</v>
      </c>
      <c r="R217">
        <v>4.1891746616204504</v>
      </c>
      <c r="S217">
        <v>0.37783562717213509</v>
      </c>
      <c r="T217">
        <v>0.26067300320118719</v>
      </c>
      <c r="U217">
        <v>4.4806385877668777</v>
      </c>
      <c r="V217">
        <v>0.128261134400462</v>
      </c>
      <c r="W217">
        <v>11.61054371102135</v>
      </c>
      <c r="X217">
        <v>0.43348309586199307</v>
      </c>
      <c r="Z217" t="s">
        <v>392</v>
      </c>
      <c r="AA217">
        <v>9937</v>
      </c>
      <c r="AB217" t="s">
        <v>608</v>
      </c>
      <c r="AC217" t="str">
        <f>HYPERLINK("plots/20251231000436_3FT6Y121H01_04823_B11P_N_UFLEX98_M5358A8BH101511/dpll_52046/txpa_54249.png","plot")</f>
        <v>plot</v>
      </c>
    </row>
    <row r="218" spans="1:29" x14ac:dyDescent="0.35">
      <c r="A218" s="2" t="s">
        <v>46</v>
      </c>
      <c r="B218">
        <v>52046</v>
      </c>
      <c r="C218" t="s">
        <v>51</v>
      </c>
      <c r="D218">
        <v>54250</v>
      </c>
      <c r="E218" t="s">
        <v>270</v>
      </c>
      <c r="F218">
        <v>8686</v>
      </c>
      <c r="G218">
        <v>0.5028751828814203</v>
      </c>
      <c r="H218">
        <v>0</v>
      </c>
      <c r="I218">
        <v>0</v>
      </c>
      <c r="J218">
        <v>0.43570305275338972</v>
      </c>
      <c r="K218">
        <v>0</v>
      </c>
      <c r="L218">
        <v>0</v>
      </c>
      <c r="M218">
        <v>0.30757670402461079</v>
      </c>
      <c r="N218">
        <v>0</v>
      </c>
      <c r="O218">
        <v>0</v>
      </c>
      <c r="P218">
        <v>0.25288344955802189</v>
      </c>
      <c r="Q218">
        <v>1.493211366669426</v>
      </c>
      <c r="R218">
        <v>4.9970777050149344</v>
      </c>
      <c r="S218">
        <v>0.3339918734215675</v>
      </c>
      <c r="T218">
        <v>0.22984191567473089</v>
      </c>
      <c r="U218">
        <v>4.4795246783329494</v>
      </c>
      <c r="V218">
        <v>0.13013845265213561</v>
      </c>
      <c r="W218">
        <v>11.6859548719779</v>
      </c>
      <c r="X218">
        <v>0.38642634068255849</v>
      </c>
      <c r="Z218" t="s">
        <v>392</v>
      </c>
      <c r="AA218">
        <v>9937</v>
      </c>
      <c r="AB218" t="s">
        <v>609</v>
      </c>
      <c r="AC218" t="str">
        <f>HYPERLINK("plots/20251231000436_3FT6Y121H01_04823_B11P_N_UFLEX98_M5358A8BH101511/dpll_52046/txpa_54250.png","plot")</f>
        <v>plot</v>
      </c>
    </row>
    <row r="219" spans="1:29" x14ac:dyDescent="0.35">
      <c r="A219" s="2" t="s">
        <v>46</v>
      </c>
      <c r="B219">
        <v>52046</v>
      </c>
      <c r="C219" t="s">
        <v>51</v>
      </c>
      <c r="D219">
        <v>54251</v>
      </c>
      <c r="E219" t="s">
        <v>271</v>
      </c>
      <c r="F219">
        <v>8664</v>
      </c>
      <c r="G219">
        <v>0.47615133594127068</v>
      </c>
      <c r="H219">
        <v>0</v>
      </c>
      <c r="I219">
        <v>0</v>
      </c>
      <c r="J219">
        <v>0.4498725419977993</v>
      </c>
      <c r="K219">
        <v>0</v>
      </c>
      <c r="L219">
        <v>0</v>
      </c>
      <c r="M219">
        <v>0.32079228331074161</v>
      </c>
      <c r="N219">
        <v>0</v>
      </c>
      <c r="O219">
        <v>0</v>
      </c>
      <c r="P219">
        <v>0.22672009471865689</v>
      </c>
      <c r="Q219">
        <v>1.5509798945644131</v>
      </c>
      <c r="R219">
        <v>4.9951196144777601</v>
      </c>
      <c r="S219">
        <v>0.36949245128945368</v>
      </c>
      <c r="T219">
        <v>0.24832139775407411</v>
      </c>
      <c r="U219">
        <v>4.4801296634349033</v>
      </c>
      <c r="V219">
        <v>0.1290033866191676</v>
      </c>
      <c r="W219">
        <v>11.943710647506929</v>
      </c>
      <c r="X219">
        <v>0.42020602248552152</v>
      </c>
      <c r="Z219" t="s">
        <v>392</v>
      </c>
      <c r="AA219">
        <v>9937</v>
      </c>
      <c r="AB219" t="s">
        <v>610</v>
      </c>
      <c r="AC219" t="str">
        <f>HYPERLINK("plots/20251231000436_3FT6Y121H01_04823_B11P_N_UFLEX98_M5358A8BH101511/dpll_52046/txpa_54251.png","plot")</f>
        <v>plot</v>
      </c>
    </row>
    <row r="220" spans="1:29" x14ac:dyDescent="0.35">
      <c r="A220" s="2" t="s">
        <v>46</v>
      </c>
      <c r="B220">
        <v>52046</v>
      </c>
      <c r="C220" t="s">
        <v>51</v>
      </c>
      <c r="D220">
        <v>54252</v>
      </c>
      <c r="E220" t="s">
        <v>272</v>
      </c>
      <c r="F220">
        <v>8652</v>
      </c>
      <c r="G220">
        <v>0.47374494457356447</v>
      </c>
      <c r="H220">
        <v>0</v>
      </c>
      <c r="I220">
        <v>0</v>
      </c>
      <c r="J220">
        <v>0.45705740345985191</v>
      </c>
      <c r="K220">
        <v>0</v>
      </c>
      <c r="L220">
        <v>0</v>
      </c>
      <c r="M220">
        <v>0.32885801030448542</v>
      </c>
      <c r="N220">
        <v>0</v>
      </c>
      <c r="O220">
        <v>0</v>
      </c>
      <c r="P220">
        <v>0.22443427250900971</v>
      </c>
      <c r="Q220">
        <v>1.6182319809616119</v>
      </c>
      <c r="R220">
        <v>4.6757317028340371</v>
      </c>
      <c r="S220">
        <v>0.38328913487998278</v>
      </c>
      <c r="T220">
        <v>0.25699645156517992</v>
      </c>
      <c r="U220">
        <v>4.4810501613499767</v>
      </c>
      <c r="V220">
        <v>0.1274224971704469</v>
      </c>
      <c r="W220">
        <v>11.927110382223759</v>
      </c>
      <c r="X220">
        <v>0.43525353120298782</v>
      </c>
      <c r="Z220" t="s">
        <v>392</v>
      </c>
      <c r="AA220">
        <v>9937</v>
      </c>
      <c r="AB220" t="s">
        <v>611</v>
      </c>
      <c r="AC220" t="str">
        <f>HYPERLINK("plots/20251231000436_3FT6Y121H01_04823_B11P_N_UFLEX98_M5358A8BH101511/dpll_52046/txpa_54252.png","plot")</f>
        <v>plot</v>
      </c>
    </row>
    <row r="221" spans="1:29" x14ac:dyDescent="0.35">
      <c r="A221" s="2" t="s">
        <v>46</v>
      </c>
      <c r="B221">
        <v>52046</v>
      </c>
      <c r="C221" t="s">
        <v>51</v>
      </c>
      <c r="D221">
        <v>54253</v>
      </c>
      <c r="E221" t="s">
        <v>273</v>
      </c>
      <c r="F221">
        <v>8671</v>
      </c>
      <c r="G221">
        <v>0.4755214846283759</v>
      </c>
      <c r="H221">
        <v>0</v>
      </c>
      <c r="I221">
        <v>0</v>
      </c>
      <c r="J221">
        <v>0.42432696295861388</v>
      </c>
      <c r="K221">
        <v>0</v>
      </c>
      <c r="L221">
        <v>0</v>
      </c>
      <c r="M221">
        <v>0.30125232605991992</v>
      </c>
      <c r="N221">
        <v>0</v>
      </c>
      <c r="O221">
        <v>0</v>
      </c>
      <c r="P221">
        <v>0.2261206823431747</v>
      </c>
      <c r="Q221">
        <v>1.752318460859472</v>
      </c>
      <c r="R221">
        <v>3.910109968674035</v>
      </c>
      <c r="S221">
        <v>0.41747499309962588</v>
      </c>
      <c r="T221">
        <v>0.28913463572310538</v>
      </c>
      <c r="U221">
        <v>4.4802766751239762</v>
      </c>
      <c r="V221">
        <v>0.12878817762097991</v>
      </c>
      <c r="W221">
        <v>11.760981496251871</v>
      </c>
      <c r="X221">
        <v>0.47459033604351492</v>
      </c>
      <c r="Z221" t="s">
        <v>392</v>
      </c>
      <c r="AA221">
        <v>9937</v>
      </c>
      <c r="AB221" t="s">
        <v>612</v>
      </c>
      <c r="AC221" t="str">
        <f>HYPERLINK("plots/20251231000436_3FT6Y121H01_04823_B11P_N_UFLEX98_M5358A8BH101511/dpll_52046/txpa_54253.png","plot")</f>
        <v>plot</v>
      </c>
    </row>
    <row r="222" spans="1:29" x14ac:dyDescent="0.35">
      <c r="A222" s="2" t="s">
        <v>46</v>
      </c>
      <c r="B222">
        <v>52046</v>
      </c>
      <c r="C222" t="s">
        <v>51</v>
      </c>
      <c r="D222">
        <v>54254</v>
      </c>
      <c r="E222" t="s">
        <v>274</v>
      </c>
      <c r="F222">
        <v>8641</v>
      </c>
      <c r="G222">
        <v>0.47971747476632159</v>
      </c>
      <c r="H222">
        <v>0</v>
      </c>
      <c r="I222">
        <v>0</v>
      </c>
      <c r="J222">
        <v>0.46397484530240862</v>
      </c>
      <c r="K222">
        <v>0</v>
      </c>
      <c r="L222">
        <v>0</v>
      </c>
      <c r="M222">
        <v>0.33516595824942108</v>
      </c>
      <c r="N222">
        <v>0</v>
      </c>
      <c r="O222">
        <v>0</v>
      </c>
      <c r="P222">
        <v>0.23012885559617641</v>
      </c>
      <c r="Q222">
        <v>1.611770756643691</v>
      </c>
      <c r="R222">
        <v>4.6497431549820361</v>
      </c>
      <c r="S222">
        <v>0.37289882880439579</v>
      </c>
      <c r="T222">
        <v>0.24862193698725391</v>
      </c>
      <c r="U222">
        <v>4.4817113121166523</v>
      </c>
      <c r="V222">
        <v>0.1264996711930286</v>
      </c>
      <c r="W222">
        <v>11.87323438757088</v>
      </c>
      <c r="X222">
        <v>0.42501781043786951</v>
      </c>
      <c r="Z222" t="s">
        <v>392</v>
      </c>
      <c r="AA222">
        <v>9937</v>
      </c>
      <c r="AB222" t="s">
        <v>613</v>
      </c>
      <c r="AC222" t="str">
        <f>HYPERLINK("plots/20251231000436_3FT6Y121H01_04823_B11P_N_UFLEX98_M5358A8BH101511/dpll_52046/txpa_54254.png","plot")</f>
        <v>plot</v>
      </c>
    </row>
    <row r="223" spans="1:29" x14ac:dyDescent="0.35">
      <c r="A223" s="2" t="s">
        <v>46</v>
      </c>
      <c r="B223">
        <v>52046</v>
      </c>
      <c r="C223" t="s">
        <v>51</v>
      </c>
      <c r="D223">
        <v>54255</v>
      </c>
      <c r="E223" t="s">
        <v>275</v>
      </c>
      <c r="F223">
        <v>8623</v>
      </c>
      <c r="G223">
        <v>0.45385574350883578</v>
      </c>
      <c r="H223">
        <v>0</v>
      </c>
      <c r="I223">
        <v>0</v>
      </c>
      <c r="J223">
        <v>0.44207609416905003</v>
      </c>
      <c r="K223">
        <v>0</v>
      </c>
      <c r="L223">
        <v>0</v>
      </c>
      <c r="M223">
        <v>0.31589316883758789</v>
      </c>
      <c r="N223">
        <v>0</v>
      </c>
      <c r="O223">
        <v>0</v>
      </c>
      <c r="P223">
        <v>0.20598503591595821</v>
      </c>
      <c r="Q223">
        <v>1.534472836258737</v>
      </c>
      <c r="R223">
        <v>5.0095295249990404</v>
      </c>
      <c r="S223">
        <v>0.37608652399989012</v>
      </c>
      <c r="T223">
        <v>0.2548540496610775</v>
      </c>
      <c r="U223">
        <v>4.4827601965673196</v>
      </c>
      <c r="V223">
        <v>0.12484100124245059</v>
      </c>
      <c r="W223">
        <v>11.888203278093471</v>
      </c>
      <c r="X223">
        <v>0.42208373034317331</v>
      </c>
      <c r="Z223" t="s">
        <v>392</v>
      </c>
      <c r="AA223">
        <v>9937</v>
      </c>
      <c r="AB223" t="s">
        <v>614</v>
      </c>
      <c r="AC223" t="str">
        <f>HYPERLINK("plots/20251231000436_3FT6Y121H01_04823_B11P_N_UFLEX98_M5358A8BH101511/dpll_52046/txpa_54255.png","plot")</f>
        <v>plot</v>
      </c>
    </row>
    <row r="224" spans="1:29" x14ac:dyDescent="0.35">
      <c r="A224" s="2" t="s">
        <v>46</v>
      </c>
      <c r="B224">
        <v>52046</v>
      </c>
      <c r="C224" t="s">
        <v>51</v>
      </c>
      <c r="D224">
        <v>54256</v>
      </c>
      <c r="E224" t="s">
        <v>276</v>
      </c>
      <c r="F224">
        <v>8668</v>
      </c>
      <c r="G224">
        <v>0.50067729149908935</v>
      </c>
      <c r="H224">
        <v>0</v>
      </c>
      <c r="I224">
        <v>0</v>
      </c>
      <c r="J224">
        <v>0.45401098265746809</v>
      </c>
      <c r="K224">
        <v>0</v>
      </c>
      <c r="L224">
        <v>0</v>
      </c>
      <c r="M224">
        <v>0.32598899043616142</v>
      </c>
      <c r="N224">
        <v>0</v>
      </c>
      <c r="O224">
        <v>0</v>
      </c>
      <c r="P224">
        <v>0.25067775022286409</v>
      </c>
      <c r="Q224">
        <v>1.711212538987082</v>
      </c>
      <c r="R224">
        <v>4.1839181135836467</v>
      </c>
      <c r="S224">
        <v>0.38019116254688867</v>
      </c>
      <c r="T224">
        <v>0.25871107174942271</v>
      </c>
      <c r="U224">
        <v>4.4804838074526998</v>
      </c>
      <c r="V224">
        <v>0.12851289195077331</v>
      </c>
      <c r="W224">
        <v>11.850978185625291</v>
      </c>
      <c r="X224">
        <v>0.43923076972236758</v>
      </c>
      <c r="Z224" t="s">
        <v>392</v>
      </c>
      <c r="AA224">
        <v>9937</v>
      </c>
      <c r="AB224" t="s">
        <v>615</v>
      </c>
      <c r="AC224" t="str">
        <f>HYPERLINK("plots/20251231000436_3FT6Y121H01_04823_B11P_N_UFLEX98_M5358A8BH101511/dpll_52046/txpa_54256.png","plot")</f>
        <v>plot</v>
      </c>
    </row>
    <row r="225" spans="1:29" x14ac:dyDescent="0.35">
      <c r="A225" s="2" t="s">
        <v>46</v>
      </c>
      <c r="B225">
        <v>52046</v>
      </c>
      <c r="C225" t="s">
        <v>51</v>
      </c>
      <c r="D225">
        <v>54257</v>
      </c>
      <c r="E225" t="s">
        <v>277</v>
      </c>
      <c r="F225">
        <v>8682</v>
      </c>
      <c r="G225">
        <v>0.50336465245404594</v>
      </c>
      <c r="H225">
        <v>0</v>
      </c>
      <c r="I225">
        <v>0</v>
      </c>
      <c r="J225">
        <v>0.42810624901155631</v>
      </c>
      <c r="K225">
        <v>0</v>
      </c>
      <c r="L225">
        <v>0</v>
      </c>
      <c r="M225">
        <v>0.30356754569290367</v>
      </c>
      <c r="N225">
        <v>0</v>
      </c>
      <c r="O225">
        <v>0</v>
      </c>
      <c r="P225">
        <v>0.25337597334018253</v>
      </c>
      <c r="Q225">
        <v>1.7948735512176459</v>
      </c>
      <c r="R225">
        <v>3.76349050382988</v>
      </c>
      <c r="S225">
        <v>0.39957469303652432</v>
      </c>
      <c r="T225">
        <v>0.27883422837412819</v>
      </c>
      <c r="U225">
        <v>4.4797591151808343</v>
      </c>
      <c r="V225">
        <v>0.1296942922127286</v>
      </c>
      <c r="W225">
        <v>11.804091655494121</v>
      </c>
      <c r="X225">
        <v>0.46245769086412208</v>
      </c>
      <c r="Z225" t="s">
        <v>392</v>
      </c>
      <c r="AA225">
        <v>9937</v>
      </c>
      <c r="AB225" t="s">
        <v>616</v>
      </c>
      <c r="AC225" t="str">
        <f>HYPERLINK("plots/20251231000436_3FT6Y121H01_04823_B11P_N_UFLEX98_M5358A8BH101511/dpll_52046/txpa_54257.png","plot")</f>
        <v>plot</v>
      </c>
    </row>
    <row r="226" spans="1:29" x14ac:dyDescent="0.35">
      <c r="A226" s="2" t="s">
        <v>46</v>
      </c>
      <c r="B226">
        <v>52046</v>
      </c>
      <c r="C226" t="s">
        <v>51</v>
      </c>
      <c r="D226">
        <v>54258</v>
      </c>
      <c r="E226" t="s">
        <v>278</v>
      </c>
      <c r="F226">
        <v>8686</v>
      </c>
      <c r="G226">
        <v>0.50454782897921047</v>
      </c>
      <c r="H226">
        <v>0</v>
      </c>
      <c r="I226">
        <v>0</v>
      </c>
      <c r="J226">
        <v>0.43789484828153769</v>
      </c>
      <c r="K226">
        <v>0</v>
      </c>
      <c r="L226">
        <v>0</v>
      </c>
      <c r="M226">
        <v>0.30952528474276741</v>
      </c>
      <c r="N226">
        <v>0</v>
      </c>
      <c r="O226">
        <v>0</v>
      </c>
      <c r="P226">
        <v>0.25456851172763462</v>
      </c>
      <c r="Q226">
        <v>1.5729376171260381</v>
      </c>
      <c r="R226">
        <v>4.905181927434608</v>
      </c>
      <c r="S226">
        <v>0.35026251491293331</v>
      </c>
      <c r="T226">
        <v>0.24162978059882961</v>
      </c>
      <c r="U226">
        <v>4.4795246783329494</v>
      </c>
      <c r="V226">
        <v>0.13013845265213561</v>
      </c>
      <c r="W226">
        <v>11.951194800828921</v>
      </c>
      <c r="X226">
        <v>0.40570914362125682</v>
      </c>
      <c r="Z226" t="s">
        <v>392</v>
      </c>
      <c r="AA226">
        <v>9937</v>
      </c>
      <c r="AB226" t="s">
        <v>617</v>
      </c>
      <c r="AC226" t="str">
        <f>HYPERLINK("plots/20251231000436_3FT6Y121H01_04823_B11P_N_UFLEX98_M5358A8BH101511/dpll_52046/txpa_54258.png","plot")</f>
        <v>plot</v>
      </c>
    </row>
    <row r="227" spans="1:29" hidden="1" x14ac:dyDescent="0.35">
      <c r="A227" s="2" t="s">
        <v>46</v>
      </c>
      <c r="B227">
        <v>52046</v>
      </c>
      <c r="C227" t="s">
        <v>51</v>
      </c>
      <c r="D227">
        <v>55146</v>
      </c>
      <c r="E227" t="s">
        <v>279</v>
      </c>
      <c r="F227">
        <v>8705</v>
      </c>
      <c r="G227">
        <v>-4.0931870041702621E-3</v>
      </c>
      <c r="H227">
        <v>0.70257743782689086</v>
      </c>
      <c r="I227">
        <v>0.70327099896985912</v>
      </c>
      <c r="J227">
        <v>-2.5880792229979691E-3</v>
      </c>
      <c r="K227">
        <v>0.80921795379231198</v>
      </c>
      <c r="L227">
        <v>0.80921795379231198</v>
      </c>
      <c r="M227">
        <v>-1.8417861775711581E-3</v>
      </c>
      <c r="N227">
        <v>0.79663676648618098</v>
      </c>
      <c r="O227">
        <v>0.79663676648618098</v>
      </c>
      <c r="P227">
        <v>1.675417985110833E-5</v>
      </c>
      <c r="Q227">
        <v>-0.1610801265450362</v>
      </c>
      <c r="R227">
        <v>-9.8953835362719254</v>
      </c>
      <c r="S227">
        <v>5.1808695161521241</v>
      </c>
      <c r="T227">
        <v>3.8980302130400268</v>
      </c>
      <c r="U227">
        <v>4.4781993960941993</v>
      </c>
      <c r="V227">
        <v>0.1316590944139947</v>
      </c>
      <c r="W227">
        <v>-10.616732461688679</v>
      </c>
      <c r="X227">
        <v>5.1812105255401679</v>
      </c>
      <c r="Z227" t="s">
        <v>392</v>
      </c>
      <c r="AA227">
        <v>9937</v>
      </c>
      <c r="AB227" t="s">
        <v>618</v>
      </c>
      <c r="AC227" t="str">
        <f>HYPERLINK("plots/20251231000436_3FT6Y121H01_04823_B11P_N_UFLEX98_M5358A8BH101511/dpll_52046/txpa_55146.png","plot")</f>
        <v>plot</v>
      </c>
    </row>
    <row r="228" spans="1:29" x14ac:dyDescent="0.35">
      <c r="A228" s="2" t="s">
        <v>46</v>
      </c>
      <c r="B228">
        <v>52046</v>
      </c>
      <c r="C228" t="s">
        <v>51</v>
      </c>
      <c r="D228">
        <v>55147</v>
      </c>
      <c r="E228" t="s">
        <v>280</v>
      </c>
      <c r="F228">
        <v>8716</v>
      </c>
      <c r="G228">
        <v>0.21455264837011109</v>
      </c>
      <c r="H228">
        <v>2.6692618289441358E-91</v>
      </c>
      <c r="I228">
        <v>2.9041110456538132E-91</v>
      </c>
      <c r="J228">
        <v>0.1530038893717873</v>
      </c>
      <c r="K228">
        <v>8.3380922055610191E-47</v>
      </c>
      <c r="L228">
        <v>9.0232929524427685E-47</v>
      </c>
      <c r="M228">
        <v>0.1029410244829875</v>
      </c>
      <c r="N228">
        <v>4.7742011666419878E-47</v>
      </c>
      <c r="O228">
        <v>5.1665314652881276E-47</v>
      </c>
      <c r="P228">
        <v>4.6032838922628543E-2</v>
      </c>
      <c r="Q228">
        <v>1.8224161759743971</v>
      </c>
      <c r="R228">
        <v>-29.553389373580099</v>
      </c>
      <c r="S228">
        <v>1.092327840255839</v>
      </c>
      <c r="T228">
        <v>0.84847137486523527</v>
      </c>
      <c r="U228">
        <v>4.4782817893529154</v>
      </c>
      <c r="V228">
        <v>0.1316732403778659</v>
      </c>
      <c r="W228">
        <v>-21.392096200091789</v>
      </c>
      <c r="X228">
        <v>1.1184361742002</v>
      </c>
      <c r="Z228" t="s">
        <v>392</v>
      </c>
      <c r="AA228">
        <v>9937</v>
      </c>
      <c r="AB228" t="s">
        <v>619</v>
      </c>
      <c r="AC228" t="str">
        <f>HYPERLINK("plots/20251231000436_3FT6Y121H01_04823_B11P_N_UFLEX98_M5358A8BH101511/dpll_52046/txpa_55147.png","plot")</f>
        <v>plot</v>
      </c>
    </row>
    <row r="229" spans="1:29" x14ac:dyDescent="0.35">
      <c r="A229" s="2" t="s">
        <v>46</v>
      </c>
      <c r="B229">
        <v>52046</v>
      </c>
      <c r="C229" t="s">
        <v>51</v>
      </c>
      <c r="D229">
        <v>55148</v>
      </c>
      <c r="E229" t="s">
        <v>281</v>
      </c>
      <c r="F229">
        <v>8716</v>
      </c>
      <c r="G229">
        <v>0.16209405137273949</v>
      </c>
      <c r="H229">
        <v>2.1791160260993119E-52</v>
      </c>
      <c r="I229">
        <v>2.2524196233075451E-52</v>
      </c>
      <c r="J229">
        <v>0.132260250069967</v>
      </c>
      <c r="K229">
        <v>2.5972365265526558E-35</v>
      </c>
      <c r="L229">
        <v>2.7122531801487059E-35</v>
      </c>
      <c r="M229">
        <v>8.8270586905909554E-2</v>
      </c>
      <c r="N229">
        <v>4.7536092611538868E-35</v>
      </c>
      <c r="O229">
        <v>4.9590121304630058E-35</v>
      </c>
      <c r="P229">
        <v>2.6274481490428311E-2</v>
      </c>
      <c r="Q229">
        <v>1.4764924350377651</v>
      </c>
      <c r="R229">
        <v>-28.65259918050501</v>
      </c>
      <c r="S229">
        <v>1.1834639498470809</v>
      </c>
      <c r="T229">
        <v>0.92098494491890437</v>
      </c>
      <c r="U229">
        <v>4.4782817893529154</v>
      </c>
      <c r="V229">
        <v>0.1316732403778659</v>
      </c>
      <c r="W229">
        <v>-22.040449996558049</v>
      </c>
      <c r="X229">
        <v>1.1993934488549911</v>
      </c>
      <c r="Z229" t="s">
        <v>392</v>
      </c>
      <c r="AA229">
        <v>9937</v>
      </c>
      <c r="AB229" t="s">
        <v>620</v>
      </c>
      <c r="AC229" t="str">
        <f>HYPERLINK("plots/20251231000436_3FT6Y121H01_04823_B11P_N_UFLEX98_M5358A8BH101511/dpll_52046/txpa_55148.png","plot")</f>
        <v>plot</v>
      </c>
    </row>
    <row r="230" spans="1:29" x14ac:dyDescent="0.35">
      <c r="A230" s="2" t="s">
        <v>46</v>
      </c>
      <c r="B230">
        <v>52046</v>
      </c>
      <c r="C230" t="s">
        <v>51</v>
      </c>
      <c r="D230">
        <v>55149</v>
      </c>
      <c r="E230" t="s">
        <v>282</v>
      </c>
      <c r="F230">
        <v>8716</v>
      </c>
      <c r="G230">
        <v>0.13473499329589811</v>
      </c>
      <c r="H230">
        <v>1.3601842610148199E-36</v>
      </c>
      <c r="I230">
        <v>1.384765904286172E-36</v>
      </c>
      <c r="J230">
        <v>0.1196222912432436</v>
      </c>
      <c r="K230">
        <v>3.787226900199052E-29</v>
      </c>
      <c r="L230">
        <v>3.8751241945528139E-29</v>
      </c>
      <c r="M230">
        <v>7.9393416047118651E-2</v>
      </c>
      <c r="N230">
        <v>1.11660403544302E-28</v>
      </c>
      <c r="O230">
        <v>1.1425191644189931E-28</v>
      </c>
      <c r="P230">
        <v>1.8153518418445692E-2</v>
      </c>
      <c r="Q230">
        <v>1.240598788180822</v>
      </c>
      <c r="R230">
        <v>-27.26473351951655</v>
      </c>
      <c r="S230">
        <v>1.2012830517659721</v>
      </c>
      <c r="T230">
        <v>0.93472513666812529</v>
      </c>
      <c r="U230">
        <v>4.4782817893529154</v>
      </c>
      <c r="V230">
        <v>0.1316732403778659</v>
      </c>
      <c r="W230">
        <v>-21.708982558513078</v>
      </c>
      <c r="X230">
        <v>1.212407099689935</v>
      </c>
      <c r="Z230" t="s">
        <v>392</v>
      </c>
      <c r="AA230">
        <v>9937</v>
      </c>
      <c r="AB230" t="s">
        <v>621</v>
      </c>
      <c r="AC230" t="str">
        <f>HYPERLINK("plots/20251231000436_3FT6Y121H01_04823_B11P_N_UFLEX98_M5358A8BH101511/dpll_52046/txpa_55149.png","plot")</f>
        <v>plot</v>
      </c>
    </row>
    <row r="231" spans="1:29" x14ac:dyDescent="0.35">
      <c r="A231" s="2" t="s">
        <v>46</v>
      </c>
      <c r="B231">
        <v>52046</v>
      </c>
      <c r="C231" t="s">
        <v>51</v>
      </c>
      <c r="D231">
        <v>55150</v>
      </c>
      <c r="E231" t="s">
        <v>283</v>
      </c>
      <c r="F231">
        <v>8716</v>
      </c>
      <c r="G231">
        <v>0.17844823259065201</v>
      </c>
      <c r="H231">
        <v>2.7739763737256759E-63</v>
      </c>
      <c r="I231">
        <v>2.9057975650390858E-63</v>
      </c>
      <c r="J231">
        <v>0.14057622391220359</v>
      </c>
      <c r="K231">
        <v>1.031793688966164E-39</v>
      </c>
      <c r="L231">
        <v>1.097837146497051E-39</v>
      </c>
      <c r="M231">
        <v>9.4054596561052209E-2</v>
      </c>
      <c r="N231">
        <v>1.456000083281143E-39</v>
      </c>
      <c r="O231">
        <v>1.5491963110672388E-39</v>
      </c>
      <c r="P231">
        <v>3.1843771714727451E-2</v>
      </c>
      <c r="Q231">
        <v>1.6015125481195429</v>
      </c>
      <c r="R231">
        <v>-28.870775693523498</v>
      </c>
      <c r="S231">
        <v>1.1626886286514879</v>
      </c>
      <c r="T231">
        <v>0.896284534994921</v>
      </c>
      <c r="U231">
        <v>4.4782817893529154</v>
      </c>
      <c r="V231">
        <v>0.1316732403778659</v>
      </c>
      <c r="W231">
        <v>-21.69875121385957</v>
      </c>
      <c r="X231">
        <v>1.181722809216323</v>
      </c>
      <c r="Z231" t="s">
        <v>392</v>
      </c>
      <c r="AA231">
        <v>9937</v>
      </c>
      <c r="AB231" t="s">
        <v>622</v>
      </c>
      <c r="AC231" t="str">
        <f>HYPERLINK("plots/20251231000436_3FT6Y121H01_04823_B11P_N_UFLEX98_M5358A8BH101511/dpll_52046/txpa_55150.png","plot")</f>
        <v>plot</v>
      </c>
    </row>
    <row r="232" spans="1:29" x14ac:dyDescent="0.35">
      <c r="A232" s="2" t="s">
        <v>46</v>
      </c>
      <c r="B232">
        <v>52046</v>
      </c>
      <c r="C232" t="s">
        <v>51</v>
      </c>
      <c r="D232">
        <v>55151</v>
      </c>
      <c r="E232" t="s">
        <v>284</v>
      </c>
      <c r="F232">
        <v>8716</v>
      </c>
      <c r="G232">
        <v>0.13218997385818071</v>
      </c>
      <c r="H232">
        <v>2.8218326270792749E-35</v>
      </c>
      <c r="I232">
        <v>2.8642024863447292E-35</v>
      </c>
      <c r="J232">
        <v>0.1134113138796095</v>
      </c>
      <c r="K232">
        <v>2.385386934134472E-26</v>
      </c>
      <c r="L232">
        <v>2.4260605328107871E-26</v>
      </c>
      <c r="M232">
        <v>7.5169138757260223E-2</v>
      </c>
      <c r="N232">
        <v>7.0574467148323099E-26</v>
      </c>
      <c r="O232">
        <v>7.1634143832231854E-26</v>
      </c>
      <c r="P232">
        <v>1.747418918862648E-2</v>
      </c>
      <c r="Q232">
        <v>1.240104241480005</v>
      </c>
      <c r="R232">
        <v>-27.381552183465061</v>
      </c>
      <c r="S232">
        <v>1.224346287001699</v>
      </c>
      <c r="T232">
        <v>0.94905638727618502</v>
      </c>
      <c r="U232">
        <v>4.4782817893529154</v>
      </c>
      <c r="V232">
        <v>0.1316732403778659</v>
      </c>
      <c r="W232">
        <v>-21.82801594194585</v>
      </c>
      <c r="X232">
        <v>1.235256647052454</v>
      </c>
      <c r="Z232" t="s">
        <v>392</v>
      </c>
      <c r="AA232">
        <v>9937</v>
      </c>
      <c r="AB232" t="s">
        <v>623</v>
      </c>
      <c r="AC232" t="str">
        <f>HYPERLINK("plots/20251231000436_3FT6Y121H01_04823_B11P_N_UFLEX98_M5358A8BH101511/dpll_52046/txpa_55151.png","plot")</f>
        <v>plot</v>
      </c>
    </row>
    <row r="233" spans="1:29" x14ac:dyDescent="0.35">
      <c r="A233" s="2" t="s">
        <v>46</v>
      </c>
      <c r="B233">
        <v>52046</v>
      </c>
      <c r="C233" t="s">
        <v>51</v>
      </c>
      <c r="D233">
        <v>55152</v>
      </c>
      <c r="E233" t="s">
        <v>285</v>
      </c>
      <c r="F233">
        <v>8716</v>
      </c>
      <c r="G233">
        <v>0.1774198004893687</v>
      </c>
      <c r="H233">
        <v>1.4479864327897111E-62</v>
      </c>
      <c r="I233">
        <v>1.5136682915966671E-62</v>
      </c>
      <c r="J233">
        <v>0.14265491119926041</v>
      </c>
      <c r="K233">
        <v>7.4207053246718025E-41</v>
      </c>
      <c r="L233">
        <v>7.9206265254917972E-41</v>
      </c>
      <c r="M233">
        <v>9.5535187661481544E-2</v>
      </c>
      <c r="N233">
        <v>9.1704435431642713E-41</v>
      </c>
      <c r="O233">
        <v>9.7882418450195488E-41</v>
      </c>
      <c r="P233">
        <v>3.1477785605687397E-2</v>
      </c>
      <c r="Q233">
        <v>1.505017251779091</v>
      </c>
      <c r="R233">
        <v>-28.276264010781102</v>
      </c>
      <c r="S233">
        <v>1.099174876037923</v>
      </c>
      <c r="T233">
        <v>0.85282101267392241</v>
      </c>
      <c r="U233">
        <v>4.4782817893529154</v>
      </c>
      <c r="V233">
        <v>0.1316732403778659</v>
      </c>
      <c r="W233">
        <v>-21.536372659476822</v>
      </c>
      <c r="X233">
        <v>1.1169581851616279</v>
      </c>
      <c r="Z233" t="s">
        <v>392</v>
      </c>
      <c r="AA233">
        <v>9937</v>
      </c>
      <c r="AB233" t="s">
        <v>624</v>
      </c>
      <c r="AC233" t="str">
        <f>HYPERLINK("plots/20251231000436_3FT6Y121H01_04823_B11P_N_UFLEX98_M5358A8BH101511/dpll_52046/txpa_55152.png","plot")</f>
        <v>plot</v>
      </c>
    </row>
    <row r="234" spans="1:29" x14ac:dyDescent="0.35">
      <c r="A234" s="2" t="s">
        <v>46</v>
      </c>
      <c r="B234">
        <v>52046</v>
      </c>
      <c r="C234" t="s">
        <v>51</v>
      </c>
      <c r="D234">
        <v>55153</v>
      </c>
      <c r="E234" t="s">
        <v>286</v>
      </c>
      <c r="F234">
        <v>8716</v>
      </c>
      <c r="G234">
        <v>0.12789448829146649</v>
      </c>
      <c r="H234">
        <v>4.1212844638583713E-33</v>
      </c>
      <c r="I234">
        <v>4.1706411640243402E-33</v>
      </c>
      <c r="J234">
        <v>0.1177941199411399</v>
      </c>
      <c r="K234">
        <v>2.6178223527372021E-28</v>
      </c>
      <c r="L234">
        <v>2.667810920276908E-28</v>
      </c>
      <c r="M234">
        <v>7.8506490254623834E-2</v>
      </c>
      <c r="N234">
        <v>4.4624916674444234E-28</v>
      </c>
      <c r="O234">
        <v>4.5477050761694929E-28</v>
      </c>
      <c r="P234">
        <v>1.6357000135336058E-2</v>
      </c>
      <c r="Q234">
        <v>1.1711094913232689</v>
      </c>
      <c r="R234">
        <v>-27.094780686715939</v>
      </c>
      <c r="S234">
        <v>1.1957407590112139</v>
      </c>
      <c r="T234">
        <v>0.92782082776684693</v>
      </c>
      <c r="U234">
        <v>4.4782817893529154</v>
      </c>
      <c r="V234">
        <v>0.1316732403778659</v>
      </c>
      <c r="W234">
        <v>-21.850222378384579</v>
      </c>
      <c r="X234">
        <v>1.2057109232759491</v>
      </c>
      <c r="Z234" t="s">
        <v>392</v>
      </c>
      <c r="AA234">
        <v>9937</v>
      </c>
      <c r="AB234" t="s">
        <v>625</v>
      </c>
      <c r="AC234" t="str">
        <f>HYPERLINK("plots/20251231000436_3FT6Y121H01_04823_B11P_N_UFLEX98_M5358A8BH101511/dpll_52046/txpa_55153.png","plot")</f>
        <v>plot</v>
      </c>
    </row>
    <row r="235" spans="1:29" x14ac:dyDescent="0.35">
      <c r="A235" s="2" t="s">
        <v>46</v>
      </c>
      <c r="B235">
        <v>52046</v>
      </c>
      <c r="C235" t="s">
        <v>51</v>
      </c>
      <c r="D235">
        <v>55154</v>
      </c>
      <c r="E235" t="s">
        <v>287</v>
      </c>
      <c r="F235">
        <v>8716</v>
      </c>
      <c r="G235">
        <v>0.19843074524364929</v>
      </c>
      <c r="H235">
        <v>4.1759023152584758E-78</v>
      </c>
      <c r="I235">
        <v>4.4950795622846014E-78</v>
      </c>
      <c r="J235">
        <v>0.14413104350326561</v>
      </c>
      <c r="K235">
        <v>1.117286481645323E-41</v>
      </c>
      <c r="L235">
        <v>1.1975988291631691E-41</v>
      </c>
      <c r="M235">
        <v>9.7172962170499089E-2</v>
      </c>
      <c r="N235">
        <v>4.0937857534236583E-42</v>
      </c>
      <c r="O235">
        <v>4.388053651132758E-42</v>
      </c>
      <c r="P235">
        <v>3.9374760657950057E-2</v>
      </c>
      <c r="Q235">
        <v>1.773759827912561</v>
      </c>
      <c r="R235">
        <v>-29.473824581781511</v>
      </c>
      <c r="S235">
        <v>1.153547430463705</v>
      </c>
      <c r="T235">
        <v>0.88929713390448295</v>
      </c>
      <c r="U235">
        <v>4.4782817893529154</v>
      </c>
      <c r="V235">
        <v>0.1316732403778659</v>
      </c>
      <c r="W235">
        <v>-21.53042824575493</v>
      </c>
      <c r="X235">
        <v>1.177018732185644</v>
      </c>
      <c r="Z235" t="s">
        <v>392</v>
      </c>
      <c r="AA235">
        <v>9937</v>
      </c>
      <c r="AB235" t="s">
        <v>626</v>
      </c>
      <c r="AC235" t="str">
        <f>HYPERLINK("plots/20251231000436_3FT6Y121H01_04823_B11P_N_UFLEX98_M5358A8BH101511/dpll_52046/txpa_55154.png","plot")</f>
        <v>plot</v>
      </c>
    </row>
    <row r="236" spans="1:29" x14ac:dyDescent="0.35">
      <c r="A236" s="2" t="s">
        <v>46</v>
      </c>
      <c r="B236">
        <v>52046</v>
      </c>
      <c r="C236" t="s">
        <v>51</v>
      </c>
      <c r="D236">
        <v>55155</v>
      </c>
      <c r="E236" t="s">
        <v>288</v>
      </c>
      <c r="F236">
        <v>8716</v>
      </c>
      <c r="G236">
        <v>0.34432048339475141</v>
      </c>
      <c r="H236">
        <v>4.0423040432598617E-241</v>
      </c>
      <c r="I236">
        <v>4.8622731908250293E-241</v>
      </c>
      <c r="J236">
        <v>0.21035869786446801</v>
      </c>
      <c r="K236">
        <v>9.2551876783109248E-88</v>
      </c>
      <c r="L236">
        <v>1.0404390582934899E-87</v>
      </c>
      <c r="M236">
        <v>0.14134432059864441</v>
      </c>
      <c r="N236">
        <v>3.792000197071681E-87</v>
      </c>
      <c r="O236">
        <v>4.2534161502551824E-87</v>
      </c>
      <c r="P236">
        <v>0.1185565952851952</v>
      </c>
      <c r="Q236">
        <v>1.0745304613958579</v>
      </c>
      <c r="R236">
        <v>-12.921242049485111</v>
      </c>
      <c r="S236">
        <v>0.38576755353565922</v>
      </c>
      <c r="T236">
        <v>0.30644480905244759</v>
      </c>
      <c r="U236">
        <v>4.4782817893529154</v>
      </c>
      <c r="V236">
        <v>0.1316732403778659</v>
      </c>
      <c r="W236">
        <v>-8.10919185211106</v>
      </c>
      <c r="X236">
        <v>0.410916325226304</v>
      </c>
      <c r="Z236" t="s">
        <v>392</v>
      </c>
      <c r="AA236">
        <v>9937</v>
      </c>
      <c r="AB236" t="s">
        <v>627</v>
      </c>
      <c r="AC236" t="str">
        <f>HYPERLINK("plots/20251231000436_3FT6Y121H01_04823_B11P_N_UFLEX98_M5358A8BH101511/dpll_52046/txpa_55155.png","plot")</f>
        <v>plot</v>
      </c>
    </row>
    <row r="237" spans="1:29" x14ac:dyDescent="0.35">
      <c r="A237" s="2" t="s">
        <v>46</v>
      </c>
      <c r="B237">
        <v>52046</v>
      </c>
      <c r="C237" t="s">
        <v>51</v>
      </c>
      <c r="D237">
        <v>55156</v>
      </c>
      <c r="E237" t="s">
        <v>289</v>
      </c>
      <c r="F237">
        <v>8716</v>
      </c>
      <c r="G237">
        <v>0.35653970337468271</v>
      </c>
      <c r="H237">
        <v>1.3094778171113301E-259</v>
      </c>
      <c r="I237">
        <v>1.611420517658845E-259</v>
      </c>
      <c r="J237">
        <v>0.27564842427200159</v>
      </c>
      <c r="K237">
        <v>9.1282804592101813E-152</v>
      </c>
      <c r="L237">
        <v>1.174628982949127E-151</v>
      </c>
      <c r="M237">
        <v>0.18587022712517101</v>
      </c>
      <c r="N237">
        <v>2.8822790147548932E-149</v>
      </c>
      <c r="O237">
        <v>3.7042216995709282E-149</v>
      </c>
      <c r="P237">
        <v>0.12712056008250669</v>
      </c>
      <c r="Q237">
        <v>0.92488508422046622</v>
      </c>
      <c r="R237">
        <v>-12.792648572703509</v>
      </c>
      <c r="S237">
        <v>0.31910206677818392</v>
      </c>
      <c r="T237">
        <v>0.25596566655737379</v>
      </c>
      <c r="U237">
        <v>4.4782817893529154</v>
      </c>
      <c r="V237">
        <v>0.1316732403778659</v>
      </c>
      <c r="W237">
        <v>-8.6507525427948586</v>
      </c>
      <c r="X237">
        <v>0.34156817561629188</v>
      </c>
      <c r="Z237" t="s">
        <v>392</v>
      </c>
      <c r="AA237">
        <v>9937</v>
      </c>
      <c r="AB237" t="s">
        <v>628</v>
      </c>
      <c r="AC237" t="str">
        <f>HYPERLINK("plots/20251231000436_3FT6Y121H01_04823_B11P_N_UFLEX98_M5358A8BH101511/dpll_52046/txpa_55156.png","plot")</f>
        <v>plot</v>
      </c>
    </row>
    <row r="238" spans="1:29" x14ac:dyDescent="0.35">
      <c r="A238" s="2" t="s">
        <v>46</v>
      </c>
      <c r="B238">
        <v>52046</v>
      </c>
      <c r="C238" t="s">
        <v>51</v>
      </c>
      <c r="D238">
        <v>55157</v>
      </c>
      <c r="E238" t="s">
        <v>290</v>
      </c>
      <c r="F238">
        <v>8716</v>
      </c>
      <c r="G238">
        <v>0.1999982869566711</v>
      </c>
      <c r="H238">
        <v>2.4362269717638301E-79</v>
      </c>
      <c r="I238">
        <v>2.630813790594807E-79</v>
      </c>
      <c r="J238">
        <v>0.16991362692061179</v>
      </c>
      <c r="K238">
        <v>1.8458033387353299E-57</v>
      </c>
      <c r="L238">
        <v>2.0039021257790411E-57</v>
      </c>
      <c r="M238">
        <v>0.11235379389469601</v>
      </c>
      <c r="N238">
        <v>9.5049981387842637E-56</v>
      </c>
      <c r="O238">
        <v>1.0319130741677989E-55</v>
      </c>
      <c r="P238">
        <v>3.9999314785602959E-2</v>
      </c>
      <c r="Q238">
        <v>0.74073637383680213</v>
      </c>
      <c r="R238">
        <v>-11.72883514597306</v>
      </c>
      <c r="S238">
        <v>0.47779959266704403</v>
      </c>
      <c r="T238">
        <v>0.3765501919174446</v>
      </c>
      <c r="U238">
        <v>4.4782817893529154</v>
      </c>
      <c r="V238">
        <v>0.1316732403778659</v>
      </c>
      <c r="W238">
        <v>-8.4116089323083987</v>
      </c>
      <c r="X238">
        <v>0.48767997012880709</v>
      </c>
      <c r="Z238" t="s">
        <v>392</v>
      </c>
      <c r="AA238">
        <v>9937</v>
      </c>
      <c r="AB238" t="s">
        <v>629</v>
      </c>
      <c r="AC238" t="str">
        <f>HYPERLINK("plots/20251231000436_3FT6Y121H01_04823_B11P_N_UFLEX98_M5358A8BH101511/dpll_52046/txpa_55157.png","plot")</f>
        <v>plot</v>
      </c>
    </row>
    <row r="239" spans="1:29" x14ac:dyDescent="0.35">
      <c r="A239" s="2" t="s">
        <v>46</v>
      </c>
      <c r="B239">
        <v>52046</v>
      </c>
      <c r="C239" t="s">
        <v>51</v>
      </c>
      <c r="D239">
        <v>55158</v>
      </c>
      <c r="E239" t="s">
        <v>291</v>
      </c>
      <c r="F239">
        <v>8716</v>
      </c>
      <c r="G239">
        <v>0.3187570308476747</v>
      </c>
      <c r="H239">
        <v>4.8179185450796064E-205</v>
      </c>
      <c r="I239">
        <v>5.5769057131400908E-205</v>
      </c>
      <c r="J239">
        <v>0.25472520397742821</v>
      </c>
      <c r="K239">
        <v>3.8377939093482648E-129</v>
      </c>
      <c r="L239">
        <v>4.6716963074179367E-129</v>
      </c>
      <c r="M239">
        <v>0.17175543618207931</v>
      </c>
      <c r="N239">
        <v>9.3388888138293028E-128</v>
      </c>
      <c r="O239">
        <v>1.134087815236277E-127</v>
      </c>
      <c r="P239">
        <v>0.1016060447148254</v>
      </c>
      <c r="Q239">
        <v>1.0174646366547511</v>
      </c>
      <c r="R239">
        <v>-12.956547513462571</v>
      </c>
      <c r="S239">
        <v>0.39835068630639298</v>
      </c>
      <c r="T239">
        <v>0.32046768411391002</v>
      </c>
      <c r="U239">
        <v>4.4782817893529154</v>
      </c>
      <c r="V239">
        <v>0.1316732403778659</v>
      </c>
      <c r="W239">
        <v>-8.4000541598210194</v>
      </c>
      <c r="X239">
        <v>0.42029775883513287</v>
      </c>
      <c r="Z239" t="s">
        <v>392</v>
      </c>
      <c r="AA239">
        <v>9937</v>
      </c>
      <c r="AB239" t="s">
        <v>630</v>
      </c>
      <c r="AC239" t="str">
        <f>HYPERLINK("plots/20251231000436_3FT6Y121H01_04823_B11P_N_UFLEX98_M5358A8BH101511/dpll_52046/txpa_55158.png","plot")</f>
        <v>plot</v>
      </c>
    </row>
    <row r="240" spans="1:29" x14ac:dyDescent="0.35">
      <c r="A240" s="2" t="s">
        <v>46</v>
      </c>
      <c r="B240">
        <v>52046</v>
      </c>
      <c r="C240" t="s">
        <v>51</v>
      </c>
      <c r="D240">
        <v>55159</v>
      </c>
      <c r="E240" t="s">
        <v>292</v>
      </c>
      <c r="F240">
        <v>8716</v>
      </c>
      <c r="G240">
        <v>0.21757649713306629</v>
      </c>
      <c r="H240">
        <v>6.7096939870875762E-94</v>
      </c>
      <c r="I240">
        <v>7.3394063677527536E-94</v>
      </c>
      <c r="J240">
        <v>0.18829927388053461</v>
      </c>
      <c r="K240">
        <v>2.2159529043228369E-70</v>
      </c>
      <c r="L240">
        <v>2.4291635080901149E-70</v>
      </c>
      <c r="M240">
        <v>0.1241617533629296</v>
      </c>
      <c r="N240">
        <v>1.1207053007786341E-67</v>
      </c>
      <c r="O240">
        <v>1.2285353243130109E-67</v>
      </c>
      <c r="P240">
        <v>4.7339532104695201E-2</v>
      </c>
      <c r="Q240">
        <v>0.78719539442423614</v>
      </c>
      <c r="R240">
        <v>-12.0529755220917</v>
      </c>
      <c r="S240">
        <v>0.46495641516884179</v>
      </c>
      <c r="T240">
        <v>0.35699596904434328</v>
      </c>
      <c r="U240">
        <v>4.4782817893529154</v>
      </c>
      <c r="V240">
        <v>0.1316732403778659</v>
      </c>
      <c r="W240">
        <v>-8.5276927225791628</v>
      </c>
      <c r="X240">
        <v>0.47639597916212062</v>
      </c>
      <c r="Z240" t="s">
        <v>392</v>
      </c>
      <c r="AA240">
        <v>9937</v>
      </c>
      <c r="AB240" t="s">
        <v>631</v>
      </c>
      <c r="AC240" t="str">
        <f>HYPERLINK("plots/20251231000436_3FT6Y121H01_04823_B11P_N_UFLEX98_M5358A8BH101511/dpll_52046/txpa_55159.png","plot")</f>
        <v>plot</v>
      </c>
    </row>
    <row r="241" spans="1:29" x14ac:dyDescent="0.35">
      <c r="A241" s="2" t="s">
        <v>46</v>
      </c>
      <c r="B241">
        <v>52046</v>
      </c>
      <c r="C241" t="s">
        <v>51</v>
      </c>
      <c r="D241">
        <v>55160</v>
      </c>
      <c r="E241" t="s">
        <v>293</v>
      </c>
      <c r="F241">
        <v>8716</v>
      </c>
      <c r="G241">
        <v>0.33917987641662772</v>
      </c>
      <c r="H241">
        <v>1.383313188721087E-233</v>
      </c>
      <c r="I241">
        <v>1.6367322909722081E-233</v>
      </c>
      <c r="J241">
        <v>0.27160641642308803</v>
      </c>
      <c r="K241">
        <v>3.0985842789048238E-147</v>
      </c>
      <c r="L241">
        <v>3.9571340791051528E-147</v>
      </c>
      <c r="M241">
        <v>0.18221063374902299</v>
      </c>
      <c r="N241">
        <v>1.578125961482194E-143</v>
      </c>
      <c r="O241">
        <v>1.9977774343856979E-143</v>
      </c>
      <c r="P241">
        <v>0.1150429885659989</v>
      </c>
      <c r="Q241">
        <v>0.90365407082639837</v>
      </c>
      <c r="R241">
        <v>-12.35819032120693</v>
      </c>
      <c r="S241">
        <v>0.32999383568243112</v>
      </c>
      <c r="T241">
        <v>0.26550493715527967</v>
      </c>
      <c r="U241">
        <v>4.4782817893529154</v>
      </c>
      <c r="V241">
        <v>0.1316732403778659</v>
      </c>
      <c r="W241">
        <v>-8.3113727519504366</v>
      </c>
      <c r="X241">
        <v>0.35080813444310899</v>
      </c>
      <c r="Z241" t="s">
        <v>392</v>
      </c>
      <c r="AA241">
        <v>9937</v>
      </c>
      <c r="AB241" t="s">
        <v>632</v>
      </c>
      <c r="AC241" t="str">
        <f>HYPERLINK("plots/20251231000436_3FT6Y121H01_04823_B11P_N_UFLEX98_M5358A8BH101511/dpll_52046/txpa_55160.png","plot")</f>
        <v>plot</v>
      </c>
    </row>
    <row r="242" spans="1:29" x14ac:dyDescent="0.35">
      <c r="A242" s="2" t="s">
        <v>46</v>
      </c>
      <c r="B242">
        <v>52046</v>
      </c>
      <c r="C242" t="s">
        <v>51</v>
      </c>
      <c r="D242">
        <v>55161</v>
      </c>
      <c r="E242" t="s">
        <v>294</v>
      </c>
      <c r="F242">
        <v>8716</v>
      </c>
      <c r="G242">
        <v>0.24458638606106509</v>
      </c>
      <c r="H242">
        <v>6.5756480075297424E-119</v>
      </c>
      <c r="I242">
        <v>7.3191076615095039E-119</v>
      </c>
      <c r="J242">
        <v>0.2062967035978282</v>
      </c>
      <c r="K242">
        <v>2.1019045853014282E-84</v>
      </c>
      <c r="L242">
        <v>2.3421222521930199E-84</v>
      </c>
      <c r="M242">
        <v>0.13645160912013549</v>
      </c>
      <c r="N242">
        <v>2.3987582672673069E-81</v>
      </c>
      <c r="O242">
        <v>2.6729020692407141E-81</v>
      </c>
      <c r="P242">
        <v>5.9822500246412377E-2</v>
      </c>
      <c r="Q242">
        <v>0.72191599764302627</v>
      </c>
      <c r="R242">
        <v>-11.766221472662981</v>
      </c>
      <c r="S242">
        <v>0.37681824350498327</v>
      </c>
      <c r="T242">
        <v>0.29700300033065258</v>
      </c>
      <c r="U242">
        <v>4.4782817893529154</v>
      </c>
      <c r="V242">
        <v>0.1316732403778659</v>
      </c>
      <c r="W242">
        <v>-8.5332782069756767</v>
      </c>
      <c r="X242">
        <v>0.38864394793643381</v>
      </c>
      <c r="Z242" t="s">
        <v>392</v>
      </c>
      <c r="AA242">
        <v>9937</v>
      </c>
      <c r="AB242" t="s">
        <v>633</v>
      </c>
      <c r="AC242" t="str">
        <f>HYPERLINK("plots/20251231000436_3FT6Y121H01_04823_B11P_N_UFLEX98_M5358A8BH101511/dpll_52046/txpa_55161.png","plot")</f>
        <v>plot</v>
      </c>
    </row>
    <row r="243" spans="1:29" x14ac:dyDescent="0.35">
      <c r="A243" s="2" t="s">
        <v>46</v>
      </c>
      <c r="B243">
        <v>52046</v>
      </c>
      <c r="C243" t="s">
        <v>51</v>
      </c>
      <c r="D243">
        <v>55162</v>
      </c>
      <c r="E243" t="s">
        <v>295</v>
      </c>
      <c r="F243">
        <v>8716</v>
      </c>
      <c r="G243">
        <v>0.30955992461642762</v>
      </c>
      <c r="H243">
        <v>6.7268793240862166E-193</v>
      </c>
      <c r="I243">
        <v>7.7336231685072822E-193</v>
      </c>
      <c r="J243">
        <v>0.20902876000049189</v>
      </c>
      <c r="K243">
        <v>1.183237524697835E-86</v>
      </c>
      <c r="L243">
        <v>1.3286853267371039E-86</v>
      </c>
      <c r="M243">
        <v>0.14034614334067311</v>
      </c>
      <c r="N243">
        <v>5.9839849250786897E-86</v>
      </c>
      <c r="O243">
        <v>6.6973076313794605E-86</v>
      </c>
      <c r="P243">
        <v>9.5827346928528317E-2</v>
      </c>
      <c r="Q243">
        <v>1.067476975858221</v>
      </c>
      <c r="R243">
        <v>-12.905002379487989</v>
      </c>
      <c r="S243">
        <v>0.43172984943335702</v>
      </c>
      <c r="T243">
        <v>0.34705298613818841</v>
      </c>
      <c r="U243">
        <v>4.4782817893529154</v>
      </c>
      <c r="V243">
        <v>0.1316732403778659</v>
      </c>
      <c r="W243">
        <v>-8.124539677948599</v>
      </c>
      <c r="X243">
        <v>0.45405797476589088</v>
      </c>
      <c r="Z243" t="s">
        <v>392</v>
      </c>
      <c r="AA243">
        <v>9937</v>
      </c>
      <c r="AB243" t="s">
        <v>634</v>
      </c>
      <c r="AC243" t="str">
        <f>HYPERLINK("plots/20251231000436_3FT6Y121H01_04823_B11P_N_UFLEX98_M5358A8BH101511/dpll_52046/txpa_55162.png","plot")</f>
        <v>plot</v>
      </c>
    </row>
    <row r="244" spans="1:29" x14ac:dyDescent="0.35">
      <c r="A244" s="2" t="s">
        <v>46</v>
      </c>
      <c r="B244">
        <v>52046</v>
      </c>
      <c r="C244" t="s">
        <v>51</v>
      </c>
      <c r="D244">
        <v>55163</v>
      </c>
      <c r="E244" t="s">
        <v>296</v>
      </c>
      <c r="F244">
        <v>8716</v>
      </c>
      <c r="G244">
        <v>0.35244705594761278</v>
      </c>
      <c r="H244">
        <v>2.5223636999096949E-253</v>
      </c>
      <c r="I244">
        <v>3.0704403261805892E-253</v>
      </c>
      <c r="J244">
        <v>0.2189602734711735</v>
      </c>
      <c r="K244">
        <v>4.2048438200749532E-95</v>
      </c>
      <c r="L244">
        <v>4.8232032053800932E-95</v>
      </c>
      <c r="M244">
        <v>0.14713226987392561</v>
      </c>
      <c r="N244">
        <v>2.7800468304575528E-94</v>
      </c>
      <c r="O244">
        <v>3.185273995575094E-94</v>
      </c>
      <c r="P244">
        <v>0.1242189272461397</v>
      </c>
      <c r="Q244">
        <v>0.97581519944971706</v>
      </c>
      <c r="R244">
        <v>-6.5558509184240163</v>
      </c>
      <c r="S244">
        <v>0.34114897998252308</v>
      </c>
      <c r="T244">
        <v>0.27103236974234002</v>
      </c>
      <c r="U244">
        <v>4.4782817893529154</v>
      </c>
      <c r="V244">
        <v>0.1316732403778659</v>
      </c>
      <c r="W244">
        <v>-2.1858754809545662</v>
      </c>
      <c r="X244">
        <v>0.36456184596592628</v>
      </c>
      <c r="Z244" t="s">
        <v>392</v>
      </c>
      <c r="AA244">
        <v>9937</v>
      </c>
      <c r="AB244" t="s">
        <v>635</v>
      </c>
      <c r="AC244" t="str">
        <f>HYPERLINK("plots/20251231000436_3FT6Y121H01_04823_B11P_N_UFLEX98_M5358A8BH101511/dpll_52046/txpa_55163.png","plot")</f>
        <v>plot</v>
      </c>
    </row>
    <row r="245" spans="1:29" x14ac:dyDescent="0.35">
      <c r="A245" s="2" t="s">
        <v>46</v>
      </c>
      <c r="B245">
        <v>52046</v>
      </c>
      <c r="C245" t="s">
        <v>51</v>
      </c>
      <c r="D245">
        <v>55164</v>
      </c>
      <c r="E245" t="s">
        <v>297</v>
      </c>
      <c r="F245">
        <v>8716</v>
      </c>
      <c r="G245">
        <v>0.3768375454416768</v>
      </c>
      <c r="H245">
        <v>3.5080323254148371E-292</v>
      </c>
      <c r="I245">
        <v>4.5429690650966093E-292</v>
      </c>
      <c r="J245">
        <v>0.28997335969496391</v>
      </c>
      <c r="K245">
        <v>1.8742741888750351E-168</v>
      </c>
      <c r="L245">
        <v>2.5407941544375481E-168</v>
      </c>
      <c r="M245">
        <v>0.19563844675495509</v>
      </c>
      <c r="N245">
        <v>3.5703798266085118E-165</v>
      </c>
      <c r="O245">
        <v>4.7825167030132517E-165</v>
      </c>
      <c r="P245">
        <v>0.1420065356545078</v>
      </c>
      <c r="Q245">
        <v>0.85726268691334828</v>
      </c>
      <c r="R245">
        <v>-6.5205169561364578</v>
      </c>
      <c r="S245">
        <v>0.27744337119229567</v>
      </c>
      <c r="T245">
        <v>0.2228098972842911</v>
      </c>
      <c r="U245">
        <v>4.4782817893529154</v>
      </c>
      <c r="V245">
        <v>0.1316732403778659</v>
      </c>
      <c r="W245">
        <v>-2.6814530766406608</v>
      </c>
      <c r="X245">
        <v>0.29954169165552741</v>
      </c>
      <c r="Z245" t="s">
        <v>392</v>
      </c>
      <c r="AA245">
        <v>9937</v>
      </c>
      <c r="AB245" t="s">
        <v>636</v>
      </c>
      <c r="AC245" t="str">
        <f>HYPERLINK("plots/20251231000436_3FT6Y121H01_04823_B11P_N_UFLEX98_M5358A8BH101511/dpll_52046/txpa_55164.png","plot")</f>
        <v>plot</v>
      </c>
    </row>
    <row r="246" spans="1:29" x14ac:dyDescent="0.35">
      <c r="A246" s="2" t="s">
        <v>46</v>
      </c>
      <c r="B246">
        <v>52046</v>
      </c>
      <c r="C246" t="s">
        <v>51</v>
      </c>
      <c r="D246">
        <v>55165</v>
      </c>
      <c r="E246" t="s">
        <v>298</v>
      </c>
      <c r="F246">
        <v>8716</v>
      </c>
      <c r="G246">
        <v>0.215623855291316</v>
      </c>
      <c r="H246">
        <v>3.2358778919390547E-92</v>
      </c>
      <c r="I246">
        <v>3.5243610982021487E-92</v>
      </c>
      <c r="J246">
        <v>0.18301429537461719</v>
      </c>
      <c r="K246">
        <v>1.5984409328358951E-66</v>
      </c>
      <c r="L246">
        <v>1.746572312387498E-66</v>
      </c>
      <c r="M246">
        <v>0.12141137393774649</v>
      </c>
      <c r="N246">
        <v>8.4405382395727828E-65</v>
      </c>
      <c r="O246">
        <v>9.2227432919469846E-65</v>
      </c>
      <c r="P246">
        <v>4.6493646970690403E-2</v>
      </c>
      <c r="Q246">
        <v>0.69959941667049641</v>
      </c>
      <c r="R246">
        <v>-5.6128324038138722</v>
      </c>
      <c r="S246">
        <v>0.41714499352510198</v>
      </c>
      <c r="T246">
        <v>0.32816380792930361</v>
      </c>
      <c r="U246">
        <v>4.4782817893529154</v>
      </c>
      <c r="V246">
        <v>0.1316732403778659</v>
      </c>
      <c r="W246">
        <v>-2.4798290762964661</v>
      </c>
      <c r="X246">
        <v>0.42721860266812062</v>
      </c>
      <c r="Z246" t="s">
        <v>392</v>
      </c>
      <c r="AA246">
        <v>9937</v>
      </c>
      <c r="AB246" t="s">
        <v>637</v>
      </c>
      <c r="AC246" t="str">
        <f>HYPERLINK("plots/20251231000436_3FT6Y121H01_04823_B11P_N_UFLEX98_M5358A8BH101511/dpll_52046/txpa_55165.png","plot")</f>
        <v>plot</v>
      </c>
    </row>
    <row r="247" spans="1:29" x14ac:dyDescent="0.35">
      <c r="A247" s="2" t="s">
        <v>46</v>
      </c>
      <c r="B247">
        <v>52046</v>
      </c>
      <c r="C247" t="s">
        <v>51</v>
      </c>
      <c r="D247">
        <v>55166</v>
      </c>
      <c r="E247" t="s">
        <v>299</v>
      </c>
      <c r="F247">
        <v>8716</v>
      </c>
      <c r="G247">
        <v>0.33375011732437387</v>
      </c>
      <c r="H247">
        <v>8.8006055033444549E-226</v>
      </c>
      <c r="I247">
        <v>1.035245241344696E-225</v>
      </c>
      <c r="J247">
        <v>0.26951908119015971</v>
      </c>
      <c r="K247">
        <v>6.3183802279607868E-145</v>
      </c>
      <c r="L247">
        <v>7.9985487529990488E-145</v>
      </c>
      <c r="M247">
        <v>0.1819846969716323</v>
      </c>
      <c r="N247">
        <v>3.375774317364031E-143</v>
      </c>
      <c r="O247">
        <v>4.2681236381635006E-143</v>
      </c>
      <c r="P247">
        <v>0.11138914081403339</v>
      </c>
      <c r="Q247">
        <v>0.93567395457751146</v>
      </c>
      <c r="R247">
        <v>-6.6587924724236656</v>
      </c>
      <c r="S247">
        <v>0.34796176890503522</v>
      </c>
      <c r="T247">
        <v>0.27924381659360981</v>
      </c>
      <c r="U247">
        <v>4.4782817893529154</v>
      </c>
      <c r="V247">
        <v>0.1316732403778659</v>
      </c>
      <c r="W247">
        <v>-2.4685808408673702</v>
      </c>
      <c r="X247">
        <v>0.3691480995545271</v>
      </c>
      <c r="Z247" t="s">
        <v>392</v>
      </c>
      <c r="AA247">
        <v>9937</v>
      </c>
      <c r="AB247" t="s">
        <v>638</v>
      </c>
      <c r="AC247" t="str">
        <f>HYPERLINK("plots/20251231000436_3FT6Y121H01_04823_B11P_N_UFLEX98_M5358A8BH101511/dpll_52046/txpa_55166.png","plot")</f>
        <v>plot</v>
      </c>
    </row>
    <row r="248" spans="1:29" x14ac:dyDescent="0.35">
      <c r="A248" s="2" t="s">
        <v>46</v>
      </c>
      <c r="B248">
        <v>52046</v>
      </c>
      <c r="C248" t="s">
        <v>51</v>
      </c>
      <c r="D248">
        <v>55167</v>
      </c>
      <c r="E248" t="s">
        <v>300</v>
      </c>
      <c r="F248">
        <v>8716</v>
      </c>
      <c r="G248">
        <v>0.23078533976196869</v>
      </c>
      <c r="H248">
        <v>1.00290864796742E-105</v>
      </c>
      <c r="I248">
        <v>1.104179553788234E-105</v>
      </c>
      <c r="J248">
        <v>0.19844491661481789</v>
      </c>
      <c r="K248">
        <v>4.0704355125426598E-78</v>
      </c>
      <c r="L248">
        <v>4.5059187879020272E-78</v>
      </c>
      <c r="M248">
        <v>0.13134537008567931</v>
      </c>
      <c r="N248">
        <v>1.604076268121889E-75</v>
      </c>
      <c r="O248">
        <v>1.769894815969092E-75</v>
      </c>
      <c r="P248">
        <v>5.3261873049047323E-2</v>
      </c>
      <c r="Q248">
        <v>0.73508353394853942</v>
      </c>
      <c r="R248">
        <v>-5.8717672876036762</v>
      </c>
      <c r="S248">
        <v>0.40805247743034567</v>
      </c>
      <c r="T248">
        <v>0.31205401349606798</v>
      </c>
      <c r="U248">
        <v>4.4782817893529154</v>
      </c>
      <c r="V248">
        <v>0.1316732403778659</v>
      </c>
      <c r="W248">
        <v>-2.579856083868747</v>
      </c>
      <c r="X248">
        <v>0.4193976574215979</v>
      </c>
      <c r="Z248" t="s">
        <v>392</v>
      </c>
      <c r="AA248">
        <v>9937</v>
      </c>
      <c r="AB248" t="s">
        <v>639</v>
      </c>
      <c r="AC248" t="str">
        <f>HYPERLINK("plots/20251231000436_3FT6Y121H01_04823_B11P_N_UFLEX98_M5358A8BH101511/dpll_52046/txpa_55167.png","plot")</f>
        <v>plot</v>
      </c>
    </row>
    <row r="249" spans="1:29" x14ac:dyDescent="0.35">
      <c r="A249" s="2" t="s">
        <v>46</v>
      </c>
      <c r="B249">
        <v>52046</v>
      </c>
      <c r="C249" t="s">
        <v>51</v>
      </c>
      <c r="D249">
        <v>55168</v>
      </c>
      <c r="E249" t="s">
        <v>301</v>
      </c>
      <c r="F249">
        <v>8716</v>
      </c>
      <c r="G249">
        <v>0.36093289679134022</v>
      </c>
      <c r="H249">
        <v>1.8473573545703191E-266</v>
      </c>
      <c r="I249">
        <v>2.3069216225791911E-266</v>
      </c>
      <c r="J249">
        <v>0.28926372938302058</v>
      </c>
      <c r="K249">
        <v>1.3270708889825341E-167</v>
      </c>
      <c r="L249">
        <v>1.7870516353629341E-167</v>
      </c>
      <c r="M249">
        <v>0.19462148120471781</v>
      </c>
      <c r="N249">
        <v>1.7526781988602711E-163</v>
      </c>
      <c r="O249">
        <v>2.329247304907359E-163</v>
      </c>
      <c r="P249">
        <v>0.13027255598618831</v>
      </c>
      <c r="Q249">
        <v>0.84666641042168889</v>
      </c>
      <c r="R249">
        <v>-6.1845682593023117</v>
      </c>
      <c r="S249">
        <v>0.28803818045536839</v>
      </c>
      <c r="T249">
        <v>0.2315842134932046</v>
      </c>
      <c r="U249">
        <v>4.4782817893529154</v>
      </c>
      <c r="V249">
        <v>0.1316732403778659</v>
      </c>
      <c r="W249">
        <v>-2.392957491854061</v>
      </c>
      <c r="X249">
        <v>0.3088754468500825</v>
      </c>
      <c r="Z249" t="s">
        <v>392</v>
      </c>
      <c r="AA249">
        <v>9937</v>
      </c>
      <c r="AB249" t="s">
        <v>640</v>
      </c>
      <c r="AC249" t="str">
        <f>HYPERLINK("plots/20251231000436_3FT6Y121H01_04823_B11P_N_UFLEX98_M5358A8BH101511/dpll_52046/txpa_55168.png","plot")</f>
        <v>plot</v>
      </c>
    </row>
    <row r="250" spans="1:29" x14ac:dyDescent="0.35">
      <c r="A250" s="2" t="s">
        <v>46</v>
      </c>
      <c r="B250">
        <v>52046</v>
      </c>
      <c r="C250" t="s">
        <v>51</v>
      </c>
      <c r="D250">
        <v>55169</v>
      </c>
      <c r="E250" t="s">
        <v>302</v>
      </c>
      <c r="F250">
        <v>8716</v>
      </c>
      <c r="G250">
        <v>0.26626479070629921</v>
      </c>
      <c r="H250">
        <v>2.2920686944966951E-141</v>
      </c>
      <c r="I250">
        <v>2.5823973957996099E-141</v>
      </c>
      <c r="J250">
        <v>0.2220670656319477</v>
      </c>
      <c r="K250">
        <v>7.8064195564424667E-98</v>
      </c>
      <c r="L250">
        <v>9.046525063123041E-98</v>
      </c>
      <c r="M250">
        <v>0.14761171636892481</v>
      </c>
      <c r="N250">
        <v>6.941794590245837E-95</v>
      </c>
      <c r="O250">
        <v>7.9988405846696357E-95</v>
      </c>
      <c r="P250">
        <v>7.08969387698693E-2</v>
      </c>
      <c r="Q250">
        <v>0.68778319063743953</v>
      </c>
      <c r="R250">
        <v>-5.6612009377694212</v>
      </c>
      <c r="S250">
        <v>0.32782522624329558</v>
      </c>
      <c r="T250">
        <v>0.25754257029704142</v>
      </c>
      <c r="U250">
        <v>4.4782817893529154</v>
      </c>
      <c r="V250">
        <v>0.1316732403778659</v>
      </c>
      <c r="W250">
        <v>-2.5811140001147321</v>
      </c>
      <c r="X250">
        <v>0.34012248164104197</v>
      </c>
      <c r="Z250" t="s">
        <v>392</v>
      </c>
      <c r="AA250">
        <v>9937</v>
      </c>
      <c r="AB250" t="s">
        <v>641</v>
      </c>
      <c r="AC250" t="str">
        <f>HYPERLINK("plots/20251231000436_3FT6Y121H01_04823_B11P_N_UFLEX98_M5358A8BH101511/dpll_52046/txpa_55169.png","plot")</f>
        <v>plot</v>
      </c>
    </row>
    <row r="251" spans="1:29" x14ac:dyDescent="0.35">
      <c r="A251" s="2" t="s">
        <v>46</v>
      </c>
      <c r="B251">
        <v>52046</v>
      </c>
      <c r="C251" t="s">
        <v>51</v>
      </c>
      <c r="D251">
        <v>55170</v>
      </c>
      <c r="E251" t="s">
        <v>303</v>
      </c>
      <c r="F251">
        <v>8716</v>
      </c>
      <c r="G251">
        <v>0.31984189158026138</v>
      </c>
      <c r="H251">
        <v>1.6659033958069949E-206</v>
      </c>
      <c r="I251">
        <v>1.9327529100094879E-206</v>
      </c>
      <c r="J251">
        <v>0.21924661883422719</v>
      </c>
      <c r="K251">
        <v>2.3647150474877969E-95</v>
      </c>
      <c r="L251">
        <v>2.7217038117509941E-95</v>
      </c>
      <c r="M251">
        <v>0.14750085514308101</v>
      </c>
      <c r="N251">
        <v>9.5553368372038875E-95</v>
      </c>
      <c r="O251">
        <v>1.0997856473240339E-94</v>
      </c>
      <c r="P251">
        <v>0.1022988356096397</v>
      </c>
      <c r="Q251">
        <v>0.978552333330174</v>
      </c>
      <c r="R251">
        <v>-6.5704931736755388</v>
      </c>
      <c r="S251">
        <v>0.38166928746917339</v>
      </c>
      <c r="T251">
        <v>0.30631919041133482</v>
      </c>
      <c r="U251">
        <v>4.4782817893529154</v>
      </c>
      <c r="V251">
        <v>0.1316732403778659</v>
      </c>
      <c r="W251">
        <v>-2.188260079394218</v>
      </c>
      <c r="X251">
        <v>0.40285265939459342</v>
      </c>
      <c r="Z251" t="s">
        <v>392</v>
      </c>
      <c r="AA251">
        <v>9937</v>
      </c>
      <c r="AB251" t="s">
        <v>642</v>
      </c>
      <c r="AC251" t="str">
        <f>HYPERLINK("plots/20251231000436_3FT6Y121H01_04823_B11P_N_UFLEX98_M5358A8BH101511/dpll_52046/txpa_55170.png","plot")</f>
        <v>plot</v>
      </c>
    </row>
    <row r="252" spans="1:29" x14ac:dyDescent="0.35">
      <c r="A252" s="2" t="s">
        <v>46</v>
      </c>
      <c r="B252">
        <v>52046</v>
      </c>
      <c r="C252" t="s">
        <v>51</v>
      </c>
      <c r="D252">
        <v>55171</v>
      </c>
      <c r="E252" t="s">
        <v>304</v>
      </c>
      <c r="F252">
        <v>8716</v>
      </c>
      <c r="G252">
        <v>0.37084580438821851</v>
      </c>
      <c r="H252">
        <v>2.5488667299392219E-282</v>
      </c>
      <c r="I252">
        <v>3.255101844028175E-282</v>
      </c>
      <c r="J252">
        <v>0.23450332934924989</v>
      </c>
      <c r="K252">
        <v>3.4166746835631772E-109</v>
      </c>
      <c r="L252">
        <v>4.005211709980418E-109</v>
      </c>
      <c r="M252">
        <v>0.1579248581330798</v>
      </c>
      <c r="N252">
        <v>2.497538063302965E-108</v>
      </c>
      <c r="O252">
        <v>2.9243690487173281E-108</v>
      </c>
      <c r="P252">
        <v>0.13752661063234481</v>
      </c>
      <c r="Q252">
        <v>0.98169642820791581</v>
      </c>
      <c r="R252">
        <v>-3.7834033163090588</v>
      </c>
      <c r="S252">
        <v>0.32369001397335362</v>
      </c>
      <c r="T252">
        <v>0.25641809115589848</v>
      </c>
      <c r="U252">
        <v>4.4782817893529154</v>
      </c>
      <c r="V252">
        <v>0.1316732403778659</v>
      </c>
      <c r="W252">
        <v>0.61290992080725104</v>
      </c>
      <c r="X252">
        <v>0.34856306378538582</v>
      </c>
      <c r="Z252" t="s">
        <v>392</v>
      </c>
      <c r="AA252">
        <v>9937</v>
      </c>
      <c r="AB252" t="s">
        <v>643</v>
      </c>
      <c r="AC252" t="str">
        <f>HYPERLINK("plots/20251231000436_3FT6Y121H01_04823_B11P_N_UFLEX98_M5358A8BH101511/dpll_52046/txpa_55171.png","plot")</f>
        <v>plot</v>
      </c>
    </row>
    <row r="253" spans="1:29" x14ac:dyDescent="0.35">
      <c r="A253" s="2" t="s">
        <v>46</v>
      </c>
      <c r="B253">
        <v>52046</v>
      </c>
      <c r="C253" t="s">
        <v>51</v>
      </c>
      <c r="D253">
        <v>55172</v>
      </c>
      <c r="E253" t="s">
        <v>305</v>
      </c>
      <c r="F253">
        <v>8716</v>
      </c>
      <c r="G253">
        <v>0.3989377002982552</v>
      </c>
      <c r="H253">
        <v>0</v>
      </c>
      <c r="I253">
        <v>0</v>
      </c>
      <c r="J253">
        <v>0.30619039783342827</v>
      </c>
      <c r="K253">
        <v>1.4778270418082941E-188</v>
      </c>
      <c r="L253">
        <v>2.1285747448772879E-188</v>
      </c>
      <c r="M253">
        <v>0.20693730219707321</v>
      </c>
      <c r="N253">
        <v>1.454167162736579E-184</v>
      </c>
      <c r="O253">
        <v>2.0826631398515411E-184</v>
      </c>
      <c r="P253">
        <v>0.15915128871926049</v>
      </c>
      <c r="Q253">
        <v>0.87663733284905176</v>
      </c>
      <c r="R253">
        <v>-3.777275073693203</v>
      </c>
      <c r="S253">
        <v>0.26530560282418519</v>
      </c>
      <c r="T253">
        <v>0.21215735715100659</v>
      </c>
      <c r="U253">
        <v>4.4782817893529154</v>
      </c>
      <c r="V253">
        <v>0.1316732403778659</v>
      </c>
      <c r="W253">
        <v>0.14855392987161539</v>
      </c>
      <c r="X253">
        <v>0.28934261707065162</v>
      </c>
      <c r="Z253" t="s">
        <v>392</v>
      </c>
      <c r="AA253">
        <v>9937</v>
      </c>
      <c r="AB253" t="s">
        <v>644</v>
      </c>
      <c r="AC253" t="str">
        <f>HYPERLINK("plots/20251231000436_3FT6Y121H01_04823_B11P_N_UFLEX98_M5358A8BH101511/dpll_52046/txpa_55172.png","plot")</f>
        <v>plot</v>
      </c>
    </row>
    <row r="254" spans="1:29" x14ac:dyDescent="0.35">
      <c r="A254" s="2" t="s">
        <v>46</v>
      </c>
      <c r="B254">
        <v>52046</v>
      </c>
      <c r="C254" t="s">
        <v>51</v>
      </c>
      <c r="D254">
        <v>55173</v>
      </c>
      <c r="E254" t="s">
        <v>306</v>
      </c>
      <c r="F254">
        <v>8716</v>
      </c>
      <c r="G254">
        <v>0.2422519806756806</v>
      </c>
      <c r="H254">
        <v>1.2823482695189159E-116</v>
      </c>
      <c r="I254">
        <v>1.4210941478603061E-116</v>
      </c>
      <c r="J254">
        <v>0.20380685038224489</v>
      </c>
      <c r="K254">
        <v>2.2121219871524189E-82</v>
      </c>
      <c r="L254">
        <v>2.456836467658875E-82</v>
      </c>
      <c r="M254">
        <v>0.135899333268268</v>
      </c>
      <c r="N254">
        <v>1.019834174882136E-80</v>
      </c>
      <c r="O254">
        <v>1.135139246246417E-80</v>
      </c>
      <c r="P254">
        <v>5.868602214129031E-2</v>
      </c>
      <c r="Q254">
        <v>0.74125926745177195</v>
      </c>
      <c r="R254">
        <v>-2.9890054150372372</v>
      </c>
      <c r="S254">
        <v>0.39087929080082712</v>
      </c>
      <c r="T254">
        <v>0.30659874668576031</v>
      </c>
      <c r="U254">
        <v>4.4782817893529154</v>
      </c>
      <c r="V254">
        <v>0.1316732403778659</v>
      </c>
      <c r="W254">
        <v>0.33056246358111518</v>
      </c>
      <c r="X254">
        <v>0.40290283461569382</v>
      </c>
      <c r="Z254" t="s">
        <v>392</v>
      </c>
      <c r="AA254">
        <v>9937</v>
      </c>
      <c r="AB254" t="s">
        <v>645</v>
      </c>
      <c r="AC254" t="str">
        <f>HYPERLINK("plots/20251231000436_3FT6Y121H01_04823_B11P_N_UFLEX98_M5358A8BH101511/dpll_52046/txpa_55173.png","plot")</f>
        <v>plot</v>
      </c>
    </row>
    <row r="255" spans="1:29" x14ac:dyDescent="0.35">
      <c r="A255" s="2" t="s">
        <v>46</v>
      </c>
      <c r="B255">
        <v>52046</v>
      </c>
      <c r="C255" t="s">
        <v>51</v>
      </c>
      <c r="D255">
        <v>55174</v>
      </c>
      <c r="E255" t="s">
        <v>307</v>
      </c>
      <c r="F255">
        <v>8716</v>
      </c>
      <c r="G255">
        <v>0.35647981132613982</v>
      </c>
      <c r="H255">
        <v>1.6208489014870521E-259</v>
      </c>
      <c r="I255">
        <v>1.989758820953839E-259</v>
      </c>
      <c r="J255">
        <v>0.28695962476129733</v>
      </c>
      <c r="K255">
        <v>7.3458202398071254E-165</v>
      </c>
      <c r="L255">
        <v>9.7879917518586411E-165</v>
      </c>
      <c r="M255">
        <v>0.19430004040926499</v>
      </c>
      <c r="N255">
        <v>5.9086364032611445E-163</v>
      </c>
      <c r="O255">
        <v>7.8318396247147715E-163</v>
      </c>
      <c r="P255">
        <v>0.12707785588312021</v>
      </c>
      <c r="Q255">
        <v>0.95378410790092905</v>
      </c>
      <c r="R255">
        <v>-3.9276559483067488</v>
      </c>
      <c r="S255">
        <v>0.32913609048005632</v>
      </c>
      <c r="T255">
        <v>0.26421420599785739</v>
      </c>
      <c r="U255">
        <v>4.4782817893529154</v>
      </c>
      <c r="V255">
        <v>0.1316732403778659</v>
      </c>
      <c r="W255">
        <v>0.34365805308019731</v>
      </c>
      <c r="X255">
        <v>0.35230001845273751</v>
      </c>
      <c r="Z255" t="s">
        <v>392</v>
      </c>
      <c r="AA255">
        <v>9937</v>
      </c>
      <c r="AB255" t="s">
        <v>646</v>
      </c>
      <c r="AC255" t="str">
        <f>HYPERLINK("plots/20251231000436_3FT6Y121H01_04823_B11P_N_UFLEX98_M5358A8BH101511/dpll_52046/txpa_55174.png","plot")</f>
        <v>plot</v>
      </c>
    </row>
    <row r="256" spans="1:29" x14ac:dyDescent="0.35">
      <c r="A256" s="2" t="s">
        <v>46</v>
      </c>
      <c r="B256">
        <v>52046</v>
      </c>
      <c r="C256" t="s">
        <v>51</v>
      </c>
      <c r="D256">
        <v>55175</v>
      </c>
      <c r="E256" t="s">
        <v>308</v>
      </c>
      <c r="F256">
        <v>8716</v>
      </c>
      <c r="G256">
        <v>0.2550603278935244</v>
      </c>
      <c r="H256">
        <v>1.7289434249326821E-129</v>
      </c>
      <c r="I256">
        <v>1.9414713542433439E-129</v>
      </c>
      <c r="J256">
        <v>0.21658710739705991</v>
      </c>
      <c r="K256">
        <v>4.8049350953857934E-93</v>
      </c>
      <c r="L256">
        <v>5.443803560582339E-93</v>
      </c>
      <c r="M256">
        <v>0.14425295481289591</v>
      </c>
      <c r="N256">
        <v>1.0504332154560571E-90</v>
      </c>
      <c r="O256">
        <v>1.190099754717812E-90</v>
      </c>
      <c r="P256">
        <v>6.5055770865152185E-2</v>
      </c>
      <c r="Q256">
        <v>0.77010947026704291</v>
      </c>
      <c r="R256">
        <v>-3.207265766892911</v>
      </c>
      <c r="S256">
        <v>0.38439259375805762</v>
      </c>
      <c r="T256">
        <v>0.29372165053881782</v>
      </c>
      <c r="U256">
        <v>4.4782817893529154</v>
      </c>
      <c r="V256">
        <v>0.1316732403778659</v>
      </c>
      <c r="W256">
        <v>0.2415014496122074</v>
      </c>
      <c r="X256">
        <v>0.39756402037589411</v>
      </c>
      <c r="Z256" t="s">
        <v>392</v>
      </c>
      <c r="AA256">
        <v>9937</v>
      </c>
      <c r="AB256" t="s">
        <v>647</v>
      </c>
      <c r="AC256" t="str">
        <f>HYPERLINK("plots/20251231000436_3FT6Y121H01_04823_B11P_N_UFLEX98_M5358A8BH101511/dpll_52046/txpa_55175.png","plot")</f>
        <v>plot</v>
      </c>
    </row>
    <row r="257" spans="1:29" x14ac:dyDescent="0.35">
      <c r="A257" s="2" t="s">
        <v>46</v>
      </c>
      <c r="B257">
        <v>52046</v>
      </c>
      <c r="C257" t="s">
        <v>51</v>
      </c>
      <c r="D257">
        <v>55176</v>
      </c>
      <c r="E257" t="s">
        <v>309</v>
      </c>
      <c r="F257">
        <v>8716</v>
      </c>
      <c r="G257">
        <v>0.38780210007720373</v>
      </c>
      <c r="H257">
        <v>0</v>
      </c>
      <c r="I257">
        <v>0</v>
      </c>
      <c r="J257">
        <v>0.30728000738067252</v>
      </c>
      <c r="K257">
        <v>5.913949543322499E-190</v>
      </c>
      <c r="L257">
        <v>8.5545575419814753E-190</v>
      </c>
      <c r="M257">
        <v>0.20743278407928259</v>
      </c>
      <c r="N257">
        <v>1.9366389419897619E-185</v>
      </c>
      <c r="O257">
        <v>2.785463669755487E-185</v>
      </c>
      <c r="P257">
        <v>0.1503904688242895</v>
      </c>
      <c r="Q257">
        <v>0.87073727676477519</v>
      </c>
      <c r="R257">
        <v>-3.4888164027310209</v>
      </c>
      <c r="S257">
        <v>0.27249546369091288</v>
      </c>
      <c r="T257">
        <v>0.21888975134130409</v>
      </c>
      <c r="U257">
        <v>4.4782817893529154</v>
      </c>
      <c r="V257">
        <v>0.1316732403778659</v>
      </c>
      <c r="W257">
        <v>0.4105904871154199</v>
      </c>
      <c r="X257">
        <v>0.29564769950083181</v>
      </c>
      <c r="Z257" t="s">
        <v>392</v>
      </c>
      <c r="AA257">
        <v>9937</v>
      </c>
      <c r="AB257" t="s">
        <v>648</v>
      </c>
      <c r="AC257" t="str">
        <f>HYPERLINK("plots/20251231000436_3FT6Y121H01_04823_B11P_N_UFLEX98_M5358A8BH101511/dpll_52046/txpa_55176.png","plot")</f>
        <v>plot</v>
      </c>
    </row>
    <row r="258" spans="1:29" x14ac:dyDescent="0.35">
      <c r="A258" s="2" t="s">
        <v>46</v>
      </c>
      <c r="B258">
        <v>52046</v>
      </c>
      <c r="C258" t="s">
        <v>51</v>
      </c>
      <c r="D258">
        <v>55177</v>
      </c>
      <c r="E258" t="s">
        <v>310</v>
      </c>
      <c r="F258">
        <v>8716</v>
      </c>
      <c r="G258">
        <v>0.29486388243175848</v>
      </c>
      <c r="H258">
        <v>2.225572691116119E-174</v>
      </c>
      <c r="I258">
        <v>2.524307280527679E-174</v>
      </c>
      <c r="J258">
        <v>0.24273945210097</v>
      </c>
      <c r="K258">
        <v>4.2837914528238132E-117</v>
      </c>
      <c r="L258">
        <v>5.1284114913380712E-117</v>
      </c>
      <c r="M258">
        <v>0.16224633266679639</v>
      </c>
      <c r="N258">
        <v>3.1373085805266109E-114</v>
      </c>
      <c r="O258">
        <v>3.7470328629611107E-114</v>
      </c>
      <c r="P258">
        <v>8.6944709162729894E-2</v>
      </c>
      <c r="Q258">
        <v>0.72412713846702248</v>
      </c>
      <c r="R258">
        <v>-3.002086912910046</v>
      </c>
      <c r="S258">
        <v>0.3089686330920095</v>
      </c>
      <c r="T258">
        <v>0.24192961813862329</v>
      </c>
      <c r="U258">
        <v>4.4782817893529154</v>
      </c>
      <c r="V258">
        <v>0.1316732403778659</v>
      </c>
      <c r="W258">
        <v>0.24075846446305649</v>
      </c>
      <c r="X258">
        <v>0.32336332948329549</v>
      </c>
      <c r="Z258" t="s">
        <v>392</v>
      </c>
      <c r="AA258">
        <v>9937</v>
      </c>
      <c r="AB258" t="s">
        <v>649</v>
      </c>
      <c r="AC258" t="str">
        <f>HYPERLINK("plots/20251231000436_3FT6Y121H01_04823_B11P_N_UFLEX98_M5358A8BH101511/dpll_52046/txpa_55177.png","plot")</f>
        <v>plot</v>
      </c>
    </row>
    <row r="259" spans="1:29" x14ac:dyDescent="0.35">
      <c r="A259" s="2" t="s">
        <v>46</v>
      </c>
      <c r="B259">
        <v>52046</v>
      </c>
      <c r="C259" t="s">
        <v>51</v>
      </c>
      <c r="D259">
        <v>55178</v>
      </c>
      <c r="E259" t="s">
        <v>311</v>
      </c>
      <c r="F259">
        <v>8716</v>
      </c>
      <c r="G259">
        <v>0.34081969609251189</v>
      </c>
      <c r="H259">
        <v>5.6632035938255849E-236</v>
      </c>
      <c r="I259">
        <v>6.7400099109614353E-236</v>
      </c>
      <c r="J259">
        <v>0.23453365528659581</v>
      </c>
      <c r="K259">
        <v>3.1993837267361149E-109</v>
      </c>
      <c r="L259">
        <v>3.75483229040558E-109</v>
      </c>
      <c r="M259">
        <v>0.1582933768262979</v>
      </c>
      <c r="N259">
        <v>7.9435875075186323E-109</v>
      </c>
      <c r="O259">
        <v>9.3334852058214289E-109</v>
      </c>
      <c r="P259">
        <v>0.1161580652445922</v>
      </c>
      <c r="Q259">
        <v>0.98998390722515828</v>
      </c>
      <c r="R259">
        <v>-3.8180761808517492</v>
      </c>
      <c r="S259">
        <v>0.35955336698685941</v>
      </c>
      <c r="T259">
        <v>0.28766040947735461</v>
      </c>
      <c r="U259">
        <v>4.4782817893529154</v>
      </c>
      <c r="V259">
        <v>0.1316732403778659</v>
      </c>
      <c r="W259">
        <v>0.61535072262712254</v>
      </c>
      <c r="X259">
        <v>0.38247316830801292</v>
      </c>
      <c r="Z259" t="s">
        <v>392</v>
      </c>
      <c r="AA259">
        <v>9937</v>
      </c>
      <c r="AB259" t="s">
        <v>650</v>
      </c>
      <c r="AC259" t="str">
        <f>HYPERLINK("plots/20251231000436_3FT6Y121H01_04823_B11P_N_UFLEX98_M5358A8BH101511/dpll_52046/txpa_55178.png","plot")</f>
        <v>plot</v>
      </c>
    </row>
    <row r="260" spans="1:29" x14ac:dyDescent="0.35">
      <c r="A260" s="2" t="s">
        <v>46</v>
      </c>
      <c r="B260">
        <v>52046</v>
      </c>
      <c r="C260" t="s">
        <v>51</v>
      </c>
      <c r="D260">
        <v>55179</v>
      </c>
      <c r="E260" t="s">
        <v>312</v>
      </c>
      <c r="F260">
        <v>8716</v>
      </c>
      <c r="G260">
        <v>0.40735787440766019</v>
      </c>
      <c r="H260">
        <v>0</v>
      </c>
      <c r="I260">
        <v>0</v>
      </c>
      <c r="J260">
        <v>0.26957383740005281</v>
      </c>
      <c r="K260">
        <v>5.4990257769519033E-145</v>
      </c>
      <c r="L260">
        <v>6.9700151722865374E-145</v>
      </c>
      <c r="M260">
        <v>0.18266607142929689</v>
      </c>
      <c r="N260">
        <v>2.9112905689141448E-144</v>
      </c>
      <c r="O260">
        <v>3.6900607960986801E-144</v>
      </c>
      <c r="P260">
        <v>0.16594043784192711</v>
      </c>
      <c r="Q260">
        <v>1.035045483044021</v>
      </c>
      <c r="R260">
        <v>-0.88659660335678891</v>
      </c>
      <c r="S260">
        <v>0.30553042189103607</v>
      </c>
      <c r="T260">
        <v>0.23912845499004409</v>
      </c>
      <c r="U260">
        <v>4.4782817893529154</v>
      </c>
      <c r="V260">
        <v>0.1316732403778659</v>
      </c>
      <c r="W260">
        <v>3.748628734511243</v>
      </c>
      <c r="X260">
        <v>0.33456525883795951</v>
      </c>
      <c r="Z260" t="s">
        <v>392</v>
      </c>
      <c r="AA260">
        <v>9937</v>
      </c>
      <c r="AB260" t="s">
        <v>651</v>
      </c>
      <c r="AC260" t="str">
        <f>HYPERLINK("plots/20251231000436_3FT6Y121H01_04823_B11P_N_UFLEX98_M5358A8BH101511/dpll_52046/txpa_55179.png","plot")</f>
        <v>plot</v>
      </c>
    </row>
    <row r="261" spans="1:29" x14ac:dyDescent="0.35">
      <c r="A261" s="2" t="s">
        <v>46</v>
      </c>
      <c r="B261">
        <v>52046</v>
      </c>
      <c r="C261" t="s">
        <v>51</v>
      </c>
      <c r="D261">
        <v>55180</v>
      </c>
      <c r="E261" t="s">
        <v>313</v>
      </c>
      <c r="F261">
        <v>8716</v>
      </c>
      <c r="G261">
        <v>0.43818333595587489</v>
      </c>
      <c r="H261">
        <v>0</v>
      </c>
      <c r="I261">
        <v>0</v>
      </c>
      <c r="J261">
        <v>0.33610237681981348</v>
      </c>
      <c r="K261">
        <v>3.8303817920707957E-229</v>
      </c>
      <c r="L261">
        <v>6.1553203441518028E-229</v>
      </c>
      <c r="M261">
        <v>0.2280617266728856</v>
      </c>
      <c r="N261">
        <v>1.007117157520776E-223</v>
      </c>
      <c r="O261">
        <v>1.6006532879718921E-223</v>
      </c>
      <c r="P261">
        <v>0.1920046359094191</v>
      </c>
      <c r="Q261">
        <v>0.94791576599331906</v>
      </c>
      <c r="R261">
        <v>-0.91460706092153421</v>
      </c>
      <c r="S261">
        <v>0.2560300446960832</v>
      </c>
      <c r="T261">
        <v>0.20224901900128489</v>
      </c>
      <c r="U261">
        <v>4.4782817893529154</v>
      </c>
      <c r="V261">
        <v>0.1316732403778659</v>
      </c>
      <c r="W261">
        <v>3.330426851766866</v>
      </c>
      <c r="X261">
        <v>0.28484684439523289</v>
      </c>
      <c r="Z261" t="s">
        <v>392</v>
      </c>
      <c r="AA261">
        <v>9937</v>
      </c>
      <c r="AB261" t="s">
        <v>652</v>
      </c>
      <c r="AC261" t="str">
        <f>HYPERLINK("plots/20251231000436_3FT6Y121H01_04823_B11P_N_UFLEX98_M5358A8BH101511/dpll_52046/txpa_55180.png","plot")</f>
        <v>plot</v>
      </c>
    </row>
    <row r="262" spans="1:29" x14ac:dyDescent="0.35">
      <c r="A262" s="2" t="s">
        <v>46</v>
      </c>
      <c r="B262">
        <v>52046</v>
      </c>
      <c r="C262" t="s">
        <v>51</v>
      </c>
      <c r="D262">
        <v>55181</v>
      </c>
      <c r="E262" t="s">
        <v>314</v>
      </c>
      <c r="F262">
        <v>8716</v>
      </c>
      <c r="G262">
        <v>0.29494715812559552</v>
      </c>
      <c r="H262">
        <v>1.7600561970877309E-174</v>
      </c>
      <c r="I262">
        <v>1.9985408553717339E-174</v>
      </c>
      <c r="J262">
        <v>0.24156286425962031</v>
      </c>
      <c r="K262">
        <v>6.0162652978233792E-116</v>
      </c>
      <c r="L262">
        <v>7.1939776084822006E-116</v>
      </c>
      <c r="M262">
        <v>0.16281968012952311</v>
      </c>
      <c r="N262">
        <v>5.0060197529902036E-115</v>
      </c>
      <c r="O262">
        <v>5.9930389959056269E-115</v>
      </c>
      <c r="P262">
        <v>8.699382608636505E-2</v>
      </c>
      <c r="Q262">
        <v>0.84320167218226505</v>
      </c>
      <c r="R262">
        <v>-0.29104482694799388</v>
      </c>
      <c r="S262">
        <v>0.35966378351725747</v>
      </c>
      <c r="T262">
        <v>0.27973302334022399</v>
      </c>
      <c r="U262">
        <v>4.4782817893529154</v>
      </c>
      <c r="V262">
        <v>0.1316732403778659</v>
      </c>
      <c r="W262">
        <v>3.48504986633777</v>
      </c>
      <c r="X262">
        <v>0.37643046698214289</v>
      </c>
      <c r="Z262" t="s">
        <v>392</v>
      </c>
      <c r="AA262">
        <v>9937</v>
      </c>
      <c r="AB262" t="s">
        <v>653</v>
      </c>
      <c r="AC262" t="str">
        <f>HYPERLINK("plots/20251231000436_3FT6Y121H01_04823_B11P_N_UFLEX98_M5358A8BH101511/dpll_52046/txpa_55181.png","plot")</f>
        <v>plot</v>
      </c>
    </row>
    <row r="263" spans="1:29" x14ac:dyDescent="0.35">
      <c r="A263" s="2" t="s">
        <v>46</v>
      </c>
      <c r="B263">
        <v>52046</v>
      </c>
      <c r="C263" t="s">
        <v>51</v>
      </c>
      <c r="D263">
        <v>55182</v>
      </c>
      <c r="E263" t="s">
        <v>315</v>
      </c>
      <c r="F263">
        <v>8716</v>
      </c>
      <c r="G263">
        <v>0.40024368557567619</v>
      </c>
      <c r="H263">
        <v>0</v>
      </c>
      <c r="I263">
        <v>0</v>
      </c>
      <c r="J263">
        <v>0.31726280868165091</v>
      </c>
      <c r="K263">
        <v>4.8473027263026669E-203</v>
      </c>
      <c r="L263">
        <v>7.2709540894540003E-203</v>
      </c>
      <c r="M263">
        <v>0.2162915888504105</v>
      </c>
      <c r="N263">
        <v>1.9401295496205881E-201</v>
      </c>
      <c r="O263">
        <v>2.9101943244308821E-201</v>
      </c>
      <c r="P263">
        <v>0.1601950078432007</v>
      </c>
      <c r="Q263">
        <v>1.025897574132441</v>
      </c>
      <c r="R263">
        <v>-1.0939941122530821</v>
      </c>
      <c r="S263">
        <v>0.30927253071904531</v>
      </c>
      <c r="T263">
        <v>0.24780693588288219</v>
      </c>
      <c r="U263">
        <v>4.4782817893529154</v>
      </c>
      <c r="V263">
        <v>0.1316732403778659</v>
      </c>
      <c r="W263">
        <v>3.5002643117255618</v>
      </c>
      <c r="X263">
        <v>0.33750253345663228</v>
      </c>
      <c r="Z263" t="s">
        <v>392</v>
      </c>
      <c r="AA263">
        <v>9937</v>
      </c>
      <c r="AB263" t="s">
        <v>654</v>
      </c>
      <c r="AC263" t="str">
        <f>HYPERLINK("plots/20251231000436_3FT6Y121H01_04823_B11P_N_UFLEX98_M5358A8BH101511/dpll_52046/txpa_55182.png","plot")</f>
        <v>plot</v>
      </c>
    </row>
    <row r="264" spans="1:29" x14ac:dyDescent="0.35">
      <c r="A264" s="2" t="s">
        <v>46</v>
      </c>
      <c r="B264">
        <v>52046</v>
      </c>
      <c r="C264" t="s">
        <v>51</v>
      </c>
      <c r="D264">
        <v>55183</v>
      </c>
      <c r="E264" t="s">
        <v>316</v>
      </c>
      <c r="F264">
        <v>8716</v>
      </c>
      <c r="G264">
        <v>0.30613660528755537</v>
      </c>
      <c r="H264">
        <v>1.7317032698928849E-188</v>
      </c>
      <c r="I264">
        <v>1.9841210346569321E-188</v>
      </c>
      <c r="J264">
        <v>0.24995758925556649</v>
      </c>
      <c r="K264">
        <v>2.8500693988788561E-124</v>
      </c>
      <c r="L264">
        <v>3.4281973552350651E-124</v>
      </c>
      <c r="M264">
        <v>0.16820428420890779</v>
      </c>
      <c r="N264">
        <v>1.254138594394112E-122</v>
      </c>
      <c r="O264">
        <v>1.506749448715201E-122</v>
      </c>
      <c r="P264">
        <v>9.3719621096988476E-2</v>
      </c>
      <c r="Q264">
        <v>0.86670892938243904</v>
      </c>
      <c r="R264">
        <v>-0.46984601464106518</v>
      </c>
      <c r="S264">
        <v>0.35486396928169228</v>
      </c>
      <c r="T264">
        <v>0.27067907559990051</v>
      </c>
      <c r="U264">
        <v>4.4782817893529154</v>
      </c>
      <c r="V264">
        <v>0.1316732403778659</v>
      </c>
      <c r="W264">
        <v>3.4115208004818731</v>
      </c>
      <c r="X264">
        <v>0.37278251350903002</v>
      </c>
      <c r="Z264" t="s">
        <v>392</v>
      </c>
      <c r="AA264">
        <v>9937</v>
      </c>
      <c r="AB264" t="s">
        <v>655</v>
      </c>
      <c r="AC264" t="str">
        <f>HYPERLINK("plots/20251231000436_3FT6Y121H01_04823_B11P_N_UFLEX98_M5358A8BH101511/dpll_52046/txpa_55183.png","plot")</f>
        <v>plot</v>
      </c>
    </row>
    <row r="265" spans="1:29" x14ac:dyDescent="0.35">
      <c r="A265" s="2" t="s">
        <v>46</v>
      </c>
      <c r="B265">
        <v>52046</v>
      </c>
      <c r="C265" t="s">
        <v>51</v>
      </c>
      <c r="D265">
        <v>55184</v>
      </c>
      <c r="E265" t="s">
        <v>317</v>
      </c>
      <c r="F265">
        <v>8716</v>
      </c>
      <c r="G265">
        <v>0.43651475843050608</v>
      </c>
      <c r="H265">
        <v>0</v>
      </c>
      <c r="I265">
        <v>0</v>
      </c>
      <c r="J265">
        <v>0.33806851976942121</v>
      </c>
      <c r="K265">
        <v>5.6365239598558323E-232</v>
      </c>
      <c r="L265">
        <v>9.1155267867524945E-232</v>
      </c>
      <c r="M265">
        <v>0.2297567425551886</v>
      </c>
      <c r="N265">
        <v>4.9696041901258737E-227</v>
      </c>
      <c r="O265">
        <v>7.9232368691629496E-227</v>
      </c>
      <c r="P265">
        <v>0.19054513432764311</v>
      </c>
      <c r="Q265">
        <v>0.95141917318574554</v>
      </c>
      <c r="R265">
        <v>-0.70386935328038103</v>
      </c>
      <c r="S265">
        <v>0.25819147274428472</v>
      </c>
      <c r="T265">
        <v>0.2060879102970119</v>
      </c>
      <c r="U265">
        <v>4.4782817893529154</v>
      </c>
      <c r="V265">
        <v>0.1316732403778659</v>
      </c>
      <c r="W265">
        <v>3.5568538040385498</v>
      </c>
      <c r="X265">
        <v>0.28699246261782768</v>
      </c>
      <c r="Z265" t="s">
        <v>392</v>
      </c>
      <c r="AA265">
        <v>9937</v>
      </c>
      <c r="AB265" t="s">
        <v>656</v>
      </c>
      <c r="AC265" t="str">
        <f>HYPERLINK("plots/20251231000436_3FT6Y121H01_04823_B11P_N_UFLEX98_M5358A8BH101511/dpll_52046/txpa_55184.png","plot")</f>
        <v>plot</v>
      </c>
    </row>
    <row r="266" spans="1:29" x14ac:dyDescent="0.35">
      <c r="A266" s="2" t="s">
        <v>46</v>
      </c>
      <c r="B266">
        <v>52046</v>
      </c>
      <c r="C266" t="s">
        <v>51</v>
      </c>
      <c r="D266">
        <v>55185</v>
      </c>
      <c r="E266" t="s">
        <v>318</v>
      </c>
      <c r="F266">
        <v>8716</v>
      </c>
      <c r="G266">
        <v>0.35203023098137232</v>
      </c>
      <c r="H266">
        <v>1.088087479429638E-252</v>
      </c>
      <c r="I266">
        <v>1.3229265037669701E-252</v>
      </c>
      <c r="J266">
        <v>0.28168232296077839</v>
      </c>
      <c r="K266">
        <v>1.1269072906911809E-158</v>
      </c>
      <c r="L266">
        <v>1.47253091850626E-158</v>
      </c>
      <c r="M266">
        <v>0.1900918309324523</v>
      </c>
      <c r="N266">
        <v>4.6203861486698091E-156</v>
      </c>
      <c r="O266">
        <v>6.037463343751529E-156</v>
      </c>
      <c r="P266">
        <v>0.1239252835247983</v>
      </c>
      <c r="Q266">
        <v>0.82382972007381938</v>
      </c>
      <c r="R266">
        <v>-0.27717910459560668</v>
      </c>
      <c r="S266">
        <v>0.288403599475966</v>
      </c>
      <c r="T266">
        <v>0.223949977779065</v>
      </c>
      <c r="U266">
        <v>4.4782817893529154</v>
      </c>
      <c r="V266">
        <v>0.1316732403778659</v>
      </c>
      <c r="W266">
        <v>3.4121625283386878</v>
      </c>
      <c r="X266">
        <v>0.30814492397231102</v>
      </c>
      <c r="Z266" t="s">
        <v>392</v>
      </c>
      <c r="AA266">
        <v>9937</v>
      </c>
      <c r="AB266" t="s">
        <v>657</v>
      </c>
      <c r="AC266" t="str">
        <f>HYPERLINK("plots/20251231000436_3FT6Y121H01_04823_B11P_N_UFLEX98_M5358A8BH101511/dpll_52046/txpa_55185.png","plot")</f>
        <v>plot</v>
      </c>
    </row>
    <row r="267" spans="1:29" x14ac:dyDescent="0.35">
      <c r="A267" s="2" t="s">
        <v>46</v>
      </c>
      <c r="B267">
        <v>52046</v>
      </c>
      <c r="C267" t="s">
        <v>51</v>
      </c>
      <c r="D267">
        <v>55186</v>
      </c>
      <c r="E267" t="s">
        <v>319</v>
      </c>
      <c r="F267">
        <v>8716</v>
      </c>
      <c r="G267">
        <v>0.38300653691138969</v>
      </c>
      <c r="H267">
        <v>1.4856548573210071E-302</v>
      </c>
      <c r="I267">
        <v>1.936316227922238E-302</v>
      </c>
      <c r="J267">
        <v>0.26713750872134279</v>
      </c>
      <c r="K267">
        <v>2.5734238664667599E-142</v>
      </c>
      <c r="L267">
        <v>3.225527565633244E-142</v>
      </c>
      <c r="M267">
        <v>0.18143767245472539</v>
      </c>
      <c r="N267">
        <v>2.347924988632047E-142</v>
      </c>
      <c r="O267">
        <v>2.9538411147306401E-142</v>
      </c>
      <c r="P267">
        <v>0.1466940073168557</v>
      </c>
      <c r="Q267">
        <v>1.049710579078212</v>
      </c>
      <c r="R267">
        <v>-0.9466790134931653</v>
      </c>
      <c r="S267">
        <v>0.3333407390072915</v>
      </c>
      <c r="T267">
        <v>0.26463617719636989</v>
      </c>
      <c r="U267">
        <v>4.4782817893529154</v>
      </c>
      <c r="V267">
        <v>0.1316732403778659</v>
      </c>
      <c r="W267">
        <v>3.7542207568838921</v>
      </c>
      <c r="X267">
        <v>0.36087841873605342</v>
      </c>
      <c r="Z267" t="s">
        <v>392</v>
      </c>
      <c r="AA267">
        <v>9937</v>
      </c>
      <c r="AB267" t="s">
        <v>658</v>
      </c>
      <c r="AC267" t="str">
        <f>HYPERLINK("plots/20251231000436_3FT6Y121H01_04823_B11P_N_UFLEX98_M5358A8BH101511/dpll_52046/txpa_55186.png","plot")</f>
        <v>plot</v>
      </c>
    </row>
    <row r="268" spans="1:29" x14ac:dyDescent="0.35">
      <c r="A268" s="2" t="s">
        <v>46</v>
      </c>
      <c r="B268">
        <v>52046</v>
      </c>
      <c r="C268" t="s">
        <v>51</v>
      </c>
      <c r="D268">
        <v>55187</v>
      </c>
      <c r="E268" t="s">
        <v>320</v>
      </c>
      <c r="F268">
        <v>8711</v>
      </c>
      <c r="G268">
        <v>0.42982133359387142</v>
      </c>
      <c r="H268">
        <v>0</v>
      </c>
      <c r="I268">
        <v>0</v>
      </c>
      <c r="J268">
        <v>0.29927741089356691</v>
      </c>
      <c r="K268">
        <v>1.00185767888081E-179</v>
      </c>
      <c r="L268">
        <v>1.399288824221958E-179</v>
      </c>
      <c r="M268">
        <v>0.20369312343598101</v>
      </c>
      <c r="N268">
        <v>8.6478359953433741E-179</v>
      </c>
      <c r="O268">
        <v>1.214529875246285E-178</v>
      </c>
      <c r="P268">
        <v>0.1847463788124141</v>
      </c>
      <c r="Q268">
        <v>1.075679001515659</v>
      </c>
      <c r="R268">
        <v>0.65961105338249482</v>
      </c>
      <c r="S268">
        <v>0.29695192143660593</v>
      </c>
      <c r="T268">
        <v>0.2291396090757877</v>
      </c>
      <c r="U268">
        <v>4.4784882522098499</v>
      </c>
      <c r="V268">
        <v>0.13142257656332729</v>
      </c>
      <c r="W268">
        <v>5.4770268248191938</v>
      </c>
      <c r="X268">
        <v>0.32890062657483388</v>
      </c>
      <c r="Z268" t="s">
        <v>392</v>
      </c>
      <c r="AA268">
        <v>9937</v>
      </c>
      <c r="AB268" t="s">
        <v>659</v>
      </c>
      <c r="AC268" t="str">
        <f>HYPERLINK("plots/20251231000436_3FT6Y121H01_04823_B11P_N_UFLEX98_M5358A8BH101511/dpll_52046/txpa_55187.png","plot")</f>
        <v>plot</v>
      </c>
    </row>
    <row r="269" spans="1:29" x14ac:dyDescent="0.35">
      <c r="A269" s="2" t="s">
        <v>46</v>
      </c>
      <c r="B269">
        <v>52046</v>
      </c>
      <c r="C269" t="s">
        <v>51</v>
      </c>
      <c r="D269">
        <v>55188</v>
      </c>
      <c r="E269" t="s">
        <v>321</v>
      </c>
      <c r="F269">
        <v>8716</v>
      </c>
      <c r="G269">
        <v>0.46385025642309158</v>
      </c>
      <c r="H269">
        <v>0</v>
      </c>
      <c r="I269">
        <v>0</v>
      </c>
      <c r="J269">
        <v>0.35719606388428959</v>
      </c>
      <c r="K269">
        <v>1.260338150242532E-260</v>
      </c>
      <c r="L269">
        <v>2.2499698668062099E-260</v>
      </c>
      <c r="M269">
        <v>0.24321444518096499</v>
      </c>
      <c r="N269">
        <v>3.775601371979285E-254</v>
      </c>
      <c r="O269">
        <v>6.5894316543666009E-254</v>
      </c>
      <c r="P269">
        <v>0.21515706038376781</v>
      </c>
      <c r="Q269">
        <v>1.0134862408088601</v>
      </c>
      <c r="R269">
        <v>0.55157546172672234</v>
      </c>
      <c r="S269">
        <v>0.25486138694368832</v>
      </c>
      <c r="T269">
        <v>0.19803984163376129</v>
      </c>
      <c r="U269">
        <v>4.4782817893529154</v>
      </c>
      <c r="V269">
        <v>0.1316732403778659</v>
      </c>
      <c r="W269">
        <v>5.090252437700781</v>
      </c>
      <c r="X269">
        <v>0.2876984879446996</v>
      </c>
      <c r="Z269" t="s">
        <v>392</v>
      </c>
      <c r="AA269">
        <v>9937</v>
      </c>
      <c r="AB269" t="s">
        <v>660</v>
      </c>
      <c r="AC269" t="str">
        <f>HYPERLINK("plots/20251231000436_3FT6Y121H01_04823_B11P_N_UFLEX98_M5358A8BH101511/dpll_52046/txpa_55188.png","plot")</f>
        <v>plot</v>
      </c>
    </row>
    <row r="270" spans="1:29" x14ac:dyDescent="0.35">
      <c r="A270" s="2" t="s">
        <v>46</v>
      </c>
      <c r="B270">
        <v>52046</v>
      </c>
      <c r="C270" t="s">
        <v>51</v>
      </c>
      <c r="D270">
        <v>55189</v>
      </c>
      <c r="E270" t="s">
        <v>322</v>
      </c>
      <c r="F270">
        <v>8716</v>
      </c>
      <c r="G270">
        <v>0.33665693356506271</v>
      </c>
      <c r="H270">
        <v>6.1164583111423196E-230</v>
      </c>
      <c r="I270">
        <v>7.2285416404409231E-230</v>
      </c>
      <c r="J270">
        <v>0.26821860733423908</v>
      </c>
      <c r="K270">
        <v>1.6946095761961739E-143</v>
      </c>
      <c r="L270">
        <v>2.139893038932653E-143</v>
      </c>
      <c r="M270">
        <v>0.1819393863980453</v>
      </c>
      <c r="N270">
        <v>3.913014504698785E-143</v>
      </c>
      <c r="O270">
        <v>4.9412163234926119E-143</v>
      </c>
      <c r="P270">
        <v>0.113337890917431</v>
      </c>
      <c r="Q270">
        <v>0.93066357937461497</v>
      </c>
      <c r="R270">
        <v>1.05818269159703</v>
      </c>
      <c r="S270">
        <v>0.34273372276769792</v>
      </c>
      <c r="T270">
        <v>0.2644789270971355</v>
      </c>
      <c r="U270">
        <v>4.4782817893529154</v>
      </c>
      <c r="V270">
        <v>0.1316732403778659</v>
      </c>
      <c r="W270">
        <v>5.225956451124369</v>
      </c>
      <c r="X270">
        <v>0.36400108531920627</v>
      </c>
      <c r="Z270" t="s">
        <v>392</v>
      </c>
      <c r="AA270">
        <v>9937</v>
      </c>
      <c r="AB270" t="s">
        <v>661</v>
      </c>
      <c r="AC270" t="str">
        <f>HYPERLINK("plots/20251231000436_3FT6Y121H01_04823_B11P_N_UFLEX98_M5358A8BH101511/dpll_52046/txpa_55189.png","plot")</f>
        <v>plot</v>
      </c>
    </row>
    <row r="271" spans="1:29" x14ac:dyDescent="0.35">
      <c r="A271" s="2" t="s">
        <v>46</v>
      </c>
      <c r="B271">
        <v>52046</v>
      </c>
      <c r="C271" t="s">
        <v>51</v>
      </c>
      <c r="D271">
        <v>55190</v>
      </c>
      <c r="E271" t="s">
        <v>323</v>
      </c>
      <c r="F271">
        <v>8716</v>
      </c>
      <c r="G271">
        <v>0.43126607340035489</v>
      </c>
      <c r="H271">
        <v>0</v>
      </c>
      <c r="I271">
        <v>0</v>
      </c>
      <c r="J271">
        <v>0.33684658382701271</v>
      </c>
      <c r="K271">
        <v>3.2632331353048599E-230</v>
      </c>
      <c r="L271">
        <v>5.2522514273002031E-230</v>
      </c>
      <c r="M271">
        <v>0.23094376699417879</v>
      </c>
      <c r="N271">
        <v>2.3164673282631531E-229</v>
      </c>
      <c r="O271">
        <v>3.7284093188235518E-229</v>
      </c>
      <c r="P271">
        <v>0.18599042606616031</v>
      </c>
      <c r="Q271">
        <v>1.0921685146473681</v>
      </c>
      <c r="R271">
        <v>0.35116736033097951</v>
      </c>
      <c r="S271">
        <v>0.300837327861324</v>
      </c>
      <c r="T271">
        <v>0.2398014123308787</v>
      </c>
      <c r="U271">
        <v>4.4782817893529154</v>
      </c>
      <c r="V271">
        <v>0.1316732403778659</v>
      </c>
      <c r="W271">
        <v>5.2422057303809089</v>
      </c>
      <c r="X271">
        <v>0.33345856823010023</v>
      </c>
      <c r="Z271" t="s">
        <v>392</v>
      </c>
      <c r="AA271">
        <v>9937</v>
      </c>
      <c r="AB271" t="s">
        <v>662</v>
      </c>
      <c r="AC271" t="str">
        <f>HYPERLINK("plots/20251231000436_3FT6Y121H01_04823_B11P_N_UFLEX98_M5358A8BH101511/dpll_52046/txpa_55190.png","plot")</f>
        <v>plot</v>
      </c>
    </row>
    <row r="272" spans="1:29" x14ac:dyDescent="0.35">
      <c r="A272" s="2" t="s">
        <v>46</v>
      </c>
      <c r="B272">
        <v>52046</v>
      </c>
      <c r="C272" t="s">
        <v>51</v>
      </c>
      <c r="D272">
        <v>55191</v>
      </c>
      <c r="E272" t="s">
        <v>324</v>
      </c>
      <c r="F272">
        <v>8716</v>
      </c>
      <c r="G272">
        <v>0.34655462620897659</v>
      </c>
      <c r="H272">
        <v>1.9382677212297661E-244</v>
      </c>
      <c r="I272">
        <v>2.3481522931027281E-244</v>
      </c>
      <c r="J272">
        <v>0.27323760855436952</v>
      </c>
      <c r="K272">
        <v>4.6995538019247112E-149</v>
      </c>
      <c r="L272">
        <v>6.0092655172152051E-149</v>
      </c>
      <c r="M272">
        <v>0.1849339379656533</v>
      </c>
      <c r="N272">
        <v>8.1132182304556299E-148</v>
      </c>
      <c r="O272">
        <v>1.0387377885962129E-147</v>
      </c>
      <c r="P272">
        <v>0.1201001089468435</v>
      </c>
      <c r="Q272">
        <v>0.94861556957097615</v>
      </c>
      <c r="R272">
        <v>0.91418171283271032</v>
      </c>
      <c r="S272">
        <v>0.33807089861268519</v>
      </c>
      <c r="T272">
        <v>0.25771614431746448</v>
      </c>
      <c r="U272">
        <v>4.4782817893529154</v>
      </c>
      <c r="V272">
        <v>0.1316732403778659</v>
      </c>
      <c r="W272">
        <v>5.1623495431390554</v>
      </c>
      <c r="X272">
        <v>0.36042596598605131</v>
      </c>
      <c r="Z272" t="s">
        <v>392</v>
      </c>
      <c r="AA272">
        <v>9937</v>
      </c>
      <c r="AB272" t="s">
        <v>663</v>
      </c>
      <c r="AC272" t="str">
        <f>HYPERLINK("plots/20251231000436_3FT6Y121H01_04823_B11P_N_UFLEX98_M5358A8BH101511/dpll_52046/txpa_55191.png","plot")</f>
        <v>plot</v>
      </c>
    </row>
    <row r="273" spans="1:29" x14ac:dyDescent="0.35">
      <c r="A273" s="2" t="s">
        <v>46</v>
      </c>
      <c r="B273">
        <v>52046</v>
      </c>
      <c r="C273" t="s">
        <v>51</v>
      </c>
      <c r="D273">
        <v>55192</v>
      </c>
      <c r="E273" t="s">
        <v>325</v>
      </c>
      <c r="F273">
        <v>8716</v>
      </c>
      <c r="G273">
        <v>0.46874316283687878</v>
      </c>
      <c r="H273">
        <v>0</v>
      </c>
      <c r="I273">
        <v>0</v>
      </c>
      <c r="J273">
        <v>0.35800192304052281</v>
      </c>
      <c r="K273">
        <v>7.0635286694258779E-262</v>
      </c>
      <c r="L273">
        <v>1.2767233637785811E-261</v>
      </c>
      <c r="M273">
        <v>0.24446178752239661</v>
      </c>
      <c r="N273">
        <v>9.6688479544712884E-257</v>
      </c>
      <c r="O273">
        <v>1.7110317322572229E-256</v>
      </c>
      <c r="P273">
        <v>0.21972015270632059</v>
      </c>
      <c r="Q273">
        <v>1.0224161549813271</v>
      </c>
      <c r="R273">
        <v>0.71384516774806173</v>
      </c>
      <c r="S273">
        <v>0.25368253006394809</v>
      </c>
      <c r="T273">
        <v>0.20041419106772859</v>
      </c>
      <c r="U273">
        <v>4.4782817893529154</v>
      </c>
      <c r="V273">
        <v>0.1316732403778659</v>
      </c>
      <c r="W273">
        <v>5.2925128157411656</v>
      </c>
      <c r="X273">
        <v>0.28720386517492252</v>
      </c>
      <c r="Z273" t="s">
        <v>392</v>
      </c>
      <c r="AA273">
        <v>9937</v>
      </c>
      <c r="AB273" t="s">
        <v>664</v>
      </c>
      <c r="AC273" t="str">
        <f>HYPERLINK("plots/20251231000436_3FT6Y121H01_04823_B11P_N_UFLEX98_M5358A8BH101511/dpll_52046/txpa_55192.png","plot")</f>
        <v>plot</v>
      </c>
    </row>
    <row r="274" spans="1:29" x14ac:dyDescent="0.35">
      <c r="A274" s="2" t="s">
        <v>46</v>
      </c>
      <c r="B274">
        <v>52046</v>
      </c>
      <c r="C274" t="s">
        <v>51</v>
      </c>
      <c r="D274">
        <v>55193</v>
      </c>
      <c r="E274" t="s">
        <v>326</v>
      </c>
      <c r="F274">
        <v>8716</v>
      </c>
      <c r="G274">
        <v>0.39501653481105897</v>
      </c>
      <c r="H274">
        <v>0</v>
      </c>
      <c r="I274">
        <v>0</v>
      </c>
      <c r="J274">
        <v>0.30850696388694548</v>
      </c>
      <c r="K274">
        <v>1.5515717608791401E-191</v>
      </c>
      <c r="L274">
        <v>2.2540025294146831E-191</v>
      </c>
      <c r="M274">
        <v>0.2095797628084341</v>
      </c>
      <c r="N274">
        <v>2.9358939164102809E-189</v>
      </c>
      <c r="O274">
        <v>4.2834481025036316E-189</v>
      </c>
      <c r="P274">
        <v>0.15603806277413659</v>
      </c>
      <c r="Q274">
        <v>0.90946369810627248</v>
      </c>
      <c r="R274">
        <v>1.091463467755079</v>
      </c>
      <c r="S274">
        <v>0.27848649042634649</v>
      </c>
      <c r="T274">
        <v>0.21486831296870679</v>
      </c>
      <c r="U274">
        <v>4.4782817893529154</v>
      </c>
      <c r="V274">
        <v>0.1316732403778659</v>
      </c>
      <c r="W274">
        <v>5.1642981850619556</v>
      </c>
      <c r="X274">
        <v>0.30315701137160989</v>
      </c>
      <c r="Z274" t="s">
        <v>392</v>
      </c>
      <c r="AA274">
        <v>9937</v>
      </c>
      <c r="AB274" t="s">
        <v>665</v>
      </c>
      <c r="AC274" t="str">
        <f>HYPERLINK("plots/20251231000436_3FT6Y121H01_04823_B11P_N_UFLEX98_M5358A8BH101511/dpll_52046/txpa_55193.png","plot")</f>
        <v>plot</v>
      </c>
    </row>
    <row r="275" spans="1:29" x14ac:dyDescent="0.35">
      <c r="A275" s="2" t="s">
        <v>46</v>
      </c>
      <c r="B275">
        <v>52046</v>
      </c>
      <c r="C275" t="s">
        <v>51</v>
      </c>
      <c r="D275">
        <v>55194</v>
      </c>
      <c r="E275" t="s">
        <v>327</v>
      </c>
      <c r="F275">
        <v>8713</v>
      </c>
      <c r="G275">
        <v>0.41331843210268931</v>
      </c>
      <c r="H275">
        <v>0</v>
      </c>
      <c r="I275">
        <v>0</v>
      </c>
      <c r="J275">
        <v>0.29361908135869608</v>
      </c>
      <c r="K275">
        <v>8.4256028645419102E-173</v>
      </c>
      <c r="L275">
        <v>1.1576641334207991E-172</v>
      </c>
      <c r="M275">
        <v>0.20026478411576909</v>
      </c>
      <c r="N275">
        <v>6.2594870146853647E-173</v>
      </c>
      <c r="O275">
        <v>8.6004333779010312E-173</v>
      </c>
      <c r="P275">
        <v>0.17083212631582539</v>
      </c>
      <c r="Q275">
        <v>1.099743225260992</v>
      </c>
      <c r="R275">
        <v>0.5576141922516431</v>
      </c>
      <c r="S275">
        <v>0.31872911163715623</v>
      </c>
      <c r="T275">
        <v>0.25102255059444289</v>
      </c>
      <c r="U275">
        <v>4.478393002869276</v>
      </c>
      <c r="V275">
        <v>0.1315584961613637</v>
      </c>
      <c r="W275">
        <v>5.4826965572133588</v>
      </c>
      <c r="X275">
        <v>0.35004624435195281</v>
      </c>
      <c r="Z275" t="s">
        <v>392</v>
      </c>
      <c r="AA275">
        <v>9937</v>
      </c>
      <c r="AB275" t="s">
        <v>666</v>
      </c>
      <c r="AC275" t="str">
        <f>HYPERLINK("plots/20251231000436_3FT6Y121H01_04823_B11P_N_UFLEX98_M5358A8BH101511/dpll_52046/txpa_55194.png","plot")</f>
        <v>plot</v>
      </c>
    </row>
    <row r="276" spans="1:29" x14ac:dyDescent="0.35">
      <c r="A276" s="2" t="s">
        <v>46</v>
      </c>
      <c r="B276">
        <v>52046</v>
      </c>
      <c r="C276" t="s">
        <v>51</v>
      </c>
      <c r="D276">
        <v>55195</v>
      </c>
      <c r="E276" t="s">
        <v>328</v>
      </c>
      <c r="F276">
        <v>8695</v>
      </c>
      <c r="G276">
        <v>0.44511522497134193</v>
      </c>
      <c r="H276">
        <v>0</v>
      </c>
      <c r="I276">
        <v>0</v>
      </c>
      <c r="J276">
        <v>0.3413057619038658</v>
      </c>
      <c r="K276">
        <v>4.0530151465974062E-236</v>
      </c>
      <c r="L276">
        <v>6.6286409010480161E-236</v>
      </c>
      <c r="M276">
        <v>0.23388498601545479</v>
      </c>
      <c r="N276">
        <v>1.2618862729711989E-234</v>
      </c>
      <c r="O276">
        <v>2.0637946464399929E-234</v>
      </c>
      <c r="P276">
        <v>0.1981275635012883</v>
      </c>
      <c r="Q276">
        <v>1.115855723599958</v>
      </c>
      <c r="R276">
        <v>2.524242718459718</v>
      </c>
      <c r="S276">
        <v>0.29287109294228753</v>
      </c>
      <c r="T276">
        <v>0.21902329786503191</v>
      </c>
      <c r="U276">
        <v>4.4791906871765379</v>
      </c>
      <c r="V276">
        <v>0.13047077570984739</v>
      </c>
      <c r="W276">
        <v>7.5223732838412882</v>
      </c>
      <c r="X276">
        <v>0.32707612247532752</v>
      </c>
      <c r="Z276" t="s">
        <v>392</v>
      </c>
      <c r="AA276">
        <v>9937</v>
      </c>
      <c r="AB276" t="s">
        <v>667</v>
      </c>
      <c r="AC276" t="str">
        <f>HYPERLINK("plots/20251231000436_3FT6Y121H01_04823_B11P_N_UFLEX98_M5358A8BH101511/dpll_52046/txpa_55195.png","plot")</f>
        <v>plot</v>
      </c>
    </row>
    <row r="277" spans="1:29" x14ac:dyDescent="0.35">
      <c r="A277" s="2" t="s">
        <v>46</v>
      </c>
      <c r="B277">
        <v>52046</v>
      </c>
      <c r="C277" t="s">
        <v>51</v>
      </c>
      <c r="D277">
        <v>55196</v>
      </c>
      <c r="E277" t="s">
        <v>329</v>
      </c>
      <c r="F277">
        <v>8714</v>
      </c>
      <c r="G277">
        <v>0.48813304411663699</v>
      </c>
      <c r="H277">
        <v>0</v>
      </c>
      <c r="I277">
        <v>0</v>
      </c>
      <c r="J277">
        <v>0.38400792854614418</v>
      </c>
      <c r="K277">
        <v>3.436526317632436E-304</v>
      </c>
      <c r="L277">
        <v>7.1115054817944703E-304</v>
      </c>
      <c r="M277">
        <v>0.2629225273199709</v>
      </c>
      <c r="N277">
        <v>1.4127197735571679E-296</v>
      </c>
      <c r="O277">
        <v>2.864995700773937E-296</v>
      </c>
      <c r="P277">
        <v>0.2382738687585747</v>
      </c>
      <c r="Q277">
        <v>1.107642709965357</v>
      </c>
      <c r="R277">
        <v>2.2211719109628349</v>
      </c>
      <c r="S277">
        <v>0.26057620836957862</v>
      </c>
      <c r="T277">
        <v>0.1959331309391901</v>
      </c>
      <c r="U277">
        <v>4.4783608551755796</v>
      </c>
      <c r="V277">
        <v>0.13158269242625251</v>
      </c>
      <c r="W277">
        <v>7.1815956647922894</v>
      </c>
      <c r="X277">
        <v>0.29857968392061368</v>
      </c>
      <c r="Z277" t="s">
        <v>392</v>
      </c>
      <c r="AA277">
        <v>9937</v>
      </c>
      <c r="AB277" t="s">
        <v>668</v>
      </c>
      <c r="AC277" t="str">
        <f>HYPERLINK("plots/20251231000436_3FT6Y121H01_04823_B11P_N_UFLEX98_M5358A8BH101511/dpll_52046/txpa_55196.png","plot")</f>
        <v>plot</v>
      </c>
    </row>
    <row r="278" spans="1:29" x14ac:dyDescent="0.35">
      <c r="A278" s="2" t="s">
        <v>46</v>
      </c>
      <c r="B278">
        <v>52046</v>
      </c>
      <c r="C278" t="s">
        <v>51</v>
      </c>
      <c r="D278">
        <v>55197</v>
      </c>
      <c r="E278" t="s">
        <v>330</v>
      </c>
      <c r="F278">
        <v>8716</v>
      </c>
      <c r="G278">
        <v>0.39711590947297909</v>
      </c>
      <c r="H278">
        <v>0</v>
      </c>
      <c r="I278">
        <v>0</v>
      </c>
      <c r="J278">
        <v>0.3048890864018261</v>
      </c>
      <c r="K278">
        <v>6.7780924302047515E-187</v>
      </c>
      <c r="L278">
        <v>9.735107258112772E-187</v>
      </c>
      <c r="M278">
        <v>0.20819411267418181</v>
      </c>
      <c r="N278">
        <v>8.5803416756090445E-187</v>
      </c>
      <c r="O278">
        <v>1.2429237798667959E-186</v>
      </c>
      <c r="P278">
        <v>0.1577010455565514</v>
      </c>
      <c r="Q278">
        <v>1.069354090422332</v>
      </c>
      <c r="R278">
        <v>2.4980420257096112</v>
      </c>
      <c r="S278">
        <v>0.32539433498862652</v>
      </c>
      <c r="T278">
        <v>0.24797464912913261</v>
      </c>
      <c r="U278">
        <v>4.4782817893529154</v>
      </c>
      <c r="V278">
        <v>0.1316732403778659</v>
      </c>
      <c r="W278">
        <v>7.2869109752179897</v>
      </c>
      <c r="X278">
        <v>0.35456982417073019</v>
      </c>
      <c r="Z278" t="s">
        <v>392</v>
      </c>
      <c r="AA278">
        <v>9937</v>
      </c>
      <c r="AB278" t="s">
        <v>669</v>
      </c>
      <c r="AC278" t="str">
        <f>HYPERLINK("plots/20251231000436_3FT6Y121H01_04823_B11P_N_UFLEX98_M5358A8BH101511/dpll_52046/txpa_55197.png","plot")</f>
        <v>plot</v>
      </c>
    </row>
    <row r="279" spans="1:29" x14ac:dyDescent="0.35">
      <c r="A279" s="2" t="s">
        <v>46</v>
      </c>
      <c r="B279">
        <v>52046</v>
      </c>
      <c r="C279" t="s">
        <v>51</v>
      </c>
      <c r="D279">
        <v>55198</v>
      </c>
      <c r="E279" t="s">
        <v>331</v>
      </c>
      <c r="F279">
        <v>8713</v>
      </c>
      <c r="G279">
        <v>0.46682203144489798</v>
      </c>
      <c r="H279">
        <v>0</v>
      </c>
      <c r="I279">
        <v>0</v>
      </c>
      <c r="J279">
        <v>0.36122009894562401</v>
      </c>
      <c r="K279">
        <v>8.0550749775009926E-267</v>
      </c>
      <c r="L279">
        <v>1.469037055249282E-266</v>
      </c>
      <c r="M279">
        <v>0.24942296485579141</v>
      </c>
      <c r="N279">
        <v>4.3286275934413658E-267</v>
      </c>
      <c r="O279">
        <v>7.9227949092952068E-267</v>
      </c>
      <c r="P279">
        <v>0.21792280904234129</v>
      </c>
      <c r="Q279">
        <v>1.184518809489592</v>
      </c>
      <c r="R279">
        <v>2.0001319858492841</v>
      </c>
      <c r="S279">
        <v>0.29516356893046569</v>
      </c>
      <c r="T279">
        <v>0.2311572982562333</v>
      </c>
      <c r="U279">
        <v>4.4783984655113054</v>
      </c>
      <c r="V279">
        <v>0.13154436513250781</v>
      </c>
      <c r="W279">
        <v>7.304879204636749</v>
      </c>
      <c r="X279">
        <v>0.33378196461623999</v>
      </c>
      <c r="Z279" t="s">
        <v>392</v>
      </c>
      <c r="AA279">
        <v>9937</v>
      </c>
      <c r="AB279" t="s">
        <v>670</v>
      </c>
      <c r="AC279" t="str">
        <f>HYPERLINK("plots/20251231000436_3FT6Y121H01_04823_B11P_N_UFLEX98_M5358A8BH101511/dpll_52046/txpa_55198.png","plot")</f>
        <v>plot</v>
      </c>
    </row>
    <row r="280" spans="1:29" x14ac:dyDescent="0.35">
      <c r="A280" s="2" t="s">
        <v>46</v>
      </c>
      <c r="B280">
        <v>52046</v>
      </c>
      <c r="C280" t="s">
        <v>51</v>
      </c>
      <c r="D280">
        <v>55199</v>
      </c>
      <c r="E280" t="s">
        <v>332</v>
      </c>
      <c r="F280">
        <v>8716</v>
      </c>
      <c r="G280">
        <v>0.40530359246121961</v>
      </c>
      <c r="H280">
        <v>0</v>
      </c>
      <c r="I280">
        <v>0</v>
      </c>
      <c r="J280">
        <v>0.30427188055267418</v>
      </c>
      <c r="K280">
        <v>4.1320569942638196E-186</v>
      </c>
      <c r="L280">
        <v>5.9179460341575041E-186</v>
      </c>
      <c r="M280">
        <v>0.20732424265354771</v>
      </c>
      <c r="N280">
        <v>2.9788442085702822E-185</v>
      </c>
      <c r="O280">
        <v>4.2783966395046259E-185</v>
      </c>
      <c r="P280">
        <v>0.16427100206197029</v>
      </c>
      <c r="Q280">
        <v>1.078580881323512</v>
      </c>
      <c r="R280">
        <v>2.4091854169651299</v>
      </c>
      <c r="S280">
        <v>0.32031524485719398</v>
      </c>
      <c r="T280">
        <v>0.24380006828083159</v>
      </c>
      <c r="U280">
        <v>4.4782817893529154</v>
      </c>
      <c r="V280">
        <v>0.1316732403778659</v>
      </c>
      <c r="W280">
        <v>7.2393745361404314</v>
      </c>
      <c r="X280">
        <v>0.35040459126221563</v>
      </c>
      <c r="Z280" t="s">
        <v>392</v>
      </c>
      <c r="AA280">
        <v>9937</v>
      </c>
      <c r="AB280" t="s">
        <v>671</v>
      </c>
      <c r="AC280" t="str">
        <f>HYPERLINK("plots/20251231000436_3FT6Y121H01_04823_B11P_N_UFLEX98_M5358A8BH101511/dpll_52046/txpa_55199.png","plot")</f>
        <v>plot</v>
      </c>
    </row>
    <row r="281" spans="1:29" x14ac:dyDescent="0.35">
      <c r="A281" s="2" t="s">
        <v>46</v>
      </c>
      <c r="B281">
        <v>52046</v>
      </c>
      <c r="C281" t="s">
        <v>51</v>
      </c>
      <c r="D281">
        <v>55200</v>
      </c>
      <c r="E281" t="s">
        <v>333</v>
      </c>
      <c r="F281">
        <v>8712</v>
      </c>
      <c r="G281">
        <v>0.50105081493574311</v>
      </c>
      <c r="H281">
        <v>0</v>
      </c>
      <c r="I281">
        <v>0</v>
      </c>
      <c r="J281">
        <v>0.38313440097529272</v>
      </c>
      <c r="K281">
        <v>1.23742301666657E-302</v>
      </c>
      <c r="L281">
        <v>2.5246417281688182E-302</v>
      </c>
      <c r="M281">
        <v>0.26339782345511797</v>
      </c>
      <c r="N281">
        <v>1.4210829472105941E-297</v>
      </c>
      <c r="O281">
        <v>2.8935303382962688E-297</v>
      </c>
      <c r="P281">
        <v>0.25105191914777231</v>
      </c>
      <c r="Q281">
        <v>1.121077191126072</v>
      </c>
      <c r="R281">
        <v>2.326953006806757</v>
      </c>
      <c r="S281">
        <v>0.25460145748769802</v>
      </c>
      <c r="T281">
        <v>0.19584192768013531</v>
      </c>
      <c r="U281">
        <v>4.4784402405876946</v>
      </c>
      <c r="V281">
        <v>0.131494083357066</v>
      </c>
      <c r="W281">
        <v>7.3476302123507811</v>
      </c>
      <c r="X281">
        <v>0.29421171111864641</v>
      </c>
      <c r="Z281" t="s">
        <v>392</v>
      </c>
      <c r="AA281">
        <v>9937</v>
      </c>
      <c r="AB281" t="s">
        <v>672</v>
      </c>
      <c r="AC281" t="str">
        <f>HYPERLINK("plots/20251231000436_3FT6Y121H01_04823_B11P_N_UFLEX98_M5358A8BH101511/dpll_52046/txpa_55200.png","plot")</f>
        <v>plot</v>
      </c>
    </row>
    <row r="282" spans="1:29" x14ac:dyDescent="0.35">
      <c r="A282" s="2" t="s">
        <v>46</v>
      </c>
      <c r="B282">
        <v>52046</v>
      </c>
      <c r="C282" t="s">
        <v>51</v>
      </c>
      <c r="D282">
        <v>55201</v>
      </c>
      <c r="E282" t="s">
        <v>334</v>
      </c>
      <c r="F282">
        <v>8716</v>
      </c>
      <c r="G282">
        <v>0.45145299471952482</v>
      </c>
      <c r="H282">
        <v>0</v>
      </c>
      <c r="I282">
        <v>0</v>
      </c>
      <c r="J282">
        <v>0.34104689404981497</v>
      </c>
      <c r="K282">
        <v>2.63680580314698E-236</v>
      </c>
      <c r="L282">
        <v>4.3334215306175651E-236</v>
      </c>
      <c r="M282">
        <v>0.23318732298098169</v>
      </c>
      <c r="N282">
        <v>8.4636431379954714E-234</v>
      </c>
      <c r="O282">
        <v>1.375342009924264E-233</v>
      </c>
      <c r="P282">
        <v>0.20380980644122729</v>
      </c>
      <c r="Q282">
        <v>1.045887666056569</v>
      </c>
      <c r="R282">
        <v>2.5605838401876562</v>
      </c>
      <c r="S282">
        <v>0.27217831655496783</v>
      </c>
      <c r="T282">
        <v>0.20745792689410061</v>
      </c>
      <c r="U282">
        <v>4.4782817893529154</v>
      </c>
      <c r="V282">
        <v>0.1316732403778659</v>
      </c>
      <c r="W282">
        <v>7.2443635287976136</v>
      </c>
      <c r="X282">
        <v>0.30504929565584238</v>
      </c>
      <c r="Z282" t="s">
        <v>392</v>
      </c>
      <c r="AA282">
        <v>9937</v>
      </c>
      <c r="AB282" t="s">
        <v>673</v>
      </c>
      <c r="AC282" t="str">
        <f>HYPERLINK("plots/20251231000436_3FT6Y121H01_04823_B11P_N_UFLEX98_M5358A8BH101511/dpll_52046/txpa_55201.png","plot")</f>
        <v>plot</v>
      </c>
    </row>
    <row r="283" spans="1:29" x14ac:dyDescent="0.35">
      <c r="A283" s="2" t="s">
        <v>46</v>
      </c>
      <c r="B283">
        <v>52046</v>
      </c>
      <c r="C283" t="s">
        <v>51</v>
      </c>
      <c r="D283">
        <v>55202</v>
      </c>
      <c r="E283" t="s">
        <v>335</v>
      </c>
      <c r="F283">
        <v>8708</v>
      </c>
      <c r="G283">
        <v>0.45145783804004302</v>
      </c>
      <c r="H283">
        <v>0</v>
      </c>
      <c r="I283">
        <v>0</v>
      </c>
      <c r="J283">
        <v>0.33040828549359841</v>
      </c>
      <c r="K283">
        <v>7.4173455840306515E-221</v>
      </c>
      <c r="L283">
        <v>1.162471162628606E-220</v>
      </c>
      <c r="M283">
        <v>0.22705782909296421</v>
      </c>
      <c r="N283">
        <v>1.4089718833983029E-221</v>
      </c>
      <c r="O283">
        <v>2.2184743629904961E-221</v>
      </c>
      <c r="P283">
        <v>0.20381417952778971</v>
      </c>
      <c r="Q283">
        <v>1.180459694918143</v>
      </c>
      <c r="R283">
        <v>2.2416026310222681</v>
      </c>
      <c r="S283">
        <v>0.30631716795172231</v>
      </c>
      <c r="T283">
        <v>0.2365052720047551</v>
      </c>
      <c r="U283">
        <v>4.4786052898484154</v>
      </c>
      <c r="V283">
        <v>0.13129708700295009</v>
      </c>
      <c r="W283">
        <v>7.5284156651355083</v>
      </c>
      <c r="X283">
        <v>0.3433120575334791</v>
      </c>
      <c r="Z283" t="s">
        <v>392</v>
      </c>
      <c r="AA283">
        <v>9937</v>
      </c>
      <c r="AB283" t="s">
        <v>674</v>
      </c>
      <c r="AC283" t="str">
        <f>HYPERLINK("plots/20251231000436_3FT6Y121H01_04823_B11P_N_UFLEX98_M5358A8BH101511/dpll_52046/txpa_55202.png","plot")</f>
        <v>plot</v>
      </c>
    </row>
    <row r="284" spans="1:29" x14ac:dyDescent="0.35">
      <c r="A284" s="2" t="s">
        <v>46</v>
      </c>
      <c r="B284">
        <v>52046</v>
      </c>
      <c r="C284" t="s">
        <v>51</v>
      </c>
      <c r="D284">
        <v>55203</v>
      </c>
      <c r="E284" t="s">
        <v>336</v>
      </c>
      <c r="F284">
        <v>8682</v>
      </c>
      <c r="G284">
        <v>0.44277058760261062</v>
      </c>
      <c r="H284">
        <v>0</v>
      </c>
      <c r="I284">
        <v>0</v>
      </c>
      <c r="J284">
        <v>0.36238160324153851</v>
      </c>
      <c r="K284">
        <v>1.0565172016348661E-267</v>
      </c>
      <c r="L284">
        <v>1.9302854819058639E-267</v>
      </c>
      <c r="M284">
        <v>0.24953267862313061</v>
      </c>
      <c r="N284">
        <v>2.2253923387196499E-266</v>
      </c>
      <c r="O284">
        <v>4.05853926521893E-266</v>
      </c>
      <c r="P284">
        <v>0.196045793245961</v>
      </c>
      <c r="Q284">
        <v>1.131818412578133</v>
      </c>
      <c r="R284">
        <v>3.3308087827858199</v>
      </c>
      <c r="S284">
        <v>0.29698130881953672</v>
      </c>
      <c r="T284">
        <v>0.2167661904892535</v>
      </c>
      <c r="U284">
        <v>4.4798041343008519</v>
      </c>
      <c r="V284">
        <v>0.1295807479838092</v>
      </c>
      <c r="W284">
        <v>8.4011335867311701</v>
      </c>
      <c r="X284">
        <v>0.33123671849529462</v>
      </c>
      <c r="Z284" t="s">
        <v>392</v>
      </c>
      <c r="AA284">
        <v>9937</v>
      </c>
      <c r="AB284" t="s">
        <v>675</v>
      </c>
      <c r="AC284" t="str">
        <f>HYPERLINK("plots/20251231000436_3FT6Y121H01_04823_B11P_N_UFLEX98_M5358A8BH101511/dpll_52046/txpa_55203.png","plot")</f>
        <v>plot</v>
      </c>
    </row>
    <row r="285" spans="1:29" x14ac:dyDescent="0.35">
      <c r="A285" s="2" t="s">
        <v>46</v>
      </c>
      <c r="B285">
        <v>52046</v>
      </c>
      <c r="C285" t="s">
        <v>51</v>
      </c>
      <c r="D285">
        <v>55204</v>
      </c>
      <c r="E285" t="s">
        <v>337</v>
      </c>
      <c r="F285">
        <v>8705</v>
      </c>
      <c r="G285">
        <v>0.49055013657125501</v>
      </c>
      <c r="H285">
        <v>0</v>
      </c>
      <c r="I285">
        <v>0</v>
      </c>
      <c r="J285">
        <v>0.39541429063519079</v>
      </c>
      <c r="K285">
        <v>0</v>
      </c>
      <c r="L285">
        <v>0</v>
      </c>
      <c r="M285">
        <v>0.27163409386140103</v>
      </c>
      <c r="N285">
        <v>0</v>
      </c>
      <c r="O285">
        <v>0</v>
      </c>
      <c r="P285">
        <v>0.24063943649007691</v>
      </c>
      <c r="Q285">
        <v>1.1389191984035349</v>
      </c>
      <c r="R285">
        <v>2.989765910682002</v>
      </c>
      <c r="S285">
        <v>0.26534568309514228</v>
      </c>
      <c r="T285">
        <v>0.19582278353973381</v>
      </c>
      <c r="U285">
        <v>4.4787205985066052</v>
      </c>
      <c r="V285">
        <v>0.13116061392576719</v>
      </c>
      <c r="W285">
        <v>8.0906667846065474</v>
      </c>
      <c r="X285">
        <v>0.30451798937120861</v>
      </c>
      <c r="Z285" t="s">
        <v>392</v>
      </c>
      <c r="AA285">
        <v>9937</v>
      </c>
      <c r="AB285" t="s">
        <v>676</v>
      </c>
      <c r="AC285" t="str">
        <f>HYPERLINK("plots/20251231000436_3FT6Y121H01_04823_B11P_N_UFLEX98_M5358A8BH101511/dpll_52046/txpa_55204.png","plot")</f>
        <v>plot</v>
      </c>
    </row>
    <row r="286" spans="1:29" x14ac:dyDescent="0.35">
      <c r="A286" s="2" t="s">
        <v>46</v>
      </c>
      <c r="B286">
        <v>52046</v>
      </c>
      <c r="C286" t="s">
        <v>51</v>
      </c>
      <c r="D286">
        <v>55205</v>
      </c>
      <c r="E286" t="s">
        <v>338</v>
      </c>
      <c r="F286">
        <v>8716</v>
      </c>
      <c r="G286">
        <v>0.42727434642802259</v>
      </c>
      <c r="H286">
        <v>0</v>
      </c>
      <c r="I286">
        <v>0</v>
      </c>
      <c r="J286">
        <v>0.32500670219073913</v>
      </c>
      <c r="K286">
        <v>1.5184780943377369E-213</v>
      </c>
      <c r="L286">
        <v>2.332934526755251E-213</v>
      </c>
      <c r="M286">
        <v>0.22241907717772991</v>
      </c>
      <c r="N286">
        <v>6.7706117145679371E-213</v>
      </c>
      <c r="O286">
        <v>1.040212163419983E-212</v>
      </c>
      <c r="P286">
        <v>0.1825633671154939</v>
      </c>
      <c r="Q286">
        <v>1.1521721031609671</v>
      </c>
      <c r="R286">
        <v>3.0157408110022299</v>
      </c>
      <c r="S286">
        <v>0.32100381487219137</v>
      </c>
      <c r="T286">
        <v>0.24181583755998939</v>
      </c>
      <c r="U286">
        <v>4.4782817893529154</v>
      </c>
      <c r="V286">
        <v>0.1316732403778659</v>
      </c>
      <c r="W286">
        <v>8.1754921587884368</v>
      </c>
      <c r="X286">
        <v>0.35506516027575752</v>
      </c>
      <c r="Z286" t="s">
        <v>392</v>
      </c>
      <c r="AA286">
        <v>9937</v>
      </c>
      <c r="AB286" t="s">
        <v>677</v>
      </c>
      <c r="AC286" t="str">
        <f>HYPERLINK("plots/20251231000436_3FT6Y121H01_04823_B11P_N_UFLEX98_M5358A8BH101511/dpll_52046/txpa_55205.png","plot")</f>
        <v>plot</v>
      </c>
    </row>
    <row r="287" spans="1:29" x14ac:dyDescent="0.35">
      <c r="A287" s="2" t="s">
        <v>46</v>
      </c>
      <c r="B287">
        <v>52046</v>
      </c>
      <c r="C287" t="s">
        <v>51</v>
      </c>
      <c r="D287">
        <v>55206</v>
      </c>
      <c r="E287" t="s">
        <v>339</v>
      </c>
      <c r="F287">
        <v>8710</v>
      </c>
      <c r="G287">
        <v>0.48015358888327592</v>
      </c>
      <c r="H287">
        <v>0</v>
      </c>
      <c r="I287">
        <v>0</v>
      </c>
      <c r="J287">
        <v>0.3743393705051794</v>
      </c>
      <c r="K287">
        <v>7.5661435467726862E-288</v>
      </c>
      <c r="L287">
        <v>1.4613465821766669E-287</v>
      </c>
      <c r="M287">
        <v>0.25958338209593029</v>
      </c>
      <c r="N287">
        <v>5.1431119991469222E-289</v>
      </c>
      <c r="O287">
        <v>1.008726415306572E-288</v>
      </c>
      <c r="P287">
        <v>0.23054746891749001</v>
      </c>
      <c r="Q287">
        <v>1.233662719321484</v>
      </c>
      <c r="R287">
        <v>2.6703354974317088</v>
      </c>
      <c r="S287">
        <v>0.29606217207061208</v>
      </c>
      <c r="T287">
        <v>0.22786348988317801</v>
      </c>
      <c r="U287">
        <v>4.4785311024110213</v>
      </c>
      <c r="V287">
        <v>0.13137135383788259</v>
      </c>
      <c r="W287">
        <v>8.1953323557979321</v>
      </c>
      <c r="X287">
        <v>0.33753354211830211</v>
      </c>
      <c r="Z287" t="s">
        <v>392</v>
      </c>
      <c r="AA287">
        <v>9937</v>
      </c>
      <c r="AB287" t="s">
        <v>678</v>
      </c>
      <c r="AC287" t="str">
        <f>HYPERLINK("plots/20251231000436_3FT6Y121H01_04823_B11P_N_UFLEX98_M5358A8BH101511/dpll_52046/txpa_55206.png","plot")</f>
        <v>plot</v>
      </c>
    </row>
    <row r="288" spans="1:29" x14ac:dyDescent="0.35">
      <c r="A288" s="2" t="s">
        <v>46</v>
      </c>
      <c r="B288">
        <v>52046</v>
      </c>
      <c r="C288" t="s">
        <v>51</v>
      </c>
      <c r="D288">
        <v>55207</v>
      </c>
      <c r="E288" t="s">
        <v>340</v>
      </c>
      <c r="F288">
        <v>8716</v>
      </c>
      <c r="G288">
        <v>0.43465458491414538</v>
      </c>
      <c r="H288">
        <v>0</v>
      </c>
      <c r="I288">
        <v>0</v>
      </c>
      <c r="J288">
        <v>0.32081054800955838</v>
      </c>
      <c r="K288">
        <v>8.1623092857511717E-208</v>
      </c>
      <c r="L288">
        <v>1.2464731349023629E-207</v>
      </c>
      <c r="M288">
        <v>0.21917376550960471</v>
      </c>
      <c r="N288">
        <v>8.6590034080760874E-207</v>
      </c>
      <c r="O288">
        <v>1.312440875304806E-206</v>
      </c>
      <c r="P288">
        <v>0.18892460818688811</v>
      </c>
      <c r="Q288">
        <v>1.1558312827189869</v>
      </c>
      <c r="R288">
        <v>2.961205171276537</v>
      </c>
      <c r="S288">
        <v>0.31532136667097371</v>
      </c>
      <c r="T288">
        <v>0.23862919162536439</v>
      </c>
      <c r="U288">
        <v>4.4782817893529154</v>
      </c>
      <c r="V288">
        <v>0.1316732403778659</v>
      </c>
      <c r="W288">
        <v>8.1373433562413968</v>
      </c>
      <c r="X288">
        <v>0.35014481753545929</v>
      </c>
      <c r="Z288" t="s">
        <v>392</v>
      </c>
      <c r="AA288">
        <v>9937</v>
      </c>
      <c r="AB288" t="s">
        <v>679</v>
      </c>
      <c r="AC288" t="str">
        <f>HYPERLINK("plots/20251231000436_3FT6Y121H01_04823_B11P_N_UFLEX98_M5358A8BH101511/dpll_52046/txpa_55207.png","plot")</f>
        <v>plot</v>
      </c>
    </row>
    <row r="289" spans="1:29" x14ac:dyDescent="0.35">
      <c r="A289" s="2" t="s">
        <v>46</v>
      </c>
      <c r="B289">
        <v>52046</v>
      </c>
      <c r="C289" t="s">
        <v>51</v>
      </c>
      <c r="D289">
        <v>55208</v>
      </c>
      <c r="E289" t="s">
        <v>341</v>
      </c>
      <c r="F289">
        <v>8706</v>
      </c>
      <c r="G289">
        <v>0.50952146208784532</v>
      </c>
      <c r="H289">
        <v>0</v>
      </c>
      <c r="I289">
        <v>0</v>
      </c>
      <c r="J289">
        <v>0.3957586497435302</v>
      </c>
      <c r="K289">
        <v>0</v>
      </c>
      <c r="L289">
        <v>0</v>
      </c>
      <c r="M289">
        <v>0.2732018030850647</v>
      </c>
      <c r="N289">
        <v>0</v>
      </c>
      <c r="O289">
        <v>0</v>
      </c>
      <c r="P289">
        <v>0.25961212032813558</v>
      </c>
      <c r="Q289">
        <v>1.169608483758098</v>
      </c>
      <c r="R289">
        <v>2.9935209402353462</v>
      </c>
      <c r="S289">
        <v>0.25921493217044472</v>
      </c>
      <c r="T289">
        <v>0.19507508257438461</v>
      </c>
      <c r="U289">
        <v>4.4786684793246048</v>
      </c>
      <c r="V289">
        <v>0.13124334215215419</v>
      </c>
      <c r="W289">
        <v>8.2318095895933823</v>
      </c>
      <c r="X289">
        <v>0.30126959871115527</v>
      </c>
      <c r="Z289" t="s">
        <v>392</v>
      </c>
      <c r="AA289">
        <v>9937</v>
      </c>
      <c r="AB289" t="s">
        <v>680</v>
      </c>
      <c r="AC289" t="str">
        <f>HYPERLINK("plots/20251231000436_3FT6Y121H01_04823_B11P_N_UFLEX98_M5358A8BH101511/dpll_52046/txpa_55208.png","plot")</f>
        <v>plot</v>
      </c>
    </row>
    <row r="290" spans="1:29" x14ac:dyDescent="0.35">
      <c r="A290" s="2" t="s">
        <v>46</v>
      </c>
      <c r="B290">
        <v>52046</v>
      </c>
      <c r="C290" t="s">
        <v>51</v>
      </c>
      <c r="D290">
        <v>55209</v>
      </c>
      <c r="E290" t="s">
        <v>342</v>
      </c>
      <c r="F290">
        <v>8713</v>
      </c>
      <c r="G290">
        <v>0.47467944544680851</v>
      </c>
      <c r="H290">
        <v>0</v>
      </c>
      <c r="I290">
        <v>0</v>
      </c>
      <c r="J290">
        <v>0.35620524673698928</v>
      </c>
      <c r="K290">
        <v>5.2803536883611186E-259</v>
      </c>
      <c r="L290">
        <v>9.3442908202411416E-259</v>
      </c>
      <c r="M290">
        <v>0.24407046349626779</v>
      </c>
      <c r="N290">
        <v>7.6908579142660829E-256</v>
      </c>
      <c r="O290">
        <v>1.3539114453239251E-255</v>
      </c>
      <c r="P290">
        <v>0.2253205759296896</v>
      </c>
      <c r="Q290">
        <v>1.119527093849618</v>
      </c>
      <c r="R290">
        <v>3.12975351729242</v>
      </c>
      <c r="S290">
        <v>0.27304623110669451</v>
      </c>
      <c r="T290">
        <v>0.20580678492854351</v>
      </c>
      <c r="U290">
        <v>4.4783991572363142</v>
      </c>
      <c r="V290">
        <v>0.13154244723512071</v>
      </c>
      <c r="W290">
        <v>8.1434427108917706</v>
      </c>
      <c r="X290">
        <v>0.31024164851373082</v>
      </c>
      <c r="Z290" t="s">
        <v>392</v>
      </c>
      <c r="AA290">
        <v>9937</v>
      </c>
      <c r="AB290" t="s">
        <v>681</v>
      </c>
      <c r="AC290" t="str">
        <f>HYPERLINK("plots/20251231000436_3FT6Y121H01_04823_B11P_N_UFLEX98_M5358A8BH101511/dpll_52046/txpa_55209.png","plot")</f>
        <v>plot</v>
      </c>
    </row>
    <row r="291" spans="1:29" x14ac:dyDescent="0.35">
      <c r="A291" s="2" t="s">
        <v>46</v>
      </c>
      <c r="B291">
        <v>52046</v>
      </c>
      <c r="C291" t="s">
        <v>51</v>
      </c>
      <c r="D291">
        <v>55210</v>
      </c>
      <c r="E291" t="s">
        <v>343</v>
      </c>
      <c r="F291">
        <v>8692</v>
      </c>
      <c r="G291">
        <v>0.45744765608397459</v>
      </c>
      <c r="H291">
        <v>0</v>
      </c>
      <c r="I291">
        <v>0</v>
      </c>
      <c r="J291">
        <v>0.34621150719276611</v>
      </c>
      <c r="K291">
        <v>2.9170281940939048E-243</v>
      </c>
      <c r="L291">
        <v>4.8809679683353459E-243</v>
      </c>
      <c r="M291">
        <v>0.23915328932205071</v>
      </c>
      <c r="N291">
        <v>3.9111892990408994E-245</v>
      </c>
      <c r="O291">
        <v>6.6099099153791194E-245</v>
      </c>
      <c r="P291">
        <v>0.2092583580567223</v>
      </c>
      <c r="Q291">
        <v>1.1907963517507181</v>
      </c>
      <c r="R291">
        <v>3.077209029707626</v>
      </c>
      <c r="S291">
        <v>0.3016291004215727</v>
      </c>
      <c r="T291">
        <v>0.2295987211629778</v>
      </c>
      <c r="U291">
        <v>4.4793210440635072</v>
      </c>
      <c r="V291">
        <v>0.1303121255971503</v>
      </c>
      <c r="W291">
        <v>8.4111681872986654</v>
      </c>
      <c r="X291">
        <v>0.33921958433093818</v>
      </c>
      <c r="Z291" t="s">
        <v>392</v>
      </c>
      <c r="AA291">
        <v>9937</v>
      </c>
      <c r="AB291" t="s">
        <v>682</v>
      </c>
      <c r="AC291" t="str">
        <f>HYPERLINK("plots/20251231000436_3FT6Y121H01_04823_B11P_N_UFLEX98_M5358A8BH101511/dpll_52046/txpa_55210.png","plot")</f>
        <v>plot</v>
      </c>
    </row>
    <row r="292" spans="1:29" x14ac:dyDescent="0.35">
      <c r="A292" s="2" t="s">
        <v>46</v>
      </c>
      <c r="B292">
        <v>52046</v>
      </c>
      <c r="C292" t="s">
        <v>51</v>
      </c>
      <c r="D292">
        <v>55211</v>
      </c>
      <c r="E292" t="s">
        <v>344</v>
      </c>
      <c r="F292">
        <v>8660</v>
      </c>
      <c r="G292">
        <v>0.43830436947412887</v>
      </c>
      <c r="H292">
        <v>0</v>
      </c>
      <c r="I292">
        <v>0</v>
      </c>
      <c r="J292">
        <v>0.38429666691078918</v>
      </c>
      <c r="K292">
        <v>8.2908215272740706E-303</v>
      </c>
      <c r="L292">
        <v>1.708718095255266E-302</v>
      </c>
      <c r="M292">
        <v>0.26660336405232993</v>
      </c>
      <c r="N292">
        <v>5.3078645952095652E-303</v>
      </c>
      <c r="O292">
        <v>1.0895090484903841E-302</v>
      </c>
      <c r="P292">
        <v>0.1921107203001137</v>
      </c>
      <c r="Q292">
        <v>1.1547188538304769</v>
      </c>
      <c r="R292">
        <v>4.0499015554131237</v>
      </c>
      <c r="S292">
        <v>0.30403111847140679</v>
      </c>
      <c r="T292">
        <v>0.21677936514670529</v>
      </c>
      <c r="U292">
        <v>4.4805785714780608</v>
      </c>
      <c r="V292">
        <v>0.12840050565407821</v>
      </c>
      <c r="W292">
        <v>9.2237101079676673</v>
      </c>
      <c r="X292">
        <v>0.33827288762377339</v>
      </c>
      <c r="Z292" t="s">
        <v>392</v>
      </c>
      <c r="AA292">
        <v>9937</v>
      </c>
      <c r="AB292" t="s">
        <v>683</v>
      </c>
      <c r="AC292" t="str">
        <f>HYPERLINK("plots/20251231000436_3FT6Y121H01_04823_B11P_N_UFLEX98_M5358A8BH101511/dpll_52046/txpa_55211.png","plot")</f>
        <v>plot</v>
      </c>
    </row>
    <row r="293" spans="1:29" x14ac:dyDescent="0.35">
      <c r="A293" s="2" t="s">
        <v>46</v>
      </c>
      <c r="B293">
        <v>52046</v>
      </c>
      <c r="C293" t="s">
        <v>51</v>
      </c>
      <c r="D293">
        <v>55212</v>
      </c>
      <c r="E293" t="s">
        <v>345</v>
      </c>
      <c r="F293">
        <v>8702</v>
      </c>
      <c r="G293">
        <v>0.49692288617889963</v>
      </c>
      <c r="H293">
        <v>0</v>
      </c>
      <c r="I293">
        <v>0</v>
      </c>
      <c r="J293">
        <v>0.4109275409930101</v>
      </c>
      <c r="K293">
        <v>0</v>
      </c>
      <c r="L293">
        <v>0</v>
      </c>
      <c r="M293">
        <v>0.28404879541528422</v>
      </c>
      <c r="N293">
        <v>0</v>
      </c>
      <c r="O293">
        <v>0</v>
      </c>
      <c r="P293">
        <v>0.24693235480836759</v>
      </c>
      <c r="Q293">
        <v>1.2072006326493481</v>
      </c>
      <c r="R293">
        <v>3.5441849743101308</v>
      </c>
      <c r="S293">
        <v>0.27630653623504042</v>
      </c>
      <c r="T293">
        <v>0.19868632918877871</v>
      </c>
      <c r="U293">
        <v>4.4787784364513907</v>
      </c>
      <c r="V293">
        <v>0.1310716190001793</v>
      </c>
      <c r="W293">
        <v>8.9509691362905084</v>
      </c>
      <c r="X293">
        <v>0.31841910642534932</v>
      </c>
      <c r="Z293" t="s">
        <v>392</v>
      </c>
      <c r="AA293">
        <v>9937</v>
      </c>
      <c r="AB293" t="s">
        <v>684</v>
      </c>
      <c r="AC293" t="str">
        <f>HYPERLINK("plots/20251231000436_3FT6Y121H01_04823_B11P_N_UFLEX98_M5358A8BH101511/dpll_52046/txpa_55212.png","plot")</f>
        <v>plot</v>
      </c>
    </row>
    <row r="294" spans="1:29" x14ac:dyDescent="0.35">
      <c r="A294" s="2" t="s">
        <v>46</v>
      </c>
      <c r="B294">
        <v>52046</v>
      </c>
      <c r="C294" t="s">
        <v>51</v>
      </c>
      <c r="D294">
        <v>55213</v>
      </c>
      <c r="E294" t="s">
        <v>346</v>
      </c>
      <c r="F294">
        <v>8711</v>
      </c>
      <c r="G294">
        <v>0.45438208730199919</v>
      </c>
      <c r="H294">
        <v>0</v>
      </c>
      <c r="I294">
        <v>0</v>
      </c>
      <c r="J294">
        <v>0.35027498421983938</v>
      </c>
      <c r="K294">
        <v>6.9460168504686635E-250</v>
      </c>
      <c r="L294">
        <v>1.1837413590546599E-249</v>
      </c>
      <c r="M294">
        <v>0.24059503657756701</v>
      </c>
      <c r="N294">
        <v>1.3043657126662969E-248</v>
      </c>
      <c r="O294">
        <v>2.2266444994000419E-248</v>
      </c>
      <c r="P294">
        <v>0.20646308126092169</v>
      </c>
      <c r="Q294">
        <v>1.238552059416306</v>
      </c>
      <c r="R294">
        <v>3.4653697741406768</v>
      </c>
      <c r="S294">
        <v>0.31921222653364351</v>
      </c>
      <c r="T294">
        <v>0.2362462443068688</v>
      </c>
      <c r="U294">
        <v>4.4784690377683392</v>
      </c>
      <c r="V294">
        <v>0.13147034871222199</v>
      </c>
      <c r="W294">
        <v>9.0121868239008158</v>
      </c>
      <c r="X294">
        <v>0.35836111435765677</v>
      </c>
      <c r="Z294" t="s">
        <v>392</v>
      </c>
      <c r="AA294">
        <v>9937</v>
      </c>
      <c r="AB294" t="s">
        <v>685</v>
      </c>
      <c r="AC294" t="str">
        <f>HYPERLINK("plots/20251231000436_3FT6Y121H01_04823_B11P_N_UFLEX98_M5358A8BH101511/dpll_52046/txpa_55213.png","plot")</f>
        <v>plot</v>
      </c>
    </row>
    <row r="295" spans="1:29" x14ac:dyDescent="0.35">
      <c r="A295" s="2" t="s">
        <v>46</v>
      </c>
      <c r="B295">
        <v>52046</v>
      </c>
      <c r="C295" t="s">
        <v>51</v>
      </c>
      <c r="D295">
        <v>55214</v>
      </c>
      <c r="E295" t="s">
        <v>347</v>
      </c>
      <c r="F295">
        <v>8699</v>
      </c>
      <c r="G295">
        <v>0.48952728211025293</v>
      </c>
      <c r="H295">
        <v>0</v>
      </c>
      <c r="I295">
        <v>0</v>
      </c>
      <c r="J295">
        <v>0.39028506166982252</v>
      </c>
      <c r="K295">
        <v>0</v>
      </c>
      <c r="L295">
        <v>0</v>
      </c>
      <c r="M295">
        <v>0.2719299835095072</v>
      </c>
      <c r="N295">
        <v>0</v>
      </c>
      <c r="O295">
        <v>0</v>
      </c>
      <c r="P295">
        <v>0.23963695993025119</v>
      </c>
      <c r="Q295">
        <v>1.278035516344606</v>
      </c>
      <c r="R295">
        <v>3.3104399750006661</v>
      </c>
      <c r="S295">
        <v>0.29792058394151449</v>
      </c>
      <c r="T295">
        <v>0.2240905430668324</v>
      </c>
      <c r="U295">
        <v>4.4789170619611447</v>
      </c>
      <c r="V295">
        <v>0.1308726670177755</v>
      </c>
      <c r="W295">
        <v>9.0346550549488445</v>
      </c>
      <c r="X295">
        <v>0.34167639410501283</v>
      </c>
      <c r="Z295" t="s">
        <v>392</v>
      </c>
      <c r="AA295">
        <v>9937</v>
      </c>
      <c r="AB295" t="s">
        <v>686</v>
      </c>
      <c r="AC295" t="str">
        <f>HYPERLINK("plots/20251231000436_3FT6Y121H01_04823_B11P_N_UFLEX98_M5358A8BH101511/dpll_52046/txpa_55214.png","plot")</f>
        <v>plot</v>
      </c>
    </row>
    <row r="296" spans="1:29" x14ac:dyDescent="0.35">
      <c r="A296" s="2" t="s">
        <v>46</v>
      </c>
      <c r="B296">
        <v>52046</v>
      </c>
      <c r="C296" t="s">
        <v>51</v>
      </c>
      <c r="D296">
        <v>55215</v>
      </c>
      <c r="E296" t="s">
        <v>348</v>
      </c>
      <c r="F296">
        <v>8712</v>
      </c>
      <c r="G296">
        <v>0.46154069424259669</v>
      </c>
      <c r="H296">
        <v>0</v>
      </c>
      <c r="I296">
        <v>0</v>
      </c>
      <c r="J296">
        <v>0.3419267445102791</v>
      </c>
      <c r="K296">
        <v>1.741368645132839E-237</v>
      </c>
      <c r="L296">
        <v>2.871134644170241E-237</v>
      </c>
      <c r="M296">
        <v>0.23430453442577689</v>
      </c>
      <c r="N296">
        <v>6.4368024740780407E-236</v>
      </c>
      <c r="O296">
        <v>1.0612874323114041E-235</v>
      </c>
      <c r="P296">
        <v>0.2130198124419381</v>
      </c>
      <c r="Q296">
        <v>1.237963107943336</v>
      </c>
      <c r="R296">
        <v>3.4418295537685339</v>
      </c>
      <c r="S296">
        <v>0.31286501315007031</v>
      </c>
      <c r="T296">
        <v>0.23404611653421939</v>
      </c>
      <c r="U296">
        <v>4.4784406707988982</v>
      </c>
      <c r="V296">
        <v>0.13149290594402829</v>
      </c>
      <c r="W296">
        <v>8.9859738853305782</v>
      </c>
      <c r="X296">
        <v>0.35269558794182349</v>
      </c>
      <c r="Z296" t="s">
        <v>392</v>
      </c>
      <c r="AA296">
        <v>9937</v>
      </c>
      <c r="AB296" t="s">
        <v>687</v>
      </c>
      <c r="AC296" t="str">
        <f>HYPERLINK("plots/20251231000436_3FT6Y121H01_04823_B11P_N_UFLEX98_M5358A8BH101511/dpll_52046/txpa_55215.png","plot")</f>
        <v>plot</v>
      </c>
    </row>
    <row r="297" spans="1:29" x14ac:dyDescent="0.35">
      <c r="A297" s="2" t="s">
        <v>46</v>
      </c>
      <c r="B297">
        <v>52046</v>
      </c>
      <c r="C297" t="s">
        <v>51</v>
      </c>
      <c r="D297">
        <v>55216</v>
      </c>
      <c r="E297" t="s">
        <v>349</v>
      </c>
      <c r="F297">
        <v>8694</v>
      </c>
      <c r="G297">
        <v>0.50983187933607388</v>
      </c>
      <c r="H297">
        <v>0</v>
      </c>
      <c r="I297">
        <v>0</v>
      </c>
      <c r="J297">
        <v>0.41063531907370432</v>
      </c>
      <c r="K297">
        <v>0</v>
      </c>
      <c r="L297">
        <v>0</v>
      </c>
      <c r="M297">
        <v>0.28528330529416812</v>
      </c>
      <c r="N297">
        <v>0</v>
      </c>
      <c r="O297">
        <v>0</v>
      </c>
      <c r="P297">
        <v>0.25992854518735298</v>
      </c>
      <c r="Q297">
        <v>1.2162304148609879</v>
      </c>
      <c r="R297">
        <v>3.6139920350951642</v>
      </c>
      <c r="S297">
        <v>0.26804896698020508</v>
      </c>
      <c r="T297">
        <v>0.19614601270478729</v>
      </c>
      <c r="U297">
        <v>4.4791713111341149</v>
      </c>
      <c r="V297">
        <v>0.13062112427317171</v>
      </c>
      <c r="W297">
        <v>9.0616964170692444</v>
      </c>
      <c r="X297">
        <v>0.31160347283745748</v>
      </c>
      <c r="Z297" t="s">
        <v>392</v>
      </c>
      <c r="AA297">
        <v>9937</v>
      </c>
      <c r="AB297" t="s">
        <v>688</v>
      </c>
      <c r="AC297" t="str">
        <f>HYPERLINK("plots/20251231000436_3FT6Y121H01_04823_B11P_N_UFLEX98_M5358A8BH101511/dpll_52046/txpa_55216.png","plot")</f>
        <v>plot</v>
      </c>
    </row>
    <row r="298" spans="1:29" x14ac:dyDescent="0.35">
      <c r="A298" s="2" t="s">
        <v>46</v>
      </c>
      <c r="B298">
        <v>52046</v>
      </c>
      <c r="C298" t="s">
        <v>51</v>
      </c>
      <c r="D298">
        <v>55217</v>
      </c>
      <c r="E298" t="s">
        <v>350</v>
      </c>
      <c r="F298">
        <v>8706</v>
      </c>
      <c r="G298">
        <v>0.49325860031847629</v>
      </c>
      <c r="H298">
        <v>0</v>
      </c>
      <c r="I298">
        <v>0</v>
      </c>
      <c r="J298">
        <v>0.3748668986294636</v>
      </c>
      <c r="K298">
        <v>1.3821752038907871E-288</v>
      </c>
      <c r="L298">
        <v>2.6849150512361259E-288</v>
      </c>
      <c r="M298">
        <v>0.25773460339845933</v>
      </c>
      <c r="N298">
        <v>8.173757154887405E-285</v>
      </c>
      <c r="O298">
        <v>1.5817156021098909E-284</v>
      </c>
      <c r="P298">
        <v>0.24330404678814241</v>
      </c>
      <c r="Q298">
        <v>1.200794777986911</v>
      </c>
      <c r="R298">
        <v>3.614972625467717</v>
      </c>
      <c r="S298">
        <v>0.27783868129697809</v>
      </c>
      <c r="T298">
        <v>0.20520763647948381</v>
      </c>
      <c r="U298">
        <v>4.4786841843556173</v>
      </c>
      <c r="V298">
        <v>0.1312087574282943</v>
      </c>
      <c r="W298">
        <v>8.9929532062945086</v>
      </c>
      <c r="X298">
        <v>0.31941620611241328</v>
      </c>
      <c r="Z298" t="s">
        <v>392</v>
      </c>
      <c r="AA298">
        <v>9937</v>
      </c>
      <c r="AB298" t="s">
        <v>689</v>
      </c>
      <c r="AC298" t="str">
        <f>HYPERLINK("plots/20251231000436_3FT6Y121H01_04823_B11P_N_UFLEX98_M5358A8BH101511/dpll_52046/txpa_55217.png","plot")</f>
        <v>plot</v>
      </c>
    </row>
    <row r="299" spans="1:29" x14ac:dyDescent="0.35">
      <c r="A299" s="2" t="s">
        <v>46</v>
      </c>
      <c r="B299">
        <v>52046</v>
      </c>
      <c r="C299" t="s">
        <v>51</v>
      </c>
      <c r="D299">
        <v>55218</v>
      </c>
      <c r="E299" t="s">
        <v>351</v>
      </c>
      <c r="F299">
        <v>8679</v>
      </c>
      <c r="G299">
        <v>0.46445952520763351</v>
      </c>
      <c r="H299">
        <v>0</v>
      </c>
      <c r="I299">
        <v>0</v>
      </c>
      <c r="J299">
        <v>0.36516404021339027</v>
      </c>
      <c r="K299">
        <v>5.2042589315960809E-272</v>
      </c>
      <c r="L299">
        <v>9.5773476527013186E-272</v>
      </c>
      <c r="M299">
        <v>0.25409548248411251</v>
      </c>
      <c r="N299">
        <v>4.9007993034156173E-276</v>
      </c>
      <c r="O299">
        <v>9.1349457604107281E-276</v>
      </c>
      <c r="P299">
        <v>0.21572265055610029</v>
      </c>
      <c r="Q299">
        <v>1.227696716495734</v>
      </c>
      <c r="R299">
        <v>3.7397972333123888</v>
      </c>
      <c r="S299">
        <v>0.30302846639448783</v>
      </c>
      <c r="T299">
        <v>0.22567726316716821</v>
      </c>
      <c r="U299">
        <v>4.4799163208895028</v>
      </c>
      <c r="V299">
        <v>0.12945844690656511</v>
      </c>
      <c r="W299">
        <v>9.2397757906440816</v>
      </c>
      <c r="X299">
        <v>0.34219496331521287</v>
      </c>
      <c r="Z299" t="s">
        <v>392</v>
      </c>
      <c r="AA299">
        <v>9937</v>
      </c>
      <c r="AB299" t="s">
        <v>690</v>
      </c>
      <c r="AC299" t="str">
        <f>HYPERLINK("plots/20251231000436_3FT6Y121H01_04823_B11P_N_UFLEX98_M5358A8BH101511/dpll_52046/txpa_55218.png","plot")</f>
        <v>plot</v>
      </c>
    </row>
    <row r="300" spans="1:29" x14ac:dyDescent="0.35">
      <c r="A300" s="2" t="s">
        <v>46</v>
      </c>
      <c r="B300">
        <v>52046</v>
      </c>
      <c r="C300" t="s">
        <v>51</v>
      </c>
      <c r="D300">
        <v>55219</v>
      </c>
      <c r="E300" t="s">
        <v>352</v>
      </c>
      <c r="F300">
        <v>8642</v>
      </c>
      <c r="G300">
        <v>0.42942502152214762</v>
      </c>
      <c r="H300">
        <v>0</v>
      </c>
      <c r="I300">
        <v>0</v>
      </c>
      <c r="J300">
        <v>0.40018592016620852</v>
      </c>
      <c r="K300">
        <v>0</v>
      </c>
      <c r="L300">
        <v>0</v>
      </c>
      <c r="M300">
        <v>0.28001119312450329</v>
      </c>
      <c r="N300">
        <v>0</v>
      </c>
      <c r="O300">
        <v>0</v>
      </c>
      <c r="P300">
        <v>0.18440584910929689</v>
      </c>
      <c r="Q300">
        <v>1.203356887174126</v>
      </c>
      <c r="R300">
        <v>4.6070172661951077</v>
      </c>
      <c r="S300">
        <v>0.32176217093727472</v>
      </c>
      <c r="T300">
        <v>0.22490655450385841</v>
      </c>
      <c r="U300">
        <v>4.4813085735940756</v>
      </c>
      <c r="V300">
        <v>0.12714988121637211</v>
      </c>
      <c r="W300">
        <v>9.9996308017819953</v>
      </c>
      <c r="X300">
        <v>0.35630593839814712</v>
      </c>
      <c r="Z300" t="s">
        <v>392</v>
      </c>
      <c r="AA300">
        <v>9937</v>
      </c>
      <c r="AB300" t="s">
        <v>691</v>
      </c>
      <c r="AC300" t="str">
        <f>HYPERLINK("plots/20251231000436_3FT6Y121H01_04823_B11P_N_UFLEX98_M5358A8BH101511/dpll_52046/txpa_55219.png","plot")</f>
        <v>plot</v>
      </c>
    </row>
    <row r="301" spans="1:29" x14ac:dyDescent="0.35">
      <c r="A301" s="2" t="s">
        <v>46</v>
      </c>
      <c r="B301">
        <v>52046</v>
      </c>
      <c r="C301" t="s">
        <v>51</v>
      </c>
      <c r="D301">
        <v>55220</v>
      </c>
      <c r="E301" t="s">
        <v>353</v>
      </c>
      <c r="F301">
        <v>8686</v>
      </c>
      <c r="G301">
        <v>0.49218591895020147</v>
      </c>
      <c r="H301">
        <v>0</v>
      </c>
      <c r="I301">
        <v>0</v>
      </c>
      <c r="J301">
        <v>0.4272075689946363</v>
      </c>
      <c r="K301">
        <v>0</v>
      </c>
      <c r="L301">
        <v>0</v>
      </c>
      <c r="M301">
        <v>0.29807198950602048</v>
      </c>
      <c r="N301">
        <v>0</v>
      </c>
      <c r="O301">
        <v>0</v>
      </c>
      <c r="P301">
        <v>0.24224697881285431</v>
      </c>
      <c r="Q301">
        <v>1.2615515735959331</v>
      </c>
      <c r="R301">
        <v>4.1346949543055489</v>
      </c>
      <c r="S301">
        <v>0.290627667720673</v>
      </c>
      <c r="T301">
        <v>0.20356612636471641</v>
      </c>
      <c r="U301">
        <v>4.4793734898687552</v>
      </c>
      <c r="V301">
        <v>0.1302633655453623</v>
      </c>
      <c r="W301">
        <v>9.7856556291733821</v>
      </c>
      <c r="X301">
        <v>0.33388593102412811</v>
      </c>
      <c r="Z301" t="s">
        <v>392</v>
      </c>
      <c r="AA301">
        <v>9937</v>
      </c>
      <c r="AB301" t="s">
        <v>692</v>
      </c>
      <c r="AC301" t="str">
        <f>HYPERLINK("plots/20251231000436_3FT6Y121H01_04823_B11P_N_UFLEX98_M5358A8BH101511/dpll_52046/txpa_55220.png","plot")</f>
        <v>plot</v>
      </c>
    </row>
    <row r="302" spans="1:29" x14ac:dyDescent="0.35">
      <c r="A302" s="2" t="s">
        <v>46</v>
      </c>
      <c r="B302">
        <v>52046</v>
      </c>
      <c r="C302" t="s">
        <v>51</v>
      </c>
      <c r="D302">
        <v>55221</v>
      </c>
      <c r="E302" t="s">
        <v>354</v>
      </c>
      <c r="F302">
        <v>8699</v>
      </c>
      <c r="G302">
        <v>0.47475628223215188</v>
      </c>
      <c r="H302">
        <v>0</v>
      </c>
      <c r="I302">
        <v>0</v>
      </c>
      <c r="J302">
        <v>0.38296278578710269</v>
      </c>
      <c r="K302">
        <v>6.7946518963823585E-302</v>
      </c>
      <c r="L302">
        <v>1.3779554045863419E-301</v>
      </c>
      <c r="M302">
        <v>0.26536547379865399</v>
      </c>
      <c r="N302">
        <v>1.4742988981562449E-301</v>
      </c>
      <c r="O302">
        <v>3.0079257197795409E-301</v>
      </c>
      <c r="P302">
        <v>0.22539352751889469</v>
      </c>
      <c r="Q302">
        <v>1.327290375081531</v>
      </c>
      <c r="R302">
        <v>3.8688907938618611</v>
      </c>
      <c r="S302">
        <v>0.32213451270402288</v>
      </c>
      <c r="T302">
        <v>0.23146719898895121</v>
      </c>
      <c r="U302">
        <v>4.4789012155420158</v>
      </c>
      <c r="V302">
        <v>0.1309261612936661</v>
      </c>
      <c r="W302">
        <v>9.8136932681917468</v>
      </c>
      <c r="X302">
        <v>0.36603419530208431</v>
      </c>
      <c r="Z302" t="s">
        <v>392</v>
      </c>
      <c r="AA302">
        <v>9937</v>
      </c>
      <c r="AB302" t="s">
        <v>693</v>
      </c>
      <c r="AC302" t="str">
        <f>HYPERLINK("plots/20251231000436_3FT6Y121H01_04823_B11P_N_UFLEX98_M5358A8BH101511/dpll_52046/txpa_55221.png","plot")</f>
        <v>plot</v>
      </c>
    </row>
    <row r="303" spans="1:29" x14ac:dyDescent="0.35">
      <c r="A303" s="2" t="s">
        <v>46</v>
      </c>
      <c r="B303">
        <v>52046</v>
      </c>
      <c r="C303" t="s">
        <v>51</v>
      </c>
      <c r="D303">
        <v>55222</v>
      </c>
      <c r="E303" t="s">
        <v>355</v>
      </c>
      <c r="F303">
        <v>8689</v>
      </c>
      <c r="G303">
        <v>0.49464264018964538</v>
      </c>
      <c r="H303">
        <v>0</v>
      </c>
      <c r="I303">
        <v>0</v>
      </c>
      <c r="J303">
        <v>0.41234457023241772</v>
      </c>
      <c r="K303">
        <v>0</v>
      </c>
      <c r="L303">
        <v>0</v>
      </c>
      <c r="M303">
        <v>0.28936419560326171</v>
      </c>
      <c r="N303">
        <v>0</v>
      </c>
      <c r="O303">
        <v>0</v>
      </c>
      <c r="P303">
        <v>0.244671341493783</v>
      </c>
      <c r="Q303">
        <v>1.3405672696629629</v>
      </c>
      <c r="R303">
        <v>3.832198417926441</v>
      </c>
      <c r="S303">
        <v>0.30708409724572611</v>
      </c>
      <c r="T303">
        <v>0.22267539498609629</v>
      </c>
      <c r="U303">
        <v>4.4793266314880889</v>
      </c>
      <c r="V303">
        <v>0.13038189154005919</v>
      </c>
      <c r="W303">
        <v>9.8370370902290247</v>
      </c>
      <c r="X303">
        <v>0.3533575194575565</v>
      </c>
      <c r="Z303" t="s">
        <v>392</v>
      </c>
      <c r="AA303">
        <v>9937</v>
      </c>
      <c r="AB303" t="s">
        <v>694</v>
      </c>
      <c r="AC303" t="str">
        <f>HYPERLINK("plots/20251231000436_3FT6Y121H01_04823_B11P_N_UFLEX98_M5358A8BH101511/dpll_52046/txpa_55222.png","plot")</f>
        <v>plot</v>
      </c>
    </row>
    <row r="304" spans="1:29" x14ac:dyDescent="0.35">
      <c r="A304" s="2" t="s">
        <v>46</v>
      </c>
      <c r="B304">
        <v>52046</v>
      </c>
      <c r="C304" t="s">
        <v>51</v>
      </c>
      <c r="D304">
        <v>55223</v>
      </c>
      <c r="E304" t="s">
        <v>356</v>
      </c>
      <c r="F304">
        <v>8703</v>
      </c>
      <c r="G304">
        <v>0.48568170316598158</v>
      </c>
      <c r="H304">
        <v>0</v>
      </c>
      <c r="I304">
        <v>0</v>
      </c>
      <c r="J304">
        <v>0.37178584448947011</v>
      </c>
      <c r="K304">
        <v>1.964669468668741E-283</v>
      </c>
      <c r="L304">
        <v>3.730664496685587E-283</v>
      </c>
      <c r="M304">
        <v>0.25664435237532601</v>
      </c>
      <c r="N304">
        <v>2.4828512426502088E-282</v>
      </c>
      <c r="O304">
        <v>4.7412639548913593E-282</v>
      </c>
      <c r="P304">
        <v>0.23588671679020859</v>
      </c>
      <c r="Q304">
        <v>1.334923104941951</v>
      </c>
      <c r="R304">
        <v>3.8240475103036968</v>
      </c>
      <c r="S304">
        <v>0.31502155026395151</v>
      </c>
      <c r="T304">
        <v>0.23071990743147691</v>
      </c>
      <c r="U304">
        <v>4.4787390964035394</v>
      </c>
      <c r="V304">
        <v>0.13112389303929869</v>
      </c>
      <c r="W304">
        <v>9.802819811099619</v>
      </c>
      <c r="X304">
        <v>0.36040129427786322</v>
      </c>
      <c r="Z304" t="s">
        <v>392</v>
      </c>
      <c r="AA304">
        <v>9937</v>
      </c>
      <c r="AB304" t="s">
        <v>695</v>
      </c>
      <c r="AC304" t="str">
        <f>HYPERLINK("plots/20251231000436_3FT6Y121H01_04823_B11P_N_UFLEX98_M5358A8BH101511/dpll_52046/txpa_55223.png","plot")</f>
        <v>plot</v>
      </c>
    </row>
    <row r="305" spans="1:29" x14ac:dyDescent="0.35">
      <c r="A305" s="2" t="s">
        <v>46</v>
      </c>
      <c r="B305">
        <v>52046</v>
      </c>
      <c r="C305" t="s">
        <v>51</v>
      </c>
      <c r="D305">
        <v>55224</v>
      </c>
      <c r="E305" t="s">
        <v>357</v>
      </c>
      <c r="F305">
        <v>8689</v>
      </c>
      <c r="G305">
        <v>0.50848007954308705</v>
      </c>
      <c r="H305">
        <v>0</v>
      </c>
      <c r="I305">
        <v>0</v>
      </c>
      <c r="J305">
        <v>0.42827358448181502</v>
      </c>
      <c r="K305">
        <v>0</v>
      </c>
      <c r="L305">
        <v>0</v>
      </c>
      <c r="M305">
        <v>0.30032646493619047</v>
      </c>
      <c r="N305">
        <v>0</v>
      </c>
      <c r="O305">
        <v>0</v>
      </c>
      <c r="P305">
        <v>0.25855199129214412</v>
      </c>
      <c r="Q305">
        <v>1.3036835148183701</v>
      </c>
      <c r="R305">
        <v>4.0088085128649071</v>
      </c>
      <c r="S305">
        <v>0.28754755844336299</v>
      </c>
      <c r="T305">
        <v>0.20330093628999851</v>
      </c>
      <c r="U305">
        <v>4.4794139630567376</v>
      </c>
      <c r="V305">
        <v>0.13025550736773139</v>
      </c>
      <c r="W305">
        <v>9.8485466525491994</v>
      </c>
      <c r="X305">
        <v>0.33395990226835381</v>
      </c>
      <c r="Z305" t="s">
        <v>392</v>
      </c>
      <c r="AA305">
        <v>9937</v>
      </c>
      <c r="AB305" t="s">
        <v>696</v>
      </c>
      <c r="AC305" t="str">
        <f>HYPERLINK("plots/20251231000436_3FT6Y121H01_04823_B11P_N_UFLEX98_M5358A8BH101511/dpll_52046/txpa_55224.png","plot")</f>
        <v>plot</v>
      </c>
    </row>
    <row r="306" spans="1:29" x14ac:dyDescent="0.35">
      <c r="A306" s="2" t="s">
        <v>46</v>
      </c>
      <c r="B306">
        <v>52046</v>
      </c>
      <c r="C306" t="s">
        <v>51</v>
      </c>
      <c r="D306">
        <v>55225</v>
      </c>
      <c r="E306" t="s">
        <v>358</v>
      </c>
      <c r="F306">
        <v>8695</v>
      </c>
      <c r="G306">
        <v>0.50457888543709961</v>
      </c>
      <c r="H306">
        <v>0</v>
      </c>
      <c r="I306">
        <v>0</v>
      </c>
      <c r="J306">
        <v>0.39924037249090832</v>
      </c>
      <c r="K306">
        <v>0</v>
      </c>
      <c r="L306">
        <v>0</v>
      </c>
      <c r="M306">
        <v>0.27643549969078429</v>
      </c>
      <c r="N306">
        <v>0</v>
      </c>
      <c r="O306">
        <v>0</v>
      </c>
      <c r="P306">
        <v>0.25459985162894572</v>
      </c>
      <c r="Q306">
        <v>1.2931351315057531</v>
      </c>
      <c r="R306">
        <v>4.0171310231605482</v>
      </c>
      <c r="S306">
        <v>0.28903774222483047</v>
      </c>
      <c r="T306">
        <v>0.2070529517059638</v>
      </c>
      <c r="U306">
        <v>4.4791428803910289</v>
      </c>
      <c r="V306">
        <v>0.1306381303881691</v>
      </c>
      <c r="W306">
        <v>9.8092680408280604</v>
      </c>
      <c r="X306">
        <v>0.33479949477638199</v>
      </c>
      <c r="Z306" t="s">
        <v>392</v>
      </c>
      <c r="AA306">
        <v>9937</v>
      </c>
      <c r="AB306" t="s">
        <v>697</v>
      </c>
      <c r="AC306" t="str">
        <f>HYPERLINK("plots/20251231000436_3FT6Y121H01_04823_B11P_N_UFLEX98_M5358A8BH101511/dpll_52046/txpa_55225.png","plot")</f>
        <v>plot</v>
      </c>
    </row>
    <row r="307" spans="1:29" x14ac:dyDescent="0.35">
      <c r="A307" s="2" t="s">
        <v>46</v>
      </c>
      <c r="B307">
        <v>52046</v>
      </c>
      <c r="C307" t="s">
        <v>51</v>
      </c>
      <c r="D307">
        <v>55226</v>
      </c>
      <c r="E307" t="s">
        <v>359</v>
      </c>
      <c r="F307">
        <v>8663</v>
      </c>
      <c r="G307">
        <v>0.46064421839703051</v>
      </c>
      <c r="H307">
        <v>0</v>
      </c>
      <c r="I307">
        <v>0</v>
      </c>
      <c r="J307">
        <v>0.38416072623129721</v>
      </c>
      <c r="K307">
        <v>1.109362166655277E-302</v>
      </c>
      <c r="L307">
        <v>2.267929913283168E-302</v>
      </c>
      <c r="M307">
        <v>0.26889234471651391</v>
      </c>
      <c r="N307">
        <v>2.6957995742909871E-308</v>
      </c>
      <c r="O307">
        <v>5.6595046963376001E-308</v>
      </c>
      <c r="P307">
        <v>0.2121930959426111</v>
      </c>
      <c r="Q307">
        <v>1.2706755483825249</v>
      </c>
      <c r="R307">
        <v>4.3377235053939618</v>
      </c>
      <c r="S307">
        <v>0.31310574305550659</v>
      </c>
      <c r="T307">
        <v>0.2271114600892403</v>
      </c>
      <c r="U307">
        <v>4.4808041529493252</v>
      </c>
      <c r="V307">
        <v>0.12789016911404119</v>
      </c>
      <c r="W307">
        <v>10.03137177963754</v>
      </c>
      <c r="X307">
        <v>0.35278183092629839</v>
      </c>
      <c r="Z307" t="s">
        <v>392</v>
      </c>
      <c r="AA307">
        <v>9937</v>
      </c>
      <c r="AB307" t="s">
        <v>698</v>
      </c>
      <c r="AC307" t="str">
        <f>HYPERLINK("plots/20251231000436_3FT6Y121H01_04823_B11P_N_UFLEX98_M5358A8BH101511/dpll_52046/txpa_55226.png","plot")</f>
        <v>plot</v>
      </c>
    </row>
    <row r="308" spans="1:29" x14ac:dyDescent="0.35">
      <c r="A308" s="2" t="s">
        <v>46</v>
      </c>
      <c r="B308">
        <v>52046</v>
      </c>
      <c r="C308" t="s">
        <v>51</v>
      </c>
      <c r="D308">
        <v>55227</v>
      </c>
      <c r="E308" t="s">
        <v>360</v>
      </c>
      <c r="F308">
        <v>8640</v>
      </c>
      <c r="G308">
        <v>0.42742876129753171</v>
      </c>
      <c r="H308">
        <v>0</v>
      </c>
      <c r="I308">
        <v>0</v>
      </c>
      <c r="J308">
        <v>0.40316955254788178</v>
      </c>
      <c r="K308">
        <v>0</v>
      </c>
      <c r="L308">
        <v>0</v>
      </c>
      <c r="M308">
        <v>0.2829110359783748</v>
      </c>
      <c r="N308">
        <v>0</v>
      </c>
      <c r="O308">
        <v>0</v>
      </c>
      <c r="P308">
        <v>0.18269534598434231</v>
      </c>
      <c r="Q308">
        <v>1.2534198255188911</v>
      </c>
      <c r="R308">
        <v>4.7248408019392469</v>
      </c>
      <c r="S308">
        <v>0.33657815561240778</v>
      </c>
      <c r="T308">
        <v>0.2343870113822254</v>
      </c>
      <c r="U308">
        <v>4.4814134939814814</v>
      </c>
      <c r="V308">
        <v>0.12696565482585531</v>
      </c>
      <c r="W308">
        <v>10.34193332164352</v>
      </c>
      <c r="X308">
        <v>0.37232232205342303</v>
      </c>
      <c r="Z308" t="s">
        <v>392</v>
      </c>
      <c r="AA308">
        <v>9937</v>
      </c>
      <c r="AB308" t="s">
        <v>699</v>
      </c>
      <c r="AC308" t="str">
        <f>HYPERLINK("plots/20251231000436_3FT6Y121H01_04823_B11P_N_UFLEX98_M5358A8BH101511/dpll_52046/txpa_55227.png","plot")</f>
        <v>plot</v>
      </c>
    </row>
    <row r="309" spans="1:29" x14ac:dyDescent="0.35">
      <c r="A309" s="2" t="s">
        <v>46</v>
      </c>
      <c r="B309">
        <v>52046</v>
      </c>
      <c r="C309" t="s">
        <v>51</v>
      </c>
      <c r="D309">
        <v>55228</v>
      </c>
      <c r="E309" t="s">
        <v>361</v>
      </c>
      <c r="F309">
        <v>8679</v>
      </c>
      <c r="G309">
        <v>0.49067751248904878</v>
      </c>
      <c r="H309">
        <v>0</v>
      </c>
      <c r="I309">
        <v>0</v>
      </c>
      <c r="J309">
        <v>0.43587341750718789</v>
      </c>
      <c r="K309">
        <v>0</v>
      </c>
      <c r="L309">
        <v>0</v>
      </c>
      <c r="M309">
        <v>0.30591463168595168</v>
      </c>
      <c r="N309">
        <v>0</v>
      </c>
      <c r="O309">
        <v>0</v>
      </c>
      <c r="P309">
        <v>0.24076442126244069</v>
      </c>
      <c r="Q309">
        <v>1.303903969200962</v>
      </c>
      <c r="R309">
        <v>4.3252962200135983</v>
      </c>
      <c r="S309">
        <v>0.30087639920721881</v>
      </c>
      <c r="T309">
        <v>0.20822400260386609</v>
      </c>
      <c r="U309">
        <v>4.4795845663094829</v>
      </c>
      <c r="V309">
        <v>0.1299497403447186</v>
      </c>
      <c r="W309">
        <v>10.1662443163959</v>
      </c>
      <c r="X309">
        <v>0.34532249373440482</v>
      </c>
      <c r="Z309" t="s">
        <v>392</v>
      </c>
      <c r="AA309">
        <v>9937</v>
      </c>
      <c r="AB309" t="s">
        <v>700</v>
      </c>
      <c r="AC309" t="str">
        <f>HYPERLINK("plots/20251231000436_3FT6Y121H01_04823_B11P_N_UFLEX98_M5358A8BH101511/dpll_52046/txpa_55228.png","plot")</f>
        <v>plot</v>
      </c>
    </row>
    <row r="310" spans="1:29" x14ac:dyDescent="0.35">
      <c r="A310" s="2" t="s">
        <v>46</v>
      </c>
      <c r="B310">
        <v>52046</v>
      </c>
      <c r="C310" t="s">
        <v>51</v>
      </c>
      <c r="D310">
        <v>55229</v>
      </c>
      <c r="E310" t="s">
        <v>362</v>
      </c>
      <c r="F310">
        <v>8688</v>
      </c>
      <c r="G310">
        <v>0.4802627308621279</v>
      </c>
      <c r="H310">
        <v>0</v>
      </c>
      <c r="I310">
        <v>0</v>
      </c>
      <c r="J310">
        <v>0.39944188617643911</v>
      </c>
      <c r="K310">
        <v>0</v>
      </c>
      <c r="L310">
        <v>0</v>
      </c>
      <c r="M310">
        <v>0.27818851732082028</v>
      </c>
      <c r="N310">
        <v>0</v>
      </c>
      <c r="O310">
        <v>0</v>
      </c>
      <c r="P310">
        <v>0.2306522906551487</v>
      </c>
      <c r="Q310">
        <v>1.3686167799722351</v>
      </c>
      <c r="R310">
        <v>4.0458443237237827</v>
      </c>
      <c r="S310">
        <v>0.32607723142053469</v>
      </c>
      <c r="T310">
        <v>0.23046699545483221</v>
      </c>
      <c r="U310">
        <v>4.4792475261279927</v>
      </c>
      <c r="V310">
        <v>0.13046113827175501</v>
      </c>
      <c r="W310">
        <v>10.176217649631679</v>
      </c>
      <c r="X310">
        <v>0.37177838607730679</v>
      </c>
      <c r="Z310" t="s">
        <v>392</v>
      </c>
      <c r="AA310">
        <v>9937</v>
      </c>
      <c r="AB310" t="s">
        <v>701</v>
      </c>
      <c r="AC310" t="str">
        <f>HYPERLINK("plots/20251231000436_3FT6Y121H01_04823_B11P_N_UFLEX98_M5358A8BH101511/dpll_52046/txpa_55229.png","plot")</f>
        <v>plot</v>
      </c>
    </row>
    <row r="311" spans="1:29" x14ac:dyDescent="0.35">
      <c r="A311" s="2" t="s">
        <v>46</v>
      </c>
      <c r="B311">
        <v>52046</v>
      </c>
      <c r="C311" t="s">
        <v>51</v>
      </c>
      <c r="D311">
        <v>55230</v>
      </c>
      <c r="E311" t="s">
        <v>363</v>
      </c>
      <c r="F311">
        <v>8684</v>
      </c>
      <c r="G311">
        <v>0.49633557631931458</v>
      </c>
      <c r="H311">
        <v>0</v>
      </c>
      <c r="I311">
        <v>0</v>
      </c>
      <c r="J311">
        <v>0.42428500155346122</v>
      </c>
      <c r="K311">
        <v>0</v>
      </c>
      <c r="L311">
        <v>0</v>
      </c>
      <c r="M311">
        <v>0.29897151528842719</v>
      </c>
      <c r="N311">
        <v>0</v>
      </c>
      <c r="O311">
        <v>0</v>
      </c>
      <c r="P311">
        <v>0.24634900432022611</v>
      </c>
      <c r="Q311">
        <v>1.3839390614786939</v>
      </c>
      <c r="R311">
        <v>3.9996493021728048</v>
      </c>
      <c r="S311">
        <v>0.31494825808289312</v>
      </c>
      <c r="T311">
        <v>0.2238783671633009</v>
      </c>
      <c r="U311">
        <v>4.4795047817825884</v>
      </c>
      <c r="V311">
        <v>0.1301180413271448</v>
      </c>
      <c r="W311">
        <v>10.199010945762319</v>
      </c>
      <c r="X311">
        <v>0.3628098580624094</v>
      </c>
      <c r="Z311" t="s">
        <v>392</v>
      </c>
      <c r="AA311">
        <v>9937</v>
      </c>
      <c r="AB311" t="s">
        <v>702</v>
      </c>
      <c r="AC311" t="str">
        <f>HYPERLINK("plots/20251231000436_3FT6Y121H01_04823_B11P_N_UFLEX98_M5358A8BH101511/dpll_52046/txpa_55230.png","plot")</f>
        <v>plot</v>
      </c>
    </row>
    <row r="312" spans="1:29" x14ac:dyDescent="0.35">
      <c r="A312" s="2" t="s">
        <v>46</v>
      </c>
      <c r="B312">
        <v>52046</v>
      </c>
      <c r="C312" t="s">
        <v>51</v>
      </c>
      <c r="D312">
        <v>55231</v>
      </c>
      <c r="E312" t="s">
        <v>364</v>
      </c>
      <c r="F312">
        <v>8692</v>
      </c>
      <c r="G312">
        <v>0.48935861744330139</v>
      </c>
      <c r="H312">
        <v>0</v>
      </c>
      <c r="I312">
        <v>0</v>
      </c>
      <c r="J312">
        <v>0.38725168322138631</v>
      </c>
      <c r="K312">
        <v>0</v>
      </c>
      <c r="L312">
        <v>0</v>
      </c>
      <c r="M312">
        <v>0.26868460673281369</v>
      </c>
      <c r="N312">
        <v>0</v>
      </c>
      <c r="O312">
        <v>0</v>
      </c>
      <c r="P312">
        <v>0.23947185646601951</v>
      </c>
      <c r="Q312">
        <v>1.3668157765935081</v>
      </c>
      <c r="R312">
        <v>4.0518241230014658</v>
      </c>
      <c r="S312">
        <v>0.3180664174483474</v>
      </c>
      <c r="T312">
        <v>0.22985641923178279</v>
      </c>
      <c r="U312">
        <v>4.4791863277726636</v>
      </c>
      <c r="V312">
        <v>0.1305877423250475</v>
      </c>
      <c r="W312">
        <v>10.174046662103081</v>
      </c>
      <c r="X312">
        <v>0.3647414801278801</v>
      </c>
      <c r="Z312" t="s">
        <v>392</v>
      </c>
      <c r="AA312">
        <v>9937</v>
      </c>
      <c r="AB312" t="s">
        <v>703</v>
      </c>
      <c r="AC312" t="str">
        <f>HYPERLINK("plots/20251231000436_3FT6Y121H01_04823_B11P_N_UFLEX98_M5358A8BH101511/dpll_52046/txpa_55231.png","plot")</f>
        <v>plot</v>
      </c>
    </row>
    <row r="313" spans="1:29" x14ac:dyDescent="0.35">
      <c r="A313" s="2" t="s">
        <v>46</v>
      </c>
      <c r="B313">
        <v>52046</v>
      </c>
      <c r="C313" t="s">
        <v>51</v>
      </c>
      <c r="D313">
        <v>55232</v>
      </c>
      <c r="E313" t="s">
        <v>365</v>
      </c>
      <c r="F313">
        <v>8687</v>
      </c>
      <c r="G313">
        <v>0.50612314273739689</v>
      </c>
      <c r="H313">
        <v>0</v>
      </c>
      <c r="I313">
        <v>0</v>
      </c>
      <c r="J313">
        <v>0.43471136856797471</v>
      </c>
      <c r="K313">
        <v>0</v>
      </c>
      <c r="L313">
        <v>0</v>
      </c>
      <c r="M313">
        <v>0.3062200483903188</v>
      </c>
      <c r="N313">
        <v>0</v>
      </c>
      <c r="O313">
        <v>0</v>
      </c>
      <c r="P313">
        <v>0.25616063561437941</v>
      </c>
      <c r="Q313">
        <v>1.3579005406701661</v>
      </c>
      <c r="R313">
        <v>4.1160963215319706</v>
      </c>
      <c r="S313">
        <v>0.30108000998129208</v>
      </c>
      <c r="T313">
        <v>0.21015402903051711</v>
      </c>
      <c r="U313">
        <v>4.4795047911822268</v>
      </c>
      <c r="V313">
        <v>0.13012345199525541</v>
      </c>
      <c r="W313">
        <v>10.19881829941292</v>
      </c>
      <c r="X313">
        <v>0.34911406117997712</v>
      </c>
      <c r="Z313" t="s">
        <v>392</v>
      </c>
      <c r="AA313">
        <v>9937</v>
      </c>
      <c r="AB313" t="s">
        <v>704</v>
      </c>
      <c r="AC313" t="str">
        <f>HYPERLINK("plots/20251231000436_3FT6Y121H01_04823_B11P_N_UFLEX98_M5358A8BH101511/dpll_52046/txpa_55232.png","plot")</f>
        <v>plot</v>
      </c>
    </row>
    <row r="314" spans="1:29" x14ac:dyDescent="0.35">
      <c r="A314" s="2" t="s">
        <v>46</v>
      </c>
      <c r="B314">
        <v>52046</v>
      </c>
      <c r="C314" t="s">
        <v>51</v>
      </c>
      <c r="D314">
        <v>55233</v>
      </c>
      <c r="E314" t="s">
        <v>366</v>
      </c>
      <c r="F314">
        <v>8686</v>
      </c>
      <c r="G314">
        <v>0.50395019784583517</v>
      </c>
      <c r="H314">
        <v>0</v>
      </c>
      <c r="I314">
        <v>0</v>
      </c>
      <c r="J314">
        <v>0.41131675664896711</v>
      </c>
      <c r="K314">
        <v>0</v>
      </c>
      <c r="L314">
        <v>0</v>
      </c>
      <c r="M314">
        <v>0.2861637479517859</v>
      </c>
      <c r="N314">
        <v>0</v>
      </c>
      <c r="O314">
        <v>0</v>
      </c>
      <c r="P314">
        <v>0.25396580190885643</v>
      </c>
      <c r="Q314">
        <v>1.3362473560337511</v>
      </c>
      <c r="R314">
        <v>4.1924848314070147</v>
      </c>
      <c r="S314">
        <v>0.29788237826213859</v>
      </c>
      <c r="T314">
        <v>0.2096823740762018</v>
      </c>
      <c r="U314">
        <v>4.4795453448077369</v>
      </c>
      <c r="V314">
        <v>0.13007421297663191</v>
      </c>
      <c r="W314">
        <v>10.17826545463965</v>
      </c>
      <c r="X314">
        <v>0.34489781712788731</v>
      </c>
      <c r="Z314" t="s">
        <v>392</v>
      </c>
      <c r="AA314">
        <v>9937</v>
      </c>
      <c r="AB314" t="s">
        <v>705</v>
      </c>
      <c r="AC314" t="str">
        <f>HYPERLINK("plots/20251231000436_3FT6Y121H01_04823_B11P_N_UFLEX98_M5358A8BH101511/dpll_52046/txpa_55233.png","plot")</f>
        <v>plot</v>
      </c>
    </row>
    <row r="315" spans="1:29" x14ac:dyDescent="0.35">
      <c r="A315" s="2" t="s">
        <v>46</v>
      </c>
      <c r="B315">
        <v>52046</v>
      </c>
      <c r="C315" t="s">
        <v>51</v>
      </c>
      <c r="D315">
        <v>55234</v>
      </c>
      <c r="E315" t="s">
        <v>367</v>
      </c>
      <c r="F315">
        <v>8663</v>
      </c>
      <c r="G315">
        <v>0.46444062814574327</v>
      </c>
      <c r="H315">
        <v>0</v>
      </c>
      <c r="I315">
        <v>0</v>
      </c>
      <c r="J315">
        <v>0.3924464319455781</v>
      </c>
      <c r="K315">
        <v>0</v>
      </c>
      <c r="L315">
        <v>0</v>
      </c>
      <c r="M315">
        <v>0.27514406431841282</v>
      </c>
      <c r="N315">
        <v>0</v>
      </c>
      <c r="O315">
        <v>0</v>
      </c>
      <c r="P315">
        <v>0.21570509707241259</v>
      </c>
      <c r="Q315">
        <v>1.331787158831194</v>
      </c>
      <c r="R315">
        <v>4.4165413238382856</v>
      </c>
      <c r="S315">
        <v>0.32475542134714902</v>
      </c>
      <c r="T315">
        <v>0.23320655807092849</v>
      </c>
      <c r="U315">
        <v>4.4808041529493252</v>
      </c>
      <c r="V315">
        <v>0.12789016911404119</v>
      </c>
      <c r="W315">
        <v>10.384018755973679</v>
      </c>
      <c r="X315">
        <v>0.36672606711181599</v>
      </c>
      <c r="Z315" t="s">
        <v>392</v>
      </c>
      <c r="AA315">
        <v>9937</v>
      </c>
      <c r="AB315" t="s">
        <v>706</v>
      </c>
      <c r="AC315" t="str">
        <f>HYPERLINK("plots/20251231000436_3FT6Y121H01_04823_B11P_N_UFLEX98_M5358A8BH101511/dpll_52046/txpa_55234.png","plot")</f>
        <v>plot</v>
      </c>
    </row>
    <row r="316" spans="1:29" x14ac:dyDescent="0.35">
      <c r="A316" s="2" t="s">
        <v>46</v>
      </c>
      <c r="B316">
        <v>52046</v>
      </c>
      <c r="C316" t="s">
        <v>51</v>
      </c>
      <c r="D316">
        <v>55235</v>
      </c>
      <c r="E316" t="s">
        <v>368</v>
      </c>
      <c r="F316">
        <v>8658</v>
      </c>
      <c r="G316">
        <v>0.44346473130258512</v>
      </c>
      <c r="H316">
        <v>0</v>
      </c>
      <c r="I316">
        <v>0</v>
      </c>
      <c r="J316">
        <v>0.40589768367597923</v>
      </c>
      <c r="K316">
        <v>0</v>
      </c>
      <c r="L316">
        <v>0</v>
      </c>
      <c r="M316">
        <v>0.28555969767102451</v>
      </c>
      <c r="N316">
        <v>0</v>
      </c>
      <c r="O316">
        <v>0</v>
      </c>
      <c r="P316">
        <v>0.19666096790927401</v>
      </c>
      <c r="Q316">
        <v>1.3794748828773249</v>
      </c>
      <c r="R316">
        <v>4.4616073917457379</v>
      </c>
      <c r="S316">
        <v>0.35786056374484082</v>
      </c>
      <c r="T316">
        <v>0.24914055432649329</v>
      </c>
      <c r="U316">
        <v>4.480565102679603</v>
      </c>
      <c r="V316">
        <v>0.12836149842391459</v>
      </c>
      <c r="W316">
        <v>10.64243441198891</v>
      </c>
      <c r="X316">
        <v>0.39929097063520058</v>
      </c>
      <c r="Z316" t="s">
        <v>392</v>
      </c>
      <c r="AA316">
        <v>9937</v>
      </c>
      <c r="AB316" t="s">
        <v>707</v>
      </c>
      <c r="AC316" t="str">
        <f>HYPERLINK("plots/20251231000436_3FT6Y121H01_04823_B11P_N_UFLEX98_M5358A8BH101511/dpll_52046/txpa_55235.png","plot")</f>
        <v>plot</v>
      </c>
    </row>
    <row r="317" spans="1:29" x14ac:dyDescent="0.35">
      <c r="A317" s="2" t="s">
        <v>46</v>
      </c>
      <c r="B317">
        <v>52046</v>
      </c>
      <c r="C317" t="s">
        <v>51</v>
      </c>
      <c r="D317">
        <v>55236</v>
      </c>
      <c r="E317" t="s">
        <v>369</v>
      </c>
      <c r="F317">
        <v>8675</v>
      </c>
      <c r="G317">
        <v>0.48883391461592479</v>
      </c>
      <c r="H317">
        <v>0</v>
      </c>
      <c r="I317">
        <v>0</v>
      </c>
      <c r="J317">
        <v>0.44338521278355247</v>
      </c>
      <c r="K317">
        <v>0</v>
      </c>
      <c r="L317">
        <v>0</v>
      </c>
      <c r="M317">
        <v>0.31302201886536252</v>
      </c>
      <c r="N317">
        <v>0</v>
      </c>
      <c r="O317">
        <v>0</v>
      </c>
      <c r="P317">
        <v>0.23895859607872921</v>
      </c>
      <c r="Q317">
        <v>1.354344265141024</v>
      </c>
      <c r="R317">
        <v>4.4447947680071884</v>
      </c>
      <c r="S317">
        <v>0.31327222197061128</v>
      </c>
      <c r="T317">
        <v>0.21465588557195281</v>
      </c>
      <c r="U317">
        <v>4.4797448568299707</v>
      </c>
      <c r="V317">
        <v>0.12962090035020549</v>
      </c>
      <c r="W317">
        <v>10.511911524149861</v>
      </c>
      <c r="X317">
        <v>0.35912263405383221</v>
      </c>
      <c r="Z317" t="s">
        <v>392</v>
      </c>
      <c r="AA317">
        <v>9937</v>
      </c>
      <c r="AB317" t="s">
        <v>708</v>
      </c>
      <c r="AC317" t="str">
        <f>HYPERLINK("plots/20251231000436_3FT6Y121H01_04823_B11P_N_UFLEX98_M5358A8BH101511/dpll_52046/txpa_55236.png","plot")</f>
        <v>plot</v>
      </c>
    </row>
    <row r="318" spans="1:29" x14ac:dyDescent="0.35">
      <c r="A318" s="2" t="s">
        <v>46</v>
      </c>
      <c r="B318">
        <v>52046</v>
      </c>
      <c r="C318" t="s">
        <v>51</v>
      </c>
      <c r="D318">
        <v>55237</v>
      </c>
      <c r="E318" t="s">
        <v>370</v>
      </c>
      <c r="F318">
        <v>8682</v>
      </c>
      <c r="G318">
        <v>0.48086573471932592</v>
      </c>
      <c r="H318">
        <v>0</v>
      </c>
      <c r="I318">
        <v>0</v>
      </c>
      <c r="J318">
        <v>0.41262868929523627</v>
      </c>
      <c r="K318">
        <v>0</v>
      </c>
      <c r="L318">
        <v>0</v>
      </c>
      <c r="M318">
        <v>0.288828890374836</v>
      </c>
      <c r="N318">
        <v>0</v>
      </c>
      <c r="O318">
        <v>0</v>
      </c>
      <c r="P318">
        <v>0.23123185482715711</v>
      </c>
      <c r="Q318">
        <v>1.4125188900370249</v>
      </c>
      <c r="R318">
        <v>4.1755466012454594</v>
      </c>
      <c r="S318">
        <v>0.33487313481146419</v>
      </c>
      <c r="T318">
        <v>0.23308242809114019</v>
      </c>
      <c r="U318">
        <v>4.4795374876756506</v>
      </c>
      <c r="V318">
        <v>0.130028094291603</v>
      </c>
      <c r="W318">
        <v>10.50297792121631</v>
      </c>
      <c r="X318">
        <v>0.38195098165937819</v>
      </c>
      <c r="Z318" t="s">
        <v>392</v>
      </c>
      <c r="AA318">
        <v>9937</v>
      </c>
      <c r="AB318" t="s">
        <v>709</v>
      </c>
      <c r="AC318" t="str">
        <f>HYPERLINK("plots/20251231000436_3FT6Y121H01_04823_B11P_N_UFLEX98_M5358A8BH101511/dpll_52046/txpa_55237.png","plot")</f>
        <v>plot</v>
      </c>
    </row>
    <row r="319" spans="1:29" x14ac:dyDescent="0.35">
      <c r="A319" s="2" t="s">
        <v>46</v>
      </c>
      <c r="B319">
        <v>52046</v>
      </c>
      <c r="C319" t="s">
        <v>51</v>
      </c>
      <c r="D319">
        <v>55238</v>
      </c>
      <c r="E319" t="s">
        <v>371</v>
      </c>
      <c r="F319">
        <v>8682</v>
      </c>
      <c r="G319">
        <v>0.49871758485233902</v>
      </c>
      <c r="H319">
        <v>0</v>
      </c>
      <c r="I319">
        <v>0</v>
      </c>
      <c r="J319">
        <v>0.43489478767851281</v>
      </c>
      <c r="K319">
        <v>0</v>
      </c>
      <c r="L319">
        <v>0</v>
      </c>
      <c r="M319">
        <v>0.30779164064956832</v>
      </c>
      <c r="N319">
        <v>0</v>
      </c>
      <c r="O319">
        <v>0</v>
      </c>
      <c r="P319">
        <v>0.24871922944095001</v>
      </c>
      <c r="Q319">
        <v>1.4384605925855281</v>
      </c>
      <c r="R319">
        <v>4.0814508045069067</v>
      </c>
      <c r="S319">
        <v>0.32501413747181168</v>
      </c>
      <c r="T319">
        <v>0.22718828466673899</v>
      </c>
      <c r="U319">
        <v>4.4795460095600088</v>
      </c>
      <c r="V319">
        <v>0.13001182111010559</v>
      </c>
      <c r="W319">
        <v>10.52510121193273</v>
      </c>
      <c r="X319">
        <v>0.37499556245352428</v>
      </c>
      <c r="Z319" t="s">
        <v>392</v>
      </c>
      <c r="AA319">
        <v>9937</v>
      </c>
      <c r="AB319" t="s">
        <v>710</v>
      </c>
      <c r="AC319" t="str">
        <f>HYPERLINK("plots/20251231000436_3FT6Y121H01_04823_B11P_N_UFLEX98_M5358A8BH101511/dpll_52046/txpa_55238.png","plot")</f>
        <v>plot</v>
      </c>
    </row>
    <row r="320" spans="1:29" x14ac:dyDescent="0.35">
      <c r="A320" s="2" t="s">
        <v>46</v>
      </c>
      <c r="B320">
        <v>52046</v>
      </c>
      <c r="C320" t="s">
        <v>51</v>
      </c>
      <c r="D320">
        <v>55239</v>
      </c>
      <c r="E320" t="s">
        <v>372</v>
      </c>
      <c r="F320">
        <v>8686</v>
      </c>
      <c r="G320">
        <v>0.49195315531725281</v>
      </c>
      <c r="H320">
        <v>0</v>
      </c>
      <c r="I320">
        <v>0</v>
      </c>
      <c r="J320">
        <v>0.40228371147153502</v>
      </c>
      <c r="K320">
        <v>0</v>
      </c>
      <c r="L320">
        <v>0</v>
      </c>
      <c r="M320">
        <v>0.28056389668198328</v>
      </c>
      <c r="N320">
        <v>0</v>
      </c>
      <c r="O320">
        <v>0</v>
      </c>
      <c r="P320">
        <v>0.242017907026601</v>
      </c>
      <c r="Q320">
        <v>1.412177562231248</v>
      </c>
      <c r="R320">
        <v>4.1837594028401837</v>
      </c>
      <c r="S320">
        <v>0.32511479988716718</v>
      </c>
      <c r="T320">
        <v>0.2315433280386322</v>
      </c>
      <c r="U320">
        <v>4.4794921007368176</v>
      </c>
      <c r="V320">
        <v>0.13009682919697041</v>
      </c>
      <c r="W320">
        <v>10.50959763769284</v>
      </c>
      <c r="X320">
        <v>0.37344983180545882</v>
      </c>
      <c r="Z320" t="s">
        <v>392</v>
      </c>
      <c r="AA320">
        <v>9937</v>
      </c>
      <c r="AB320" t="s">
        <v>711</v>
      </c>
      <c r="AC320" t="str">
        <f>HYPERLINK("plots/20251231000436_3FT6Y121H01_04823_B11P_N_UFLEX98_M5358A8BH101511/dpll_52046/txpa_55239.png","plot")</f>
        <v>plot</v>
      </c>
    </row>
    <row r="321" spans="1:29" x14ac:dyDescent="0.35">
      <c r="A321" s="2" t="s">
        <v>46</v>
      </c>
      <c r="B321">
        <v>52046</v>
      </c>
      <c r="C321" t="s">
        <v>51</v>
      </c>
      <c r="D321">
        <v>55240</v>
      </c>
      <c r="E321" t="s">
        <v>373</v>
      </c>
      <c r="F321">
        <v>8687</v>
      </c>
      <c r="G321">
        <v>0.50451135723297402</v>
      </c>
      <c r="H321">
        <v>0</v>
      </c>
      <c r="I321">
        <v>0</v>
      </c>
      <c r="J321">
        <v>0.43834436793080372</v>
      </c>
      <c r="K321">
        <v>0</v>
      </c>
      <c r="L321">
        <v>0</v>
      </c>
      <c r="M321">
        <v>0.30983363848293521</v>
      </c>
      <c r="N321">
        <v>0</v>
      </c>
      <c r="O321">
        <v>0</v>
      </c>
      <c r="P321">
        <v>0.25453170957705751</v>
      </c>
      <c r="Q321">
        <v>1.419109594091081</v>
      </c>
      <c r="R321">
        <v>4.1558807059085332</v>
      </c>
      <c r="S321">
        <v>0.31600223486959439</v>
      </c>
      <c r="T321">
        <v>0.21906410837919141</v>
      </c>
      <c r="U321">
        <v>4.4795047911822268</v>
      </c>
      <c r="V321">
        <v>0.13012345199525541</v>
      </c>
      <c r="W321">
        <v>10.512788931852191</v>
      </c>
      <c r="X321">
        <v>0.36601641666798967</v>
      </c>
      <c r="Z321" t="s">
        <v>392</v>
      </c>
      <c r="AA321">
        <v>9937</v>
      </c>
      <c r="AB321" t="s">
        <v>712</v>
      </c>
      <c r="AC321" t="str">
        <f>HYPERLINK("plots/20251231000436_3FT6Y121H01_04823_B11P_N_UFLEX98_M5358A8BH101511/dpll_52046/txpa_55240.png","plot")</f>
        <v>plot</v>
      </c>
    </row>
    <row r="322" spans="1:29" x14ac:dyDescent="0.35">
      <c r="A322" s="2" t="s">
        <v>46</v>
      </c>
      <c r="B322">
        <v>52046</v>
      </c>
      <c r="C322" t="s">
        <v>51</v>
      </c>
      <c r="D322">
        <v>55241</v>
      </c>
      <c r="E322" t="s">
        <v>374</v>
      </c>
      <c r="F322">
        <v>8678</v>
      </c>
      <c r="G322">
        <v>0.50027377726686317</v>
      </c>
      <c r="H322">
        <v>0</v>
      </c>
      <c r="I322">
        <v>0</v>
      </c>
      <c r="J322">
        <v>0.42139160091486172</v>
      </c>
      <c r="K322">
        <v>0</v>
      </c>
      <c r="L322">
        <v>0</v>
      </c>
      <c r="M322">
        <v>0.29473977278157393</v>
      </c>
      <c r="N322">
        <v>0</v>
      </c>
      <c r="O322">
        <v>0</v>
      </c>
      <c r="P322">
        <v>0.25027385222085502</v>
      </c>
      <c r="Q322">
        <v>1.378308967303369</v>
      </c>
      <c r="R322">
        <v>4.337626102419283</v>
      </c>
      <c r="S322">
        <v>0.30868217040135998</v>
      </c>
      <c r="T322">
        <v>0.21414345120166181</v>
      </c>
      <c r="U322">
        <v>4.4799535579626646</v>
      </c>
      <c r="V322">
        <v>0.12940361174539641</v>
      </c>
      <c r="W322">
        <v>10.51238626446186</v>
      </c>
      <c r="X322">
        <v>0.35652110219437128</v>
      </c>
      <c r="Z322" t="s">
        <v>392</v>
      </c>
      <c r="AA322">
        <v>9937</v>
      </c>
      <c r="AB322" t="s">
        <v>713</v>
      </c>
      <c r="AC322" t="str">
        <f>HYPERLINK("plots/20251231000436_3FT6Y121H01_04823_B11P_N_UFLEX98_M5358A8BH101511/dpll_52046/txpa_55241.png","plot")</f>
        <v>plot</v>
      </c>
    </row>
    <row r="323" spans="1:29" x14ac:dyDescent="0.35">
      <c r="A323" s="2" t="s">
        <v>46</v>
      </c>
      <c r="B323">
        <v>52046</v>
      </c>
      <c r="C323" t="s">
        <v>51</v>
      </c>
      <c r="D323">
        <v>55242</v>
      </c>
      <c r="E323" t="s">
        <v>375</v>
      </c>
      <c r="F323">
        <v>8665</v>
      </c>
      <c r="G323">
        <v>0.46826487388819799</v>
      </c>
      <c r="H323">
        <v>0</v>
      </c>
      <c r="I323">
        <v>0</v>
      </c>
      <c r="J323">
        <v>0.39727296709381982</v>
      </c>
      <c r="K323">
        <v>0</v>
      </c>
      <c r="L323">
        <v>0</v>
      </c>
      <c r="M323">
        <v>0.27862140958641712</v>
      </c>
      <c r="N323">
        <v>0</v>
      </c>
      <c r="O323">
        <v>0</v>
      </c>
      <c r="P323">
        <v>0.21927199211753001</v>
      </c>
      <c r="Q323">
        <v>1.4030112760624189</v>
      </c>
      <c r="R323">
        <v>4.4145139792557364</v>
      </c>
      <c r="S323">
        <v>0.33904792575226061</v>
      </c>
      <c r="T323">
        <v>0.24220347470693879</v>
      </c>
      <c r="U323">
        <v>4.4806957816503168</v>
      </c>
      <c r="V323">
        <v>0.1280756867733103</v>
      </c>
      <c r="W323">
        <v>10.70098068551644</v>
      </c>
      <c r="X323">
        <v>0.3837392953273186</v>
      </c>
      <c r="Z323" t="s">
        <v>392</v>
      </c>
      <c r="AA323">
        <v>9937</v>
      </c>
      <c r="AB323" t="s">
        <v>714</v>
      </c>
      <c r="AC323" t="str">
        <f>HYPERLINK("plots/20251231000436_3FT6Y121H01_04823_B11P_N_UFLEX98_M5358A8BH101511/dpll_52046/txpa_55242.png","plot")</f>
        <v>plot</v>
      </c>
    </row>
    <row r="324" spans="1:29" x14ac:dyDescent="0.35">
      <c r="A324" s="2" t="s">
        <v>46</v>
      </c>
      <c r="B324">
        <v>52046</v>
      </c>
      <c r="C324" t="s">
        <v>51</v>
      </c>
      <c r="D324">
        <v>55243</v>
      </c>
      <c r="E324" t="s">
        <v>376</v>
      </c>
      <c r="F324">
        <v>8693</v>
      </c>
      <c r="G324">
        <v>0.46197662668155598</v>
      </c>
      <c r="H324">
        <v>0</v>
      </c>
      <c r="I324">
        <v>0</v>
      </c>
      <c r="J324">
        <v>0.39461989262818797</v>
      </c>
      <c r="K324">
        <v>0</v>
      </c>
      <c r="L324">
        <v>0</v>
      </c>
      <c r="M324">
        <v>0.27751136419828382</v>
      </c>
      <c r="N324">
        <v>0</v>
      </c>
      <c r="O324">
        <v>0</v>
      </c>
      <c r="P324">
        <v>0.21342240360006981</v>
      </c>
      <c r="Q324">
        <v>1.678795058101634</v>
      </c>
      <c r="R324">
        <v>3.9126150355105329</v>
      </c>
      <c r="S324">
        <v>0.42091970213045171</v>
      </c>
      <c r="T324">
        <v>0.29755313391124699</v>
      </c>
      <c r="U324">
        <v>4.4791656661681811</v>
      </c>
      <c r="V324">
        <v>0.13060980178728751</v>
      </c>
      <c r="W324">
        <v>11.43221622029219</v>
      </c>
      <c r="X324">
        <v>0.47462810262752692</v>
      </c>
      <c r="Z324" t="s">
        <v>392</v>
      </c>
      <c r="AA324">
        <v>9937</v>
      </c>
      <c r="AB324" t="s">
        <v>715</v>
      </c>
      <c r="AC324" t="str">
        <f>HYPERLINK("plots/20251231000436_3FT6Y121H01_04823_B11P_N_UFLEX98_M5358A8BH101511/dpll_52046/txpa_55243.png","plot")</f>
        <v>plot</v>
      </c>
    </row>
    <row r="325" spans="1:29" x14ac:dyDescent="0.35">
      <c r="A325" s="2" t="s">
        <v>46</v>
      </c>
      <c r="B325">
        <v>52046</v>
      </c>
      <c r="C325" t="s">
        <v>51</v>
      </c>
      <c r="D325">
        <v>55244</v>
      </c>
      <c r="E325" t="s">
        <v>377</v>
      </c>
      <c r="F325">
        <v>8672</v>
      </c>
      <c r="G325">
        <v>0.4862552428361071</v>
      </c>
      <c r="H325">
        <v>0</v>
      </c>
      <c r="I325">
        <v>0</v>
      </c>
      <c r="J325">
        <v>0.45213696979171569</v>
      </c>
      <c r="K325">
        <v>0</v>
      </c>
      <c r="L325">
        <v>0</v>
      </c>
      <c r="M325">
        <v>0.32256474131853469</v>
      </c>
      <c r="N325">
        <v>0</v>
      </c>
      <c r="O325">
        <v>0</v>
      </c>
      <c r="P325">
        <v>0.23644416118560149</v>
      </c>
      <c r="Q325">
        <v>1.542398251346341</v>
      </c>
      <c r="R325">
        <v>4.5286708014494756</v>
      </c>
      <c r="S325">
        <v>0.35834698479676441</v>
      </c>
      <c r="T325">
        <v>0.24352131901621449</v>
      </c>
      <c r="U325">
        <v>4.4799202834409604</v>
      </c>
      <c r="V325">
        <v>0.12929334386068511</v>
      </c>
      <c r="W325">
        <v>11.43849201279982</v>
      </c>
      <c r="X325">
        <v>0.41011758828203948</v>
      </c>
      <c r="Z325" t="s">
        <v>392</v>
      </c>
      <c r="AA325">
        <v>9937</v>
      </c>
      <c r="AB325" t="s">
        <v>716</v>
      </c>
      <c r="AC325" t="str">
        <f>HYPERLINK("plots/20251231000436_3FT6Y121H01_04823_B11P_N_UFLEX98_M5358A8BH101511/dpll_52046/txpa_55244.png","plot")</f>
        <v>plot</v>
      </c>
    </row>
    <row r="326" spans="1:29" x14ac:dyDescent="0.35">
      <c r="A326" s="2" t="s">
        <v>46</v>
      </c>
      <c r="B326">
        <v>52046</v>
      </c>
      <c r="C326" t="s">
        <v>51</v>
      </c>
      <c r="D326">
        <v>55245</v>
      </c>
      <c r="E326" t="s">
        <v>378</v>
      </c>
      <c r="F326">
        <v>8680</v>
      </c>
      <c r="G326">
        <v>0.47324751402956128</v>
      </c>
      <c r="H326">
        <v>0</v>
      </c>
      <c r="I326">
        <v>0</v>
      </c>
      <c r="J326">
        <v>0.41695078442867228</v>
      </c>
      <c r="K326">
        <v>0</v>
      </c>
      <c r="L326">
        <v>0</v>
      </c>
      <c r="M326">
        <v>0.29433725488263918</v>
      </c>
      <c r="N326">
        <v>0</v>
      </c>
      <c r="O326">
        <v>0</v>
      </c>
      <c r="P326">
        <v>0.2239632095351598</v>
      </c>
      <c r="Q326">
        <v>1.5823112322697259</v>
      </c>
      <c r="R326">
        <v>4.2805405430189261</v>
      </c>
      <c r="S326">
        <v>0.38155364399128261</v>
      </c>
      <c r="T326">
        <v>0.26554028705829119</v>
      </c>
      <c r="U326">
        <v>4.4798139172811053</v>
      </c>
      <c r="V326">
        <v>0.12954954704860511</v>
      </c>
      <c r="W326">
        <v>11.369000422811061</v>
      </c>
      <c r="X326">
        <v>0.43315114681755851</v>
      </c>
      <c r="Z326" t="s">
        <v>392</v>
      </c>
      <c r="AA326">
        <v>9937</v>
      </c>
      <c r="AB326" t="s">
        <v>717</v>
      </c>
      <c r="AC326" t="str">
        <f>HYPERLINK("plots/20251231000436_3FT6Y121H01_04823_B11P_N_UFLEX98_M5358A8BH101511/dpll_52046/txpa_55245.png","plot")</f>
        <v>plot</v>
      </c>
    </row>
    <row r="327" spans="1:29" x14ac:dyDescent="0.35">
      <c r="A327" s="2" t="s">
        <v>46</v>
      </c>
      <c r="B327">
        <v>52046</v>
      </c>
      <c r="C327" t="s">
        <v>51</v>
      </c>
      <c r="D327">
        <v>55246</v>
      </c>
      <c r="E327" t="s">
        <v>379</v>
      </c>
      <c r="F327">
        <v>8685</v>
      </c>
      <c r="G327">
        <v>0.49742014203326612</v>
      </c>
      <c r="H327">
        <v>0</v>
      </c>
      <c r="I327">
        <v>0</v>
      </c>
      <c r="J327">
        <v>0.44437358726270049</v>
      </c>
      <c r="K327">
        <v>0</v>
      </c>
      <c r="L327">
        <v>0</v>
      </c>
      <c r="M327">
        <v>0.3166047591589507</v>
      </c>
      <c r="N327">
        <v>0</v>
      </c>
      <c r="O327">
        <v>0</v>
      </c>
      <c r="P327">
        <v>0.24742679770039461</v>
      </c>
      <c r="Q327">
        <v>1.6205558579265471</v>
      </c>
      <c r="R327">
        <v>4.1276913971038587</v>
      </c>
      <c r="S327">
        <v>0.36755204368601357</v>
      </c>
      <c r="T327">
        <v>0.25207367246654327</v>
      </c>
      <c r="U327">
        <v>4.479531629130685</v>
      </c>
      <c r="V327">
        <v>0.13005553294194649</v>
      </c>
      <c r="W327">
        <v>11.38702261945884</v>
      </c>
      <c r="X327">
        <v>0.4237107385786863</v>
      </c>
      <c r="Z327" t="s">
        <v>392</v>
      </c>
      <c r="AA327">
        <v>9937</v>
      </c>
      <c r="AB327" t="s">
        <v>718</v>
      </c>
      <c r="AC327" t="str">
        <f>HYPERLINK("plots/20251231000436_3FT6Y121H01_04823_B11P_N_UFLEX98_M5358A8BH101511/dpll_52046/txpa_55246.png","plot")</f>
        <v>plot</v>
      </c>
    </row>
    <row r="328" spans="1:29" x14ac:dyDescent="0.35">
      <c r="A328" s="2" t="s">
        <v>46</v>
      </c>
      <c r="B328">
        <v>52046</v>
      </c>
      <c r="C328" t="s">
        <v>51</v>
      </c>
      <c r="D328">
        <v>55247</v>
      </c>
      <c r="E328" t="s">
        <v>380</v>
      </c>
      <c r="F328">
        <v>8682</v>
      </c>
      <c r="G328">
        <v>0.4985051981066963</v>
      </c>
      <c r="H328">
        <v>0</v>
      </c>
      <c r="I328">
        <v>0</v>
      </c>
      <c r="J328">
        <v>0.42870920754406588</v>
      </c>
      <c r="K328">
        <v>0</v>
      </c>
      <c r="L328">
        <v>0</v>
      </c>
      <c r="M328">
        <v>0.3023718341944211</v>
      </c>
      <c r="N328">
        <v>0</v>
      </c>
      <c r="O328">
        <v>0</v>
      </c>
      <c r="P328">
        <v>0.2485074325393965</v>
      </c>
      <c r="Q328">
        <v>1.599972480415143</v>
      </c>
      <c r="R328">
        <v>4.2377316151913851</v>
      </c>
      <c r="S328">
        <v>0.36083905860690368</v>
      </c>
      <c r="T328">
        <v>0.25163019963188948</v>
      </c>
      <c r="U328">
        <v>4.4797176164478234</v>
      </c>
      <c r="V328">
        <v>0.12969803231833851</v>
      </c>
      <c r="W328">
        <v>11.405156521538821</v>
      </c>
      <c r="X328">
        <v>0.41627105045536722</v>
      </c>
      <c r="Z328" t="s">
        <v>392</v>
      </c>
      <c r="AA328">
        <v>9937</v>
      </c>
      <c r="AB328" t="s">
        <v>719</v>
      </c>
      <c r="AC328" t="str">
        <f>HYPERLINK("plots/20251231000436_3FT6Y121H01_04823_B11P_N_UFLEX98_M5358A8BH101511/dpll_52046/txpa_55247.png","plot")</f>
        <v>plot</v>
      </c>
    </row>
    <row r="329" spans="1:29" x14ac:dyDescent="0.35">
      <c r="A329" s="2" t="s">
        <v>46</v>
      </c>
      <c r="B329">
        <v>52046</v>
      </c>
      <c r="C329" t="s">
        <v>51</v>
      </c>
      <c r="D329">
        <v>55248</v>
      </c>
      <c r="E329" t="s">
        <v>381</v>
      </c>
      <c r="F329">
        <v>8689</v>
      </c>
      <c r="G329">
        <v>0.50078150979694791</v>
      </c>
      <c r="H329">
        <v>0</v>
      </c>
      <c r="I329">
        <v>0</v>
      </c>
      <c r="J329">
        <v>0.43420902532777139</v>
      </c>
      <c r="K329">
        <v>0</v>
      </c>
      <c r="L329">
        <v>0</v>
      </c>
      <c r="M329">
        <v>0.3078479309162957</v>
      </c>
      <c r="N329">
        <v>0</v>
      </c>
      <c r="O329">
        <v>0</v>
      </c>
      <c r="P329">
        <v>0.25078212055451071</v>
      </c>
      <c r="Q329">
        <v>1.613385118405593</v>
      </c>
      <c r="R329">
        <v>4.1126864735510926</v>
      </c>
      <c r="S329">
        <v>0.36321596578151588</v>
      </c>
      <c r="T329">
        <v>0.25265949507935881</v>
      </c>
      <c r="U329">
        <v>4.4794139630567376</v>
      </c>
      <c r="V329">
        <v>0.13025550736773139</v>
      </c>
      <c r="W329">
        <v>11.33970630072505</v>
      </c>
      <c r="X329">
        <v>0.41964867525296312</v>
      </c>
      <c r="Z329" t="s">
        <v>392</v>
      </c>
      <c r="AA329">
        <v>9937</v>
      </c>
      <c r="AB329" t="s">
        <v>720</v>
      </c>
      <c r="AC329" t="str">
        <f>HYPERLINK("plots/20251231000436_3FT6Y121H01_04823_B11P_N_UFLEX98_M5358A8BH101511/dpll_52046/txpa_55248.png","plot")</f>
        <v>plot</v>
      </c>
    </row>
    <row r="330" spans="1:29" x14ac:dyDescent="0.35">
      <c r="A330" s="2" t="s">
        <v>46</v>
      </c>
      <c r="B330">
        <v>52046</v>
      </c>
      <c r="C330" t="s">
        <v>51</v>
      </c>
      <c r="D330">
        <v>55249</v>
      </c>
      <c r="E330" t="s">
        <v>382</v>
      </c>
      <c r="F330">
        <v>8673</v>
      </c>
      <c r="G330">
        <v>0.49555479138441089</v>
      </c>
      <c r="H330">
        <v>0</v>
      </c>
      <c r="I330">
        <v>0</v>
      </c>
      <c r="J330">
        <v>0.42987286950154768</v>
      </c>
      <c r="K330">
        <v>0</v>
      </c>
      <c r="L330">
        <v>0</v>
      </c>
      <c r="M330">
        <v>0.30397196291131789</v>
      </c>
      <c r="N330">
        <v>0</v>
      </c>
      <c r="O330">
        <v>0</v>
      </c>
      <c r="P330">
        <v>0.24557455126404701</v>
      </c>
      <c r="Q330">
        <v>1.562763573927878</v>
      </c>
      <c r="R330">
        <v>4.4002815019973722</v>
      </c>
      <c r="S330">
        <v>0.35346699298098222</v>
      </c>
      <c r="T330">
        <v>0.2445818569089632</v>
      </c>
      <c r="U330">
        <v>4.4801905547100196</v>
      </c>
      <c r="V330">
        <v>0.1290518214813656</v>
      </c>
      <c r="W330">
        <v>11.401760105153921</v>
      </c>
      <c r="X330">
        <v>0.40697313246977851</v>
      </c>
      <c r="Z330" t="s">
        <v>392</v>
      </c>
      <c r="AA330">
        <v>9937</v>
      </c>
      <c r="AB330" t="s">
        <v>721</v>
      </c>
      <c r="AC330" t="str">
        <f>HYPERLINK("plots/20251231000436_3FT6Y121H01_04823_B11P_N_UFLEX98_M5358A8BH101511/dpll_52046/txpa_55249.png","plot")</f>
        <v>plot</v>
      </c>
    </row>
    <row r="331" spans="1:29" x14ac:dyDescent="0.35">
      <c r="A331" s="2" t="s">
        <v>46</v>
      </c>
      <c r="B331">
        <v>52046</v>
      </c>
      <c r="C331" t="s">
        <v>51</v>
      </c>
      <c r="D331">
        <v>55250</v>
      </c>
      <c r="E331" t="s">
        <v>383</v>
      </c>
      <c r="F331">
        <v>8688</v>
      </c>
      <c r="G331">
        <v>0.48733406583148581</v>
      </c>
      <c r="H331">
        <v>0</v>
      </c>
      <c r="I331">
        <v>0</v>
      </c>
      <c r="J331">
        <v>0.39333502819809202</v>
      </c>
      <c r="K331">
        <v>0</v>
      </c>
      <c r="L331">
        <v>0</v>
      </c>
      <c r="M331">
        <v>0.27530534037193599</v>
      </c>
      <c r="N331">
        <v>0</v>
      </c>
      <c r="O331">
        <v>0</v>
      </c>
      <c r="P331">
        <v>0.23749449171984691</v>
      </c>
      <c r="Q331">
        <v>1.703653438366439</v>
      </c>
      <c r="R331">
        <v>3.9116953779276078</v>
      </c>
      <c r="S331">
        <v>0.39740474088458749</v>
      </c>
      <c r="T331">
        <v>0.28573463792674642</v>
      </c>
      <c r="U331">
        <v>4.4794597328499073</v>
      </c>
      <c r="V331">
        <v>0.13019132981639009</v>
      </c>
      <c r="W331">
        <v>11.543142353821359</v>
      </c>
      <c r="X331">
        <v>0.45513113537170252</v>
      </c>
      <c r="Z331" t="s">
        <v>392</v>
      </c>
      <c r="AA331">
        <v>9937</v>
      </c>
      <c r="AB331" t="s">
        <v>722</v>
      </c>
      <c r="AC331" t="str">
        <f>HYPERLINK("plots/20251231000436_3FT6Y121H01_04823_B11P_N_UFLEX98_M5358A8BH101511/dpll_52046/txpa_55250.png","plot")</f>
        <v>plot</v>
      </c>
    </row>
    <row r="332" spans="1:29" x14ac:dyDescent="0.35">
      <c r="A332" s="2" t="s">
        <v>46</v>
      </c>
      <c r="B332">
        <v>52046</v>
      </c>
      <c r="C332" t="s">
        <v>51</v>
      </c>
      <c r="D332">
        <v>55251</v>
      </c>
      <c r="E332" t="s">
        <v>384</v>
      </c>
      <c r="F332">
        <v>8698</v>
      </c>
      <c r="G332">
        <v>0.46251083634807799</v>
      </c>
      <c r="H332">
        <v>0</v>
      </c>
      <c r="I332">
        <v>0</v>
      </c>
      <c r="J332">
        <v>0.38959569547991152</v>
      </c>
      <c r="K332">
        <v>0</v>
      </c>
      <c r="L332">
        <v>0</v>
      </c>
      <c r="M332">
        <v>0.27367637091328623</v>
      </c>
      <c r="N332">
        <v>0</v>
      </c>
      <c r="O332">
        <v>0</v>
      </c>
      <c r="P332">
        <v>0.21391627373939859</v>
      </c>
      <c r="Q332">
        <v>1.7479678137458261</v>
      </c>
      <c r="R332">
        <v>3.794814819267383</v>
      </c>
      <c r="S332">
        <v>0.43818080773763851</v>
      </c>
      <c r="T332">
        <v>0.31170722288855301</v>
      </c>
      <c r="U332">
        <v>4.4790183096114049</v>
      </c>
      <c r="V332">
        <v>0.1307773089410984</v>
      </c>
      <c r="W332">
        <v>11.623994661646361</v>
      </c>
      <c r="X332">
        <v>0.4942468561434909</v>
      </c>
      <c r="Z332" t="s">
        <v>392</v>
      </c>
      <c r="AA332">
        <v>9937</v>
      </c>
      <c r="AB332" t="s">
        <v>723</v>
      </c>
      <c r="AC332" t="str">
        <f>HYPERLINK("plots/20251231000436_3FT6Y121H01_04823_B11P_N_UFLEX98_M5358A8BH101511/dpll_52046/txpa_55251.png","plot")</f>
        <v>plot</v>
      </c>
    </row>
    <row r="333" spans="1:29" x14ac:dyDescent="0.35">
      <c r="A333" s="2" t="s">
        <v>46</v>
      </c>
      <c r="B333">
        <v>52046</v>
      </c>
      <c r="C333" t="s">
        <v>51</v>
      </c>
      <c r="D333">
        <v>55252</v>
      </c>
      <c r="E333" t="s">
        <v>385</v>
      </c>
      <c r="F333">
        <v>8677</v>
      </c>
      <c r="G333">
        <v>0.49048610606088539</v>
      </c>
      <c r="H333">
        <v>0</v>
      </c>
      <c r="I333">
        <v>0</v>
      </c>
      <c r="J333">
        <v>0.45165232450888249</v>
      </c>
      <c r="K333">
        <v>0</v>
      </c>
      <c r="L333">
        <v>0</v>
      </c>
      <c r="M333">
        <v>0.32249253782157872</v>
      </c>
      <c r="N333">
        <v>0</v>
      </c>
      <c r="O333">
        <v>0</v>
      </c>
      <c r="P333">
        <v>0.24057662023877019</v>
      </c>
      <c r="Q333">
        <v>1.623971452953114</v>
      </c>
      <c r="R333">
        <v>4.3972425881539454</v>
      </c>
      <c r="S333">
        <v>0.37431372072791019</v>
      </c>
      <c r="T333">
        <v>0.2552002987278198</v>
      </c>
      <c r="U333">
        <v>4.4796918889016926</v>
      </c>
      <c r="V333">
        <v>0.12973797384807981</v>
      </c>
      <c r="W333">
        <v>11.67213433375591</v>
      </c>
      <c r="X333">
        <v>0.4295550134647555</v>
      </c>
      <c r="Z333" t="s">
        <v>392</v>
      </c>
      <c r="AA333">
        <v>9937</v>
      </c>
      <c r="AB333" t="s">
        <v>724</v>
      </c>
      <c r="AC333" t="str">
        <f>HYPERLINK("plots/20251231000436_3FT6Y121H01_04823_B11P_N_UFLEX98_M5358A8BH101511/dpll_52046/txpa_55252.png","plot")</f>
        <v>plot</v>
      </c>
    </row>
    <row r="334" spans="1:29" x14ac:dyDescent="0.35">
      <c r="A334" s="2" t="s">
        <v>46</v>
      </c>
      <c r="B334">
        <v>52046</v>
      </c>
      <c r="C334" t="s">
        <v>51</v>
      </c>
      <c r="D334">
        <v>55253</v>
      </c>
      <c r="E334" t="s">
        <v>386</v>
      </c>
      <c r="F334">
        <v>8690</v>
      </c>
      <c r="G334">
        <v>0.47796554745264308</v>
      </c>
      <c r="H334">
        <v>0</v>
      </c>
      <c r="I334">
        <v>0</v>
      </c>
      <c r="J334">
        <v>0.41006633017766841</v>
      </c>
      <c r="K334">
        <v>0</v>
      </c>
      <c r="L334">
        <v>0</v>
      </c>
      <c r="M334">
        <v>0.28929172650273349</v>
      </c>
      <c r="N334">
        <v>0</v>
      </c>
      <c r="O334">
        <v>0</v>
      </c>
      <c r="P334">
        <v>0.22845106455170491</v>
      </c>
      <c r="Q334">
        <v>1.6787596481156419</v>
      </c>
      <c r="R334">
        <v>4.0637739340017811</v>
      </c>
      <c r="S334">
        <v>0.40233706447355411</v>
      </c>
      <c r="T334">
        <v>0.28351418237870402</v>
      </c>
      <c r="U334">
        <v>4.4793337756041431</v>
      </c>
      <c r="V334">
        <v>0.13041915010890751</v>
      </c>
      <c r="W334">
        <v>11.5834987269275</v>
      </c>
      <c r="X334">
        <v>0.4580715235883473</v>
      </c>
      <c r="Z334" t="s">
        <v>392</v>
      </c>
      <c r="AA334">
        <v>9937</v>
      </c>
      <c r="AB334" t="s">
        <v>725</v>
      </c>
      <c r="AC334" t="str">
        <f>HYPERLINK("plots/20251231000436_3FT6Y121H01_04823_B11P_N_UFLEX98_M5358A8BH101511/dpll_52046/txpa_55253.png","plot")</f>
        <v>plot</v>
      </c>
    </row>
    <row r="335" spans="1:29" x14ac:dyDescent="0.35">
      <c r="A335" s="2" t="s">
        <v>46</v>
      </c>
      <c r="B335">
        <v>52046</v>
      </c>
      <c r="C335" t="s">
        <v>51</v>
      </c>
      <c r="D335">
        <v>55254</v>
      </c>
      <c r="E335" t="s">
        <v>387</v>
      </c>
      <c r="F335">
        <v>8686</v>
      </c>
      <c r="G335">
        <v>0.49563163892732331</v>
      </c>
      <c r="H335">
        <v>0</v>
      </c>
      <c r="I335">
        <v>0</v>
      </c>
      <c r="J335">
        <v>0.4415290095320587</v>
      </c>
      <c r="K335">
        <v>0</v>
      </c>
      <c r="L335">
        <v>0</v>
      </c>
      <c r="M335">
        <v>0.31448007474343898</v>
      </c>
      <c r="N335">
        <v>0</v>
      </c>
      <c r="O335">
        <v>0</v>
      </c>
      <c r="P335">
        <v>0.2456507215057846</v>
      </c>
      <c r="Q335">
        <v>1.677450699008574</v>
      </c>
      <c r="R335">
        <v>4.0877445871618407</v>
      </c>
      <c r="S335">
        <v>0.38229046238933351</v>
      </c>
      <c r="T335">
        <v>0.26279027188741771</v>
      </c>
      <c r="U335">
        <v>4.4795500043748557</v>
      </c>
      <c r="V335">
        <v>0.1300593207989755</v>
      </c>
      <c r="W335">
        <v>11.601968873244299</v>
      </c>
      <c r="X335">
        <v>0.44018194451628351</v>
      </c>
      <c r="Z335" t="s">
        <v>392</v>
      </c>
      <c r="AA335">
        <v>9937</v>
      </c>
      <c r="AB335" t="s">
        <v>726</v>
      </c>
      <c r="AC335" t="str">
        <f>HYPERLINK("plots/20251231000436_3FT6Y121H01_04823_B11P_N_UFLEX98_M5358A8BH101511/dpll_52046/txpa_55254.png","plot")</f>
        <v>plot</v>
      </c>
    </row>
    <row r="336" spans="1:29" x14ac:dyDescent="0.35">
      <c r="A336" s="2" t="s">
        <v>46</v>
      </c>
      <c r="B336">
        <v>52046</v>
      </c>
      <c r="C336" t="s">
        <v>51</v>
      </c>
      <c r="D336">
        <v>55255</v>
      </c>
      <c r="E336" t="s">
        <v>388</v>
      </c>
      <c r="F336">
        <v>8683</v>
      </c>
      <c r="G336">
        <v>0.49799302190668021</v>
      </c>
      <c r="H336">
        <v>0</v>
      </c>
      <c r="I336">
        <v>0</v>
      </c>
      <c r="J336">
        <v>0.42942216170857328</v>
      </c>
      <c r="K336">
        <v>0</v>
      </c>
      <c r="L336">
        <v>0</v>
      </c>
      <c r="M336">
        <v>0.30324730766903318</v>
      </c>
      <c r="N336">
        <v>0</v>
      </c>
      <c r="O336">
        <v>0</v>
      </c>
      <c r="P336">
        <v>0.24799704986774729</v>
      </c>
      <c r="Q336">
        <v>1.6625365573989921</v>
      </c>
      <c r="R336">
        <v>4.1795620613871112</v>
      </c>
      <c r="S336">
        <v>0.37547313509235269</v>
      </c>
      <c r="T336">
        <v>0.26201700843425829</v>
      </c>
      <c r="U336">
        <v>4.4797359766209839</v>
      </c>
      <c r="V336">
        <v>0.12970184681758301</v>
      </c>
      <c r="W336">
        <v>11.62728689001497</v>
      </c>
      <c r="X336">
        <v>0.43300619167471749</v>
      </c>
      <c r="Z336" t="s">
        <v>392</v>
      </c>
      <c r="AA336">
        <v>9937</v>
      </c>
      <c r="AB336" t="s">
        <v>727</v>
      </c>
      <c r="AC336" t="str">
        <f>HYPERLINK("plots/20251231000436_3FT6Y121H01_04823_B11P_N_UFLEX98_M5358A8BH101511/dpll_52046/txpa_55255.png","plot")</f>
        <v>plot</v>
      </c>
    </row>
    <row r="337" spans="1:29" x14ac:dyDescent="0.35">
      <c r="A337" s="2" t="s">
        <v>46</v>
      </c>
      <c r="B337">
        <v>52046</v>
      </c>
      <c r="C337" t="s">
        <v>51</v>
      </c>
      <c r="D337">
        <v>55256</v>
      </c>
      <c r="E337" t="s">
        <v>389</v>
      </c>
      <c r="F337">
        <v>8693</v>
      </c>
      <c r="G337">
        <v>0.50344169115260062</v>
      </c>
      <c r="H337">
        <v>0</v>
      </c>
      <c r="I337">
        <v>0</v>
      </c>
      <c r="J337">
        <v>0.43164870923649379</v>
      </c>
      <c r="K337">
        <v>0</v>
      </c>
      <c r="L337">
        <v>0</v>
      </c>
      <c r="M337">
        <v>0.30600234096935491</v>
      </c>
      <c r="N337">
        <v>0</v>
      </c>
      <c r="O337">
        <v>0</v>
      </c>
      <c r="P337">
        <v>0.25345353639059048</v>
      </c>
      <c r="Q337">
        <v>1.688402684747194</v>
      </c>
      <c r="R337">
        <v>3.9772783744524678</v>
      </c>
      <c r="S337">
        <v>0.37835973067406498</v>
      </c>
      <c r="T337">
        <v>0.26452739239661233</v>
      </c>
      <c r="U337">
        <v>4.4792100837455422</v>
      </c>
      <c r="V337">
        <v>0.13057938261906751</v>
      </c>
      <c r="W337">
        <v>11.53998870539515</v>
      </c>
      <c r="X337">
        <v>0.43792674317836122</v>
      </c>
      <c r="Z337" t="s">
        <v>392</v>
      </c>
      <c r="AA337">
        <v>9937</v>
      </c>
      <c r="AB337" t="s">
        <v>728</v>
      </c>
      <c r="AC337" t="str">
        <f>HYPERLINK("plots/20251231000436_3FT6Y121H01_04823_B11P_N_UFLEX98_M5358A8BH101511/dpll_52046/txpa_55256.png","plot")</f>
        <v>plot</v>
      </c>
    </row>
    <row r="338" spans="1:29" x14ac:dyDescent="0.35">
      <c r="A338" s="2" t="s">
        <v>46</v>
      </c>
      <c r="B338">
        <v>52046</v>
      </c>
      <c r="C338" t="s">
        <v>51</v>
      </c>
      <c r="D338">
        <v>55257</v>
      </c>
      <c r="E338" t="s">
        <v>390</v>
      </c>
      <c r="F338">
        <v>8679</v>
      </c>
      <c r="G338">
        <v>0.4975877569111935</v>
      </c>
      <c r="H338">
        <v>0</v>
      </c>
      <c r="I338">
        <v>0</v>
      </c>
      <c r="J338">
        <v>0.42690076407257321</v>
      </c>
      <c r="K338">
        <v>0</v>
      </c>
      <c r="L338">
        <v>0</v>
      </c>
      <c r="M338">
        <v>0.30212279034866679</v>
      </c>
      <c r="N338">
        <v>0</v>
      </c>
      <c r="O338">
        <v>0</v>
      </c>
      <c r="P338">
        <v>0.247593575827913</v>
      </c>
      <c r="Q338">
        <v>1.6467427278755919</v>
      </c>
      <c r="R338">
        <v>4.2430801714763531</v>
      </c>
      <c r="S338">
        <v>0.37135057536531901</v>
      </c>
      <c r="T338">
        <v>0.25907333097974877</v>
      </c>
      <c r="U338">
        <v>4.47994074374928</v>
      </c>
      <c r="V338">
        <v>0.129367982913696</v>
      </c>
      <c r="W338">
        <v>11.620390012559049</v>
      </c>
      <c r="X338">
        <v>0.42813711174385682</v>
      </c>
      <c r="Z338" t="s">
        <v>392</v>
      </c>
      <c r="AA338">
        <v>9937</v>
      </c>
      <c r="AB338" t="s">
        <v>729</v>
      </c>
      <c r="AC338" t="str">
        <f>HYPERLINK("plots/20251231000436_3FT6Y121H01_04823_B11P_N_UFLEX98_M5358A8BH101511/dpll_52046/txpa_55257.png","plot")</f>
        <v>plot</v>
      </c>
    </row>
    <row r="339" spans="1:29" x14ac:dyDescent="0.35">
      <c r="A339" s="2" t="s">
        <v>46</v>
      </c>
      <c r="B339">
        <v>52046</v>
      </c>
      <c r="C339" t="s">
        <v>51</v>
      </c>
      <c r="D339">
        <v>55258</v>
      </c>
      <c r="E339" t="s">
        <v>391</v>
      </c>
      <c r="F339">
        <v>8696</v>
      </c>
      <c r="G339">
        <v>0.49107972542738959</v>
      </c>
      <c r="H339">
        <v>0</v>
      </c>
      <c r="I339">
        <v>0</v>
      </c>
      <c r="J339">
        <v>0.38882795805455711</v>
      </c>
      <c r="K339">
        <v>0</v>
      </c>
      <c r="L339">
        <v>0</v>
      </c>
      <c r="M339">
        <v>0.27187376018288978</v>
      </c>
      <c r="N339">
        <v>0</v>
      </c>
      <c r="O339">
        <v>0</v>
      </c>
      <c r="P339">
        <v>0.24115929672584041</v>
      </c>
      <c r="Q339">
        <v>1.8028635643254241</v>
      </c>
      <c r="R339">
        <v>3.6733339835828018</v>
      </c>
      <c r="S339">
        <v>0.41806453397355192</v>
      </c>
      <c r="T339">
        <v>0.302320378012498</v>
      </c>
      <c r="U339">
        <v>4.4790848077276904</v>
      </c>
      <c r="V339">
        <v>0.13073206832564599</v>
      </c>
      <c r="W339">
        <v>11.748512784958599</v>
      </c>
      <c r="X339">
        <v>0.47994667763586613</v>
      </c>
      <c r="Z339" t="s">
        <v>392</v>
      </c>
      <c r="AA339">
        <v>9937</v>
      </c>
      <c r="AB339" t="s">
        <v>730</v>
      </c>
      <c r="AC339" t="str">
        <f>HYPERLINK("plots/20251231000436_3FT6Y121H01_04823_B11P_N_UFLEX98_M5358A8BH101511/dpll_52046/txpa_55258.png","plot")</f>
        <v>plot</v>
      </c>
    </row>
    <row r="340" spans="1:29" hidden="1" x14ac:dyDescent="0.35">
      <c r="A340" t="s">
        <v>46</v>
      </c>
      <c r="B340">
        <v>52084</v>
      </c>
      <c r="C340" t="s">
        <v>52</v>
      </c>
      <c r="D340">
        <v>53179</v>
      </c>
      <c r="E340" t="s">
        <v>54</v>
      </c>
      <c r="F340">
        <v>8716</v>
      </c>
      <c r="G340">
        <v>0.15292879948093999</v>
      </c>
      <c r="H340">
        <v>9.2424750548150556E-47</v>
      </c>
      <c r="I340">
        <v>9.456982548519139E-47</v>
      </c>
      <c r="J340">
        <v>0.12945639609487819</v>
      </c>
      <c r="K340">
        <v>6.8616977658206374E-34</v>
      </c>
      <c r="L340">
        <v>7.0852968783524716E-34</v>
      </c>
      <c r="M340">
        <v>8.6653904996179365E-2</v>
      </c>
      <c r="N340">
        <v>7.6803558931236227E-34</v>
      </c>
      <c r="O340">
        <v>7.9377737196772534E-34</v>
      </c>
      <c r="P340">
        <v>2.3387217710681571E-2</v>
      </c>
      <c r="Q340">
        <v>1.3385403174957311</v>
      </c>
      <c r="R340">
        <v>-27.23555159243822</v>
      </c>
      <c r="S340">
        <v>1.077666376323148</v>
      </c>
      <c r="T340">
        <v>0.83083641140067377</v>
      </c>
      <c r="U340">
        <v>4.3169497564249664</v>
      </c>
      <c r="V340">
        <v>0.1245965072716559</v>
      </c>
      <c r="W340">
        <v>-21.457140294860029</v>
      </c>
      <c r="X340">
        <v>1.090556186724315</v>
      </c>
      <c r="Z340" t="s">
        <v>392</v>
      </c>
      <c r="AA340">
        <v>9937</v>
      </c>
      <c r="AB340" t="s">
        <v>731</v>
      </c>
      <c r="AC340" t="str">
        <f>HYPERLINK("plots/20251231000436_3FT6Y121H01_04823_B11P_N_UFLEX98_M5358A8BH101511/dpll_52084/txpa_53179.png","plot")</f>
        <v>plot</v>
      </c>
    </row>
    <row r="341" spans="1:29" hidden="1" x14ac:dyDescent="0.35">
      <c r="A341" t="s">
        <v>46</v>
      </c>
      <c r="B341">
        <v>52084</v>
      </c>
      <c r="C341" t="s">
        <v>52</v>
      </c>
      <c r="D341">
        <v>53180</v>
      </c>
      <c r="E341" t="s">
        <v>55</v>
      </c>
      <c r="F341">
        <v>8716</v>
      </c>
      <c r="G341">
        <v>0.1780511942437934</v>
      </c>
      <c r="H341">
        <v>5.2563560624259601E-63</v>
      </c>
      <c r="I341">
        <v>5.5004592851392404E-63</v>
      </c>
      <c r="J341">
        <v>0.1273337682616493</v>
      </c>
      <c r="K341">
        <v>7.801833734942213E-33</v>
      </c>
      <c r="L341">
        <v>8.0071451490196397E-33</v>
      </c>
      <c r="M341">
        <v>8.5746796869038841E-2</v>
      </c>
      <c r="N341">
        <v>3.5716381424202261E-33</v>
      </c>
      <c r="O341">
        <v>3.676792970978791E-33</v>
      </c>
      <c r="P341">
        <v>3.1702227771641042E-2</v>
      </c>
      <c r="Q341">
        <v>1.5342235701141631</v>
      </c>
      <c r="R341">
        <v>-27.647572251335149</v>
      </c>
      <c r="S341">
        <v>1.0564019130410149</v>
      </c>
      <c r="T341">
        <v>0.81666530331477105</v>
      </c>
      <c r="U341">
        <v>4.3169497564249664</v>
      </c>
      <c r="V341">
        <v>0.1245965072716559</v>
      </c>
      <c r="W341">
        <v>-21.02440618402937</v>
      </c>
      <c r="X341">
        <v>1.0736176133047111</v>
      </c>
      <c r="Z341" t="s">
        <v>392</v>
      </c>
      <c r="AA341">
        <v>9937</v>
      </c>
      <c r="AB341" t="s">
        <v>732</v>
      </c>
      <c r="AC341" t="str">
        <f>HYPERLINK("plots/20251231000436_3FT6Y121H01_04823_B11P_N_UFLEX98_M5358A8BH101511/dpll_52084/txpa_53180.png","plot")</f>
        <v>plot</v>
      </c>
    </row>
    <row r="342" spans="1:29" hidden="1" x14ac:dyDescent="0.35">
      <c r="A342" t="s">
        <v>46</v>
      </c>
      <c r="B342">
        <v>52084</v>
      </c>
      <c r="C342" t="s">
        <v>52</v>
      </c>
      <c r="D342">
        <v>53181</v>
      </c>
      <c r="E342" t="s">
        <v>56</v>
      </c>
      <c r="F342">
        <v>8716</v>
      </c>
      <c r="G342">
        <v>0.16053670376306811</v>
      </c>
      <c r="H342">
        <v>2.0824881033963561E-51</v>
      </c>
      <c r="I342">
        <v>2.145978594353562E-51</v>
      </c>
      <c r="J342">
        <v>0.13000472177609951</v>
      </c>
      <c r="K342">
        <v>3.6375346107001819E-34</v>
      </c>
      <c r="L342">
        <v>3.7675792597037642E-34</v>
      </c>
      <c r="M342">
        <v>8.7296386728840575E-2</v>
      </c>
      <c r="N342">
        <v>2.5488468789289041E-34</v>
      </c>
      <c r="O342">
        <v>2.6426694634293552E-34</v>
      </c>
      <c r="P342">
        <v>2.5772033255111081E-2</v>
      </c>
      <c r="Q342">
        <v>1.3431942177787219</v>
      </c>
      <c r="R342">
        <v>-26.97009884663612</v>
      </c>
      <c r="S342">
        <v>1.028906051306502</v>
      </c>
      <c r="T342">
        <v>0.79470799296657224</v>
      </c>
      <c r="U342">
        <v>4.3169497564249664</v>
      </c>
      <c r="V342">
        <v>0.1245965072716559</v>
      </c>
      <c r="W342">
        <v>-21.17159689536485</v>
      </c>
      <c r="X342">
        <v>1.042486261395468</v>
      </c>
      <c r="Z342" t="s">
        <v>392</v>
      </c>
      <c r="AA342">
        <v>9937</v>
      </c>
      <c r="AB342" t="s">
        <v>733</v>
      </c>
      <c r="AC342" t="str">
        <f>HYPERLINK("plots/20251231000436_3FT6Y121H01_04823_B11P_N_UFLEX98_M5358A8BH101511/dpll_52084/txpa_53181.png","plot")</f>
        <v>plot</v>
      </c>
    </row>
    <row r="343" spans="1:29" hidden="1" x14ac:dyDescent="0.35">
      <c r="A343" t="s">
        <v>46</v>
      </c>
      <c r="B343">
        <v>52084</v>
      </c>
      <c r="C343" t="s">
        <v>52</v>
      </c>
      <c r="D343">
        <v>53182</v>
      </c>
      <c r="E343" t="s">
        <v>57</v>
      </c>
      <c r="F343">
        <v>8716</v>
      </c>
      <c r="G343">
        <v>0.16228255511664899</v>
      </c>
      <c r="H343">
        <v>1.655586957077097E-52</v>
      </c>
      <c r="I343">
        <v>1.713025688240996E-52</v>
      </c>
      <c r="J343">
        <v>0.11331709275988899</v>
      </c>
      <c r="K343">
        <v>2.6233886780123391E-26</v>
      </c>
      <c r="L343">
        <v>2.6654470135315752E-26</v>
      </c>
      <c r="M343">
        <v>7.644292319380297E-2</v>
      </c>
      <c r="N343">
        <v>1.0463905993051721E-26</v>
      </c>
      <c r="O343">
        <v>1.0642327659934241E-26</v>
      </c>
      <c r="P343">
        <v>2.6335627695188241E-2</v>
      </c>
      <c r="Q343">
        <v>1.354276255053809</v>
      </c>
      <c r="R343">
        <v>-26.831001093443561</v>
      </c>
      <c r="S343">
        <v>1.0259377718949809</v>
      </c>
      <c r="T343">
        <v>0.79305557795694037</v>
      </c>
      <c r="U343">
        <v>4.3169497564249664</v>
      </c>
      <c r="V343">
        <v>0.1245965072716559</v>
      </c>
      <c r="W343">
        <v>-20.984658544056909</v>
      </c>
      <c r="X343">
        <v>1.039779606251291</v>
      </c>
      <c r="Z343" t="s">
        <v>392</v>
      </c>
      <c r="AA343">
        <v>9937</v>
      </c>
      <c r="AB343" t="s">
        <v>734</v>
      </c>
      <c r="AC343" t="str">
        <f>HYPERLINK("plots/20251231000436_3FT6Y121H01_04823_B11P_N_UFLEX98_M5358A8BH101511/dpll_52084/txpa_53182.png","plot")</f>
        <v>plot</v>
      </c>
    </row>
    <row r="344" spans="1:29" hidden="1" x14ac:dyDescent="0.35">
      <c r="A344" t="s">
        <v>46</v>
      </c>
      <c r="B344">
        <v>52084</v>
      </c>
      <c r="C344" t="s">
        <v>52</v>
      </c>
      <c r="D344">
        <v>53183</v>
      </c>
      <c r="E344" t="s">
        <v>58</v>
      </c>
      <c r="F344">
        <v>8716</v>
      </c>
      <c r="G344">
        <v>0.18552889152650889</v>
      </c>
      <c r="H344">
        <v>2.413107043460308E-68</v>
      </c>
      <c r="I344">
        <v>2.570263174441966E-68</v>
      </c>
      <c r="J344">
        <v>0.13810368063281639</v>
      </c>
      <c r="K344">
        <v>2.2431605349769701E-38</v>
      </c>
      <c r="L344">
        <v>2.3817432277137672E-38</v>
      </c>
      <c r="M344">
        <v>9.2865032136940404E-2</v>
      </c>
      <c r="N344">
        <v>1.3007817262866211E-38</v>
      </c>
      <c r="O344">
        <v>1.3811441575441191E-38</v>
      </c>
      <c r="P344">
        <v>3.4420969591055103E-2</v>
      </c>
      <c r="Q344">
        <v>1.41326127247693</v>
      </c>
      <c r="R344">
        <v>-26.844772062707388</v>
      </c>
      <c r="S344">
        <v>0.93257930618856755</v>
      </c>
      <c r="T344">
        <v>0.72463934796034557</v>
      </c>
      <c r="U344">
        <v>4.3169497564249664</v>
      </c>
      <c r="V344">
        <v>0.1245965072716559</v>
      </c>
      <c r="W344">
        <v>-20.743794156723268</v>
      </c>
      <c r="X344">
        <v>0.94911049682933923</v>
      </c>
      <c r="Z344" t="s">
        <v>392</v>
      </c>
      <c r="AA344">
        <v>9937</v>
      </c>
      <c r="AB344" t="s">
        <v>735</v>
      </c>
      <c r="AC344" t="str">
        <f>HYPERLINK("plots/20251231000436_3FT6Y121H01_04823_B11P_N_UFLEX98_M5358A8BH101511/dpll_52084/txpa_53183.png","plot")</f>
        <v>plot</v>
      </c>
    </row>
    <row r="345" spans="1:29" hidden="1" x14ac:dyDescent="0.35">
      <c r="A345" t="s">
        <v>46</v>
      </c>
      <c r="B345">
        <v>52084</v>
      </c>
      <c r="C345" t="s">
        <v>52</v>
      </c>
      <c r="D345">
        <v>53184</v>
      </c>
      <c r="E345" t="s">
        <v>59</v>
      </c>
      <c r="F345">
        <v>8716</v>
      </c>
      <c r="G345">
        <v>0.19184415440677929</v>
      </c>
      <c r="H345">
        <v>4.9208695531249682E-73</v>
      </c>
      <c r="I345">
        <v>5.2634617372032882E-73</v>
      </c>
      <c r="J345">
        <v>0.13568281128323151</v>
      </c>
      <c r="K345">
        <v>4.3308150728406267E-37</v>
      </c>
      <c r="L345">
        <v>4.5554424106435643E-37</v>
      </c>
      <c r="M345">
        <v>9.1239482768566929E-2</v>
      </c>
      <c r="N345">
        <v>2.4780428223476302E-37</v>
      </c>
      <c r="O345">
        <v>2.609278735057628E-37</v>
      </c>
      <c r="P345">
        <v>3.6804179580052193E-2</v>
      </c>
      <c r="Q345">
        <v>1.513320022380932</v>
      </c>
      <c r="R345">
        <v>-27.31234044189107</v>
      </c>
      <c r="S345">
        <v>0.96454047232965756</v>
      </c>
      <c r="T345">
        <v>0.74950508227940515</v>
      </c>
      <c r="U345">
        <v>4.3169497564249664</v>
      </c>
      <c r="V345">
        <v>0.1245965072716559</v>
      </c>
      <c r="W345">
        <v>-20.77941393988068</v>
      </c>
      <c r="X345">
        <v>0.98285188702244475</v>
      </c>
      <c r="Z345" t="s">
        <v>392</v>
      </c>
      <c r="AA345">
        <v>9937</v>
      </c>
      <c r="AB345" t="s">
        <v>736</v>
      </c>
      <c r="AC345" t="str">
        <f>HYPERLINK("plots/20251231000436_3FT6Y121H01_04823_B11P_N_UFLEX98_M5358A8BH101511/dpll_52084/txpa_53184.png","plot")</f>
        <v>plot</v>
      </c>
    </row>
    <row r="346" spans="1:29" hidden="1" x14ac:dyDescent="0.35">
      <c r="A346" t="s">
        <v>46</v>
      </c>
      <c r="B346">
        <v>52084</v>
      </c>
      <c r="C346" t="s">
        <v>52</v>
      </c>
      <c r="D346">
        <v>53185</v>
      </c>
      <c r="E346" t="s">
        <v>60</v>
      </c>
      <c r="F346">
        <v>8716</v>
      </c>
      <c r="G346">
        <v>0.17304466450405931</v>
      </c>
      <c r="H346">
        <v>1.461694218132473E-59</v>
      </c>
      <c r="I346">
        <v>1.52328667747824E-59</v>
      </c>
      <c r="J346">
        <v>0.13195025894662149</v>
      </c>
      <c r="K346">
        <v>3.7432490192977449E-35</v>
      </c>
      <c r="L346">
        <v>3.9049943472920922E-35</v>
      </c>
      <c r="M346">
        <v>8.858027222158206E-2</v>
      </c>
      <c r="N346">
        <v>2.7526557208134492E-35</v>
      </c>
      <c r="O346">
        <v>2.8745549957825301E-35</v>
      </c>
      <c r="P346">
        <v>2.994445591332243E-2</v>
      </c>
      <c r="Q346">
        <v>1.3661625471270289</v>
      </c>
      <c r="R346">
        <v>-26.739963792358449</v>
      </c>
      <c r="S346">
        <v>0.96877610006574211</v>
      </c>
      <c r="T346">
        <v>0.75161987230079763</v>
      </c>
      <c r="U346">
        <v>4.3169497564249664</v>
      </c>
      <c r="V346">
        <v>0.1245965072716559</v>
      </c>
      <c r="W346">
        <v>-20.84230871730151</v>
      </c>
      <c r="X346">
        <v>0.98367136730403981</v>
      </c>
      <c r="Z346" t="s">
        <v>392</v>
      </c>
      <c r="AA346">
        <v>9937</v>
      </c>
      <c r="AB346" t="s">
        <v>737</v>
      </c>
      <c r="AC346" t="str">
        <f>HYPERLINK("plots/20251231000436_3FT6Y121H01_04823_B11P_N_UFLEX98_M5358A8BH101511/dpll_52084/txpa_53185.png","plot")</f>
        <v>plot</v>
      </c>
    </row>
    <row r="347" spans="1:29" hidden="1" x14ac:dyDescent="0.35">
      <c r="A347" t="s">
        <v>46</v>
      </c>
      <c r="B347">
        <v>52084</v>
      </c>
      <c r="C347" t="s">
        <v>52</v>
      </c>
      <c r="D347">
        <v>53186</v>
      </c>
      <c r="E347" t="s">
        <v>61</v>
      </c>
      <c r="F347">
        <v>8716</v>
      </c>
      <c r="G347">
        <v>0.194402642861668</v>
      </c>
      <c r="H347">
        <v>5.5458555897019614E-75</v>
      </c>
      <c r="I347">
        <v>5.9634120550983974E-75</v>
      </c>
      <c r="J347">
        <v>0.15167577201628171</v>
      </c>
      <c r="K347">
        <v>5.1132436256901667E-46</v>
      </c>
      <c r="L347">
        <v>5.5040647945327269E-46</v>
      </c>
      <c r="M347">
        <v>0.1022448370710026</v>
      </c>
      <c r="N347">
        <v>1.950208471357558E-46</v>
      </c>
      <c r="O347">
        <v>2.1014998830569219E-46</v>
      </c>
      <c r="P347">
        <v>3.7792387551601227E-2</v>
      </c>
      <c r="Q347">
        <v>1.689791179125621</v>
      </c>
      <c r="R347">
        <v>-28.678283930057852</v>
      </c>
      <c r="S347">
        <v>1.062297651472877</v>
      </c>
      <c r="T347">
        <v>0.8253796931874372</v>
      </c>
      <c r="U347">
        <v>4.3169497564249664</v>
      </c>
      <c r="V347">
        <v>0.1245965072716559</v>
      </c>
      <c r="W347">
        <v>-21.383540310922449</v>
      </c>
      <c r="X347">
        <v>1.083020661850373</v>
      </c>
      <c r="Z347" t="s">
        <v>392</v>
      </c>
      <c r="AA347">
        <v>9937</v>
      </c>
      <c r="AB347" t="s">
        <v>738</v>
      </c>
      <c r="AC347" t="str">
        <f>HYPERLINK("plots/20251231000436_3FT6Y121H01_04823_B11P_N_UFLEX98_M5358A8BH101511/dpll_52084/txpa_53186.png","plot")</f>
        <v>plot</v>
      </c>
    </row>
    <row r="348" spans="1:29" hidden="1" x14ac:dyDescent="0.35">
      <c r="A348" t="s">
        <v>46</v>
      </c>
      <c r="B348">
        <v>52084</v>
      </c>
      <c r="C348" t="s">
        <v>52</v>
      </c>
      <c r="D348">
        <v>53187</v>
      </c>
      <c r="E348" t="s">
        <v>62</v>
      </c>
      <c r="F348">
        <v>8716</v>
      </c>
      <c r="G348">
        <v>0.36366879827739662</v>
      </c>
      <c r="H348">
        <v>8.8158503587073811E-271</v>
      </c>
      <c r="I348">
        <v>1.1104686041899729E-270</v>
      </c>
      <c r="J348">
        <v>0.29082661102849389</v>
      </c>
      <c r="K348">
        <v>1.7679576421383451E-169</v>
      </c>
      <c r="L348">
        <v>2.4160499314397329E-169</v>
      </c>
      <c r="M348">
        <v>0.19792618571281551</v>
      </c>
      <c r="N348">
        <v>5.5670124253558043E-169</v>
      </c>
      <c r="O348">
        <v>7.5266007990810479E-169</v>
      </c>
      <c r="P348">
        <v>0.13225499484052569</v>
      </c>
      <c r="Q348">
        <v>0.83940420566998319</v>
      </c>
      <c r="R348">
        <v>-11.600173494265571</v>
      </c>
      <c r="S348">
        <v>0.26788112477504278</v>
      </c>
      <c r="T348">
        <v>0.2017350709140267</v>
      </c>
      <c r="U348">
        <v>4.3169497564249664</v>
      </c>
      <c r="V348">
        <v>0.1245965072716559</v>
      </c>
      <c r="W348">
        <v>-7.9765077130564483</v>
      </c>
      <c r="X348">
        <v>0.28758813709347297</v>
      </c>
      <c r="Z348" t="s">
        <v>392</v>
      </c>
      <c r="AA348">
        <v>9937</v>
      </c>
      <c r="AB348" t="s">
        <v>739</v>
      </c>
      <c r="AC348" t="str">
        <f>HYPERLINK("plots/20251231000436_3FT6Y121H01_04823_B11P_N_UFLEX98_M5358A8BH101511/dpll_52084/txpa_53187.png","plot")</f>
        <v>plot</v>
      </c>
    </row>
    <row r="349" spans="1:29" hidden="1" x14ac:dyDescent="0.35">
      <c r="A349" t="s">
        <v>46</v>
      </c>
      <c r="B349">
        <v>52084</v>
      </c>
      <c r="C349" t="s">
        <v>52</v>
      </c>
      <c r="D349">
        <v>53188</v>
      </c>
      <c r="E349" t="s">
        <v>63</v>
      </c>
      <c r="F349">
        <v>8716</v>
      </c>
      <c r="G349">
        <v>0.31812874608528841</v>
      </c>
      <c r="H349">
        <v>3.3598820488709053E-204</v>
      </c>
      <c r="I349">
        <v>3.8847438968701218E-204</v>
      </c>
      <c r="J349">
        <v>0.1970615377663413</v>
      </c>
      <c r="K349">
        <v>4.8988867059809991E-77</v>
      </c>
      <c r="L349">
        <v>5.4111885837306467E-77</v>
      </c>
      <c r="M349">
        <v>0.1342881442390276</v>
      </c>
      <c r="N349">
        <v>7.531329175660382E-79</v>
      </c>
      <c r="O349">
        <v>8.3279910404794194E-79</v>
      </c>
      <c r="P349">
        <v>0.1012058990857979</v>
      </c>
      <c r="Q349">
        <v>0.99953735655173914</v>
      </c>
      <c r="R349">
        <v>-11.972294949464031</v>
      </c>
      <c r="S349">
        <v>0.37111386160524629</v>
      </c>
      <c r="T349">
        <v>0.29479006841457639</v>
      </c>
      <c r="U349">
        <v>4.3169497564249664</v>
      </c>
      <c r="V349">
        <v>0.1245965072716559</v>
      </c>
      <c r="W349">
        <v>-7.6573424015603493</v>
      </c>
      <c r="X349">
        <v>0.39147315370394847</v>
      </c>
      <c r="Z349" t="s">
        <v>392</v>
      </c>
      <c r="AA349">
        <v>9937</v>
      </c>
      <c r="AB349" t="s">
        <v>740</v>
      </c>
      <c r="AC349" t="str">
        <f>HYPERLINK("plots/20251231000436_3FT6Y121H01_04823_B11P_N_UFLEX98_M5358A8BH101511/dpll_52084/txpa_53188.png","plot")</f>
        <v>plot</v>
      </c>
    </row>
    <row r="350" spans="1:29" hidden="1" x14ac:dyDescent="0.35">
      <c r="A350" t="s">
        <v>46</v>
      </c>
      <c r="B350">
        <v>52084</v>
      </c>
      <c r="C350" t="s">
        <v>52</v>
      </c>
      <c r="D350">
        <v>53189</v>
      </c>
      <c r="E350" t="s">
        <v>64</v>
      </c>
      <c r="F350">
        <v>8716</v>
      </c>
      <c r="G350">
        <v>0.3679213758617097</v>
      </c>
      <c r="H350">
        <v>1.392560007561502E-277</v>
      </c>
      <c r="I350">
        <v>1.7672789082194779E-277</v>
      </c>
      <c r="J350">
        <v>0.27792849816911053</v>
      </c>
      <c r="K350">
        <v>2.345881887306179E-154</v>
      </c>
      <c r="L350">
        <v>3.0340870328169203E-154</v>
      </c>
      <c r="M350">
        <v>0.18930963346530991</v>
      </c>
      <c r="N350">
        <v>9.1429958651283844E-155</v>
      </c>
      <c r="O350">
        <v>1.193178610970422E-154</v>
      </c>
      <c r="P350">
        <v>0.13536613881597351</v>
      </c>
      <c r="Q350">
        <v>0.85724015055662295</v>
      </c>
      <c r="R350">
        <v>-11.44399520744509</v>
      </c>
      <c r="S350">
        <v>0.26992589882053031</v>
      </c>
      <c r="T350">
        <v>0.20973024428458231</v>
      </c>
      <c r="U350">
        <v>4.3169497564249664</v>
      </c>
      <c r="V350">
        <v>0.1245965072716559</v>
      </c>
      <c r="W350">
        <v>-7.7433325483019733</v>
      </c>
      <c r="X350">
        <v>0.29030422166210279</v>
      </c>
      <c r="Z350" t="s">
        <v>392</v>
      </c>
      <c r="AA350">
        <v>9937</v>
      </c>
      <c r="AB350" t="s">
        <v>741</v>
      </c>
      <c r="AC350" t="str">
        <f>HYPERLINK("plots/20251231000436_3FT6Y121H01_04823_B11P_N_UFLEX98_M5358A8BH101511/dpll_52084/txpa_53189.png","plot")</f>
        <v>plot</v>
      </c>
    </row>
    <row r="351" spans="1:29" hidden="1" x14ac:dyDescent="0.35">
      <c r="A351" t="s">
        <v>46</v>
      </c>
      <c r="B351">
        <v>52084</v>
      </c>
      <c r="C351" t="s">
        <v>52</v>
      </c>
      <c r="D351">
        <v>53190</v>
      </c>
      <c r="E351" t="s">
        <v>65</v>
      </c>
      <c r="F351">
        <v>8716</v>
      </c>
      <c r="G351">
        <v>0.34436064774626263</v>
      </c>
      <c r="H351">
        <v>3.5253156285043312E-241</v>
      </c>
      <c r="I351">
        <v>4.2454513625931008E-241</v>
      </c>
      <c r="J351">
        <v>0.2189398339233854</v>
      </c>
      <c r="K351">
        <v>4.3810609996813043E-95</v>
      </c>
      <c r="L351">
        <v>5.0196563318382388E-95</v>
      </c>
      <c r="M351">
        <v>0.14944184378802691</v>
      </c>
      <c r="N351">
        <v>3.4243812134140072E-97</v>
      </c>
      <c r="O351">
        <v>3.9683686290306308E-97</v>
      </c>
      <c r="P351">
        <v>0.1185842557162255</v>
      </c>
      <c r="Q351">
        <v>0.95895163356049107</v>
      </c>
      <c r="R351">
        <v>-11.821965053620771</v>
      </c>
      <c r="S351">
        <v>0.32572758720934358</v>
      </c>
      <c r="T351">
        <v>0.25405711957829419</v>
      </c>
      <c r="U351">
        <v>4.3169497564249664</v>
      </c>
      <c r="V351">
        <v>0.1245965072716559</v>
      </c>
      <c r="W351">
        <v>-7.6822190326984856</v>
      </c>
      <c r="X351">
        <v>0.34696770657756659</v>
      </c>
      <c r="Z351" t="s">
        <v>392</v>
      </c>
      <c r="AA351">
        <v>9937</v>
      </c>
      <c r="AB351" t="s">
        <v>742</v>
      </c>
      <c r="AC351" t="str">
        <f>HYPERLINK("plots/20251231000436_3FT6Y121H01_04823_B11P_N_UFLEX98_M5358A8BH101511/dpll_52084/txpa_53190.png","plot")</f>
        <v>plot</v>
      </c>
    </row>
    <row r="352" spans="1:29" hidden="1" x14ac:dyDescent="0.35">
      <c r="A352" t="s">
        <v>46</v>
      </c>
      <c r="B352">
        <v>52084</v>
      </c>
      <c r="C352" t="s">
        <v>52</v>
      </c>
      <c r="D352">
        <v>53191</v>
      </c>
      <c r="E352" t="s">
        <v>66</v>
      </c>
      <c r="F352">
        <v>8716</v>
      </c>
      <c r="G352">
        <v>0.39777848781480701</v>
      </c>
      <c r="H352">
        <v>0</v>
      </c>
      <c r="I352">
        <v>0</v>
      </c>
      <c r="J352">
        <v>0.29002045141384297</v>
      </c>
      <c r="K352">
        <v>1.6456417044170689E-168</v>
      </c>
      <c r="L352">
        <v>2.233842956196664E-168</v>
      </c>
      <c r="M352">
        <v>0.19853285339918919</v>
      </c>
      <c r="N352">
        <v>5.2104213738240953E-170</v>
      </c>
      <c r="O352">
        <v>7.0917681517552106E-170</v>
      </c>
      <c r="P352">
        <v>0.1582277253682346</v>
      </c>
      <c r="Q352">
        <v>0.89750092971461404</v>
      </c>
      <c r="R352">
        <v>-11.415657769968581</v>
      </c>
      <c r="S352">
        <v>0.25791219436216811</v>
      </c>
      <c r="T352">
        <v>0.1996887822121878</v>
      </c>
      <c r="U352">
        <v>4.3169497564249664</v>
      </c>
      <c r="V352">
        <v>0.1245965072716559</v>
      </c>
      <c r="W352">
        <v>-7.5411913500458931</v>
      </c>
      <c r="X352">
        <v>0.28112500937347618</v>
      </c>
      <c r="Z352" t="s">
        <v>392</v>
      </c>
      <c r="AA352">
        <v>9937</v>
      </c>
      <c r="AB352" t="s">
        <v>743</v>
      </c>
      <c r="AC352" t="str">
        <f>HYPERLINK("plots/20251231000436_3FT6Y121H01_04823_B11P_N_UFLEX98_M5358A8BH101511/dpll_52084/txpa_53191.png","plot")</f>
        <v>plot</v>
      </c>
    </row>
    <row r="353" spans="1:29" hidden="1" x14ac:dyDescent="0.35">
      <c r="A353" t="s">
        <v>46</v>
      </c>
      <c r="B353">
        <v>52084</v>
      </c>
      <c r="C353" t="s">
        <v>52</v>
      </c>
      <c r="D353">
        <v>53192</v>
      </c>
      <c r="E353" t="s">
        <v>67</v>
      </c>
      <c r="F353">
        <v>8714</v>
      </c>
      <c r="G353">
        <v>0.37367922236573892</v>
      </c>
      <c r="H353">
        <v>6.8312884455719558E-287</v>
      </c>
      <c r="I353">
        <v>8.8241101704585518E-287</v>
      </c>
      <c r="J353">
        <v>0.25021162200779129</v>
      </c>
      <c r="K353">
        <v>1.682980380551724E-124</v>
      </c>
      <c r="L353">
        <v>2.026772097244E-124</v>
      </c>
      <c r="M353">
        <v>0.17183296747728019</v>
      </c>
      <c r="N353">
        <v>7.7371697808741566E-128</v>
      </c>
      <c r="O353">
        <v>9.4070625393362042E-128</v>
      </c>
      <c r="P353">
        <v>0.13963616122786329</v>
      </c>
      <c r="Q353">
        <v>1.000226893410068</v>
      </c>
      <c r="R353">
        <v>-11.84769651109043</v>
      </c>
      <c r="S353">
        <v>0.30909393098051913</v>
      </c>
      <c r="T353">
        <v>0.23981713134621721</v>
      </c>
      <c r="U353">
        <v>4.3170286534312599</v>
      </c>
      <c r="V353">
        <v>0.1245015468883639</v>
      </c>
      <c r="W353">
        <v>-7.5296883523066329</v>
      </c>
      <c r="X353">
        <v>0.33325319690109118</v>
      </c>
      <c r="Z353" t="s">
        <v>392</v>
      </c>
      <c r="AA353">
        <v>9937</v>
      </c>
      <c r="AB353" t="s">
        <v>744</v>
      </c>
      <c r="AC353" t="str">
        <f>HYPERLINK("plots/20251231000436_3FT6Y121H01_04823_B11P_N_UFLEX98_M5358A8BH101511/dpll_52084/txpa_53192.png","plot")</f>
        <v>plot</v>
      </c>
    </row>
    <row r="354" spans="1:29" hidden="1" x14ac:dyDescent="0.35">
      <c r="A354" t="s">
        <v>46</v>
      </c>
      <c r="B354">
        <v>52084</v>
      </c>
      <c r="C354" t="s">
        <v>52</v>
      </c>
      <c r="D354">
        <v>53193</v>
      </c>
      <c r="E354" t="s">
        <v>68</v>
      </c>
      <c r="F354">
        <v>8716</v>
      </c>
      <c r="G354">
        <v>0.3875101126694025</v>
      </c>
      <c r="H354">
        <v>0</v>
      </c>
      <c r="I354">
        <v>0</v>
      </c>
      <c r="J354">
        <v>0.2894775699626449</v>
      </c>
      <c r="K354">
        <v>7.3619833519163288E-168</v>
      </c>
      <c r="L354">
        <v>9.9269296793127095E-168</v>
      </c>
      <c r="M354">
        <v>0.1980269177404971</v>
      </c>
      <c r="N354">
        <v>3.7103885507282879E-169</v>
      </c>
      <c r="O354">
        <v>5.023142844377148E-169</v>
      </c>
      <c r="P354">
        <v>0.150164087421053</v>
      </c>
      <c r="Q354">
        <v>0.90054125334636403</v>
      </c>
      <c r="R354">
        <v>-11.39255711080556</v>
      </c>
      <c r="S354">
        <v>0.2669125932773152</v>
      </c>
      <c r="T354">
        <v>0.20897900991038201</v>
      </c>
      <c r="U354">
        <v>4.3169497564249664</v>
      </c>
      <c r="V354">
        <v>0.1245965072716559</v>
      </c>
      <c r="W354">
        <v>-7.504965766521341</v>
      </c>
      <c r="X354">
        <v>0.28955191400829711</v>
      </c>
      <c r="Z354" t="s">
        <v>392</v>
      </c>
      <c r="AA354">
        <v>9937</v>
      </c>
      <c r="AB354" t="s">
        <v>745</v>
      </c>
      <c r="AC354" t="str">
        <f>HYPERLINK("plots/20251231000436_3FT6Y121H01_04823_B11P_N_UFLEX98_M5358A8BH101511/dpll_52084/txpa_53193.png","plot")</f>
        <v>plot</v>
      </c>
    </row>
    <row r="355" spans="1:29" hidden="1" x14ac:dyDescent="0.35">
      <c r="A355" t="s">
        <v>46</v>
      </c>
      <c r="B355">
        <v>52084</v>
      </c>
      <c r="C355" t="s">
        <v>52</v>
      </c>
      <c r="D355">
        <v>53194</v>
      </c>
      <c r="E355" t="s">
        <v>69</v>
      </c>
      <c r="F355">
        <v>8713</v>
      </c>
      <c r="G355">
        <v>0.39634010722645457</v>
      </c>
      <c r="H355">
        <v>0</v>
      </c>
      <c r="I355">
        <v>0</v>
      </c>
      <c r="J355">
        <v>0.28470216221002143</v>
      </c>
      <c r="K355">
        <v>3.8351194544143601E-162</v>
      </c>
      <c r="L355">
        <v>5.0243037813645493E-162</v>
      </c>
      <c r="M355">
        <v>0.1951312041649623</v>
      </c>
      <c r="N355">
        <v>3.0178769935461871E-164</v>
      </c>
      <c r="O355">
        <v>4.0211922095346034E-164</v>
      </c>
      <c r="P355">
        <v>0.15708548059627761</v>
      </c>
      <c r="Q355">
        <v>0.98016911751705493</v>
      </c>
      <c r="R355">
        <v>-12.13280743575517</v>
      </c>
      <c r="S355">
        <v>0.28253911326423792</v>
      </c>
      <c r="T355">
        <v>0.21694082624072891</v>
      </c>
      <c r="U355">
        <v>4.3170713371972917</v>
      </c>
      <c r="V355">
        <v>0.1244453695426037</v>
      </c>
      <c r="W355">
        <v>-7.9013474329163316</v>
      </c>
      <c r="X355">
        <v>0.3077596887613599</v>
      </c>
      <c r="Z355" t="s">
        <v>392</v>
      </c>
      <c r="AA355">
        <v>9937</v>
      </c>
      <c r="AB355" t="s">
        <v>746</v>
      </c>
      <c r="AC355" t="str">
        <f>HYPERLINK("plots/20251231000436_3FT6Y121H01_04823_B11P_N_UFLEX98_M5358A8BH101511/dpll_52084/txpa_53194.png","plot")</f>
        <v>plot</v>
      </c>
    </row>
    <row r="356" spans="1:29" hidden="1" x14ac:dyDescent="0.35">
      <c r="A356" t="s">
        <v>46</v>
      </c>
      <c r="B356">
        <v>52084</v>
      </c>
      <c r="C356" t="s">
        <v>52</v>
      </c>
      <c r="D356">
        <v>53195</v>
      </c>
      <c r="E356" t="s">
        <v>70</v>
      </c>
      <c r="F356">
        <v>8715</v>
      </c>
      <c r="G356">
        <v>0.39122910929654209</v>
      </c>
      <c r="H356">
        <v>0</v>
      </c>
      <c r="I356">
        <v>0</v>
      </c>
      <c r="J356">
        <v>0.3121307168613196</v>
      </c>
      <c r="K356">
        <v>3.1536850944157241E-196</v>
      </c>
      <c r="L356">
        <v>4.641272403102386E-196</v>
      </c>
      <c r="M356">
        <v>0.21284235316597361</v>
      </c>
      <c r="N356">
        <v>4.2461739957387847E-195</v>
      </c>
      <c r="O356">
        <v>6.2309991775385343E-195</v>
      </c>
      <c r="P356">
        <v>0.1530602159609657</v>
      </c>
      <c r="Q356">
        <v>0.82111159231141484</v>
      </c>
      <c r="R356">
        <v>-5.5000294115654604</v>
      </c>
      <c r="S356">
        <v>0.24061889945351669</v>
      </c>
      <c r="T356">
        <v>0.1790601639113254</v>
      </c>
      <c r="U356">
        <v>4.3169742947791159</v>
      </c>
      <c r="V356">
        <v>0.1245825926204399</v>
      </c>
      <c r="W356">
        <v>-1.955311774411933</v>
      </c>
      <c r="X356">
        <v>0.26147392555934718</v>
      </c>
      <c r="Z356" t="s">
        <v>392</v>
      </c>
      <c r="AA356">
        <v>9937</v>
      </c>
      <c r="AB356" t="s">
        <v>747</v>
      </c>
      <c r="AC356" t="str">
        <f>HYPERLINK("plots/20251231000436_3FT6Y121H01_04823_B11P_N_UFLEX98_M5358A8BH101511/dpll_52084/txpa_53195.png","plot")</f>
        <v>plot</v>
      </c>
    </row>
    <row r="357" spans="1:29" hidden="1" x14ac:dyDescent="0.35">
      <c r="A357" t="s">
        <v>46</v>
      </c>
      <c r="B357">
        <v>52084</v>
      </c>
      <c r="C357" t="s">
        <v>52</v>
      </c>
      <c r="D357">
        <v>53196</v>
      </c>
      <c r="E357" t="s">
        <v>71</v>
      </c>
      <c r="F357">
        <v>8716</v>
      </c>
      <c r="G357">
        <v>0.33623298984436761</v>
      </c>
      <c r="H357">
        <v>2.487345201543737E-229</v>
      </c>
      <c r="I357">
        <v>2.9361676767931889E-229</v>
      </c>
      <c r="J357">
        <v>0.20867202327737561</v>
      </c>
      <c r="K357">
        <v>2.3368335505264381E-86</v>
      </c>
      <c r="L357">
        <v>2.618286431197578E-86</v>
      </c>
      <c r="M357">
        <v>0.14233448874128929</v>
      </c>
      <c r="N357">
        <v>2.3388036534413911E-88</v>
      </c>
      <c r="O357">
        <v>2.6321275300661161E-88</v>
      </c>
      <c r="P357">
        <v>0.1130526234596826</v>
      </c>
      <c r="Q357">
        <v>0.95441412326181729</v>
      </c>
      <c r="R357">
        <v>-5.7896333864365372</v>
      </c>
      <c r="S357">
        <v>0.33306301934047322</v>
      </c>
      <c r="T357">
        <v>0.26381034802783859</v>
      </c>
      <c r="U357">
        <v>4.3169497564249664</v>
      </c>
      <c r="V357">
        <v>0.1245965072716559</v>
      </c>
      <c r="W357">
        <v>-1.6694755694928869</v>
      </c>
      <c r="X357">
        <v>0.35367340457640722</v>
      </c>
      <c r="Z357" t="s">
        <v>392</v>
      </c>
      <c r="AA357">
        <v>9937</v>
      </c>
      <c r="AB357" t="s">
        <v>748</v>
      </c>
      <c r="AC357" t="str">
        <f>HYPERLINK("plots/20251231000436_3FT6Y121H01_04823_B11P_N_UFLEX98_M5358A8BH101511/dpll_52084/txpa_53196.png","plot")</f>
        <v>plot</v>
      </c>
    </row>
    <row r="358" spans="1:29" hidden="1" x14ac:dyDescent="0.35">
      <c r="A358" t="s">
        <v>46</v>
      </c>
      <c r="B358">
        <v>52084</v>
      </c>
      <c r="C358" t="s">
        <v>52</v>
      </c>
      <c r="D358">
        <v>53197</v>
      </c>
      <c r="E358" t="s">
        <v>72</v>
      </c>
      <c r="F358">
        <v>8716</v>
      </c>
      <c r="G358">
        <v>0.39843548755824149</v>
      </c>
      <c r="H358">
        <v>0</v>
      </c>
      <c r="I358">
        <v>0</v>
      </c>
      <c r="J358">
        <v>0.30263381215906848</v>
      </c>
      <c r="K358">
        <v>4.9029400269750011E-184</v>
      </c>
      <c r="L358">
        <v>6.9242077818282048E-184</v>
      </c>
      <c r="M358">
        <v>0.20689319235683951</v>
      </c>
      <c r="N358">
        <v>1.7616328171583739E-184</v>
      </c>
      <c r="O358">
        <v>2.5194579359641631E-184</v>
      </c>
      <c r="P358">
        <v>0.15875083774577359</v>
      </c>
      <c r="Q358">
        <v>0.84068174105842031</v>
      </c>
      <c r="R358">
        <v>-5.384049498100774</v>
      </c>
      <c r="S358">
        <v>0.24111091857902259</v>
      </c>
      <c r="T358">
        <v>0.18540370876227061</v>
      </c>
      <c r="U358">
        <v>4.3169497564249664</v>
      </c>
      <c r="V358">
        <v>0.1245965072716559</v>
      </c>
      <c r="W358">
        <v>-1.75486866080771</v>
      </c>
      <c r="X358">
        <v>0.26289327114122202</v>
      </c>
      <c r="Z358" t="s">
        <v>392</v>
      </c>
      <c r="AA358">
        <v>9937</v>
      </c>
      <c r="AB358" t="s">
        <v>749</v>
      </c>
      <c r="AC358" t="str">
        <f>HYPERLINK("plots/20251231000436_3FT6Y121H01_04823_B11P_N_UFLEX98_M5358A8BH101511/dpll_52084/txpa_53197.png","plot")</f>
        <v>plot</v>
      </c>
    </row>
    <row r="359" spans="1:29" hidden="1" x14ac:dyDescent="0.35">
      <c r="A359" t="s">
        <v>46</v>
      </c>
      <c r="B359">
        <v>52084</v>
      </c>
      <c r="C359" t="s">
        <v>52</v>
      </c>
      <c r="D359">
        <v>53198</v>
      </c>
      <c r="E359" t="s">
        <v>73</v>
      </c>
      <c r="F359">
        <v>8716</v>
      </c>
      <c r="G359">
        <v>0.36644838206082853</v>
      </c>
      <c r="H359">
        <v>3.2462702314545942E-275</v>
      </c>
      <c r="I359">
        <v>4.1146475183686979E-275</v>
      </c>
      <c r="J359">
        <v>0.23568051760205491</v>
      </c>
      <c r="K359">
        <v>2.6474765350909581E-110</v>
      </c>
      <c r="L359">
        <v>3.1179340378423141E-110</v>
      </c>
      <c r="M359">
        <v>0.161121227838086</v>
      </c>
      <c r="N359">
        <v>1.1231981249397339E-112</v>
      </c>
      <c r="O359">
        <v>1.336763965597289E-112</v>
      </c>
      <c r="P359">
        <v>0.13428441671499891</v>
      </c>
      <c r="Q359">
        <v>0.9225303229969043</v>
      </c>
      <c r="R359">
        <v>-5.6869676652029417</v>
      </c>
      <c r="S359">
        <v>0.29183435238626299</v>
      </c>
      <c r="T359">
        <v>0.2265103845045629</v>
      </c>
      <c r="U359">
        <v>4.3169497564249664</v>
      </c>
      <c r="V359">
        <v>0.1245965072716559</v>
      </c>
      <c r="W359">
        <v>-1.7044506120468099</v>
      </c>
      <c r="X359">
        <v>0.31367052421185659</v>
      </c>
      <c r="Z359" t="s">
        <v>392</v>
      </c>
      <c r="AA359">
        <v>9937</v>
      </c>
      <c r="AB359" t="s">
        <v>750</v>
      </c>
      <c r="AC359" t="str">
        <f>HYPERLINK("plots/20251231000436_3FT6Y121H01_04823_B11P_N_UFLEX98_M5358A8BH101511/dpll_52084/txpa_53198.png","plot")</f>
        <v>plot</v>
      </c>
    </row>
    <row r="360" spans="1:29" hidden="1" x14ac:dyDescent="0.35">
      <c r="A360" t="s">
        <v>46</v>
      </c>
      <c r="B360">
        <v>52084</v>
      </c>
      <c r="C360" t="s">
        <v>52</v>
      </c>
      <c r="D360">
        <v>53199</v>
      </c>
      <c r="E360" t="s">
        <v>74</v>
      </c>
      <c r="F360">
        <v>8713</v>
      </c>
      <c r="G360">
        <v>0.4300126224214238</v>
      </c>
      <c r="H360">
        <v>0</v>
      </c>
      <c r="I360">
        <v>0</v>
      </c>
      <c r="J360">
        <v>0.3195971073283162</v>
      </c>
      <c r="K360">
        <v>4.1893518241533421E-206</v>
      </c>
      <c r="L360">
        <v>6.3497798949050654E-206</v>
      </c>
      <c r="M360">
        <v>0.21970457685946251</v>
      </c>
      <c r="N360">
        <v>1.067209658442413E-207</v>
      </c>
      <c r="O360">
        <v>1.6248507412321431E-207</v>
      </c>
      <c r="P360">
        <v>0.18491085544175001</v>
      </c>
      <c r="Q360">
        <v>0.87803238766213976</v>
      </c>
      <c r="R360">
        <v>-5.3786323589876872</v>
      </c>
      <c r="S360">
        <v>0.22949775077320139</v>
      </c>
      <c r="T360">
        <v>0.1763396722593896</v>
      </c>
      <c r="U360">
        <v>4.3170480374153559</v>
      </c>
      <c r="V360">
        <v>0.1245006075024038</v>
      </c>
      <c r="W360">
        <v>-1.5881243630437281</v>
      </c>
      <c r="X360">
        <v>0.25421478340603321</v>
      </c>
      <c r="Z360" t="s">
        <v>392</v>
      </c>
      <c r="AA360">
        <v>9937</v>
      </c>
      <c r="AB360" t="s">
        <v>751</v>
      </c>
      <c r="AC360" t="str">
        <f>HYPERLINK("plots/20251231000436_3FT6Y121H01_04823_B11P_N_UFLEX98_M5358A8BH101511/dpll_52084/txpa_53199.png","plot")</f>
        <v>plot</v>
      </c>
    </row>
    <row r="361" spans="1:29" hidden="1" x14ac:dyDescent="0.35">
      <c r="A361" t="s">
        <v>46</v>
      </c>
      <c r="B361">
        <v>52084</v>
      </c>
      <c r="C361" t="s">
        <v>52</v>
      </c>
      <c r="D361">
        <v>53200</v>
      </c>
      <c r="E361" t="s">
        <v>75</v>
      </c>
      <c r="F361">
        <v>8712</v>
      </c>
      <c r="G361">
        <v>0.39717202137037472</v>
      </c>
      <c r="H361">
        <v>0</v>
      </c>
      <c r="I361">
        <v>0</v>
      </c>
      <c r="J361">
        <v>0.26973616715935078</v>
      </c>
      <c r="K361">
        <v>4.237321264803546E-145</v>
      </c>
      <c r="L361">
        <v>5.377526611402748E-145</v>
      </c>
      <c r="M361">
        <v>0.18567053666541031</v>
      </c>
      <c r="N361">
        <v>6.5992397993822163E-149</v>
      </c>
      <c r="O361">
        <v>8.4704166538905913E-149</v>
      </c>
      <c r="P361">
        <v>0.15774561455942929</v>
      </c>
      <c r="Q361">
        <v>0.96358147185951881</v>
      </c>
      <c r="R361">
        <v>-5.7315828664142323</v>
      </c>
      <c r="S361">
        <v>0.27709316927483579</v>
      </c>
      <c r="T361">
        <v>0.21366421264206251</v>
      </c>
      <c r="U361">
        <v>4.3170860431588611</v>
      </c>
      <c r="V361">
        <v>0.1244569955137302</v>
      </c>
      <c r="W361">
        <v>-1.5717187428030299</v>
      </c>
      <c r="X361">
        <v>0.30194587853030169</v>
      </c>
      <c r="Z361" t="s">
        <v>392</v>
      </c>
      <c r="AA361">
        <v>9937</v>
      </c>
      <c r="AB361" t="s">
        <v>752</v>
      </c>
      <c r="AC361" t="str">
        <f>HYPERLINK("plots/20251231000436_3FT6Y121H01_04823_B11P_N_UFLEX98_M5358A8BH101511/dpll_52084/txpa_53200.png","plot")</f>
        <v>plot</v>
      </c>
    </row>
    <row r="362" spans="1:29" hidden="1" x14ac:dyDescent="0.35">
      <c r="A362" t="s">
        <v>46</v>
      </c>
      <c r="B362">
        <v>52084</v>
      </c>
      <c r="C362" t="s">
        <v>52</v>
      </c>
      <c r="D362">
        <v>53201</v>
      </c>
      <c r="E362" t="s">
        <v>76</v>
      </c>
      <c r="F362">
        <v>8715</v>
      </c>
      <c r="G362">
        <v>0.41952065965732888</v>
      </c>
      <c r="H362">
        <v>0</v>
      </c>
      <c r="I362">
        <v>0</v>
      </c>
      <c r="J362">
        <v>0.31476692898119069</v>
      </c>
      <c r="K362">
        <v>1.0658465468732411E-199</v>
      </c>
      <c r="L362">
        <v>1.580070758084016E-199</v>
      </c>
      <c r="M362">
        <v>0.2159448381290979</v>
      </c>
      <c r="N362">
        <v>9.0845208666311773E-201</v>
      </c>
      <c r="O362">
        <v>1.3566574607899871E-200</v>
      </c>
      <c r="P362">
        <v>0.17599758387932041</v>
      </c>
      <c r="Q362">
        <v>0.88229519867095285</v>
      </c>
      <c r="R362">
        <v>-5.3536527015222202</v>
      </c>
      <c r="S362">
        <v>0.23779316324417871</v>
      </c>
      <c r="T362">
        <v>0.1844473590774606</v>
      </c>
      <c r="U362">
        <v>4.31698256993689</v>
      </c>
      <c r="V362">
        <v>0.12456598786527739</v>
      </c>
      <c r="W362">
        <v>-1.5447997073207109</v>
      </c>
      <c r="X362">
        <v>0.26197511488709452</v>
      </c>
      <c r="Z362" t="s">
        <v>392</v>
      </c>
      <c r="AA362">
        <v>9937</v>
      </c>
      <c r="AB362" t="s">
        <v>753</v>
      </c>
      <c r="AC362" t="str">
        <f>HYPERLINK("plots/20251231000436_3FT6Y121H01_04823_B11P_N_UFLEX98_M5358A8BH101511/dpll_52084/txpa_53201.png","plot")</f>
        <v>plot</v>
      </c>
    </row>
    <row r="363" spans="1:29" hidden="1" x14ac:dyDescent="0.35">
      <c r="A363" t="s">
        <v>46</v>
      </c>
      <c r="B363">
        <v>52084</v>
      </c>
      <c r="C363" t="s">
        <v>52</v>
      </c>
      <c r="D363">
        <v>53202</v>
      </c>
      <c r="E363" t="s">
        <v>77</v>
      </c>
      <c r="F363">
        <v>8712</v>
      </c>
      <c r="G363">
        <v>0.41511350617558329</v>
      </c>
      <c r="H363">
        <v>0</v>
      </c>
      <c r="I363">
        <v>0</v>
      </c>
      <c r="J363">
        <v>0.29804200140454878</v>
      </c>
      <c r="K363">
        <v>3.2702100022193272E-178</v>
      </c>
      <c r="L363">
        <v>4.548687163580792E-178</v>
      </c>
      <c r="M363">
        <v>0.20457154130118599</v>
      </c>
      <c r="N363">
        <v>2.5030985431787929E-180</v>
      </c>
      <c r="O363">
        <v>3.5251971149768009E-180</v>
      </c>
      <c r="P363">
        <v>0.17231922300938601</v>
      </c>
      <c r="Q363">
        <v>0.92902917053363376</v>
      </c>
      <c r="R363">
        <v>-5.8908443441413114</v>
      </c>
      <c r="S363">
        <v>0.25330331681442497</v>
      </c>
      <c r="T363">
        <v>0.19351221616250769</v>
      </c>
      <c r="U363">
        <v>4.3171041759641868</v>
      </c>
      <c r="V363">
        <v>0.1244147530790896</v>
      </c>
      <c r="W363">
        <v>-1.8801286324380171</v>
      </c>
      <c r="X363">
        <v>0.27844175902656287</v>
      </c>
      <c r="Z363" t="s">
        <v>392</v>
      </c>
      <c r="AA363">
        <v>9937</v>
      </c>
      <c r="AB363" t="s">
        <v>754</v>
      </c>
      <c r="AC363" t="str">
        <f>HYPERLINK("plots/20251231000436_3FT6Y121H01_04823_B11P_N_UFLEX98_M5358A8BH101511/dpll_52084/txpa_53202.png","plot")</f>
        <v>plot</v>
      </c>
    </row>
    <row r="364" spans="1:29" hidden="1" x14ac:dyDescent="0.35">
      <c r="A364" t="s">
        <v>46</v>
      </c>
      <c r="B364">
        <v>52084</v>
      </c>
      <c r="C364" t="s">
        <v>52</v>
      </c>
      <c r="D364">
        <v>53203</v>
      </c>
      <c r="E364" t="s">
        <v>78</v>
      </c>
      <c r="F364">
        <v>8711</v>
      </c>
      <c r="G364">
        <v>0.40971216729290572</v>
      </c>
      <c r="H364">
        <v>0</v>
      </c>
      <c r="I364">
        <v>0</v>
      </c>
      <c r="J364">
        <v>0.33026043293002671</v>
      </c>
      <c r="K364">
        <v>1.005579089318187E-220</v>
      </c>
      <c r="L364">
        <v>1.5735450564330901E-220</v>
      </c>
      <c r="M364">
        <v>0.22573793630972591</v>
      </c>
      <c r="N364">
        <v>4.2180634958070559E-219</v>
      </c>
      <c r="O364">
        <v>6.580179053459008E-219</v>
      </c>
      <c r="P364">
        <v>0.16786406002785001</v>
      </c>
      <c r="Q364">
        <v>0.85890857983207936</v>
      </c>
      <c r="R364">
        <v>-2.8069810023237829</v>
      </c>
      <c r="S364">
        <v>0.23785038433549219</v>
      </c>
      <c r="T364">
        <v>0.1754470543867086</v>
      </c>
      <c r="U364">
        <v>4.3171353610377681</v>
      </c>
      <c r="V364">
        <v>0.1243837275052731</v>
      </c>
      <c r="W364">
        <v>0.90104359956801749</v>
      </c>
      <c r="X364">
        <v>0.26075440095338448</v>
      </c>
      <c r="Z364" t="s">
        <v>392</v>
      </c>
      <c r="AA364">
        <v>9937</v>
      </c>
      <c r="AB364" t="s">
        <v>755</v>
      </c>
      <c r="AC364" t="str">
        <f>HYPERLINK("plots/20251231000436_3FT6Y121H01_04823_B11P_N_UFLEX98_M5358A8BH101511/dpll_52084/txpa_53203.png","plot")</f>
        <v>plot</v>
      </c>
    </row>
    <row r="365" spans="1:29" hidden="1" x14ac:dyDescent="0.35">
      <c r="A365" t="s">
        <v>46</v>
      </c>
      <c r="B365">
        <v>52084</v>
      </c>
      <c r="C365" t="s">
        <v>52</v>
      </c>
      <c r="D365">
        <v>53204</v>
      </c>
      <c r="E365" t="s">
        <v>79</v>
      </c>
      <c r="F365">
        <v>8716</v>
      </c>
      <c r="G365">
        <v>0.35976090463622318</v>
      </c>
      <c r="H365">
        <v>1.272697093472937E-264</v>
      </c>
      <c r="I365">
        <v>1.5873491424127409E-264</v>
      </c>
      <c r="J365">
        <v>0.22542704670500599</v>
      </c>
      <c r="K365">
        <v>7.7789423055866071E-101</v>
      </c>
      <c r="L365">
        <v>9.045696671863325E-101</v>
      </c>
      <c r="M365">
        <v>0.15386695882458651</v>
      </c>
      <c r="N365">
        <v>6.2134104856423857E-103</v>
      </c>
      <c r="O365">
        <v>7.2252273307813979E-103</v>
      </c>
      <c r="P365">
        <v>0.1294279085046737</v>
      </c>
      <c r="Q365">
        <v>0.99554949712711982</v>
      </c>
      <c r="R365">
        <v>-3.1209229254561488</v>
      </c>
      <c r="S365">
        <v>0.32168603973008131</v>
      </c>
      <c r="T365">
        <v>0.2530534623461147</v>
      </c>
      <c r="U365">
        <v>4.3169497564249664</v>
      </c>
      <c r="V365">
        <v>0.1245965072716559</v>
      </c>
      <c r="W365">
        <v>1.176814233675769</v>
      </c>
      <c r="X365">
        <v>0.34479007740854772</v>
      </c>
      <c r="Z365" t="s">
        <v>392</v>
      </c>
      <c r="AA365">
        <v>9937</v>
      </c>
      <c r="AB365" t="s">
        <v>756</v>
      </c>
      <c r="AC365" t="str">
        <f>HYPERLINK("plots/20251231000436_3FT6Y121H01_04823_B11P_N_UFLEX98_M5358A8BH101511/dpll_52084/txpa_53204.png","plot")</f>
        <v>plot</v>
      </c>
    </row>
    <row r="366" spans="1:29" hidden="1" x14ac:dyDescent="0.35">
      <c r="A366" t="s">
        <v>46</v>
      </c>
      <c r="B366">
        <v>52084</v>
      </c>
      <c r="C366" t="s">
        <v>52</v>
      </c>
      <c r="D366">
        <v>53205</v>
      </c>
      <c r="E366" t="s">
        <v>80</v>
      </c>
      <c r="F366">
        <v>8715</v>
      </c>
      <c r="G366">
        <v>0.42527931979895339</v>
      </c>
      <c r="H366">
        <v>0</v>
      </c>
      <c r="I366">
        <v>0</v>
      </c>
      <c r="J366">
        <v>0.3277247341688635</v>
      </c>
      <c r="K366">
        <v>2.7874574470200299E-217</v>
      </c>
      <c r="L366">
        <v>4.3152394676004741E-217</v>
      </c>
      <c r="M366">
        <v>0.2246877358675827</v>
      </c>
      <c r="N366">
        <v>3.46839200826675E-217</v>
      </c>
      <c r="O366">
        <v>5.3940943196050369E-217</v>
      </c>
      <c r="P366">
        <v>0.18086249984866051</v>
      </c>
      <c r="Q366">
        <v>0.8957028116861605</v>
      </c>
      <c r="R366">
        <v>-2.7815281728033501</v>
      </c>
      <c r="S366">
        <v>0.23739405672590511</v>
      </c>
      <c r="T366">
        <v>0.18028063310199621</v>
      </c>
      <c r="U366">
        <v>4.3169906629948356</v>
      </c>
      <c r="V366">
        <v>0.1245451106562782</v>
      </c>
      <c r="W366">
        <v>1.085212502064028</v>
      </c>
      <c r="X366">
        <v>0.26231091097805798</v>
      </c>
      <c r="Z366" t="s">
        <v>392</v>
      </c>
      <c r="AA366">
        <v>9937</v>
      </c>
      <c r="AB366" t="s">
        <v>757</v>
      </c>
      <c r="AC366" t="str">
        <f>HYPERLINK("plots/20251231000436_3FT6Y121H01_04823_B11P_N_UFLEX98_M5358A8BH101511/dpll_52084/txpa_53205.png","plot")</f>
        <v>plot</v>
      </c>
    </row>
    <row r="367" spans="1:29" hidden="1" x14ac:dyDescent="0.35">
      <c r="A367" t="s">
        <v>46</v>
      </c>
      <c r="B367">
        <v>52084</v>
      </c>
      <c r="C367" t="s">
        <v>52</v>
      </c>
      <c r="D367">
        <v>53206</v>
      </c>
      <c r="E367" t="s">
        <v>81</v>
      </c>
      <c r="F367">
        <v>8713</v>
      </c>
      <c r="G367">
        <v>0.38907778604544901</v>
      </c>
      <c r="H367">
        <v>0</v>
      </c>
      <c r="I367">
        <v>0</v>
      </c>
      <c r="J367">
        <v>0.25536571933441943</v>
      </c>
      <c r="K367">
        <v>9.2418364034996658E-130</v>
      </c>
      <c r="L367">
        <v>1.126348811676522E-129</v>
      </c>
      <c r="M367">
        <v>0.17480270434733669</v>
      </c>
      <c r="N367">
        <v>3.123888520803781E-132</v>
      </c>
      <c r="O367">
        <v>3.8164132049337758E-132</v>
      </c>
      <c r="P367">
        <v>0.15138152359402821</v>
      </c>
      <c r="Q367">
        <v>0.95981888709720009</v>
      </c>
      <c r="R367">
        <v>-3.001646208258602</v>
      </c>
      <c r="S367">
        <v>0.28281878637722019</v>
      </c>
      <c r="T367">
        <v>0.21831625966838</v>
      </c>
      <c r="U367">
        <v>4.3170632345919886</v>
      </c>
      <c r="V367">
        <v>0.1244583619399507</v>
      </c>
      <c r="W367">
        <v>1.1419526210957189</v>
      </c>
      <c r="X367">
        <v>0.30702725966778749</v>
      </c>
      <c r="Z367" t="s">
        <v>392</v>
      </c>
      <c r="AA367">
        <v>9937</v>
      </c>
      <c r="AB367" t="s">
        <v>758</v>
      </c>
      <c r="AC367" t="str">
        <f>HYPERLINK("plots/20251231000436_3FT6Y121H01_04823_B11P_N_UFLEX98_M5358A8BH101511/dpll_52084/txpa_53206.png","plot")</f>
        <v>plot</v>
      </c>
    </row>
    <row r="368" spans="1:29" hidden="1" x14ac:dyDescent="0.35">
      <c r="A368" t="s">
        <v>46</v>
      </c>
      <c r="B368">
        <v>52084</v>
      </c>
      <c r="C368" t="s">
        <v>52</v>
      </c>
      <c r="D368">
        <v>53207</v>
      </c>
      <c r="E368" t="s">
        <v>82</v>
      </c>
      <c r="F368">
        <v>8712</v>
      </c>
      <c r="G368">
        <v>0.45483165993990587</v>
      </c>
      <c r="H368">
        <v>0</v>
      </c>
      <c r="I368">
        <v>0</v>
      </c>
      <c r="J368">
        <v>0.34380170139845689</v>
      </c>
      <c r="K368">
        <v>3.0397484744244041E-240</v>
      </c>
      <c r="L368">
        <v>5.0446889575553929E-240</v>
      </c>
      <c r="M368">
        <v>0.23716156639080749</v>
      </c>
      <c r="N368">
        <v>1.202626680772895E-241</v>
      </c>
      <c r="O368">
        <v>2.0256868011689629E-241</v>
      </c>
      <c r="P368">
        <v>0.20687183888369021</v>
      </c>
      <c r="Q368">
        <v>0.92976430663411669</v>
      </c>
      <c r="R368">
        <v>-2.7709564711264081</v>
      </c>
      <c r="S368">
        <v>0.22654417195852619</v>
      </c>
      <c r="T368">
        <v>0.17191142609953339</v>
      </c>
      <c r="U368">
        <v>4.317089746097337</v>
      </c>
      <c r="V368">
        <v>0.1244468628605717</v>
      </c>
      <c r="W368">
        <v>1.242919483331038</v>
      </c>
      <c r="X368">
        <v>0.25439357316427369</v>
      </c>
      <c r="Z368" t="s">
        <v>392</v>
      </c>
      <c r="AA368">
        <v>9937</v>
      </c>
      <c r="AB368" t="s">
        <v>759</v>
      </c>
      <c r="AC368" t="str">
        <f>HYPERLINK("plots/20251231000436_3FT6Y121H01_04823_B11P_N_UFLEX98_M5358A8BH101511/dpll_52084/txpa_53207.png","plot")</f>
        <v>plot</v>
      </c>
    </row>
    <row r="369" spans="1:29" hidden="1" x14ac:dyDescent="0.35">
      <c r="A369" t="s">
        <v>46</v>
      </c>
      <c r="B369">
        <v>52084</v>
      </c>
      <c r="C369" t="s">
        <v>52</v>
      </c>
      <c r="D369">
        <v>53208</v>
      </c>
      <c r="E369" t="s">
        <v>83</v>
      </c>
      <c r="F369">
        <v>8707</v>
      </c>
      <c r="G369">
        <v>0.41812655899905388</v>
      </c>
      <c r="H369">
        <v>0</v>
      </c>
      <c r="I369">
        <v>0</v>
      </c>
      <c r="J369">
        <v>0.29006432522975562</v>
      </c>
      <c r="K369">
        <v>2.1660851109170438E-168</v>
      </c>
      <c r="L369">
        <v>2.932457012643368E-168</v>
      </c>
      <c r="M369">
        <v>0.19990828101675359</v>
      </c>
      <c r="N369">
        <v>3.3502608090312601E-172</v>
      </c>
      <c r="O369">
        <v>4.5907627842671591E-172</v>
      </c>
      <c r="P369">
        <v>0.1748298193403893</v>
      </c>
      <c r="Q369">
        <v>0.98977695519459796</v>
      </c>
      <c r="R369">
        <v>-3.0154972181953981</v>
      </c>
      <c r="S369">
        <v>0.26703457108746059</v>
      </c>
      <c r="T369">
        <v>0.2049183815143617</v>
      </c>
      <c r="U369">
        <v>4.3172928310554717</v>
      </c>
      <c r="V369">
        <v>0.12419127466447601</v>
      </c>
      <c r="W369">
        <v>1.257659734810153</v>
      </c>
      <c r="X369">
        <v>0.29398195128623561</v>
      </c>
      <c r="Z369" t="s">
        <v>392</v>
      </c>
      <c r="AA369">
        <v>9937</v>
      </c>
      <c r="AB369" t="s">
        <v>760</v>
      </c>
      <c r="AC369" t="str">
        <f>HYPERLINK("plots/20251231000436_3FT6Y121H01_04823_B11P_N_UFLEX98_M5358A8BH101511/dpll_52084/txpa_53208.png","plot")</f>
        <v>plot</v>
      </c>
    </row>
    <row r="370" spans="1:29" hidden="1" x14ac:dyDescent="0.35">
      <c r="A370" t="s">
        <v>46</v>
      </c>
      <c r="B370">
        <v>52084</v>
      </c>
      <c r="C370" t="s">
        <v>52</v>
      </c>
      <c r="D370">
        <v>53209</v>
      </c>
      <c r="E370" t="s">
        <v>84</v>
      </c>
      <c r="F370">
        <v>8714</v>
      </c>
      <c r="G370">
        <v>0.44673435369668207</v>
      </c>
      <c r="H370">
        <v>0</v>
      </c>
      <c r="I370">
        <v>0</v>
      </c>
      <c r="J370">
        <v>0.33727270136847642</v>
      </c>
      <c r="K370">
        <v>8.9614853803012723E-231</v>
      </c>
      <c r="L370">
        <v>1.4446655287162939E-230</v>
      </c>
      <c r="M370">
        <v>0.23208233168432971</v>
      </c>
      <c r="N370">
        <v>1.5032178507595911E-231</v>
      </c>
      <c r="O370">
        <v>2.4271702239971741E-231</v>
      </c>
      <c r="P370">
        <v>0.1995715827727923</v>
      </c>
      <c r="Q370">
        <v>0.93454953989134415</v>
      </c>
      <c r="R370">
        <v>-2.7505611440189708</v>
      </c>
      <c r="S370">
        <v>0.23302871410423229</v>
      </c>
      <c r="T370">
        <v>0.17880591154893269</v>
      </c>
      <c r="U370">
        <v>4.3170234849667208</v>
      </c>
      <c r="V370">
        <v>0.1245145584609494</v>
      </c>
      <c r="W370">
        <v>1.2839111675568049</v>
      </c>
      <c r="X370">
        <v>0.2604792363885724</v>
      </c>
      <c r="Z370" t="s">
        <v>392</v>
      </c>
      <c r="AA370">
        <v>9937</v>
      </c>
      <c r="AB370" t="s">
        <v>761</v>
      </c>
      <c r="AC370" t="str">
        <f>HYPERLINK("plots/20251231000436_3FT6Y121H01_04823_B11P_N_UFLEX98_M5358A8BH101511/dpll_52084/txpa_53209.png","plot")</f>
        <v>plot</v>
      </c>
    </row>
    <row r="371" spans="1:29" hidden="1" x14ac:dyDescent="0.35">
      <c r="A371" t="s">
        <v>46</v>
      </c>
      <c r="B371">
        <v>52084</v>
      </c>
      <c r="C371" t="s">
        <v>52</v>
      </c>
      <c r="D371">
        <v>53210</v>
      </c>
      <c r="E371" t="s">
        <v>85</v>
      </c>
      <c r="F371">
        <v>8708</v>
      </c>
      <c r="G371">
        <v>0.43180633479267072</v>
      </c>
      <c r="H371">
        <v>0</v>
      </c>
      <c r="I371">
        <v>0</v>
      </c>
      <c r="J371">
        <v>0.31303788847127972</v>
      </c>
      <c r="K371">
        <v>2.9193095766846133E-197</v>
      </c>
      <c r="L371">
        <v>4.3025870795904028E-197</v>
      </c>
      <c r="M371">
        <v>0.2151349246364947</v>
      </c>
      <c r="N371">
        <v>3.9739113881925039E-199</v>
      </c>
      <c r="O371">
        <v>5.9171015383659325E-199</v>
      </c>
      <c r="P371">
        <v>0.18645671076708001</v>
      </c>
      <c r="Q371">
        <v>0.9579520580424864</v>
      </c>
      <c r="R371">
        <v>-3.1577206425904438</v>
      </c>
      <c r="S371">
        <v>0.24850459379661219</v>
      </c>
      <c r="T371">
        <v>0.18881664291452491</v>
      </c>
      <c r="U371">
        <v>4.3172710124023883</v>
      </c>
      <c r="V371">
        <v>0.1241979022220928</v>
      </c>
      <c r="W371">
        <v>0.97801800886759283</v>
      </c>
      <c r="X371">
        <v>0.27553008478983682</v>
      </c>
      <c r="Z371" t="s">
        <v>392</v>
      </c>
      <c r="AA371">
        <v>9937</v>
      </c>
      <c r="AB371" t="s">
        <v>762</v>
      </c>
      <c r="AC371" t="str">
        <f>HYPERLINK("plots/20251231000436_3FT6Y121H01_04823_B11P_N_UFLEX98_M5358A8BH101511/dpll_52084/txpa_53210.png","plot")</f>
        <v>plot</v>
      </c>
    </row>
    <row r="372" spans="1:29" hidden="1" x14ac:dyDescent="0.35">
      <c r="A372" t="s">
        <v>46</v>
      </c>
      <c r="B372">
        <v>52084</v>
      </c>
      <c r="C372" t="s">
        <v>52</v>
      </c>
      <c r="D372">
        <v>53211</v>
      </c>
      <c r="E372" t="s">
        <v>86</v>
      </c>
      <c r="F372">
        <v>8702</v>
      </c>
      <c r="G372">
        <v>0.43448742578326383</v>
      </c>
      <c r="H372">
        <v>0</v>
      </c>
      <c r="I372">
        <v>0</v>
      </c>
      <c r="J372">
        <v>0.3604334340778465</v>
      </c>
      <c r="K372">
        <v>2.9803870914685648E-265</v>
      </c>
      <c r="L372">
        <v>5.4062835612685604E-265</v>
      </c>
      <c r="M372">
        <v>0.24738286102449589</v>
      </c>
      <c r="N372">
        <v>1.927388324817502E-262</v>
      </c>
      <c r="O372">
        <v>3.4713530397245938E-262</v>
      </c>
      <c r="P372">
        <v>0.18877932316376719</v>
      </c>
      <c r="Q372">
        <v>0.9485221904049238</v>
      </c>
      <c r="R372">
        <v>7.6691020331631776E-3</v>
      </c>
      <c r="S372">
        <v>0.24368056090268209</v>
      </c>
      <c r="T372">
        <v>0.1766787055321459</v>
      </c>
      <c r="U372">
        <v>4.3174926277867156</v>
      </c>
      <c r="V372">
        <v>0.1239384475149489</v>
      </c>
      <c r="W372">
        <v>4.1029066663985292</v>
      </c>
      <c r="X372">
        <v>0.27056793991296518</v>
      </c>
      <c r="Z372" t="s">
        <v>392</v>
      </c>
      <c r="AA372">
        <v>9937</v>
      </c>
      <c r="AB372" t="s">
        <v>763</v>
      </c>
      <c r="AC372" t="str">
        <f>HYPERLINK("plots/20251231000436_3FT6Y121H01_04823_B11P_N_UFLEX98_M5358A8BH101511/dpll_52084/txpa_53211.png","plot")</f>
        <v>plot</v>
      </c>
    </row>
    <row r="373" spans="1:29" hidden="1" x14ac:dyDescent="0.35">
      <c r="A373" t="s">
        <v>46</v>
      </c>
      <c r="B373">
        <v>52084</v>
      </c>
      <c r="C373" t="s">
        <v>52</v>
      </c>
      <c r="D373">
        <v>53212</v>
      </c>
      <c r="E373" t="s">
        <v>87</v>
      </c>
      <c r="F373">
        <v>8710</v>
      </c>
      <c r="G373">
        <v>0.39645733218939372</v>
      </c>
      <c r="H373">
        <v>0</v>
      </c>
      <c r="I373">
        <v>0</v>
      </c>
      <c r="J373">
        <v>0.26057907512194878</v>
      </c>
      <c r="K373">
        <v>3.5657944595211702E-135</v>
      </c>
      <c r="L373">
        <v>4.3826855538842022E-135</v>
      </c>
      <c r="M373">
        <v>0.1780987397826958</v>
      </c>
      <c r="N373">
        <v>3.8135184201136092E-137</v>
      </c>
      <c r="O373">
        <v>4.7214989963311347E-137</v>
      </c>
      <c r="P373">
        <v>0.15717841624673121</v>
      </c>
      <c r="Q373">
        <v>1.079835432177523</v>
      </c>
      <c r="R373">
        <v>-0.29505831844559699</v>
      </c>
      <c r="S373">
        <v>0.31084489890432609</v>
      </c>
      <c r="T373">
        <v>0.24085556651794801</v>
      </c>
      <c r="U373">
        <v>4.3171804442020658</v>
      </c>
      <c r="V373">
        <v>0.1243196369305984</v>
      </c>
      <c r="W373">
        <v>4.3667860923076924</v>
      </c>
      <c r="X373">
        <v>0.33861083645938128</v>
      </c>
      <c r="Z373" t="s">
        <v>392</v>
      </c>
      <c r="AA373">
        <v>9937</v>
      </c>
      <c r="AB373" t="s">
        <v>764</v>
      </c>
      <c r="AC373" t="str">
        <f>HYPERLINK("plots/20251231000436_3FT6Y121H01_04823_B11P_N_UFLEX98_M5358A8BH101511/dpll_52084/txpa_53212.png","plot")</f>
        <v>plot</v>
      </c>
    </row>
    <row r="374" spans="1:29" hidden="1" x14ac:dyDescent="0.35">
      <c r="A374" t="s">
        <v>46</v>
      </c>
      <c r="B374">
        <v>52084</v>
      </c>
      <c r="C374" t="s">
        <v>52</v>
      </c>
      <c r="D374">
        <v>53213</v>
      </c>
      <c r="E374" t="s">
        <v>88</v>
      </c>
      <c r="F374">
        <v>8703</v>
      </c>
      <c r="G374">
        <v>0.45636330099113698</v>
      </c>
      <c r="H374">
        <v>0</v>
      </c>
      <c r="I374">
        <v>0</v>
      </c>
      <c r="J374">
        <v>0.36682201374791928</v>
      </c>
      <c r="K374">
        <v>2.0907155409829E-275</v>
      </c>
      <c r="L374">
        <v>3.882757433253958E-275</v>
      </c>
      <c r="M374">
        <v>0.25296485161492399</v>
      </c>
      <c r="N374">
        <v>2.369926696757979E-274</v>
      </c>
      <c r="O374">
        <v>4.3852293257529018E-274</v>
      </c>
      <c r="P374">
        <v>0.20826746249152711</v>
      </c>
      <c r="Q374">
        <v>0.98853523668657761</v>
      </c>
      <c r="R374">
        <v>-4.0701584115163669E-3</v>
      </c>
      <c r="S374">
        <v>0.23894447652705389</v>
      </c>
      <c r="T374">
        <v>0.17759703423770429</v>
      </c>
      <c r="U374">
        <v>4.3174556236929789</v>
      </c>
      <c r="V374">
        <v>0.12397989371569609</v>
      </c>
      <c r="W374">
        <v>4.2638868584396183</v>
      </c>
      <c r="X374">
        <v>0.26855466535641209</v>
      </c>
      <c r="Z374" t="s">
        <v>392</v>
      </c>
      <c r="AA374">
        <v>9937</v>
      </c>
      <c r="AB374" t="s">
        <v>765</v>
      </c>
      <c r="AC374" t="str">
        <f>HYPERLINK("plots/20251231000436_3FT6Y121H01_04823_B11P_N_UFLEX98_M5358A8BH101511/dpll_52084/txpa_53213.png","plot")</f>
        <v>plot</v>
      </c>
    </row>
    <row r="375" spans="1:29" hidden="1" x14ac:dyDescent="0.35">
      <c r="A375" t="s">
        <v>46</v>
      </c>
      <c r="B375">
        <v>52084</v>
      </c>
      <c r="C375" t="s">
        <v>52</v>
      </c>
      <c r="D375">
        <v>53214</v>
      </c>
      <c r="E375" t="s">
        <v>89</v>
      </c>
      <c r="F375">
        <v>8697</v>
      </c>
      <c r="G375">
        <v>0.41759843457876028</v>
      </c>
      <c r="H375">
        <v>0</v>
      </c>
      <c r="I375">
        <v>0</v>
      </c>
      <c r="J375">
        <v>0.29080047135334708</v>
      </c>
      <c r="K375">
        <v>4.4050219429565729E-169</v>
      </c>
      <c r="L375">
        <v>5.9955600673261268E-169</v>
      </c>
      <c r="M375">
        <v>0.19946259825541279</v>
      </c>
      <c r="N375">
        <v>2.9865382969526499E-171</v>
      </c>
      <c r="O375">
        <v>4.0703626789112731E-171</v>
      </c>
      <c r="P375">
        <v>0.17438845256263119</v>
      </c>
      <c r="Q375">
        <v>1.018711716794481</v>
      </c>
      <c r="R375">
        <v>-6.1880641519142188E-2</v>
      </c>
      <c r="S375">
        <v>0.27415797837798989</v>
      </c>
      <c r="T375">
        <v>0.20970029040591501</v>
      </c>
      <c r="U375">
        <v>4.3176924385420259</v>
      </c>
      <c r="V375">
        <v>0.1236931187825426</v>
      </c>
      <c r="W375">
        <v>4.3366032351385542</v>
      </c>
      <c r="X375">
        <v>0.30174353866468367</v>
      </c>
      <c r="Z375" t="s">
        <v>392</v>
      </c>
      <c r="AA375">
        <v>9937</v>
      </c>
      <c r="AB375" t="s">
        <v>766</v>
      </c>
      <c r="AC375" t="str">
        <f>HYPERLINK("plots/20251231000436_3FT6Y121H01_04823_B11P_N_UFLEX98_M5358A8BH101511/dpll_52084/txpa_53214.png","plot")</f>
        <v>plot</v>
      </c>
    </row>
    <row r="376" spans="1:29" hidden="1" x14ac:dyDescent="0.35">
      <c r="A376" t="s">
        <v>46</v>
      </c>
      <c r="B376">
        <v>52084</v>
      </c>
      <c r="C376" t="s">
        <v>52</v>
      </c>
      <c r="D376">
        <v>53215</v>
      </c>
      <c r="E376" t="s">
        <v>90</v>
      </c>
      <c r="F376">
        <v>8698</v>
      </c>
      <c r="G376">
        <v>0.48105686927312352</v>
      </c>
      <c r="H376">
        <v>0</v>
      </c>
      <c r="I376">
        <v>0</v>
      </c>
      <c r="J376">
        <v>0.37952176310779268</v>
      </c>
      <c r="K376">
        <v>4.651053197011418E-296</v>
      </c>
      <c r="L376">
        <v>9.302106394022837E-296</v>
      </c>
      <c r="M376">
        <v>0.2632073605627524</v>
      </c>
      <c r="N376">
        <v>1.137527776205966E-296</v>
      </c>
      <c r="O376">
        <v>2.3115293889235449E-296</v>
      </c>
      <c r="P376">
        <v>0.23141571147485909</v>
      </c>
      <c r="Q376">
        <v>1.0162975342067</v>
      </c>
      <c r="R376">
        <v>2.501682638042357E-2</v>
      </c>
      <c r="S376">
        <v>0.22917912616639169</v>
      </c>
      <c r="T376">
        <v>0.1708177556357397</v>
      </c>
      <c r="U376">
        <v>4.317652911358933</v>
      </c>
      <c r="V376">
        <v>0.1237456164052297</v>
      </c>
      <c r="W376">
        <v>4.4130368337548864</v>
      </c>
      <c r="X376">
        <v>0.26142930878744097</v>
      </c>
      <c r="Z376" t="s">
        <v>392</v>
      </c>
      <c r="AA376">
        <v>9937</v>
      </c>
      <c r="AB376" t="s">
        <v>767</v>
      </c>
      <c r="AC376" t="str">
        <f>HYPERLINK("plots/20251231000436_3FT6Y121H01_04823_B11P_N_UFLEX98_M5358A8BH101511/dpll_52084/txpa_53215.png","plot")</f>
        <v>plot</v>
      </c>
    </row>
    <row r="377" spans="1:29" hidden="1" x14ac:dyDescent="0.35">
      <c r="A377" t="s">
        <v>46</v>
      </c>
      <c r="B377">
        <v>52084</v>
      </c>
      <c r="C377" t="s">
        <v>52</v>
      </c>
      <c r="D377">
        <v>53216</v>
      </c>
      <c r="E377" t="s">
        <v>91</v>
      </c>
      <c r="F377">
        <v>8694</v>
      </c>
      <c r="G377">
        <v>0.4481290404317903</v>
      </c>
      <c r="H377">
        <v>0</v>
      </c>
      <c r="I377">
        <v>0</v>
      </c>
      <c r="J377">
        <v>0.3283162145599961</v>
      </c>
      <c r="K377">
        <v>1.3879382212313829E-217</v>
      </c>
      <c r="L377">
        <v>2.1585419575592369E-217</v>
      </c>
      <c r="M377">
        <v>0.2268529818252136</v>
      </c>
      <c r="N377">
        <v>7.9264887237724869E-221</v>
      </c>
      <c r="O377">
        <v>1.238437529415301E-220</v>
      </c>
      <c r="P377">
        <v>0.20081963687831711</v>
      </c>
      <c r="Q377">
        <v>1.054697204067323</v>
      </c>
      <c r="R377">
        <v>-0.13043071210447901</v>
      </c>
      <c r="S377">
        <v>0.25984984705132219</v>
      </c>
      <c r="T377">
        <v>0.1967033279784007</v>
      </c>
      <c r="U377">
        <v>4.3178249031515987</v>
      </c>
      <c r="V377">
        <v>0.12350949203047309</v>
      </c>
      <c r="W377">
        <v>4.4235671409017714</v>
      </c>
      <c r="X377">
        <v>0.29068661962813142</v>
      </c>
      <c r="Z377" t="s">
        <v>392</v>
      </c>
      <c r="AA377">
        <v>9937</v>
      </c>
      <c r="AB377" t="s">
        <v>768</v>
      </c>
      <c r="AC377" t="str">
        <f>HYPERLINK("plots/20251231000436_3FT6Y121H01_04823_B11P_N_UFLEX98_M5358A8BH101511/dpll_52084/txpa_53216.png","plot")</f>
        <v>plot</v>
      </c>
    </row>
    <row r="378" spans="1:29" hidden="1" x14ac:dyDescent="0.35">
      <c r="A378" t="s">
        <v>46</v>
      </c>
      <c r="B378">
        <v>52084</v>
      </c>
      <c r="C378" t="s">
        <v>52</v>
      </c>
      <c r="D378">
        <v>53217</v>
      </c>
      <c r="E378" t="s">
        <v>92</v>
      </c>
      <c r="F378">
        <v>8708</v>
      </c>
      <c r="G378">
        <v>0.4816458797511316</v>
      </c>
      <c r="H378">
        <v>0</v>
      </c>
      <c r="I378">
        <v>0</v>
      </c>
      <c r="J378">
        <v>0.37161905839357351</v>
      </c>
      <c r="K378">
        <v>2.5340901700833599E-283</v>
      </c>
      <c r="L378">
        <v>4.8029297803075269E-283</v>
      </c>
      <c r="M378">
        <v>0.25730277178696842</v>
      </c>
      <c r="N378">
        <v>6.272781167897068E-284</v>
      </c>
      <c r="O378">
        <v>1.2069449913183351E-283</v>
      </c>
      <c r="P378">
        <v>0.2319827534812415</v>
      </c>
      <c r="Q378">
        <v>1.03897773452136</v>
      </c>
      <c r="R378">
        <v>-3.8840175069902998E-2</v>
      </c>
      <c r="S378">
        <v>0.2348039859975497</v>
      </c>
      <c r="T378">
        <v>0.17674363886627001</v>
      </c>
      <c r="U378">
        <v>4.3172660997932937</v>
      </c>
      <c r="V378">
        <v>0.12421284972909021</v>
      </c>
      <c r="W378">
        <v>4.4467031766192013</v>
      </c>
      <c r="X378">
        <v>0.26794454314994898</v>
      </c>
      <c r="Z378" t="s">
        <v>392</v>
      </c>
      <c r="AA378">
        <v>9937</v>
      </c>
      <c r="AB378" t="s">
        <v>769</v>
      </c>
      <c r="AC378" t="str">
        <f>HYPERLINK("plots/20251231000436_3FT6Y121H01_04823_B11P_N_UFLEX98_M5358A8BH101511/dpll_52084/txpa_53217.png","plot")</f>
        <v>plot</v>
      </c>
    </row>
    <row r="379" spans="1:29" hidden="1" x14ac:dyDescent="0.35">
      <c r="A379" t="s">
        <v>46</v>
      </c>
      <c r="B379">
        <v>52084</v>
      </c>
      <c r="C379" t="s">
        <v>52</v>
      </c>
      <c r="D379">
        <v>53218</v>
      </c>
      <c r="E379" t="s">
        <v>93</v>
      </c>
      <c r="F379">
        <v>8695</v>
      </c>
      <c r="G379">
        <v>0.45286446177759859</v>
      </c>
      <c r="H379">
        <v>0</v>
      </c>
      <c r="I379">
        <v>0</v>
      </c>
      <c r="J379">
        <v>0.33919237831065491</v>
      </c>
      <c r="K379">
        <v>4.7935174413107868E-233</v>
      </c>
      <c r="L379">
        <v>7.764579369790955E-233</v>
      </c>
      <c r="M379">
        <v>0.23378063183314349</v>
      </c>
      <c r="N379">
        <v>2.0455091263654811E-234</v>
      </c>
      <c r="O379">
        <v>3.3400100710702047E-234</v>
      </c>
      <c r="P379">
        <v>0.2050862207411141</v>
      </c>
      <c r="Q379">
        <v>1.0189650376785939</v>
      </c>
      <c r="R379">
        <v>-0.21607823828350001</v>
      </c>
      <c r="S379">
        <v>0.24791394603988601</v>
      </c>
      <c r="T379">
        <v>0.1863694641158507</v>
      </c>
      <c r="U379">
        <v>4.3177756992524428</v>
      </c>
      <c r="V379">
        <v>0.1235875943820635</v>
      </c>
      <c r="W379">
        <v>4.1835842397929834</v>
      </c>
      <c r="X379">
        <v>0.27807754503812437</v>
      </c>
      <c r="Z379" t="s">
        <v>392</v>
      </c>
      <c r="AA379">
        <v>9937</v>
      </c>
      <c r="AB379" t="s">
        <v>770</v>
      </c>
      <c r="AC379" t="str">
        <f>HYPERLINK("plots/20251231000436_3FT6Y121H01_04823_B11P_N_UFLEX98_M5358A8BH101511/dpll_52084/txpa_53218.png","plot")</f>
        <v>plot</v>
      </c>
    </row>
    <row r="380" spans="1:29" hidden="1" x14ac:dyDescent="0.35">
      <c r="A380" t="s">
        <v>46</v>
      </c>
      <c r="B380">
        <v>52084</v>
      </c>
      <c r="C380" t="s">
        <v>52</v>
      </c>
      <c r="D380">
        <v>53219</v>
      </c>
      <c r="E380" t="s">
        <v>94</v>
      </c>
      <c r="F380">
        <v>8697</v>
      </c>
      <c r="G380">
        <v>0.4478061742389392</v>
      </c>
      <c r="H380">
        <v>0</v>
      </c>
      <c r="I380">
        <v>0</v>
      </c>
      <c r="J380">
        <v>0.37895136483512859</v>
      </c>
      <c r="K380">
        <v>4.5296511472822362E-295</v>
      </c>
      <c r="L380">
        <v>9.0237058218942784E-295</v>
      </c>
      <c r="M380">
        <v>0.26116555277697212</v>
      </c>
      <c r="N380">
        <v>4.3615768919643847E-292</v>
      </c>
      <c r="O380">
        <v>8.6043559697507522E-292</v>
      </c>
      <c r="P380">
        <v>0.20053036968651519</v>
      </c>
      <c r="Q380">
        <v>1.0301296127380879</v>
      </c>
      <c r="R380">
        <v>1.4123627273670161</v>
      </c>
      <c r="S380">
        <v>0.25433030633610881</v>
      </c>
      <c r="T380">
        <v>0.1818416389702536</v>
      </c>
      <c r="U380">
        <v>4.3177043099919512</v>
      </c>
      <c r="V380">
        <v>0.1236574549608986</v>
      </c>
      <c r="W380">
        <v>5.8601577961365994</v>
      </c>
      <c r="X380">
        <v>0.28446058477764341</v>
      </c>
      <c r="Z380" t="s">
        <v>392</v>
      </c>
      <c r="AA380">
        <v>9937</v>
      </c>
      <c r="AB380" t="s">
        <v>771</v>
      </c>
      <c r="AC380" t="str">
        <f>HYPERLINK("plots/20251231000436_3FT6Y121H01_04823_B11P_N_UFLEX98_M5358A8BH101511/dpll_52084/txpa_53219.png","plot")</f>
        <v>plot</v>
      </c>
    </row>
    <row r="381" spans="1:29" hidden="1" x14ac:dyDescent="0.35">
      <c r="A381" t="s">
        <v>46</v>
      </c>
      <c r="B381">
        <v>52084</v>
      </c>
      <c r="C381" t="s">
        <v>52</v>
      </c>
      <c r="D381">
        <v>53220</v>
      </c>
      <c r="E381" t="s">
        <v>95</v>
      </c>
      <c r="F381">
        <v>8702</v>
      </c>
      <c r="G381">
        <v>0.41750450546476331</v>
      </c>
      <c r="H381">
        <v>0</v>
      </c>
      <c r="I381">
        <v>0</v>
      </c>
      <c r="J381">
        <v>0.28906093277545908</v>
      </c>
      <c r="K381">
        <v>4.2754184820848192E-167</v>
      </c>
      <c r="L381">
        <v>5.749700717286481E-167</v>
      </c>
      <c r="M381">
        <v>0.19772627361466699</v>
      </c>
      <c r="N381">
        <v>2.046494998263968E-168</v>
      </c>
      <c r="O381">
        <v>2.7595025641484889E-168</v>
      </c>
      <c r="P381">
        <v>0.17431001208337649</v>
      </c>
      <c r="Q381">
        <v>1.142458326805214</v>
      </c>
      <c r="R381">
        <v>1.1860142822333011</v>
      </c>
      <c r="S381">
        <v>0.30818808206320808</v>
      </c>
      <c r="T381">
        <v>0.2351520676177164</v>
      </c>
      <c r="U381">
        <v>4.3174881777752239</v>
      </c>
      <c r="V381">
        <v>0.1239518705722886</v>
      </c>
      <c r="W381">
        <v>6.1185646018156747</v>
      </c>
      <c r="X381">
        <v>0.33918160116800178</v>
      </c>
      <c r="Z381" t="s">
        <v>392</v>
      </c>
      <c r="AA381">
        <v>9937</v>
      </c>
      <c r="AB381" t="s">
        <v>772</v>
      </c>
      <c r="AC381" t="str">
        <f>HYPERLINK("plots/20251231000436_3FT6Y121H01_04823_B11P_N_UFLEX98_M5358A8BH101511/dpll_52084/txpa_53220.png","plot")</f>
        <v>plot</v>
      </c>
    </row>
    <row r="382" spans="1:29" hidden="1" x14ac:dyDescent="0.35">
      <c r="A382" t="s">
        <v>46</v>
      </c>
      <c r="B382">
        <v>52084</v>
      </c>
      <c r="C382" t="s">
        <v>52</v>
      </c>
      <c r="D382">
        <v>53221</v>
      </c>
      <c r="E382" t="s">
        <v>96</v>
      </c>
      <c r="F382">
        <v>8697</v>
      </c>
      <c r="G382">
        <v>0.47302102729927131</v>
      </c>
      <c r="H382">
        <v>0</v>
      </c>
      <c r="I382">
        <v>0</v>
      </c>
      <c r="J382">
        <v>0.39049877307685282</v>
      </c>
      <c r="K382">
        <v>0</v>
      </c>
      <c r="L382">
        <v>0</v>
      </c>
      <c r="M382">
        <v>0.27074926504209551</v>
      </c>
      <c r="N382">
        <v>0</v>
      </c>
      <c r="O382">
        <v>0</v>
      </c>
      <c r="P382">
        <v>0.223748892267258</v>
      </c>
      <c r="Q382">
        <v>1.0767417416926519</v>
      </c>
      <c r="R382">
        <v>1.3556647232139689</v>
      </c>
      <c r="S382">
        <v>0.24804150819639451</v>
      </c>
      <c r="T382">
        <v>0.18070945587928369</v>
      </c>
      <c r="U382">
        <v>4.3176950842819357</v>
      </c>
      <c r="V382">
        <v>0.12368502290326459</v>
      </c>
      <c r="W382">
        <v>6.0047072483615036</v>
      </c>
      <c r="X382">
        <v>0.2815452576020438</v>
      </c>
      <c r="Z382" t="s">
        <v>392</v>
      </c>
      <c r="AA382">
        <v>9937</v>
      </c>
      <c r="AB382" t="s">
        <v>773</v>
      </c>
      <c r="AC382" t="str">
        <f>HYPERLINK("plots/20251231000436_3FT6Y121H01_04823_B11P_N_UFLEX98_M5358A8BH101511/dpll_52084/txpa_53221.png","plot")</f>
        <v>plot</v>
      </c>
    </row>
    <row r="383" spans="1:29" hidden="1" x14ac:dyDescent="0.35">
      <c r="A383" t="s">
        <v>46</v>
      </c>
      <c r="B383">
        <v>52084</v>
      </c>
      <c r="C383" t="s">
        <v>52</v>
      </c>
      <c r="D383">
        <v>53222</v>
      </c>
      <c r="E383" t="s">
        <v>97</v>
      </c>
      <c r="F383">
        <v>8691</v>
      </c>
      <c r="G383">
        <v>0.43906709750970518</v>
      </c>
      <c r="H383">
        <v>0</v>
      </c>
      <c r="I383">
        <v>0</v>
      </c>
      <c r="J383">
        <v>0.3201813806735887</v>
      </c>
      <c r="K383">
        <v>2.2435102140059631E-206</v>
      </c>
      <c r="L383">
        <v>3.4157948303334039E-206</v>
      </c>
      <c r="M383">
        <v>0.2202117797357088</v>
      </c>
      <c r="N383">
        <v>3.8712163946150288E-208</v>
      </c>
      <c r="O383">
        <v>5.9117672050295777E-208</v>
      </c>
      <c r="P383">
        <v>0.192779916115597</v>
      </c>
      <c r="Q383">
        <v>1.0963646293457641</v>
      </c>
      <c r="R383">
        <v>1.3565556971737069</v>
      </c>
      <c r="S383">
        <v>0.27677265365454901</v>
      </c>
      <c r="T383">
        <v>0.20870050487197009</v>
      </c>
      <c r="U383">
        <v>4.3179392401334713</v>
      </c>
      <c r="V383">
        <v>0.1233752547914314</v>
      </c>
      <c r="W383">
        <v>6.0905915517201699</v>
      </c>
      <c r="X383">
        <v>0.30807196953959182</v>
      </c>
      <c r="Z383" t="s">
        <v>392</v>
      </c>
      <c r="AA383">
        <v>9937</v>
      </c>
      <c r="AB383" t="s">
        <v>774</v>
      </c>
      <c r="AC383" t="str">
        <f>HYPERLINK("plots/20251231000436_3FT6Y121H01_04823_B11P_N_UFLEX98_M5358A8BH101511/dpll_52084/txpa_53222.png","plot")</f>
        <v>plot</v>
      </c>
    </row>
    <row r="384" spans="1:29" hidden="1" x14ac:dyDescent="0.35">
      <c r="A384" t="s">
        <v>46</v>
      </c>
      <c r="B384">
        <v>52084</v>
      </c>
      <c r="C384" t="s">
        <v>52</v>
      </c>
      <c r="D384">
        <v>53223</v>
      </c>
      <c r="E384" t="s">
        <v>98</v>
      </c>
      <c r="F384">
        <v>8689</v>
      </c>
      <c r="G384">
        <v>0.4919808100646425</v>
      </c>
      <c r="H384">
        <v>0</v>
      </c>
      <c r="I384">
        <v>0</v>
      </c>
      <c r="J384">
        <v>0.39819798007950102</v>
      </c>
      <c r="K384">
        <v>0</v>
      </c>
      <c r="L384">
        <v>0</v>
      </c>
      <c r="M384">
        <v>0.27735689352594339</v>
      </c>
      <c r="N384">
        <v>0</v>
      </c>
      <c r="O384">
        <v>0</v>
      </c>
      <c r="P384">
        <v>0.2420451174718618</v>
      </c>
      <c r="Q384">
        <v>1.0919169542668641</v>
      </c>
      <c r="R384">
        <v>1.435038296546568</v>
      </c>
      <c r="S384">
        <v>0.2381981457308518</v>
      </c>
      <c r="T384">
        <v>0.17489793864179121</v>
      </c>
      <c r="U384">
        <v>4.3180159661641149</v>
      </c>
      <c r="V384">
        <v>0.1232821629318956</v>
      </c>
      <c r="W384">
        <v>6.1499531387961799</v>
      </c>
      <c r="X384">
        <v>0.2736161271134529</v>
      </c>
      <c r="Z384" t="s">
        <v>392</v>
      </c>
      <c r="AA384">
        <v>9937</v>
      </c>
      <c r="AB384" t="s">
        <v>775</v>
      </c>
      <c r="AC384" t="str">
        <f>HYPERLINK("plots/20251231000436_3FT6Y121H01_04823_B11P_N_UFLEX98_M5358A8BH101511/dpll_52084/txpa_53223.png","plot")</f>
        <v>plot</v>
      </c>
    </row>
    <row r="385" spans="1:29" hidden="1" x14ac:dyDescent="0.35">
      <c r="A385" t="s">
        <v>46</v>
      </c>
      <c r="B385">
        <v>52084</v>
      </c>
      <c r="C385" t="s">
        <v>52</v>
      </c>
      <c r="D385">
        <v>53224</v>
      </c>
      <c r="E385" t="s">
        <v>99</v>
      </c>
      <c r="F385">
        <v>8690</v>
      </c>
      <c r="G385">
        <v>0.46811942922997229</v>
      </c>
      <c r="H385">
        <v>0</v>
      </c>
      <c r="I385">
        <v>0</v>
      </c>
      <c r="J385">
        <v>0.35792709052266769</v>
      </c>
      <c r="K385">
        <v>5.4959698959810366E-261</v>
      </c>
      <c r="L385">
        <v>9.8461368807858147E-261</v>
      </c>
      <c r="M385">
        <v>0.24798025061538559</v>
      </c>
      <c r="N385">
        <v>2.4274539397911121E-263</v>
      </c>
      <c r="O385">
        <v>4.395425526693192E-263</v>
      </c>
      <c r="P385">
        <v>0.219135800022595</v>
      </c>
      <c r="Q385">
        <v>1.132364003944355</v>
      </c>
      <c r="R385">
        <v>1.266595341468751</v>
      </c>
      <c r="S385">
        <v>0.26336702875991441</v>
      </c>
      <c r="T385">
        <v>0.195973197610957</v>
      </c>
      <c r="U385">
        <v>4.318011481703107</v>
      </c>
      <c r="V385">
        <v>0.1232166080105581</v>
      </c>
      <c r="W385">
        <v>6.1561561119677783</v>
      </c>
      <c r="X385">
        <v>0.29805652764464291</v>
      </c>
      <c r="Z385" t="s">
        <v>392</v>
      </c>
      <c r="AA385">
        <v>9937</v>
      </c>
      <c r="AB385" t="s">
        <v>776</v>
      </c>
      <c r="AC385" t="str">
        <f>HYPERLINK("plots/20251231000436_3FT6Y121H01_04823_B11P_N_UFLEX98_M5358A8BH101511/dpll_52084/txpa_53224.png","plot")</f>
        <v>plot</v>
      </c>
    </row>
    <row r="386" spans="1:29" hidden="1" x14ac:dyDescent="0.35">
      <c r="A386" t="s">
        <v>46</v>
      </c>
      <c r="B386">
        <v>52084</v>
      </c>
      <c r="C386" t="s">
        <v>52</v>
      </c>
      <c r="D386">
        <v>53225</v>
      </c>
      <c r="E386" t="s">
        <v>100</v>
      </c>
      <c r="F386">
        <v>8698</v>
      </c>
      <c r="G386">
        <v>0.49598974703925219</v>
      </c>
      <c r="H386">
        <v>0</v>
      </c>
      <c r="I386">
        <v>0</v>
      </c>
      <c r="J386">
        <v>0.39060706630740533</v>
      </c>
      <c r="K386">
        <v>0</v>
      </c>
      <c r="L386">
        <v>0</v>
      </c>
      <c r="M386">
        <v>0.27164933364193922</v>
      </c>
      <c r="N386">
        <v>0</v>
      </c>
      <c r="O386">
        <v>0</v>
      </c>
      <c r="P386">
        <v>0.24600582916806141</v>
      </c>
      <c r="Q386">
        <v>1.1122818756547519</v>
      </c>
      <c r="R386">
        <v>1.3757909986935</v>
      </c>
      <c r="S386">
        <v>0.241000204495457</v>
      </c>
      <c r="T386">
        <v>0.1791951963636515</v>
      </c>
      <c r="U386">
        <v>4.3176443421476201</v>
      </c>
      <c r="V386">
        <v>0.123770236831533</v>
      </c>
      <c r="W386">
        <v>6.178228545987583</v>
      </c>
      <c r="X386">
        <v>0.27756096168317662</v>
      </c>
      <c r="Z386" t="s">
        <v>392</v>
      </c>
      <c r="AA386">
        <v>9937</v>
      </c>
      <c r="AB386" t="s">
        <v>777</v>
      </c>
      <c r="AC386" t="str">
        <f>HYPERLINK("plots/20251231000436_3FT6Y121H01_04823_B11P_N_UFLEX98_M5358A8BH101511/dpll_52084/txpa_53225.png","plot")</f>
        <v>plot</v>
      </c>
    </row>
    <row r="387" spans="1:29" hidden="1" x14ac:dyDescent="0.35">
      <c r="A387" t="s">
        <v>46</v>
      </c>
      <c r="B387">
        <v>52084</v>
      </c>
      <c r="C387" t="s">
        <v>52</v>
      </c>
      <c r="D387">
        <v>53226</v>
      </c>
      <c r="E387" t="s">
        <v>101</v>
      </c>
      <c r="F387">
        <v>8691</v>
      </c>
      <c r="G387">
        <v>0.46771756695605049</v>
      </c>
      <c r="H387">
        <v>0</v>
      </c>
      <c r="I387">
        <v>0</v>
      </c>
      <c r="J387">
        <v>0.35817462246707299</v>
      </c>
      <c r="K387">
        <v>2.1199192604862168E-261</v>
      </c>
      <c r="L387">
        <v>3.8181139078739319E-261</v>
      </c>
      <c r="M387">
        <v>0.24765937593348769</v>
      </c>
      <c r="N387">
        <v>1.0745585579258459E-262</v>
      </c>
      <c r="O387">
        <v>1.9422502276948449E-262</v>
      </c>
      <c r="P387">
        <v>0.2187597224392876</v>
      </c>
      <c r="Q387">
        <v>1.094699363586173</v>
      </c>
      <c r="R387">
        <v>1.216468138569297</v>
      </c>
      <c r="S387">
        <v>0.25522747706554971</v>
      </c>
      <c r="T387">
        <v>0.18911019063644791</v>
      </c>
      <c r="U387">
        <v>4.3179368460476359</v>
      </c>
      <c r="V387">
        <v>0.12338117947936469</v>
      </c>
      <c r="W387">
        <v>5.9433108559429293</v>
      </c>
      <c r="X387">
        <v>0.28877533835983432</v>
      </c>
      <c r="Z387" t="s">
        <v>392</v>
      </c>
      <c r="AA387">
        <v>9937</v>
      </c>
      <c r="AB387" t="s">
        <v>778</v>
      </c>
      <c r="AC387" t="str">
        <f>HYPERLINK("plots/20251231000436_3FT6Y121H01_04823_B11P_N_UFLEX98_M5358A8BH101511/dpll_52084/txpa_53226.png","plot")</f>
        <v>plot</v>
      </c>
    </row>
    <row r="388" spans="1:29" hidden="1" x14ac:dyDescent="0.35">
      <c r="A388" t="s">
        <v>46</v>
      </c>
      <c r="B388">
        <v>52084</v>
      </c>
      <c r="C388" t="s">
        <v>52</v>
      </c>
      <c r="D388">
        <v>53227</v>
      </c>
      <c r="E388" t="s">
        <v>102</v>
      </c>
      <c r="F388">
        <v>8686</v>
      </c>
      <c r="G388">
        <v>0.4537759603564247</v>
      </c>
      <c r="H388">
        <v>0</v>
      </c>
      <c r="I388">
        <v>0</v>
      </c>
      <c r="J388">
        <v>0.39632962012351508</v>
      </c>
      <c r="K388">
        <v>0</v>
      </c>
      <c r="L388">
        <v>0</v>
      </c>
      <c r="M388">
        <v>0.27478022531313562</v>
      </c>
      <c r="N388">
        <v>0</v>
      </c>
      <c r="O388">
        <v>0</v>
      </c>
      <c r="P388">
        <v>0.20591262219739551</v>
      </c>
      <c r="Q388">
        <v>1.1391512126120169</v>
      </c>
      <c r="R388">
        <v>3.0117572312212868</v>
      </c>
      <c r="S388">
        <v>0.27533275472325991</v>
      </c>
      <c r="T388">
        <v>0.1929957067861188</v>
      </c>
      <c r="U388">
        <v>4.3181488672576558</v>
      </c>
      <c r="V388">
        <v>0.12308605215525489</v>
      </c>
      <c r="W388">
        <v>7.9307817495970534</v>
      </c>
      <c r="X388">
        <v>0.30899306666257043</v>
      </c>
      <c r="Z388" t="s">
        <v>392</v>
      </c>
      <c r="AA388">
        <v>9937</v>
      </c>
      <c r="AB388" t="s">
        <v>779</v>
      </c>
      <c r="AC388" t="str">
        <f>HYPERLINK("plots/20251231000436_3FT6Y121H01_04823_B11P_N_UFLEX98_M5358A8BH101511/dpll_52084/txpa_53227.png","plot")</f>
        <v>plot</v>
      </c>
    </row>
    <row r="389" spans="1:29" hidden="1" x14ac:dyDescent="0.35">
      <c r="A389" t="s">
        <v>46</v>
      </c>
      <c r="B389">
        <v>52084</v>
      </c>
      <c r="C389" t="s">
        <v>52</v>
      </c>
      <c r="D389">
        <v>53228</v>
      </c>
      <c r="E389" t="s">
        <v>103</v>
      </c>
      <c r="F389">
        <v>8686</v>
      </c>
      <c r="G389">
        <v>0.43443627434956139</v>
      </c>
      <c r="H389">
        <v>0</v>
      </c>
      <c r="I389">
        <v>0</v>
      </c>
      <c r="J389">
        <v>0.33149259107017121</v>
      </c>
      <c r="K389">
        <v>7.9760648770340494E-222</v>
      </c>
      <c r="L389">
        <v>1.2539115946220969E-221</v>
      </c>
      <c r="M389">
        <v>0.227659149200994</v>
      </c>
      <c r="N389">
        <v>3.4841862307004958E-222</v>
      </c>
      <c r="O389">
        <v>5.5030604952185412E-222</v>
      </c>
      <c r="P389">
        <v>0.1887348764707274</v>
      </c>
      <c r="Q389">
        <v>1.221424619447125</v>
      </c>
      <c r="R389">
        <v>2.9018061894261491</v>
      </c>
      <c r="S389">
        <v>0.31152904141360449</v>
      </c>
      <c r="T389">
        <v>0.23088711209291879</v>
      </c>
      <c r="U389">
        <v>4.3181670143909736</v>
      </c>
      <c r="V389">
        <v>0.1230273155903012</v>
      </c>
      <c r="W389">
        <v>8.1761216916877721</v>
      </c>
      <c r="X389">
        <v>0.34589328976146699</v>
      </c>
      <c r="Z389" t="s">
        <v>392</v>
      </c>
      <c r="AA389">
        <v>9937</v>
      </c>
      <c r="AB389" t="s">
        <v>780</v>
      </c>
      <c r="AC389" t="str">
        <f>HYPERLINK("plots/20251231000436_3FT6Y121H01_04823_B11P_N_UFLEX98_M5358A8BH101511/dpll_52084/txpa_53228.png","plot")</f>
        <v>plot</v>
      </c>
    </row>
    <row r="390" spans="1:29" hidden="1" x14ac:dyDescent="0.35">
      <c r="A390" t="s">
        <v>46</v>
      </c>
      <c r="B390">
        <v>52084</v>
      </c>
      <c r="C390" t="s">
        <v>52</v>
      </c>
      <c r="D390">
        <v>53229</v>
      </c>
      <c r="E390" t="s">
        <v>104</v>
      </c>
      <c r="F390">
        <v>8685</v>
      </c>
      <c r="G390">
        <v>0.48157159854447029</v>
      </c>
      <c r="H390">
        <v>0</v>
      </c>
      <c r="I390">
        <v>0</v>
      </c>
      <c r="J390">
        <v>0.41477289118250538</v>
      </c>
      <c r="K390">
        <v>0</v>
      </c>
      <c r="L390">
        <v>0</v>
      </c>
      <c r="M390">
        <v>0.28999988199344018</v>
      </c>
      <c r="N390">
        <v>0</v>
      </c>
      <c r="O390">
        <v>0</v>
      </c>
      <c r="P390">
        <v>0.23191120452467651</v>
      </c>
      <c r="Q390">
        <v>1.201506598490192</v>
      </c>
      <c r="R390">
        <v>2.857886040224797</v>
      </c>
      <c r="S390">
        <v>0.26905701845502172</v>
      </c>
      <c r="T390">
        <v>0.19028828545389559</v>
      </c>
      <c r="U390">
        <v>4.3181823175590086</v>
      </c>
      <c r="V390">
        <v>0.1230547322812908</v>
      </c>
      <c r="W390">
        <v>8.0462105882556152</v>
      </c>
      <c r="X390">
        <v>0.30701784170471941</v>
      </c>
      <c r="Z390" t="s">
        <v>392</v>
      </c>
      <c r="AA390">
        <v>9937</v>
      </c>
      <c r="AB390" t="s">
        <v>781</v>
      </c>
      <c r="AC390" t="str">
        <f>HYPERLINK("plots/20251231000436_3FT6Y121H01_04823_B11P_N_UFLEX98_M5358A8BH101511/dpll_52084/txpa_53229.png","plot")</f>
        <v>plot</v>
      </c>
    </row>
    <row r="391" spans="1:29" hidden="1" x14ac:dyDescent="0.35">
      <c r="A391" t="s">
        <v>46</v>
      </c>
      <c r="B391">
        <v>52084</v>
      </c>
      <c r="C391" t="s">
        <v>52</v>
      </c>
      <c r="D391">
        <v>53230</v>
      </c>
      <c r="E391" t="s">
        <v>105</v>
      </c>
      <c r="F391">
        <v>8672</v>
      </c>
      <c r="G391">
        <v>0.44759159954146299</v>
      </c>
      <c r="H391">
        <v>0</v>
      </c>
      <c r="I391">
        <v>0</v>
      </c>
      <c r="J391">
        <v>0.35783148232887141</v>
      </c>
      <c r="K391">
        <v>2.655967277852417E-260</v>
      </c>
      <c r="L391">
        <v>4.7331297359268033E-260</v>
      </c>
      <c r="M391">
        <v>0.24752311525530421</v>
      </c>
      <c r="N391">
        <v>7.6765754236984955E-262</v>
      </c>
      <c r="O391">
        <v>1.377707518518633E-261</v>
      </c>
      <c r="P391">
        <v>0.2003382399800854</v>
      </c>
      <c r="Q391">
        <v>1.176799427459674</v>
      </c>
      <c r="R391">
        <v>3.069455799230254</v>
      </c>
      <c r="S391">
        <v>0.28672985072330121</v>
      </c>
      <c r="T391">
        <v>0.21049898705821449</v>
      </c>
      <c r="U391">
        <v>4.3188330567343174</v>
      </c>
      <c r="V391">
        <v>0.1219619233107235</v>
      </c>
      <c r="W391">
        <v>8.1518560676891134</v>
      </c>
      <c r="X391">
        <v>0.32065999824611241</v>
      </c>
      <c r="Z391" t="s">
        <v>392</v>
      </c>
      <c r="AA391">
        <v>9937</v>
      </c>
      <c r="AB391" t="s">
        <v>782</v>
      </c>
      <c r="AC391" t="str">
        <f>HYPERLINK("plots/20251231000436_3FT6Y121H01_04823_B11P_N_UFLEX98_M5358A8BH101511/dpll_52084/txpa_53230.png","plot")</f>
        <v>plot</v>
      </c>
    </row>
    <row r="392" spans="1:29" hidden="1" x14ac:dyDescent="0.35">
      <c r="A392" t="s">
        <v>46</v>
      </c>
      <c r="B392">
        <v>52084</v>
      </c>
      <c r="C392" t="s">
        <v>52</v>
      </c>
      <c r="D392">
        <v>53231</v>
      </c>
      <c r="E392" t="s">
        <v>106</v>
      </c>
      <c r="F392">
        <v>8683</v>
      </c>
      <c r="G392">
        <v>0.49780630305802531</v>
      </c>
      <c r="H392">
        <v>0</v>
      </c>
      <c r="I392">
        <v>0</v>
      </c>
      <c r="J392">
        <v>0.41880214859450432</v>
      </c>
      <c r="K392">
        <v>0</v>
      </c>
      <c r="L392">
        <v>0</v>
      </c>
      <c r="M392">
        <v>0.29377327528882458</v>
      </c>
      <c r="N392">
        <v>0</v>
      </c>
      <c r="O392">
        <v>0</v>
      </c>
      <c r="P392">
        <v>0.24781111536429851</v>
      </c>
      <c r="Q392">
        <v>1.229542821543306</v>
      </c>
      <c r="R392">
        <v>2.8763121213945508</v>
      </c>
      <c r="S392">
        <v>0.26273709628971831</v>
      </c>
      <c r="T392">
        <v>0.18689165977455871</v>
      </c>
      <c r="U392">
        <v>4.3183517838304732</v>
      </c>
      <c r="V392">
        <v>0.1226590742323095</v>
      </c>
      <c r="W392">
        <v>8.185910558102039</v>
      </c>
      <c r="X392">
        <v>0.30295836612158072</v>
      </c>
      <c r="Z392" t="s">
        <v>392</v>
      </c>
      <c r="AA392">
        <v>9937</v>
      </c>
      <c r="AB392" t="s">
        <v>783</v>
      </c>
      <c r="AC392" t="str">
        <f>HYPERLINK("plots/20251231000436_3FT6Y121H01_04823_B11P_N_UFLEX98_M5358A8BH101511/dpll_52084/txpa_53231.png","plot")</f>
        <v>plot</v>
      </c>
    </row>
    <row r="393" spans="1:29" hidden="1" x14ac:dyDescent="0.35">
      <c r="A393" t="s">
        <v>46</v>
      </c>
      <c r="B393">
        <v>52084</v>
      </c>
      <c r="C393" t="s">
        <v>52</v>
      </c>
      <c r="D393">
        <v>53232</v>
      </c>
      <c r="E393" t="s">
        <v>107</v>
      </c>
      <c r="F393">
        <v>8679</v>
      </c>
      <c r="G393">
        <v>0.48007630547452779</v>
      </c>
      <c r="H393">
        <v>0</v>
      </c>
      <c r="I393">
        <v>0</v>
      </c>
      <c r="J393">
        <v>0.39264128005323418</v>
      </c>
      <c r="K393">
        <v>0</v>
      </c>
      <c r="L393">
        <v>0</v>
      </c>
      <c r="M393">
        <v>0.27389109694838021</v>
      </c>
      <c r="N393">
        <v>0</v>
      </c>
      <c r="O393">
        <v>0</v>
      </c>
      <c r="P393">
        <v>0.23047325907807209</v>
      </c>
      <c r="Q393">
        <v>1.2359476348339311</v>
      </c>
      <c r="R393">
        <v>2.849753697619398</v>
      </c>
      <c r="S393">
        <v>0.27668892661340327</v>
      </c>
      <c r="T393">
        <v>0.1999875219926113</v>
      </c>
      <c r="U393">
        <v>4.3184943077543494</v>
      </c>
      <c r="V393">
        <v>0.12252230050173139</v>
      </c>
      <c r="W393">
        <v>8.1871865233321817</v>
      </c>
      <c r="X393">
        <v>0.31543141328303242</v>
      </c>
      <c r="Z393" t="s">
        <v>392</v>
      </c>
      <c r="AA393">
        <v>9937</v>
      </c>
      <c r="AB393" t="s">
        <v>784</v>
      </c>
      <c r="AC393" t="str">
        <f>HYPERLINK("plots/20251231000436_3FT6Y121H01_04823_B11P_N_UFLEX98_M5358A8BH101511/dpll_52084/txpa_53232.png","plot")</f>
        <v>plot</v>
      </c>
    </row>
    <row r="394" spans="1:29" hidden="1" x14ac:dyDescent="0.35">
      <c r="A394" t="s">
        <v>46</v>
      </c>
      <c r="B394">
        <v>52084</v>
      </c>
      <c r="C394" t="s">
        <v>52</v>
      </c>
      <c r="D394">
        <v>53233</v>
      </c>
      <c r="E394" t="s">
        <v>108</v>
      </c>
      <c r="F394">
        <v>8689</v>
      </c>
      <c r="G394">
        <v>0.50515135139300971</v>
      </c>
      <c r="H394">
        <v>0</v>
      </c>
      <c r="I394">
        <v>0</v>
      </c>
      <c r="J394">
        <v>0.41188616027713321</v>
      </c>
      <c r="K394">
        <v>0</v>
      </c>
      <c r="L394">
        <v>0</v>
      </c>
      <c r="M394">
        <v>0.28851804138268378</v>
      </c>
      <c r="N394">
        <v>0</v>
      </c>
      <c r="O394">
        <v>0</v>
      </c>
      <c r="P394">
        <v>0.25517788781418399</v>
      </c>
      <c r="Q394">
        <v>1.243018993134104</v>
      </c>
      <c r="R394">
        <v>2.839510025672793</v>
      </c>
      <c r="S394">
        <v>0.26167710378551379</v>
      </c>
      <c r="T394">
        <v>0.18895486356059241</v>
      </c>
      <c r="U394">
        <v>4.3180327352975016</v>
      </c>
      <c r="V394">
        <v>0.12322765689789</v>
      </c>
      <c r="W394">
        <v>8.2069067286223962</v>
      </c>
      <c r="X394">
        <v>0.30322460304440529</v>
      </c>
      <c r="Z394" t="s">
        <v>392</v>
      </c>
      <c r="AA394">
        <v>9937</v>
      </c>
      <c r="AB394" t="s">
        <v>785</v>
      </c>
      <c r="AC394" t="str">
        <f>HYPERLINK("plots/20251231000436_3FT6Y121H01_04823_B11P_N_UFLEX98_M5358A8BH101511/dpll_52084/txpa_53233.png","plot")</f>
        <v>plot</v>
      </c>
    </row>
    <row r="395" spans="1:29" hidden="1" x14ac:dyDescent="0.35">
      <c r="A395" t="s">
        <v>46</v>
      </c>
      <c r="B395">
        <v>52084</v>
      </c>
      <c r="C395" t="s">
        <v>52</v>
      </c>
      <c r="D395">
        <v>53234</v>
      </c>
      <c r="E395" t="s">
        <v>109</v>
      </c>
      <c r="F395">
        <v>8686</v>
      </c>
      <c r="G395">
        <v>0.4777462977166928</v>
      </c>
      <c r="H395">
        <v>0</v>
      </c>
      <c r="I395">
        <v>0</v>
      </c>
      <c r="J395">
        <v>0.37855509525387637</v>
      </c>
      <c r="K395">
        <v>4.8744906753140017E-294</v>
      </c>
      <c r="L395">
        <v>9.6726683850653577E-294</v>
      </c>
      <c r="M395">
        <v>0.26303582808981829</v>
      </c>
      <c r="N395">
        <v>6.9604093588196756E-296</v>
      </c>
      <c r="O395">
        <v>1.4031521053366111E-295</v>
      </c>
      <c r="P395">
        <v>0.22824152498200689</v>
      </c>
      <c r="Q395">
        <v>1.2086777653556231</v>
      </c>
      <c r="R395">
        <v>2.7983575818722088</v>
      </c>
      <c r="S395">
        <v>0.27344583834583203</v>
      </c>
      <c r="T395">
        <v>0.1977869024132676</v>
      </c>
      <c r="U395">
        <v>4.3181660671195026</v>
      </c>
      <c r="V395">
        <v>0.1230388923488869</v>
      </c>
      <c r="W395">
        <v>8.0176288943126881</v>
      </c>
      <c r="X395">
        <v>0.31128315209733431</v>
      </c>
      <c r="Z395" t="s">
        <v>392</v>
      </c>
      <c r="AA395">
        <v>9937</v>
      </c>
      <c r="AB395" t="s">
        <v>786</v>
      </c>
      <c r="AC395" t="str">
        <f>HYPERLINK("plots/20251231000436_3FT6Y121H01_04823_B11P_N_UFLEX98_M5358A8BH101511/dpll_52084/txpa_53234.png","plot")</f>
        <v>plot</v>
      </c>
    </row>
    <row r="396" spans="1:29" hidden="1" x14ac:dyDescent="0.35">
      <c r="A396" t="s">
        <v>46</v>
      </c>
      <c r="B396">
        <v>52084</v>
      </c>
      <c r="C396" t="s">
        <v>52</v>
      </c>
      <c r="D396">
        <v>53235</v>
      </c>
      <c r="E396" t="s">
        <v>110</v>
      </c>
      <c r="F396">
        <v>8682</v>
      </c>
      <c r="G396">
        <v>0.45940142124372513</v>
      </c>
      <c r="H396">
        <v>0</v>
      </c>
      <c r="I396">
        <v>0</v>
      </c>
      <c r="J396">
        <v>0.40536462484638802</v>
      </c>
      <c r="K396">
        <v>0</v>
      </c>
      <c r="L396">
        <v>0</v>
      </c>
      <c r="M396">
        <v>0.28220877992418458</v>
      </c>
      <c r="N396">
        <v>0</v>
      </c>
      <c r="O396">
        <v>0</v>
      </c>
      <c r="P396">
        <v>0.2110496658407546</v>
      </c>
      <c r="Q396">
        <v>1.218713792558261</v>
      </c>
      <c r="R396">
        <v>3.5568911677107402</v>
      </c>
      <c r="S396">
        <v>0.28979308082718402</v>
      </c>
      <c r="T396">
        <v>0.20096744073580511</v>
      </c>
      <c r="U396">
        <v>4.3181888473853949</v>
      </c>
      <c r="V396">
        <v>0.1229925485168608</v>
      </c>
      <c r="W396">
        <v>8.8195274748905792</v>
      </c>
      <c r="X396">
        <v>0.32627830112843093</v>
      </c>
      <c r="Z396" t="s">
        <v>392</v>
      </c>
      <c r="AA396">
        <v>9937</v>
      </c>
      <c r="AB396" t="s">
        <v>787</v>
      </c>
      <c r="AC396" t="str">
        <f>HYPERLINK("plots/20251231000436_3FT6Y121H01_04823_B11P_N_UFLEX98_M5358A8BH101511/dpll_52084/txpa_53235.png","plot")</f>
        <v>plot</v>
      </c>
    </row>
    <row r="397" spans="1:29" hidden="1" x14ac:dyDescent="0.35">
      <c r="A397" t="s">
        <v>46</v>
      </c>
      <c r="B397">
        <v>52084</v>
      </c>
      <c r="C397" t="s">
        <v>52</v>
      </c>
      <c r="D397">
        <v>53236</v>
      </c>
      <c r="E397" t="s">
        <v>111</v>
      </c>
      <c r="F397">
        <v>8681</v>
      </c>
      <c r="G397">
        <v>0.44233083495168812</v>
      </c>
      <c r="H397">
        <v>0</v>
      </c>
      <c r="I397">
        <v>0</v>
      </c>
      <c r="J397">
        <v>0.35720722331639559</v>
      </c>
      <c r="K397">
        <v>1.3228305102968569E-259</v>
      </c>
      <c r="L397">
        <v>2.349124583959742E-259</v>
      </c>
      <c r="M397">
        <v>0.24649604062690789</v>
      </c>
      <c r="N397">
        <v>5.8648937933382321E-260</v>
      </c>
      <c r="O397">
        <v>1.0488540223007E-259</v>
      </c>
      <c r="P397">
        <v>0.19565656754905761</v>
      </c>
      <c r="Q397">
        <v>1.2828373614688651</v>
      </c>
      <c r="R397">
        <v>3.511440925226379</v>
      </c>
      <c r="S397">
        <v>0.31888794208685511</v>
      </c>
      <c r="T397">
        <v>0.23125278039557859</v>
      </c>
      <c r="U397">
        <v>4.3184171502131088</v>
      </c>
      <c r="V397">
        <v>0.12260776296537659</v>
      </c>
      <c r="W397">
        <v>9.0512677879276584</v>
      </c>
      <c r="X397">
        <v>0.3555841164798802</v>
      </c>
      <c r="Z397" t="s">
        <v>392</v>
      </c>
      <c r="AA397">
        <v>9937</v>
      </c>
      <c r="AB397" t="s">
        <v>788</v>
      </c>
      <c r="AC397" t="str">
        <f>HYPERLINK("plots/20251231000436_3FT6Y121H01_04823_B11P_N_UFLEX98_M5358A8BH101511/dpll_52084/txpa_53236.png","plot")</f>
        <v>plot</v>
      </c>
    </row>
    <row r="398" spans="1:29" hidden="1" x14ac:dyDescent="0.35">
      <c r="A398" t="s">
        <v>46</v>
      </c>
      <c r="B398">
        <v>52084</v>
      </c>
      <c r="C398" t="s">
        <v>52</v>
      </c>
      <c r="D398">
        <v>53237</v>
      </c>
      <c r="E398" t="s">
        <v>112</v>
      </c>
      <c r="F398">
        <v>8677</v>
      </c>
      <c r="G398">
        <v>0.48346044516667142</v>
      </c>
      <c r="H398">
        <v>0</v>
      </c>
      <c r="I398">
        <v>0</v>
      </c>
      <c r="J398">
        <v>0.42661365481276792</v>
      </c>
      <c r="K398">
        <v>0</v>
      </c>
      <c r="L398">
        <v>0</v>
      </c>
      <c r="M398">
        <v>0.29992304525157071</v>
      </c>
      <c r="N398">
        <v>0</v>
      </c>
      <c r="O398">
        <v>0</v>
      </c>
      <c r="P398">
        <v>0.23373400204075609</v>
      </c>
      <c r="Q398">
        <v>1.2801922816209841</v>
      </c>
      <c r="R398">
        <v>3.3880402528428171</v>
      </c>
      <c r="S398">
        <v>0.2840955511007513</v>
      </c>
      <c r="T398">
        <v>0.1977277467258404</v>
      </c>
      <c r="U398">
        <v>4.3184403648726528</v>
      </c>
      <c r="V398">
        <v>0.122570349822123</v>
      </c>
      <c r="W398">
        <v>8.9164742765932932</v>
      </c>
      <c r="X398">
        <v>0.32456350331570638</v>
      </c>
      <c r="Z398" t="s">
        <v>392</v>
      </c>
      <c r="AA398">
        <v>9937</v>
      </c>
      <c r="AB398" t="s">
        <v>789</v>
      </c>
      <c r="AC398" t="str">
        <f>HYPERLINK("plots/20251231000436_3FT6Y121H01_04823_B11P_N_UFLEX98_M5358A8BH101511/dpll_52084/txpa_53237.png","plot")</f>
        <v>plot</v>
      </c>
    </row>
    <row r="399" spans="1:29" hidden="1" x14ac:dyDescent="0.35">
      <c r="A399" t="s">
        <v>46</v>
      </c>
      <c r="B399">
        <v>52084</v>
      </c>
      <c r="C399" t="s">
        <v>52</v>
      </c>
      <c r="D399">
        <v>53238</v>
      </c>
      <c r="E399" t="s">
        <v>113</v>
      </c>
      <c r="F399">
        <v>8662</v>
      </c>
      <c r="G399">
        <v>0.44630076728132062</v>
      </c>
      <c r="H399">
        <v>0</v>
      </c>
      <c r="I399">
        <v>0</v>
      </c>
      <c r="J399">
        <v>0.37809439388509752</v>
      </c>
      <c r="K399">
        <v>1.820345017070998E-292</v>
      </c>
      <c r="L399">
        <v>3.5911086523540698E-292</v>
      </c>
      <c r="M399">
        <v>0.26279011346340841</v>
      </c>
      <c r="N399">
        <v>1.58754219499558E-294</v>
      </c>
      <c r="O399">
        <v>3.1502305004413269E-294</v>
      </c>
      <c r="P399">
        <v>0.19918437487589549</v>
      </c>
      <c r="Q399">
        <v>1.224656926827342</v>
      </c>
      <c r="R399">
        <v>3.739920597391889</v>
      </c>
      <c r="S399">
        <v>0.29704853249075203</v>
      </c>
      <c r="T399">
        <v>0.21375628720429629</v>
      </c>
      <c r="U399">
        <v>4.3193722631032099</v>
      </c>
      <c r="V399">
        <v>0.12097605067379361</v>
      </c>
      <c r="W399">
        <v>9.0296697589471258</v>
      </c>
      <c r="X399">
        <v>0.33196034893771409</v>
      </c>
      <c r="Z399" t="s">
        <v>392</v>
      </c>
      <c r="AA399">
        <v>9937</v>
      </c>
      <c r="AB399" t="s">
        <v>790</v>
      </c>
      <c r="AC399" t="str">
        <f>HYPERLINK("plots/20251231000436_3FT6Y121H01_04823_B11P_N_UFLEX98_M5358A8BH101511/dpll_52084/txpa_53238.png","plot")</f>
        <v>plot</v>
      </c>
    </row>
    <row r="400" spans="1:29" hidden="1" x14ac:dyDescent="0.35">
      <c r="A400" t="s">
        <v>46</v>
      </c>
      <c r="B400">
        <v>52084</v>
      </c>
      <c r="C400" t="s">
        <v>52</v>
      </c>
      <c r="D400">
        <v>53239</v>
      </c>
      <c r="E400" t="s">
        <v>114</v>
      </c>
      <c r="F400">
        <v>8668</v>
      </c>
      <c r="G400">
        <v>0.48557277760803619</v>
      </c>
      <c r="H400">
        <v>0</v>
      </c>
      <c r="I400">
        <v>0</v>
      </c>
      <c r="J400">
        <v>0.42582755997341593</v>
      </c>
      <c r="K400">
        <v>0</v>
      </c>
      <c r="L400">
        <v>0</v>
      </c>
      <c r="M400">
        <v>0.29985585000271081</v>
      </c>
      <c r="N400">
        <v>0</v>
      </c>
      <c r="O400">
        <v>0</v>
      </c>
      <c r="P400">
        <v>0.2357809223539834</v>
      </c>
      <c r="Q400">
        <v>1.271823966011655</v>
      </c>
      <c r="R400">
        <v>3.560981403183257</v>
      </c>
      <c r="S400">
        <v>0.27801337096101691</v>
      </c>
      <c r="T400">
        <v>0.19437367635858011</v>
      </c>
      <c r="U400">
        <v>4.3190922335025377</v>
      </c>
      <c r="V400">
        <v>0.12142528342357339</v>
      </c>
      <c r="W400">
        <v>9.0541064171665901</v>
      </c>
      <c r="X400">
        <v>0.3180400398444877</v>
      </c>
      <c r="Z400" t="s">
        <v>392</v>
      </c>
      <c r="AA400">
        <v>9937</v>
      </c>
      <c r="AB400" t="s">
        <v>791</v>
      </c>
      <c r="AC400" t="str">
        <f>HYPERLINK("plots/20251231000436_3FT6Y121H01_04823_B11P_N_UFLEX98_M5358A8BH101511/dpll_52084/txpa_53239.png","plot")</f>
        <v>plot</v>
      </c>
    </row>
    <row r="401" spans="1:29" hidden="1" x14ac:dyDescent="0.35">
      <c r="A401" t="s">
        <v>46</v>
      </c>
      <c r="B401">
        <v>52084</v>
      </c>
      <c r="C401" t="s">
        <v>52</v>
      </c>
      <c r="D401">
        <v>53240</v>
      </c>
      <c r="E401" t="s">
        <v>115</v>
      </c>
      <c r="F401">
        <v>8675</v>
      </c>
      <c r="G401">
        <v>0.48358548152296671</v>
      </c>
      <c r="H401">
        <v>0</v>
      </c>
      <c r="I401">
        <v>0</v>
      </c>
      <c r="J401">
        <v>0.4094787653133013</v>
      </c>
      <c r="K401">
        <v>0</v>
      </c>
      <c r="L401">
        <v>0</v>
      </c>
      <c r="M401">
        <v>0.28720036559674189</v>
      </c>
      <c r="N401">
        <v>0</v>
      </c>
      <c r="O401">
        <v>0</v>
      </c>
      <c r="P401">
        <v>0.23385491793979959</v>
      </c>
      <c r="Q401">
        <v>1.3069069998498639</v>
      </c>
      <c r="R401">
        <v>3.4044026300283732</v>
      </c>
      <c r="S401">
        <v>0.28918981240203262</v>
      </c>
      <c r="T401">
        <v>0.2052819850687716</v>
      </c>
      <c r="U401">
        <v>4.3186688846109513</v>
      </c>
      <c r="V401">
        <v>0.1222590686167464</v>
      </c>
      <c r="W401">
        <v>9.0485012253602299</v>
      </c>
      <c r="X401">
        <v>0.33040949051478541</v>
      </c>
      <c r="Z401" t="s">
        <v>392</v>
      </c>
      <c r="AA401">
        <v>9937</v>
      </c>
      <c r="AB401" t="s">
        <v>792</v>
      </c>
      <c r="AC401" t="str">
        <f>HYPERLINK("plots/20251231000436_3FT6Y121H01_04823_B11P_N_UFLEX98_M5358A8BH101511/dpll_52084/txpa_53240.png","plot")</f>
        <v>plot</v>
      </c>
    </row>
    <row r="402" spans="1:29" hidden="1" x14ac:dyDescent="0.35">
      <c r="A402" t="s">
        <v>46</v>
      </c>
      <c r="B402">
        <v>52084</v>
      </c>
      <c r="C402" t="s">
        <v>52</v>
      </c>
      <c r="D402">
        <v>53241</v>
      </c>
      <c r="E402" t="s">
        <v>116</v>
      </c>
      <c r="F402">
        <v>8679</v>
      </c>
      <c r="G402">
        <v>0.50109847054771317</v>
      </c>
      <c r="H402">
        <v>0</v>
      </c>
      <c r="I402">
        <v>0</v>
      </c>
      <c r="J402">
        <v>0.42168858519850538</v>
      </c>
      <c r="K402">
        <v>0</v>
      </c>
      <c r="L402">
        <v>0</v>
      </c>
      <c r="M402">
        <v>0.29665517653306389</v>
      </c>
      <c r="N402">
        <v>0</v>
      </c>
      <c r="O402">
        <v>0</v>
      </c>
      <c r="P402">
        <v>0.25109967718525739</v>
      </c>
      <c r="Q402">
        <v>1.3048138799476481</v>
      </c>
      <c r="R402">
        <v>3.4342717049537779</v>
      </c>
      <c r="S402">
        <v>0.2762584315806253</v>
      </c>
      <c r="T402">
        <v>0.1959890530706343</v>
      </c>
      <c r="U402">
        <v>4.3184682055536348</v>
      </c>
      <c r="V402">
        <v>0.12260355512284669</v>
      </c>
      <c r="W402">
        <v>9.0690689596727729</v>
      </c>
      <c r="X402">
        <v>0.3192482712636513</v>
      </c>
      <c r="Z402" t="s">
        <v>392</v>
      </c>
      <c r="AA402">
        <v>9937</v>
      </c>
      <c r="AB402" t="s">
        <v>793</v>
      </c>
      <c r="AC402" t="str">
        <f>HYPERLINK("plots/20251231000436_3FT6Y121H01_04823_B11P_N_UFLEX98_M5358A8BH101511/dpll_52084/txpa_53241.png","plot")</f>
        <v>plot</v>
      </c>
    </row>
    <row r="403" spans="1:29" hidden="1" x14ac:dyDescent="0.35">
      <c r="A403" t="s">
        <v>46</v>
      </c>
      <c r="B403">
        <v>52084</v>
      </c>
      <c r="C403" t="s">
        <v>52</v>
      </c>
      <c r="D403">
        <v>53242</v>
      </c>
      <c r="E403" t="s">
        <v>117</v>
      </c>
      <c r="F403">
        <v>8680</v>
      </c>
      <c r="G403">
        <v>0.47639187829637819</v>
      </c>
      <c r="H403">
        <v>0</v>
      </c>
      <c r="I403">
        <v>0</v>
      </c>
      <c r="J403">
        <v>0.38812466306492571</v>
      </c>
      <c r="K403">
        <v>0</v>
      </c>
      <c r="L403">
        <v>0</v>
      </c>
      <c r="M403">
        <v>0.27051061229367618</v>
      </c>
      <c r="N403">
        <v>0</v>
      </c>
      <c r="O403">
        <v>0</v>
      </c>
      <c r="P403">
        <v>0.2269492217067513</v>
      </c>
      <c r="Q403">
        <v>1.261652849095507</v>
      </c>
      <c r="R403">
        <v>3.4593704819159932</v>
      </c>
      <c r="S403">
        <v>0.28543999191091818</v>
      </c>
      <c r="T403">
        <v>0.20387761058154161</v>
      </c>
      <c r="U403">
        <v>4.3184489807603681</v>
      </c>
      <c r="V403">
        <v>0.1225914844797675</v>
      </c>
      <c r="W403">
        <v>8.9077539421658987</v>
      </c>
      <c r="X403">
        <v>0.3246652655411611</v>
      </c>
      <c r="Z403" t="s">
        <v>392</v>
      </c>
      <c r="AA403">
        <v>9937</v>
      </c>
      <c r="AB403" t="s">
        <v>794</v>
      </c>
      <c r="AC403" t="str">
        <f>HYPERLINK("plots/20251231000436_3FT6Y121H01_04823_B11P_N_UFLEX98_M5358A8BH101511/dpll_52084/txpa_53242.png","plot")</f>
        <v>plot</v>
      </c>
    </row>
    <row r="404" spans="1:29" hidden="1" x14ac:dyDescent="0.35">
      <c r="A404" t="s">
        <v>46</v>
      </c>
      <c r="B404">
        <v>52084</v>
      </c>
      <c r="C404" t="s">
        <v>52</v>
      </c>
      <c r="D404">
        <v>53243</v>
      </c>
      <c r="E404" t="s">
        <v>118</v>
      </c>
      <c r="F404">
        <v>8666</v>
      </c>
      <c r="G404">
        <v>0.45280792481234139</v>
      </c>
      <c r="H404">
        <v>0</v>
      </c>
      <c r="I404">
        <v>0</v>
      </c>
      <c r="J404">
        <v>0.41437124618447541</v>
      </c>
      <c r="K404">
        <v>0</v>
      </c>
      <c r="L404">
        <v>0</v>
      </c>
      <c r="M404">
        <v>0.28996320876088649</v>
      </c>
      <c r="N404">
        <v>0</v>
      </c>
      <c r="O404">
        <v>0</v>
      </c>
      <c r="P404">
        <v>0.20503501677285901</v>
      </c>
      <c r="Q404">
        <v>1.270638467310288</v>
      </c>
      <c r="R404">
        <v>4.1683014817917741</v>
      </c>
      <c r="S404">
        <v>0.30520457929426409</v>
      </c>
      <c r="T404">
        <v>0.20906970885428819</v>
      </c>
      <c r="U404">
        <v>4.3188230148857603</v>
      </c>
      <c r="V404">
        <v>0.1219927790208848</v>
      </c>
      <c r="W404">
        <v>9.6559641380106154</v>
      </c>
      <c r="X404">
        <v>0.34232774928190712</v>
      </c>
      <c r="Z404" t="s">
        <v>392</v>
      </c>
      <c r="AA404">
        <v>9937</v>
      </c>
      <c r="AB404" t="s">
        <v>795</v>
      </c>
      <c r="AC404" t="str">
        <f>HYPERLINK("plots/20251231000436_3FT6Y121H01_04823_B11P_N_UFLEX98_M5358A8BH101511/dpll_52084/txpa_53243.png","plot")</f>
        <v>plot</v>
      </c>
    </row>
    <row r="405" spans="1:29" hidden="1" x14ac:dyDescent="0.35">
      <c r="A405" t="s">
        <v>46</v>
      </c>
      <c r="B405">
        <v>52084</v>
      </c>
      <c r="C405" t="s">
        <v>52</v>
      </c>
      <c r="D405">
        <v>53244</v>
      </c>
      <c r="E405" t="s">
        <v>119</v>
      </c>
      <c r="F405">
        <v>8653</v>
      </c>
      <c r="G405">
        <v>0.4253502483172848</v>
      </c>
      <c r="H405">
        <v>0</v>
      </c>
      <c r="I405">
        <v>0</v>
      </c>
      <c r="J405">
        <v>0.38371694291502823</v>
      </c>
      <c r="K405">
        <v>1.391194440423169E-301</v>
      </c>
      <c r="L405">
        <v>2.815710903371445E-301</v>
      </c>
      <c r="M405">
        <v>0.26675795834425842</v>
      </c>
      <c r="N405">
        <v>4.1528063755775378E-303</v>
      </c>
      <c r="O405">
        <v>8.541471936786256E-303</v>
      </c>
      <c r="P405">
        <v>0.18092283374357579</v>
      </c>
      <c r="Q405">
        <v>1.266137982473698</v>
      </c>
      <c r="R405">
        <v>4.396679503454191</v>
      </c>
      <c r="S405">
        <v>0.32377309616486138</v>
      </c>
      <c r="T405">
        <v>0.22870536148191961</v>
      </c>
      <c r="U405">
        <v>4.3198318111637581</v>
      </c>
      <c r="V405">
        <v>0.12019021130264709</v>
      </c>
      <c r="W405">
        <v>9.8661826374667747</v>
      </c>
      <c r="X405">
        <v>0.35776960811436109</v>
      </c>
      <c r="Z405" t="s">
        <v>392</v>
      </c>
      <c r="AA405">
        <v>9937</v>
      </c>
      <c r="AB405" t="s">
        <v>796</v>
      </c>
      <c r="AC405" t="str">
        <f>HYPERLINK("plots/20251231000436_3FT6Y121H01_04823_B11P_N_UFLEX98_M5358A8BH101511/dpll_52084/txpa_53244.png","plot")</f>
        <v>plot</v>
      </c>
    </row>
    <row r="406" spans="1:29" hidden="1" x14ac:dyDescent="0.35">
      <c r="A406" t="s">
        <v>46</v>
      </c>
      <c r="B406">
        <v>52084</v>
      </c>
      <c r="C406" t="s">
        <v>52</v>
      </c>
      <c r="D406">
        <v>53245</v>
      </c>
      <c r="E406" t="s">
        <v>120</v>
      </c>
      <c r="F406">
        <v>8659</v>
      </c>
      <c r="G406">
        <v>0.46868672906748521</v>
      </c>
      <c r="H406">
        <v>0</v>
      </c>
      <c r="I406">
        <v>0</v>
      </c>
      <c r="J406">
        <v>0.43622415994616692</v>
      </c>
      <c r="K406">
        <v>0</v>
      </c>
      <c r="L406">
        <v>0</v>
      </c>
      <c r="M406">
        <v>0.30863497534065748</v>
      </c>
      <c r="N406">
        <v>0</v>
      </c>
      <c r="O406">
        <v>0</v>
      </c>
      <c r="P406">
        <v>0.2196672500039783</v>
      </c>
      <c r="Q406">
        <v>1.3282505006969609</v>
      </c>
      <c r="R406">
        <v>3.9900756032109981</v>
      </c>
      <c r="S406">
        <v>0.30277006101940912</v>
      </c>
      <c r="T406">
        <v>0.20670410616988041</v>
      </c>
      <c r="U406">
        <v>4.3193696462640023</v>
      </c>
      <c r="V406">
        <v>0.1209485757386963</v>
      </c>
      <c r="W406">
        <v>9.7272804985564161</v>
      </c>
      <c r="X406">
        <v>0.34276627930801962</v>
      </c>
      <c r="Z406" t="s">
        <v>392</v>
      </c>
      <c r="AA406">
        <v>9937</v>
      </c>
      <c r="AB406" t="s">
        <v>797</v>
      </c>
      <c r="AC406" t="str">
        <f>HYPERLINK("plots/20251231000436_3FT6Y121H01_04823_B11P_N_UFLEX98_M5358A8BH101511/dpll_52084/txpa_53245.png","plot")</f>
        <v>plot</v>
      </c>
    </row>
    <row r="407" spans="1:29" hidden="1" x14ac:dyDescent="0.35">
      <c r="A407" t="s">
        <v>46</v>
      </c>
      <c r="B407">
        <v>52084</v>
      </c>
      <c r="C407" t="s">
        <v>52</v>
      </c>
      <c r="D407">
        <v>53246</v>
      </c>
      <c r="E407" t="s">
        <v>121</v>
      </c>
      <c r="F407">
        <v>8648</v>
      </c>
      <c r="G407">
        <v>0.44287947797429128</v>
      </c>
      <c r="H407">
        <v>0</v>
      </c>
      <c r="I407">
        <v>0</v>
      </c>
      <c r="J407">
        <v>0.40088307833557102</v>
      </c>
      <c r="K407">
        <v>0</v>
      </c>
      <c r="L407">
        <v>0</v>
      </c>
      <c r="M407">
        <v>0.28066128434945059</v>
      </c>
      <c r="N407">
        <v>0</v>
      </c>
      <c r="O407">
        <v>0</v>
      </c>
      <c r="P407">
        <v>0.19614223201078079</v>
      </c>
      <c r="Q407">
        <v>1.2781820399990771</v>
      </c>
      <c r="R407">
        <v>4.3206955653208006</v>
      </c>
      <c r="S407">
        <v>0.31023986344118959</v>
      </c>
      <c r="T407">
        <v>0.21844244261717849</v>
      </c>
      <c r="U407">
        <v>4.320043786193339</v>
      </c>
      <c r="V407">
        <v>0.1199018684297035</v>
      </c>
      <c r="W407">
        <v>9.842497944842739</v>
      </c>
      <c r="X407">
        <v>0.34604541960301838</v>
      </c>
      <c r="Z407" t="s">
        <v>392</v>
      </c>
      <c r="AA407">
        <v>9937</v>
      </c>
      <c r="AB407" t="s">
        <v>798</v>
      </c>
      <c r="AC407" t="str">
        <f>HYPERLINK("plots/20251231000436_3FT6Y121H01_04823_B11P_N_UFLEX98_M5358A8BH101511/dpll_52084/txpa_53246.png","plot")</f>
        <v>plot</v>
      </c>
    </row>
    <row r="408" spans="1:29" hidden="1" x14ac:dyDescent="0.35">
      <c r="A408" t="s">
        <v>46</v>
      </c>
      <c r="B408">
        <v>52084</v>
      </c>
      <c r="C408" t="s">
        <v>52</v>
      </c>
      <c r="D408">
        <v>53247</v>
      </c>
      <c r="E408" t="s">
        <v>122</v>
      </c>
      <c r="F408">
        <v>8651</v>
      </c>
      <c r="G408">
        <v>0.47398847224715362</v>
      </c>
      <c r="H408">
        <v>0</v>
      </c>
      <c r="I408">
        <v>0</v>
      </c>
      <c r="J408">
        <v>0.43456976697541172</v>
      </c>
      <c r="K408">
        <v>0</v>
      </c>
      <c r="L408">
        <v>0</v>
      </c>
      <c r="M408">
        <v>0.30759943892276698</v>
      </c>
      <c r="N408">
        <v>0</v>
      </c>
      <c r="O408">
        <v>0</v>
      </c>
      <c r="P408">
        <v>0.2246650718231907</v>
      </c>
      <c r="Q408">
        <v>1.328302090421831</v>
      </c>
      <c r="R408">
        <v>4.1215737413165776</v>
      </c>
      <c r="S408">
        <v>0.29650233397969938</v>
      </c>
      <c r="T408">
        <v>0.2038738020805822</v>
      </c>
      <c r="U408">
        <v>4.319844742573113</v>
      </c>
      <c r="V408">
        <v>0.12016540857582179</v>
      </c>
      <c r="W408">
        <v>9.8596325431742002</v>
      </c>
      <c r="X408">
        <v>0.33675072866419492</v>
      </c>
      <c r="Z408" t="s">
        <v>392</v>
      </c>
      <c r="AA408">
        <v>9937</v>
      </c>
      <c r="AB408" t="s">
        <v>799</v>
      </c>
      <c r="AC408" t="str">
        <f>HYPERLINK("plots/20251231000436_3FT6Y121H01_04823_B11P_N_UFLEX98_M5358A8BH101511/dpll_52084/txpa_53247.png","plot")</f>
        <v>plot</v>
      </c>
    </row>
    <row r="409" spans="1:29" hidden="1" x14ac:dyDescent="0.35">
      <c r="A409" t="s">
        <v>46</v>
      </c>
      <c r="B409">
        <v>52084</v>
      </c>
      <c r="C409" t="s">
        <v>52</v>
      </c>
      <c r="D409">
        <v>53248</v>
      </c>
      <c r="E409" t="s">
        <v>123</v>
      </c>
      <c r="F409">
        <v>8654</v>
      </c>
      <c r="G409">
        <v>0.46699534108363361</v>
      </c>
      <c r="H409">
        <v>0</v>
      </c>
      <c r="I409">
        <v>0</v>
      </c>
      <c r="J409">
        <v>0.42388133435004721</v>
      </c>
      <c r="K409">
        <v>0</v>
      </c>
      <c r="L409">
        <v>0</v>
      </c>
      <c r="M409">
        <v>0.29943401037947232</v>
      </c>
      <c r="N409">
        <v>0</v>
      </c>
      <c r="O409">
        <v>0</v>
      </c>
      <c r="P409">
        <v>0.21808464859381929</v>
      </c>
      <c r="Q409">
        <v>1.3252954820858911</v>
      </c>
      <c r="R409">
        <v>4.1235153644644429</v>
      </c>
      <c r="S409">
        <v>0.30197206918428671</v>
      </c>
      <c r="T409">
        <v>0.21056613644595981</v>
      </c>
      <c r="U409">
        <v>4.3197613641090822</v>
      </c>
      <c r="V409">
        <v>0.12034050482570779</v>
      </c>
      <c r="W409">
        <v>9.8484755840073959</v>
      </c>
      <c r="X409">
        <v>0.34151674187448389</v>
      </c>
      <c r="Z409" t="s">
        <v>392</v>
      </c>
      <c r="AA409">
        <v>9937</v>
      </c>
      <c r="AB409" t="s">
        <v>800</v>
      </c>
      <c r="AC409" t="str">
        <f>HYPERLINK("plots/20251231000436_3FT6Y121H01_04823_B11P_N_UFLEX98_M5358A8BH101511/dpll_52084/txpa_53248.png","plot")</f>
        <v>plot</v>
      </c>
    </row>
    <row r="410" spans="1:29" hidden="1" x14ac:dyDescent="0.35">
      <c r="A410" t="s">
        <v>46</v>
      </c>
      <c r="B410">
        <v>52084</v>
      </c>
      <c r="C410" t="s">
        <v>52</v>
      </c>
      <c r="D410">
        <v>53249</v>
      </c>
      <c r="E410" t="s">
        <v>124</v>
      </c>
      <c r="F410">
        <v>8669</v>
      </c>
      <c r="G410">
        <v>0.49456058921207952</v>
      </c>
      <c r="H410">
        <v>0</v>
      </c>
      <c r="I410">
        <v>0</v>
      </c>
      <c r="J410">
        <v>0.43349600861588877</v>
      </c>
      <c r="K410">
        <v>0</v>
      </c>
      <c r="L410">
        <v>0</v>
      </c>
      <c r="M410">
        <v>0.30667772077442412</v>
      </c>
      <c r="N410">
        <v>0</v>
      </c>
      <c r="O410">
        <v>0</v>
      </c>
      <c r="P410">
        <v>0.24459017640179931</v>
      </c>
      <c r="Q410">
        <v>1.383347119077585</v>
      </c>
      <c r="R410">
        <v>3.8932753880840432</v>
      </c>
      <c r="S410">
        <v>0.29597678646813991</v>
      </c>
      <c r="T410">
        <v>0.20591519094730329</v>
      </c>
      <c r="U410">
        <v>4.3189708496943133</v>
      </c>
      <c r="V410">
        <v>0.1217530142151263</v>
      </c>
      <c r="W410">
        <v>9.8679112703887402</v>
      </c>
      <c r="X410">
        <v>0.34055823518376199</v>
      </c>
      <c r="Z410" t="s">
        <v>392</v>
      </c>
      <c r="AA410">
        <v>9937</v>
      </c>
      <c r="AB410" t="s">
        <v>801</v>
      </c>
      <c r="AC410" t="str">
        <f>HYPERLINK("plots/20251231000436_3FT6Y121H01_04823_B11P_N_UFLEX98_M5358A8BH101511/dpll_52084/txpa_53249.png","plot")</f>
        <v>plot</v>
      </c>
    </row>
    <row r="411" spans="1:29" hidden="1" x14ac:dyDescent="0.35">
      <c r="A411" t="s">
        <v>46</v>
      </c>
      <c r="B411">
        <v>52084</v>
      </c>
      <c r="C411" t="s">
        <v>52</v>
      </c>
      <c r="D411">
        <v>53250</v>
      </c>
      <c r="E411" t="s">
        <v>125</v>
      </c>
      <c r="F411">
        <v>8671</v>
      </c>
      <c r="G411">
        <v>0.47271699608955497</v>
      </c>
      <c r="H411">
        <v>0</v>
      </c>
      <c r="I411">
        <v>0</v>
      </c>
      <c r="J411">
        <v>0.40044511136396271</v>
      </c>
      <c r="K411">
        <v>0</v>
      </c>
      <c r="L411">
        <v>0</v>
      </c>
      <c r="M411">
        <v>0.28042101661972341</v>
      </c>
      <c r="N411">
        <v>0</v>
      </c>
      <c r="O411">
        <v>0</v>
      </c>
      <c r="P411">
        <v>0.2234613583919324</v>
      </c>
      <c r="Q411">
        <v>1.319365413465575</v>
      </c>
      <c r="R411">
        <v>4.0440038310506479</v>
      </c>
      <c r="S411">
        <v>0.2998255485329433</v>
      </c>
      <c r="T411">
        <v>0.2113683509998503</v>
      </c>
      <c r="U411">
        <v>4.3188735031714911</v>
      </c>
      <c r="V411">
        <v>0.1219125085238747</v>
      </c>
      <c r="W411">
        <v>9.7421761562680196</v>
      </c>
      <c r="X411">
        <v>0.34026097759504992</v>
      </c>
      <c r="Z411" t="s">
        <v>392</v>
      </c>
      <c r="AA411">
        <v>9937</v>
      </c>
      <c r="AB411" t="s">
        <v>802</v>
      </c>
      <c r="AC411" t="str">
        <f>HYPERLINK("plots/20251231000436_3FT6Y121H01_04823_B11P_N_UFLEX98_M5358A8BH101511/dpll_52084/txpa_53250.png","plot")</f>
        <v>plot</v>
      </c>
    </row>
    <row r="412" spans="1:29" hidden="1" x14ac:dyDescent="0.35">
      <c r="A412" t="s">
        <v>46</v>
      </c>
      <c r="B412">
        <v>52084</v>
      </c>
      <c r="C412" t="s">
        <v>52</v>
      </c>
      <c r="D412">
        <v>53251</v>
      </c>
      <c r="E412" t="s">
        <v>126</v>
      </c>
      <c r="F412">
        <v>8642</v>
      </c>
      <c r="G412">
        <v>0.43524807555931999</v>
      </c>
      <c r="H412">
        <v>0</v>
      </c>
      <c r="I412">
        <v>0</v>
      </c>
      <c r="J412">
        <v>0.42544844041185109</v>
      </c>
      <c r="K412">
        <v>0</v>
      </c>
      <c r="L412">
        <v>0</v>
      </c>
      <c r="M412">
        <v>0.29992391112193861</v>
      </c>
      <c r="N412">
        <v>0</v>
      </c>
      <c r="O412">
        <v>0</v>
      </c>
      <c r="P412">
        <v>0.1894408872780915</v>
      </c>
      <c r="Q412">
        <v>1.3029017427498331</v>
      </c>
      <c r="R412">
        <v>4.8268035059144641</v>
      </c>
      <c r="S412">
        <v>0.32360410857686162</v>
      </c>
      <c r="T412">
        <v>0.2183516619534466</v>
      </c>
      <c r="U412">
        <v>4.319962078222634</v>
      </c>
      <c r="V412">
        <v>0.120080366167365</v>
      </c>
      <c r="W412">
        <v>10.455289626243919</v>
      </c>
      <c r="X412">
        <v>0.35945688708318002</v>
      </c>
      <c r="Z412" t="s">
        <v>392</v>
      </c>
      <c r="AA412">
        <v>9937</v>
      </c>
      <c r="AB412" t="s">
        <v>803</v>
      </c>
      <c r="AC412" t="str">
        <f>HYPERLINK("plots/20251231000436_3FT6Y121H01_04823_B11P_N_UFLEX98_M5358A8BH101511/dpll_52084/txpa_53251.png","plot")</f>
        <v>plot</v>
      </c>
    </row>
    <row r="413" spans="1:29" hidden="1" x14ac:dyDescent="0.35">
      <c r="A413" t="s">
        <v>46</v>
      </c>
      <c r="B413">
        <v>52084</v>
      </c>
      <c r="C413" t="s">
        <v>52</v>
      </c>
      <c r="D413">
        <v>53252</v>
      </c>
      <c r="E413" t="s">
        <v>127</v>
      </c>
      <c r="F413">
        <v>8641</v>
      </c>
      <c r="G413">
        <v>0.42878919534596771</v>
      </c>
      <c r="H413">
        <v>0</v>
      </c>
      <c r="I413">
        <v>0</v>
      </c>
      <c r="J413">
        <v>0.41693933649461767</v>
      </c>
      <c r="K413">
        <v>0</v>
      </c>
      <c r="L413">
        <v>0</v>
      </c>
      <c r="M413">
        <v>0.29411461595061822</v>
      </c>
      <c r="N413">
        <v>0</v>
      </c>
      <c r="O413">
        <v>0</v>
      </c>
      <c r="P413">
        <v>0.18386017404544239</v>
      </c>
      <c r="Q413">
        <v>1.3416649588492049</v>
      </c>
      <c r="R413">
        <v>4.8254415121836924</v>
      </c>
      <c r="S413">
        <v>0.33706956014170469</v>
      </c>
      <c r="T413">
        <v>0.231155562385427</v>
      </c>
      <c r="U413">
        <v>4.3204115257493347</v>
      </c>
      <c r="V413">
        <v>0.11925102932806519</v>
      </c>
      <c r="W413">
        <v>10.6219862640898</v>
      </c>
      <c r="X413">
        <v>0.37313190046002082</v>
      </c>
      <c r="Z413" t="s">
        <v>392</v>
      </c>
      <c r="AA413">
        <v>9937</v>
      </c>
      <c r="AB413" t="s">
        <v>804</v>
      </c>
      <c r="AC413" t="str">
        <f>HYPERLINK("plots/20251231000436_3FT6Y121H01_04823_B11P_N_UFLEX98_M5358A8BH101511/dpll_52084/txpa_53252.png","plot")</f>
        <v>plot</v>
      </c>
    </row>
    <row r="414" spans="1:29" hidden="1" x14ac:dyDescent="0.35">
      <c r="A414" t="s">
        <v>46</v>
      </c>
      <c r="B414">
        <v>52084</v>
      </c>
      <c r="C414" t="s">
        <v>52</v>
      </c>
      <c r="D414">
        <v>53253</v>
      </c>
      <c r="E414" t="s">
        <v>128</v>
      </c>
      <c r="F414">
        <v>8629</v>
      </c>
      <c r="G414">
        <v>0.44451654680469471</v>
      </c>
      <c r="H414">
        <v>0</v>
      </c>
      <c r="I414">
        <v>0</v>
      </c>
      <c r="J414">
        <v>0.44497465282322157</v>
      </c>
      <c r="K414">
        <v>0</v>
      </c>
      <c r="L414">
        <v>0</v>
      </c>
      <c r="M414">
        <v>0.31711129912509639</v>
      </c>
      <c r="N414">
        <v>0</v>
      </c>
      <c r="O414">
        <v>0</v>
      </c>
      <c r="P414">
        <v>0.19759496038317029</v>
      </c>
      <c r="Q414">
        <v>1.3522293758284321</v>
      </c>
      <c r="R414">
        <v>4.6487332570610853</v>
      </c>
      <c r="S414">
        <v>0.32311906416780112</v>
      </c>
      <c r="T414">
        <v>0.21654072147462641</v>
      </c>
      <c r="U414">
        <v>4.320779982153204</v>
      </c>
      <c r="V414">
        <v>0.11858465389379121</v>
      </c>
      <c r="W414">
        <v>10.49141887542009</v>
      </c>
      <c r="X414">
        <v>0.36073719565738882</v>
      </c>
      <c r="Z414" t="s">
        <v>392</v>
      </c>
      <c r="AA414">
        <v>9937</v>
      </c>
      <c r="AB414" t="s">
        <v>805</v>
      </c>
      <c r="AC414" t="str">
        <f>HYPERLINK("plots/20251231000436_3FT6Y121H01_04823_B11P_N_UFLEX98_M5358A8BH101511/dpll_52084/txpa_53253.png","plot")</f>
        <v>plot</v>
      </c>
    </row>
    <row r="415" spans="1:29" hidden="1" x14ac:dyDescent="0.35">
      <c r="A415" t="s">
        <v>46</v>
      </c>
      <c r="B415">
        <v>52084</v>
      </c>
      <c r="C415" t="s">
        <v>52</v>
      </c>
      <c r="D415">
        <v>53254</v>
      </c>
      <c r="E415" t="s">
        <v>129</v>
      </c>
      <c r="F415">
        <v>8634</v>
      </c>
      <c r="G415">
        <v>0.44074954250560983</v>
      </c>
      <c r="H415">
        <v>0</v>
      </c>
      <c r="I415">
        <v>0</v>
      </c>
      <c r="J415">
        <v>0.42590027249511159</v>
      </c>
      <c r="K415">
        <v>0</v>
      </c>
      <c r="L415">
        <v>0</v>
      </c>
      <c r="M415">
        <v>0.30151156796700962</v>
      </c>
      <c r="N415">
        <v>0</v>
      </c>
      <c r="O415">
        <v>0</v>
      </c>
      <c r="P415">
        <v>0.1942601592189043</v>
      </c>
      <c r="Q415">
        <v>1.357598765730331</v>
      </c>
      <c r="R415">
        <v>4.7327584145444659</v>
      </c>
      <c r="S415">
        <v>0.32834884970555228</v>
      </c>
      <c r="T415">
        <v>0.22562646380630699</v>
      </c>
      <c r="U415">
        <v>4.3207274895760941</v>
      </c>
      <c r="V415">
        <v>0.1187636858123202</v>
      </c>
      <c r="W415">
        <v>10.598572721450079</v>
      </c>
      <c r="X415">
        <v>0.36581645066673768</v>
      </c>
      <c r="Z415" t="s">
        <v>392</v>
      </c>
      <c r="AA415">
        <v>9937</v>
      </c>
      <c r="AB415" t="s">
        <v>806</v>
      </c>
      <c r="AC415" t="str">
        <f>HYPERLINK("plots/20251231000436_3FT6Y121H01_04823_B11P_N_UFLEX98_M5358A8BH101511/dpll_52084/txpa_53254.png","plot")</f>
        <v>plot</v>
      </c>
    </row>
    <row r="416" spans="1:29" hidden="1" x14ac:dyDescent="0.35">
      <c r="A416" t="s">
        <v>46</v>
      </c>
      <c r="B416">
        <v>52084</v>
      </c>
      <c r="C416" t="s">
        <v>52</v>
      </c>
      <c r="D416">
        <v>53255</v>
      </c>
      <c r="E416" t="s">
        <v>130</v>
      </c>
      <c r="F416">
        <v>8626</v>
      </c>
      <c r="G416">
        <v>0.45221561601767762</v>
      </c>
      <c r="H416">
        <v>0</v>
      </c>
      <c r="I416">
        <v>0</v>
      </c>
      <c r="J416">
        <v>0.44230303690184553</v>
      </c>
      <c r="K416">
        <v>0</v>
      </c>
      <c r="L416">
        <v>0</v>
      </c>
      <c r="M416">
        <v>0.31504624836005579</v>
      </c>
      <c r="N416">
        <v>0</v>
      </c>
      <c r="O416">
        <v>0</v>
      </c>
      <c r="P416">
        <v>0.20449896337024759</v>
      </c>
      <c r="Q416">
        <v>1.3633720692753319</v>
      </c>
      <c r="R416">
        <v>4.7221887882544316</v>
      </c>
      <c r="S416">
        <v>0.31791956913600611</v>
      </c>
      <c r="T416">
        <v>0.21475596445425679</v>
      </c>
      <c r="U416">
        <v>4.3210383763041964</v>
      </c>
      <c r="V416">
        <v>0.11823695158556211</v>
      </c>
      <c r="W416">
        <v>10.6133718207744</v>
      </c>
      <c r="X416">
        <v>0.35646924086255682</v>
      </c>
      <c r="Z416" t="s">
        <v>392</v>
      </c>
      <c r="AA416">
        <v>9937</v>
      </c>
      <c r="AB416" t="s">
        <v>807</v>
      </c>
      <c r="AC416" t="str">
        <f>HYPERLINK("plots/20251231000436_3FT6Y121H01_04823_B11P_N_UFLEX98_M5358A8BH101511/dpll_52084/txpa_53255.png","plot")</f>
        <v>plot</v>
      </c>
    </row>
    <row r="417" spans="1:29" hidden="1" x14ac:dyDescent="0.35">
      <c r="A417" t="s">
        <v>46</v>
      </c>
      <c r="B417">
        <v>52084</v>
      </c>
      <c r="C417" t="s">
        <v>52</v>
      </c>
      <c r="D417">
        <v>53256</v>
      </c>
      <c r="E417" t="s">
        <v>131</v>
      </c>
      <c r="F417">
        <v>8649</v>
      </c>
      <c r="G417">
        <v>0.46930179825354679</v>
      </c>
      <c r="H417">
        <v>0</v>
      </c>
      <c r="I417">
        <v>0</v>
      </c>
      <c r="J417">
        <v>0.44150179631800518</v>
      </c>
      <c r="K417">
        <v>0</v>
      </c>
      <c r="L417">
        <v>0</v>
      </c>
      <c r="M417">
        <v>0.31506252345257102</v>
      </c>
      <c r="N417">
        <v>0</v>
      </c>
      <c r="O417">
        <v>0</v>
      </c>
      <c r="P417">
        <v>0.22024417784401271</v>
      </c>
      <c r="Q417">
        <v>1.434886995145267</v>
      </c>
      <c r="R417">
        <v>4.3915710843440419</v>
      </c>
      <c r="S417">
        <v>0.32379001508778671</v>
      </c>
      <c r="T417">
        <v>0.2214864146732039</v>
      </c>
      <c r="U417">
        <v>4.3200085237599728</v>
      </c>
      <c r="V417">
        <v>0.11993439974540319</v>
      </c>
      <c r="W417">
        <v>10.590295134003931</v>
      </c>
      <c r="X417">
        <v>0.36669859588361847</v>
      </c>
      <c r="Z417" t="s">
        <v>392</v>
      </c>
      <c r="AA417">
        <v>9937</v>
      </c>
      <c r="AB417" t="s">
        <v>808</v>
      </c>
      <c r="AC417" t="str">
        <f>HYPERLINK("plots/20251231000436_3FT6Y121H01_04823_B11P_N_UFLEX98_M5358A8BH101511/dpll_52084/txpa_53256.png","plot")</f>
        <v>plot</v>
      </c>
    </row>
    <row r="418" spans="1:29" hidden="1" x14ac:dyDescent="0.35">
      <c r="A418" t="s">
        <v>46</v>
      </c>
      <c r="B418">
        <v>52084</v>
      </c>
      <c r="C418" t="s">
        <v>52</v>
      </c>
      <c r="D418">
        <v>53257</v>
      </c>
      <c r="E418" t="s">
        <v>132</v>
      </c>
      <c r="F418">
        <v>8646</v>
      </c>
      <c r="G418">
        <v>0.47388080649591657</v>
      </c>
      <c r="H418">
        <v>0</v>
      </c>
      <c r="I418">
        <v>0</v>
      </c>
      <c r="J418">
        <v>0.44342519062153091</v>
      </c>
      <c r="K418">
        <v>0</v>
      </c>
      <c r="L418">
        <v>0</v>
      </c>
      <c r="M418">
        <v>0.3156750404241207</v>
      </c>
      <c r="N418">
        <v>0</v>
      </c>
      <c r="O418">
        <v>0</v>
      </c>
      <c r="P418">
        <v>0.22456301876522031</v>
      </c>
      <c r="Q418">
        <v>1.4294862836476749</v>
      </c>
      <c r="R418">
        <v>4.4404509066540596</v>
      </c>
      <c r="S418">
        <v>0.31795973589416671</v>
      </c>
      <c r="T418">
        <v>0.21701886429870129</v>
      </c>
      <c r="U418">
        <v>4.3201524129077029</v>
      </c>
      <c r="V418">
        <v>0.11970522746525521</v>
      </c>
      <c r="W418">
        <v>10.616049524173031</v>
      </c>
      <c r="X418">
        <v>0.36109709107617499</v>
      </c>
      <c r="Z418" t="s">
        <v>392</v>
      </c>
      <c r="AA418">
        <v>9937</v>
      </c>
      <c r="AB418" t="s">
        <v>809</v>
      </c>
      <c r="AC418" t="str">
        <f>HYPERLINK("plots/20251231000436_3FT6Y121H01_04823_B11P_N_UFLEX98_M5358A8BH101511/dpll_52084/txpa_53257.png","plot")</f>
        <v>plot</v>
      </c>
    </row>
    <row r="419" spans="1:29" hidden="1" x14ac:dyDescent="0.35">
      <c r="A419" t="s">
        <v>46</v>
      </c>
      <c r="B419">
        <v>52084</v>
      </c>
      <c r="C419" t="s">
        <v>52</v>
      </c>
      <c r="D419">
        <v>53258</v>
      </c>
      <c r="E419" t="s">
        <v>133</v>
      </c>
      <c r="F419">
        <v>8662</v>
      </c>
      <c r="G419">
        <v>0.46945415133325807</v>
      </c>
      <c r="H419">
        <v>0</v>
      </c>
      <c r="I419">
        <v>0</v>
      </c>
      <c r="J419">
        <v>0.41761458639139809</v>
      </c>
      <c r="K419">
        <v>0</v>
      </c>
      <c r="L419">
        <v>0</v>
      </c>
      <c r="M419">
        <v>0.29460992473777292</v>
      </c>
      <c r="N419">
        <v>0</v>
      </c>
      <c r="O419">
        <v>0</v>
      </c>
      <c r="P419">
        <v>0.2203872002040296</v>
      </c>
      <c r="Q419">
        <v>1.398337981824926</v>
      </c>
      <c r="R419">
        <v>4.4950985771152414</v>
      </c>
      <c r="S419">
        <v>0.31849632091794339</v>
      </c>
      <c r="T419">
        <v>0.22102771407349159</v>
      </c>
      <c r="U419">
        <v>4.319340320133918</v>
      </c>
      <c r="V419">
        <v>0.1211075001327671</v>
      </c>
      <c r="W419">
        <v>10.53499620318633</v>
      </c>
      <c r="X419">
        <v>0.36073643579156922</v>
      </c>
      <c r="Z419" t="s">
        <v>392</v>
      </c>
      <c r="AA419">
        <v>9937</v>
      </c>
      <c r="AB419" t="s">
        <v>810</v>
      </c>
      <c r="AC419" t="str">
        <f>HYPERLINK("plots/20251231000436_3FT6Y121H01_04823_B11P_N_UFLEX98_M5358A8BH101511/dpll_52084/txpa_53258.png","plot")</f>
        <v>plot</v>
      </c>
    </row>
    <row r="420" spans="1:29" hidden="1" x14ac:dyDescent="0.35">
      <c r="A420" t="s">
        <v>46</v>
      </c>
      <c r="B420">
        <v>52084</v>
      </c>
      <c r="C420" t="s">
        <v>52</v>
      </c>
      <c r="D420">
        <v>53259</v>
      </c>
      <c r="E420" t="s">
        <v>134</v>
      </c>
      <c r="F420">
        <v>8632</v>
      </c>
      <c r="G420">
        <v>0.42915176098142033</v>
      </c>
      <c r="H420">
        <v>0</v>
      </c>
      <c r="I420">
        <v>0</v>
      </c>
      <c r="J420">
        <v>0.43204564082983049</v>
      </c>
      <c r="K420">
        <v>0</v>
      </c>
      <c r="L420">
        <v>0</v>
      </c>
      <c r="M420">
        <v>0.30596443737944568</v>
      </c>
      <c r="N420">
        <v>0</v>
      </c>
      <c r="O420">
        <v>0</v>
      </c>
      <c r="P420">
        <v>0.18417123395345411</v>
      </c>
      <c r="Q420">
        <v>1.333908441374867</v>
      </c>
      <c r="R420">
        <v>5.0493044157728866</v>
      </c>
      <c r="S420">
        <v>0.33499033076052198</v>
      </c>
      <c r="T420">
        <v>0.22432746294041281</v>
      </c>
      <c r="U420">
        <v>4.3204276144578309</v>
      </c>
      <c r="V420">
        <v>0.11932812043292269</v>
      </c>
      <c r="W420">
        <v>10.81235928104727</v>
      </c>
      <c r="X420">
        <v>0.37090092971973992</v>
      </c>
      <c r="Z420" t="s">
        <v>392</v>
      </c>
      <c r="AA420">
        <v>9937</v>
      </c>
      <c r="AB420" t="s">
        <v>811</v>
      </c>
      <c r="AC420" t="str">
        <f>HYPERLINK("plots/20251231000436_3FT6Y121H01_04823_B11P_N_UFLEX98_M5358A8BH101511/dpll_52084/txpa_53259.png","plot")</f>
        <v>plot</v>
      </c>
    </row>
    <row r="421" spans="1:29" hidden="1" x14ac:dyDescent="0.35">
      <c r="A421" t="s">
        <v>46</v>
      </c>
      <c r="B421">
        <v>52084</v>
      </c>
      <c r="C421" t="s">
        <v>52</v>
      </c>
      <c r="D421">
        <v>53260</v>
      </c>
      <c r="E421" t="s">
        <v>135</v>
      </c>
      <c r="F421">
        <v>8639</v>
      </c>
      <c r="G421">
        <v>0.43475137288520088</v>
      </c>
      <c r="H421">
        <v>0</v>
      </c>
      <c r="I421">
        <v>0</v>
      </c>
      <c r="J421">
        <v>0.43206699851085473</v>
      </c>
      <c r="K421">
        <v>0</v>
      </c>
      <c r="L421">
        <v>0</v>
      </c>
      <c r="M421">
        <v>0.30725667410353791</v>
      </c>
      <c r="N421">
        <v>0</v>
      </c>
      <c r="O421">
        <v>0</v>
      </c>
      <c r="P421">
        <v>0.18900875622556701</v>
      </c>
      <c r="Q421">
        <v>1.407080428140381</v>
      </c>
      <c r="R421">
        <v>4.872348062159646</v>
      </c>
      <c r="S421">
        <v>0.3471088813103701</v>
      </c>
      <c r="T421">
        <v>0.2347128654204956</v>
      </c>
      <c r="U421">
        <v>4.3205073974997106</v>
      </c>
      <c r="V421">
        <v>0.1190980964897263</v>
      </c>
      <c r="W421">
        <v>10.951649460817221</v>
      </c>
      <c r="X421">
        <v>0.38546307395726032</v>
      </c>
      <c r="Z421" t="s">
        <v>392</v>
      </c>
      <c r="AA421">
        <v>9937</v>
      </c>
      <c r="AB421" t="s">
        <v>812</v>
      </c>
      <c r="AC421" t="str">
        <f>HYPERLINK("plots/20251231000436_3FT6Y121H01_04823_B11P_N_UFLEX98_M5358A8BH101511/dpll_52084/txpa_53260.png","plot")</f>
        <v>plot</v>
      </c>
    </row>
    <row r="422" spans="1:29" hidden="1" x14ac:dyDescent="0.35">
      <c r="A422" t="s">
        <v>46</v>
      </c>
      <c r="B422">
        <v>52084</v>
      </c>
      <c r="C422" t="s">
        <v>52</v>
      </c>
      <c r="D422">
        <v>53261</v>
      </c>
      <c r="E422" t="s">
        <v>136</v>
      </c>
      <c r="F422">
        <v>8620</v>
      </c>
      <c r="G422">
        <v>0.44036531877357021</v>
      </c>
      <c r="H422">
        <v>0</v>
      </c>
      <c r="I422">
        <v>0</v>
      </c>
      <c r="J422">
        <v>0.45006436596219518</v>
      </c>
      <c r="K422">
        <v>0</v>
      </c>
      <c r="L422">
        <v>0</v>
      </c>
      <c r="M422">
        <v>0.32206278804543498</v>
      </c>
      <c r="N422">
        <v>0</v>
      </c>
      <c r="O422">
        <v>0</v>
      </c>
      <c r="P422">
        <v>0.1939216139785481</v>
      </c>
      <c r="Q422">
        <v>1.395571234655461</v>
      </c>
      <c r="R422">
        <v>4.797441051879602</v>
      </c>
      <c r="S422">
        <v>0.33582155683636511</v>
      </c>
      <c r="T422">
        <v>0.22339152919338781</v>
      </c>
      <c r="U422">
        <v>4.3211348345707661</v>
      </c>
      <c r="V422">
        <v>0.1180337552278543</v>
      </c>
      <c r="W422">
        <v>10.82789252807425</v>
      </c>
      <c r="X422">
        <v>0.37406332081990379</v>
      </c>
      <c r="Z422" t="s">
        <v>392</v>
      </c>
      <c r="AA422">
        <v>9937</v>
      </c>
      <c r="AB422" t="s">
        <v>813</v>
      </c>
      <c r="AC422" t="str">
        <f>HYPERLINK("plots/20251231000436_3FT6Y121H01_04823_B11P_N_UFLEX98_M5358A8BH101511/dpll_52084/txpa_53261.png","plot")</f>
        <v>plot</v>
      </c>
    </row>
    <row r="423" spans="1:29" hidden="1" x14ac:dyDescent="0.35">
      <c r="A423" t="s">
        <v>46</v>
      </c>
      <c r="B423">
        <v>52084</v>
      </c>
      <c r="C423" t="s">
        <v>52</v>
      </c>
      <c r="D423">
        <v>53262</v>
      </c>
      <c r="E423" t="s">
        <v>137</v>
      </c>
      <c r="F423">
        <v>8631</v>
      </c>
      <c r="G423">
        <v>0.44395571497348529</v>
      </c>
      <c r="H423">
        <v>0</v>
      </c>
      <c r="I423">
        <v>0</v>
      </c>
      <c r="J423">
        <v>0.43763757781860307</v>
      </c>
      <c r="K423">
        <v>0</v>
      </c>
      <c r="L423">
        <v>0</v>
      </c>
      <c r="M423">
        <v>0.31164158292151528</v>
      </c>
      <c r="N423">
        <v>0</v>
      </c>
      <c r="O423">
        <v>0</v>
      </c>
      <c r="P423">
        <v>0.19709667685761861</v>
      </c>
      <c r="Q423">
        <v>1.423828754314012</v>
      </c>
      <c r="R423">
        <v>4.7758248312366307</v>
      </c>
      <c r="S423">
        <v>0.34051224611319381</v>
      </c>
      <c r="T423">
        <v>0.2312215890198778</v>
      </c>
      <c r="U423">
        <v>4.3208813073803727</v>
      </c>
      <c r="V423">
        <v>0.1184972194816984</v>
      </c>
      <c r="W423">
        <v>10.928019880662729</v>
      </c>
      <c r="X423">
        <v>0.38003733866648692</v>
      </c>
      <c r="Z423" t="s">
        <v>392</v>
      </c>
      <c r="AA423">
        <v>9937</v>
      </c>
      <c r="AB423" t="s">
        <v>814</v>
      </c>
      <c r="AC423" t="str">
        <f>HYPERLINK("plots/20251231000436_3FT6Y121H01_04823_B11P_N_UFLEX98_M5358A8BH101511/dpll_52084/txpa_53262.png","plot")</f>
        <v>plot</v>
      </c>
    </row>
    <row r="424" spans="1:29" hidden="1" x14ac:dyDescent="0.35">
      <c r="A424" t="s">
        <v>46</v>
      </c>
      <c r="B424">
        <v>52084</v>
      </c>
      <c r="C424" t="s">
        <v>52</v>
      </c>
      <c r="D424">
        <v>53263</v>
      </c>
      <c r="E424" t="s">
        <v>138</v>
      </c>
      <c r="F424">
        <v>8620</v>
      </c>
      <c r="G424">
        <v>0.44797143165117342</v>
      </c>
      <c r="H424">
        <v>0</v>
      </c>
      <c r="I424">
        <v>0</v>
      </c>
      <c r="J424">
        <v>0.44704625622854188</v>
      </c>
      <c r="K424">
        <v>0</v>
      </c>
      <c r="L424">
        <v>0</v>
      </c>
      <c r="M424">
        <v>0.31961904939965607</v>
      </c>
      <c r="N424">
        <v>0</v>
      </c>
      <c r="O424">
        <v>0</v>
      </c>
      <c r="P424">
        <v>0.2006784035756019</v>
      </c>
      <c r="Q424">
        <v>1.411790789082364</v>
      </c>
      <c r="R424">
        <v>4.84167949275826</v>
      </c>
      <c r="S424">
        <v>0.33174521456287182</v>
      </c>
      <c r="T424">
        <v>0.22227389096328509</v>
      </c>
      <c r="U424">
        <v>4.3213315267981436</v>
      </c>
      <c r="V424">
        <v>0.11774678572812761</v>
      </c>
      <c r="W424">
        <v>10.94249553886311</v>
      </c>
      <c r="X424">
        <v>0.3710813140969853</v>
      </c>
      <c r="Z424" t="s">
        <v>392</v>
      </c>
      <c r="AA424">
        <v>9937</v>
      </c>
      <c r="AB424" t="s">
        <v>815</v>
      </c>
      <c r="AC424" t="str">
        <f>HYPERLINK("plots/20251231000436_3FT6Y121H01_04823_B11P_N_UFLEX98_M5358A8BH101511/dpll_52084/txpa_53263.png","plot")</f>
        <v>plot</v>
      </c>
    </row>
    <row r="425" spans="1:29" hidden="1" x14ac:dyDescent="0.35">
      <c r="A425" t="s">
        <v>46</v>
      </c>
      <c r="B425">
        <v>52084</v>
      </c>
      <c r="C425" t="s">
        <v>52</v>
      </c>
      <c r="D425">
        <v>53264</v>
      </c>
      <c r="E425" t="s">
        <v>139</v>
      </c>
      <c r="F425">
        <v>8645</v>
      </c>
      <c r="G425">
        <v>0.46892135288646658</v>
      </c>
      <c r="H425">
        <v>0</v>
      </c>
      <c r="I425">
        <v>0</v>
      </c>
      <c r="J425">
        <v>0.44864973255346502</v>
      </c>
      <c r="K425">
        <v>0</v>
      </c>
      <c r="L425">
        <v>0</v>
      </c>
      <c r="M425">
        <v>0.32164575717824601</v>
      </c>
      <c r="N425">
        <v>0</v>
      </c>
      <c r="O425">
        <v>0</v>
      </c>
      <c r="P425">
        <v>0.2198872351928742</v>
      </c>
      <c r="Q425">
        <v>1.4928114643975019</v>
      </c>
      <c r="R425">
        <v>4.4645205866592974</v>
      </c>
      <c r="S425">
        <v>0.33627096070191781</v>
      </c>
      <c r="T425">
        <v>0.2282482893629196</v>
      </c>
      <c r="U425">
        <v>4.320208289762868</v>
      </c>
      <c r="V425">
        <v>0.119599906419701</v>
      </c>
      <c r="W425">
        <v>10.91377705020243</v>
      </c>
      <c r="X425">
        <v>0.38074638816335921</v>
      </c>
      <c r="Z425" t="s">
        <v>392</v>
      </c>
      <c r="AA425">
        <v>9937</v>
      </c>
      <c r="AB425" t="s">
        <v>816</v>
      </c>
      <c r="AC425" t="str">
        <f>HYPERLINK("plots/20251231000436_3FT6Y121H01_04823_B11P_N_UFLEX98_M5358A8BH101511/dpll_52084/txpa_53264.png","plot")</f>
        <v>plot</v>
      </c>
    </row>
    <row r="426" spans="1:29" hidden="1" x14ac:dyDescent="0.35">
      <c r="A426" t="s">
        <v>46</v>
      </c>
      <c r="B426">
        <v>52084</v>
      </c>
      <c r="C426" t="s">
        <v>52</v>
      </c>
      <c r="D426">
        <v>53265</v>
      </c>
      <c r="E426" t="s">
        <v>140</v>
      </c>
      <c r="F426">
        <v>8640</v>
      </c>
      <c r="G426">
        <v>0.46989668744744112</v>
      </c>
      <c r="H426">
        <v>0</v>
      </c>
      <c r="I426">
        <v>0</v>
      </c>
      <c r="J426">
        <v>0.44841807344720969</v>
      </c>
      <c r="K426">
        <v>0</v>
      </c>
      <c r="L426">
        <v>0</v>
      </c>
      <c r="M426">
        <v>0.32031906244398423</v>
      </c>
      <c r="N426">
        <v>0</v>
      </c>
      <c r="O426">
        <v>0</v>
      </c>
      <c r="P426">
        <v>0.22080289687407809</v>
      </c>
      <c r="Q426">
        <v>1.4799735531182361</v>
      </c>
      <c r="R426">
        <v>4.5479777419792402</v>
      </c>
      <c r="S426">
        <v>0.33154853554065022</v>
      </c>
      <c r="T426">
        <v>0.22439149736440581</v>
      </c>
      <c r="U426">
        <v>4.3204350446759259</v>
      </c>
      <c r="V426">
        <v>0.1192606061457686</v>
      </c>
      <c r="W426">
        <v>10.942107346064811</v>
      </c>
      <c r="X426">
        <v>0.37561989207325458</v>
      </c>
      <c r="Z426" t="s">
        <v>392</v>
      </c>
      <c r="AA426">
        <v>9937</v>
      </c>
      <c r="AB426" t="s">
        <v>817</v>
      </c>
      <c r="AC426" t="str">
        <f>HYPERLINK("plots/20251231000436_3FT6Y121H01_04823_B11P_N_UFLEX98_M5358A8BH101511/dpll_52084/txpa_53265.png","plot")</f>
        <v>plot</v>
      </c>
    </row>
    <row r="427" spans="1:29" hidden="1" x14ac:dyDescent="0.35">
      <c r="A427" t="s">
        <v>46</v>
      </c>
      <c r="B427">
        <v>52084</v>
      </c>
      <c r="C427" t="s">
        <v>52</v>
      </c>
      <c r="D427">
        <v>53266</v>
      </c>
      <c r="E427" t="s">
        <v>141</v>
      </c>
      <c r="F427">
        <v>8652</v>
      </c>
      <c r="G427">
        <v>0.46220812143343948</v>
      </c>
      <c r="H427">
        <v>0</v>
      </c>
      <c r="I427">
        <v>0</v>
      </c>
      <c r="J427">
        <v>0.42595889074234028</v>
      </c>
      <c r="K427">
        <v>0</v>
      </c>
      <c r="L427">
        <v>0</v>
      </c>
      <c r="M427">
        <v>0.30169867200334188</v>
      </c>
      <c r="N427">
        <v>0</v>
      </c>
      <c r="O427">
        <v>0</v>
      </c>
      <c r="P427">
        <v>0.21363634751902921</v>
      </c>
      <c r="Q427">
        <v>1.422738703955299</v>
      </c>
      <c r="R427">
        <v>4.7422276802044081</v>
      </c>
      <c r="S427">
        <v>0.32806097030823961</v>
      </c>
      <c r="T427">
        <v>0.22590711669178101</v>
      </c>
      <c r="U427">
        <v>4.3198596828478966</v>
      </c>
      <c r="V427">
        <v>0.12019333200499439</v>
      </c>
      <c r="W427">
        <v>10.888259246648181</v>
      </c>
      <c r="X427">
        <v>0.3699712261016172</v>
      </c>
      <c r="Z427" t="s">
        <v>392</v>
      </c>
      <c r="AA427">
        <v>9937</v>
      </c>
      <c r="AB427" t="s">
        <v>818</v>
      </c>
      <c r="AC427" t="str">
        <f>HYPERLINK("plots/20251231000436_3FT6Y121H01_04823_B11P_N_UFLEX98_M5358A8BH101511/dpll_52084/txpa_53266.png","plot")</f>
        <v>plot</v>
      </c>
    </row>
    <row r="428" spans="1:29" hidden="1" x14ac:dyDescent="0.35">
      <c r="A428" t="s">
        <v>46</v>
      </c>
      <c r="B428">
        <v>52084</v>
      </c>
      <c r="C428" t="s">
        <v>52</v>
      </c>
      <c r="D428">
        <v>53267</v>
      </c>
      <c r="E428" t="s">
        <v>142</v>
      </c>
      <c r="F428">
        <v>8630</v>
      </c>
      <c r="G428">
        <v>0.43171001051245422</v>
      </c>
      <c r="H428">
        <v>0</v>
      </c>
      <c r="I428">
        <v>0</v>
      </c>
      <c r="J428">
        <v>0.44009575033409742</v>
      </c>
      <c r="K428">
        <v>0</v>
      </c>
      <c r="L428">
        <v>0</v>
      </c>
      <c r="M428">
        <v>0.31329641983209178</v>
      </c>
      <c r="N428">
        <v>0</v>
      </c>
      <c r="O428">
        <v>0</v>
      </c>
      <c r="P428">
        <v>0.1863735331766633</v>
      </c>
      <c r="Q428">
        <v>1.398094885529612</v>
      </c>
      <c r="R428">
        <v>5.0902294281855731</v>
      </c>
      <c r="S428">
        <v>0.34806682193697652</v>
      </c>
      <c r="T428">
        <v>0.23132979060210049</v>
      </c>
      <c r="U428">
        <v>4.3205272264194674</v>
      </c>
      <c r="V428">
        <v>0.1191600645279607</v>
      </c>
      <c r="W428">
        <v>11.130736446234071</v>
      </c>
      <c r="X428">
        <v>0.3859004255615105</v>
      </c>
      <c r="Z428" t="s">
        <v>392</v>
      </c>
      <c r="AA428">
        <v>9937</v>
      </c>
      <c r="AB428" t="s">
        <v>819</v>
      </c>
      <c r="AC428" t="str">
        <f>HYPERLINK("plots/20251231000436_3FT6Y121H01_04823_B11P_N_UFLEX98_M5358A8BH101511/dpll_52084/txpa_53267.png","plot")</f>
        <v>plot</v>
      </c>
    </row>
    <row r="429" spans="1:29" hidden="1" x14ac:dyDescent="0.35">
      <c r="A429" t="s">
        <v>46</v>
      </c>
      <c r="B429">
        <v>52084</v>
      </c>
      <c r="C429" t="s">
        <v>52</v>
      </c>
      <c r="D429">
        <v>53268</v>
      </c>
      <c r="E429" t="s">
        <v>143</v>
      </c>
      <c r="F429">
        <v>8632</v>
      </c>
      <c r="G429">
        <v>0.43695813877417827</v>
      </c>
      <c r="H429">
        <v>0</v>
      </c>
      <c r="I429">
        <v>0</v>
      </c>
      <c r="J429">
        <v>0.44393831139670298</v>
      </c>
      <c r="K429">
        <v>0</v>
      </c>
      <c r="L429">
        <v>0</v>
      </c>
      <c r="M429">
        <v>0.31782707076261563</v>
      </c>
      <c r="N429">
        <v>0</v>
      </c>
      <c r="O429">
        <v>0</v>
      </c>
      <c r="P429">
        <v>0.19093241504099401</v>
      </c>
      <c r="Q429">
        <v>1.4565879720180399</v>
      </c>
      <c r="R429">
        <v>4.9503574990118553</v>
      </c>
      <c r="S429">
        <v>0.35555167520293729</v>
      </c>
      <c r="T429">
        <v>0.23798128407551239</v>
      </c>
      <c r="U429">
        <v>4.3207978839202967</v>
      </c>
      <c r="V429">
        <v>0.1185874142162348</v>
      </c>
      <c r="W429">
        <v>11.24397972625116</v>
      </c>
      <c r="X429">
        <v>0.39530789302761499</v>
      </c>
      <c r="Z429" t="s">
        <v>392</v>
      </c>
      <c r="AA429">
        <v>9937</v>
      </c>
      <c r="AB429" t="s">
        <v>820</v>
      </c>
      <c r="AC429" t="str">
        <f>HYPERLINK("plots/20251231000436_3FT6Y121H01_04823_B11P_N_UFLEX98_M5358A8BH101511/dpll_52084/txpa_53268.png","plot")</f>
        <v>plot</v>
      </c>
    </row>
    <row r="430" spans="1:29" hidden="1" x14ac:dyDescent="0.35">
      <c r="A430" t="s">
        <v>46</v>
      </c>
      <c r="B430">
        <v>52084</v>
      </c>
      <c r="C430" t="s">
        <v>52</v>
      </c>
      <c r="D430">
        <v>53269</v>
      </c>
      <c r="E430" t="s">
        <v>144</v>
      </c>
      <c r="F430">
        <v>8614</v>
      </c>
      <c r="G430">
        <v>0.43919193360557962</v>
      </c>
      <c r="H430">
        <v>0</v>
      </c>
      <c r="I430">
        <v>0</v>
      </c>
      <c r="J430">
        <v>0.45458776693284558</v>
      </c>
      <c r="K430">
        <v>0</v>
      </c>
      <c r="L430">
        <v>0</v>
      </c>
      <c r="M430">
        <v>0.32641559806120451</v>
      </c>
      <c r="N430">
        <v>0</v>
      </c>
      <c r="O430">
        <v>0</v>
      </c>
      <c r="P430">
        <v>0.19288955454420781</v>
      </c>
      <c r="Q430">
        <v>1.449551842554373</v>
      </c>
      <c r="R430">
        <v>4.8626820226198477</v>
      </c>
      <c r="S430">
        <v>0.34880008168257798</v>
      </c>
      <c r="T430">
        <v>0.23068254116340839</v>
      </c>
      <c r="U430">
        <v>4.3213695410958914</v>
      </c>
      <c r="V430">
        <v>0.1176402413633186</v>
      </c>
      <c r="W430">
        <v>11.12673120327374</v>
      </c>
      <c r="X430">
        <v>0.38827131278754701</v>
      </c>
      <c r="Z430" t="s">
        <v>392</v>
      </c>
      <c r="AA430">
        <v>9937</v>
      </c>
      <c r="AB430" t="s">
        <v>821</v>
      </c>
      <c r="AC430" t="str">
        <f>HYPERLINK("plots/20251231000436_3FT6Y121H01_04823_B11P_N_UFLEX98_M5358A8BH101511/dpll_52084/txpa_53269.png","plot")</f>
        <v>plot</v>
      </c>
    </row>
    <row r="431" spans="1:29" hidden="1" x14ac:dyDescent="0.35">
      <c r="A431" t="s">
        <v>46</v>
      </c>
      <c r="B431">
        <v>52084</v>
      </c>
      <c r="C431" t="s">
        <v>52</v>
      </c>
      <c r="D431">
        <v>53270</v>
      </c>
      <c r="E431" t="s">
        <v>145</v>
      </c>
      <c r="F431">
        <v>8623</v>
      </c>
      <c r="G431">
        <v>0.44279051437909411</v>
      </c>
      <c r="H431">
        <v>0</v>
      </c>
      <c r="I431">
        <v>0</v>
      </c>
      <c r="J431">
        <v>0.44619059518173643</v>
      </c>
      <c r="K431">
        <v>0</v>
      </c>
      <c r="L431">
        <v>0</v>
      </c>
      <c r="M431">
        <v>0.31935979262693331</v>
      </c>
      <c r="N431">
        <v>0</v>
      </c>
      <c r="O431">
        <v>0</v>
      </c>
      <c r="P431">
        <v>0.19606343962410269</v>
      </c>
      <c r="Q431">
        <v>1.468099422137811</v>
      </c>
      <c r="R431">
        <v>4.8756404863735998</v>
      </c>
      <c r="S431">
        <v>0.35062298844435208</v>
      </c>
      <c r="T431">
        <v>0.23602627112573399</v>
      </c>
      <c r="U431">
        <v>4.3212418659399283</v>
      </c>
      <c r="V431">
        <v>0.1179498850810088</v>
      </c>
      <c r="W431">
        <v>11.21965317267772</v>
      </c>
      <c r="X431">
        <v>0.39107016186077947</v>
      </c>
      <c r="Z431" t="s">
        <v>392</v>
      </c>
      <c r="AA431">
        <v>9937</v>
      </c>
      <c r="AB431" t="s">
        <v>822</v>
      </c>
      <c r="AC431" t="str">
        <f>HYPERLINK("plots/20251231000436_3FT6Y121H01_04823_B11P_N_UFLEX98_M5358A8BH101511/dpll_52084/txpa_53270.png","plot")</f>
        <v>plot</v>
      </c>
    </row>
    <row r="432" spans="1:29" hidden="1" x14ac:dyDescent="0.35">
      <c r="A432" t="s">
        <v>46</v>
      </c>
      <c r="B432">
        <v>52084</v>
      </c>
      <c r="C432" t="s">
        <v>52</v>
      </c>
      <c r="D432">
        <v>53271</v>
      </c>
      <c r="E432" t="s">
        <v>146</v>
      </c>
      <c r="F432">
        <v>8618</v>
      </c>
      <c r="G432">
        <v>0.44923953282038592</v>
      </c>
      <c r="H432">
        <v>0</v>
      </c>
      <c r="I432">
        <v>0</v>
      </c>
      <c r="J432">
        <v>0.45209199783639509</v>
      </c>
      <c r="K432">
        <v>0</v>
      </c>
      <c r="L432">
        <v>0</v>
      </c>
      <c r="M432">
        <v>0.32445554862860948</v>
      </c>
      <c r="N432">
        <v>0</v>
      </c>
      <c r="O432">
        <v>0</v>
      </c>
      <c r="P432">
        <v>0.2018161578486786</v>
      </c>
      <c r="Q432">
        <v>1.4771008533433529</v>
      </c>
      <c r="R432">
        <v>4.8500207178531776</v>
      </c>
      <c r="S432">
        <v>0.34547946872043062</v>
      </c>
      <c r="T432">
        <v>0.229972821851709</v>
      </c>
      <c r="U432">
        <v>4.3214202763982366</v>
      </c>
      <c r="V432">
        <v>0.1176152926077618</v>
      </c>
      <c r="W432">
        <v>11.233194295776279</v>
      </c>
      <c r="X432">
        <v>0.38671941444345992</v>
      </c>
      <c r="Z432" t="s">
        <v>392</v>
      </c>
      <c r="AA432">
        <v>9937</v>
      </c>
      <c r="AB432" t="s">
        <v>823</v>
      </c>
      <c r="AC432" t="str">
        <f>HYPERLINK("plots/20251231000436_3FT6Y121H01_04823_B11P_N_UFLEX98_M5358A8BH101511/dpll_52084/txpa_53271.png","plot")</f>
        <v>plot</v>
      </c>
    </row>
    <row r="433" spans="1:29" hidden="1" x14ac:dyDescent="0.35">
      <c r="A433" t="s">
        <v>46</v>
      </c>
      <c r="B433">
        <v>52084</v>
      </c>
      <c r="C433" t="s">
        <v>52</v>
      </c>
      <c r="D433">
        <v>53272</v>
      </c>
      <c r="E433" t="s">
        <v>147</v>
      </c>
      <c r="F433">
        <v>8646</v>
      </c>
      <c r="G433">
        <v>0.47365195732797422</v>
      </c>
      <c r="H433">
        <v>0</v>
      </c>
      <c r="I433">
        <v>0</v>
      </c>
      <c r="J433">
        <v>0.45543066024787893</v>
      </c>
      <c r="K433">
        <v>0</v>
      </c>
      <c r="L433">
        <v>0</v>
      </c>
      <c r="M433">
        <v>0.32795582419285818</v>
      </c>
      <c r="N433">
        <v>0</v>
      </c>
      <c r="O433">
        <v>0</v>
      </c>
      <c r="P433">
        <v>0.2243461766806211</v>
      </c>
      <c r="Q433">
        <v>1.572420659864705</v>
      </c>
      <c r="R433">
        <v>4.4057892991702321</v>
      </c>
      <c r="S433">
        <v>0.34974667981136148</v>
      </c>
      <c r="T433">
        <v>0.23591095969395609</v>
      </c>
      <c r="U433">
        <v>4.3201737893823733</v>
      </c>
      <c r="V433">
        <v>0.11962868900747189</v>
      </c>
      <c r="W433">
        <v>11.198919819801061</v>
      </c>
      <c r="X433">
        <v>0.39714102137157758</v>
      </c>
      <c r="Z433" t="s">
        <v>392</v>
      </c>
      <c r="AA433">
        <v>9937</v>
      </c>
      <c r="AB433" t="s">
        <v>824</v>
      </c>
      <c r="AC433" t="str">
        <f>HYPERLINK("plots/20251231000436_3FT6Y121H01_04823_B11P_N_UFLEX98_M5358A8BH101511/dpll_52084/txpa_53272.png","plot")</f>
        <v>plot</v>
      </c>
    </row>
    <row r="434" spans="1:29" hidden="1" x14ac:dyDescent="0.35">
      <c r="A434" t="s">
        <v>46</v>
      </c>
      <c r="B434">
        <v>52084</v>
      </c>
      <c r="C434" t="s">
        <v>52</v>
      </c>
      <c r="D434">
        <v>53273</v>
      </c>
      <c r="E434" t="s">
        <v>148</v>
      </c>
      <c r="F434">
        <v>8639</v>
      </c>
      <c r="G434">
        <v>0.47162788400432831</v>
      </c>
      <c r="H434">
        <v>0</v>
      </c>
      <c r="I434">
        <v>0</v>
      </c>
      <c r="J434">
        <v>0.45344966508738088</v>
      </c>
      <c r="K434">
        <v>0</v>
      </c>
      <c r="L434">
        <v>0</v>
      </c>
      <c r="M434">
        <v>0.32502014501805798</v>
      </c>
      <c r="N434">
        <v>0</v>
      </c>
      <c r="O434">
        <v>0</v>
      </c>
      <c r="P434">
        <v>0.2224328609704001</v>
      </c>
      <c r="Q434">
        <v>1.550226894240041</v>
      </c>
      <c r="R434">
        <v>4.5324515815079867</v>
      </c>
      <c r="S434">
        <v>0.34554457546667922</v>
      </c>
      <c r="T434">
        <v>0.23225548657015491</v>
      </c>
      <c r="U434">
        <v>4.3204696119921291</v>
      </c>
      <c r="V434">
        <v>0.1192242157662448</v>
      </c>
      <c r="W434">
        <v>11.23015976976502</v>
      </c>
      <c r="X434">
        <v>0.39188646811182598</v>
      </c>
      <c r="Z434" t="s">
        <v>392</v>
      </c>
      <c r="AA434">
        <v>9937</v>
      </c>
      <c r="AB434" t="s">
        <v>825</v>
      </c>
      <c r="AC434" t="str">
        <f>HYPERLINK("plots/20251231000436_3FT6Y121H01_04823_B11P_N_UFLEX98_M5358A8BH101511/dpll_52084/txpa_53273.png","plot")</f>
        <v>plot</v>
      </c>
    </row>
    <row r="435" spans="1:29" hidden="1" x14ac:dyDescent="0.35">
      <c r="A435" t="s">
        <v>46</v>
      </c>
      <c r="B435">
        <v>52084</v>
      </c>
      <c r="C435" t="s">
        <v>52</v>
      </c>
      <c r="D435">
        <v>53274</v>
      </c>
      <c r="E435" t="s">
        <v>149</v>
      </c>
      <c r="F435">
        <v>8648</v>
      </c>
      <c r="G435">
        <v>0.4631242277038356</v>
      </c>
      <c r="H435">
        <v>0</v>
      </c>
      <c r="I435">
        <v>0</v>
      </c>
      <c r="J435">
        <v>0.4352484171615103</v>
      </c>
      <c r="K435">
        <v>0</v>
      </c>
      <c r="L435">
        <v>0</v>
      </c>
      <c r="M435">
        <v>0.30972349296214852</v>
      </c>
      <c r="N435">
        <v>0</v>
      </c>
      <c r="O435">
        <v>0</v>
      </c>
      <c r="P435">
        <v>0.21448405028627421</v>
      </c>
      <c r="Q435">
        <v>1.476686961224839</v>
      </c>
      <c r="R435">
        <v>4.8235014031526733</v>
      </c>
      <c r="S435">
        <v>0.33876274366756171</v>
      </c>
      <c r="T435">
        <v>0.2314592136889487</v>
      </c>
      <c r="U435">
        <v>4.3200523863321001</v>
      </c>
      <c r="V435">
        <v>0.1198815390008748</v>
      </c>
      <c r="W435">
        <v>11.20286643385754</v>
      </c>
      <c r="X435">
        <v>0.38224626340940759</v>
      </c>
      <c r="Z435" t="s">
        <v>392</v>
      </c>
      <c r="AA435">
        <v>9937</v>
      </c>
      <c r="AB435" t="s">
        <v>826</v>
      </c>
      <c r="AC435" t="str">
        <f>HYPERLINK("plots/20251231000436_3FT6Y121H01_04823_B11P_N_UFLEX98_M5358A8BH101511/dpll_52084/txpa_53274.png","plot")</f>
        <v>plot</v>
      </c>
    </row>
    <row r="436" spans="1:29" hidden="1" x14ac:dyDescent="0.35">
      <c r="A436" t="s">
        <v>46</v>
      </c>
      <c r="B436">
        <v>52084</v>
      </c>
      <c r="C436" t="s">
        <v>52</v>
      </c>
      <c r="D436">
        <v>53275</v>
      </c>
      <c r="E436" t="s">
        <v>150</v>
      </c>
      <c r="F436">
        <v>8620</v>
      </c>
      <c r="G436">
        <v>0.44060650380695859</v>
      </c>
      <c r="H436">
        <v>0</v>
      </c>
      <c r="I436">
        <v>0</v>
      </c>
      <c r="J436">
        <v>0.46058449037774851</v>
      </c>
      <c r="K436">
        <v>0</v>
      </c>
      <c r="L436">
        <v>0</v>
      </c>
      <c r="M436">
        <v>0.33228936614843241</v>
      </c>
      <c r="N436">
        <v>0</v>
      </c>
      <c r="O436">
        <v>0</v>
      </c>
      <c r="P436">
        <v>0.1941340911969914</v>
      </c>
      <c r="Q436">
        <v>1.58686907942581</v>
      </c>
      <c r="R436">
        <v>5.1104673999892558</v>
      </c>
      <c r="S436">
        <v>0.38257621371131151</v>
      </c>
      <c r="T436">
        <v>0.25047539882932712</v>
      </c>
      <c r="U436">
        <v>4.3210207499999997</v>
      </c>
      <c r="V436">
        <v>0.1183372767927876</v>
      </c>
      <c r="W436">
        <v>11.967361619721579</v>
      </c>
      <c r="X436">
        <v>0.42619835128035699</v>
      </c>
      <c r="Z436" t="s">
        <v>392</v>
      </c>
      <c r="AA436">
        <v>9937</v>
      </c>
      <c r="AB436" t="s">
        <v>827</v>
      </c>
      <c r="AC436" t="str">
        <f>HYPERLINK("plots/20251231000436_3FT6Y121H01_04823_B11P_N_UFLEX98_M5358A8BH101511/dpll_52084/txpa_53275.png","plot")</f>
        <v>plot</v>
      </c>
    </row>
    <row r="437" spans="1:29" hidden="1" x14ac:dyDescent="0.35">
      <c r="A437" t="s">
        <v>46</v>
      </c>
      <c r="B437">
        <v>52084</v>
      </c>
      <c r="C437" t="s">
        <v>52</v>
      </c>
      <c r="D437">
        <v>53276</v>
      </c>
      <c r="E437" t="s">
        <v>151</v>
      </c>
      <c r="F437">
        <v>8642</v>
      </c>
      <c r="G437">
        <v>0.46869118302235302</v>
      </c>
      <c r="H437">
        <v>0</v>
      </c>
      <c r="I437">
        <v>0</v>
      </c>
      <c r="J437">
        <v>0.46613135869147793</v>
      </c>
      <c r="K437">
        <v>0</v>
      </c>
      <c r="L437">
        <v>0</v>
      </c>
      <c r="M437">
        <v>0.33773185037427073</v>
      </c>
      <c r="N437">
        <v>0</v>
      </c>
      <c r="O437">
        <v>0</v>
      </c>
      <c r="P437">
        <v>0.2196714250428928</v>
      </c>
      <c r="Q437">
        <v>1.734609689565185</v>
      </c>
      <c r="R437">
        <v>4.4849270410085591</v>
      </c>
      <c r="S437">
        <v>0.39053398894126368</v>
      </c>
      <c r="T437">
        <v>0.25873075154807312</v>
      </c>
      <c r="U437">
        <v>4.3202937616292516</v>
      </c>
      <c r="V437">
        <v>0.1194621223438985</v>
      </c>
      <c r="W437">
        <v>11.97895046169868</v>
      </c>
      <c r="X437">
        <v>0.44212514009222381</v>
      </c>
      <c r="Z437" t="s">
        <v>392</v>
      </c>
      <c r="AA437">
        <v>9937</v>
      </c>
      <c r="AB437" t="s">
        <v>828</v>
      </c>
      <c r="AC437" t="str">
        <f>HYPERLINK("plots/20251231000436_3FT6Y121H01_04823_B11P_N_UFLEX98_M5358A8BH101511/dpll_52084/txpa_53276.png","plot")</f>
        <v>plot</v>
      </c>
    </row>
    <row r="438" spans="1:29" hidden="1" x14ac:dyDescent="0.35">
      <c r="A438" t="s">
        <v>46</v>
      </c>
      <c r="B438">
        <v>52084</v>
      </c>
      <c r="C438" t="s">
        <v>52</v>
      </c>
      <c r="D438">
        <v>53277</v>
      </c>
      <c r="E438" t="s">
        <v>152</v>
      </c>
      <c r="F438">
        <v>8621</v>
      </c>
      <c r="G438">
        <v>0.45286423683412441</v>
      </c>
      <c r="H438">
        <v>0</v>
      </c>
      <c r="I438">
        <v>0</v>
      </c>
      <c r="J438">
        <v>0.4650545616721149</v>
      </c>
      <c r="K438">
        <v>0</v>
      </c>
      <c r="L438">
        <v>0</v>
      </c>
      <c r="M438">
        <v>0.33678460037426883</v>
      </c>
      <c r="N438">
        <v>0</v>
      </c>
      <c r="O438">
        <v>0</v>
      </c>
      <c r="P438">
        <v>0.20508601700335391</v>
      </c>
      <c r="Q438">
        <v>1.6892323670237239</v>
      </c>
      <c r="R438">
        <v>4.5892280964374859</v>
      </c>
      <c r="S438">
        <v>0.39204950076135608</v>
      </c>
      <c r="T438">
        <v>0.25690297563129311</v>
      </c>
      <c r="U438">
        <v>4.3212282304837029</v>
      </c>
      <c r="V438">
        <v>0.117892087458132</v>
      </c>
      <c r="W438">
        <v>11.88878668866721</v>
      </c>
      <c r="X438">
        <v>0.43975018063352223</v>
      </c>
      <c r="Z438" t="s">
        <v>392</v>
      </c>
      <c r="AA438">
        <v>9937</v>
      </c>
      <c r="AB438" t="s">
        <v>829</v>
      </c>
      <c r="AC438" t="str">
        <f>HYPERLINK("plots/20251231000436_3FT6Y121H01_04823_B11P_N_UFLEX98_M5358A8BH101511/dpll_52084/txpa_53277.png","plot")</f>
        <v>plot</v>
      </c>
    </row>
    <row r="439" spans="1:29" hidden="1" x14ac:dyDescent="0.35">
      <c r="A439" t="s">
        <v>46</v>
      </c>
      <c r="B439">
        <v>52084</v>
      </c>
      <c r="C439" t="s">
        <v>52</v>
      </c>
      <c r="D439">
        <v>53278</v>
      </c>
      <c r="E439" t="s">
        <v>153</v>
      </c>
      <c r="F439">
        <v>8627</v>
      </c>
      <c r="G439">
        <v>0.4661516979767994</v>
      </c>
      <c r="H439">
        <v>0</v>
      </c>
      <c r="I439">
        <v>0</v>
      </c>
      <c r="J439">
        <v>0.46542432181293109</v>
      </c>
      <c r="K439">
        <v>0</v>
      </c>
      <c r="L439">
        <v>0</v>
      </c>
      <c r="M439">
        <v>0.33669137754733358</v>
      </c>
      <c r="N439">
        <v>0</v>
      </c>
      <c r="O439">
        <v>0</v>
      </c>
      <c r="P439">
        <v>0.21729740552665319</v>
      </c>
      <c r="Q439">
        <v>1.7235210800673011</v>
      </c>
      <c r="R439">
        <v>4.502744918460043</v>
      </c>
      <c r="S439">
        <v>0.38654863910867021</v>
      </c>
      <c r="T439">
        <v>0.25710085707598201</v>
      </c>
      <c r="U439">
        <v>4.3210761779297551</v>
      </c>
      <c r="V439">
        <v>0.11817935217611721</v>
      </c>
      <c r="W439">
        <v>11.95021079969862</v>
      </c>
      <c r="X439">
        <v>0.43694918540095679</v>
      </c>
      <c r="Z439" t="s">
        <v>392</v>
      </c>
      <c r="AA439">
        <v>9937</v>
      </c>
      <c r="AB439" t="s">
        <v>830</v>
      </c>
      <c r="AC439" t="str">
        <f>HYPERLINK("plots/20251231000436_3FT6Y121H01_04823_B11P_N_UFLEX98_M5358A8BH101511/dpll_52084/txpa_53278.png","plot")</f>
        <v>plot</v>
      </c>
    </row>
    <row r="440" spans="1:29" hidden="1" x14ac:dyDescent="0.35">
      <c r="A440" t="s">
        <v>46</v>
      </c>
      <c r="B440">
        <v>52084</v>
      </c>
      <c r="C440" t="s">
        <v>52</v>
      </c>
      <c r="D440">
        <v>53279</v>
      </c>
      <c r="E440" t="s">
        <v>154</v>
      </c>
      <c r="F440">
        <v>8624</v>
      </c>
      <c r="G440">
        <v>0.4655495218741541</v>
      </c>
      <c r="H440">
        <v>0</v>
      </c>
      <c r="I440">
        <v>0</v>
      </c>
      <c r="J440">
        <v>0.46587838416795663</v>
      </c>
      <c r="K440">
        <v>0</v>
      </c>
      <c r="L440">
        <v>0</v>
      </c>
      <c r="M440">
        <v>0.33756729623645759</v>
      </c>
      <c r="N440">
        <v>0</v>
      </c>
      <c r="O440">
        <v>0</v>
      </c>
      <c r="P440">
        <v>0.21673635731725349</v>
      </c>
      <c r="Q440">
        <v>1.711112833536343</v>
      </c>
      <c r="R440">
        <v>4.5799504430308824</v>
      </c>
      <c r="S440">
        <v>0.38363895552706878</v>
      </c>
      <c r="T440">
        <v>0.25262878946227252</v>
      </c>
      <c r="U440">
        <v>4.3212193024118726</v>
      </c>
      <c r="V440">
        <v>0.1179454341069965</v>
      </c>
      <c r="W440">
        <v>11.974044247912801</v>
      </c>
      <c r="X440">
        <v>0.43350478622562427</v>
      </c>
      <c r="Z440" t="s">
        <v>392</v>
      </c>
      <c r="AA440">
        <v>9937</v>
      </c>
      <c r="AB440" t="s">
        <v>831</v>
      </c>
      <c r="AC440" t="str">
        <f>HYPERLINK("plots/20251231000436_3FT6Y121H01_04823_B11P_N_UFLEX98_M5358A8BH101511/dpll_52084/txpa_53279.png","plot")</f>
        <v>plot</v>
      </c>
    </row>
    <row r="441" spans="1:29" hidden="1" x14ac:dyDescent="0.35">
      <c r="A441" t="s">
        <v>46</v>
      </c>
      <c r="B441">
        <v>52084</v>
      </c>
      <c r="C441" t="s">
        <v>52</v>
      </c>
      <c r="D441">
        <v>53280</v>
      </c>
      <c r="E441" t="s">
        <v>155</v>
      </c>
      <c r="F441">
        <v>8665</v>
      </c>
      <c r="G441">
        <v>0.50553652586897491</v>
      </c>
      <c r="H441">
        <v>0</v>
      </c>
      <c r="I441">
        <v>0</v>
      </c>
      <c r="J441">
        <v>0.47133399489309152</v>
      </c>
      <c r="K441">
        <v>0</v>
      </c>
      <c r="L441">
        <v>0</v>
      </c>
      <c r="M441">
        <v>0.34208884501688608</v>
      </c>
      <c r="N441">
        <v>0</v>
      </c>
      <c r="O441">
        <v>0</v>
      </c>
      <c r="P441">
        <v>0.25556717898767273</v>
      </c>
      <c r="Q441">
        <v>1.8842734308036631</v>
      </c>
      <c r="R441">
        <v>3.785722928338096</v>
      </c>
      <c r="S441">
        <v>0.38987623461486948</v>
      </c>
      <c r="T441">
        <v>0.26182486822321971</v>
      </c>
      <c r="U441">
        <v>4.3192210618580491</v>
      </c>
      <c r="V441">
        <v>0.1212404902360019</v>
      </c>
      <c r="W441">
        <v>11.9243164169648</v>
      </c>
      <c r="X441">
        <v>0.45189659460633919</v>
      </c>
      <c r="Z441" t="s">
        <v>392</v>
      </c>
      <c r="AA441">
        <v>9937</v>
      </c>
      <c r="AB441" t="s">
        <v>832</v>
      </c>
      <c r="AC441" t="str">
        <f>HYPERLINK("plots/20251231000436_3FT6Y121H01_04823_B11P_N_UFLEX98_M5358A8BH101511/dpll_52084/txpa_53280.png","plot")</f>
        <v>plot</v>
      </c>
    </row>
    <row r="442" spans="1:29" hidden="1" x14ac:dyDescent="0.35">
      <c r="A442" t="s">
        <v>46</v>
      </c>
      <c r="B442">
        <v>52084</v>
      </c>
      <c r="C442" t="s">
        <v>52</v>
      </c>
      <c r="D442">
        <v>53281</v>
      </c>
      <c r="E442" t="s">
        <v>156</v>
      </c>
      <c r="F442">
        <v>8651</v>
      </c>
      <c r="G442">
        <v>0.4924799522368189</v>
      </c>
      <c r="H442">
        <v>0</v>
      </c>
      <c r="I442">
        <v>0</v>
      </c>
      <c r="J442">
        <v>0.4665973250029698</v>
      </c>
      <c r="K442">
        <v>0</v>
      </c>
      <c r="L442">
        <v>0</v>
      </c>
      <c r="M442">
        <v>0.33704788268495661</v>
      </c>
      <c r="N442">
        <v>0</v>
      </c>
      <c r="O442">
        <v>0</v>
      </c>
      <c r="P442">
        <v>0.2425365033551794</v>
      </c>
      <c r="Q442">
        <v>1.8158585134723599</v>
      </c>
      <c r="R442">
        <v>4.1210971339508067</v>
      </c>
      <c r="S442">
        <v>0.38533122832439382</v>
      </c>
      <c r="T442">
        <v>0.25700824492996949</v>
      </c>
      <c r="U442">
        <v>4.3199176583053989</v>
      </c>
      <c r="V442">
        <v>0.12008396092238741</v>
      </c>
      <c r="W442">
        <v>11.965456391284251</v>
      </c>
      <c r="X442">
        <v>0.44277027274308822</v>
      </c>
      <c r="Z442" t="s">
        <v>392</v>
      </c>
      <c r="AA442">
        <v>9937</v>
      </c>
      <c r="AB442" t="s">
        <v>833</v>
      </c>
      <c r="AC442" t="str">
        <f>HYPERLINK("plots/20251231000436_3FT6Y121H01_04823_B11P_N_UFLEX98_M5358A8BH101511/dpll_52084/txpa_53281.png","plot")</f>
        <v>plot</v>
      </c>
    </row>
    <row r="443" spans="1:29" hidden="1" x14ac:dyDescent="0.35">
      <c r="A443" t="s">
        <v>46</v>
      </c>
      <c r="B443">
        <v>52084</v>
      </c>
      <c r="C443" t="s">
        <v>52</v>
      </c>
      <c r="D443">
        <v>53282</v>
      </c>
      <c r="E443" t="s">
        <v>157</v>
      </c>
      <c r="F443">
        <v>8640</v>
      </c>
      <c r="G443">
        <v>0.47319196519042961</v>
      </c>
      <c r="H443">
        <v>0</v>
      </c>
      <c r="I443">
        <v>0</v>
      </c>
      <c r="J443">
        <v>0.45813914788840859</v>
      </c>
      <c r="K443">
        <v>0</v>
      </c>
      <c r="L443">
        <v>0</v>
      </c>
      <c r="M443">
        <v>0.32961560601289452</v>
      </c>
      <c r="N443">
        <v>0</v>
      </c>
      <c r="O443">
        <v>0</v>
      </c>
      <c r="P443">
        <v>0.2239106359207807</v>
      </c>
      <c r="Q443">
        <v>1.665016634522744</v>
      </c>
      <c r="R443">
        <v>4.8311466644469734</v>
      </c>
      <c r="S443">
        <v>0.36943801573025031</v>
      </c>
      <c r="T443">
        <v>0.24825735617442971</v>
      </c>
      <c r="U443">
        <v>4.3204568787037054</v>
      </c>
      <c r="V443">
        <v>0.1191872052324396</v>
      </c>
      <c r="W443">
        <v>12.02477923622685</v>
      </c>
      <c r="X443">
        <v>0.41938302831161811</v>
      </c>
      <c r="Z443" t="s">
        <v>392</v>
      </c>
      <c r="AA443">
        <v>9937</v>
      </c>
      <c r="AB443" t="s">
        <v>834</v>
      </c>
      <c r="AC443" t="str">
        <f>HYPERLINK("plots/20251231000436_3FT6Y121H01_04823_B11P_N_UFLEX98_M5358A8BH101511/dpll_52084/txpa_53282.png","plot")</f>
        <v>plot</v>
      </c>
    </row>
    <row r="444" spans="1:29" hidden="1" x14ac:dyDescent="0.35">
      <c r="A444" t="s">
        <v>46</v>
      </c>
      <c r="B444">
        <v>52084</v>
      </c>
      <c r="C444" t="s">
        <v>52</v>
      </c>
      <c r="D444">
        <v>53283</v>
      </c>
      <c r="E444" t="s">
        <v>158</v>
      </c>
      <c r="F444">
        <v>8626</v>
      </c>
      <c r="G444">
        <v>0.45293187496978898</v>
      </c>
      <c r="H444">
        <v>0</v>
      </c>
      <c r="I444">
        <v>0</v>
      </c>
      <c r="J444">
        <v>0.46691414223251831</v>
      </c>
      <c r="K444">
        <v>0</v>
      </c>
      <c r="L444">
        <v>0</v>
      </c>
      <c r="M444">
        <v>0.33806551161005027</v>
      </c>
      <c r="N444">
        <v>0</v>
      </c>
      <c r="O444">
        <v>0</v>
      </c>
      <c r="P444">
        <v>0.2051472833636486</v>
      </c>
      <c r="Q444">
        <v>1.690144015970674</v>
      </c>
      <c r="R444">
        <v>4.8578142031186022</v>
      </c>
      <c r="S444">
        <v>0.39530041261029841</v>
      </c>
      <c r="T444">
        <v>0.25830462200991278</v>
      </c>
      <c r="U444">
        <v>4.320759250173893</v>
      </c>
      <c r="V444">
        <v>0.1188278622904593</v>
      </c>
      <c r="W444">
        <v>12.160519594249941</v>
      </c>
      <c r="X444">
        <v>0.44341370409005337</v>
      </c>
      <c r="Z444" t="s">
        <v>392</v>
      </c>
      <c r="AA444">
        <v>9937</v>
      </c>
      <c r="AB444" t="s">
        <v>835</v>
      </c>
      <c r="AC444" t="str">
        <f>HYPERLINK("plots/20251231000436_3FT6Y121H01_04823_B11P_N_UFLEX98_M5358A8BH101511/dpll_52084/txpa_53283.png","plot")</f>
        <v>plot</v>
      </c>
    </row>
    <row r="445" spans="1:29" hidden="1" x14ac:dyDescent="0.35">
      <c r="A445" t="s">
        <v>46</v>
      </c>
      <c r="B445">
        <v>52084</v>
      </c>
      <c r="C445" t="s">
        <v>52</v>
      </c>
      <c r="D445">
        <v>53284</v>
      </c>
      <c r="E445" t="s">
        <v>159</v>
      </c>
      <c r="F445">
        <v>8647</v>
      </c>
      <c r="G445">
        <v>0.47730990478929969</v>
      </c>
      <c r="H445">
        <v>0</v>
      </c>
      <c r="I445">
        <v>0</v>
      </c>
      <c r="J445">
        <v>0.46925839443838752</v>
      </c>
      <c r="K445">
        <v>0</v>
      </c>
      <c r="L445">
        <v>0</v>
      </c>
      <c r="M445">
        <v>0.34043356660144658</v>
      </c>
      <c r="N445">
        <v>0</v>
      </c>
      <c r="O445">
        <v>0</v>
      </c>
      <c r="P445">
        <v>0.2278247452099704</v>
      </c>
      <c r="Q445">
        <v>1.8232621331917269</v>
      </c>
      <c r="R445">
        <v>4.2689270904845094</v>
      </c>
      <c r="S445">
        <v>0.40208111837220001</v>
      </c>
      <c r="T445">
        <v>0.26680311379682792</v>
      </c>
      <c r="U445">
        <v>4.3201039659997686</v>
      </c>
      <c r="V445">
        <v>0.11979320582797121</v>
      </c>
      <c r="W445">
        <v>12.14560906314329</v>
      </c>
      <c r="X445">
        <v>0.45759456028090939</v>
      </c>
      <c r="Z445" t="s">
        <v>392</v>
      </c>
      <c r="AA445">
        <v>9937</v>
      </c>
      <c r="AB445" t="s">
        <v>836</v>
      </c>
      <c r="AC445" t="str">
        <f>HYPERLINK("plots/20251231000436_3FT6Y121H01_04823_B11P_N_UFLEX98_M5358A8BH101511/dpll_52084/txpa_53284.png","plot")</f>
        <v>plot</v>
      </c>
    </row>
    <row r="446" spans="1:29" hidden="1" x14ac:dyDescent="0.35">
      <c r="A446" t="s">
        <v>46</v>
      </c>
      <c r="B446">
        <v>52084</v>
      </c>
      <c r="C446" t="s">
        <v>52</v>
      </c>
      <c r="D446">
        <v>53285</v>
      </c>
      <c r="E446" t="s">
        <v>160</v>
      </c>
      <c r="F446">
        <v>8636</v>
      </c>
      <c r="G446">
        <v>0.46824824887081901</v>
      </c>
      <c r="H446">
        <v>0</v>
      </c>
      <c r="I446">
        <v>0</v>
      </c>
      <c r="J446">
        <v>0.46926510564544749</v>
      </c>
      <c r="K446">
        <v>0</v>
      </c>
      <c r="L446">
        <v>0</v>
      </c>
      <c r="M446">
        <v>0.34070711626951578</v>
      </c>
      <c r="N446">
        <v>0</v>
      </c>
      <c r="O446">
        <v>0</v>
      </c>
      <c r="P446">
        <v>0.21925642257058839</v>
      </c>
      <c r="Q446">
        <v>1.818673843320759</v>
      </c>
      <c r="R446">
        <v>4.2033077390343339</v>
      </c>
      <c r="S446">
        <v>0.40814439903831262</v>
      </c>
      <c r="T446">
        <v>0.26748046534893549</v>
      </c>
      <c r="U446">
        <v>4.3206291314265872</v>
      </c>
      <c r="V446">
        <v>0.1189340253638468</v>
      </c>
      <c r="W446">
        <v>12.06112292704956</v>
      </c>
      <c r="X446">
        <v>0.46193915627381188</v>
      </c>
      <c r="Z446" t="s">
        <v>392</v>
      </c>
      <c r="AA446">
        <v>9937</v>
      </c>
      <c r="AB446" t="s">
        <v>837</v>
      </c>
      <c r="AC446" t="str">
        <f>HYPERLINK("plots/20251231000436_3FT6Y121H01_04823_B11P_N_UFLEX98_M5358A8BH101511/dpll_52084/txpa_53285.png","plot")</f>
        <v>plot</v>
      </c>
    </row>
    <row r="447" spans="1:29" hidden="1" x14ac:dyDescent="0.35">
      <c r="A447" t="s">
        <v>46</v>
      </c>
      <c r="B447">
        <v>52084</v>
      </c>
      <c r="C447" t="s">
        <v>52</v>
      </c>
      <c r="D447">
        <v>53286</v>
      </c>
      <c r="E447" t="s">
        <v>161</v>
      </c>
      <c r="F447">
        <v>8635</v>
      </c>
      <c r="G447">
        <v>0.47960188616109728</v>
      </c>
      <c r="H447">
        <v>0</v>
      </c>
      <c r="I447">
        <v>0</v>
      </c>
      <c r="J447">
        <v>0.470249363453483</v>
      </c>
      <c r="K447">
        <v>0</v>
      </c>
      <c r="L447">
        <v>0</v>
      </c>
      <c r="M447">
        <v>0.3408574895432413</v>
      </c>
      <c r="N447">
        <v>0</v>
      </c>
      <c r="O447">
        <v>0</v>
      </c>
      <c r="P447">
        <v>0.23001796920928219</v>
      </c>
      <c r="Q447">
        <v>1.8345026436352541</v>
      </c>
      <c r="R447">
        <v>4.1869305599202269</v>
      </c>
      <c r="S447">
        <v>0.39867300011339302</v>
      </c>
      <c r="T447">
        <v>0.26524045403774421</v>
      </c>
      <c r="U447">
        <v>4.3206963327156913</v>
      </c>
      <c r="V447">
        <v>0.1187857156552564</v>
      </c>
      <c r="W447">
        <v>12.113259404632309</v>
      </c>
      <c r="X447">
        <v>0.45436166054292182</v>
      </c>
      <c r="Z447" t="s">
        <v>392</v>
      </c>
      <c r="AA447">
        <v>9937</v>
      </c>
      <c r="AB447" t="s">
        <v>838</v>
      </c>
      <c r="AC447" t="str">
        <f>HYPERLINK("plots/20251231000436_3FT6Y121H01_04823_B11P_N_UFLEX98_M5358A8BH101511/dpll_52084/txpa_53286.png","plot")</f>
        <v>plot</v>
      </c>
    </row>
    <row r="448" spans="1:29" hidden="1" x14ac:dyDescent="0.35">
      <c r="A448" t="s">
        <v>46</v>
      </c>
      <c r="B448">
        <v>52084</v>
      </c>
      <c r="C448" t="s">
        <v>52</v>
      </c>
      <c r="D448">
        <v>53287</v>
      </c>
      <c r="E448" t="s">
        <v>162</v>
      </c>
      <c r="F448">
        <v>8629</v>
      </c>
      <c r="G448">
        <v>0.47550990376360341</v>
      </c>
      <c r="H448">
        <v>0</v>
      </c>
      <c r="I448">
        <v>0</v>
      </c>
      <c r="J448">
        <v>0.47051876415879201</v>
      </c>
      <c r="K448">
        <v>0</v>
      </c>
      <c r="L448">
        <v>0</v>
      </c>
      <c r="M448">
        <v>0.34184260351172091</v>
      </c>
      <c r="N448">
        <v>0</v>
      </c>
      <c r="O448">
        <v>0</v>
      </c>
      <c r="P448">
        <v>0.22610966857727141</v>
      </c>
      <c r="Q448">
        <v>1.801926700652513</v>
      </c>
      <c r="R448">
        <v>4.3537226025208167</v>
      </c>
      <c r="S448">
        <v>0.39455644354354857</v>
      </c>
      <c r="T448">
        <v>0.25980113104612163</v>
      </c>
      <c r="U448">
        <v>4.3209723225170942</v>
      </c>
      <c r="V448">
        <v>0.1183632938176649</v>
      </c>
      <c r="W448">
        <v>12.13979800324487</v>
      </c>
      <c r="X448">
        <v>0.44853320155716592</v>
      </c>
      <c r="Z448" t="s">
        <v>392</v>
      </c>
      <c r="AA448">
        <v>9937</v>
      </c>
      <c r="AB448" t="s">
        <v>839</v>
      </c>
      <c r="AC448" t="str">
        <f>HYPERLINK("plots/20251231000436_3FT6Y121H01_04823_B11P_N_UFLEX98_M5358A8BH101511/dpll_52084/txpa_53287.png","plot")</f>
        <v>plot</v>
      </c>
    </row>
    <row r="449" spans="1:29" hidden="1" x14ac:dyDescent="0.35">
      <c r="A449" t="s">
        <v>46</v>
      </c>
      <c r="B449">
        <v>52084</v>
      </c>
      <c r="C449" t="s">
        <v>52</v>
      </c>
      <c r="D449">
        <v>53288</v>
      </c>
      <c r="E449" t="s">
        <v>163</v>
      </c>
      <c r="F449">
        <v>8666</v>
      </c>
      <c r="G449">
        <v>0.51011971334459105</v>
      </c>
      <c r="H449">
        <v>0</v>
      </c>
      <c r="I449">
        <v>0</v>
      </c>
      <c r="J449">
        <v>0.47401457382146928</v>
      </c>
      <c r="K449">
        <v>0</v>
      </c>
      <c r="L449">
        <v>0</v>
      </c>
      <c r="M449">
        <v>0.34441919043460001</v>
      </c>
      <c r="N449">
        <v>0</v>
      </c>
      <c r="O449">
        <v>0</v>
      </c>
      <c r="P449">
        <v>0.26022212194276773</v>
      </c>
      <c r="Q449">
        <v>1.957421561205303</v>
      </c>
      <c r="R449">
        <v>3.6331467633117782</v>
      </c>
      <c r="S449">
        <v>0.40024599717991988</v>
      </c>
      <c r="T449">
        <v>0.26882880606245102</v>
      </c>
      <c r="U449">
        <v>4.31918291010847</v>
      </c>
      <c r="V449">
        <v>0.1212799823642373</v>
      </c>
      <c r="W449">
        <v>12.087608518347571</v>
      </c>
      <c r="X449">
        <v>0.46537321772153012</v>
      </c>
      <c r="Z449" t="s">
        <v>392</v>
      </c>
      <c r="AA449">
        <v>9937</v>
      </c>
      <c r="AB449" t="s">
        <v>840</v>
      </c>
      <c r="AC449" t="str">
        <f>HYPERLINK("plots/20251231000436_3FT6Y121H01_04823_B11P_N_UFLEX98_M5358A8BH101511/dpll_52084/txpa_53288.png","plot")</f>
        <v>plot</v>
      </c>
    </row>
    <row r="450" spans="1:29" hidden="1" x14ac:dyDescent="0.35">
      <c r="A450" t="s">
        <v>46</v>
      </c>
      <c r="B450">
        <v>52084</v>
      </c>
      <c r="C450" t="s">
        <v>52</v>
      </c>
      <c r="D450">
        <v>53289</v>
      </c>
      <c r="E450" t="s">
        <v>164</v>
      </c>
      <c r="F450">
        <v>8655</v>
      </c>
      <c r="G450">
        <v>0.50046243552210001</v>
      </c>
      <c r="H450">
        <v>0</v>
      </c>
      <c r="I450">
        <v>0</v>
      </c>
      <c r="J450">
        <v>0.47015469782890912</v>
      </c>
      <c r="K450">
        <v>0</v>
      </c>
      <c r="L450">
        <v>0</v>
      </c>
      <c r="M450">
        <v>0.34023182998176349</v>
      </c>
      <c r="N450">
        <v>0</v>
      </c>
      <c r="O450">
        <v>0</v>
      </c>
      <c r="P450">
        <v>0.2504626493687121</v>
      </c>
      <c r="Q450">
        <v>1.900101340963916</v>
      </c>
      <c r="R450">
        <v>3.9226608271600418</v>
      </c>
      <c r="S450">
        <v>0.39596214336479268</v>
      </c>
      <c r="T450">
        <v>0.2643314936638248</v>
      </c>
      <c r="U450">
        <v>4.3197047396880413</v>
      </c>
      <c r="V450">
        <v>0.1204694251810009</v>
      </c>
      <c r="W450">
        <v>12.13053759560947</v>
      </c>
      <c r="X450">
        <v>0.45738521032606838</v>
      </c>
      <c r="Z450" t="s">
        <v>392</v>
      </c>
      <c r="AA450">
        <v>9937</v>
      </c>
      <c r="AB450" t="s">
        <v>841</v>
      </c>
      <c r="AC450" t="str">
        <f>HYPERLINK("plots/20251231000436_3FT6Y121H01_04823_B11P_N_UFLEX98_M5358A8BH101511/dpll_52084/txpa_53289.png","plot")</f>
        <v>plot</v>
      </c>
    </row>
    <row r="451" spans="1:29" hidden="1" x14ac:dyDescent="0.35">
      <c r="A451" t="s">
        <v>46</v>
      </c>
      <c r="B451">
        <v>52084</v>
      </c>
      <c r="C451" t="s">
        <v>52</v>
      </c>
      <c r="D451">
        <v>53290</v>
      </c>
      <c r="E451" t="s">
        <v>165</v>
      </c>
      <c r="F451">
        <v>8647</v>
      </c>
      <c r="G451">
        <v>0.48586815847396603</v>
      </c>
      <c r="H451">
        <v>0</v>
      </c>
      <c r="I451">
        <v>0</v>
      </c>
      <c r="J451">
        <v>0.46493684731083962</v>
      </c>
      <c r="K451">
        <v>0</v>
      </c>
      <c r="L451">
        <v>0</v>
      </c>
      <c r="M451">
        <v>0.33541880565149879</v>
      </c>
      <c r="N451">
        <v>0</v>
      </c>
      <c r="O451">
        <v>0</v>
      </c>
      <c r="P451">
        <v>0.236067867418883</v>
      </c>
      <c r="Q451">
        <v>1.77267352781765</v>
      </c>
      <c r="R451">
        <v>4.5530015062793012</v>
      </c>
      <c r="S451">
        <v>0.38168388804892212</v>
      </c>
      <c r="T451">
        <v>0.25584438262561932</v>
      </c>
      <c r="U451">
        <v>4.3201310690412864</v>
      </c>
      <c r="V451">
        <v>0.11969919555240301</v>
      </c>
      <c r="W451">
        <v>12.211183489071351</v>
      </c>
      <c r="X451">
        <v>0.43671846272713188</v>
      </c>
      <c r="Z451" t="s">
        <v>392</v>
      </c>
      <c r="AA451">
        <v>9937</v>
      </c>
      <c r="AB451" t="s">
        <v>842</v>
      </c>
      <c r="AC451" t="str">
        <f>HYPERLINK("plots/20251231000436_3FT6Y121H01_04823_B11P_N_UFLEX98_M5358A8BH101511/dpll_52084/txpa_53290.png","plot")</f>
        <v>plot</v>
      </c>
    </row>
    <row r="452" spans="1:29" hidden="1" x14ac:dyDescent="0.35">
      <c r="A452" t="s">
        <v>46</v>
      </c>
      <c r="B452">
        <v>52084</v>
      </c>
      <c r="C452" t="s">
        <v>52</v>
      </c>
      <c r="D452">
        <v>54146</v>
      </c>
      <c r="E452" t="s">
        <v>166</v>
      </c>
      <c r="F452">
        <v>8705</v>
      </c>
      <c r="G452">
        <v>-6.8754800296983599E-3</v>
      </c>
      <c r="H452">
        <v>0.52126166419253461</v>
      </c>
      <c r="I452">
        <v>0.5228084347094264</v>
      </c>
      <c r="J452">
        <v>-4.486064144450394E-3</v>
      </c>
      <c r="K452">
        <v>0.67558565925555147</v>
      </c>
      <c r="L452">
        <v>0.67759036447589438</v>
      </c>
      <c r="M452">
        <v>-3.0433936074899578E-3</v>
      </c>
      <c r="N452">
        <v>0.67023090938977437</v>
      </c>
      <c r="O452">
        <v>0.67221972514464012</v>
      </c>
      <c r="P452">
        <v>4.7272225638780959E-5</v>
      </c>
      <c r="Q452">
        <v>-0.28432592010437641</v>
      </c>
      <c r="R452">
        <v>-9.3811757111882503</v>
      </c>
      <c r="S452">
        <v>5.1528386716440604</v>
      </c>
      <c r="T452">
        <v>3.887623255342759</v>
      </c>
      <c r="U452">
        <v>4.3169703661114296</v>
      </c>
      <c r="V452">
        <v>0.1246144282074103</v>
      </c>
      <c r="W452">
        <v>-10.608602282596211</v>
      </c>
      <c r="X452">
        <v>5.1532564715931723</v>
      </c>
      <c r="Z452" t="s">
        <v>392</v>
      </c>
      <c r="AA452">
        <v>9937</v>
      </c>
      <c r="AB452" t="s">
        <v>843</v>
      </c>
      <c r="AC452" t="str">
        <f>HYPERLINK("plots/20251231000436_3FT6Y121H01_04823_B11P_N_UFLEX98_M5358A8BH101511/dpll_52084/txpa_54146.png","plot")</f>
        <v>plot</v>
      </c>
    </row>
    <row r="453" spans="1:29" hidden="1" x14ac:dyDescent="0.35">
      <c r="A453" t="s">
        <v>46</v>
      </c>
      <c r="B453">
        <v>52084</v>
      </c>
      <c r="C453" t="s">
        <v>52</v>
      </c>
      <c r="D453">
        <v>54147</v>
      </c>
      <c r="E453" t="s">
        <v>167</v>
      </c>
      <c r="F453">
        <v>8716</v>
      </c>
      <c r="G453">
        <v>0.1150739993942978</v>
      </c>
      <c r="H453">
        <v>4.395261233710142E-27</v>
      </c>
      <c r="I453">
        <v>4.4258141916406003E-27</v>
      </c>
      <c r="J453">
        <v>9.8284240322858388E-2</v>
      </c>
      <c r="K453">
        <v>3.6902118081322557E-20</v>
      </c>
      <c r="L453">
        <v>3.7195574288728702E-20</v>
      </c>
      <c r="M453">
        <v>6.5247846203674728E-2</v>
      </c>
      <c r="N453">
        <v>6.8142613455771657E-20</v>
      </c>
      <c r="O453">
        <v>6.868450302599649E-20</v>
      </c>
      <c r="P453">
        <v>1.3242025336598851E-2</v>
      </c>
      <c r="Q453">
        <v>1.116676876833897</v>
      </c>
      <c r="R453">
        <v>-26.870280432444769</v>
      </c>
      <c r="S453">
        <v>1.200982257830558</v>
      </c>
      <c r="T453">
        <v>0.93833589827200325</v>
      </c>
      <c r="U453">
        <v>4.3169497564249664</v>
      </c>
      <c r="V453">
        <v>0.1245965072716559</v>
      </c>
      <c r="W453">
        <v>-22.049642460991279</v>
      </c>
      <c r="X453">
        <v>1.209083192874749</v>
      </c>
      <c r="Z453" t="s">
        <v>392</v>
      </c>
      <c r="AA453">
        <v>9937</v>
      </c>
      <c r="AB453" t="s">
        <v>844</v>
      </c>
      <c r="AC453" t="str">
        <f>HYPERLINK("plots/20251231000436_3FT6Y121H01_04823_B11P_N_UFLEX98_M5358A8BH101511/dpll_52084/txpa_54147.png","plot")</f>
        <v>plot</v>
      </c>
    </row>
    <row r="454" spans="1:29" hidden="1" x14ac:dyDescent="0.35">
      <c r="A454" t="s">
        <v>46</v>
      </c>
      <c r="B454">
        <v>52084</v>
      </c>
      <c r="C454" t="s">
        <v>52</v>
      </c>
      <c r="D454">
        <v>54148</v>
      </c>
      <c r="E454" t="s">
        <v>168</v>
      </c>
      <c r="F454">
        <v>8716</v>
      </c>
      <c r="G454">
        <v>0.15682527204054339</v>
      </c>
      <c r="H454">
        <v>4.1211034980960473E-49</v>
      </c>
      <c r="I454">
        <v>4.2295535901512057E-49</v>
      </c>
      <c r="J454">
        <v>0.13091606801261629</v>
      </c>
      <c r="K454">
        <v>1.2591353688854481E-34</v>
      </c>
      <c r="L454">
        <v>1.308159082018283E-34</v>
      </c>
      <c r="M454">
        <v>8.756436950022338E-2</v>
      </c>
      <c r="N454">
        <v>1.606995306418574E-34</v>
      </c>
      <c r="O454">
        <v>1.6708641906318931E-34</v>
      </c>
      <c r="P454">
        <v>2.459416595059043E-2</v>
      </c>
      <c r="Q454">
        <v>1.4503785832555149</v>
      </c>
      <c r="R454">
        <v>-27.840944411130639</v>
      </c>
      <c r="S454">
        <v>1.137991337579084</v>
      </c>
      <c r="T454">
        <v>0.88246785640340175</v>
      </c>
      <c r="U454">
        <v>4.3169497564249664</v>
      </c>
      <c r="V454">
        <v>0.1245965072716559</v>
      </c>
      <c r="W454">
        <v>-21.579732939421749</v>
      </c>
      <c r="X454">
        <v>1.1523149511803881</v>
      </c>
      <c r="Z454" t="s">
        <v>392</v>
      </c>
      <c r="AA454">
        <v>9937</v>
      </c>
      <c r="AB454" t="s">
        <v>845</v>
      </c>
      <c r="AC454" t="str">
        <f>HYPERLINK("plots/20251231000436_3FT6Y121H01_04823_B11P_N_UFLEX98_M5358A8BH101511/dpll_52084/txpa_54148.png","plot")</f>
        <v>plot</v>
      </c>
    </row>
    <row r="455" spans="1:29" hidden="1" x14ac:dyDescent="0.35">
      <c r="A455" t="s">
        <v>46</v>
      </c>
      <c r="B455">
        <v>52084</v>
      </c>
      <c r="C455" t="s">
        <v>52</v>
      </c>
      <c r="D455">
        <v>54149</v>
      </c>
      <c r="E455" t="s">
        <v>169</v>
      </c>
      <c r="F455">
        <v>8716</v>
      </c>
      <c r="G455">
        <v>0.1831636004393061</v>
      </c>
      <c r="H455">
        <v>1.2482591364877771E-66</v>
      </c>
      <c r="I455">
        <v>1.326766000417826E-66</v>
      </c>
      <c r="J455">
        <v>0.13643587755739711</v>
      </c>
      <c r="K455">
        <v>1.7342859252693619E-37</v>
      </c>
      <c r="L455">
        <v>1.833749664466249E-37</v>
      </c>
      <c r="M455">
        <v>9.1581272437978201E-2</v>
      </c>
      <c r="N455">
        <v>1.3343765006814729E-37</v>
      </c>
      <c r="O455">
        <v>1.410904871419201E-37</v>
      </c>
      <c r="P455">
        <v>3.3548904525889767E-2</v>
      </c>
      <c r="Q455">
        <v>1.559601725542042</v>
      </c>
      <c r="R455">
        <v>-27.795746413797119</v>
      </c>
      <c r="S455">
        <v>1.0429066330784369</v>
      </c>
      <c r="T455">
        <v>0.81115816190558709</v>
      </c>
      <c r="U455">
        <v>4.3169497564249664</v>
      </c>
      <c r="V455">
        <v>0.1245965072716559</v>
      </c>
      <c r="W455">
        <v>-21.063024124598439</v>
      </c>
      <c r="X455">
        <v>1.060914544545531</v>
      </c>
      <c r="Z455" t="s">
        <v>392</v>
      </c>
      <c r="AA455">
        <v>9937</v>
      </c>
      <c r="AB455" t="s">
        <v>846</v>
      </c>
      <c r="AC455" t="str">
        <f>HYPERLINK("plots/20251231000436_3FT6Y121H01_04823_B11P_N_UFLEX98_M5358A8BH101511/dpll_52084/txpa_54149.png","plot")</f>
        <v>plot</v>
      </c>
    </row>
    <row r="456" spans="1:29" hidden="1" x14ac:dyDescent="0.35">
      <c r="A456" t="s">
        <v>46</v>
      </c>
      <c r="B456">
        <v>52084</v>
      </c>
      <c r="C456" t="s">
        <v>52</v>
      </c>
      <c r="D456">
        <v>54150</v>
      </c>
      <c r="E456" t="s">
        <v>170</v>
      </c>
      <c r="F456">
        <v>8716</v>
      </c>
      <c r="G456">
        <v>0.18261835186059941</v>
      </c>
      <c r="H456">
        <v>3.0763764756093209E-66</v>
      </c>
      <c r="I456">
        <v>3.2630185630416862E-66</v>
      </c>
      <c r="J456">
        <v>0.14649079712567731</v>
      </c>
      <c r="K456">
        <v>5.1941573798392753E-43</v>
      </c>
      <c r="L456">
        <v>5.5852339163913308E-43</v>
      </c>
      <c r="M456">
        <v>9.8285346439706808E-2</v>
      </c>
      <c r="N456">
        <v>4.8277929975069347E-43</v>
      </c>
      <c r="O456">
        <v>5.1912853652937767E-43</v>
      </c>
      <c r="P456">
        <v>3.3349462436281667E-2</v>
      </c>
      <c r="Q456">
        <v>1.6614565011075599</v>
      </c>
      <c r="R456">
        <v>-28.796191068882148</v>
      </c>
      <c r="S456">
        <v>1.11444915185327</v>
      </c>
      <c r="T456">
        <v>0.86556286124500836</v>
      </c>
      <c r="U456">
        <v>4.3169497564249664</v>
      </c>
      <c r="V456">
        <v>0.1245965072716559</v>
      </c>
      <c r="W456">
        <v>-21.623766831115191</v>
      </c>
      <c r="X456">
        <v>1.133575431563467</v>
      </c>
      <c r="Z456" t="s">
        <v>392</v>
      </c>
      <c r="AA456">
        <v>9937</v>
      </c>
      <c r="AB456" t="s">
        <v>847</v>
      </c>
      <c r="AC456" t="str">
        <f>HYPERLINK("plots/20251231000436_3FT6Y121H01_04823_B11P_N_UFLEX98_M5358A8BH101511/dpll_52084/txpa_54150.png","plot")</f>
        <v>plot</v>
      </c>
    </row>
    <row r="457" spans="1:29" hidden="1" x14ac:dyDescent="0.35">
      <c r="A457" t="s">
        <v>46</v>
      </c>
      <c r="B457">
        <v>52084</v>
      </c>
      <c r="C457" t="s">
        <v>52</v>
      </c>
      <c r="D457">
        <v>54151</v>
      </c>
      <c r="E457" t="s">
        <v>171</v>
      </c>
      <c r="F457">
        <v>8716</v>
      </c>
      <c r="G457">
        <v>0.16299219243098581</v>
      </c>
      <c r="H457">
        <v>5.8671901349947473E-53</v>
      </c>
      <c r="I457">
        <v>6.0831603240129588E-53</v>
      </c>
      <c r="J457">
        <v>0.1276092984479989</v>
      </c>
      <c r="K457">
        <v>5.7037065702687782E-33</v>
      </c>
      <c r="L457">
        <v>5.859735017479779E-33</v>
      </c>
      <c r="M457">
        <v>8.5095881416224525E-2</v>
      </c>
      <c r="N457">
        <v>1.074262880931628E-32</v>
      </c>
      <c r="O457">
        <v>1.1014181610360679E-32</v>
      </c>
      <c r="P457">
        <v>2.656645479345952E-2</v>
      </c>
      <c r="Q457">
        <v>1.347589975892169</v>
      </c>
      <c r="R457">
        <v>-26.996552625026421</v>
      </c>
      <c r="S457">
        <v>1.016307375970972</v>
      </c>
      <c r="T457">
        <v>0.78397066262898218</v>
      </c>
      <c r="U457">
        <v>4.3169497564249664</v>
      </c>
      <c r="V457">
        <v>0.1245965072716559</v>
      </c>
      <c r="W457">
        <v>-21.179074406838001</v>
      </c>
      <c r="X457">
        <v>1.0301413934385439</v>
      </c>
      <c r="Z457" t="s">
        <v>392</v>
      </c>
      <c r="AA457">
        <v>9937</v>
      </c>
      <c r="AB457" t="s">
        <v>848</v>
      </c>
      <c r="AC457" t="str">
        <f>HYPERLINK("plots/20251231000436_3FT6Y121H01_04823_B11P_N_UFLEX98_M5358A8BH101511/dpll_52084/txpa_54151.png","plot")</f>
        <v>plot</v>
      </c>
    </row>
    <row r="458" spans="1:29" hidden="1" x14ac:dyDescent="0.35">
      <c r="A458" t="s">
        <v>46</v>
      </c>
      <c r="B458">
        <v>52084</v>
      </c>
      <c r="C458" t="s">
        <v>52</v>
      </c>
      <c r="D458">
        <v>54152</v>
      </c>
      <c r="E458" t="s">
        <v>172</v>
      </c>
      <c r="F458">
        <v>8716</v>
      </c>
      <c r="G458">
        <v>0.17923716779513271</v>
      </c>
      <c r="H458">
        <v>7.7551510554664924E-64</v>
      </c>
      <c r="I458">
        <v>8.1489359277129775E-64</v>
      </c>
      <c r="J458">
        <v>0.13346066891136929</v>
      </c>
      <c r="K458">
        <v>6.2548548910581772E-36</v>
      </c>
      <c r="L458">
        <v>6.5520897309225118E-36</v>
      </c>
      <c r="M458">
        <v>8.9149160848864178E-2</v>
      </c>
      <c r="N458">
        <v>1.0199579038888799E-35</v>
      </c>
      <c r="O458">
        <v>1.066224035611675E-35</v>
      </c>
      <c r="P458">
        <v>3.2125962319220561E-2</v>
      </c>
      <c r="Q458">
        <v>1.5314087732535331</v>
      </c>
      <c r="R458">
        <v>-27.996758944772932</v>
      </c>
      <c r="S458">
        <v>1.0472573844479309</v>
      </c>
      <c r="T458">
        <v>0.81133802503731711</v>
      </c>
      <c r="U458">
        <v>4.3169497564249664</v>
      </c>
      <c r="V458">
        <v>0.1245965072716559</v>
      </c>
      <c r="W458">
        <v>-21.38574421408903</v>
      </c>
      <c r="X458">
        <v>1.064557015153544</v>
      </c>
      <c r="Z458" t="s">
        <v>392</v>
      </c>
      <c r="AA458">
        <v>9937</v>
      </c>
      <c r="AB458" t="s">
        <v>849</v>
      </c>
      <c r="AC458" t="str">
        <f>HYPERLINK("plots/20251231000436_3FT6Y121H01_04823_B11P_N_UFLEX98_M5358A8BH101511/dpll_52084/txpa_54152.png","plot")</f>
        <v>plot</v>
      </c>
    </row>
    <row r="459" spans="1:29" hidden="1" x14ac:dyDescent="0.35">
      <c r="A459" t="s">
        <v>46</v>
      </c>
      <c r="B459">
        <v>52084</v>
      </c>
      <c r="C459" t="s">
        <v>52</v>
      </c>
      <c r="D459">
        <v>54153</v>
      </c>
      <c r="E459" t="s">
        <v>173</v>
      </c>
      <c r="F459">
        <v>8716</v>
      </c>
      <c r="G459">
        <v>0.19336214850210551</v>
      </c>
      <c r="H459">
        <v>3.4638065231458012E-74</v>
      </c>
      <c r="I459">
        <v>3.7167193803913674E-74</v>
      </c>
      <c r="J459">
        <v>0.13624657329123299</v>
      </c>
      <c r="K459">
        <v>2.1839511609266741E-37</v>
      </c>
      <c r="L459">
        <v>2.3043979991463562E-37</v>
      </c>
      <c r="M459">
        <v>9.1334981054289097E-2</v>
      </c>
      <c r="N459">
        <v>2.0867964166693952E-37</v>
      </c>
      <c r="O459">
        <v>2.2018850848103709E-37</v>
      </c>
      <c r="P459">
        <v>3.7388920473350302E-2</v>
      </c>
      <c r="Q459">
        <v>1.6145304228883151</v>
      </c>
      <c r="R459">
        <v>-28.101547082969301</v>
      </c>
      <c r="S459">
        <v>1.02066013192273</v>
      </c>
      <c r="T459">
        <v>0.79143090510862091</v>
      </c>
      <c r="U459">
        <v>4.3169497564249664</v>
      </c>
      <c r="V459">
        <v>0.1245965072716559</v>
      </c>
      <c r="W459">
        <v>-21.131700367140891</v>
      </c>
      <c r="X459">
        <v>1.0403527946604461</v>
      </c>
      <c r="Z459" t="s">
        <v>392</v>
      </c>
      <c r="AA459">
        <v>9937</v>
      </c>
      <c r="AB459" t="s">
        <v>850</v>
      </c>
      <c r="AC459" t="str">
        <f>HYPERLINK("plots/20251231000436_3FT6Y121H01_04823_B11P_N_UFLEX98_M5358A8BH101511/dpll_52084/txpa_54153.png","plot")</f>
        <v>plot</v>
      </c>
    </row>
    <row r="460" spans="1:29" hidden="1" x14ac:dyDescent="0.35">
      <c r="A460" t="s">
        <v>46</v>
      </c>
      <c r="B460">
        <v>52084</v>
      </c>
      <c r="C460" t="s">
        <v>52</v>
      </c>
      <c r="D460">
        <v>54154</v>
      </c>
      <c r="E460" t="s">
        <v>174</v>
      </c>
      <c r="F460">
        <v>8716</v>
      </c>
      <c r="G460">
        <v>0.125718309002503</v>
      </c>
      <c r="H460">
        <v>4.8281569739957468E-32</v>
      </c>
      <c r="I460">
        <v>4.8811078480874262E-32</v>
      </c>
      <c r="J460">
        <v>0.10750484756339911</v>
      </c>
      <c r="K460">
        <v>7.9418586652205168E-24</v>
      </c>
      <c r="L460">
        <v>8.0289578130943213E-24</v>
      </c>
      <c r="M460">
        <v>7.1847945625596932E-2</v>
      </c>
      <c r="N460">
        <v>8.8616867361903668E-24</v>
      </c>
      <c r="O460">
        <v>8.9588737293091044E-24</v>
      </c>
      <c r="P460">
        <v>1.5805093218448831E-2</v>
      </c>
      <c r="Q460">
        <v>1.28382472295827</v>
      </c>
      <c r="R460">
        <v>-27.930420518274939</v>
      </c>
      <c r="S460">
        <v>1.262201563175726</v>
      </c>
      <c r="T460">
        <v>0.98872162838654654</v>
      </c>
      <c r="U460">
        <v>4.3169497564249664</v>
      </c>
      <c r="V460">
        <v>0.1245965072716559</v>
      </c>
      <c r="W460">
        <v>-22.388213693207891</v>
      </c>
      <c r="X460">
        <v>1.272368978701558</v>
      </c>
      <c r="Z460" t="s">
        <v>392</v>
      </c>
      <c r="AA460">
        <v>9937</v>
      </c>
      <c r="AB460" t="s">
        <v>851</v>
      </c>
      <c r="AC460" t="str">
        <f>HYPERLINK("plots/20251231000436_3FT6Y121H01_04823_B11P_N_UFLEX98_M5358A8BH101511/dpll_52084/txpa_54154.png","plot")</f>
        <v>plot</v>
      </c>
    </row>
    <row r="461" spans="1:29" hidden="1" x14ac:dyDescent="0.35">
      <c r="A461" t="s">
        <v>46</v>
      </c>
      <c r="B461">
        <v>52084</v>
      </c>
      <c r="C461" t="s">
        <v>52</v>
      </c>
      <c r="D461">
        <v>54155</v>
      </c>
      <c r="E461" t="s">
        <v>175</v>
      </c>
      <c r="F461">
        <v>8716</v>
      </c>
      <c r="G461">
        <v>0.20754299657955319</v>
      </c>
      <c r="H461">
        <v>1.9971622288779429E-85</v>
      </c>
      <c r="I461">
        <v>2.1659064172002499E-85</v>
      </c>
      <c r="J461">
        <v>0.17939099282827581</v>
      </c>
      <c r="K461">
        <v>6.0445806480578832E-64</v>
      </c>
      <c r="L461">
        <v>6.5763999754621166E-64</v>
      </c>
      <c r="M461">
        <v>0.1176233537148364</v>
      </c>
      <c r="N461">
        <v>6.3750737763056589E-61</v>
      </c>
      <c r="O461">
        <v>6.9359708252939238E-61</v>
      </c>
      <c r="P461">
        <v>4.307409542922043E-2</v>
      </c>
      <c r="Q461">
        <v>0.67291660825876576</v>
      </c>
      <c r="R461">
        <v>-11.589391571205571</v>
      </c>
      <c r="S461">
        <v>0.39516026968118478</v>
      </c>
      <c r="T461">
        <v>0.30145574525403501</v>
      </c>
      <c r="U461">
        <v>4.3169497564249664</v>
      </c>
      <c r="V461">
        <v>0.1245965072716559</v>
      </c>
      <c r="W461">
        <v>-8.6844443830885716</v>
      </c>
      <c r="X461">
        <v>0.40397922577933643</v>
      </c>
      <c r="Z461" t="s">
        <v>392</v>
      </c>
      <c r="AA461">
        <v>9937</v>
      </c>
      <c r="AB461" t="s">
        <v>852</v>
      </c>
      <c r="AC461" t="str">
        <f>HYPERLINK("plots/20251231000436_3FT6Y121H01_04823_B11P_N_UFLEX98_M5358A8BH101511/dpll_52084/txpa_54155.png","plot")</f>
        <v>plot</v>
      </c>
    </row>
    <row r="462" spans="1:29" hidden="1" x14ac:dyDescent="0.35">
      <c r="A462" t="s">
        <v>46</v>
      </c>
      <c r="B462">
        <v>52084</v>
      </c>
      <c r="C462" t="s">
        <v>52</v>
      </c>
      <c r="D462">
        <v>54156</v>
      </c>
      <c r="E462" t="s">
        <v>176</v>
      </c>
      <c r="F462">
        <v>8716</v>
      </c>
      <c r="G462">
        <v>0.33260927784073219</v>
      </c>
      <c r="H462">
        <v>3.6652617046547441E-224</v>
      </c>
      <c r="I462">
        <v>4.2966189231444051E-224</v>
      </c>
      <c r="J462">
        <v>0.26473399290542438</v>
      </c>
      <c r="K462">
        <v>1.041027700805082E-139</v>
      </c>
      <c r="L462">
        <v>1.290467100997987E-139</v>
      </c>
      <c r="M462">
        <v>0.17793701900030179</v>
      </c>
      <c r="N462">
        <v>5.7198556788778751E-137</v>
      </c>
      <c r="O462">
        <v>7.064474614350994E-137</v>
      </c>
      <c r="P462">
        <v>0.1106289317057334</v>
      </c>
      <c r="Q462">
        <v>0.95982781555868957</v>
      </c>
      <c r="R462">
        <v>-12.361397519753501</v>
      </c>
      <c r="S462">
        <v>0.33906379931731268</v>
      </c>
      <c r="T462">
        <v>0.26668712215063201</v>
      </c>
      <c r="U462">
        <v>4.3169497564249664</v>
      </c>
      <c r="V462">
        <v>0.1245965072716559</v>
      </c>
      <c r="W462">
        <v>-8.2178690651675073</v>
      </c>
      <c r="X462">
        <v>0.35955459263545031</v>
      </c>
      <c r="Z462" t="s">
        <v>392</v>
      </c>
      <c r="AA462">
        <v>9937</v>
      </c>
      <c r="AB462" t="s">
        <v>853</v>
      </c>
      <c r="AC462" t="str">
        <f>HYPERLINK("plots/20251231000436_3FT6Y121H01_04823_B11P_N_UFLEX98_M5358A8BH101511/dpll_52084/txpa_54156.png","plot")</f>
        <v>plot</v>
      </c>
    </row>
    <row r="463" spans="1:29" hidden="1" x14ac:dyDescent="0.35">
      <c r="A463" t="s">
        <v>46</v>
      </c>
      <c r="B463">
        <v>52084</v>
      </c>
      <c r="C463" t="s">
        <v>52</v>
      </c>
      <c r="D463">
        <v>54157</v>
      </c>
      <c r="E463" t="s">
        <v>177</v>
      </c>
      <c r="F463">
        <v>8716</v>
      </c>
      <c r="G463">
        <v>0.34552560661925069</v>
      </c>
      <c r="H463">
        <v>6.6006893206946267E-243</v>
      </c>
      <c r="I463">
        <v>7.977471956119608E-243</v>
      </c>
      <c r="J463">
        <v>0.21892035636622509</v>
      </c>
      <c r="K463">
        <v>4.5558339677524689E-95</v>
      </c>
      <c r="L463">
        <v>5.2140131414232553E-95</v>
      </c>
      <c r="M463">
        <v>0.14746219719895451</v>
      </c>
      <c r="N463">
        <v>1.0958388852819561E-94</v>
      </c>
      <c r="O463">
        <v>1.2584152091459831E-94</v>
      </c>
      <c r="P463">
        <v>0.1193879448296012</v>
      </c>
      <c r="Q463">
        <v>1.05744090188798</v>
      </c>
      <c r="R463">
        <v>-12.371881273210381</v>
      </c>
      <c r="S463">
        <v>0.35780724758910282</v>
      </c>
      <c r="T463">
        <v>0.28673668065057928</v>
      </c>
      <c r="U463">
        <v>4.3169497564249664</v>
      </c>
      <c r="V463">
        <v>0.1245965072716559</v>
      </c>
      <c r="W463">
        <v>-7.8069620293712712</v>
      </c>
      <c r="X463">
        <v>0.38131310819639691</v>
      </c>
      <c r="Z463" t="s">
        <v>392</v>
      </c>
      <c r="AA463">
        <v>9937</v>
      </c>
      <c r="AB463" t="s">
        <v>854</v>
      </c>
      <c r="AC463" t="str">
        <f>HYPERLINK("plots/20251231000436_3FT6Y121H01_04823_B11P_N_UFLEX98_M5358A8BH101511/dpll_52084/txpa_54157.png","plot")</f>
        <v>plot</v>
      </c>
    </row>
    <row r="464" spans="1:29" hidden="1" x14ac:dyDescent="0.35">
      <c r="A464" t="s">
        <v>46</v>
      </c>
      <c r="B464">
        <v>52084</v>
      </c>
      <c r="C464" t="s">
        <v>52</v>
      </c>
      <c r="D464">
        <v>54158</v>
      </c>
      <c r="E464" t="s">
        <v>178</v>
      </c>
      <c r="F464">
        <v>8716</v>
      </c>
      <c r="G464">
        <v>0.37353546233108992</v>
      </c>
      <c r="H464">
        <v>1.012833115662256E-286</v>
      </c>
      <c r="I464">
        <v>1.3066320347093231E-286</v>
      </c>
      <c r="J464">
        <v>0.27841631701862879</v>
      </c>
      <c r="K464">
        <v>6.5003390373764323E-155</v>
      </c>
      <c r="L464">
        <v>8.4288283681581875E-155</v>
      </c>
      <c r="M464">
        <v>0.18769087373522819</v>
      </c>
      <c r="N464">
        <v>3.6099559270952902E-152</v>
      </c>
      <c r="O464">
        <v>4.6689991199931426E-152</v>
      </c>
      <c r="P464">
        <v>0.13952874161890111</v>
      </c>
      <c r="Q464">
        <v>1.0543972655625891</v>
      </c>
      <c r="R464">
        <v>-12.80481361248123</v>
      </c>
      <c r="S464">
        <v>0.32622825243749459</v>
      </c>
      <c r="T464">
        <v>0.25892624570793182</v>
      </c>
      <c r="U464">
        <v>4.3169497564249664</v>
      </c>
      <c r="V464">
        <v>0.1245965072716559</v>
      </c>
      <c r="W464">
        <v>-8.2530335937356583</v>
      </c>
      <c r="X464">
        <v>0.35170480399913739</v>
      </c>
      <c r="Z464" t="s">
        <v>392</v>
      </c>
      <c r="AA464">
        <v>9937</v>
      </c>
      <c r="AB464" t="s">
        <v>855</v>
      </c>
      <c r="AC464" t="str">
        <f>HYPERLINK("plots/20251231000436_3FT6Y121H01_04823_B11P_N_UFLEX98_M5358A8BH101511/dpll_52084/txpa_54158.png","plot")</f>
        <v>plot</v>
      </c>
    </row>
    <row r="465" spans="1:29" hidden="1" x14ac:dyDescent="0.35">
      <c r="A465" t="s">
        <v>46</v>
      </c>
      <c r="B465">
        <v>52084</v>
      </c>
      <c r="C465" t="s">
        <v>52</v>
      </c>
      <c r="D465">
        <v>54159</v>
      </c>
      <c r="E465" t="s">
        <v>179</v>
      </c>
      <c r="F465">
        <v>8716</v>
      </c>
      <c r="G465">
        <v>0.36477937064829219</v>
      </c>
      <c r="H465">
        <v>1.5101184405238671E-272</v>
      </c>
      <c r="I465">
        <v>1.9093018686922709E-272</v>
      </c>
      <c r="J465">
        <v>0.25213636908535791</v>
      </c>
      <c r="K465">
        <v>1.745264701101392E-126</v>
      </c>
      <c r="L465">
        <v>2.1067838177581091E-126</v>
      </c>
      <c r="M465">
        <v>0.1685805219908548</v>
      </c>
      <c r="N465">
        <v>3.8098790243130908E-123</v>
      </c>
      <c r="O465">
        <v>4.5827014598499112E-123</v>
      </c>
      <c r="P465">
        <v>0.1330639892505642</v>
      </c>
      <c r="Q465">
        <v>0.9599542048449663</v>
      </c>
      <c r="R465">
        <v>-12.133235347517051</v>
      </c>
      <c r="S465">
        <v>0.30527744639458071</v>
      </c>
      <c r="T465">
        <v>0.24049933540691701</v>
      </c>
      <c r="U465">
        <v>4.3169497564249664</v>
      </c>
      <c r="V465">
        <v>0.1245965072716559</v>
      </c>
      <c r="W465">
        <v>-7.9891612767324469</v>
      </c>
      <c r="X465">
        <v>0.32788844624589092</v>
      </c>
      <c r="Z465" t="s">
        <v>392</v>
      </c>
      <c r="AA465">
        <v>9937</v>
      </c>
      <c r="AB465" t="s">
        <v>856</v>
      </c>
      <c r="AC465" t="str">
        <f>HYPERLINK("plots/20251231000436_3FT6Y121H01_04823_B11P_N_UFLEX98_M5358A8BH101511/dpll_52084/txpa_54159.png","plot")</f>
        <v>plot</v>
      </c>
    </row>
    <row r="466" spans="1:29" hidden="1" x14ac:dyDescent="0.35">
      <c r="A466" t="s">
        <v>46</v>
      </c>
      <c r="B466">
        <v>52084</v>
      </c>
      <c r="C466" t="s">
        <v>52</v>
      </c>
      <c r="D466">
        <v>54160</v>
      </c>
      <c r="E466" t="s">
        <v>180</v>
      </c>
      <c r="F466">
        <v>8716</v>
      </c>
      <c r="G466">
        <v>0.39185936457332771</v>
      </c>
      <c r="H466">
        <v>0</v>
      </c>
      <c r="I466">
        <v>0</v>
      </c>
      <c r="J466">
        <v>0.28086343541534209</v>
      </c>
      <c r="K466">
        <v>9.9933135381014809E-158</v>
      </c>
      <c r="L466">
        <v>1.3024704277165681E-157</v>
      </c>
      <c r="M466">
        <v>0.18771443143579861</v>
      </c>
      <c r="N466">
        <v>3.3338881930046899E-152</v>
      </c>
      <c r="O466">
        <v>4.3174490775309787E-152</v>
      </c>
      <c r="P466">
        <v>0.15355376160381221</v>
      </c>
      <c r="Q466">
        <v>0.98345848931634539</v>
      </c>
      <c r="R466">
        <v>-12.334965652429601</v>
      </c>
      <c r="S466">
        <v>0.28767786467826489</v>
      </c>
      <c r="T466">
        <v>0.2261795986320079</v>
      </c>
      <c r="U466">
        <v>4.3169497564249664</v>
      </c>
      <c r="V466">
        <v>0.1245965072716559</v>
      </c>
      <c r="W466">
        <v>-8.0894247665213381</v>
      </c>
      <c r="X466">
        <v>0.31270272932968513</v>
      </c>
      <c r="Z466" t="s">
        <v>392</v>
      </c>
      <c r="AA466">
        <v>9937</v>
      </c>
      <c r="AB466" t="s">
        <v>857</v>
      </c>
      <c r="AC466" t="str">
        <f>HYPERLINK("plots/20251231000436_3FT6Y121H01_04823_B11P_N_UFLEX98_M5358A8BH101511/dpll_52084/txpa_54160.png","plot")</f>
        <v>plot</v>
      </c>
    </row>
    <row r="467" spans="1:29" hidden="1" x14ac:dyDescent="0.35">
      <c r="A467" t="s">
        <v>46</v>
      </c>
      <c r="B467">
        <v>52084</v>
      </c>
      <c r="C467" t="s">
        <v>52</v>
      </c>
      <c r="D467">
        <v>54161</v>
      </c>
      <c r="E467" t="s">
        <v>181</v>
      </c>
      <c r="F467">
        <v>8716</v>
      </c>
      <c r="G467">
        <v>0.35811029434902958</v>
      </c>
      <c r="H467">
        <v>4.791237354079472E-262</v>
      </c>
      <c r="I467">
        <v>5.9320081526698228E-262</v>
      </c>
      <c r="J467">
        <v>0.21746655074308341</v>
      </c>
      <c r="K467">
        <v>8.3545659911886938E-94</v>
      </c>
      <c r="L467">
        <v>9.5078899158982436E-94</v>
      </c>
      <c r="M467">
        <v>0.14579908124825419</v>
      </c>
      <c r="N467">
        <v>1.323640883425338E-92</v>
      </c>
      <c r="O467">
        <v>1.504676968378131E-92</v>
      </c>
      <c r="P467">
        <v>0.12824298291874861</v>
      </c>
      <c r="Q467">
        <v>1.0258562492166829</v>
      </c>
      <c r="R467">
        <v>-12.31330169495811</v>
      </c>
      <c r="S467">
        <v>0.33323329076791808</v>
      </c>
      <c r="T467">
        <v>0.26866337599502149</v>
      </c>
      <c r="U467">
        <v>4.3169497564249664</v>
      </c>
      <c r="V467">
        <v>0.1245965072716559</v>
      </c>
      <c r="W467">
        <v>-7.8847318097751264</v>
      </c>
      <c r="X467">
        <v>0.35692385176345409</v>
      </c>
      <c r="Z467" t="s">
        <v>392</v>
      </c>
      <c r="AA467">
        <v>9937</v>
      </c>
      <c r="AB467" t="s">
        <v>858</v>
      </c>
      <c r="AC467" t="str">
        <f>HYPERLINK("plots/20251231000436_3FT6Y121H01_04823_B11P_N_UFLEX98_M5358A8BH101511/dpll_52084/txpa_54161.png","plot")</f>
        <v>plot</v>
      </c>
    </row>
    <row r="468" spans="1:29" hidden="1" x14ac:dyDescent="0.35">
      <c r="A468" t="s">
        <v>46</v>
      </c>
      <c r="B468">
        <v>52084</v>
      </c>
      <c r="C468" t="s">
        <v>52</v>
      </c>
      <c r="D468">
        <v>54162</v>
      </c>
      <c r="E468" t="s">
        <v>182</v>
      </c>
      <c r="F468">
        <v>8716</v>
      </c>
      <c r="G468">
        <v>0.23764172360494851</v>
      </c>
      <c r="H468">
        <v>3.618372908976822E-112</v>
      </c>
      <c r="I468">
        <v>4.0054914079721589E-112</v>
      </c>
      <c r="J468">
        <v>0.22083169782856199</v>
      </c>
      <c r="K468">
        <v>9.6287312705035101E-97</v>
      </c>
      <c r="L468">
        <v>1.114558619667872E-96</v>
      </c>
      <c r="M468">
        <v>0.14714461433057341</v>
      </c>
      <c r="N468">
        <v>2.7907585736598892E-94</v>
      </c>
      <c r="O468">
        <v>3.1939381418635752E-94</v>
      </c>
      <c r="P468">
        <v>5.6473588797930727E-2</v>
      </c>
      <c r="Q468">
        <v>0.78350114489366351</v>
      </c>
      <c r="R468">
        <v>-12.19058244650183</v>
      </c>
      <c r="S468">
        <v>0.39900186500349633</v>
      </c>
      <c r="T468">
        <v>0.2988926145933492</v>
      </c>
      <c r="U468">
        <v>4.3169497564249664</v>
      </c>
      <c r="V468">
        <v>0.1245965072716559</v>
      </c>
      <c r="W468">
        <v>-8.8082473698944472</v>
      </c>
      <c r="X468">
        <v>0.41079278763092292</v>
      </c>
      <c r="Z468" t="s">
        <v>392</v>
      </c>
      <c r="AA468">
        <v>9937</v>
      </c>
      <c r="AB468" t="s">
        <v>859</v>
      </c>
      <c r="AC468" t="str">
        <f>HYPERLINK("plots/20251231000436_3FT6Y121H01_04823_B11P_N_UFLEX98_M5358A8BH101511/dpll_52084/txpa_54162.png","plot")</f>
        <v>plot</v>
      </c>
    </row>
    <row r="469" spans="1:29" hidden="1" x14ac:dyDescent="0.35">
      <c r="A469" t="s">
        <v>46</v>
      </c>
      <c r="B469">
        <v>52084</v>
      </c>
      <c r="C469" t="s">
        <v>52</v>
      </c>
      <c r="D469">
        <v>54163</v>
      </c>
      <c r="E469" t="s">
        <v>183</v>
      </c>
      <c r="F469">
        <v>8716</v>
      </c>
      <c r="G469">
        <v>0.21989544736645419</v>
      </c>
      <c r="H469">
        <v>6.3980143162546134E-96</v>
      </c>
      <c r="I469">
        <v>7.0288044601107014E-96</v>
      </c>
      <c r="J469">
        <v>0.1925663947792782</v>
      </c>
      <c r="K469">
        <v>1.3961020581274621E-73</v>
      </c>
      <c r="L469">
        <v>1.533745923013268E-73</v>
      </c>
      <c r="M469">
        <v>0.1266750802832228</v>
      </c>
      <c r="N469">
        <v>2.2445410236713829E-70</v>
      </c>
      <c r="O469">
        <v>2.4658338006530681E-70</v>
      </c>
      <c r="P469">
        <v>4.8354007772493053E-2</v>
      </c>
      <c r="Q469">
        <v>0.62879420829015709</v>
      </c>
      <c r="R469">
        <v>-5.3927141637964473</v>
      </c>
      <c r="S469">
        <v>0.34754493167948319</v>
      </c>
      <c r="T469">
        <v>0.26387944532406837</v>
      </c>
      <c r="U469">
        <v>4.3169497564249664</v>
      </c>
      <c r="V469">
        <v>0.1245965072716559</v>
      </c>
      <c r="W469">
        <v>-2.6782411594768241</v>
      </c>
      <c r="X469">
        <v>0.35628551242826489</v>
      </c>
      <c r="Z469" t="s">
        <v>392</v>
      </c>
      <c r="AA469">
        <v>9937</v>
      </c>
      <c r="AB469" t="s">
        <v>860</v>
      </c>
      <c r="AC469" t="str">
        <f>HYPERLINK("plots/20251231000436_3FT6Y121H01_04823_B11P_N_UFLEX98_M5358A8BH101511/dpll_52084/txpa_54163.png","plot")</f>
        <v>plot</v>
      </c>
    </row>
    <row r="470" spans="1:29" hidden="1" x14ac:dyDescent="0.35">
      <c r="A470" t="s">
        <v>46</v>
      </c>
      <c r="B470">
        <v>52084</v>
      </c>
      <c r="C470" t="s">
        <v>52</v>
      </c>
      <c r="D470">
        <v>54164</v>
      </c>
      <c r="E470" t="s">
        <v>184</v>
      </c>
      <c r="F470">
        <v>8716</v>
      </c>
      <c r="G470">
        <v>0.35897650364897599</v>
      </c>
      <c r="H470">
        <v>2.1412532641218211E-263</v>
      </c>
      <c r="I470">
        <v>2.6640868832141421E-263</v>
      </c>
      <c r="J470">
        <v>0.28670040301720562</v>
      </c>
      <c r="K470">
        <v>1.4894976612688259E-164</v>
      </c>
      <c r="L470">
        <v>1.9820874390112718E-164</v>
      </c>
      <c r="M470">
        <v>0.19311793982945419</v>
      </c>
      <c r="N470">
        <v>5.3407684229427123E-161</v>
      </c>
      <c r="O470">
        <v>7.0423136292118458E-161</v>
      </c>
      <c r="P470">
        <v>0.12886413017204329</v>
      </c>
      <c r="Q470">
        <v>0.90857952265435471</v>
      </c>
      <c r="R470">
        <v>-6.1925115115670586</v>
      </c>
      <c r="S470">
        <v>0.29432071013932709</v>
      </c>
      <c r="T470">
        <v>0.2312476003743158</v>
      </c>
      <c r="U470">
        <v>4.3169497564249664</v>
      </c>
      <c r="V470">
        <v>0.1245965072716559</v>
      </c>
      <c r="W470">
        <v>-2.27021936255163</v>
      </c>
      <c r="X470">
        <v>0.31535722798163662</v>
      </c>
      <c r="Z470" t="s">
        <v>392</v>
      </c>
      <c r="AA470">
        <v>9937</v>
      </c>
      <c r="AB470" t="s">
        <v>861</v>
      </c>
      <c r="AC470" t="str">
        <f>HYPERLINK("plots/20251231000436_3FT6Y121H01_04823_B11P_N_UFLEX98_M5358A8BH101511/dpll_52084/txpa_54164.png","plot")</f>
        <v>plot</v>
      </c>
    </row>
    <row r="471" spans="1:29" hidden="1" x14ac:dyDescent="0.35">
      <c r="A471" t="s">
        <v>46</v>
      </c>
      <c r="B471">
        <v>52084</v>
      </c>
      <c r="C471" t="s">
        <v>52</v>
      </c>
      <c r="D471">
        <v>54165</v>
      </c>
      <c r="E471" t="s">
        <v>185</v>
      </c>
      <c r="F471">
        <v>8716</v>
      </c>
      <c r="G471">
        <v>0.37213952228164698</v>
      </c>
      <c r="H471">
        <v>1.971558837971106E-284</v>
      </c>
      <c r="I471">
        <v>2.5305831160793681E-284</v>
      </c>
      <c r="J471">
        <v>0.2381020348342513</v>
      </c>
      <c r="K471">
        <v>1.313546308521584E-112</v>
      </c>
      <c r="L471">
        <v>1.5578198325624399E-112</v>
      </c>
      <c r="M471">
        <v>0.16040828596230661</v>
      </c>
      <c r="N471">
        <v>1.065793188012946E-111</v>
      </c>
      <c r="O471">
        <v>1.261043515338538E-111</v>
      </c>
      <c r="P471">
        <v>0.13848782404401239</v>
      </c>
      <c r="Q471">
        <v>1.003213065879673</v>
      </c>
      <c r="R471">
        <v>-6.2477948440698894</v>
      </c>
      <c r="S471">
        <v>0.31174467726409039</v>
      </c>
      <c r="T471">
        <v>0.24957152954670819</v>
      </c>
      <c r="U471">
        <v>4.3169497564249664</v>
      </c>
      <c r="V471">
        <v>0.1245965072716559</v>
      </c>
      <c r="W471">
        <v>-1.9169744436782929</v>
      </c>
      <c r="X471">
        <v>0.33588704390095731</v>
      </c>
      <c r="Z471" t="s">
        <v>392</v>
      </c>
      <c r="AA471">
        <v>9937</v>
      </c>
      <c r="AB471" t="s">
        <v>862</v>
      </c>
      <c r="AC471" t="str">
        <f>HYPERLINK("plots/20251231000436_3FT6Y121H01_04823_B11P_N_UFLEX98_M5358A8BH101511/dpll_52084/txpa_54165.png","plot")</f>
        <v>plot</v>
      </c>
    </row>
    <row r="472" spans="1:29" hidden="1" x14ac:dyDescent="0.35">
      <c r="A472" t="s">
        <v>46</v>
      </c>
      <c r="B472">
        <v>52084</v>
      </c>
      <c r="C472" t="s">
        <v>52</v>
      </c>
      <c r="D472">
        <v>54166</v>
      </c>
      <c r="E472" t="s">
        <v>186</v>
      </c>
      <c r="F472">
        <v>8716</v>
      </c>
      <c r="G472">
        <v>0.39875386725534412</v>
      </c>
      <c r="H472">
        <v>0</v>
      </c>
      <c r="I472">
        <v>0</v>
      </c>
      <c r="J472">
        <v>0.29733083553214862</v>
      </c>
      <c r="K472">
        <v>2.0596627467260481E-177</v>
      </c>
      <c r="L472">
        <v>2.849246964775188E-177</v>
      </c>
      <c r="M472">
        <v>0.20077446801517029</v>
      </c>
      <c r="N472">
        <v>7.4874587513677959E-174</v>
      </c>
      <c r="O472">
        <v>1.0329636971274761E-173</v>
      </c>
      <c r="P472">
        <v>0.15900464665109251</v>
      </c>
      <c r="Q472">
        <v>0.98691088599694976</v>
      </c>
      <c r="R472">
        <v>-6.5641130538006536</v>
      </c>
      <c r="S472">
        <v>0.28278136250583702</v>
      </c>
      <c r="T472">
        <v>0.22385917245614989</v>
      </c>
      <c r="U472">
        <v>4.3169497564249664</v>
      </c>
      <c r="V472">
        <v>0.1245965072716559</v>
      </c>
      <c r="W472">
        <v>-2.3036683448829738</v>
      </c>
      <c r="X472">
        <v>0.30837481334031441</v>
      </c>
      <c r="Z472" t="s">
        <v>392</v>
      </c>
      <c r="AA472">
        <v>9937</v>
      </c>
      <c r="AB472" t="s">
        <v>863</v>
      </c>
      <c r="AC472" t="str">
        <f>HYPERLINK("plots/20251231000436_3FT6Y121H01_04823_B11P_N_UFLEX98_M5358A8BH101511/dpll_52084/txpa_54166.png","plot")</f>
        <v>plot</v>
      </c>
    </row>
    <row r="473" spans="1:29" hidden="1" x14ac:dyDescent="0.35">
      <c r="A473" t="s">
        <v>46</v>
      </c>
      <c r="B473">
        <v>52084</v>
      </c>
      <c r="C473" t="s">
        <v>52</v>
      </c>
      <c r="D473">
        <v>54167</v>
      </c>
      <c r="E473" t="s">
        <v>187</v>
      </c>
      <c r="F473">
        <v>8716</v>
      </c>
      <c r="G473">
        <v>0.39540646771006333</v>
      </c>
      <c r="H473">
        <v>0</v>
      </c>
      <c r="I473">
        <v>0</v>
      </c>
      <c r="J473">
        <v>0.27518051318570802</v>
      </c>
      <c r="K473">
        <v>3.0821489768241917E-151</v>
      </c>
      <c r="L473">
        <v>3.9610887991124603E-151</v>
      </c>
      <c r="M473">
        <v>0.18452376781445881</v>
      </c>
      <c r="N473">
        <v>3.6509777165324241E-147</v>
      </c>
      <c r="O473">
        <v>4.6625836329519868E-147</v>
      </c>
      <c r="P473">
        <v>0.15634627470694931</v>
      </c>
      <c r="Q473">
        <v>0.91932808721050707</v>
      </c>
      <c r="R473">
        <v>-6.0473921860221864</v>
      </c>
      <c r="S473">
        <v>0.26606627377657482</v>
      </c>
      <c r="T473">
        <v>0.208995354736974</v>
      </c>
      <c r="U473">
        <v>4.3169497564249664</v>
      </c>
      <c r="V473">
        <v>0.1245965072716559</v>
      </c>
      <c r="W473">
        <v>-2.0786990238641581</v>
      </c>
      <c r="X473">
        <v>0.28968941597372411</v>
      </c>
      <c r="Z473" t="s">
        <v>392</v>
      </c>
      <c r="AA473">
        <v>9937</v>
      </c>
      <c r="AB473" t="s">
        <v>864</v>
      </c>
      <c r="AC473" t="str">
        <f>HYPERLINK("plots/20251231000436_3FT6Y121H01_04823_B11P_N_UFLEX98_M5358A8BH101511/dpll_52084/txpa_54167.png","plot")</f>
        <v>plot</v>
      </c>
    </row>
    <row r="474" spans="1:29" hidden="1" x14ac:dyDescent="0.35">
      <c r="A474" t="s">
        <v>46</v>
      </c>
      <c r="B474">
        <v>52084</v>
      </c>
      <c r="C474" t="s">
        <v>52</v>
      </c>
      <c r="D474">
        <v>54168</v>
      </c>
      <c r="E474" t="s">
        <v>188</v>
      </c>
      <c r="F474">
        <v>8716</v>
      </c>
      <c r="G474">
        <v>0.42090788104221749</v>
      </c>
      <c r="H474">
        <v>0</v>
      </c>
      <c r="I474">
        <v>0</v>
      </c>
      <c r="J474">
        <v>0.30277541839435729</v>
      </c>
      <c r="K474">
        <v>3.2484092964025769E-184</v>
      </c>
      <c r="L474">
        <v>4.6004008750729228E-184</v>
      </c>
      <c r="M474">
        <v>0.20306160776605089</v>
      </c>
      <c r="N474">
        <v>8.7037725208901156E-178</v>
      </c>
      <c r="O474">
        <v>1.2156508727524209E-177</v>
      </c>
      <c r="P474">
        <v>0.17716344432344949</v>
      </c>
      <c r="Q474">
        <v>0.92419355512091828</v>
      </c>
      <c r="R474">
        <v>-6.1509988939308187</v>
      </c>
      <c r="S474">
        <v>0.24814962319003131</v>
      </c>
      <c r="T474">
        <v>0.19433419389982221</v>
      </c>
      <c r="U474">
        <v>4.3169497564249664</v>
      </c>
      <c r="V474">
        <v>0.1245965072716559</v>
      </c>
      <c r="W474">
        <v>-2.1613017512620472</v>
      </c>
      <c r="X474">
        <v>0.27357836286151921</v>
      </c>
      <c r="Z474" t="s">
        <v>392</v>
      </c>
      <c r="AA474">
        <v>9937</v>
      </c>
      <c r="AB474" t="s">
        <v>865</v>
      </c>
      <c r="AC474" t="str">
        <f>HYPERLINK("plots/20251231000436_3FT6Y121H01_04823_B11P_N_UFLEX98_M5358A8BH101511/dpll_52084/txpa_54168.png","plot")</f>
        <v>plot</v>
      </c>
    </row>
    <row r="475" spans="1:29" hidden="1" x14ac:dyDescent="0.35">
      <c r="A475" t="s">
        <v>46</v>
      </c>
      <c r="B475">
        <v>52084</v>
      </c>
      <c r="C475" t="s">
        <v>52</v>
      </c>
      <c r="D475">
        <v>54169</v>
      </c>
      <c r="E475" t="s">
        <v>189</v>
      </c>
      <c r="F475">
        <v>8716</v>
      </c>
      <c r="G475">
        <v>0.38439509081169781</v>
      </c>
      <c r="H475">
        <v>6.3963612689888883E-305</v>
      </c>
      <c r="I475">
        <v>8.3797291043342807E-305</v>
      </c>
      <c r="J475">
        <v>0.23623385125524221</v>
      </c>
      <c r="K475">
        <v>7.9173103184870157E-111</v>
      </c>
      <c r="L475">
        <v>9.3459285948147066E-111</v>
      </c>
      <c r="M475">
        <v>0.15883145925563319</v>
      </c>
      <c r="N475">
        <v>1.496813294467331E-109</v>
      </c>
      <c r="O475">
        <v>1.762797538431909E-109</v>
      </c>
      <c r="P475">
        <v>0.14775958584013341</v>
      </c>
      <c r="Q475">
        <v>0.9687218963000882</v>
      </c>
      <c r="R475">
        <v>-6.1634001124336093</v>
      </c>
      <c r="S475">
        <v>0.28985667060871761</v>
      </c>
      <c r="T475">
        <v>0.23348954123904331</v>
      </c>
      <c r="U475">
        <v>4.3169497564249664</v>
      </c>
      <c r="V475">
        <v>0.1245965072716559</v>
      </c>
      <c r="W475">
        <v>-1.981476358157412</v>
      </c>
      <c r="X475">
        <v>0.3139981952987343</v>
      </c>
      <c r="Z475" t="s">
        <v>392</v>
      </c>
      <c r="AA475">
        <v>9937</v>
      </c>
      <c r="AB475" t="s">
        <v>866</v>
      </c>
      <c r="AC475" t="str">
        <f>HYPERLINK("plots/20251231000436_3FT6Y121H01_04823_B11P_N_UFLEX98_M5358A8BH101511/dpll_52084/txpa_54169.png","plot")</f>
        <v>plot</v>
      </c>
    </row>
    <row r="476" spans="1:29" hidden="1" x14ac:dyDescent="0.35">
      <c r="A476" t="s">
        <v>46</v>
      </c>
      <c r="B476">
        <v>52084</v>
      </c>
      <c r="C476" t="s">
        <v>52</v>
      </c>
      <c r="D476">
        <v>54170</v>
      </c>
      <c r="E476" t="s">
        <v>190</v>
      </c>
      <c r="F476">
        <v>8716</v>
      </c>
      <c r="G476">
        <v>0.25266747479290552</v>
      </c>
      <c r="H476">
        <v>5.0017271900550613E-127</v>
      </c>
      <c r="I476">
        <v>5.6103444366325566E-127</v>
      </c>
      <c r="J476">
        <v>0.2349521947229839</v>
      </c>
      <c r="K476">
        <v>1.290604703668836E-109</v>
      </c>
      <c r="L476">
        <v>1.5181823312299301E-109</v>
      </c>
      <c r="M476">
        <v>0.15691936587936731</v>
      </c>
      <c r="N476">
        <v>5.6455440138924442E-107</v>
      </c>
      <c r="O476">
        <v>6.6027469781856263E-107</v>
      </c>
      <c r="P476">
        <v>6.3840852818223548E-2</v>
      </c>
      <c r="Q476">
        <v>0.73163988594883733</v>
      </c>
      <c r="R476">
        <v>-5.9223619548814046</v>
      </c>
      <c r="S476">
        <v>0.34906300984834038</v>
      </c>
      <c r="T476">
        <v>0.2608072120930362</v>
      </c>
      <c r="U476">
        <v>4.3169497564249664</v>
      </c>
      <c r="V476">
        <v>0.1245965072716559</v>
      </c>
      <c r="W476">
        <v>-2.7639093274437809</v>
      </c>
      <c r="X476">
        <v>0.36078950978781599</v>
      </c>
      <c r="Z476" t="s">
        <v>392</v>
      </c>
      <c r="AA476">
        <v>9937</v>
      </c>
      <c r="AB476" t="s">
        <v>867</v>
      </c>
      <c r="AC476" t="str">
        <f>HYPERLINK("plots/20251231000436_3FT6Y121H01_04823_B11P_N_UFLEX98_M5358A8BH101511/dpll_52084/txpa_54170.png","plot")</f>
        <v>plot</v>
      </c>
    </row>
    <row r="477" spans="1:29" hidden="1" x14ac:dyDescent="0.35">
      <c r="A477" t="s">
        <v>46</v>
      </c>
      <c r="B477">
        <v>52084</v>
      </c>
      <c r="C477" t="s">
        <v>52</v>
      </c>
      <c r="D477">
        <v>54171</v>
      </c>
      <c r="E477" t="s">
        <v>191</v>
      </c>
      <c r="F477">
        <v>8716</v>
      </c>
      <c r="G477">
        <v>0.24662309088466891</v>
      </c>
      <c r="H477">
        <v>6.3060070218961303E-121</v>
      </c>
      <c r="I477">
        <v>7.0421708372276159E-121</v>
      </c>
      <c r="J477">
        <v>0.2159758893194603</v>
      </c>
      <c r="K477">
        <v>1.6134090484868451E-92</v>
      </c>
      <c r="L477">
        <v>1.823853706985129E-92</v>
      </c>
      <c r="M477">
        <v>0.1428193304517496</v>
      </c>
      <c r="N477">
        <v>6.0029204995783423E-89</v>
      </c>
      <c r="O477">
        <v>6.7859101299581245E-89</v>
      </c>
      <c r="P477">
        <v>6.0822948957507672E-2</v>
      </c>
      <c r="Q477">
        <v>0.67126101989514841</v>
      </c>
      <c r="R477">
        <v>-2.7267100845269141</v>
      </c>
      <c r="S477">
        <v>0.32863391547072668</v>
      </c>
      <c r="T477">
        <v>0.2477849725686764</v>
      </c>
      <c r="U477">
        <v>4.3169497564249664</v>
      </c>
      <c r="V477">
        <v>0.1245965072716559</v>
      </c>
      <c r="W477">
        <v>0.1710900118070216</v>
      </c>
      <c r="X477">
        <v>0.3391279309918997</v>
      </c>
      <c r="Z477" t="s">
        <v>392</v>
      </c>
      <c r="AA477">
        <v>9937</v>
      </c>
      <c r="AB477" t="s">
        <v>868</v>
      </c>
      <c r="AC477" t="str">
        <f>HYPERLINK("plots/20251231000436_3FT6Y121H01_04823_B11P_N_UFLEX98_M5358A8BH101511/dpll_52084/txpa_54171.png","plot")</f>
        <v>plot</v>
      </c>
    </row>
    <row r="478" spans="1:29" hidden="1" x14ac:dyDescent="0.35">
      <c r="A478" t="s">
        <v>46</v>
      </c>
      <c r="B478">
        <v>52084</v>
      </c>
      <c r="C478" t="s">
        <v>52</v>
      </c>
      <c r="D478">
        <v>54172</v>
      </c>
      <c r="E478" t="s">
        <v>192</v>
      </c>
      <c r="F478">
        <v>8716</v>
      </c>
      <c r="G478">
        <v>0.38641977961325169</v>
      </c>
      <c r="H478">
        <v>0</v>
      </c>
      <c r="I478">
        <v>2.8578303105774732E-308</v>
      </c>
      <c r="J478">
        <v>0.30768159926687721</v>
      </c>
      <c r="K478">
        <v>1.799729412599237E-190</v>
      </c>
      <c r="L478">
        <v>2.6107662723542581E-190</v>
      </c>
      <c r="M478">
        <v>0.20797429060615141</v>
      </c>
      <c r="N478">
        <v>2.1286159290686682E-186</v>
      </c>
      <c r="O478">
        <v>3.070293815185817E-186</v>
      </c>
      <c r="P478">
        <v>0.14932024607635411</v>
      </c>
      <c r="Q478">
        <v>0.94001539689523606</v>
      </c>
      <c r="R478">
        <v>-3.510538409527109</v>
      </c>
      <c r="S478">
        <v>0.27953720610232319</v>
      </c>
      <c r="T478">
        <v>0.21857385773955321</v>
      </c>
      <c r="U478">
        <v>4.3169497564249664</v>
      </c>
      <c r="V478">
        <v>0.1245965072716559</v>
      </c>
      <c r="W478">
        <v>0.54746082913549787</v>
      </c>
      <c r="X478">
        <v>0.30309689465675888</v>
      </c>
      <c r="Z478" t="s">
        <v>392</v>
      </c>
      <c r="AA478">
        <v>9937</v>
      </c>
      <c r="AB478" t="s">
        <v>869</v>
      </c>
      <c r="AC478" t="str">
        <f>HYPERLINK("plots/20251231000436_3FT6Y121H01_04823_B11P_N_UFLEX98_M5358A8BH101511/dpll_52084/txpa_54172.png","plot")</f>
        <v>plot</v>
      </c>
    </row>
    <row r="479" spans="1:29" hidden="1" x14ac:dyDescent="0.35">
      <c r="A479" t="s">
        <v>46</v>
      </c>
      <c r="B479">
        <v>52084</v>
      </c>
      <c r="C479" t="s">
        <v>52</v>
      </c>
      <c r="D479">
        <v>54173</v>
      </c>
      <c r="E479" t="s">
        <v>193</v>
      </c>
      <c r="F479">
        <v>8716</v>
      </c>
      <c r="G479">
        <v>0.40093533463441472</v>
      </c>
      <c r="H479">
        <v>0</v>
      </c>
      <c r="I479">
        <v>0</v>
      </c>
      <c r="J479">
        <v>0.26390674483401999</v>
      </c>
      <c r="K479">
        <v>8.099791431173353E-139</v>
      </c>
      <c r="L479">
        <v>1.000388369209474E-138</v>
      </c>
      <c r="M479">
        <v>0.17809936333197829</v>
      </c>
      <c r="N479">
        <v>3.0871073580388209E-137</v>
      </c>
      <c r="O479">
        <v>3.8314894260114622E-137</v>
      </c>
      <c r="P479">
        <v>0.16074914255841011</v>
      </c>
      <c r="Q479">
        <v>1.0324564695866669</v>
      </c>
      <c r="R479">
        <v>-3.5890375541025539</v>
      </c>
      <c r="S479">
        <v>0.29391670308491169</v>
      </c>
      <c r="T479">
        <v>0.23310107170500671</v>
      </c>
      <c r="U479">
        <v>4.3169497564249664</v>
      </c>
      <c r="V479">
        <v>0.1245965072716559</v>
      </c>
      <c r="W479">
        <v>0.86802515079899034</v>
      </c>
      <c r="X479">
        <v>0.32085091761199269</v>
      </c>
      <c r="Z479" t="s">
        <v>392</v>
      </c>
      <c r="AA479">
        <v>9937</v>
      </c>
      <c r="AB479" t="s">
        <v>870</v>
      </c>
      <c r="AC479" t="str">
        <f>HYPERLINK("plots/20251231000436_3FT6Y121H01_04823_B11P_N_UFLEX98_M5358A8BH101511/dpll_52084/txpa_54173.png","plot")</f>
        <v>plot</v>
      </c>
    </row>
    <row r="480" spans="1:29" hidden="1" x14ac:dyDescent="0.35">
      <c r="A480" t="s">
        <v>46</v>
      </c>
      <c r="B480">
        <v>52084</v>
      </c>
      <c r="C480" t="s">
        <v>52</v>
      </c>
      <c r="D480">
        <v>54174</v>
      </c>
      <c r="E480" t="s">
        <v>194</v>
      </c>
      <c r="F480">
        <v>8716</v>
      </c>
      <c r="G480">
        <v>0.42422835970650741</v>
      </c>
      <c r="H480">
        <v>0</v>
      </c>
      <c r="I480">
        <v>0</v>
      </c>
      <c r="J480">
        <v>0.31761396462782537</v>
      </c>
      <c r="K480">
        <v>1.6439748010279429E-203</v>
      </c>
      <c r="L480">
        <v>2.4732795967987159E-203</v>
      </c>
      <c r="M480">
        <v>0.2149594983102244</v>
      </c>
      <c r="N480">
        <v>5.4860432886574494E-199</v>
      </c>
      <c r="O480">
        <v>8.1447260537315571E-199</v>
      </c>
      <c r="P480">
        <v>0.1799697011792738</v>
      </c>
      <c r="Q480">
        <v>1.010936837768587</v>
      </c>
      <c r="R480">
        <v>-3.8490845107980012</v>
      </c>
      <c r="S480">
        <v>0.26885630592674259</v>
      </c>
      <c r="T480">
        <v>0.21153007766687759</v>
      </c>
      <c r="U480">
        <v>4.3169497564249664</v>
      </c>
      <c r="V480">
        <v>0.1245965072716559</v>
      </c>
      <c r="W480">
        <v>0.51507902476812761</v>
      </c>
      <c r="X480">
        <v>0.29691366966923322</v>
      </c>
      <c r="Z480" t="s">
        <v>392</v>
      </c>
      <c r="AA480">
        <v>9937</v>
      </c>
      <c r="AB480" t="s">
        <v>871</v>
      </c>
      <c r="AC480" t="str">
        <f>HYPERLINK("plots/20251231000436_3FT6Y121H01_04823_B11P_N_UFLEX98_M5358A8BH101511/dpll_52084/txpa_54174.png","plot")</f>
        <v>plot</v>
      </c>
    </row>
    <row r="481" spans="1:29" hidden="1" x14ac:dyDescent="0.35">
      <c r="A481" t="s">
        <v>46</v>
      </c>
      <c r="B481">
        <v>52084</v>
      </c>
      <c r="C481" t="s">
        <v>52</v>
      </c>
      <c r="D481">
        <v>54175</v>
      </c>
      <c r="E481" t="s">
        <v>195</v>
      </c>
      <c r="F481">
        <v>8716</v>
      </c>
      <c r="G481">
        <v>0.4259259364441087</v>
      </c>
      <c r="H481">
        <v>0</v>
      </c>
      <c r="I481">
        <v>0</v>
      </c>
      <c r="J481">
        <v>0.30039822264225519</v>
      </c>
      <c r="K481">
        <v>3.1603995484533439E-181</v>
      </c>
      <c r="L481">
        <v>4.4385666788527569E-181</v>
      </c>
      <c r="M481">
        <v>0.20192065656568839</v>
      </c>
      <c r="N481">
        <v>8.004500770259072E-176</v>
      </c>
      <c r="O481">
        <v>1.10730747353925E-175</v>
      </c>
      <c r="P481">
        <v>0.18141290333579091</v>
      </c>
      <c r="Q481">
        <v>0.95502197972383773</v>
      </c>
      <c r="R481">
        <v>-3.399514430034992</v>
      </c>
      <c r="S481">
        <v>0.25275088240259719</v>
      </c>
      <c r="T481">
        <v>0.1972843940617641</v>
      </c>
      <c r="U481">
        <v>4.3169497564249664</v>
      </c>
      <c r="V481">
        <v>0.1245965072716559</v>
      </c>
      <c r="W481">
        <v>0.72326747271431857</v>
      </c>
      <c r="X481">
        <v>0.27937346111080708</v>
      </c>
      <c r="Z481" t="s">
        <v>392</v>
      </c>
      <c r="AA481">
        <v>9937</v>
      </c>
      <c r="AB481" t="s">
        <v>872</v>
      </c>
      <c r="AC481" t="str">
        <f>HYPERLINK("plots/20251231000436_3FT6Y121H01_04823_B11P_N_UFLEX98_M5358A8BH101511/dpll_52084/txpa_54175.png","plot")</f>
        <v>plot</v>
      </c>
    </row>
    <row r="482" spans="1:29" hidden="1" x14ac:dyDescent="0.35">
      <c r="A482" t="s">
        <v>46</v>
      </c>
      <c r="B482">
        <v>52084</v>
      </c>
      <c r="C482" t="s">
        <v>52</v>
      </c>
      <c r="D482">
        <v>54176</v>
      </c>
      <c r="E482" t="s">
        <v>196</v>
      </c>
      <c r="F482">
        <v>8716</v>
      </c>
      <c r="G482">
        <v>0.45046400864127029</v>
      </c>
      <c r="H482">
        <v>0</v>
      </c>
      <c r="I482">
        <v>0</v>
      </c>
      <c r="J482">
        <v>0.32761262502002869</v>
      </c>
      <c r="K482">
        <v>3.7705169603905834E-217</v>
      </c>
      <c r="L482">
        <v>5.8282076186525156E-217</v>
      </c>
      <c r="M482">
        <v>0.220536002073452</v>
      </c>
      <c r="N482">
        <v>2.4644845534331673E-209</v>
      </c>
      <c r="O482">
        <v>3.7692116699566082E-209</v>
      </c>
      <c r="P482">
        <v>0.20291782308116241</v>
      </c>
      <c r="Q482">
        <v>0.95516135274690162</v>
      </c>
      <c r="R482">
        <v>-3.4788913225482689</v>
      </c>
      <c r="S482">
        <v>0.23585720460390611</v>
      </c>
      <c r="T482">
        <v>0.18345896306032031</v>
      </c>
      <c r="U482">
        <v>4.3169497564249664</v>
      </c>
      <c r="V482">
        <v>0.1245965072716559</v>
      </c>
      <c r="W482">
        <v>0.64449224653900872</v>
      </c>
      <c r="X482">
        <v>0.26419373390584933</v>
      </c>
      <c r="Z482" t="s">
        <v>392</v>
      </c>
      <c r="AA482">
        <v>9937</v>
      </c>
      <c r="AB482" t="s">
        <v>873</v>
      </c>
      <c r="AC482" t="str">
        <f>HYPERLINK("plots/20251231000436_3FT6Y121H01_04823_B11P_N_UFLEX98_M5358A8BH101511/dpll_52084/txpa_54176.png","plot")</f>
        <v>plot</v>
      </c>
    </row>
    <row r="483" spans="1:29" hidden="1" x14ac:dyDescent="0.35">
      <c r="A483" t="s">
        <v>46</v>
      </c>
      <c r="B483">
        <v>52084</v>
      </c>
      <c r="C483" t="s">
        <v>52</v>
      </c>
      <c r="D483">
        <v>54177</v>
      </c>
      <c r="E483" t="s">
        <v>197</v>
      </c>
      <c r="F483">
        <v>8716</v>
      </c>
      <c r="G483">
        <v>0.4141172438071925</v>
      </c>
      <c r="H483">
        <v>0</v>
      </c>
      <c r="I483">
        <v>0</v>
      </c>
      <c r="J483">
        <v>0.26015094082633161</v>
      </c>
      <c r="K483">
        <v>8.1966793937916815E-135</v>
      </c>
      <c r="L483">
        <v>1.005010024825244E-134</v>
      </c>
      <c r="M483">
        <v>0.17517755529096199</v>
      </c>
      <c r="N483">
        <v>7.7719843165737243E-133</v>
      </c>
      <c r="O483">
        <v>9.517864851456228E-133</v>
      </c>
      <c r="P483">
        <v>0.17149309161846571</v>
      </c>
      <c r="Q483">
        <v>0.99694865550727652</v>
      </c>
      <c r="R483">
        <v>-3.4909004541697888</v>
      </c>
      <c r="S483">
        <v>0.27300996376441378</v>
      </c>
      <c r="T483">
        <v>0.2180702219742553</v>
      </c>
      <c r="U483">
        <v>4.3169497564249664</v>
      </c>
      <c r="V483">
        <v>0.1245965072716559</v>
      </c>
      <c r="W483">
        <v>0.81287680139054608</v>
      </c>
      <c r="X483">
        <v>0.29995447488106369</v>
      </c>
      <c r="Z483" t="s">
        <v>392</v>
      </c>
      <c r="AA483">
        <v>9937</v>
      </c>
      <c r="AB483" t="s">
        <v>874</v>
      </c>
      <c r="AC483" t="str">
        <f>HYPERLINK("plots/20251231000436_3FT6Y121H01_04823_B11P_N_UFLEX98_M5358A8BH101511/dpll_52084/txpa_54177.png","plot")</f>
        <v>plot</v>
      </c>
    </row>
    <row r="484" spans="1:29" hidden="1" x14ac:dyDescent="0.35">
      <c r="A484" t="s">
        <v>46</v>
      </c>
      <c r="B484">
        <v>52084</v>
      </c>
      <c r="C484" t="s">
        <v>52</v>
      </c>
      <c r="D484">
        <v>54178</v>
      </c>
      <c r="E484" t="s">
        <v>198</v>
      </c>
      <c r="F484">
        <v>8716</v>
      </c>
      <c r="G484">
        <v>0.27929638389464789</v>
      </c>
      <c r="H484">
        <v>6.3754529743947678E-156</v>
      </c>
      <c r="I484">
        <v>7.2231389005992116E-156</v>
      </c>
      <c r="J484">
        <v>0.25552063222217469</v>
      </c>
      <c r="K484">
        <v>5.7714047017821922E-130</v>
      </c>
      <c r="L484">
        <v>7.0423638599363937E-130</v>
      </c>
      <c r="M484">
        <v>0.17163913551679741</v>
      </c>
      <c r="N484">
        <v>1.3300194245778459E-127</v>
      </c>
      <c r="O484">
        <v>1.613205378614755E-127</v>
      </c>
      <c r="P484">
        <v>7.8006470056626559E-2</v>
      </c>
      <c r="Q484">
        <v>0.76890461978539137</v>
      </c>
      <c r="R484">
        <v>-3.2207800223353331</v>
      </c>
      <c r="S484">
        <v>0.32934573769358427</v>
      </c>
      <c r="T484">
        <v>0.2454585008384603</v>
      </c>
      <c r="U484">
        <v>4.3169497564249664</v>
      </c>
      <c r="V484">
        <v>0.1245965072716559</v>
      </c>
      <c r="W484">
        <v>9.8542588761243693E-2</v>
      </c>
      <c r="X484">
        <v>0.34301493171654401</v>
      </c>
      <c r="Z484" t="s">
        <v>392</v>
      </c>
      <c r="AA484">
        <v>9937</v>
      </c>
      <c r="AB484" t="s">
        <v>875</v>
      </c>
      <c r="AC484" t="str">
        <f>HYPERLINK("plots/20251231000436_3FT6Y121H01_04823_B11P_N_UFLEX98_M5358A8BH101511/dpll_52084/txpa_54178.png","plot")</f>
        <v>plot</v>
      </c>
    </row>
    <row r="485" spans="1:29" hidden="1" x14ac:dyDescent="0.35">
      <c r="A485" t="s">
        <v>46</v>
      </c>
      <c r="B485">
        <v>52084</v>
      </c>
      <c r="C485" t="s">
        <v>52</v>
      </c>
      <c r="D485">
        <v>54179</v>
      </c>
      <c r="E485" t="s">
        <v>199</v>
      </c>
      <c r="F485">
        <v>8716</v>
      </c>
      <c r="G485">
        <v>0.30196916713397609</v>
      </c>
      <c r="H485">
        <v>3.3749606638450259E-183</v>
      </c>
      <c r="I485">
        <v>3.8625396310822311E-183</v>
      </c>
      <c r="J485">
        <v>0.26394879967050627</v>
      </c>
      <c r="K485">
        <v>7.2988527910517029E-139</v>
      </c>
      <c r="L485">
        <v>9.0256545489346668E-139</v>
      </c>
      <c r="M485">
        <v>0.1774513938168111</v>
      </c>
      <c r="N485">
        <v>2.952677110041202E-136</v>
      </c>
      <c r="O485">
        <v>3.6379278123715417E-136</v>
      </c>
      <c r="P485">
        <v>9.1185377899587222E-2</v>
      </c>
      <c r="Q485">
        <v>0.78124960924206188</v>
      </c>
      <c r="R485">
        <v>3.274483273361994E-3</v>
      </c>
      <c r="S485">
        <v>0.30728815372078472</v>
      </c>
      <c r="T485">
        <v>0.22781554305069901</v>
      </c>
      <c r="U485">
        <v>4.3169497564249664</v>
      </c>
      <c r="V485">
        <v>0.1245965072716559</v>
      </c>
      <c r="W485">
        <v>3.375889793597981</v>
      </c>
      <c r="X485">
        <v>0.3223540123078828</v>
      </c>
      <c r="Z485" t="s">
        <v>392</v>
      </c>
      <c r="AA485">
        <v>9937</v>
      </c>
      <c r="AB485" t="s">
        <v>876</v>
      </c>
      <c r="AC485" t="str">
        <f>HYPERLINK("plots/20251231000436_3FT6Y121H01_04823_B11P_N_UFLEX98_M5358A8BH101511/dpll_52084/txpa_54179.png","plot")</f>
        <v>plot</v>
      </c>
    </row>
    <row r="486" spans="1:29" hidden="1" x14ac:dyDescent="0.35">
      <c r="A486" t="s">
        <v>46</v>
      </c>
      <c r="B486">
        <v>52084</v>
      </c>
      <c r="C486" t="s">
        <v>52</v>
      </c>
      <c r="D486">
        <v>54180</v>
      </c>
      <c r="E486" t="s">
        <v>200</v>
      </c>
      <c r="F486">
        <v>8716</v>
      </c>
      <c r="G486">
        <v>0.43426616258673678</v>
      </c>
      <c r="H486">
        <v>0</v>
      </c>
      <c r="I486">
        <v>0</v>
      </c>
      <c r="J486">
        <v>0.3452386388869082</v>
      </c>
      <c r="K486">
        <v>1.761340053168846E-242</v>
      </c>
      <c r="L486">
        <v>2.942337419955865E-242</v>
      </c>
      <c r="M486">
        <v>0.23497577923893639</v>
      </c>
      <c r="N486">
        <v>2.304662513130852E-237</v>
      </c>
      <c r="O486">
        <v>3.818509458030529E-237</v>
      </c>
      <c r="P486">
        <v>0.18858709996781009</v>
      </c>
      <c r="Q486">
        <v>1.034310153328343</v>
      </c>
      <c r="R486">
        <v>-0.75896581727811085</v>
      </c>
      <c r="S486">
        <v>0.26729861225950807</v>
      </c>
      <c r="T486">
        <v>0.2062359278882738</v>
      </c>
      <c r="U486">
        <v>4.3169497564249664</v>
      </c>
      <c r="V486">
        <v>0.1245965072716559</v>
      </c>
      <c r="W486">
        <v>3.70609914720055</v>
      </c>
      <c r="X486">
        <v>0.29675679028891111</v>
      </c>
      <c r="Z486" t="s">
        <v>392</v>
      </c>
      <c r="AA486">
        <v>9937</v>
      </c>
      <c r="AB486" t="s">
        <v>877</v>
      </c>
      <c r="AC486" t="str">
        <f>HYPERLINK("plots/20251231000436_3FT6Y121H01_04823_B11P_N_UFLEX98_M5358A8BH101511/dpll_52084/txpa_54180.png","plot")</f>
        <v>plot</v>
      </c>
    </row>
    <row r="487" spans="1:29" hidden="1" x14ac:dyDescent="0.35">
      <c r="A487" t="s">
        <v>46</v>
      </c>
      <c r="B487">
        <v>52084</v>
      </c>
      <c r="C487" t="s">
        <v>52</v>
      </c>
      <c r="D487">
        <v>54181</v>
      </c>
      <c r="E487" t="s">
        <v>201</v>
      </c>
      <c r="F487">
        <v>8716</v>
      </c>
      <c r="G487">
        <v>0.44889219609376768</v>
      </c>
      <c r="H487">
        <v>0</v>
      </c>
      <c r="I487">
        <v>0</v>
      </c>
      <c r="J487">
        <v>0.31406141970195739</v>
      </c>
      <c r="K487">
        <v>8.6606335161096872E-199</v>
      </c>
      <c r="L487">
        <v>1.280157782118837E-198</v>
      </c>
      <c r="M487">
        <v>0.2128426723605934</v>
      </c>
      <c r="N487">
        <v>3.9320228219352097E-195</v>
      </c>
      <c r="O487">
        <v>5.7783639731047873E-195</v>
      </c>
      <c r="P487">
        <v>0.20150420371388561</v>
      </c>
      <c r="Q487">
        <v>1.118710617576804</v>
      </c>
      <c r="R487">
        <v>-0.84937575625921768</v>
      </c>
      <c r="S487">
        <v>0.27745526781409308</v>
      </c>
      <c r="T487">
        <v>0.21446921120941001</v>
      </c>
      <c r="U487">
        <v>4.3169497564249664</v>
      </c>
      <c r="V487">
        <v>0.1245965072716559</v>
      </c>
      <c r="W487">
        <v>3.98004177179899</v>
      </c>
      <c r="X487">
        <v>0.31051427672552068</v>
      </c>
      <c r="Z487" t="s">
        <v>392</v>
      </c>
      <c r="AA487">
        <v>9937</v>
      </c>
      <c r="AB487" t="s">
        <v>878</v>
      </c>
      <c r="AC487" t="str">
        <f>HYPERLINK("plots/20251231000436_3FT6Y121H01_04823_B11P_N_UFLEX98_M5358A8BH101511/dpll_52084/txpa_54181.png","plot")</f>
        <v>plot</v>
      </c>
    </row>
    <row r="488" spans="1:29" hidden="1" x14ac:dyDescent="0.35">
      <c r="A488" t="s">
        <v>46</v>
      </c>
      <c r="B488">
        <v>52084</v>
      </c>
      <c r="C488" t="s">
        <v>52</v>
      </c>
      <c r="D488">
        <v>54182</v>
      </c>
      <c r="E488" t="s">
        <v>202</v>
      </c>
      <c r="F488">
        <v>8716</v>
      </c>
      <c r="G488">
        <v>0.46937384834647278</v>
      </c>
      <c r="H488">
        <v>0</v>
      </c>
      <c r="I488">
        <v>0</v>
      </c>
      <c r="J488">
        <v>0.35590402858711251</v>
      </c>
      <c r="K488">
        <v>1.25710699156705E-258</v>
      </c>
      <c r="L488">
        <v>2.2168808512156318E-258</v>
      </c>
      <c r="M488">
        <v>0.24246442707027091</v>
      </c>
      <c r="N488">
        <v>1.3476301199964591E-252</v>
      </c>
      <c r="O488">
        <v>2.3239743906061388E-252</v>
      </c>
      <c r="P488">
        <v>0.22031180951157769</v>
      </c>
      <c r="Q488">
        <v>1.099161578262859</v>
      </c>
      <c r="R488">
        <v>-1.0709733957820751</v>
      </c>
      <c r="S488">
        <v>0.25762267270917688</v>
      </c>
      <c r="T488">
        <v>0.1993517233937398</v>
      </c>
      <c r="U488">
        <v>4.3169497564249664</v>
      </c>
      <c r="V488">
        <v>0.1245965072716559</v>
      </c>
      <c r="W488">
        <v>3.6740519117714552</v>
      </c>
      <c r="X488">
        <v>0.29177529609118902</v>
      </c>
      <c r="Z488" t="s">
        <v>392</v>
      </c>
      <c r="AA488">
        <v>9937</v>
      </c>
      <c r="AB488" t="s">
        <v>879</v>
      </c>
      <c r="AC488" t="str">
        <f>HYPERLINK("plots/20251231000436_3FT6Y121H01_04823_B11P_N_UFLEX98_M5358A8BH101511/dpll_52084/txpa_54182.png","plot")</f>
        <v>plot</v>
      </c>
    </row>
    <row r="489" spans="1:29" hidden="1" x14ac:dyDescent="0.35">
      <c r="A489" t="s">
        <v>46</v>
      </c>
      <c r="B489">
        <v>52084</v>
      </c>
      <c r="C489" t="s">
        <v>52</v>
      </c>
      <c r="D489">
        <v>54183</v>
      </c>
      <c r="E489" t="s">
        <v>203</v>
      </c>
      <c r="F489">
        <v>8716</v>
      </c>
      <c r="G489">
        <v>0.47722899050446699</v>
      </c>
      <c r="H489">
        <v>0</v>
      </c>
      <c r="I489">
        <v>0</v>
      </c>
      <c r="J489">
        <v>0.34511481686778439</v>
      </c>
      <c r="K489">
        <v>2.6892194215219301E-242</v>
      </c>
      <c r="L489">
        <v>4.4849810747092712E-242</v>
      </c>
      <c r="M489">
        <v>0.23361583284535939</v>
      </c>
      <c r="N489">
        <v>1.196185237594078E-234</v>
      </c>
      <c r="O489">
        <v>1.9595021501137231E-234</v>
      </c>
      <c r="P489">
        <v>0.2277475093779126</v>
      </c>
      <c r="Q489">
        <v>1.054339129872695</v>
      </c>
      <c r="R489">
        <v>-0.69023915223376608</v>
      </c>
      <c r="S489">
        <v>0.24188788584099361</v>
      </c>
      <c r="T489">
        <v>0.18498881687782051</v>
      </c>
      <c r="U489">
        <v>4.3169497564249664</v>
      </c>
      <c r="V489">
        <v>0.1245965072716559</v>
      </c>
      <c r="W489">
        <v>3.8612898976594772</v>
      </c>
      <c r="X489">
        <v>0.27527031189599321</v>
      </c>
      <c r="Z489" t="s">
        <v>392</v>
      </c>
      <c r="AA489">
        <v>9937</v>
      </c>
      <c r="AB489" t="s">
        <v>880</v>
      </c>
      <c r="AC489" t="str">
        <f>HYPERLINK("plots/20251231000436_3FT6Y121H01_04823_B11P_N_UFLEX98_M5358A8BH101511/dpll_52084/txpa_54183.png","plot")</f>
        <v>plot</v>
      </c>
    </row>
    <row r="490" spans="1:29" hidden="1" x14ac:dyDescent="0.35">
      <c r="A490" t="s">
        <v>46</v>
      </c>
      <c r="B490">
        <v>52084</v>
      </c>
      <c r="C490" t="s">
        <v>52</v>
      </c>
      <c r="D490">
        <v>54184</v>
      </c>
      <c r="E490" t="s">
        <v>204</v>
      </c>
      <c r="F490">
        <v>8715</v>
      </c>
      <c r="G490">
        <v>0.49943191005745857</v>
      </c>
      <c r="H490">
        <v>0</v>
      </c>
      <c r="I490">
        <v>0</v>
      </c>
      <c r="J490">
        <v>0.37170087026154858</v>
      </c>
      <c r="K490">
        <v>1.107013014068486E-283</v>
      </c>
      <c r="L490">
        <v>2.109983451626775E-283</v>
      </c>
      <c r="M490">
        <v>0.25258328876161612</v>
      </c>
      <c r="N490">
        <v>6.6276041317422701E-274</v>
      </c>
      <c r="O490">
        <v>1.2218891981066661E-273</v>
      </c>
      <c r="P490">
        <v>0.24943223278364141</v>
      </c>
      <c r="Q490">
        <v>1.0475252174813141</v>
      </c>
      <c r="R490">
        <v>-0.73495566011202973</v>
      </c>
      <c r="S490">
        <v>0.22633812461388361</v>
      </c>
      <c r="T490">
        <v>0.17219163937020071</v>
      </c>
      <c r="U490">
        <v>4.31698256993689</v>
      </c>
      <c r="V490">
        <v>0.12456598786527739</v>
      </c>
      <c r="W490">
        <v>3.7871924453241541</v>
      </c>
      <c r="X490">
        <v>0.26126887549963979</v>
      </c>
      <c r="Z490" t="s">
        <v>392</v>
      </c>
      <c r="AA490">
        <v>9937</v>
      </c>
      <c r="AB490" t="s">
        <v>881</v>
      </c>
      <c r="AC490" t="str">
        <f>HYPERLINK("plots/20251231000436_3FT6Y121H01_04823_B11P_N_UFLEX98_M5358A8BH101511/dpll_52084/txpa_54184.png","plot")</f>
        <v>plot</v>
      </c>
    </row>
    <row r="491" spans="1:29" hidden="1" x14ac:dyDescent="0.35">
      <c r="A491" t="s">
        <v>46</v>
      </c>
      <c r="B491">
        <v>52084</v>
      </c>
      <c r="C491" t="s">
        <v>52</v>
      </c>
      <c r="D491">
        <v>54185</v>
      </c>
      <c r="E491" t="s">
        <v>205</v>
      </c>
      <c r="F491">
        <v>8716</v>
      </c>
      <c r="G491">
        <v>0.46504807946104398</v>
      </c>
      <c r="H491">
        <v>0</v>
      </c>
      <c r="I491">
        <v>0</v>
      </c>
      <c r="J491">
        <v>0.30943288592556328</v>
      </c>
      <c r="K491">
        <v>9.829944831847226E-193</v>
      </c>
      <c r="L491">
        <v>1.4300665795542451E-192</v>
      </c>
      <c r="M491">
        <v>0.20923383981970359</v>
      </c>
      <c r="N491">
        <v>1.21922961443531E-188</v>
      </c>
      <c r="O491">
        <v>1.7712017607985731E-188</v>
      </c>
      <c r="P491">
        <v>0.2162697162104055</v>
      </c>
      <c r="Q491">
        <v>1.082536928214701</v>
      </c>
      <c r="R491">
        <v>-0.73382804268946078</v>
      </c>
      <c r="S491">
        <v>0.25674921972634701</v>
      </c>
      <c r="T491">
        <v>0.20026133583152539</v>
      </c>
      <c r="U491">
        <v>4.3169497564249664</v>
      </c>
      <c r="V491">
        <v>0.1245965072716559</v>
      </c>
      <c r="W491">
        <v>3.9394294858880219</v>
      </c>
      <c r="X491">
        <v>0.29003521615325267</v>
      </c>
      <c r="Z491" t="s">
        <v>392</v>
      </c>
      <c r="AA491">
        <v>9937</v>
      </c>
      <c r="AB491" t="s">
        <v>882</v>
      </c>
      <c r="AC491" t="str">
        <f>HYPERLINK("plots/20251231000436_3FT6Y121H01_04823_B11P_N_UFLEX98_M5358A8BH101511/dpll_52084/txpa_54185.png","plot")</f>
        <v>plot</v>
      </c>
    </row>
    <row r="492" spans="1:29" hidden="1" x14ac:dyDescent="0.35">
      <c r="A492" t="s">
        <v>46</v>
      </c>
      <c r="B492">
        <v>52084</v>
      </c>
      <c r="C492" t="s">
        <v>52</v>
      </c>
      <c r="D492">
        <v>54186</v>
      </c>
      <c r="E492" t="s">
        <v>206</v>
      </c>
      <c r="F492">
        <v>8716</v>
      </c>
      <c r="G492">
        <v>0.33239464093270699</v>
      </c>
      <c r="H492">
        <v>7.3797439348607166E-224</v>
      </c>
      <c r="I492">
        <v>8.6409472863149734E-224</v>
      </c>
      <c r="J492">
        <v>0.2926394842082462</v>
      </c>
      <c r="K492">
        <v>1.1404891961847339E-171</v>
      </c>
      <c r="L492">
        <v>1.564893159582301E-171</v>
      </c>
      <c r="M492">
        <v>0.1993751601149745</v>
      </c>
      <c r="N492">
        <v>1.796161849977382E-171</v>
      </c>
      <c r="O492">
        <v>2.4579056894427332E-171</v>
      </c>
      <c r="P492">
        <v>0.1104861973207832</v>
      </c>
      <c r="Q492">
        <v>0.86529606082671462</v>
      </c>
      <c r="R492">
        <v>-0.41856908517556718</v>
      </c>
      <c r="S492">
        <v>0.30589192483974942</v>
      </c>
      <c r="T492">
        <v>0.22655908844904829</v>
      </c>
      <c r="U492">
        <v>4.3169497564249664</v>
      </c>
      <c r="V492">
        <v>0.1245965072716559</v>
      </c>
      <c r="W492">
        <v>3.3168705338458011</v>
      </c>
      <c r="X492">
        <v>0.32435200108041912</v>
      </c>
      <c r="Z492" t="s">
        <v>392</v>
      </c>
      <c r="AA492">
        <v>9937</v>
      </c>
      <c r="AB492" t="s">
        <v>883</v>
      </c>
      <c r="AC492" t="str">
        <f>HYPERLINK("plots/20251231000436_3FT6Y121H01_04823_B11P_N_UFLEX98_M5358A8BH101511/dpll_52084/txpa_54186.png","plot")</f>
        <v>plot</v>
      </c>
    </row>
    <row r="493" spans="1:29" hidden="1" x14ac:dyDescent="0.35">
      <c r="A493" t="s">
        <v>46</v>
      </c>
      <c r="B493">
        <v>52084</v>
      </c>
      <c r="C493" t="s">
        <v>52</v>
      </c>
      <c r="D493">
        <v>54187</v>
      </c>
      <c r="E493" t="s">
        <v>207</v>
      </c>
      <c r="F493">
        <v>8716</v>
      </c>
      <c r="G493">
        <v>0.34474393628332067</v>
      </c>
      <c r="H493">
        <v>9.5412673106953544E-242</v>
      </c>
      <c r="I493">
        <v>1.1517672682196531E-241</v>
      </c>
      <c r="J493">
        <v>0.29768318502313029</v>
      </c>
      <c r="K493">
        <v>7.5518069197582593E-178</v>
      </c>
      <c r="L493">
        <v>1.047542026899436E-177</v>
      </c>
      <c r="M493">
        <v>0.20279912204308051</v>
      </c>
      <c r="N493">
        <v>2.4227442325411728E-177</v>
      </c>
      <c r="O493">
        <v>3.374536609610919E-177</v>
      </c>
      <c r="P493">
        <v>0.1188483816041183</v>
      </c>
      <c r="Q493">
        <v>0.87418777422651994</v>
      </c>
      <c r="R493">
        <v>1.373031156536147</v>
      </c>
      <c r="S493">
        <v>0.29656122511888888</v>
      </c>
      <c r="T493">
        <v>0.21640290919436569</v>
      </c>
      <c r="U493">
        <v>4.3169497564249664</v>
      </c>
      <c r="V493">
        <v>0.1245965072716559</v>
      </c>
      <c r="W493">
        <v>5.1468558555530057</v>
      </c>
      <c r="X493">
        <v>0.31594679965217132</v>
      </c>
      <c r="Z493" t="s">
        <v>392</v>
      </c>
      <c r="AA493">
        <v>9937</v>
      </c>
      <c r="AB493" t="s">
        <v>884</v>
      </c>
      <c r="AC493" t="str">
        <f>HYPERLINK("plots/20251231000436_3FT6Y121H01_04823_B11P_N_UFLEX98_M5358A8BH101511/dpll_52084/txpa_54187.png","plot")</f>
        <v>plot</v>
      </c>
    </row>
    <row r="494" spans="1:29" hidden="1" x14ac:dyDescent="0.35">
      <c r="A494" t="s">
        <v>46</v>
      </c>
      <c r="B494">
        <v>52084</v>
      </c>
      <c r="C494" t="s">
        <v>52</v>
      </c>
      <c r="D494">
        <v>54188</v>
      </c>
      <c r="E494" t="s">
        <v>208</v>
      </c>
      <c r="F494">
        <v>8716</v>
      </c>
      <c r="G494">
        <v>0.46385345787883903</v>
      </c>
      <c r="H494">
        <v>0</v>
      </c>
      <c r="I494">
        <v>0</v>
      </c>
      <c r="J494">
        <v>0.37003728125151347</v>
      </c>
      <c r="K494">
        <v>5.2608745692396259E-281</v>
      </c>
      <c r="L494">
        <v>9.9154773479720823E-281</v>
      </c>
      <c r="M494">
        <v>0.25336812506761058</v>
      </c>
      <c r="N494">
        <v>1.247866437528249E-275</v>
      </c>
      <c r="O494">
        <v>2.3217184727589808E-275</v>
      </c>
      <c r="P494">
        <v>0.21516003038615589</v>
      </c>
      <c r="Q494">
        <v>1.1150607358353251</v>
      </c>
      <c r="R494">
        <v>0.63118394632485764</v>
      </c>
      <c r="S494">
        <v>0.26533175785061108</v>
      </c>
      <c r="T494">
        <v>0.20131657367962469</v>
      </c>
      <c r="U494">
        <v>4.3169497564249664</v>
      </c>
      <c r="V494">
        <v>0.1245965072716559</v>
      </c>
      <c r="W494">
        <v>5.4448451182882058</v>
      </c>
      <c r="X494">
        <v>0.29951845937760352</v>
      </c>
      <c r="Z494" t="s">
        <v>392</v>
      </c>
      <c r="AA494">
        <v>9937</v>
      </c>
      <c r="AB494" t="s">
        <v>885</v>
      </c>
      <c r="AC494" t="str">
        <f>HYPERLINK("plots/20251231000436_3FT6Y121H01_04823_B11P_N_UFLEX98_M5358A8BH101511/dpll_52084/txpa_54188.png","plot")</f>
        <v>plot</v>
      </c>
    </row>
    <row r="495" spans="1:29" hidden="1" x14ac:dyDescent="0.35">
      <c r="A495" t="s">
        <v>46</v>
      </c>
      <c r="B495">
        <v>52084</v>
      </c>
      <c r="C495" t="s">
        <v>52</v>
      </c>
      <c r="D495">
        <v>54189</v>
      </c>
      <c r="E495" t="s">
        <v>209</v>
      </c>
      <c r="F495">
        <v>8713</v>
      </c>
      <c r="G495">
        <v>0.47694149082900528</v>
      </c>
      <c r="H495">
        <v>0</v>
      </c>
      <c r="I495">
        <v>0</v>
      </c>
      <c r="J495">
        <v>0.35283894536161919</v>
      </c>
      <c r="K495">
        <v>7.7756883841932797E-254</v>
      </c>
      <c r="L495">
        <v>1.340909527478229E-253</v>
      </c>
      <c r="M495">
        <v>0.2404921369103564</v>
      </c>
      <c r="N495">
        <v>1.867739540282445E-248</v>
      </c>
      <c r="O495">
        <v>3.1830048636073931E-248</v>
      </c>
      <c r="P495">
        <v>0.22747318567419411</v>
      </c>
      <c r="Q495">
        <v>1.187331073645798</v>
      </c>
      <c r="R495">
        <v>0.56245246803908877</v>
      </c>
      <c r="S495">
        <v>0.27226397526503099</v>
      </c>
      <c r="T495">
        <v>0.2047908477072051</v>
      </c>
      <c r="U495">
        <v>4.3170725038448294</v>
      </c>
      <c r="V495">
        <v>0.1244375908913731</v>
      </c>
      <c r="W495">
        <v>5.6882467990359231</v>
      </c>
      <c r="X495">
        <v>0.30978352950199051</v>
      </c>
      <c r="Z495" t="s">
        <v>392</v>
      </c>
      <c r="AA495">
        <v>9937</v>
      </c>
      <c r="AB495" t="s">
        <v>886</v>
      </c>
      <c r="AC495" t="str">
        <f>HYPERLINK("plots/20251231000436_3FT6Y121H01_04823_B11P_N_UFLEX98_M5358A8BH101511/dpll_52084/txpa_54189.png","plot")</f>
        <v>plot</v>
      </c>
    </row>
    <row r="496" spans="1:29" hidden="1" x14ac:dyDescent="0.35">
      <c r="A496" t="s">
        <v>46</v>
      </c>
      <c r="B496">
        <v>52084</v>
      </c>
      <c r="C496" t="s">
        <v>52</v>
      </c>
      <c r="D496">
        <v>54190</v>
      </c>
      <c r="E496" t="s">
        <v>210</v>
      </c>
      <c r="F496">
        <v>8715</v>
      </c>
      <c r="G496">
        <v>0.49688029477912399</v>
      </c>
      <c r="H496">
        <v>0</v>
      </c>
      <c r="I496">
        <v>0</v>
      </c>
      <c r="J496">
        <v>0.38197618995333732</v>
      </c>
      <c r="K496">
        <v>9.0031266384358143E-301</v>
      </c>
      <c r="L496">
        <v>1.8113433355900631E-300</v>
      </c>
      <c r="M496">
        <v>0.26183862578571621</v>
      </c>
      <c r="N496">
        <v>3.4668152524303997E-294</v>
      </c>
      <c r="O496">
        <v>6.8659192694617693E-294</v>
      </c>
      <c r="P496">
        <v>0.24689002733978921</v>
      </c>
      <c r="Q496">
        <v>1.17463292751195</v>
      </c>
      <c r="R496">
        <v>0.34247119149093308</v>
      </c>
      <c r="S496">
        <v>0.25553721359136539</v>
      </c>
      <c r="T496">
        <v>0.19412623106047891</v>
      </c>
      <c r="U496">
        <v>4.31698256993689</v>
      </c>
      <c r="V496">
        <v>0.12456598786527739</v>
      </c>
      <c r="W496">
        <v>5.413341065633964</v>
      </c>
      <c r="X496">
        <v>0.29447597848421719</v>
      </c>
      <c r="Z496" t="s">
        <v>392</v>
      </c>
      <c r="AA496">
        <v>9937</v>
      </c>
      <c r="AB496" t="s">
        <v>887</v>
      </c>
      <c r="AC496" t="str">
        <f>HYPERLINK("plots/20251231000436_3FT6Y121H01_04823_B11P_N_UFLEX98_M5358A8BH101511/dpll_52084/txpa_54190.png","plot")</f>
        <v>plot</v>
      </c>
    </row>
    <row r="497" spans="1:29" hidden="1" x14ac:dyDescent="0.35">
      <c r="A497" t="s">
        <v>46</v>
      </c>
      <c r="B497">
        <v>52084</v>
      </c>
      <c r="C497" t="s">
        <v>52</v>
      </c>
      <c r="D497">
        <v>54191</v>
      </c>
      <c r="E497" t="s">
        <v>211</v>
      </c>
      <c r="F497">
        <v>8713</v>
      </c>
      <c r="G497">
        <v>0.50618900479404472</v>
      </c>
      <c r="H497">
        <v>0</v>
      </c>
      <c r="I497">
        <v>0</v>
      </c>
      <c r="J497">
        <v>0.37506670146459731</v>
      </c>
      <c r="K497">
        <v>3.8034099350695999E-289</v>
      </c>
      <c r="L497">
        <v>7.4309396419278887E-289</v>
      </c>
      <c r="M497">
        <v>0.2557068722504669</v>
      </c>
      <c r="N497">
        <v>1.320600905418918E-280</v>
      </c>
      <c r="O497">
        <v>2.5123626981140389E-280</v>
      </c>
      <c r="P497">
        <v>0.25622730857438542</v>
      </c>
      <c r="Q497">
        <v>1.1302135421193109</v>
      </c>
      <c r="R497">
        <v>0.7083044719165823</v>
      </c>
      <c r="S497">
        <v>0.2396518208489562</v>
      </c>
      <c r="T497">
        <v>0.1796335581449289</v>
      </c>
      <c r="U497">
        <v>4.3170646894295883</v>
      </c>
      <c r="V497">
        <v>0.1244622773120956</v>
      </c>
      <c r="W497">
        <v>5.5875094461150008</v>
      </c>
      <c r="X497">
        <v>0.27789807753405082</v>
      </c>
      <c r="Z497" t="s">
        <v>392</v>
      </c>
      <c r="AA497">
        <v>9937</v>
      </c>
      <c r="AB497" t="s">
        <v>888</v>
      </c>
      <c r="AC497" t="str">
        <f>HYPERLINK("plots/20251231000436_3FT6Y121H01_04823_B11P_N_UFLEX98_M5358A8BH101511/dpll_52084/txpa_54191.png","plot")</f>
        <v>plot</v>
      </c>
    </row>
    <row r="498" spans="1:29" hidden="1" x14ac:dyDescent="0.35">
      <c r="A498" t="s">
        <v>46</v>
      </c>
      <c r="B498">
        <v>52084</v>
      </c>
      <c r="C498" t="s">
        <v>52</v>
      </c>
      <c r="D498">
        <v>54192</v>
      </c>
      <c r="E498" t="s">
        <v>212</v>
      </c>
      <c r="F498">
        <v>8710</v>
      </c>
      <c r="G498">
        <v>0.52420874230021908</v>
      </c>
      <c r="H498">
        <v>0</v>
      </c>
      <c r="I498">
        <v>0</v>
      </c>
      <c r="J498">
        <v>0.39946132759962483</v>
      </c>
      <c r="K498">
        <v>0</v>
      </c>
      <c r="L498">
        <v>0</v>
      </c>
      <c r="M498">
        <v>0.27388050519515439</v>
      </c>
      <c r="N498">
        <v>0</v>
      </c>
      <c r="O498">
        <v>0</v>
      </c>
      <c r="P498">
        <v>0.2747948055039775</v>
      </c>
      <c r="Q498">
        <v>1.114327296623187</v>
      </c>
      <c r="R498">
        <v>0.70552500494973458</v>
      </c>
      <c r="S498">
        <v>0.22500844872964601</v>
      </c>
      <c r="T498">
        <v>0.16758841487628809</v>
      </c>
      <c r="U498">
        <v>4.3171886738231917</v>
      </c>
      <c r="V498">
        <v>0.1243039115171768</v>
      </c>
      <c r="W498">
        <v>5.5162861888633747</v>
      </c>
      <c r="X498">
        <v>0.26423680206633138</v>
      </c>
      <c r="Z498" t="s">
        <v>392</v>
      </c>
      <c r="AA498">
        <v>9937</v>
      </c>
      <c r="AB498" t="s">
        <v>889</v>
      </c>
      <c r="AC498" t="str">
        <f>HYPERLINK("plots/20251231000436_3FT6Y121H01_04823_B11P_N_UFLEX98_M5358A8BH101511/dpll_52084/txpa_54192.png","plot")</f>
        <v>plot</v>
      </c>
    </row>
    <row r="499" spans="1:29" hidden="1" x14ac:dyDescent="0.35">
      <c r="A499" t="s">
        <v>46</v>
      </c>
      <c r="B499">
        <v>52084</v>
      </c>
      <c r="C499" t="s">
        <v>52</v>
      </c>
      <c r="D499">
        <v>54193</v>
      </c>
      <c r="E499" t="s">
        <v>213</v>
      </c>
      <c r="F499">
        <v>8710</v>
      </c>
      <c r="G499">
        <v>0.4939940058414044</v>
      </c>
      <c r="H499">
        <v>0</v>
      </c>
      <c r="I499">
        <v>0</v>
      </c>
      <c r="J499">
        <v>0.34675284762669362</v>
      </c>
      <c r="K499">
        <v>1.440975714454875E-244</v>
      </c>
      <c r="L499">
        <v>2.4271584293309681E-244</v>
      </c>
      <c r="M499">
        <v>0.23564404978626591</v>
      </c>
      <c r="N499">
        <v>1.5287764972446929E-238</v>
      </c>
      <c r="O499">
        <v>2.549637118760064E-238</v>
      </c>
      <c r="P499">
        <v>0.24403007780723751</v>
      </c>
      <c r="Q499">
        <v>1.1432411132521649</v>
      </c>
      <c r="R499">
        <v>0.72244839145612261</v>
      </c>
      <c r="S499">
        <v>0.25014671467772759</v>
      </c>
      <c r="T499">
        <v>0.1908085231105886</v>
      </c>
      <c r="U499">
        <v>4.3171818833524682</v>
      </c>
      <c r="V499">
        <v>0.12432295447971151</v>
      </c>
      <c r="W499">
        <v>5.6580282138920781</v>
      </c>
      <c r="X499">
        <v>0.28771829455723069</v>
      </c>
      <c r="Z499" t="s">
        <v>392</v>
      </c>
      <c r="AA499">
        <v>9937</v>
      </c>
      <c r="AB499" t="s">
        <v>890</v>
      </c>
      <c r="AC499" t="str">
        <f>HYPERLINK("plots/20251231000436_3FT6Y121H01_04823_B11P_N_UFLEX98_M5358A8BH101511/dpll_52084/txpa_54193.png","plot")</f>
        <v>plot</v>
      </c>
    </row>
    <row r="500" spans="1:29" hidden="1" x14ac:dyDescent="0.35">
      <c r="A500" t="s">
        <v>46</v>
      </c>
      <c r="B500">
        <v>52084</v>
      </c>
      <c r="C500" t="s">
        <v>52</v>
      </c>
      <c r="D500">
        <v>54194</v>
      </c>
      <c r="E500" t="s">
        <v>214</v>
      </c>
      <c r="F500">
        <v>8716</v>
      </c>
      <c r="G500">
        <v>0.37417823061520789</v>
      </c>
      <c r="H500">
        <v>8.8637633762780626E-288</v>
      </c>
      <c r="I500">
        <v>1.146410212186984E-287</v>
      </c>
      <c r="J500">
        <v>0.31733747637329091</v>
      </c>
      <c r="K500">
        <v>3.8521154020106578E-203</v>
      </c>
      <c r="L500">
        <v>5.7867333594648993E-203</v>
      </c>
      <c r="M500">
        <v>0.21817488426348791</v>
      </c>
      <c r="N500">
        <v>6.3143205401120614E-205</v>
      </c>
      <c r="O500">
        <v>9.5278586721333775E-205</v>
      </c>
      <c r="P500">
        <v>0.14000934826632769</v>
      </c>
      <c r="Q500">
        <v>0.9495083655411598</v>
      </c>
      <c r="R500">
        <v>0.99632953196064467</v>
      </c>
      <c r="S500">
        <v>0.29318928659930232</v>
      </c>
      <c r="T500">
        <v>0.2155254590519404</v>
      </c>
      <c r="U500">
        <v>4.3169497564249664</v>
      </c>
      <c r="V500">
        <v>0.1245965072716559</v>
      </c>
      <c r="W500">
        <v>5.0953094393070222</v>
      </c>
      <c r="X500">
        <v>0.31617399488242398</v>
      </c>
      <c r="Z500" t="s">
        <v>392</v>
      </c>
      <c r="AA500">
        <v>9937</v>
      </c>
      <c r="AB500" t="s">
        <v>891</v>
      </c>
      <c r="AC500" t="str">
        <f>HYPERLINK("plots/20251231000436_3FT6Y121H01_04823_B11P_N_UFLEX98_M5358A8BH101511/dpll_52084/txpa_54194.png","plot")</f>
        <v>plot</v>
      </c>
    </row>
    <row r="501" spans="1:29" hidden="1" x14ac:dyDescent="0.35">
      <c r="A501" t="s">
        <v>46</v>
      </c>
      <c r="B501">
        <v>52084</v>
      </c>
      <c r="C501" t="s">
        <v>52</v>
      </c>
      <c r="D501">
        <v>54195</v>
      </c>
      <c r="E501" t="s">
        <v>215</v>
      </c>
      <c r="F501">
        <v>8716</v>
      </c>
      <c r="G501">
        <v>0.40102044648213259</v>
      </c>
      <c r="H501">
        <v>0</v>
      </c>
      <c r="I501">
        <v>0</v>
      </c>
      <c r="J501">
        <v>0.33465832724355921</v>
      </c>
      <c r="K501">
        <v>4.4691071566812878E-227</v>
      </c>
      <c r="L501">
        <v>7.1029383336596017E-227</v>
      </c>
      <c r="M501">
        <v>0.23056522753545999</v>
      </c>
      <c r="N501">
        <v>1.282923720168936E-228</v>
      </c>
      <c r="O501">
        <v>2.0583617915368691E-228</v>
      </c>
      <c r="P501">
        <v>0.16081739849672899</v>
      </c>
      <c r="Q501">
        <v>1.014293887520461</v>
      </c>
      <c r="R501">
        <v>2.874822365662983</v>
      </c>
      <c r="S501">
        <v>0.28867320955136933</v>
      </c>
      <c r="T501">
        <v>0.2059027403746122</v>
      </c>
      <c r="U501">
        <v>4.3169497564249664</v>
      </c>
      <c r="V501">
        <v>0.1245965072716559</v>
      </c>
      <c r="W501">
        <v>7.25347811633777</v>
      </c>
      <c r="X501">
        <v>0.31513973125475009</v>
      </c>
      <c r="Z501" t="s">
        <v>392</v>
      </c>
      <c r="AA501">
        <v>9937</v>
      </c>
      <c r="AB501" t="s">
        <v>892</v>
      </c>
      <c r="AC501" t="str">
        <f>HYPERLINK("plots/20251231000436_3FT6Y121H01_04823_B11P_N_UFLEX98_M5358A8BH101511/dpll_52084/txpa_54195.png","plot")</f>
        <v>plot</v>
      </c>
    </row>
    <row r="502" spans="1:29" hidden="1" x14ac:dyDescent="0.35">
      <c r="A502" t="s">
        <v>46</v>
      </c>
      <c r="B502">
        <v>52084</v>
      </c>
      <c r="C502" t="s">
        <v>52</v>
      </c>
      <c r="D502">
        <v>54196</v>
      </c>
      <c r="E502" t="s">
        <v>216</v>
      </c>
      <c r="F502">
        <v>8710</v>
      </c>
      <c r="G502">
        <v>0.49122657246619073</v>
      </c>
      <c r="H502">
        <v>0</v>
      </c>
      <c r="I502">
        <v>0</v>
      </c>
      <c r="J502">
        <v>0.39981011021755358</v>
      </c>
      <c r="K502">
        <v>0</v>
      </c>
      <c r="L502">
        <v>0</v>
      </c>
      <c r="M502">
        <v>0.27613567171445852</v>
      </c>
      <c r="N502">
        <v>0</v>
      </c>
      <c r="O502">
        <v>0</v>
      </c>
      <c r="P502">
        <v>0.24130354549688171</v>
      </c>
      <c r="Q502">
        <v>1.221564403505367</v>
      </c>
      <c r="R502">
        <v>2.2297330472919801</v>
      </c>
      <c r="S502">
        <v>0.26931659543427938</v>
      </c>
      <c r="T502">
        <v>0.19799504189658201</v>
      </c>
      <c r="U502">
        <v>4.3171719654420206</v>
      </c>
      <c r="V502">
        <v>0.12434247377477151</v>
      </c>
      <c r="W502">
        <v>7.5034366440872562</v>
      </c>
      <c r="X502">
        <v>0.3092103487897423</v>
      </c>
      <c r="Z502" t="s">
        <v>392</v>
      </c>
      <c r="AA502">
        <v>9937</v>
      </c>
      <c r="AB502" t="s">
        <v>893</v>
      </c>
      <c r="AC502" t="str">
        <f>HYPERLINK("plots/20251231000436_3FT6Y121H01_04823_B11P_N_UFLEX98_M5358A8BH101511/dpll_52084/txpa_54196.png","plot")</f>
        <v>plot</v>
      </c>
    </row>
    <row r="503" spans="1:29" hidden="1" x14ac:dyDescent="0.35">
      <c r="A503" t="s">
        <v>46</v>
      </c>
      <c r="B503">
        <v>52084</v>
      </c>
      <c r="C503" t="s">
        <v>52</v>
      </c>
      <c r="D503">
        <v>54197</v>
      </c>
      <c r="E503" t="s">
        <v>217</v>
      </c>
      <c r="F503">
        <v>8695</v>
      </c>
      <c r="G503">
        <v>0.49471737656523218</v>
      </c>
      <c r="H503">
        <v>0</v>
      </c>
      <c r="I503">
        <v>0</v>
      </c>
      <c r="J503">
        <v>0.39942143053301121</v>
      </c>
      <c r="K503">
        <v>0</v>
      </c>
      <c r="L503">
        <v>0</v>
      </c>
      <c r="M503">
        <v>0.27555360746699259</v>
      </c>
      <c r="N503">
        <v>0</v>
      </c>
      <c r="O503">
        <v>0</v>
      </c>
      <c r="P503">
        <v>0.24474528267558571</v>
      </c>
      <c r="Q503">
        <v>1.2546368333502429</v>
      </c>
      <c r="R503">
        <v>2.283475317531269</v>
      </c>
      <c r="S503">
        <v>0.27215082432985471</v>
      </c>
      <c r="T503">
        <v>0.19557883867208739</v>
      </c>
      <c r="U503">
        <v>4.3178031317998844</v>
      </c>
      <c r="V503">
        <v>0.1234886485168409</v>
      </c>
      <c r="W503">
        <v>7.7007501658424378</v>
      </c>
      <c r="X503">
        <v>0.31317559129528838</v>
      </c>
      <c r="Z503" t="s">
        <v>392</v>
      </c>
      <c r="AA503">
        <v>9937</v>
      </c>
      <c r="AB503" t="s">
        <v>894</v>
      </c>
      <c r="AC503" t="str">
        <f>HYPERLINK("plots/20251231000436_3FT6Y121H01_04823_B11P_N_UFLEX98_M5358A8BH101511/dpll_52084/txpa_54197.png","plot")</f>
        <v>plot</v>
      </c>
    </row>
    <row r="504" spans="1:29" hidden="1" x14ac:dyDescent="0.35">
      <c r="A504" t="s">
        <v>46</v>
      </c>
      <c r="B504">
        <v>52084</v>
      </c>
      <c r="C504" t="s">
        <v>52</v>
      </c>
      <c r="D504">
        <v>54198</v>
      </c>
      <c r="E504" t="s">
        <v>218</v>
      </c>
      <c r="F504">
        <v>8705</v>
      </c>
      <c r="G504">
        <v>0.51835465939754566</v>
      </c>
      <c r="H504">
        <v>0</v>
      </c>
      <c r="I504">
        <v>0</v>
      </c>
      <c r="J504">
        <v>0.4130046450692218</v>
      </c>
      <c r="K504">
        <v>0</v>
      </c>
      <c r="L504">
        <v>0</v>
      </c>
      <c r="M504">
        <v>0.28611065804172769</v>
      </c>
      <c r="N504">
        <v>0</v>
      </c>
      <c r="O504">
        <v>0</v>
      </c>
      <c r="P504">
        <v>0.26869155291914559</v>
      </c>
      <c r="Q504">
        <v>1.2660987726101249</v>
      </c>
      <c r="R504">
        <v>2.0057909922577339</v>
      </c>
      <c r="S504">
        <v>0.25913352162754671</v>
      </c>
      <c r="T504">
        <v>0.19035890219671189</v>
      </c>
      <c r="U504">
        <v>4.3173803278575544</v>
      </c>
      <c r="V504">
        <v>0.12406739617135119</v>
      </c>
      <c r="W504">
        <v>7.4720209262492823</v>
      </c>
      <c r="X504">
        <v>0.30303880782329401</v>
      </c>
      <c r="Z504" t="s">
        <v>392</v>
      </c>
      <c r="AA504">
        <v>9937</v>
      </c>
      <c r="AB504" t="s">
        <v>895</v>
      </c>
      <c r="AC504" t="str">
        <f>HYPERLINK("plots/20251231000436_3FT6Y121H01_04823_B11P_N_UFLEX98_M5358A8BH101511/dpll_52084/txpa_54198.png","plot")</f>
        <v>plot</v>
      </c>
    </row>
    <row r="505" spans="1:29" hidden="1" x14ac:dyDescent="0.35">
      <c r="A505" t="s">
        <v>46</v>
      </c>
      <c r="B505">
        <v>52084</v>
      </c>
      <c r="C505" t="s">
        <v>52</v>
      </c>
      <c r="D505">
        <v>54199</v>
      </c>
      <c r="E505" t="s">
        <v>219</v>
      </c>
      <c r="F505">
        <v>8693</v>
      </c>
      <c r="G505">
        <v>0.52328738029674993</v>
      </c>
      <c r="H505">
        <v>0</v>
      </c>
      <c r="I505">
        <v>0</v>
      </c>
      <c r="J505">
        <v>0.40797494086499092</v>
      </c>
      <c r="K505">
        <v>0</v>
      </c>
      <c r="L505">
        <v>0</v>
      </c>
      <c r="M505">
        <v>0.28141838305263062</v>
      </c>
      <c r="N505">
        <v>0</v>
      </c>
      <c r="O505">
        <v>0</v>
      </c>
      <c r="P505">
        <v>0.27382968237783539</v>
      </c>
      <c r="Q505">
        <v>1.211015048343933</v>
      </c>
      <c r="R505">
        <v>2.4006398907295399</v>
      </c>
      <c r="S505">
        <v>0.24350436118161889</v>
      </c>
      <c r="T505">
        <v>0.17615751954302369</v>
      </c>
      <c r="U505">
        <v>4.3178555151271141</v>
      </c>
      <c r="V505">
        <v>0.1234818705866061</v>
      </c>
      <c r="W505">
        <v>7.6296278961233179</v>
      </c>
      <c r="X505">
        <v>0.28576726500309751</v>
      </c>
      <c r="Z505" t="s">
        <v>392</v>
      </c>
      <c r="AA505">
        <v>9937</v>
      </c>
      <c r="AB505" t="s">
        <v>896</v>
      </c>
      <c r="AC505" t="str">
        <f>HYPERLINK("plots/20251231000436_3FT6Y121H01_04823_B11P_N_UFLEX98_M5358A8BH101511/dpll_52084/txpa_54199.png","plot")</f>
        <v>plot</v>
      </c>
    </row>
    <row r="506" spans="1:29" hidden="1" x14ac:dyDescent="0.35">
      <c r="A506" t="s">
        <v>46</v>
      </c>
      <c r="B506">
        <v>52084</v>
      </c>
      <c r="C506" t="s">
        <v>52</v>
      </c>
      <c r="D506">
        <v>54200</v>
      </c>
      <c r="E506" t="s">
        <v>220</v>
      </c>
      <c r="F506">
        <v>8692</v>
      </c>
      <c r="G506">
        <v>0.53735550593710002</v>
      </c>
      <c r="H506">
        <v>0</v>
      </c>
      <c r="I506">
        <v>0</v>
      </c>
      <c r="J506">
        <v>0.43039732544811249</v>
      </c>
      <c r="K506">
        <v>0</v>
      </c>
      <c r="L506">
        <v>0</v>
      </c>
      <c r="M506">
        <v>0.2993874397548989</v>
      </c>
      <c r="N506">
        <v>0</v>
      </c>
      <c r="O506">
        <v>0</v>
      </c>
      <c r="P506">
        <v>0.28875093976091681</v>
      </c>
      <c r="Q506">
        <v>1.1917918525923921</v>
      </c>
      <c r="R506">
        <v>2.4161835558831521</v>
      </c>
      <c r="S506">
        <v>0.2307318491391557</v>
      </c>
      <c r="T506">
        <v>0.1655461977146481</v>
      </c>
      <c r="U506">
        <v>4.3179178217901519</v>
      </c>
      <c r="V506">
        <v>0.1233624451056349</v>
      </c>
      <c r="W506">
        <v>7.5622428360561438</v>
      </c>
      <c r="X506">
        <v>0.27360351828232982</v>
      </c>
      <c r="Z506" t="s">
        <v>392</v>
      </c>
      <c r="AA506">
        <v>9937</v>
      </c>
      <c r="AB506" t="s">
        <v>897</v>
      </c>
      <c r="AC506" t="str">
        <f>HYPERLINK("plots/20251231000436_3FT6Y121H01_04823_B11P_N_UFLEX98_M5358A8BH101511/dpll_52084/txpa_54200.png","plot")</f>
        <v>plot</v>
      </c>
    </row>
    <row r="507" spans="1:29" hidden="1" x14ac:dyDescent="0.35">
      <c r="A507" t="s">
        <v>46</v>
      </c>
      <c r="B507">
        <v>52084</v>
      </c>
      <c r="C507" t="s">
        <v>52</v>
      </c>
      <c r="D507">
        <v>54201</v>
      </c>
      <c r="E507" t="s">
        <v>221</v>
      </c>
      <c r="F507">
        <v>8692</v>
      </c>
      <c r="G507">
        <v>0.5138499641775498</v>
      </c>
      <c r="H507">
        <v>0</v>
      </c>
      <c r="I507">
        <v>0</v>
      </c>
      <c r="J507">
        <v>0.39107261619402728</v>
      </c>
      <c r="K507">
        <v>0</v>
      </c>
      <c r="L507">
        <v>0</v>
      </c>
      <c r="M507">
        <v>0.2688576755063159</v>
      </c>
      <c r="N507">
        <v>0</v>
      </c>
      <c r="O507">
        <v>0</v>
      </c>
      <c r="P507">
        <v>0.2640417856852692</v>
      </c>
      <c r="Q507">
        <v>1.211026865528364</v>
      </c>
      <c r="R507">
        <v>2.458120610082636</v>
      </c>
      <c r="S507">
        <v>0.24927649026773011</v>
      </c>
      <c r="T507">
        <v>0.18245660977037051</v>
      </c>
      <c r="U507">
        <v>4.3179379214219979</v>
      </c>
      <c r="V507">
        <v>0.1232997737225075</v>
      </c>
      <c r="W507">
        <v>7.6872594366083771</v>
      </c>
      <c r="X507">
        <v>0.29058937219256242</v>
      </c>
      <c r="Z507" t="s">
        <v>392</v>
      </c>
      <c r="AA507">
        <v>9937</v>
      </c>
      <c r="AB507" t="s">
        <v>898</v>
      </c>
      <c r="AC507" t="str">
        <f>HYPERLINK("plots/20251231000436_3FT6Y121H01_04823_B11P_N_UFLEX98_M5358A8BH101511/dpll_52084/txpa_54201.png","plot")</f>
        <v>plot</v>
      </c>
    </row>
    <row r="508" spans="1:29" hidden="1" x14ac:dyDescent="0.35">
      <c r="A508" t="s">
        <v>46</v>
      </c>
      <c r="B508">
        <v>52084</v>
      </c>
      <c r="C508" t="s">
        <v>52</v>
      </c>
      <c r="D508">
        <v>54202</v>
      </c>
      <c r="E508" t="s">
        <v>222</v>
      </c>
      <c r="F508">
        <v>8714</v>
      </c>
      <c r="G508">
        <v>0.42768465644316228</v>
      </c>
      <c r="H508">
        <v>0</v>
      </c>
      <c r="I508">
        <v>0</v>
      </c>
      <c r="J508">
        <v>0.34259012245312059</v>
      </c>
      <c r="K508">
        <v>1.6329556924903832E-238</v>
      </c>
      <c r="L508">
        <v>2.69677047587174E-238</v>
      </c>
      <c r="M508">
        <v>0.23710560179340129</v>
      </c>
      <c r="N508">
        <v>1.3537091779910829E-241</v>
      </c>
      <c r="O508">
        <v>2.2763865779153531E-241</v>
      </c>
      <c r="P508">
        <v>0.1829141653569058</v>
      </c>
      <c r="Q508">
        <v>1.0666849767451561</v>
      </c>
      <c r="R508">
        <v>2.607852567099862</v>
      </c>
      <c r="S508">
        <v>0.2807117001395692</v>
      </c>
      <c r="T508">
        <v>0.2044301648498815</v>
      </c>
      <c r="U508">
        <v>4.3170215414275876</v>
      </c>
      <c r="V508">
        <v>0.1245199925208704</v>
      </c>
      <c r="W508">
        <v>7.2127545896258889</v>
      </c>
      <c r="X508">
        <v>0.31056434530772892</v>
      </c>
      <c r="Z508" t="s">
        <v>392</v>
      </c>
      <c r="AA508">
        <v>9937</v>
      </c>
      <c r="AB508" t="s">
        <v>899</v>
      </c>
      <c r="AC508" t="str">
        <f>HYPERLINK("plots/20251231000436_3FT6Y121H01_04823_B11P_N_UFLEX98_M5358A8BH101511/dpll_52084/txpa_54202.png","plot")</f>
        <v>plot</v>
      </c>
    </row>
    <row r="509" spans="1:29" hidden="1" x14ac:dyDescent="0.35">
      <c r="A509" t="s">
        <v>46</v>
      </c>
      <c r="B509">
        <v>52084</v>
      </c>
      <c r="C509" t="s">
        <v>52</v>
      </c>
      <c r="D509">
        <v>54203</v>
      </c>
      <c r="E509" t="s">
        <v>223</v>
      </c>
      <c r="F509">
        <v>8715</v>
      </c>
      <c r="G509">
        <v>0.42614897739120827</v>
      </c>
      <c r="H509">
        <v>0</v>
      </c>
      <c r="I509">
        <v>0</v>
      </c>
      <c r="J509">
        <v>0.35111166561114188</v>
      </c>
      <c r="K509">
        <v>2.8900637043618618E-251</v>
      </c>
      <c r="L509">
        <v>4.9418627255024087E-251</v>
      </c>
      <c r="M509">
        <v>0.24267564035610459</v>
      </c>
      <c r="N509">
        <v>5.2391224112237828E-253</v>
      </c>
      <c r="O509">
        <v>9.0811455127878908E-253</v>
      </c>
      <c r="P509">
        <v>0.18160295093157261</v>
      </c>
      <c r="Q509">
        <v>1.0924183651891359</v>
      </c>
      <c r="R509">
        <v>3.4549966729179258</v>
      </c>
      <c r="S509">
        <v>0.28889632413596089</v>
      </c>
      <c r="T509">
        <v>0.2034844564177995</v>
      </c>
      <c r="U509">
        <v>4.3169742947791159</v>
      </c>
      <c r="V509">
        <v>0.1245825926204399</v>
      </c>
      <c r="W509">
        <v>8.1709386745840504</v>
      </c>
      <c r="X509">
        <v>0.31936322596524158</v>
      </c>
      <c r="Z509" t="s">
        <v>392</v>
      </c>
      <c r="AA509">
        <v>9937</v>
      </c>
      <c r="AB509" t="s">
        <v>900</v>
      </c>
      <c r="AC509" t="str">
        <f>HYPERLINK("plots/20251231000436_3FT6Y121H01_04823_B11P_N_UFLEX98_M5358A8BH101511/dpll_52084/txpa_54203.png","plot")</f>
        <v>plot</v>
      </c>
    </row>
    <row r="510" spans="1:29" hidden="1" x14ac:dyDescent="0.35">
      <c r="A510" t="s">
        <v>46</v>
      </c>
      <c r="B510">
        <v>52084</v>
      </c>
      <c r="C510" t="s">
        <v>52</v>
      </c>
      <c r="D510">
        <v>54204</v>
      </c>
      <c r="E510" t="s">
        <v>224</v>
      </c>
      <c r="F510">
        <v>8704</v>
      </c>
      <c r="G510">
        <v>0.49839744017641469</v>
      </c>
      <c r="H510">
        <v>0</v>
      </c>
      <c r="I510">
        <v>0</v>
      </c>
      <c r="J510">
        <v>0.41429130476496018</v>
      </c>
      <c r="K510">
        <v>0</v>
      </c>
      <c r="L510">
        <v>0</v>
      </c>
      <c r="M510">
        <v>0.28779795622866411</v>
      </c>
      <c r="N510">
        <v>0</v>
      </c>
      <c r="O510">
        <v>0</v>
      </c>
      <c r="P510">
        <v>0.2484000083744029</v>
      </c>
      <c r="Q510">
        <v>1.274849287696932</v>
      </c>
      <c r="R510">
        <v>2.8905186962521792</v>
      </c>
      <c r="S510">
        <v>0.2750614140472683</v>
      </c>
      <c r="T510">
        <v>0.1979147976655862</v>
      </c>
      <c r="U510">
        <v>4.3174101399356619</v>
      </c>
      <c r="V510">
        <v>0.1240446947863605</v>
      </c>
      <c r="W510">
        <v>8.3945659378446678</v>
      </c>
      <c r="X510">
        <v>0.31729354535809767</v>
      </c>
      <c r="Z510" t="s">
        <v>392</v>
      </c>
      <c r="AA510">
        <v>9937</v>
      </c>
      <c r="AB510" t="s">
        <v>901</v>
      </c>
      <c r="AC510" t="str">
        <f>HYPERLINK("plots/20251231000436_3FT6Y121H01_04823_B11P_N_UFLEX98_M5358A8BH101511/dpll_52084/txpa_54204.png","plot")</f>
        <v>plot</v>
      </c>
    </row>
    <row r="511" spans="1:29" hidden="1" x14ac:dyDescent="0.35">
      <c r="A511" t="s">
        <v>46</v>
      </c>
      <c r="B511">
        <v>52084</v>
      </c>
      <c r="C511" t="s">
        <v>52</v>
      </c>
      <c r="D511">
        <v>54205</v>
      </c>
      <c r="E511" t="s">
        <v>225</v>
      </c>
      <c r="F511">
        <v>8675</v>
      </c>
      <c r="G511">
        <v>0.48763099039233182</v>
      </c>
      <c r="H511">
        <v>0</v>
      </c>
      <c r="I511">
        <v>0</v>
      </c>
      <c r="J511">
        <v>0.41874589243190308</v>
      </c>
      <c r="K511">
        <v>0</v>
      </c>
      <c r="L511">
        <v>0</v>
      </c>
      <c r="M511">
        <v>0.29154511464853777</v>
      </c>
      <c r="N511">
        <v>0</v>
      </c>
      <c r="O511">
        <v>0</v>
      </c>
      <c r="P511">
        <v>0.23778398279100629</v>
      </c>
      <c r="Q511">
        <v>1.264249777554427</v>
      </c>
      <c r="R511">
        <v>3.1041535344038871</v>
      </c>
      <c r="S511">
        <v>0.27636178593010641</v>
      </c>
      <c r="T511">
        <v>0.19329216073833691</v>
      </c>
      <c r="U511">
        <v>4.3187148101440922</v>
      </c>
      <c r="V511">
        <v>0.1221018940007088</v>
      </c>
      <c r="W511">
        <v>8.5640877724495663</v>
      </c>
      <c r="X511">
        <v>0.31656579538796659</v>
      </c>
      <c r="Z511" t="s">
        <v>392</v>
      </c>
      <c r="AA511">
        <v>9937</v>
      </c>
      <c r="AB511" t="s">
        <v>902</v>
      </c>
      <c r="AC511" t="str">
        <f>HYPERLINK("plots/20251231000436_3FT6Y121H01_04823_B11P_N_UFLEX98_M5358A8BH101511/dpll_52084/txpa_54205.png","plot")</f>
        <v>plot</v>
      </c>
    </row>
    <row r="512" spans="1:29" hidden="1" x14ac:dyDescent="0.35">
      <c r="A512" t="s">
        <v>46</v>
      </c>
      <c r="B512">
        <v>52084</v>
      </c>
      <c r="C512" t="s">
        <v>52</v>
      </c>
      <c r="D512">
        <v>54206</v>
      </c>
      <c r="E512" t="s">
        <v>226</v>
      </c>
      <c r="F512">
        <v>8696</v>
      </c>
      <c r="G512">
        <v>0.52197928578851482</v>
      </c>
      <c r="H512">
        <v>0</v>
      </c>
      <c r="I512">
        <v>0</v>
      </c>
      <c r="J512">
        <v>0.42745483336261042</v>
      </c>
      <c r="K512">
        <v>0</v>
      </c>
      <c r="L512">
        <v>0</v>
      </c>
      <c r="M512">
        <v>0.29818664848111798</v>
      </c>
      <c r="N512">
        <v>0</v>
      </c>
      <c r="O512">
        <v>0</v>
      </c>
      <c r="P512">
        <v>0.27246237479228802</v>
      </c>
      <c r="Q512">
        <v>1.310593410685799</v>
      </c>
      <c r="R512">
        <v>2.7044330810121902</v>
      </c>
      <c r="S512">
        <v>0.26472857653949261</v>
      </c>
      <c r="T512">
        <v>0.1902692557127654</v>
      </c>
      <c r="U512">
        <v>4.3177374024839006</v>
      </c>
      <c r="V512">
        <v>0.12361846781337971</v>
      </c>
      <c r="W512">
        <v>8.3632312697792095</v>
      </c>
      <c r="X512">
        <v>0.31038310095111982</v>
      </c>
      <c r="Z512" t="s">
        <v>392</v>
      </c>
      <c r="AA512">
        <v>9937</v>
      </c>
      <c r="AB512" t="s">
        <v>903</v>
      </c>
      <c r="AC512" t="str">
        <f>HYPERLINK("plots/20251231000436_3FT6Y121H01_04823_B11P_N_UFLEX98_M5358A8BH101511/dpll_52084/txpa_54206.png","plot")</f>
        <v>plot</v>
      </c>
    </row>
    <row r="513" spans="1:29" hidden="1" x14ac:dyDescent="0.35">
      <c r="A513" t="s">
        <v>46</v>
      </c>
      <c r="B513">
        <v>52084</v>
      </c>
      <c r="C513" t="s">
        <v>52</v>
      </c>
      <c r="D513">
        <v>54207</v>
      </c>
      <c r="E513" t="s">
        <v>227</v>
      </c>
      <c r="F513">
        <v>8678</v>
      </c>
      <c r="G513">
        <v>0.51914647563254657</v>
      </c>
      <c r="H513">
        <v>0</v>
      </c>
      <c r="I513">
        <v>0</v>
      </c>
      <c r="J513">
        <v>0.42333751103787037</v>
      </c>
      <c r="K513">
        <v>0</v>
      </c>
      <c r="L513">
        <v>0</v>
      </c>
      <c r="M513">
        <v>0.29451307634556301</v>
      </c>
      <c r="N513">
        <v>0</v>
      </c>
      <c r="O513">
        <v>0</v>
      </c>
      <c r="P513">
        <v>0.26951306316169432</v>
      </c>
      <c r="Q513">
        <v>1.2459617681252979</v>
      </c>
      <c r="R513">
        <v>3.1291774630630562</v>
      </c>
      <c r="S513">
        <v>0.25080148954052128</v>
      </c>
      <c r="T513">
        <v>0.1767133075442813</v>
      </c>
      <c r="U513">
        <v>4.318590476953216</v>
      </c>
      <c r="V513">
        <v>0.1222739951222661</v>
      </c>
      <c r="W513">
        <v>8.5099760895367602</v>
      </c>
      <c r="X513">
        <v>0.2934599969549167</v>
      </c>
      <c r="Z513" t="s">
        <v>392</v>
      </c>
      <c r="AA513">
        <v>9937</v>
      </c>
      <c r="AB513" t="s">
        <v>904</v>
      </c>
      <c r="AC513" t="str">
        <f>HYPERLINK("plots/20251231000436_3FT6Y121H01_04823_B11P_N_UFLEX98_M5358A8BH101511/dpll_52084/txpa_54207.png","plot")</f>
        <v>plot</v>
      </c>
    </row>
    <row r="514" spans="1:29" hidden="1" x14ac:dyDescent="0.35">
      <c r="A514" t="s">
        <v>46</v>
      </c>
      <c r="B514">
        <v>52084</v>
      </c>
      <c r="C514" t="s">
        <v>52</v>
      </c>
      <c r="D514">
        <v>54208</v>
      </c>
      <c r="E514" t="s">
        <v>228</v>
      </c>
      <c r="F514">
        <v>8684</v>
      </c>
      <c r="G514">
        <v>0.53618933687572101</v>
      </c>
      <c r="H514">
        <v>0</v>
      </c>
      <c r="I514">
        <v>0</v>
      </c>
      <c r="J514">
        <v>0.44470916970794738</v>
      </c>
      <c r="K514">
        <v>0</v>
      </c>
      <c r="L514">
        <v>0</v>
      </c>
      <c r="M514">
        <v>0.31235517053584883</v>
      </c>
      <c r="N514">
        <v>0</v>
      </c>
      <c r="O514">
        <v>0</v>
      </c>
      <c r="P514">
        <v>0.28749900497922543</v>
      </c>
      <c r="Q514">
        <v>1.241610294702477</v>
      </c>
      <c r="R514">
        <v>3.082166396612001</v>
      </c>
      <c r="S514">
        <v>0.23986503335286091</v>
      </c>
      <c r="T514">
        <v>0.16771926296303491</v>
      </c>
      <c r="U514">
        <v>4.3183086437125748</v>
      </c>
      <c r="V514">
        <v>0.12272472854157609</v>
      </c>
      <c r="W514">
        <v>8.4438228643482258</v>
      </c>
      <c r="X514">
        <v>0.28418373117909651</v>
      </c>
      <c r="Z514" t="s">
        <v>392</v>
      </c>
      <c r="AA514">
        <v>9937</v>
      </c>
      <c r="AB514" t="s">
        <v>905</v>
      </c>
      <c r="AC514" t="str">
        <f>HYPERLINK("plots/20251231000436_3FT6Y121H01_04823_B11P_N_UFLEX98_M5358A8BH101511/dpll_52084/txpa_54208.png","plot")</f>
        <v>plot</v>
      </c>
    </row>
    <row r="515" spans="1:29" hidden="1" x14ac:dyDescent="0.35">
      <c r="A515" t="s">
        <v>46</v>
      </c>
      <c r="B515">
        <v>52084</v>
      </c>
      <c r="C515" t="s">
        <v>52</v>
      </c>
      <c r="D515">
        <v>54209</v>
      </c>
      <c r="E515" t="s">
        <v>229</v>
      </c>
      <c r="F515">
        <v>8664</v>
      </c>
      <c r="G515">
        <v>0.49976359296087142</v>
      </c>
      <c r="H515">
        <v>0</v>
      </c>
      <c r="I515">
        <v>0</v>
      </c>
      <c r="J515">
        <v>0.40855219936647441</v>
      </c>
      <c r="K515">
        <v>0</v>
      </c>
      <c r="L515">
        <v>0</v>
      </c>
      <c r="M515">
        <v>0.28313714728981437</v>
      </c>
      <c r="N515">
        <v>0</v>
      </c>
      <c r="O515">
        <v>0</v>
      </c>
      <c r="P515">
        <v>0.24976364884915961</v>
      </c>
      <c r="Q515">
        <v>1.197489739957919</v>
      </c>
      <c r="R515">
        <v>3.387698640115135</v>
      </c>
      <c r="S515">
        <v>0.25147838380735582</v>
      </c>
      <c r="T515">
        <v>0.17921387941085501</v>
      </c>
      <c r="U515">
        <v>4.3192675203139421</v>
      </c>
      <c r="V515">
        <v>0.1211768022754238</v>
      </c>
      <c r="W515">
        <v>8.5599771798245623</v>
      </c>
      <c r="X515">
        <v>0.29035323799004809</v>
      </c>
      <c r="Z515" t="s">
        <v>392</v>
      </c>
      <c r="AA515">
        <v>9937</v>
      </c>
      <c r="AB515" t="s">
        <v>906</v>
      </c>
      <c r="AC515" t="str">
        <f>HYPERLINK("plots/20251231000436_3FT6Y121H01_04823_B11P_N_UFLEX98_M5358A8BH101511/dpll_52084/txpa_54209.png","plot")</f>
        <v>plot</v>
      </c>
    </row>
    <row r="516" spans="1:29" hidden="1" x14ac:dyDescent="0.35">
      <c r="A516" t="s">
        <v>46</v>
      </c>
      <c r="B516">
        <v>52084</v>
      </c>
      <c r="C516" t="s">
        <v>52</v>
      </c>
      <c r="D516">
        <v>54210</v>
      </c>
      <c r="E516" t="s">
        <v>230</v>
      </c>
      <c r="F516">
        <v>8712</v>
      </c>
      <c r="G516">
        <v>0.45117501604580801</v>
      </c>
      <c r="H516">
        <v>0</v>
      </c>
      <c r="I516">
        <v>0</v>
      </c>
      <c r="J516">
        <v>0.35336845657055171</v>
      </c>
      <c r="K516">
        <v>1.291157351273182E-254</v>
      </c>
      <c r="L516">
        <v>2.2380060755401819E-254</v>
      </c>
      <c r="M516">
        <v>0.24484798133920549</v>
      </c>
      <c r="N516">
        <v>1.976073223641878E-257</v>
      </c>
      <c r="O516">
        <v>3.5030388964560547E-257</v>
      </c>
      <c r="P516">
        <v>0.2035588951039351</v>
      </c>
      <c r="Q516">
        <v>1.128668246019038</v>
      </c>
      <c r="R516">
        <v>3.2627066375309242</v>
      </c>
      <c r="S516">
        <v>0.27774423474431098</v>
      </c>
      <c r="T516">
        <v>0.20101243693722301</v>
      </c>
      <c r="U516">
        <v>4.3171041759641868</v>
      </c>
      <c r="V516">
        <v>0.1244147530790896</v>
      </c>
      <c r="W516">
        <v>8.1352850356978887</v>
      </c>
      <c r="X516">
        <v>0.31123838010216959</v>
      </c>
      <c r="Z516" t="s">
        <v>392</v>
      </c>
      <c r="AA516">
        <v>9937</v>
      </c>
      <c r="AB516" t="s">
        <v>907</v>
      </c>
      <c r="AC516" t="str">
        <f>HYPERLINK("plots/20251231000436_3FT6Y121H01_04823_B11P_N_UFLEX98_M5358A8BH101511/dpll_52084/txpa_54210.png","plot")</f>
        <v>plot</v>
      </c>
    </row>
    <row r="517" spans="1:29" hidden="1" x14ac:dyDescent="0.35">
      <c r="A517" t="s">
        <v>46</v>
      </c>
      <c r="B517">
        <v>52084</v>
      </c>
      <c r="C517" t="s">
        <v>52</v>
      </c>
      <c r="D517">
        <v>54211</v>
      </c>
      <c r="E517" t="s">
        <v>231</v>
      </c>
      <c r="F517">
        <v>8707</v>
      </c>
      <c r="G517">
        <v>0.44427550640623581</v>
      </c>
      <c r="H517">
        <v>0</v>
      </c>
      <c r="I517">
        <v>0</v>
      </c>
      <c r="J517">
        <v>0.36892966287997342</v>
      </c>
      <c r="K517">
        <v>6.3409039256605757E-279</v>
      </c>
      <c r="L517">
        <v>1.1884799594491361E-278</v>
      </c>
      <c r="M517">
        <v>0.25577092160996828</v>
      </c>
      <c r="N517">
        <v>1.481793995855597E-280</v>
      </c>
      <c r="O517">
        <v>2.8137436550516381E-280</v>
      </c>
      <c r="P517">
        <v>0.19738072559251729</v>
      </c>
      <c r="Q517">
        <v>1.1641454931866519</v>
      </c>
      <c r="R517">
        <v>4.0216621729783624</v>
      </c>
      <c r="S517">
        <v>0.29151833339139782</v>
      </c>
      <c r="T517">
        <v>0.20243322531805319</v>
      </c>
      <c r="U517">
        <v>4.3172923595957267</v>
      </c>
      <c r="V517">
        <v>0.1241884281399914</v>
      </c>
      <c r="W517">
        <v>9.0476186161708956</v>
      </c>
      <c r="X517">
        <v>0.32541384082720681</v>
      </c>
      <c r="Z517" t="s">
        <v>392</v>
      </c>
      <c r="AA517">
        <v>9937</v>
      </c>
      <c r="AB517" t="s">
        <v>908</v>
      </c>
      <c r="AC517" t="str">
        <f>HYPERLINK("plots/20251231000436_3FT6Y121H01_04823_B11P_N_UFLEX98_M5358A8BH101511/dpll_52084/txpa_54211.png","plot")</f>
        <v>plot</v>
      </c>
    </row>
    <row r="518" spans="1:29" hidden="1" x14ac:dyDescent="0.35">
      <c r="A518" t="s">
        <v>46</v>
      </c>
      <c r="B518">
        <v>52084</v>
      </c>
      <c r="C518" t="s">
        <v>52</v>
      </c>
      <c r="D518">
        <v>54212</v>
      </c>
      <c r="E518" t="s">
        <v>232</v>
      </c>
      <c r="F518">
        <v>8689</v>
      </c>
      <c r="G518">
        <v>0.49944479852103402</v>
      </c>
      <c r="H518">
        <v>0</v>
      </c>
      <c r="I518">
        <v>0</v>
      </c>
      <c r="J518">
        <v>0.4302743373822534</v>
      </c>
      <c r="K518">
        <v>0</v>
      </c>
      <c r="L518">
        <v>0</v>
      </c>
      <c r="M518">
        <v>0.30133545429681319</v>
      </c>
      <c r="N518">
        <v>0</v>
      </c>
      <c r="O518">
        <v>0</v>
      </c>
      <c r="P518">
        <v>0.24944510676971621</v>
      </c>
      <c r="Q518">
        <v>1.323026497363669</v>
      </c>
      <c r="R518">
        <v>3.5267080787781242</v>
      </c>
      <c r="S518">
        <v>0.28291374423789639</v>
      </c>
      <c r="T518">
        <v>0.19855506985377311</v>
      </c>
      <c r="U518">
        <v>4.3179716839682358</v>
      </c>
      <c r="V518">
        <v>0.12328401250468771</v>
      </c>
      <c r="W518">
        <v>9.2394990315341232</v>
      </c>
      <c r="X518">
        <v>0.3265786644049844</v>
      </c>
      <c r="Z518" t="s">
        <v>392</v>
      </c>
      <c r="AA518">
        <v>9937</v>
      </c>
      <c r="AB518" t="s">
        <v>909</v>
      </c>
      <c r="AC518" t="str">
        <f>HYPERLINK("plots/20251231000436_3FT6Y121H01_04823_B11P_N_UFLEX98_M5358A8BH101511/dpll_52084/txpa_54212.png","plot")</f>
        <v>plot</v>
      </c>
    </row>
    <row r="519" spans="1:29" hidden="1" x14ac:dyDescent="0.35">
      <c r="A519" t="s">
        <v>46</v>
      </c>
      <c r="B519">
        <v>52084</v>
      </c>
      <c r="C519" t="s">
        <v>52</v>
      </c>
      <c r="D519">
        <v>54213</v>
      </c>
      <c r="E519" t="s">
        <v>233</v>
      </c>
      <c r="F519">
        <v>8631</v>
      </c>
      <c r="G519">
        <v>0.46693506885946923</v>
      </c>
      <c r="H519">
        <v>0</v>
      </c>
      <c r="I519">
        <v>0</v>
      </c>
      <c r="J519">
        <v>0.43751526540014712</v>
      </c>
      <c r="K519">
        <v>0</v>
      </c>
      <c r="L519">
        <v>0</v>
      </c>
      <c r="M519">
        <v>0.30853343684747592</v>
      </c>
      <c r="N519">
        <v>0</v>
      </c>
      <c r="O519">
        <v>0</v>
      </c>
      <c r="P519">
        <v>0.21802835853079719</v>
      </c>
      <c r="Q519">
        <v>1.238243382848951</v>
      </c>
      <c r="R519">
        <v>4.0249192069690061</v>
      </c>
      <c r="S519">
        <v>0.2792250496136533</v>
      </c>
      <c r="T519">
        <v>0.19052989345625351</v>
      </c>
      <c r="U519">
        <v>4.3204418959564359</v>
      </c>
      <c r="V519">
        <v>0.1190788172189059</v>
      </c>
      <c r="W519">
        <v>9.3746777956204372</v>
      </c>
      <c r="X519">
        <v>0.31577957470392259</v>
      </c>
      <c r="Z519" t="s">
        <v>392</v>
      </c>
      <c r="AA519">
        <v>9937</v>
      </c>
      <c r="AB519" t="s">
        <v>910</v>
      </c>
      <c r="AC519" t="str">
        <f>HYPERLINK("plots/20251231000436_3FT6Y121H01_04823_B11P_N_UFLEX98_M5358A8BH101511/dpll_52084/txpa_54213.png","plot")</f>
        <v>plot</v>
      </c>
    </row>
    <row r="520" spans="1:29" hidden="1" x14ac:dyDescent="0.35">
      <c r="A520" t="s">
        <v>46</v>
      </c>
      <c r="B520">
        <v>52084</v>
      </c>
      <c r="C520" t="s">
        <v>52</v>
      </c>
      <c r="D520">
        <v>54214</v>
      </c>
      <c r="E520" t="s">
        <v>234</v>
      </c>
      <c r="F520">
        <v>8684</v>
      </c>
      <c r="G520">
        <v>0.52240664756524169</v>
      </c>
      <c r="H520">
        <v>0</v>
      </c>
      <c r="I520">
        <v>0</v>
      </c>
      <c r="J520">
        <v>0.44388970832533392</v>
      </c>
      <c r="K520">
        <v>0</v>
      </c>
      <c r="L520">
        <v>0</v>
      </c>
      <c r="M520">
        <v>0.31280618424147572</v>
      </c>
      <c r="N520">
        <v>0</v>
      </c>
      <c r="O520">
        <v>0</v>
      </c>
      <c r="P520">
        <v>0.27290870542035461</v>
      </c>
      <c r="Q520">
        <v>1.365693813216986</v>
      </c>
      <c r="R520">
        <v>3.3090663451845548</v>
      </c>
      <c r="S520">
        <v>0.27401937202619242</v>
      </c>
      <c r="T520">
        <v>0.19187864407422661</v>
      </c>
      <c r="U520">
        <v>4.318202145670198</v>
      </c>
      <c r="V520">
        <v>0.1229326245804656</v>
      </c>
      <c r="W520">
        <v>9.206408299746661</v>
      </c>
      <c r="X520">
        <v>0.32137478650882112</v>
      </c>
      <c r="Z520" t="s">
        <v>392</v>
      </c>
      <c r="AA520">
        <v>9937</v>
      </c>
      <c r="AB520" t="s">
        <v>911</v>
      </c>
      <c r="AC520" t="str">
        <f>HYPERLINK("plots/20251231000436_3FT6Y121H01_04823_B11P_N_UFLEX98_M5358A8BH101511/dpll_52084/txpa_54214.png","plot")</f>
        <v>plot</v>
      </c>
    </row>
    <row r="521" spans="1:29" hidden="1" x14ac:dyDescent="0.35">
      <c r="A521" t="s">
        <v>46</v>
      </c>
      <c r="B521">
        <v>52084</v>
      </c>
      <c r="C521" t="s">
        <v>52</v>
      </c>
      <c r="D521">
        <v>54215</v>
      </c>
      <c r="E521" t="s">
        <v>235</v>
      </c>
      <c r="F521">
        <v>8633</v>
      </c>
      <c r="G521">
        <v>0.49034991100454672</v>
      </c>
      <c r="H521">
        <v>0</v>
      </c>
      <c r="I521">
        <v>0</v>
      </c>
      <c r="J521">
        <v>0.4363223124361455</v>
      </c>
      <c r="K521">
        <v>0</v>
      </c>
      <c r="L521">
        <v>0</v>
      </c>
      <c r="M521">
        <v>0.30667979549111801</v>
      </c>
      <c r="N521">
        <v>0</v>
      </c>
      <c r="O521">
        <v>0</v>
      </c>
      <c r="P521">
        <v>0.24044303522216681</v>
      </c>
      <c r="Q521">
        <v>1.2125566997032089</v>
      </c>
      <c r="R521">
        <v>4.1048686803334604</v>
      </c>
      <c r="S521">
        <v>0.25628364555922872</v>
      </c>
      <c r="T521">
        <v>0.17579475697063859</v>
      </c>
      <c r="U521">
        <v>4.3205883139117338</v>
      </c>
      <c r="V521">
        <v>0.11892411214157191</v>
      </c>
      <c r="W521">
        <v>9.3438269870265245</v>
      </c>
      <c r="X521">
        <v>0.29408025921346959</v>
      </c>
      <c r="Z521" t="s">
        <v>392</v>
      </c>
      <c r="AA521">
        <v>9937</v>
      </c>
      <c r="AB521" t="s">
        <v>912</v>
      </c>
      <c r="AC521" t="str">
        <f>HYPERLINK("plots/20251231000436_3FT6Y121H01_04823_B11P_N_UFLEX98_M5358A8BH101511/dpll_52084/txpa_54215.png","plot")</f>
        <v>plot</v>
      </c>
    </row>
    <row r="522" spans="1:29" hidden="1" x14ac:dyDescent="0.35">
      <c r="A522" t="s">
        <v>46</v>
      </c>
      <c r="B522">
        <v>52084</v>
      </c>
      <c r="C522" t="s">
        <v>52</v>
      </c>
      <c r="D522">
        <v>54216</v>
      </c>
      <c r="E522" t="s">
        <v>236</v>
      </c>
      <c r="F522">
        <v>8648</v>
      </c>
      <c r="G522">
        <v>0.50814449032309572</v>
      </c>
      <c r="H522">
        <v>0</v>
      </c>
      <c r="I522">
        <v>0</v>
      </c>
      <c r="J522">
        <v>0.454922693753191</v>
      </c>
      <c r="K522">
        <v>0</v>
      </c>
      <c r="L522">
        <v>0</v>
      </c>
      <c r="M522">
        <v>0.32311770894352032</v>
      </c>
      <c r="N522">
        <v>0</v>
      </c>
      <c r="O522">
        <v>0</v>
      </c>
      <c r="P522">
        <v>0.25821082304571868</v>
      </c>
      <c r="Q522">
        <v>1.2257335815143611</v>
      </c>
      <c r="R522">
        <v>3.9843553372758551</v>
      </c>
      <c r="S522">
        <v>0.24918409590187851</v>
      </c>
      <c r="T522">
        <v>0.16980075324758759</v>
      </c>
      <c r="U522">
        <v>4.3200304584875111</v>
      </c>
      <c r="V522">
        <v>0.1199489142656197</v>
      </c>
      <c r="W522">
        <v>9.2795617434088804</v>
      </c>
      <c r="X522">
        <v>0.28933780663069542</v>
      </c>
      <c r="Z522" t="s">
        <v>392</v>
      </c>
      <c r="AA522">
        <v>9937</v>
      </c>
      <c r="AB522" t="s">
        <v>913</v>
      </c>
      <c r="AC522" t="str">
        <f>HYPERLINK("plots/20251231000436_3FT6Y121H01_04823_B11P_N_UFLEX98_M5358A8BH101511/dpll_52084/txpa_54216.png","plot")</f>
        <v>plot</v>
      </c>
    </row>
    <row r="523" spans="1:29" hidden="1" x14ac:dyDescent="0.35">
      <c r="A523" t="s">
        <v>46</v>
      </c>
      <c r="B523">
        <v>52084</v>
      </c>
      <c r="C523" t="s">
        <v>52</v>
      </c>
      <c r="D523">
        <v>54217</v>
      </c>
      <c r="E523" t="s">
        <v>237</v>
      </c>
      <c r="F523">
        <v>8630</v>
      </c>
      <c r="G523">
        <v>0.47401473142478279</v>
      </c>
      <c r="H523">
        <v>0</v>
      </c>
      <c r="I523">
        <v>0</v>
      </c>
      <c r="J523">
        <v>0.42613004463343662</v>
      </c>
      <c r="K523">
        <v>0</v>
      </c>
      <c r="L523">
        <v>0</v>
      </c>
      <c r="M523">
        <v>0.29867926754972368</v>
      </c>
      <c r="N523">
        <v>0</v>
      </c>
      <c r="O523">
        <v>0</v>
      </c>
      <c r="P523">
        <v>0.22468996560770901</v>
      </c>
      <c r="Q523">
        <v>1.174085728320829</v>
      </c>
      <c r="R523">
        <v>4.3054080108570183</v>
      </c>
      <c r="S523">
        <v>0.2584348125826218</v>
      </c>
      <c r="T523">
        <v>0.17865949540577339</v>
      </c>
      <c r="U523">
        <v>4.3209009681344144</v>
      </c>
      <c r="V523">
        <v>0.11850331677964859</v>
      </c>
      <c r="W523">
        <v>9.3785161710312863</v>
      </c>
      <c r="X523">
        <v>0.29352052534625811</v>
      </c>
      <c r="Z523" t="s">
        <v>392</v>
      </c>
      <c r="AA523">
        <v>9937</v>
      </c>
      <c r="AB523" t="s">
        <v>914</v>
      </c>
      <c r="AC523" t="str">
        <f>HYPERLINK("plots/20251231000436_3FT6Y121H01_04823_B11P_N_UFLEX98_M5358A8BH101511/dpll_52084/txpa_54217.png","plot")</f>
        <v>plot</v>
      </c>
    </row>
    <row r="524" spans="1:29" hidden="1" x14ac:dyDescent="0.35">
      <c r="A524" t="s">
        <v>46</v>
      </c>
      <c r="B524">
        <v>52084</v>
      </c>
      <c r="C524" t="s">
        <v>52</v>
      </c>
      <c r="D524">
        <v>54218</v>
      </c>
      <c r="E524" t="s">
        <v>238</v>
      </c>
      <c r="F524">
        <v>8709</v>
      </c>
      <c r="G524">
        <v>0.47315748348065523</v>
      </c>
      <c r="H524">
        <v>0</v>
      </c>
      <c r="I524">
        <v>0</v>
      </c>
      <c r="J524">
        <v>0.36645960946710943</v>
      </c>
      <c r="K524">
        <v>5.1613230084241812E-275</v>
      </c>
      <c r="L524">
        <v>9.567790732252503E-275</v>
      </c>
      <c r="M524">
        <v>0.25405902432013172</v>
      </c>
      <c r="N524">
        <v>6.6339014091928391E-277</v>
      </c>
      <c r="O524">
        <v>1.238816948236011E-276</v>
      </c>
      <c r="P524">
        <v>0.22387800417374651</v>
      </c>
      <c r="Q524">
        <v>1.201621303413462</v>
      </c>
      <c r="R524">
        <v>3.828869526407257</v>
      </c>
      <c r="S524">
        <v>0.2780025931320349</v>
      </c>
      <c r="T524">
        <v>0.19947155483366069</v>
      </c>
      <c r="U524">
        <v>4.3172251671833726</v>
      </c>
      <c r="V524">
        <v>0.1242644437513286</v>
      </c>
      <c r="W524">
        <v>9.0165392589275459</v>
      </c>
      <c r="X524">
        <v>0.31557950171261601</v>
      </c>
      <c r="Z524" t="s">
        <v>392</v>
      </c>
      <c r="AA524">
        <v>9937</v>
      </c>
      <c r="AB524" t="s">
        <v>915</v>
      </c>
      <c r="AC524" t="str">
        <f>HYPERLINK("plots/20251231000436_3FT6Y121H01_04823_B11P_N_UFLEX98_M5358A8BH101511/dpll_52084/txpa_54218.png","plot")</f>
        <v>plot</v>
      </c>
    </row>
    <row r="525" spans="1:29" hidden="1" x14ac:dyDescent="0.35">
      <c r="A525" t="s">
        <v>46</v>
      </c>
      <c r="B525">
        <v>52084</v>
      </c>
      <c r="C525" t="s">
        <v>52</v>
      </c>
      <c r="D525">
        <v>54219</v>
      </c>
      <c r="E525" t="s">
        <v>239</v>
      </c>
      <c r="F525">
        <v>8697</v>
      </c>
      <c r="G525">
        <v>0.46678846960179982</v>
      </c>
      <c r="H525">
        <v>0</v>
      </c>
      <c r="I525">
        <v>0</v>
      </c>
      <c r="J525">
        <v>0.39380436641887517</v>
      </c>
      <c r="K525">
        <v>0</v>
      </c>
      <c r="L525">
        <v>0</v>
      </c>
      <c r="M525">
        <v>0.27436368438443681</v>
      </c>
      <c r="N525">
        <v>0</v>
      </c>
      <c r="O525">
        <v>0</v>
      </c>
      <c r="P525">
        <v>0.21789147535319031</v>
      </c>
      <c r="Q525">
        <v>1.274329449129679</v>
      </c>
      <c r="R525">
        <v>4.4059734138075974</v>
      </c>
      <c r="S525">
        <v>0.29905807466385292</v>
      </c>
      <c r="T525">
        <v>0.20444686957648259</v>
      </c>
      <c r="U525">
        <v>4.3174854188800733</v>
      </c>
      <c r="V525">
        <v>0.12387549215203281</v>
      </c>
      <c r="W525">
        <v>9.9078722292744619</v>
      </c>
      <c r="X525">
        <v>0.33817927809877318</v>
      </c>
      <c r="Z525" t="s">
        <v>392</v>
      </c>
      <c r="AA525">
        <v>9937</v>
      </c>
      <c r="AB525" t="s">
        <v>916</v>
      </c>
      <c r="AC525" t="str">
        <f>HYPERLINK("plots/20251231000436_3FT6Y121H01_04823_B11P_N_UFLEX98_M5358A8BH101511/dpll_52084/txpa_54219.png","plot")</f>
        <v>plot</v>
      </c>
    </row>
    <row r="526" spans="1:29" hidden="1" x14ac:dyDescent="0.35">
      <c r="A526" t="s">
        <v>46</v>
      </c>
      <c r="B526">
        <v>52084</v>
      </c>
      <c r="C526" t="s">
        <v>52</v>
      </c>
      <c r="D526">
        <v>54220</v>
      </c>
      <c r="E526" t="s">
        <v>240</v>
      </c>
      <c r="F526">
        <v>8666</v>
      </c>
      <c r="G526">
        <v>0.50025541818578345</v>
      </c>
      <c r="H526">
        <v>0</v>
      </c>
      <c r="I526">
        <v>0</v>
      </c>
      <c r="J526">
        <v>0.45155520895267071</v>
      </c>
      <c r="K526">
        <v>0</v>
      </c>
      <c r="L526">
        <v>0</v>
      </c>
      <c r="M526">
        <v>0.32027340370686852</v>
      </c>
      <c r="N526">
        <v>0</v>
      </c>
      <c r="O526">
        <v>0</v>
      </c>
      <c r="P526">
        <v>0.25025548342423309</v>
      </c>
      <c r="Q526">
        <v>1.392777751150537</v>
      </c>
      <c r="R526">
        <v>4.0438154063546916</v>
      </c>
      <c r="S526">
        <v>0.29384154650147393</v>
      </c>
      <c r="T526">
        <v>0.20048522284119741</v>
      </c>
      <c r="U526">
        <v>4.3186940792753292</v>
      </c>
      <c r="V526">
        <v>0.1218965997574785</v>
      </c>
      <c r="W526">
        <v>10.058796433994919</v>
      </c>
      <c r="X526">
        <v>0.33937637836851448</v>
      </c>
      <c r="Z526" t="s">
        <v>392</v>
      </c>
      <c r="AA526">
        <v>9937</v>
      </c>
      <c r="AB526" t="s">
        <v>917</v>
      </c>
      <c r="AC526" t="str">
        <f>HYPERLINK("plots/20251231000436_3FT6Y121H01_04823_B11P_N_UFLEX98_M5358A8BH101511/dpll_52084/txpa_54220.png","plot")</f>
        <v>plot</v>
      </c>
    </row>
    <row r="527" spans="1:29" hidden="1" x14ac:dyDescent="0.35">
      <c r="A527" t="s">
        <v>46</v>
      </c>
      <c r="B527">
        <v>52084</v>
      </c>
      <c r="C527" t="s">
        <v>52</v>
      </c>
      <c r="D527">
        <v>54221</v>
      </c>
      <c r="E527" t="s">
        <v>241</v>
      </c>
      <c r="F527">
        <v>8588</v>
      </c>
      <c r="G527">
        <v>0.42968280665813702</v>
      </c>
      <c r="H527">
        <v>0</v>
      </c>
      <c r="I527">
        <v>0</v>
      </c>
      <c r="J527">
        <v>0.44870561477435661</v>
      </c>
      <c r="K527">
        <v>0</v>
      </c>
      <c r="L527">
        <v>0</v>
      </c>
      <c r="M527">
        <v>0.32025641426620499</v>
      </c>
      <c r="N527">
        <v>0</v>
      </c>
      <c r="O527">
        <v>0</v>
      </c>
      <c r="P527">
        <v>0.18462731433761401</v>
      </c>
      <c r="Q527">
        <v>1.1933125225936141</v>
      </c>
      <c r="R527">
        <v>4.9842808867415878</v>
      </c>
      <c r="S527">
        <v>0.29107470669908098</v>
      </c>
      <c r="T527">
        <v>0.1943577834427479</v>
      </c>
      <c r="U527">
        <v>4.3223500667210057</v>
      </c>
      <c r="V527">
        <v>0.1160768071039129</v>
      </c>
      <c r="W527">
        <v>10.142195348393111</v>
      </c>
      <c r="X527">
        <v>0.32236781494026201</v>
      </c>
      <c r="Z527" t="s">
        <v>392</v>
      </c>
      <c r="AA527">
        <v>9937</v>
      </c>
      <c r="AB527" t="s">
        <v>918</v>
      </c>
      <c r="AC527" t="str">
        <f>HYPERLINK("plots/20251231000436_3FT6Y121H01_04823_B11P_N_UFLEX98_M5358A8BH101511/dpll_52084/txpa_54221.png","plot")</f>
        <v>plot</v>
      </c>
    </row>
    <row r="528" spans="1:29" hidden="1" x14ac:dyDescent="0.35">
      <c r="A528" t="s">
        <v>46</v>
      </c>
      <c r="B528">
        <v>52084</v>
      </c>
      <c r="C528" t="s">
        <v>52</v>
      </c>
      <c r="D528">
        <v>54222</v>
      </c>
      <c r="E528" t="s">
        <v>242</v>
      </c>
      <c r="F528">
        <v>8649</v>
      </c>
      <c r="G528">
        <v>0.50418509078413376</v>
      </c>
      <c r="H528">
        <v>0</v>
      </c>
      <c r="I528">
        <v>0</v>
      </c>
      <c r="J528">
        <v>0.46017601107247219</v>
      </c>
      <c r="K528">
        <v>0</v>
      </c>
      <c r="L528">
        <v>0</v>
      </c>
      <c r="M528">
        <v>0.32846386695426327</v>
      </c>
      <c r="N528">
        <v>0</v>
      </c>
      <c r="O528">
        <v>0</v>
      </c>
      <c r="P528">
        <v>0.25420260576900522</v>
      </c>
      <c r="Q528">
        <v>1.381095885285343</v>
      </c>
      <c r="R528">
        <v>4.0593301962838666</v>
      </c>
      <c r="S528">
        <v>0.28452697982432362</v>
      </c>
      <c r="T528">
        <v>0.1936773255897116</v>
      </c>
      <c r="U528">
        <v>4.3196766747600881</v>
      </c>
      <c r="V528">
        <v>0.12028301316562021</v>
      </c>
      <c r="W528">
        <v>10.0252178775581</v>
      </c>
      <c r="X528">
        <v>0.32948688406156351</v>
      </c>
      <c r="Z528" t="s">
        <v>392</v>
      </c>
      <c r="AA528">
        <v>9937</v>
      </c>
      <c r="AB528" t="s">
        <v>919</v>
      </c>
      <c r="AC528" t="str">
        <f>HYPERLINK("plots/20251231000436_3FT6Y121H01_04823_B11P_N_UFLEX98_M5358A8BH101511/dpll_52084/txpa_54222.png","plot")</f>
        <v>plot</v>
      </c>
    </row>
    <row r="529" spans="1:29" hidden="1" x14ac:dyDescent="0.35">
      <c r="A529" t="s">
        <v>46</v>
      </c>
      <c r="B529">
        <v>52084</v>
      </c>
      <c r="C529" t="s">
        <v>52</v>
      </c>
      <c r="D529">
        <v>54223</v>
      </c>
      <c r="E529" t="s">
        <v>243</v>
      </c>
      <c r="F529">
        <v>8586</v>
      </c>
      <c r="G529">
        <v>0.44894412912371479</v>
      </c>
      <c r="H529">
        <v>0</v>
      </c>
      <c r="I529">
        <v>0</v>
      </c>
      <c r="J529">
        <v>0.44889661422822769</v>
      </c>
      <c r="K529">
        <v>0</v>
      </c>
      <c r="L529">
        <v>0</v>
      </c>
      <c r="M529">
        <v>0.31998074175097108</v>
      </c>
      <c r="N529">
        <v>0</v>
      </c>
      <c r="O529">
        <v>0</v>
      </c>
      <c r="P529">
        <v>0.20155083107465069</v>
      </c>
      <c r="Q529">
        <v>1.1570258083027081</v>
      </c>
      <c r="R529">
        <v>5.1422833825256236</v>
      </c>
      <c r="S529">
        <v>0.2664600907876597</v>
      </c>
      <c r="T529">
        <v>0.17839385017350709</v>
      </c>
      <c r="U529">
        <v>4.3226598343815512</v>
      </c>
      <c r="V529">
        <v>0.1157132462516867</v>
      </c>
      <c r="W529">
        <v>10.143712371418591</v>
      </c>
      <c r="X529">
        <v>0.29821798212844902</v>
      </c>
      <c r="Z529" t="s">
        <v>392</v>
      </c>
      <c r="AA529">
        <v>9937</v>
      </c>
      <c r="AB529" t="s">
        <v>920</v>
      </c>
      <c r="AC529" t="str">
        <f>HYPERLINK("plots/20251231000436_3FT6Y121H01_04823_B11P_N_UFLEX98_M5358A8BH101511/dpll_52084/txpa_54223.png","plot")</f>
        <v>plot</v>
      </c>
    </row>
    <row r="530" spans="1:29" hidden="1" x14ac:dyDescent="0.35">
      <c r="A530" t="s">
        <v>46</v>
      </c>
      <c r="B530">
        <v>52084</v>
      </c>
      <c r="C530" t="s">
        <v>52</v>
      </c>
      <c r="D530">
        <v>54224</v>
      </c>
      <c r="E530" t="s">
        <v>244</v>
      </c>
      <c r="F530">
        <v>8619</v>
      </c>
      <c r="G530">
        <v>0.47721548062917563</v>
      </c>
      <c r="H530">
        <v>0</v>
      </c>
      <c r="I530">
        <v>0</v>
      </c>
      <c r="J530">
        <v>0.46530762812222809</v>
      </c>
      <c r="K530">
        <v>0</v>
      </c>
      <c r="L530">
        <v>0</v>
      </c>
      <c r="M530">
        <v>0.33489062039118872</v>
      </c>
      <c r="N530">
        <v>0</v>
      </c>
      <c r="O530">
        <v>0</v>
      </c>
      <c r="P530">
        <v>0.22773461495213509</v>
      </c>
      <c r="Q530">
        <v>1.2332003240755149</v>
      </c>
      <c r="R530">
        <v>4.7530124618272973</v>
      </c>
      <c r="S530">
        <v>0.26694286363404912</v>
      </c>
      <c r="T530">
        <v>0.17766313813704079</v>
      </c>
      <c r="U530">
        <v>4.3214619968673862</v>
      </c>
      <c r="V530">
        <v>0.1175550036596355</v>
      </c>
      <c r="W530">
        <v>10.082240796844181</v>
      </c>
      <c r="X530">
        <v>0.30378073322061838</v>
      </c>
      <c r="Z530" t="s">
        <v>392</v>
      </c>
      <c r="AA530">
        <v>9937</v>
      </c>
      <c r="AB530" t="s">
        <v>921</v>
      </c>
      <c r="AC530" t="str">
        <f>HYPERLINK("plots/20251231000436_3FT6Y121H01_04823_B11P_N_UFLEX98_M5358A8BH101511/dpll_52084/txpa_54224.png","plot")</f>
        <v>plot</v>
      </c>
    </row>
    <row r="531" spans="1:29" hidden="1" x14ac:dyDescent="0.35">
      <c r="A531" t="s">
        <v>46</v>
      </c>
      <c r="B531">
        <v>52084</v>
      </c>
      <c r="C531" t="s">
        <v>52</v>
      </c>
      <c r="D531">
        <v>54225</v>
      </c>
      <c r="E531" t="s">
        <v>245</v>
      </c>
      <c r="F531">
        <v>8594</v>
      </c>
      <c r="G531">
        <v>0.44006435958954088</v>
      </c>
      <c r="H531">
        <v>0</v>
      </c>
      <c r="I531">
        <v>0</v>
      </c>
      <c r="J531">
        <v>0.44014792202579339</v>
      </c>
      <c r="K531">
        <v>0</v>
      </c>
      <c r="L531">
        <v>0</v>
      </c>
      <c r="M531">
        <v>0.31229164322094333</v>
      </c>
      <c r="N531">
        <v>0</v>
      </c>
      <c r="O531">
        <v>0</v>
      </c>
      <c r="P531">
        <v>0.19365664058095269</v>
      </c>
      <c r="Q531">
        <v>1.151690191586842</v>
      </c>
      <c r="R531">
        <v>5.1779763944166506</v>
      </c>
      <c r="S531">
        <v>0.27241231234880631</v>
      </c>
      <c r="T531">
        <v>0.18415070687356519</v>
      </c>
      <c r="U531">
        <v>4.3225514507796126</v>
      </c>
      <c r="V531">
        <v>0.1159237771502791</v>
      </c>
      <c r="W531">
        <v>10.156216502909009</v>
      </c>
      <c r="X531">
        <v>0.30338352608287089</v>
      </c>
      <c r="Z531" t="s">
        <v>392</v>
      </c>
      <c r="AA531">
        <v>9937</v>
      </c>
      <c r="AB531" t="s">
        <v>922</v>
      </c>
      <c r="AC531" t="str">
        <f>HYPERLINK("plots/20251231000436_3FT6Y121H01_04823_B11P_N_UFLEX98_M5358A8BH101511/dpll_52084/txpa_54225.png","plot")</f>
        <v>plot</v>
      </c>
    </row>
    <row r="532" spans="1:29" hidden="1" x14ac:dyDescent="0.35">
      <c r="A532" t="s">
        <v>46</v>
      </c>
      <c r="B532">
        <v>52084</v>
      </c>
      <c r="C532" t="s">
        <v>52</v>
      </c>
      <c r="D532">
        <v>54226</v>
      </c>
      <c r="E532" t="s">
        <v>246</v>
      </c>
      <c r="F532">
        <v>8701</v>
      </c>
      <c r="G532">
        <v>0.49097321481360351</v>
      </c>
      <c r="H532">
        <v>0</v>
      </c>
      <c r="I532">
        <v>0</v>
      </c>
      <c r="J532">
        <v>0.38494688834945662</v>
      </c>
      <c r="K532">
        <v>2.428269269883468E-305</v>
      </c>
      <c r="L532">
        <v>5.0663889704976069E-305</v>
      </c>
      <c r="M532">
        <v>0.26720828055778539</v>
      </c>
      <c r="N532">
        <v>8.433726377457224E-306</v>
      </c>
      <c r="O532">
        <v>1.7560161286943789E-305</v>
      </c>
      <c r="P532">
        <v>0.24105469766440479</v>
      </c>
      <c r="Q532">
        <v>1.28328524508932</v>
      </c>
      <c r="R532">
        <v>4.3433979710910817</v>
      </c>
      <c r="S532">
        <v>0.28217047784542931</v>
      </c>
      <c r="T532">
        <v>0.20016294300775561</v>
      </c>
      <c r="U532">
        <v>4.3175214271922773</v>
      </c>
      <c r="V532">
        <v>0.12392698727134401</v>
      </c>
      <c r="W532">
        <v>9.8840095139639139</v>
      </c>
      <c r="X532">
        <v>0.32391517385335239</v>
      </c>
      <c r="Z532" t="s">
        <v>392</v>
      </c>
      <c r="AA532">
        <v>9937</v>
      </c>
      <c r="AB532" t="s">
        <v>923</v>
      </c>
      <c r="AC532" t="str">
        <f>HYPERLINK("plots/20251231000436_3FT6Y121H01_04823_B11P_N_UFLEX98_M5358A8BH101511/dpll_52084/txpa_54226.png","plot")</f>
        <v>plot</v>
      </c>
    </row>
    <row r="533" spans="1:29" hidden="1" x14ac:dyDescent="0.35">
      <c r="A533" t="s">
        <v>46</v>
      </c>
      <c r="B533">
        <v>52084</v>
      </c>
      <c r="C533" t="s">
        <v>52</v>
      </c>
      <c r="D533">
        <v>54227</v>
      </c>
      <c r="E533" t="s">
        <v>247</v>
      </c>
      <c r="F533">
        <v>8690</v>
      </c>
      <c r="G533">
        <v>0.47728842277747752</v>
      </c>
      <c r="H533">
        <v>0</v>
      </c>
      <c r="I533">
        <v>0</v>
      </c>
      <c r="J533">
        <v>0.40867486258007008</v>
      </c>
      <c r="K533">
        <v>0</v>
      </c>
      <c r="L533">
        <v>0</v>
      </c>
      <c r="M533">
        <v>0.28577150322240602</v>
      </c>
      <c r="N533">
        <v>0</v>
      </c>
      <c r="O533">
        <v>0</v>
      </c>
      <c r="P533">
        <v>0.22780423851741211</v>
      </c>
      <c r="Q533">
        <v>1.341307106993022</v>
      </c>
      <c r="R533">
        <v>4.514782852075494</v>
      </c>
      <c r="S533">
        <v>0.30550298686177552</v>
      </c>
      <c r="T533">
        <v>0.20733989357020099</v>
      </c>
      <c r="U533">
        <v>4.317586539355581</v>
      </c>
      <c r="V533">
        <v>0.1237170107173524</v>
      </c>
      <c r="W533">
        <v>10.305992362370541</v>
      </c>
      <c r="X533">
        <v>0.34767762596345791</v>
      </c>
      <c r="Z533" t="s">
        <v>392</v>
      </c>
      <c r="AA533">
        <v>9937</v>
      </c>
      <c r="AB533" t="s">
        <v>924</v>
      </c>
      <c r="AC533" t="str">
        <f>HYPERLINK("plots/20251231000436_3FT6Y121H01_04823_B11P_N_UFLEX98_M5358A8BH101511/dpll_52084/txpa_54227.png","plot")</f>
        <v>plot</v>
      </c>
    </row>
    <row r="534" spans="1:29" hidden="1" x14ac:dyDescent="0.35">
      <c r="A534" t="s">
        <v>46</v>
      </c>
      <c r="B534">
        <v>52084</v>
      </c>
      <c r="C534" t="s">
        <v>52</v>
      </c>
      <c r="D534">
        <v>54228</v>
      </c>
      <c r="E534" t="s">
        <v>248</v>
      </c>
      <c r="F534">
        <v>8649</v>
      </c>
      <c r="G534">
        <v>0.48815711119932298</v>
      </c>
      <c r="H534">
        <v>0</v>
      </c>
      <c r="I534">
        <v>0</v>
      </c>
      <c r="J534">
        <v>0.45942842004629558</v>
      </c>
      <c r="K534">
        <v>0</v>
      </c>
      <c r="L534">
        <v>0</v>
      </c>
      <c r="M534">
        <v>0.32811952068461442</v>
      </c>
      <c r="N534">
        <v>0</v>
      </c>
      <c r="O534">
        <v>0</v>
      </c>
      <c r="P534">
        <v>0.2382973652144682</v>
      </c>
      <c r="Q534">
        <v>1.402222845252181</v>
      </c>
      <c r="R534">
        <v>4.3773791799216983</v>
      </c>
      <c r="S534">
        <v>0.30232386815476958</v>
      </c>
      <c r="T534">
        <v>0.20291993499105501</v>
      </c>
      <c r="U534">
        <v>4.3194825886229626</v>
      </c>
      <c r="V534">
        <v>0.12060002465865489</v>
      </c>
      <c r="W534">
        <v>10.43425634535784</v>
      </c>
      <c r="X534">
        <v>0.34642148159814973</v>
      </c>
      <c r="Z534" t="s">
        <v>392</v>
      </c>
      <c r="AA534">
        <v>9937</v>
      </c>
      <c r="AB534" t="s">
        <v>925</v>
      </c>
      <c r="AC534" t="str">
        <f>HYPERLINK("plots/20251231000436_3FT6Y121H01_04823_B11P_N_UFLEX98_M5358A8BH101511/dpll_52084/txpa_54228.png","plot")</f>
        <v>plot</v>
      </c>
    </row>
    <row r="535" spans="1:29" hidden="1" x14ac:dyDescent="0.35">
      <c r="A535" t="s">
        <v>46</v>
      </c>
      <c r="B535">
        <v>52084</v>
      </c>
      <c r="C535" t="s">
        <v>52</v>
      </c>
      <c r="D535">
        <v>54229</v>
      </c>
      <c r="E535" t="s">
        <v>249</v>
      </c>
      <c r="F535">
        <v>8591</v>
      </c>
      <c r="G535">
        <v>0.42918768297424231</v>
      </c>
      <c r="H535">
        <v>0</v>
      </c>
      <c r="I535">
        <v>0</v>
      </c>
      <c r="J535">
        <v>0.45205590025892262</v>
      </c>
      <c r="K535">
        <v>0</v>
      </c>
      <c r="L535">
        <v>0</v>
      </c>
      <c r="M535">
        <v>0.32384931425856489</v>
      </c>
      <c r="N535">
        <v>0</v>
      </c>
      <c r="O535">
        <v>0</v>
      </c>
      <c r="P535">
        <v>0.18420206721679869</v>
      </c>
      <c r="Q535">
        <v>1.2547667370949731</v>
      </c>
      <c r="R535">
        <v>5.0570133111471227</v>
      </c>
      <c r="S535">
        <v>0.30681957979817032</v>
      </c>
      <c r="T535">
        <v>0.2038832007513606</v>
      </c>
      <c r="U535">
        <v>4.3222813431498066</v>
      </c>
      <c r="V535">
        <v>0.11619870839788</v>
      </c>
      <c r="W535">
        <v>10.48046816889768</v>
      </c>
      <c r="X535">
        <v>0.33971681848057222</v>
      </c>
      <c r="Z535" t="s">
        <v>392</v>
      </c>
      <c r="AA535">
        <v>9937</v>
      </c>
      <c r="AB535" t="s">
        <v>926</v>
      </c>
      <c r="AC535" t="str">
        <f>HYPERLINK("plots/20251231000436_3FT6Y121H01_04823_B11P_N_UFLEX98_M5358A8BH101511/dpll_52084/txpa_54229.png","plot")</f>
        <v>plot</v>
      </c>
    </row>
    <row r="536" spans="1:29" hidden="1" x14ac:dyDescent="0.35">
      <c r="A536" t="s">
        <v>46</v>
      </c>
      <c r="B536">
        <v>52084</v>
      </c>
      <c r="C536" t="s">
        <v>52</v>
      </c>
      <c r="D536">
        <v>54230</v>
      </c>
      <c r="E536" t="s">
        <v>250</v>
      </c>
      <c r="F536">
        <v>8622</v>
      </c>
      <c r="G536">
        <v>0.48226221410223402</v>
      </c>
      <c r="H536">
        <v>0</v>
      </c>
      <c r="I536">
        <v>0</v>
      </c>
      <c r="J536">
        <v>0.46441142088910381</v>
      </c>
      <c r="K536">
        <v>0</v>
      </c>
      <c r="L536">
        <v>0</v>
      </c>
      <c r="M536">
        <v>0.33348625661513598</v>
      </c>
      <c r="N536">
        <v>0</v>
      </c>
      <c r="O536">
        <v>0</v>
      </c>
      <c r="P536">
        <v>0.232576843150789</v>
      </c>
      <c r="Q536">
        <v>1.3511057452970141</v>
      </c>
      <c r="R536">
        <v>4.5630282339169677</v>
      </c>
      <c r="S536">
        <v>0.29058411857973232</v>
      </c>
      <c r="T536">
        <v>0.19519259396992841</v>
      </c>
      <c r="U536">
        <v>4.3208722352122484</v>
      </c>
      <c r="V536">
        <v>0.1184059445711656</v>
      </c>
      <c r="W536">
        <v>10.40098353560659</v>
      </c>
      <c r="X536">
        <v>0.33172607620780298</v>
      </c>
      <c r="Z536" t="s">
        <v>392</v>
      </c>
      <c r="AA536">
        <v>9937</v>
      </c>
      <c r="AB536" t="s">
        <v>927</v>
      </c>
      <c r="AC536" t="str">
        <f>HYPERLINK("plots/20251231000436_3FT6Y121H01_04823_B11P_N_UFLEX98_M5358A8BH101511/dpll_52084/txpa_54230.png","plot")</f>
        <v>plot</v>
      </c>
    </row>
    <row r="537" spans="1:29" hidden="1" x14ac:dyDescent="0.35">
      <c r="A537" t="s">
        <v>46</v>
      </c>
      <c r="B537">
        <v>52084</v>
      </c>
      <c r="C537" t="s">
        <v>52</v>
      </c>
      <c r="D537">
        <v>54231</v>
      </c>
      <c r="E537" t="s">
        <v>251</v>
      </c>
      <c r="F537">
        <v>8579</v>
      </c>
      <c r="G537">
        <v>0.44029872866091502</v>
      </c>
      <c r="H537">
        <v>0</v>
      </c>
      <c r="I537">
        <v>0</v>
      </c>
      <c r="J537">
        <v>0.45497022815228622</v>
      </c>
      <c r="K537">
        <v>0</v>
      </c>
      <c r="L537">
        <v>0</v>
      </c>
      <c r="M537">
        <v>0.32638682356798793</v>
      </c>
      <c r="N537">
        <v>0</v>
      </c>
      <c r="O537">
        <v>0</v>
      </c>
      <c r="P537">
        <v>0.19386297046041809</v>
      </c>
      <c r="Q537">
        <v>1.184065888798822</v>
      </c>
      <c r="R537">
        <v>5.3831121872811627</v>
      </c>
      <c r="S537">
        <v>0.27826979326798418</v>
      </c>
      <c r="T537">
        <v>0.18483977146331579</v>
      </c>
      <c r="U537">
        <v>4.3229653273108752</v>
      </c>
      <c r="V537">
        <v>0.1152546628186543</v>
      </c>
      <c r="W537">
        <v>10.50178796981</v>
      </c>
      <c r="X537">
        <v>0.30994664732197469</v>
      </c>
      <c r="Z537" t="s">
        <v>392</v>
      </c>
      <c r="AA537">
        <v>9937</v>
      </c>
      <c r="AB537" t="s">
        <v>928</v>
      </c>
      <c r="AC537" t="str">
        <f>HYPERLINK("plots/20251231000436_3FT6Y121H01_04823_B11P_N_UFLEX98_M5358A8BH101511/dpll_52084/txpa_54231.png","plot")</f>
        <v>plot</v>
      </c>
    </row>
    <row r="538" spans="1:29" hidden="1" x14ac:dyDescent="0.35">
      <c r="A538" t="s">
        <v>46</v>
      </c>
      <c r="B538">
        <v>52084</v>
      </c>
      <c r="C538" t="s">
        <v>52</v>
      </c>
      <c r="D538">
        <v>54232</v>
      </c>
      <c r="E538" t="s">
        <v>252</v>
      </c>
      <c r="F538">
        <v>8617</v>
      </c>
      <c r="G538">
        <v>0.47270636298878282</v>
      </c>
      <c r="H538">
        <v>0</v>
      </c>
      <c r="I538">
        <v>0</v>
      </c>
      <c r="J538">
        <v>0.46945740103058042</v>
      </c>
      <c r="K538">
        <v>0</v>
      </c>
      <c r="L538">
        <v>0</v>
      </c>
      <c r="M538">
        <v>0.33960627811329158</v>
      </c>
      <c r="N538">
        <v>0</v>
      </c>
      <c r="O538">
        <v>0</v>
      </c>
      <c r="P538">
        <v>0.22345130561008289</v>
      </c>
      <c r="Q538">
        <v>1.284281184544295</v>
      </c>
      <c r="R538">
        <v>4.8926786329092424</v>
      </c>
      <c r="S538">
        <v>0.28122167547358029</v>
      </c>
      <c r="T538">
        <v>0.18590170814432999</v>
      </c>
      <c r="U538">
        <v>4.3215358187304176</v>
      </c>
      <c r="V538">
        <v>0.1174683785514187</v>
      </c>
      <c r="W538">
        <v>10.44274577323894</v>
      </c>
      <c r="X538">
        <v>0.31914617649454741</v>
      </c>
      <c r="Z538" t="s">
        <v>392</v>
      </c>
      <c r="AA538">
        <v>9937</v>
      </c>
      <c r="AB538" t="s">
        <v>929</v>
      </c>
      <c r="AC538" t="str">
        <f>HYPERLINK("plots/20251231000436_3FT6Y121H01_04823_B11P_N_UFLEX98_M5358A8BH101511/dpll_52084/txpa_54232.png","plot")</f>
        <v>plot</v>
      </c>
    </row>
    <row r="539" spans="1:29" hidden="1" x14ac:dyDescent="0.35">
      <c r="A539" t="s">
        <v>46</v>
      </c>
      <c r="B539">
        <v>52084</v>
      </c>
      <c r="C539" t="s">
        <v>52</v>
      </c>
      <c r="D539">
        <v>54233</v>
      </c>
      <c r="E539" t="s">
        <v>253</v>
      </c>
      <c r="F539">
        <v>8598</v>
      </c>
      <c r="G539">
        <v>0.44272140783272901</v>
      </c>
      <c r="H539">
        <v>0</v>
      </c>
      <c r="I539">
        <v>0</v>
      </c>
      <c r="J539">
        <v>0.44565806794853852</v>
      </c>
      <c r="K539">
        <v>0</v>
      </c>
      <c r="L539">
        <v>0</v>
      </c>
      <c r="M539">
        <v>0.31760713287018172</v>
      </c>
      <c r="N539">
        <v>0</v>
      </c>
      <c r="O539">
        <v>0</v>
      </c>
      <c r="P539">
        <v>0.1960022449533935</v>
      </c>
      <c r="Q539">
        <v>1.2253334617804339</v>
      </c>
      <c r="R539">
        <v>5.2028937973533784</v>
      </c>
      <c r="S539">
        <v>0.28842551466819211</v>
      </c>
      <c r="T539">
        <v>0.19379341954480139</v>
      </c>
      <c r="U539">
        <v>4.3223663853221694</v>
      </c>
      <c r="V539">
        <v>0.1162271917296117</v>
      </c>
      <c r="W539">
        <v>10.499233963363571</v>
      </c>
      <c r="X539">
        <v>0.32168552203572681</v>
      </c>
      <c r="Z539" t="s">
        <v>392</v>
      </c>
      <c r="AA539">
        <v>9937</v>
      </c>
      <c r="AB539" t="s">
        <v>930</v>
      </c>
      <c r="AC539" t="str">
        <f>HYPERLINK("plots/20251231000436_3FT6Y121H01_04823_B11P_N_UFLEX98_M5358A8BH101511/dpll_52084/txpa_54233.png","plot")</f>
        <v>plot</v>
      </c>
    </row>
    <row r="540" spans="1:29" hidden="1" x14ac:dyDescent="0.35">
      <c r="A540" t="s">
        <v>46</v>
      </c>
      <c r="B540">
        <v>52084</v>
      </c>
      <c r="C540" t="s">
        <v>52</v>
      </c>
      <c r="D540">
        <v>54234</v>
      </c>
      <c r="E540" t="s">
        <v>254</v>
      </c>
      <c r="F540">
        <v>8695</v>
      </c>
      <c r="G540">
        <v>0.49586165279130079</v>
      </c>
      <c r="H540">
        <v>0</v>
      </c>
      <c r="I540">
        <v>0</v>
      </c>
      <c r="J540">
        <v>0.39687578575618021</v>
      </c>
      <c r="K540">
        <v>0</v>
      </c>
      <c r="L540">
        <v>0</v>
      </c>
      <c r="M540">
        <v>0.27605839998980231</v>
      </c>
      <c r="N540">
        <v>0</v>
      </c>
      <c r="O540">
        <v>0</v>
      </c>
      <c r="P540">
        <v>0.24587877870892061</v>
      </c>
      <c r="Q540">
        <v>1.3267497836693209</v>
      </c>
      <c r="R540">
        <v>4.5574102454914351</v>
      </c>
      <c r="S540">
        <v>0.28716222987895318</v>
      </c>
      <c r="T540">
        <v>0.20204689405010939</v>
      </c>
      <c r="U540">
        <v>4.3177731331799878</v>
      </c>
      <c r="V540">
        <v>0.1235956566949445</v>
      </c>
      <c r="W540">
        <v>10.286014815871191</v>
      </c>
      <c r="X540">
        <v>0.33069810875555178</v>
      </c>
      <c r="Z540" t="s">
        <v>392</v>
      </c>
      <c r="AA540">
        <v>9937</v>
      </c>
      <c r="AB540" t="s">
        <v>931</v>
      </c>
      <c r="AC540" t="str">
        <f>HYPERLINK("plots/20251231000436_3FT6Y121H01_04823_B11P_N_UFLEX98_M5358A8BH101511/dpll_52084/txpa_54234.png","plot")</f>
        <v>plot</v>
      </c>
    </row>
    <row r="541" spans="1:29" hidden="1" x14ac:dyDescent="0.35">
      <c r="A541" t="s">
        <v>46</v>
      </c>
      <c r="B541">
        <v>52084</v>
      </c>
      <c r="C541" t="s">
        <v>52</v>
      </c>
      <c r="D541">
        <v>54235</v>
      </c>
      <c r="E541" t="s">
        <v>255</v>
      </c>
      <c r="F541">
        <v>8680</v>
      </c>
      <c r="G541">
        <v>0.48296370194283689</v>
      </c>
      <c r="H541">
        <v>0</v>
      </c>
      <c r="I541">
        <v>0</v>
      </c>
      <c r="J541">
        <v>0.42294649170118098</v>
      </c>
      <c r="K541">
        <v>0</v>
      </c>
      <c r="L541">
        <v>0</v>
      </c>
      <c r="M541">
        <v>0.29708772993768712</v>
      </c>
      <c r="N541">
        <v>0</v>
      </c>
      <c r="O541">
        <v>0</v>
      </c>
      <c r="P541">
        <v>0.2332539373943294</v>
      </c>
      <c r="Q541">
        <v>1.3996780491950751</v>
      </c>
      <c r="R541">
        <v>4.6290241279174209</v>
      </c>
      <c r="S541">
        <v>0.31288369975715868</v>
      </c>
      <c r="T541">
        <v>0.2111909790573821</v>
      </c>
      <c r="U541">
        <v>4.3178516698156679</v>
      </c>
      <c r="V541">
        <v>0.12330154531848241</v>
      </c>
      <c r="W541">
        <v>10.67262632983871</v>
      </c>
      <c r="X541">
        <v>0.3573404496442637</v>
      </c>
      <c r="Z541" t="s">
        <v>392</v>
      </c>
      <c r="AA541">
        <v>9937</v>
      </c>
      <c r="AB541" t="s">
        <v>932</v>
      </c>
      <c r="AC541" t="str">
        <f>HYPERLINK("plots/20251231000436_3FT6Y121H01_04823_B11P_N_UFLEX98_M5358A8BH101511/dpll_52084/txpa_54235.png","plot")</f>
        <v>plot</v>
      </c>
    </row>
    <row r="542" spans="1:29" hidden="1" x14ac:dyDescent="0.35">
      <c r="A542" t="s">
        <v>46</v>
      </c>
      <c r="B542">
        <v>52084</v>
      </c>
      <c r="C542" t="s">
        <v>52</v>
      </c>
      <c r="D542">
        <v>54236</v>
      </c>
      <c r="E542" t="s">
        <v>256</v>
      </c>
      <c r="F542">
        <v>8634</v>
      </c>
      <c r="G542">
        <v>0.47436908731317101</v>
      </c>
      <c r="H542">
        <v>0</v>
      </c>
      <c r="I542">
        <v>0</v>
      </c>
      <c r="J542">
        <v>0.46481331455756292</v>
      </c>
      <c r="K542">
        <v>0</v>
      </c>
      <c r="L542">
        <v>0</v>
      </c>
      <c r="M542">
        <v>0.33392488410780619</v>
      </c>
      <c r="N542">
        <v>0</v>
      </c>
      <c r="O542">
        <v>0</v>
      </c>
      <c r="P542">
        <v>0.22502603099833079</v>
      </c>
      <c r="Q542">
        <v>1.4112367354151629</v>
      </c>
      <c r="R542">
        <v>4.6798289969617084</v>
      </c>
      <c r="S542">
        <v>0.31249540903738221</v>
      </c>
      <c r="T542">
        <v>0.20721927315242311</v>
      </c>
      <c r="U542">
        <v>4.3202304211257818</v>
      </c>
      <c r="V542">
        <v>0.1193278299440646</v>
      </c>
      <c r="W542">
        <v>10.776696872712529</v>
      </c>
      <c r="X542">
        <v>0.35499745172741992</v>
      </c>
      <c r="Z542" t="s">
        <v>392</v>
      </c>
      <c r="AA542">
        <v>9937</v>
      </c>
      <c r="AB542" t="s">
        <v>933</v>
      </c>
      <c r="AC542" t="str">
        <f>HYPERLINK("plots/20251231000436_3FT6Y121H01_04823_B11P_N_UFLEX98_M5358A8BH101511/dpll_52084/txpa_54236.png","plot")</f>
        <v>plot</v>
      </c>
    </row>
    <row r="543" spans="1:29" hidden="1" x14ac:dyDescent="0.35">
      <c r="A543" t="s">
        <v>46</v>
      </c>
      <c r="B543">
        <v>52084</v>
      </c>
      <c r="C543" t="s">
        <v>52</v>
      </c>
      <c r="D543">
        <v>54237</v>
      </c>
      <c r="E543" t="s">
        <v>257</v>
      </c>
      <c r="F543">
        <v>8598</v>
      </c>
      <c r="G543">
        <v>0.43516625115473212</v>
      </c>
      <c r="H543">
        <v>0</v>
      </c>
      <c r="I543">
        <v>0</v>
      </c>
      <c r="J543">
        <v>0.45190037211266071</v>
      </c>
      <c r="K543">
        <v>0</v>
      </c>
      <c r="L543">
        <v>0</v>
      </c>
      <c r="M543">
        <v>0.32400237729506909</v>
      </c>
      <c r="N543">
        <v>0</v>
      </c>
      <c r="O543">
        <v>0</v>
      </c>
      <c r="P543">
        <v>0.18936966614406339</v>
      </c>
      <c r="Q543">
        <v>1.3426953955070311</v>
      </c>
      <c r="R543">
        <v>4.9798438966406016</v>
      </c>
      <c r="S543">
        <v>0.32429756904927071</v>
      </c>
      <c r="T543">
        <v>0.2160598292226156</v>
      </c>
      <c r="U543">
        <v>4.3219462327285418</v>
      </c>
      <c r="V543">
        <v>0.11674417805940369</v>
      </c>
      <c r="W543">
        <v>10.78290120295418</v>
      </c>
      <c r="X543">
        <v>0.36021145922200248</v>
      </c>
      <c r="Z543" t="s">
        <v>392</v>
      </c>
      <c r="AA543">
        <v>9937</v>
      </c>
      <c r="AB543" t="s">
        <v>934</v>
      </c>
      <c r="AC543" t="str">
        <f>HYPERLINK("plots/20251231000436_3FT6Y121H01_04823_B11P_N_UFLEX98_M5358A8BH101511/dpll_52084/txpa_54237.png","plot")</f>
        <v>plot</v>
      </c>
    </row>
    <row r="544" spans="1:29" hidden="1" x14ac:dyDescent="0.35">
      <c r="A544" t="s">
        <v>46</v>
      </c>
      <c r="B544">
        <v>52084</v>
      </c>
      <c r="C544" t="s">
        <v>52</v>
      </c>
      <c r="D544">
        <v>54238</v>
      </c>
      <c r="E544" t="s">
        <v>258</v>
      </c>
      <c r="F544">
        <v>8613</v>
      </c>
      <c r="G544">
        <v>0.47272266360886178</v>
      </c>
      <c r="H544">
        <v>0</v>
      </c>
      <c r="I544">
        <v>0</v>
      </c>
      <c r="J544">
        <v>0.4694870978926674</v>
      </c>
      <c r="K544">
        <v>0</v>
      </c>
      <c r="L544">
        <v>0</v>
      </c>
      <c r="M544">
        <v>0.33891348116865783</v>
      </c>
      <c r="N544">
        <v>0</v>
      </c>
      <c r="O544">
        <v>0</v>
      </c>
      <c r="P544">
        <v>0.22346671668945711</v>
      </c>
      <c r="Q544">
        <v>1.375137370569306</v>
      </c>
      <c r="R544">
        <v>4.7979008484746606</v>
      </c>
      <c r="S544">
        <v>0.30161309306007278</v>
      </c>
      <c r="T544">
        <v>0.2006071349583847</v>
      </c>
      <c r="U544">
        <v>4.3213159243004764</v>
      </c>
      <c r="V544">
        <v>0.1176672775701841</v>
      </c>
      <c r="W544">
        <v>10.74030386601649</v>
      </c>
      <c r="X544">
        <v>0.34229090994840611</v>
      </c>
      <c r="Z544" t="s">
        <v>392</v>
      </c>
      <c r="AA544">
        <v>9937</v>
      </c>
      <c r="AB544" t="s">
        <v>935</v>
      </c>
      <c r="AC544" t="str">
        <f>HYPERLINK("plots/20251231000436_3FT6Y121H01_04823_B11P_N_UFLEX98_M5358A8BH101511/dpll_52084/txpa_54238.png","plot")</f>
        <v>plot</v>
      </c>
    </row>
    <row r="545" spans="1:29" hidden="1" x14ac:dyDescent="0.35">
      <c r="A545" t="s">
        <v>46</v>
      </c>
      <c r="B545">
        <v>52084</v>
      </c>
      <c r="C545" t="s">
        <v>52</v>
      </c>
      <c r="D545">
        <v>54239</v>
      </c>
      <c r="E545" t="s">
        <v>259</v>
      </c>
      <c r="F545">
        <v>8576</v>
      </c>
      <c r="G545">
        <v>0.43700610616883401</v>
      </c>
      <c r="H545">
        <v>0</v>
      </c>
      <c r="I545">
        <v>0</v>
      </c>
      <c r="J545">
        <v>0.4585899882181983</v>
      </c>
      <c r="K545">
        <v>0</v>
      </c>
      <c r="L545">
        <v>0</v>
      </c>
      <c r="M545">
        <v>0.33022546300843891</v>
      </c>
      <c r="N545">
        <v>0</v>
      </c>
      <c r="O545">
        <v>0</v>
      </c>
      <c r="P545">
        <v>0.19097433682884621</v>
      </c>
      <c r="Q545">
        <v>1.2308002077882489</v>
      </c>
      <c r="R545">
        <v>5.5042021132312282</v>
      </c>
      <c r="S545">
        <v>0.29160579997561642</v>
      </c>
      <c r="T545">
        <v>0.19344561617948039</v>
      </c>
      <c r="U545">
        <v>4.3230439277052239</v>
      </c>
      <c r="V545">
        <v>0.1151172151650449</v>
      </c>
      <c r="W545">
        <v>10.825005477728549</v>
      </c>
      <c r="X545">
        <v>0.32422039496720989</v>
      </c>
      <c r="Z545" t="s">
        <v>392</v>
      </c>
      <c r="AA545">
        <v>9937</v>
      </c>
      <c r="AB545" t="s">
        <v>936</v>
      </c>
      <c r="AC545" t="str">
        <f>HYPERLINK("plots/20251231000436_3FT6Y121H01_04823_B11P_N_UFLEX98_M5358A8BH101511/dpll_52084/txpa_54239.png","plot")</f>
        <v>plot</v>
      </c>
    </row>
    <row r="546" spans="1:29" hidden="1" x14ac:dyDescent="0.35">
      <c r="A546" t="s">
        <v>46</v>
      </c>
      <c r="B546">
        <v>52084</v>
      </c>
      <c r="C546" t="s">
        <v>52</v>
      </c>
      <c r="D546">
        <v>54240</v>
      </c>
      <c r="E546" t="s">
        <v>260</v>
      </c>
      <c r="F546">
        <v>8624</v>
      </c>
      <c r="G546">
        <v>0.47631193927559617</v>
      </c>
      <c r="H546">
        <v>0</v>
      </c>
      <c r="I546">
        <v>0</v>
      </c>
      <c r="J546">
        <v>0.47182781296010667</v>
      </c>
      <c r="K546">
        <v>0</v>
      </c>
      <c r="L546">
        <v>0</v>
      </c>
      <c r="M546">
        <v>0.34216061557860672</v>
      </c>
      <c r="N546">
        <v>0</v>
      </c>
      <c r="O546">
        <v>0</v>
      </c>
      <c r="P546">
        <v>0.22687306349647929</v>
      </c>
      <c r="Q546">
        <v>1.3710915982142149</v>
      </c>
      <c r="R546">
        <v>4.8431661020035914</v>
      </c>
      <c r="S546">
        <v>0.29861036782543032</v>
      </c>
      <c r="T546">
        <v>0.19709596282709599</v>
      </c>
      <c r="U546">
        <v>4.3212082082560297</v>
      </c>
      <c r="V546">
        <v>0.117985777579802</v>
      </c>
      <c r="W546">
        <v>10.76793837047774</v>
      </c>
      <c r="X546">
        <v>0.33962891754186592</v>
      </c>
      <c r="Z546" t="s">
        <v>392</v>
      </c>
      <c r="AA546">
        <v>9937</v>
      </c>
      <c r="AB546" t="s">
        <v>937</v>
      </c>
      <c r="AC546" t="str">
        <f>HYPERLINK("plots/20251231000436_3FT6Y121H01_04823_B11P_N_UFLEX98_M5358A8BH101511/dpll_52084/txpa_54240.png","plot")</f>
        <v>plot</v>
      </c>
    </row>
    <row r="547" spans="1:29" hidden="1" x14ac:dyDescent="0.35">
      <c r="A547" t="s">
        <v>46</v>
      </c>
      <c r="B547">
        <v>52084</v>
      </c>
      <c r="C547" t="s">
        <v>52</v>
      </c>
      <c r="D547">
        <v>54241</v>
      </c>
      <c r="E547" t="s">
        <v>261</v>
      </c>
      <c r="F547">
        <v>8608</v>
      </c>
      <c r="G547">
        <v>0.45113551882821579</v>
      </c>
      <c r="H547">
        <v>0</v>
      </c>
      <c r="I547">
        <v>0</v>
      </c>
      <c r="J547">
        <v>0.44750371959460938</v>
      </c>
      <c r="K547">
        <v>0</v>
      </c>
      <c r="L547">
        <v>0</v>
      </c>
      <c r="M547">
        <v>0.31947207768003688</v>
      </c>
      <c r="N547">
        <v>0</v>
      </c>
      <c r="O547">
        <v>0</v>
      </c>
      <c r="P547">
        <v>0.2035232563484034</v>
      </c>
      <c r="Q547">
        <v>1.32720829010363</v>
      </c>
      <c r="R547">
        <v>5.0702044831581183</v>
      </c>
      <c r="S547">
        <v>0.30713813754708758</v>
      </c>
      <c r="T547">
        <v>0.20659432650523721</v>
      </c>
      <c r="U547">
        <v>4.3218959946561339</v>
      </c>
      <c r="V547">
        <v>0.1169877423677487</v>
      </c>
      <c r="W547">
        <v>10.80626067623141</v>
      </c>
      <c r="X547">
        <v>0.34416953449880461</v>
      </c>
      <c r="Z547" t="s">
        <v>392</v>
      </c>
      <c r="AA547">
        <v>9937</v>
      </c>
      <c r="AB547" t="s">
        <v>938</v>
      </c>
      <c r="AC547" t="str">
        <f>HYPERLINK("plots/20251231000436_3FT6Y121H01_04823_B11P_N_UFLEX98_M5358A8BH101511/dpll_52084/txpa_54241.png","plot")</f>
        <v>plot</v>
      </c>
    </row>
    <row r="548" spans="1:29" hidden="1" x14ac:dyDescent="0.35">
      <c r="A548" t="s">
        <v>46</v>
      </c>
      <c r="B548">
        <v>52084</v>
      </c>
      <c r="C548" t="s">
        <v>52</v>
      </c>
      <c r="D548">
        <v>54242</v>
      </c>
      <c r="E548" t="s">
        <v>262</v>
      </c>
      <c r="F548">
        <v>8693</v>
      </c>
      <c r="G548">
        <v>0.50202975428166619</v>
      </c>
      <c r="H548">
        <v>0</v>
      </c>
      <c r="I548">
        <v>0</v>
      </c>
      <c r="J548">
        <v>0.40993899705821352</v>
      </c>
      <c r="K548">
        <v>0</v>
      </c>
      <c r="L548">
        <v>0</v>
      </c>
      <c r="M548">
        <v>0.28612080522048211</v>
      </c>
      <c r="N548">
        <v>0</v>
      </c>
      <c r="O548">
        <v>0</v>
      </c>
      <c r="P548">
        <v>0.25203387418411011</v>
      </c>
      <c r="Q548">
        <v>1.3877584488690571</v>
      </c>
      <c r="R548">
        <v>4.663917431485233</v>
      </c>
      <c r="S548">
        <v>0.29523690604943198</v>
      </c>
      <c r="T548">
        <v>0.20599086926486229</v>
      </c>
      <c r="U548">
        <v>4.317850459335097</v>
      </c>
      <c r="V548">
        <v>0.12350093317675789</v>
      </c>
      <c r="W548">
        <v>10.656050887380649</v>
      </c>
      <c r="X548">
        <v>0.34139303895342349</v>
      </c>
      <c r="Z548" t="s">
        <v>392</v>
      </c>
      <c r="AA548">
        <v>9937</v>
      </c>
      <c r="AB548" t="s">
        <v>939</v>
      </c>
      <c r="AC548" t="str">
        <f>HYPERLINK("plots/20251231000436_3FT6Y121H01_04823_B11P_N_UFLEX98_M5358A8BH101511/dpll_52084/txpa_54242.png","plot")</f>
        <v>plot</v>
      </c>
    </row>
    <row r="549" spans="1:29" hidden="1" x14ac:dyDescent="0.35">
      <c r="A549" t="s">
        <v>46</v>
      </c>
      <c r="B549">
        <v>52084</v>
      </c>
      <c r="C549" t="s">
        <v>52</v>
      </c>
      <c r="D549">
        <v>54243</v>
      </c>
      <c r="E549" t="s">
        <v>263</v>
      </c>
      <c r="F549">
        <v>8663</v>
      </c>
      <c r="G549">
        <v>0.48336235236297281</v>
      </c>
      <c r="H549">
        <v>0</v>
      </c>
      <c r="I549">
        <v>0</v>
      </c>
      <c r="J549">
        <v>0.45097342371856203</v>
      </c>
      <c r="K549">
        <v>0</v>
      </c>
      <c r="L549">
        <v>0</v>
      </c>
      <c r="M549">
        <v>0.3211172991273778</v>
      </c>
      <c r="N549">
        <v>0</v>
      </c>
      <c r="O549">
        <v>0</v>
      </c>
      <c r="P549">
        <v>0.23363916368186671</v>
      </c>
      <c r="Q549">
        <v>1.5892996691094079</v>
      </c>
      <c r="R549">
        <v>4.8205537984863058</v>
      </c>
      <c r="S549">
        <v>0.35119689316431302</v>
      </c>
      <c r="T549">
        <v>0.2357084187403499</v>
      </c>
      <c r="U549">
        <v>4.3186625860556394</v>
      </c>
      <c r="V549">
        <v>0.122018620298286</v>
      </c>
      <c r="W549">
        <v>11.68420281749971</v>
      </c>
      <c r="X549">
        <v>0.40119829754475472</v>
      </c>
      <c r="Z549" t="s">
        <v>392</v>
      </c>
      <c r="AA549">
        <v>9937</v>
      </c>
      <c r="AB549" t="s">
        <v>940</v>
      </c>
      <c r="AC549" t="str">
        <f>HYPERLINK("plots/20251231000436_3FT6Y121H01_04823_B11P_N_UFLEX98_M5358A8BH101511/dpll_52084/txpa_54243.png","plot")</f>
        <v>plot</v>
      </c>
    </row>
    <row r="550" spans="1:29" hidden="1" x14ac:dyDescent="0.35">
      <c r="A550" t="s">
        <v>46</v>
      </c>
      <c r="B550">
        <v>52084</v>
      </c>
      <c r="C550" t="s">
        <v>52</v>
      </c>
      <c r="D550">
        <v>54244</v>
      </c>
      <c r="E550" t="s">
        <v>264</v>
      </c>
      <c r="F550">
        <v>8643</v>
      </c>
      <c r="G550">
        <v>0.47769704301004262</v>
      </c>
      <c r="H550">
        <v>0</v>
      </c>
      <c r="I550">
        <v>0</v>
      </c>
      <c r="J550">
        <v>0.46635409466766797</v>
      </c>
      <c r="K550">
        <v>0</v>
      </c>
      <c r="L550">
        <v>0</v>
      </c>
      <c r="M550">
        <v>0.33681046987060947</v>
      </c>
      <c r="N550">
        <v>0</v>
      </c>
      <c r="O550">
        <v>0</v>
      </c>
      <c r="P550">
        <v>0.22819446490053849</v>
      </c>
      <c r="Q550">
        <v>1.642520655475296</v>
      </c>
      <c r="R550">
        <v>4.5993002171281674</v>
      </c>
      <c r="S550">
        <v>0.36204616424994679</v>
      </c>
      <c r="T550">
        <v>0.24110749216228089</v>
      </c>
      <c r="U550">
        <v>4.31991748756219</v>
      </c>
      <c r="V550">
        <v>0.1198607097376017</v>
      </c>
      <c r="W550">
        <v>11.69485392039801</v>
      </c>
      <c r="X550">
        <v>0.41213085658518678</v>
      </c>
      <c r="Z550" t="s">
        <v>392</v>
      </c>
      <c r="AA550">
        <v>9937</v>
      </c>
      <c r="AB550" t="s">
        <v>941</v>
      </c>
      <c r="AC550" t="str">
        <f>HYPERLINK("plots/20251231000436_3FT6Y121H01_04823_B11P_N_UFLEX98_M5358A8BH101511/dpll_52084/txpa_54244.png","plot")</f>
        <v>plot</v>
      </c>
    </row>
    <row r="551" spans="1:29" hidden="1" x14ac:dyDescent="0.35">
      <c r="A551" t="s">
        <v>46</v>
      </c>
      <c r="B551">
        <v>52084</v>
      </c>
      <c r="C551" t="s">
        <v>52</v>
      </c>
      <c r="D551">
        <v>54245</v>
      </c>
      <c r="E551" t="s">
        <v>265</v>
      </c>
      <c r="F551">
        <v>8662</v>
      </c>
      <c r="G551">
        <v>0.47819769452321609</v>
      </c>
      <c r="H551">
        <v>0</v>
      </c>
      <c r="I551">
        <v>0</v>
      </c>
      <c r="J551">
        <v>0.43687984283808989</v>
      </c>
      <c r="K551">
        <v>0</v>
      </c>
      <c r="L551">
        <v>0</v>
      </c>
      <c r="M551">
        <v>0.3115839889017793</v>
      </c>
      <c r="N551">
        <v>0</v>
      </c>
      <c r="O551">
        <v>0</v>
      </c>
      <c r="P551">
        <v>0.22867303504731909</v>
      </c>
      <c r="Q551">
        <v>1.7821611116809231</v>
      </c>
      <c r="R551">
        <v>3.8696352325255829</v>
      </c>
      <c r="S551">
        <v>0.39622063711053851</v>
      </c>
      <c r="T551">
        <v>0.27170040146362229</v>
      </c>
      <c r="U551">
        <v>4.3192669375432926</v>
      </c>
      <c r="V551">
        <v>0.1210607668232514</v>
      </c>
      <c r="W551">
        <v>11.56726479958439</v>
      </c>
      <c r="X551">
        <v>0.45117279579898989</v>
      </c>
      <c r="Z551" t="s">
        <v>392</v>
      </c>
      <c r="AA551">
        <v>9937</v>
      </c>
      <c r="AB551" t="s">
        <v>942</v>
      </c>
      <c r="AC551" t="str">
        <f>HYPERLINK("plots/20251231000436_3FT6Y121H01_04823_B11P_N_UFLEX98_M5358A8BH101511/dpll_52084/txpa_54245.png","plot")</f>
        <v>plot</v>
      </c>
    </row>
    <row r="552" spans="1:29" hidden="1" x14ac:dyDescent="0.35">
      <c r="A552" t="s">
        <v>46</v>
      </c>
      <c r="B552">
        <v>52084</v>
      </c>
      <c r="C552" t="s">
        <v>52</v>
      </c>
      <c r="D552">
        <v>54246</v>
      </c>
      <c r="E552" t="s">
        <v>266</v>
      </c>
      <c r="F552">
        <v>8630</v>
      </c>
      <c r="G552">
        <v>0.48079792261946352</v>
      </c>
      <c r="H552">
        <v>0</v>
      </c>
      <c r="I552">
        <v>0</v>
      </c>
      <c r="J552">
        <v>0.47149968377924328</v>
      </c>
      <c r="K552">
        <v>0</v>
      </c>
      <c r="L552">
        <v>0</v>
      </c>
      <c r="M552">
        <v>0.3415062378281622</v>
      </c>
      <c r="N552">
        <v>0</v>
      </c>
      <c r="O552">
        <v>0</v>
      </c>
      <c r="P552">
        <v>0.23116664239519161</v>
      </c>
      <c r="Q552">
        <v>1.6251285121103241</v>
      </c>
      <c r="R552">
        <v>4.6242819884087796</v>
      </c>
      <c r="S552">
        <v>0.35217707035599471</v>
      </c>
      <c r="T552">
        <v>0.2338165422236021</v>
      </c>
      <c r="U552">
        <v>4.3206633457705683</v>
      </c>
      <c r="V552">
        <v>0.11883517319223399</v>
      </c>
      <c r="W552">
        <v>11.645915182850519</v>
      </c>
      <c r="X552">
        <v>0.40167067932429118</v>
      </c>
      <c r="Z552" t="s">
        <v>392</v>
      </c>
      <c r="AA552">
        <v>9937</v>
      </c>
      <c r="AB552" t="s">
        <v>943</v>
      </c>
      <c r="AC552" t="str">
        <f>HYPERLINK("plots/20251231000436_3FT6Y121H01_04823_B11P_N_UFLEX98_M5358A8BH101511/dpll_52084/txpa_54246.png","plot")</f>
        <v>plot</v>
      </c>
    </row>
    <row r="553" spans="1:29" hidden="1" x14ac:dyDescent="0.35">
      <c r="A553" t="s">
        <v>46</v>
      </c>
      <c r="B553">
        <v>52084</v>
      </c>
      <c r="C553" t="s">
        <v>52</v>
      </c>
      <c r="D553">
        <v>54247</v>
      </c>
      <c r="E553" t="s">
        <v>267</v>
      </c>
      <c r="F553">
        <v>8607</v>
      </c>
      <c r="G553">
        <v>0.45036786645050692</v>
      </c>
      <c r="H553">
        <v>0</v>
      </c>
      <c r="I553">
        <v>0</v>
      </c>
      <c r="J553">
        <v>0.4516069040678003</v>
      </c>
      <c r="K553">
        <v>0</v>
      </c>
      <c r="L553">
        <v>0</v>
      </c>
      <c r="M553">
        <v>0.32402000722380919</v>
      </c>
      <c r="N553">
        <v>0</v>
      </c>
      <c r="O553">
        <v>0</v>
      </c>
      <c r="P553">
        <v>0.2028312151311816</v>
      </c>
      <c r="Q553">
        <v>1.51973372772168</v>
      </c>
      <c r="R553">
        <v>5.1120160276538087</v>
      </c>
      <c r="S553">
        <v>0.35217728381151092</v>
      </c>
      <c r="T553">
        <v>0.23699270965302741</v>
      </c>
      <c r="U553">
        <v>4.3218984937841292</v>
      </c>
      <c r="V553">
        <v>0.1168991416392211</v>
      </c>
      <c r="W553">
        <v>11.680150936447079</v>
      </c>
      <c r="X553">
        <v>0.39446768192188858</v>
      </c>
      <c r="Z553" t="s">
        <v>392</v>
      </c>
      <c r="AA553">
        <v>9937</v>
      </c>
      <c r="AB553" t="s">
        <v>944</v>
      </c>
      <c r="AC553" t="str">
        <f>HYPERLINK("plots/20251231000436_3FT6Y121H01_04823_B11P_N_UFLEX98_M5358A8BH101511/dpll_52084/txpa_54247.png","plot")</f>
        <v>plot</v>
      </c>
    </row>
    <row r="554" spans="1:29" hidden="1" x14ac:dyDescent="0.35">
      <c r="A554" t="s">
        <v>46</v>
      </c>
      <c r="B554">
        <v>52084</v>
      </c>
      <c r="C554" t="s">
        <v>52</v>
      </c>
      <c r="D554">
        <v>54248</v>
      </c>
      <c r="E554" t="s">
        <v>268</v>
      </c>
      <c r="F554">
        <v>8658</v>
      </c>
      <c r="G554">
        <v>0.50013354070483496</v>
      </c>
      <c r="H554">
        <v>0</v>
      </c>
      <c r="I554">
        <v>0</v>
      </c>
      <c r="J554">
        <v>0.46399929247656779</v>
      </c>
      <c r="K554">
        <v>0</v>
      </c>
      <c r="L554">
        <v>0</v>
      </c>
      <c r="M554">
        <v>0.33466610061197283</v>
      </c>
      <c r="N554">
        <v>0</v>
      </c>
      <c r="O554">
        <v>0</v>
      </c>
      <c r="P554">
        <v>0.25013355853795483</v>
      </c>
      <c r="Q554">
        <v>1.7195479839233061</v>
      </c>
      <c r="R554">
        <v>4.209184138086961</v>
      </c>
      <c r="S554">
        <v>0.35913732257231301</v>
      </c>
      <c r="T554">
        <v>0.24217308019517539</v>
      </c>
      <c r="U554">
        <v>4.3195752423192424</v>
      </c>
      <c r="V554">
        <v>0.12063278241374149</v>
      </c>
      <c r="W554">
        <v>11.636901037422041</v>
      </c>
      <c r="X554">
        <v>0.414756941720551</v>
      </c>
      <c r="Z554" t="s">
        <v>392</v>
      </c>
      <c r="AA554">
        <v>9937</v>
      </c>
      <c r="AB554" t="s">
        <v>945</v>
      </c>
      <c r="AC554" t="str">
        <f>HYPERLINK("plots/20251231000436_3FT6Y121H01_04823_B11P_N_UFLEX98_M5358A8BH101511/dpll_52084/txpa_54248.png","plot")</f>
        <v>plot</v>
      </c>
    </row>
    <row r="555" spans="1:29" hidden="1" x14ac:dyDescent="0.35">
      <c r="A555" t="s">
        <v>46</v>
      </c>
      <c r="B555">
        <v>52084</v>
      </c>
      <c r="C555" t="s">
        <v>52</v>
      </c>
      <c r="D555">
        <v>54249</v>
      </c>
      <c r="E555" t="s">
        <v>269</v>
      </c>
      <c r="F555">
        <v>8665</v>
      </c>
      <c r="G555">
        <v>0.49707586551742772</v>
      </c>
      <c r="H555">
        <v>0</v>
      </c>
      <c r="I555">
        <v>0</v>
      </c>
      <c r="J555">
        <v>0.43832486361467621</v>
      </c>
      <c r="K555">
        <v>0</v>
      </c>
      <c r="L555">
        <v>0</v>
      </c>
      <c r="M555">
        <v>0.3119692778437449</v>
      </c>
      <c r="N555">
        <v>0</v>
      </c>
      <c r="O555">
        <v>0</v>
      </c>
      <c r="P555">
        <v>0.24708441607989989</v>
      </c>
      <c r="Q555">
        <v>1.777477847229133</v>
      </c>
      <c r="R555">
        <v>3.9332165536469299</v>
      </c>
      <c r="S555">
        <v>0.37611464817334189</v>
      </c>
      <c r="T555">
        <v>0.259821333169588</v>
      </c>
      <c r="U555">
        <v>4.3192252265435664</v>
      </c>
      <c r="V555">
        <v>0.12122456850794031</v>
      </c>
      <c r="W555">
        <v>11.61054371102135</v>
      </c>
      <c r="X555">
        <v>0.43348309586199307</v>
      </c>
      <c r="Z555" t="s">
        <v>392</v>
      </c>
      <c r="AA555">
        <v>9937</v>
      </c>
      <c r="AB555" t="s">
        <v>946</v>
      </c>
      <c r="AC555" t="str">
        <f>HYPERLINK("plots/20251231000436_3FT6Y121H01_04823_B11P_N_UFLEX98_M5358A8BH101511/dpll_52084/txpa_54249.png","plot")</f>
        <v>plot</v>
      </c>
    </row>
    <row r="556" spans="1:29" hidden="1" x14ac:dyDescent="0.35">
      <c r="A556" t="s">
        <v>46</v>
      </c>
      <c r="B556">
        <v>52084</v>
      </c>
      <c r="C556" t="s">
        <v>52</v>
      </c>
      <c r="D556">
        <v>54250</v>
      </c>
      <c r="E556" t="s">
        <v>270</v>
      </c>
      <c r="F556">
        <v>8686</v>
      </c>
      <c r="G556">
        <v>0.50969708644431566</v>
      </c>
      <c r="H556">
        <v>0</v>
      </c>
      <c r="I556">
        <v>0</v>
      </c>
      <c r="J556">
        <v>0.43863605824291813</v>
      </c>
      <c r="K556">
        <v>0</v>
      </c>
      <c r="L556">
        <v>0</v>
      </c>
      <c r="M556">
        <v>0.30996474348857261</v>
      </c>
      <c r="N556">
        <v>0</v>
      </c>
      <c r="O556">
        <v>0</v>
      </c>
      <c r="P556">
        <v>0.25979111992982418</v>
      </c>
      <c r="Q556">
        <v>1.600569059574509</v>
      </c>
      <c r="R556">
        <v>4.7744472323246194</v>
      </c>
      <c r="S556">
        <v>0.33244428134408782</v>
      </c>
      <c r="T556">
        <v>0.2290715601621707</v>
      </c>
      <c r="U556">
        <v>4.3181564696062624</v>
      </c>
      <c r="V556">
        <v>0.12305647094265219</v>
      </c>
      <c r="W556">
        <v>11.6859548719779</v>
      </c>
      <c r="X556">
        <v>0.38642634068255849</v>
      </c>
      <c r="Z556" t="s">
        <v>392</v>
      </c>
      <c r="AA556">
        <v>9937</v>
      </c>
      <c r="AB556" t="s">
        <v>947</v>
      </c>
      <c r="AC556" t="str">
        <f>HYPERLINK("plots/20251231000436_3FT6Y121H01_04823_B11P_N_UFLEX98_M5358A8BH101511/dpll_52084/txpa_54250.png","plot")</f>
        <v>plot</v>
      </c>
    </row>
    <row r="557" spans="1:29" hidden="1" x14ac:dyDescent="0.35">
      <c r="A557" t="s">
        <v>46</v>
      </c>
      <c r="B557">
        <v>52084</v>
      </c>
      <c r="C557" t="s">
        <v>52</v>
      </c>
      <c r="D557">
        <v>54251</v>
      </c>
      <c r="E557" t="s">
        <v>271</v>
      </c>
      <c r="F557">
        <v>8664</v>
      </c>
      <c r="G557">
        <v>0.4835117935363149</v>
      </c>
      <c r="H557">
        <v>0</v>
      </c>
      <c r="I557">
        <v>0</v>
      </c>
      <c r="J557">
        <v>0.45296205173556731</v>
      </c>
      <c r="K557">
        <v>0</v>
      </c>
      <c r="L557">
        <v>0</v>
      </c>
      <c r="M557">
        <v>0.32331468009337772</v>
      </c>
      <c r="N557">
        <v>0</v>
      </c>
      <c r="O557">
        <v>0</v>
      </c>
      <c r="P557">
        <v>0.233783654488704</v>
      </c>
      <c r="Q557">
        <v>1.6664926912226909</v>
      </c>
      <c r="R557">
        <v>4.7465587805992584</v>
      </c>
      <c r="S557">
        <v>0.36780100715036862</v>
      </c>
      <c r="T557">
        <v>0.2478061771233821</v>
      </c>
      <c r="U557">
        <v>4.3187419331717454</v>
      </c>
      <c r="V557">
        <v>0.1219174669393049</v>
      </c>
      <c r="W557">
        <v>11.943710647506929</v>
      </c>
      <c r="X557">
        <v>0.42020602248552152</v>
      </c>
      <c r="Z557" t="s">
        <v>392</v>
      </c>
      <c r="AA557">
        <v>9937</v>
      </c>
      <c r="AB557" t="s">
        <v>948</v>
      </c>
      <c r="AC557" t="str">
        <f>HYPERLINK("plots/20251231000436_3FT6Y121H01_04823_B11P_N_UFLEX98_M5358A8BH101511/dpll_52084/txpa_54251.png","plot")</f>
        <v>plot</v>
      </c>
    </row>
    <row r="558" spans="1:29" hidden="1" x14ac:dyDescent="0.35">
      <c r="A558" t="s">
        <v>46</v>
      </c>
      <c r="B558">
        <v>52084</v>
      </c>
      <c r="C558" t="s">
        <v>52</v>
      </c>
      <c r="D558">
        <v>54252</v>
      </c>
      <c r="E558" t="s">
        <v>272</v>
      </c>
      <c r="F558">
        <v>8652</v>
      </c>
      <c r="G558">
        <v>0.48078198249261461</v>
      </c>
      <c r="H558">
        <v>0</v>
      </c>
      <c r="I558">
        <v>0</v>
      </c>
      <c r="J558">
        <v>0.46086467371546758</v>
      </c>
      <c r="K558">
        <v>0</v>
      </c>
      <c r="L558">
        <v>0</v>
      </c>
      <c r="M558">
        <v>0.33208107988528618</v>
      </c>
      <c r="N558">
        <v>0</v>
      </c>
      <c r="O558">
        <v>0</v>
      </c>
      <c r="P558">
        <v>0.23115131468952871</v>
      </c>
      <c r="Q558">
        <v>1.738086750060684</v>
      </c>
      <c r="R558">
        <v>4.4192388073222926</v>
      </c>
      <c r="S558">
        <v>0.38162572458331839</v>
      </c>
      <c r="T558">
        <v>0.25632895586661347</v>
      </c>
      <c r="U558">
        <v>4.3196184394359696</v>
      </c>
      <c r="V558">
        <v>0.1203979350348176</v>
      </c>
      <c r="W558">
        <v>11.927110382223759</v>
      </c>
      <c r="X558">
        <v>0.43525353120298782</v>
      </c>
      <c r="Z558" t="s">
        <v>392</v>
      </c>
      <c r="AA558">
        <v>9937</v>
      </c>
      <c r="AB558" t="s">
        <v>949</v>
      </c>
      <c r="AC558" t="str">
        <f>HYPERLINK("plots/20251231000436_3FT6Y121H01_04823_B11P_N_UFLEX98_M5358A8BH101511/dpll_52084/txpa_54252.png","plot")</f>
        <v>plot</v>
      </c>
    </row>
    <row r="559" spans="1:29" hidden="1" x14ac:dyDescent="0.35">
      <c r="A559" t="s">
        <v>46</v>
      </c>
      <c r="B559">
        <v>52084</v>
      </c>
      <c r="C559" t="s">
        <v>52</v>
      </c>
      <c r="D559">
        <v>54253</v>
      </c>
      <c r="E559" t="s">
        <v>273</v>
      </c>
      <c r="F559">
        <v>8671</v>
      </c>
      <c r="G559">
        <v>0.48229936454561578</v>
      </c>
      <c r="H559">
        <v>0</v>
      </c>
      <c r="I559">
        <v>0</v>
      </c>
      <c r="J559">
        <v>0.42891143425552741</v>
      </c>
      <c r="K559">
        <v>0</v>
      </c>
      <c r="L559">
        <v>0</v>
      </c>
      <c r="M559">
        <v>0.30500900505956791</v>
      </c>
      <c r="N559">
        <v>0</v>
      </c>
      <c r="O559">
        <v>0</v>
      </c>
      <c r="P559">
        <v>0.2326126770411048</v>
      </c>
      <c r="Q559">
        <v>1.8803020475602481</v>
      </c>
      <c r="R559">
        <v>3.6401855195890662</v>
      </c>
      <c r="S559">
        <v>0.41572022763433453</v>
      </c>
      <c r="T559">
        <v>0.28825664493650521</v>
      </c>
      <c r="U559">
        <v>4.318878441471572</v>
      </c>
      <c r="V559">
        <v>0.1217328980683054</v>
      </c>
      <c r="W559">
        <v>11.760981496251871</v>
      </c>
      <c r="X559">
        <v>0.47459033604351492</v>
      </c>
      <c r="Z559" t="s">
        <v>392</v>
      </c>
      <c r="AA559">
        <v>9937</v>
      </c>
      <c r="AB559" t="s">
        <v>950</v>
      </c>
      <c r="AC559" t="str">
        <f>HYPERLINK("plots/20251231000436_3FT6Y121H01_04823_B11P_N_UFLEX98_M5358A8BH101511/dpll_52084/txpa_54253.png","plot")</f>
        <v>plot</v>
      </c>
    </row>
    <row r="560" spans="1:29" hidden="1" x14ac:dyDescent="0.35">
      <c r="A560" t="s">
        <v>46</v>
      </c>
      <c r="B560">
        <v>52084</v>
      </c>
      <c r="C560" t="s">
        <v>52</v>
      </c>
      <c r="D560">
        <v>54254</v>
      </c>
      <c r="E560" t="s">
        <v>274</v>
      </c>
      <c r="F560">
        <v>8641</v>
      </c>
      <c r="G560">
        <v>0.48657247646608082</v>
      </c>
      <c r="H560">
        <v>0</v>
      </c>
      <c r="I560">
        <v>0</v>
      </c>
      <c r="J560">
        <v>0.46827990702224798</v>
      </c>
      <c r="K560">
        <v>0</v>
      </c>
      <c r="L560">
        <v>0</v>
      </c>
      <c r="M560">
        <v>0.33866965668768101</v>
      </c>
      <c r="N560">
        <v>0</v>
      </c>
      <c r="O560">
        <v>0</v>
      </c>
      <c r="P560">
        <v>0.2367527748543348</v>
      </c>
      <c r="Q560">
        <v>1.730792228848189</v>
      </c>
      <c r="R560">
        <v>4.3957654175561656</v>
      </c>
      <c r="S560">
        <v>0.37129116512512828</v>
      </c>
      <c r="T560">
        <v>0.24799270818999891</v>
      </c>
      <c r="U560">
        <v>4.3202579982640898</v>
      </c>
      <c r="V560">
        <v>0.1194839941617768</v>
      </c>
      <c r="W560">
        <v>11.87323438757088</v>
      </c>
      <c r="X560">
        <v>0.42501781043786951</v>
      </c>
      <c r="Z560" t="s">
        <v>392</v>
      </c>
      <c r="AA560">
        <v>9937</v>
      </c>
      <c r="AB560" t="s">
        <v>951</v>
      </c>
      <c r="AC560" t="str">
        <f>HYPERLINK("plots/20251231000436_3FT6Y121H01_04823_B11P_N_UFLEX98_M5358A8BH101511/dpll_52084/txpa_54254.png","plot")</f>
        <v>plot</v>
      </c>
    </row>
    <row r="561" spans="1:29" hidden="1" x14ac:dyDescent="0.35">
      <c r="A561" t="s">
        <v>46</v>
      </c>
      <c r="B561">
        <v>52084</v>
      </c>
      <c r="C561" t="s">
        <v>52</v>
      </c>
      <c r="D561">
        <v>54255</v>
      </c>
      <c r="E561" t="s">
        <v>275</v>
      </c>
      <c r="F561">
        <v>8623</v>
      </c>
      <c r="G561">
        <v>0.46015932138114429</v>
      </c>
      <c r="H561">
        <v>0</v>
      </c>
      <c r="I561">
        <v>0</v>
      </c>
      <c r="J561">
        <v>0.44716426561249739</v>
      </c>
      <c r="K561">
        <v>0</v>
      </c>
      <c r="L561">
        <v>0</v>
      </c>
      <c r="M561">
        <v>0.32011052352201308</v>
      </c>
      <c r="N561">
        <v>0</v>
      </c>
      <c r="O561">
        <v>0</v>
      </c>
      <c r="P561">
        <v>0.21174660105395529</v>
      </c>
      <c r="Q561">
        <v>1.6480808419495361</v>
      </c>
      <c r="R561">
        <v>4.7664018514576041</v>
      </c>
      <c r="S561">
        <v>0.37471955220340147</v>
      </c>
      <c r="T561">
        <v>0.25407786134465599</v>
      </c>
      <c r="U561">
        <v>4.3212694701380032</v>
      </c>
      <c r="V561">
        <v>0.1178496575999174</v>
      </c>
      <c r="W561">
        <v>11.888203278093471</v>
      </c>
      <c r="X561">
        <v>0.42208373034317331</v>
      </c>
      <c r="Z561" t="s">
        <v>392</v>
      </c>
      <c r="AA561">
        <v>9937</v>
      </c>
      <c r="AB561" t="s">
        <v>952</v>
      </c>
      <c r="AC561" t="str">
        <f>HYPERLINK("plots/20251231000436_3FT6Y121H01_04823_B11P_N_UFLEX98_M5358A8BH101511/dpll_52084/txpa_54255.png","plot")</f>
        <v>plot</v>
      </c>
    </row>
    <row r="562" spans="1:29" hidden="1" x14ac:dyDescent="0.35">
      <c r="A562" t="s">
        <v>46</v>
      </c>
      <c r="B562">
        <v>52084</v>
      </c>
      <c r="C562" t="s">
        <v>52</v>
      </c>
      <c r="D562">
        <v>54256</v>
      </c>
      <c r="E562" t="s">
        <v>276</v>
      </c>
      <c r="F562">
        <v>8668</v>
      </c>
      <c r="G562">
        <v>0.50761801647444149</v>
      </c>
      <c r="H562">
        <v>0</v>
      </c>
      <c r="I562">
        <v>0</v>
      </c>
      <c r="J562">
        <v>0.45914944818398951</v>
      </c>
      <c r="K562">
        <v>0</v>
      </c>
      <c r="L562">
        <v>0</v>
      </c>
      <c r="M562">
        <v>0.33030391957503619</v>
      </c>
      <c r="N562">
        <v>0</v>
      </c>
      <c r="O562">
        <v>0</v>
      </c>
      <c r="P562">
        <v>0.25767605064944638</v>
      </c>
      <c r="Q562">
        <v>1.8357022023986249</v>
      </c>
      <c r="R562">
        <v>3.9224340134881261</v>
      </c>
      <c r="S562">
        <v>0.37841159871806918</v>
      </c>
      <c r="T562">
        <v>0.25776724612113228</v>
      </c>
      <c r="U562">
        <v>4.3190797296954324</v>
      </c>
      <c r="V562">
        <v>0.121458399848122</v>
      </c>
      <c r="W562">
        <v>11.850978185625291</v>
      </c>
      <c r="X562">
        <v>0.43923076972236758</v>
      </c>
      <c r="Z562" t="s">
        <v>392</v>
      </c>
      <c r="AA562">
        <v>9937</v>
      </c>
      <c r="AB562" t="s">
        <v>953</v>
      </c>
      <c r="AC562" t="str">
        <f>HYPERLINK("plots/20251231000436_3FT6Y121H01_04823_B11P_N_UFLEX98_M5358A8BH101511/dpll_52084/txpa_54256.png","plot")</f>
        <v>plot</v>
      </c>
    </row>
    <row r="563" spans="1:29" hidden="1" x14ac:dyDescent="0.35">
      <c r="A563" t="s">
        <v>46</v>
      </c>
      <c r="B563">
        <v>52084</v>
      </c>
      <c r="C563" t="s">
        <v>52</v>
      </c>
      <c r="D563">
        <v>54257</v>
      </c>
      <c r="E563" t="s">
        <v>277</v>
      </c>
      <c r="F563">
        <v>8682</v>
      </c>
      <c r="G563">
        <v>0.51040895482377646</v>
      </c>
      <c r="H563">
        <v>0</v>
      </c>
      <c r="I563">
        <v>0</v>
      </c>
      <c r="J563">
        <v>0.43361972360410339</v>
      </c>
      <c r="K563">
        <v>0</v>
      </c>
      <c r="L563">
        <v>0</v>
      </c>
      <c r="M563">
        <v>0.3081746559698636</v>
      </c>
      <c r="N563">
        <v>0</v>
      </c>
      <c r="O563">
        <v>0</v>
      </c>
      <c r="P563">
        <v>0.26051730116429989</v>
      </c>
      <c r="Q563">
        <v>1.9250146438389939</v>
      </c>
      <c r="R563">
        <v>3.4911419141693081</v>
      </c>
      <c r="S563">
        <v>0.39765917070445911</v>
      </c>
      <c r="T563">
        <v>0.27777406209886779</v>
      </c>
      <c r="U563">
        <v>4.3183825992858793</v>
      </c>
      <c r="V563">
        <v>0.1226185719675575</v>
      </c>
      <c r="W563">
        <v>11.804091655494121</v>
      </c>
      <c r="X563">
        <v>0.46245769086412208</v>
      </c>
      <c r="Z563" t="s">
        <v>392</v>
      </c>
      <c r="AA563">
        <v>9937</v>
      </c>
      <c r="AB563" t="s">
        <v>954</v>
      </c>
      <c r="AC563" t="str">
        <f>HYPERLINK("plots/20251231000436_3FT6Y121H01_04823_B11P_N_UFLEX98_M5358A8BH101511/dpll_52084/txpa_54257.png","plot")</f>
        <v>plot</v>
      </c>
    </row>
    <row r="564" spans="1:29" hidden="1" x14ac:dyDescent="0.35">
      <c r="A564" t="s">
        <v>46</v>
      </c>
      <c r="B564">
        <v>52084</v>
      </c>
      <c r="C564" t="s">
        <v>52</v>
      </c>
      <c r="D564">
        <v>54258</v>
      </c>
      <c r="E564" t="s">
        <v>278</v>
      </c>
      <c r="F564">
        <v>8686</v>
      </c>
      <c r="G564">
        <v>0.51152524418639234</v>
      </c>
      <c r="H564">
        <v>0</v>
      </c>
      <c r="I564">
        <v>0</v>
      </c>
      <c r="J564">
        <v>0.44129869456554949</v>
      </c>
      <c r="K564">
        <v>0</v>
      </c>
      <c r="L564">
        <v>0</v>
      </c>
      <c r="M564">
        <v>0.31230066453008481</v>
      </c>
      <c r="N564">
        <v>0</v>
      </c>
      <c r="O564">
        <v>0</v>
      </c>
      <c r="P564">
        <v>0.26165807543994829</v>
      </c>
      <c r="Q564">
        <v>1.686465304666753</v>
      </c>
      <c r="R564">
        <v>4.6687737347156828</v>
      </c>
      <c r="S564">
        <v>0.3485929175371964</v>
      </c>
      <c r="T564">
        <v>0.24075427156272369</v>
      </c>
      <c r="U564">
        <v>4.3181564696062624</v>
      </c>
      <c r="V564">
        <v>0.12305647094265219</v>
      </c>
      <c r="W564">
        <v>11.951194800828921</v>
      </c>
      <c r="X564">
        <v>0.40570914362125682</v>
      </c>
      <c r="Z564" t="s">
        <v>392</v>
      </c>
      <c r="AA564">
        <v>9937</v>
      </c>
      <c r="AB564" t="s">
        <v>955</v>
      </c>
      <c r="AC564" t="str">
        <f>HYPERLINK("plots/20251231000436_3FT6Y121H01_04823_B11P_N_UFLEX98_M5358A8BH101511/dpll_52084/txpa_54258.png","plot")</f>
        <v>plot</v>
      </c>
    </row>
    <row r="565" spans="1:29" hidden="1" x14ac:dyDescent="0.35">
      <c r="A565" t="s">
        <v>46</v>
      </c>
      <c r="B565">
        <v>52084</v>
      </c>
      <c r="C565" t="s">
        <v>52</v>
      </c>
      <c r="D565">
        <v>55146</v>
      </c>
      <c r="E565" t="s">
        <v>279</v>
      </c>
      <c r="F565">
        <v>8705</v>
      </c>
      <c r="G565">
        <v>-3.6416396472858819E-3</v>
      </c>
      <c r="H565">
        <v>0.73406780559655027</v>
      </c>
      <c r="I565">
        <v>0.73406780559655027</v>
      </c>
      <c r="J565">
        <v>-2.975809637397824E-3</v>
      </c>
      <c r="K565">
        <v>0.78131518142472434</v>
      </c>
      <c r="L565">
        <v>0.78208646985653552</v>
      </c>
      <c r="M565">
        <v>-2.0632011727516721E-3</v>
      </c>
      <c r="N565">
        <v>0.77282418346684001</v>
      </c>
      <c r="O565">
        <v>0.77358708986710345</v>
      </c>
      <c r="P565">
        <v>1.326153932068445E-5</v>
      </c>
      <c r="Q565">
        <v>-0.1514534868712244</v>
      </c>
      <c r="R565">
        <v>-9.9629272154800326</v>
      </c>
      <c r="S565">
        <v>5.1808785637532369</v>
      </c>
      <c r="T565">
        <v>3.8980011667656029</v>
      </c>
      <c r="U565">
        <v>4.3168715340608843</v>
      </c>
      <c r="V565">
        <v>0.1245801734943538</v>
      </c>
      <c r="W565">
        <v>-10.616732461688679</v>
      </c>
      <c r="X565">
        <v>5.1812105255401679</v>
      </c>
      <c r="Z565" t="s">
        <v>392</v>
      </c>
      <c r="AA565">
        <v>9937</v>
      </c>
      <c r="AB565" t="s">
        <v>956</v>
      </c>
      <c r="AC565" t="str">
        <f>HYPERLINK("plots/20251231000436_3FT6Y121H01_04823_B11P_N_UFLEX98_M5358A8BH101511/dpll_52084/txpa_55146.png","plot")</f>
        <v>plot</v>
      </c>
    </row>
    <row r="566" spans="1:29" hidden="1" x14ac:dyDescent="0.35">
      <c r="A566" t="s">
        <v>46</v>
      </c>
      <c r="B566">
        <v>52084</v>
      </c>
      <c r="C566" t="s">
        <v>52</v>
      </c>
      <c r="D566">
        <v>55147</v>
      </c>
      <c r="E566" t="s">
        <v>280</v>
      </c>
      <c r="F566">
        <v>8716</v>
      </c>
      <c r="G566">
        <v>0.21632475958604111</v>
      </c>
      <c r="H566">
        <v>8.0850270078066183E-93</v>
      </c>
      <c r="I566">
        <v>8.8152875117375383E-93</v>
      </c>
      <c r="J566">
        <v>0.15281903804021399</v>
      </c>
      <c r="K566">
        <v>1.074282117935383E-46</v>
      </c>
      <c r="L566">
        <v>1.1613241658704461E-46</v>
      </c>
      <c r="M566">
        <v>0.1028202682768963</v>
      </c>
      <c r="N566">
        <v>6.0953238572813192E-47</v>
      </c>
      <c r="O566">
        <v>6.5891880504085903E-47</v>
      </c>
      <c r="P566">
        <v>4.6796401609958488E-2</v>
      </c>
      <c r="Q566">
        <v>1.9418316114486269</v>
      </c>
      <c r="R566">
        <v>-29.774885702153231</v>
      </c>
      <c r="S566">
        <v>1.0918905989234391</v>
      </c>
      <c r="T566">
        <v>0.84818951753524674</v>
      </c>
      <c r="U566">
        <v>4.3169497564249664</v>
      </c>
      <c r="V566">
        <v>0.1245965072716559</v>
      </c>
      <c r="W566">
        <v>-21.392096200091789</v>
      </c>
      <c r="X566">
        <v>1.1184361742002</v>
      </c>
      <c r="Z566" t="s">
        <v>392</v>
      </c>
      <c r="AA566">
        <v>9937</v>
      </c>
      <c r="AB566" t="s">
        <v>957</v>
      </c>
      <c r="AC566" t="str">
        <f>HYPERLINK("plots/20251231000436_3FT6Y121H01_04823_B11P_N_UFLEX98_M5358A8BH101511/dpll_52084/txpa_55147.png","plot")</f>
        <v>plot</v>
      </c>
    </row>
    <row r="567" spans="1:29" hidden="1" x14ac:dyDescent="0.35">
      <c r="A567" t="s">
        <v>46</v>
      </c>
      <c r="B567">
        <v>52084</v>
      </c>
      <c r="C567" t="s">
        <v>52</v>
      </c>
      <c r="D567">
        <v>55148</v>
      </c>
      <c r="E567" t="s">
        <v>281</v>
      </c>
      <c r="F567">
        <v>8716</v>
      </c>
      <c r="G567">
        <v>0.1631543248612769</v>
      </c>
      <c r="H567">
        <v>4.6260450975084605E-53</v>
      </c>
      <c r="I567">
        <v>4.8012382076495177E-53</v>
      </c>
      <c r="J567">
        <v>0.13125547945998139</v>
      </c>
      <c r="K567">
        <v>8.4652762088581887E-35</v>
      </c>
      <c r="L567">
        <v>8.8129261558338836E-35</v>
      </c>
      <c r="M567">
        <v>8.7524762468118328E-2</v>
      </c>
      <c r="N567">
        <v>1.7302265918884061E-34</v>
      </c>
      <c r="O567">
        <v>1.7957520615914469E-34</v>
      </c>
      <c r="P567">
        <v>2.6619333720939081E-2</v>
      </c>
      <c r="Q567">
        <v>1.570559501835175</v>
      </c>
      <c r="R567">
        <v>-28.82047645545633</v>
      </c>
      <c r="S567">
        <v>1.183254364950626</v>
      </c>
      <c r="T567">
        <v>0.92088659325961375</v>
      </c>
      <c r="U567">
        <v>4.3169497564249664</v>
      </c>
      <c r="V567">
        <v>0.1245965072716559</v>
      </c>
      <c r="W567">
        <v>-22.040449996558049</v>
      </c>
      <c r="X567">
        <v>1.1993934488549911</v>
      </c>
      <c r="Z567" t="s">
        <v>392</v>
      </c>
      <c r="AA567">
        <v>9937</v>
      </c>
      <c r="AB567" t="s">
        <v>958</v>
      </c>
      <c r="AC567" t="str">
        <f>HYPERLINK("plots/20251231000436_3FT6Y121H01_04823_B11P_N_UFLEX98_M5358A8BH101511/dpll_52084/txpa_55148.png","plot")</f>
        <v>plot</v>
      </c>
    </row>
    <row r="568" spans="1:29" hidden="1" x14ac:dyDescent="0.35">
      <c r="A568" t="s">
        <v>46</v>
      </c>
      <c r="B568">
        <v>52084</v>
      </c>
      <c r="C568" t="s">
        <v>52</v>
      </c>
      <c r="D568">
        <v>55149</v>
      </c>
      <c r="E568" t="s">
        <v>282</v>
      </c>
      <c r="F568">
        <v>8716</v>
      </c>
      <c r="G568">
        <v>0.13586989402737221</v>
      </c>
      <c r="H568">
        <v>3.4517777530300781E-37</v>
      </c>
      <c r="I568">
        <v>3.517691097057789E-37</v>
      </c>
      <c r="J568">
        <v>0.11927315203648139</v>
      </c>
      <c r="K568">
        <v>5.4913793425356468E-29</v>
      </c>
      <c r="L568">
        <v>5.6131639650515582E-29</v>
      </c>
      <c r="M568">
        <v>7.9162512925291001E-2</v>
      </c>
      <c r="N568">
        <v>1.602477602802046E-28</v>
      </c>
      <c r="O568">
        <v>1.6380164206061239E-28</v>
      </c>
      <c r="P568">
        <v>1.8460628103009351E-2</v>
      </c>
      <c r="Q568">
        <v>1.322104670187485</v>
      </c>
      <c r="R568">
        <v>-27.41644199244725</v>
      </c>
      <c r="S568">
        <v>1.201095163679901</v>
      </c>
      <c r="T568">
        <v>0.93452015442016223</v>
      </c>
      <c r="U568">
        <v>4.3169497564249664</v>
      </c>
      <c r="V568">
        <v>0.1245965072716559</v>
      </c>
      <c r="W568">
        <v>-21.708982558513078</v>
      </c>
      <c r="X568">
        <v>1.212407099689935</v>
      </c>
      <c r="Z568" t="s">
        <v>392</v>
      </c>
      <c r="AA568">
        <v>9937</v>
      </c>
      <c r="AB568" t="s">
        <v>959</v>
      </c>
      <c r="AC568" t="str">
        <f>HYPERLINK("plots/20251231000436_3FT6Y121H01_04823_B11P_N_UFLEX98_M5358A8BH101511/dpll_52084/txpa_55149.png","plot")</f>
        <v>plot</v>
      </c>
    </row>
    <row r="569" spans="1:29" hidden="1" x14ac:dyDescent="0.35">
      <c r="A569" t="s">
        <v>46</v>
      </c>
      <c r="B569">
        <v>52084</v>
      </c>
      <c r="C569" t="s">
        <v>52</v>
      </c>
      <c r="D569">
        <v>55150</v>
      </c>
      <c r="E569" t="s">
        <v>283</v>
      </c>
      <c r="F569">
        <v>8716</v>
      </c>
      <c r="G569">
        <v>0.1813863236725784</v>
      </c>
      <c r="H569">
        <v>2.3368201864154229E-65</v>
      </c>
      <c r="I569">
        <v>2.4682663219012909E-65</v>
      </c>
      <c r="J569">
        <v>0.14201061421393529</v>
      </c>
      <c r="K569">
        <v>1.6850634293961129E-40</v>
      </c>
      <c r="L569">
        <v>1.7948049552601461E-40</v>
      </c>
      <c r="M569">
        <v>9.5034318100281207E-2</v>
      </c>
      <c r="N569">
        <v>2.3490603821808009E-40</v>
      </c>
      <c r="O569">
        <v>2.502045407070727E-40</v>
      </c>
      <c r="P569">
        <v>3.2900998415453367E-2</v>
      </c>
      <c r="Q569">
        <v>1.720340005169166</v>
      </c>
      <c r="R569">
        <v>-29.12537258014272</v>
      </c>
      <c r="S569">
        <v>1.1620536271977699</v>
      </c>
      <c r="T569">
        <v>0.89591467538497183</v>
      </c>
      <c r="U569">
        <v>4.3169497564249664</v>
      </c>
      <c r="V569">
        <v>0.1245965072716559</v>
      </c>
      <c r="W569">
        <v>-21.69875121385957</v>
      </c>
      <c r="X569">
        <v>1.181722809216323</v>
      </c>
      <c r="Z569" t="s">
        <v>392</v>
      </c>
      <c r="AA569">
        <v>9937</v>
      </c>
      <c r="AB569" t="s">
        <v>960</v>
      </c>
      <c r="AC569" t="str">
        <f>HYPERLINK("plots/20251231000436_3FT6Y121H01_04823_B11P_N_UFLEX98_M5358A8BH101511/dpll_52084/txpa_55150.png","plot")</f>
        <v>plot</v>
      </c>
    </row>
    <row r="570" spans="1:29" hidden="1" x14ac:dyDescent="0.35">
      <c r="A570" t="s">
        <v>46</v>
      </c>
      <c r="B570">
        <v>52084</v>
      </c>
      <c r="C570" t="s">
        <v>52</v>
      </c>
      <c r="D570">
        <v>55151</v>
      </c>
      <c r="E570" t="s">
        <v>284</v>
      </c>
      <c r="F570">
        <v>8716</v>
      </c>
      <c r="G570">
        <v>0.1330383967388396</v>
      </c>
      <c r="H570">
        <v>1.033634194935497E-35</v>
      </c>
      <c r="I570">
        <v>1.0512588502152401E-35</v>
      </c>
      <c r="J570">
        <v>0.11299926464358449</v>
      </c>
      <c r="K570">
        <v>3.6135479234163528E-26</v>
      </c>
      <c r="L570">
        <v>3.6678053997439257E-26</v>
      </c>
      <c r="M570">
        <v>7.4935047146396261E-2</v>
      </c>
      <c r="N570">
        <v>9.9853096757072082E-26</v>
      </c>
      <c r="O570">
        <v>1.012510401116711E-25</v>
      </c>
      <c r="P570">
        <v>1.76992150068409E-2</v>
      </c>
      <c r="Q570">
        <v>1.3189500049672549</v>
      </c>
      <c r="R570">
        <v>-27.52185684462594</v>
      </c>
      <c r="S570">
        <v>1.2242060742466621</v>
      </c>
      <c r="T570">
        <v>0.94892479022987031</v>
      </c>
      <c r="U570">
        <v>4.3169497564249664</v>
      </c>
      <c r="V570">
        <v>0.1245965072716559</v>
      </c>
      <c r="W570">
        <v>-21.82801594194585</v>
      </c>
      <c r="X570">
        <v>1.235256647052454</v>
      </c>
      <c r="Z570" t="s">
        <v>392</v>
      </c>
      <c r="AA570">
        <v>9937</v>
      </c>
      <c r="AB570" t="s">
        <v>961</v>
      </c>
      <c r="AC570" t="str">
        <f>HYPERLINK("plots/20251231000436_3FT6Y121H01_04823_B11P_N_UFLEX98_M5358A8BH101511/dpll_52084/txpa_55151.png","plot")</f>
        <v>plot</v>
      </c>
    </row>
    <row r="571" spans="1:29" hidden="1" x14ac:dyDescent="0.35">
      <c r="A571" t="s">
        <v>46</v>
      </c>
      <c r="B571">
        <v>52084</v>
      </c>
      <c r="C571" t="s">
        <v>52</v>
      </c>
      <c r="D571">
        <v>55152</v>
      </c>
      <c r="E571" t="s">
        <v>285</v>
      </c>
      <c r="F571">
        <v>8716</v>
      </c>
      <c r="G571">
        <v>0.17926881784195761</v>
      </c>
      <c r="H571">
        <v>7.3676809047921659E-64</v>
      </c>
      <c r="I571">
        <v>7.7498220305593953E-64</v>
      </c>
      <c r="J571">
        <v>0.14241986439968371</v>
      </c>
      <c r="K571">
        <v>1.0013199687156101E-40</v>
      </c>
      <c r="L571">
        <v>1.06765346822043E-40</v>
      </c>
      <c r="M571">
        <v>9.5356612208863087E-2</v>
      </c>
      <c r="N571">
        <v>1.282599875596447E-40</v>
      </c>
      <c r="O571">
        <v>1.3675670597842241E-40</v>
      </c>
      <c r="P571">
        <v>3.2137309050452957E-2</v>
      </c>
      <c r="Q571">
        <v>1.6070737279677709</v>
      </c>
      <c r="R571">
        <v>-28.474029197984251</v>
      </c>
      <c r="S571">
        <v>1.098800566061346</v>
      </c>
      <c r="T571">
        <v>0.85243003732538247</v>
      </c>
      <c r="U571">
        <v>4.3169497564249664</v>
      </c>
      <c r="V571">
        <v>0.1245965072716559</v>
      </c>
      <c r="W571">
        <v>-21.536372659476822</v>
      </c>
      <c r="X571">
        <v>1.1169581851616279</v>
      </c>
      <c r="Z571" t="s">
        <v>392</v>
      </c>
      <c r="AA571">
        <v>9937</v>
      </c>
      <c r="AB571" t="s">
        <v>962</v>
      </c>
      <c r="AC571" t="str">
        <f>HYPERLINK("plots/20251231000436_3FT6Y121H01_04823_B11P_N_UFLEX98_M5358A8BH101511/dpll_52084/txpa_55152.png","plot")</f>
        <v>plot</v>
      </c>
    </row>
    <row r="572" spans="1:29" hidden="1" x14ac:dyDescent="0.35">
      <c r="A572" t="s">
        <v>46</v>
      </c>
      <c r="B572">
        <v>52084</v>
      </c>
      <c r="C572" t="s">
        <v>52</v>
      </c>
      <c r="D572">
        <v>55153</v>
      </c>
      <c r="E572" t="s">
        <v>286</v>
      </c>
      <c r="F572">
        <v>8716</v>
      </c>
      <c r="G572">
        <v>0.12925393150526729</v>
      </c>
      <c r="H572">
        <v>8.6676810267849167E-34</v>
      </c>
      <c r="I572">
        <v>8.7802483128470575E-34</v>
      </c>
      <c r="J572">
        <v>0.1174908510325342</v>
      </c>
      <c r="K572">
        <v>3.5971243258649891E-28</v>
      </c>
      <c r="L572">
        <v>3.6621325968143559E-28</v>
      </c>
      <c r="M572">
        <v>7.8322368070886217E-2</v>
      </c>
      <c r="N572">
        <v>5.9337389373002082E-28</v>
      </c>
      <c r="O572">
        <v>6.0409751831550306E-28</v>
      </c>
      <c r="P572">
        <v>1.6706578809568339E-2</v>
      </c>
      <c r="Q572">
        <v>1.2507804633117059</v>
      </c>
      <c r="R572">
        <v>-27.249778794819161</v>
      </c>
      <c r="S572">
        <v>1.19552826188835</v>
      </c>
      <c r="T572">
        <v>0.92785617799480569</v>
      </c>
      <c r="U572">
        <v>4.3169497564249664</v>
      </c>
      <c r="V572">
        <v>0.1245965072716559</v>
      </c>
      <c r="W572">
        <v>-21.850222378384579</v>
      </c>
      <c r="X572">
        <v>1.2057109232759491</v>
      </c>
      <c r="Z572" t="s">
        <v>392</v>
      </c>
      <c r="AA572">
        <v>9937</v>
      </c>
      <c r="AB572" t="s">
        <v>963</v>
      </c>
      <c r="AC572" t="str">
        <f>HYPERLINK("plots/20251231000436_3FT6Y121H01_04823_B11P_N_UFLEX98_M5358A8BH101511/dpll_52084/txpa_55153.png","plot")</f>
        <v>plot</v>
      </c>
    </row>
    <row r="573" spans="1:29" hidden="1" x14ac:dyDescent="0.35">
      <c r="A573" t="s">
        <v>46</v>
      </c>
      <c r="B573">
        <v>52084</v>
      </c>
      <c r="C573" t="s">
        <v>52</v>
      </c>
      <c r="D573">
        <v>55154</v>
      </c>
      <c r="E573" t="s">
        <v>287</v>
      </c>
      <c r="F573">
        <v>8716</v>
      </c>
      <c r="G573">
        <v>0.19923862742524301</v>
      </c>
      <c r="H573">
        <v>9.6840843436204228E-79</v>
      </c>
      <c r="I573">
        <v>1.044644843024586E-78</v>
      </c>
      <c r="J573">
        <v>0.14361727956811129</v>
      </c>
      <c r="K573">
        <v>2.1644495867178069E-41</v>
      </c>
      <c r="L573">
        <v>2.3151391149070209E-41</v>
      </c>
      <c r="M573">
        <v>9.6854374018890216E-2</v>
      </c>
      <c r="N573">
        <v>7.5220931293328084E-42</v>
      </c>
      <c r="O573">
        <v>8.0457831573243326E-42</v>
      </c>
      <c r="P573">
        <v>3.9696030658294808E-2</v>
      </c>
      <c r="Q573">
        <v>1.8821361993974211</v>
      </c>
      <c r="R573">
        <v>-29.655515653302238</v>
      </c>
      <c r="S573">
        <v>1.1533545190352299</v>
      </c>
      <c r="T573">
        <v>0.88909423338297133</v>
      </c>
      <c r="U573">
        <v>4.3169497564249664</v>
      </c>
      <c r="V573">
        <v>0.1245965072716559</v>
      </c>
      <c r="W573">
        <v>-21.53042824575493</v>
      </c>
      <c r="X573">
        <v>1.177018732185644</v>
      </c>
      <c r="Z573" t="s">
        <v>392</v>
      </c>
      <c r="AA573">
        <v>9937</v>
      </c>
      <c r="AB573" t="s">
        <v>964</v>
      </c>
      <c r="AC573" t="str">
        <f>HYPERLINK("plots/20251231000436_3FT6Y121H01_04823_B11P_N_UFLEX98_M5358A8BH101511/dpll_52084/txpa_55154.png","plot")</f>
        <v>plot</v>
      </c>
    </row>
    <row r="574" spans="1:29" hidden="1" x14ac:dyDescent="0.35">
      <c r="A574" t="s">
        <v>46</v>
      </c>
      <c r="B574">
        <v>52084</v>
      </c>
      <c r="C574" t="s">
        <v>52</v>
      </c>
      <c r="D574">
        <v>55155</v>
      </c>
      <c r="E574" t="s">
        <v>288</v>
      </c>
      <c r="F574">
        <v>8716</v>
      </c>
      <c r="G574">
        <v>0.34608012554898132</v>
      </c>
      <c r="H574">
        <v>9.8775289387077258E-244</v>
      </c>
      <c r="I574">
        <v>1.195204575638381E-243</v>
      </c>
      <c r="J574">
        <v>0.20836893366231349</v>
      </c>
      <c r="K574">
        <v>4.1620412039026931E-86</v>
      </c>
      <c r="L574">
        <v>4.6530427571745648E-86</v>
      </c>
      <c r="M574">
        <v>0.1400676499614564</v>
      </c>
      <c r="N574">
        <v>1.2932573281196679E-85</v>
      </c>
      <c r="O574">
        <v>1.4442323025477349E-85</v>
      </c>
      <c r="P574">
        <v>0.1197714532999986</v>
      </c>
      <c r="Q574">
        <v>1.1413640441331721</v>
      </c>
      <c r="R574">
        <v>-13.03640308442397</v>
      </c>
      <c r="S574">
        <v>0.3855016179154796</v>
      </c>
      <c r="T574">
        <v>0.30644275270311572</v>
      </c>
      <c r="U574">
        <v>4.3169497564249664</v>
      </c>
      <c r="V574">
        <v>0.1245965072716559</v>
      </c>
      <c r="W574">
        <v>-8.10919185211106</v>
      </c>
      <c r="X574">
        <v>0.410916325226304</v>
      </c>
      <c r="Z574" t="s">
        <v>392</v>
      </c>
      <c r="AA574">
        <v>9937</v>
      </c>
      <c r="AB574" t="s">
        <v>965</v>
      </c>
      <c r="AC574" t="str">
        <f>HYPERLINK("plots/20251231000436_3FT6Y121H01_04823_B11P_N_UFLEX98_M5358A8BH101511/dpll_52084/txpa_55155.png","plot")</f>
        <v>plot</v>
      </c>
    </row>
    <row r="575" spans="1:29" hidden="1" x14ac:dyDescent="0.35">
      <c r="A575" t="s">
        <v>46</v>
      </c>
      <c r="B575">
        <v>52084</v>
      </c>
      <c r="C575" t="s">
        <v>52</v>
      </c>
      <c r="D575">
        <v>55156</v>
      </c>
      <c r="E575" t="s">
        <v>289</v>
      </c>
      <c r="F575">
        <v>8716</v>
      </c>
      <c r="G575">
        <v>0.35841673639285038</v>
      </c>
      <c r="H575">
        <v>1.5973982597644601E-262</v>
      </c>
      <c r="I575">
        <v>1.9825726259500139E-262</v>
      </c>
      <c r="J575">
        <v>0.27365042212849078</v>
      </c>
      <c r="K575">
        <v>1.6206399315995769E-149</v>
      </c>
      <c r="L575">
        <v>2.074910215457034E-149</v>
      </c>
      <c r="M575">
        <v>0.18446359676495749</v>
      </c>
      <c r="N575">
        <v>4.7831794982319818E-147</v>
      </c>
      <c r="O575">
        <v>6.1008100769902265E-147</v>
      </c>
      <c r="P575">
        <v>0.12846255692650199</v>
      </c>
      <c r="Q575">
        <v>0.9825616579534826</v>
      </c>
      <c r="R575">
        <v>-12.89242185276966</v>
      </c>
      <c r="S575">
        <v>0.3188566728158358</v>
      </c>
      <c r="T575">
        <v>0.25565147305454072</v>
      </c>
      <c r="U575">
        <v>4.3169497564249664</v>
      </c>
      <c r="V575">
        <v>0.1245965072716559</v>
      </c>
      <c r="W575">
        <v>-8.6507525427948586</v>
      </c>
      <c r="X575">
        <v>0.34156817561629188</v>
      </c>
      <c r="Z575" t="s">
        <v>392</v>
      </c>
      <c r="AA575">
        <v>9937</v>
      </c>
      <c r="AB575" t="s">
        <v>966</v>
      </c>
      <c r="AC575" t="str">
        <f>HYPERLINK("plots/20251231000436_3FT6Y121H01_04823_B11P_N_UFLEX98_M5358A8BH101511/dpll_52084/txpa_55156.png","plot")</f>
        <v>plot</v>
      </c>
    </row>
    <row r="576" spans="1:29" hidden="1" x14ac:dyDescent="0.35">
      <c r="A576" t="s">
        <v>46</v>
      </c>
      <c r="B576">
        <v>52084</v>
      </c>
      <c r="C576" t="s">
        <v>52</v>
      </c>
      <c r="D576">
        <v>55157</v>
      </c>
      <c r="E576" t="s">
        <v>290</v>
      </c>
      <c r="F576">
        <v>8716</v>
      </c>
      <c r="G576">
        <v>0.20183806663711201</v>
      </c>
      <c r="H576">
        <v>8.4142342710287869E-81</v>
      </c>
      <c r="I576">
        <v>9.1056921566949737E-81</v>
      </c>
      <c r="J576">
        <v>0.16908524588384971</v>
      </c>
      <c r="K576">
        <v>6.5370731251728309E-57</v>
      </c>
      <c r="L576">
        <v>7.0894033678344927E-57</v>
      </c>
      <c r="M576">
        <v>0.1118657515790948</v>
      </c>
      <c r="N576">
        <v>2.789190173811714E-55</v>
      </c>
      <c r="O576">
        <v>3.0248543703155919E-55</v>
      </c>
      <c r="P576">
        <v>4.0738605143807248E-2</v>
      </c>
      <c r="Q576">
        <v>0.7900091620853571</v>
      </c>
      <c r="R576">
        <v>-11.82203879214627</v>
      </c>
      <c r="S576">
        <v>0.47761558203601162</v>
      </c>
      <c r="T576">
        <v>0.37645961386658172</v>
      </c>
      <c r="U576">
        <v>4.3169497564249664</v>
      </c>
      <c r="V576">
        <v>0.1245965072716559</v>
      </c>
      <c r="W576">
        <v>-8.4116089323083987</v>
      </c>
      <c r="X576">
        <v>0.48767997012880709</v>
      </c>
      <c r="Z576" t="s">
        <v>392</v>
      </c>
      <c r="AA576">
        <v>9937</v>
      </c>
      <c r="AB576" t="s">
        <v>967</v>
      </c>
      <c r="AC576" t="str">
        <f>HYPERLINK("plots/20251231000436_3FT6Y121H01_04823_B11P_N_UFLEX98_M5358A8BH101511/dpll_52084/txpa_55157.png","plot")</f>
        <v>plot</v>
      </c>
    </row>
    <row r="577" spans="1:29" hidden="1" x14ac:dyDescent="0.35">
      <c r="A577" t="s">
        <v>46</v>
      </c>
      <c r="B577">
        <v>52084</v>
      </c>
      <c r="C577" t="s">
        <v>52</v>
      </c>
      <c r="D577">
        <v>55158</v>
      </c>
      <c r="E577" t="s">
        <v>291</v>
      </c>
      <c r="F577">
        <v>8716</v>
      </c>
      <c r="G577">
        <v>0.32056865990946332</v>
      </c>
      <c r="H577">
        <v>1.735218504470687E-207</v>
      </c>
      <c r="I577">
        <v>2.020105124607666E-207</v>
      </c>
      <c r="J577">
        <v>0.25295222931324163</v>
      </c>
      <c r="K577">
        <v>2.5561964803178959E-127</v>
      </c>
      <c r="L577">
        <v>3.093058748260557E-127</v>
      </c>
      <c r="M577">
        <v>0.17046012903272029</v>
      </c>
      <c r="N577">
        <v>7.2431945762955722E-126</v>
      </c>
      <c r="O577">
        <v>8.7644383059232817E-126</v>
      </c>
      <c r="P577">
        <v>0.10276426571614911</v>
      </c>
      <c r="Q577">
        <v>1.081364897484407</v>
      </c>
      <c r="R577">
        <v>-13.06825209062284</v>
      </c>
      <c r="S577">
        <v>0.39809382408707428</v>
      </c>
      <c r="T577">
        <v>0.32023694050966528</v>
      </c>
      <c r="U577">
        <v>4.3169497564249664</v>
      </c>
      <c r="V577">
        <v>0.1245965072716559</v>
      </c>
      <c r="W577">
        <v>-8.4000541598210194</v>
      </c>
      <c r="X577">
        <v>0.42029775883513287</v>
      </c>
      <c r="Z577" t="s">
        <v>392</v>
      </c>
      <c r="AA577">
        <v>9937</v>
      </c>
      <c r="AB577" t="s">
        <v>968</v>
      </c>
      <c r="AC577" t="str">
        <f>HYPERLINK("plots/20251231000436_3FT6Y121H01_04823_B11P_N_UFLEX98_M5358A8BH101511/dpll_52084/txpa_55158.png","plot")</f>
        <v>plot</v>
      </c>
    </row>
    <row r="578" spans="1:29" hidden="1" x14ac:dyDescent="0.35">
      <c r="A578" t="s">
        <v>46</v>
      </c>
      <c r="B578">
        <v>52084</v>
      </c>
      <c r="C578" t="s">
        <v>52</v>
      </c>
      <c r="D578">
        <v>55159</v>
      </c>
      <c r="E578" t="s">
        <v>292</v>
      </c>
      <c r="F578">
        <v>8716</v>
      </c>
      <c r="G578">
        <v>0.2188595308376354</v>
      </c>
      <c r="H578">
        <v>5.1476625817720432E-95</v>
      </c>
      <c r="I578">
        <v>5.6429511977479471E-95</v>
      </c>
      <c r="J578">
        <v>0.185790448863668</v>
      </c>
      <c r="K578">
        <v>1.5546513672167979E-68</v>
      </c>
      <c r="L578">
        <v>1.7023936137773569E-68</v>
      </c>
      <c r="M578">
        <v>0.1225293346090349</v>
      </c>
      <c r="N578">
        <v>5.8749374486499803E-66</v>
      </c>
      <c r="O578">
        <v>6.4332468390184442E-66</v>
      </c>
      <c r="P578">
        <v>4.7899494238469877E-2</v>
      </c>
      <c r="Q578">
        <v>0.83681158304889569</v>
      </c>
      <c r="R578">
        <v>-12.140166282195681</v>
      </c>
      <c r="S578">
        <v>0.46481974724507408</v>
      </c>
      <c r="T578">
        <v>0.35699082957379519</v>
      </c>
      <c r="U578">
        <v>4.3169497564249664</v>
      </c>
      <c r="V578">
        <v>0.1245965072716559</v>
      </c>
      <c r="W578">
        <v>-8.5276927225791628</v>
      </c>
      <c r="X578">
        <v>0.47639597916212062</v>
      </c>
      <c r="Z578" t="s">
        <v>392</v>
      </c>
      <c r="AA578">
        <v>9937</v>
      </c>
      <c r="AB578" t="s">
        <v>969</v>
      </c>
      <c r="AC578" t="str">
        <f>HYPERLINK("plots/20251231000436_3FT6Y121H01_04823_B11P_N_UFLEX98_M5358A8BH101511/dpll_52084/txpa_55159.png","plot")</f>
        <v>plot</v>
      </c>
    </row>
    <row r="579" spans="1:29" hidden="1" x14ac:dyDescent="0.35">
      <c r="A579" t="s">
        <v>46</v>
      </c>
      <c r="B579">
        <v>52084</v>
      </c>
      <c r="C579" t="s">
        <v>52</v>
      </c>
      <c r="D579">
        <v>55160</v>
      </c>
      <c r="E579" t="s">
        <v>293</v>
      </c>
      <c r="F579">
        <v>8716</v>
      </c>
      <c r="G579">
        <v>0.33996409303483072</v>
      </c>
      <c r="H579">
        <v>1.0017892707831579E-234</v>
      </c>
      <c r="I579">
        <v>1.1880869246480961E-234</v>
      </c>
      <c r="J579">
        <v>0.26802743461428807</v>
      </c>
      <c r="K579">
        <v>2.7440125533398768E-143</v>
      </c>
      <c r="L579">
        <v>3.460732250107755E-143</v>
      </c>
      <c r="M579">
        <v>0.17972270001021581</v>
      </c>
      <c r="N579">
        <v>1.0867021608282671E-139</v>
      </c>
      <c r="O579">
        <v>1.3553702227304581E-139</v>
      </c>
      <c r="P579">
        <v>0.11557558455299501</v>
      </c>
      <c r="Q579">
        <v>0.9571870983122106</v>
      </c>
      <c r="R579">
        <v>-12.443501362862451</v>
      </c>
      <c r="S579">
        <v>0.32989452021182758</v>
      </c>
      <c r="T579">
        <v>0.26529407435866909</v>
      </c>
      <c r="U579">
        <v>4.3169497564249664</v>
      </c>
      <c r="V579">
        <v>0.1245965072716559</v>
      </c>
      <c r="W579">
        <v>-8.3113727519504366</v>
      </c>
      <c r="X579">
        <v>0.35080813444310899</v>
      </c>
      <c r="Z579" t="s">
        <v>392</v>
      </c>
      <c r="AA579">
        <v>9937</v>
      </c>
      <c r="AB579" t="s">
        <v>970</v>
      </c>
      <c r="AC579" t="str">
        <f>HYPERLINK("plots/20251231000436_3FT6Y121H01_04823_B11P_N_UFLEX98_M5358A8BH101511/dpll_52084/txpa_55160.png","plot")</f>
        <v>plot</v>
      </c>
    </row>
    <row r="580" spans="1:29" hidden="1" x14ac:dyDescent="0.35">
      <c r="A580" t="s">
        <v>46</v>
      </c>
      <c r="B580">
        <v>52084</v>
      </c>
      <c r="C580" t="s">
        <v>52</v>
      </c>
      <c r="D580">
        <v>55161</v>
      </c>
      <c r="E580" t="s">
        <v>294</v>
      </c>
      <c r="F580">
        <v>8716</v>
      </c>
      <c r="G580">
        <v>0.24611047345655501</v>
      </c>
      <c r="H580">
        <v>2.03931029367367E-120</v>
      </c>
      <c r="I580">
        <v>2.272374327236376E-120</v>
      </c>
      <c r="J580">
        <v>0.2043858060399143</v>
      </c>
      <c r="K580">
        <v>7.5329781042423387E-83</v>
      </c>
      <c r="L580">
        <v>8.3846759579601869E-83</v>
      </c>
      <c r="M580">
        <v>0.13533771881106571</v>
      </c>
      <c r="N580">
        <v>4.6971639671585388E-80</v>
      </c>
      <c r="O580">
        <v>5.2225046740117969E-80</v>
      </c>
      <c r="P580">
        <v>6.0570365145009637E-2</v>
      </c>
      <c r="Q580">
        <v>0.76767277130905143</v>
      </c>
      <c r="R580">
        <v>-11.847282990092371</v>
      </c>
      <c r="S580">
        <v>0.37666834351207501</v>
      </c>
      <c r="T580">
        <v>0.29686300179975861</v>
      </c>
      <c r="U580">
        <v>4.3169497564249664</v>
      </c>
      <c r="V580">
        <v>0.1245965072716559</v>
      </c>
      <c r="W580">
        <v>-8.5332782069756767</v>
      </c>
      <c r="X580">
        <v>0.38864394793643381</v>
      </c>
      <c r="Z580" t="s">
        <v>392</v>
      </c>
      <c r="AA580">
        <v>9937</v>
      </c>
      <c r="AB580" t="s">
        <v>971</v>
      </c>
      <c r="AC580" t="str">
        <f>HYPERLINK("plots/20251231000436_3FT6Y121H01_04823_B11P_N_UFLEX98_M5358A8BH101511/dpll_52084/txpa_55161.png","plot")</f>
        <v>plot</v>
      </c>
    </row>
    <row r="581" spans="1:29" hidden="1" x14ac:dyDescent="0.35">
      <c r="A581" t="s">
        <v>46</v>
      </c>
      <c r="B581">
        <v>52084</v>
      </c>
      <c r="C581" t="s">
        <v>52</v>
      </c>
      <c r="D581">
        <v>55162</v>
      </c>
      <c r="E581" t="s">
        <v>295</v>
      </c>
      <c r="F581">
        <v>8716</v>
      </c>
      <c r="G581">
        <v>0.31012446222605072</v>
      </c>
      <c r="H581">
        <v>1.2438263307126511E-193</v>
      </c>
      <c r="I581">
        <v>1.4332271583438959E-193</v>
      </c>
      <c r="J581">
        <v>0.20704872850651701</v>
      </c>
      <c r="K581">
        <v>5.0886999077309431E-85</v>
      </c>
      <c r="L581">
        <v>5.6827551833030562E-85</v>
      </c>
      <c r="M581">
        <v>0.1391332091825363</v>
      </c>
      <c r="N581">
        <v>1.6724559709769009E-84</v>
      </c>
      <c r="O581">
        <v>1.8656439544230781E-84</v>
      </c>
      <c r="P581">
        <v>9.6177182070997125E-2</v>
      </c>
      <c r="Q581">
        <v>1.1301639855498189</v>
      </c>
      <c r="R581">
        <v>-13.00340082008816</v>
      </c>
      <c r="S581">
        <v>0.43164632064881719</v>
      </c>
      <c r="T581">
        <v>0.34702921993740038</v>
      </c>
      <c r="U581">
        <v>4.3169497564249664</v>
      </c>
      <c r="V581">
        <v>0.1245965072716559</v>
      </c>
      <c r="W581">
        <v>-8.124539677948599</v>
      </c>
      <c r="X581">
        <v>0.45405797476589088</v>
      </c>
      <c r="Z581" t="s">
        <v>392</v>
      </c>
      <c r="AA581">
        <v>9937</v>
      </c>
      <c r="AB581" t="s">
        <v>972</v>
      </c>
      <c r="AC581" t="str">
        <f>HYPERLINK("plots/20251231000436_3FT6Y121H01_04823_B11P_N_UFLEX98_M5358A8BH101511/dpll_52084/txpa_55162.png","plot")</f>
        <v>plot</v>
      </c>
    </row>
    <row r="582" spans="1:29" hidden="1" x14ac:dyDescent="0.35">
      <c r="A582" t="s">
        <v>46</v>
      </c>
      <c r="B582">
        <v>52084</v>
      </c>
      <c r="C582" t="s">
        <v>52</v>
      </c>
      <c r="D582">
        <v>55163</v>
      </c>
      <c r="E582" t="s">
        <v>296</v>
      </c>
      <c r="F582">
        <v>8716</v>
      </c>
      <c r="G582">
        <v>0.35404650946417149</v>
      </c>
      <c r="H582">
        <v>9.0525653284446886E-256</v>
      </c>
      <c r="I582">
        <v>1.104609054517799E-255</v>
      </c>
      <c r="J582">
        <v>0.21650044662657031</v>
      </c>
      <c r="K582">
        <v>5.7065382664186887E-93</v>
      </c>
      <c r="L582">
        <v>6.4580689756122206E-93</v>
      </c>
      <c r="M582">
        <v>0.1455020268351456</v>
      </c>
      <c r="N582">
        <v>3.0152906590427179E-92</v>
      </c>
      <c r="O582">
        <v>3.4200276602565048E-92</v>
      </c>
      <c r="P582">
        <v>0.1253489308637637</v>
      </c>
      <c r="Q582">
        <v>1.0359186776129909</v>
      </c>
      <c r="R582">
        <v>-6.6578843639520393</v>
      </c>
      <c r="S582">
        <v>0.34092881993082519</v>
      </c>
      <c r="T582">
        <v>0.27104087688231521</v>
      </c>
      <c r="U582">
        <v>4.3169497564249664</v>
      </c>
      <c r="V582">
        <v>0.1245965072716559</v>
      </c>
      <c r="W582">
        <v>-2.1858754809545662</v>
      </c>
      <c r="X582">
        <v>0.36456184596592628</v>
      </c>
      <c r="Z582" t="s">
        <v>392</v>
      </c>
      <c r="AA582">
        <v>9937</v>
      </c>
      <c r="AB582" t="s">
        <v>973</v>
      </c>
      <c r="AC582" t="str">
        <f>HYPERLINK("plots/20251231000436_3FT6Y121H01_04823_B11P_N_UFLEX98_M5358A8BH101511/dpll_52084/txpa_55163.png","plot")</f>
        <v>plot</v>
      </c>
    </row>
    <row r="583" spans="1:29" hidden="1" x14ac:dyDescent="0.35">
      <c r="A583" t="s">
        <v>46</v>
      </c>
      <c r="B583">
        <v>52084</v>
      </c>
      <c r="C583" t="s">
        <v>52</v>
      </c>
      <c r="D583">
        <v>55164</v>
      </c>
      <c r="E583" t="s">
        <v>297</v>
      </c>
      <c r="F583">
        <v>8716</v>
      </c>
      <c r="G583">
        <v>0.37874877370681298</v>
      </c>
      <c r="H583">
        <v>2.2665715274645432E-295</v>
      </c>
      <c r="I583">
        <v>2.942770203391865E-295</v>
      </c>
      <c r="J583">
        <v>0.28754839999082971</v>
      </c>
      <c r="K583">
        <v>1.4707310363221279E-165</v>
      </c>
      <c r="L583">
        <v>1.9622648300403129E-165</v>
      </c>
      <c r="M583">
        <v>0.193927533503883</v>
      </c>
      <c r="N583">
        <v>2.4729811924770409E-162</v>
      </c>
      <c r="O583">
        <v>3.2693649663255789E-162</v>
      </c>
      <c r="P583">
        <v>0.14345063358441459</v>
      </c>
      <c r="Q583">
        <v>0.91054758173308714</v>
      </c>
      <c r="R583">
        <v>-6.6122412378166544</v>
      </c>
      <c r="S583">
        <v>0.27720978891951198</v>
      </c>
      <c r="T583">
        <v>0.22255836763522791</v>
      </c>
      <c r="U583">
        <v>4.3169497564249664</v>
      </c>
      <c r="V583">
        <v>0.1245965072716559</v>
      </c>
      <c r="W583">
        <v>-2.6814530766406608</v>
      </c>
      <c r="X583">
        <v>0.29954169165552741</v>
      </c>
      <c r="Z583" t="s">
        <v>392</v>
      </c>
      <c r="AA583">
        <v>9937</v>
      </c>
      <c r="AB583" t="s">
        <v>974</v>
      </c>
      <c r="AC583" t="str">
        <f>HYPERLINK("plots/20251231000436_3FT6Y121H01_04823_B11P_N_UFLEX98_M5358A8BH101511/dpll_52084/txpa_55164.png","plot")</f>
        <v>plot</v>
      </c>
    </row>
    <row r="584" spans="1:29" hidden="1" x14ac:dyDescent="0.35">
      <c r="A584" t="s">
        <v>46</v>
      </c>
      <c r="B584">
        <v>52084</v>
      </c>
      <c r="C584" t="s">
        <v>52</v>
      </c>
      <c r="D584">
        <v>55165</v>
      </c>
      <c r="E584" t="s">
        <v>298</v>
      </c>
      <c r="F584">
        <v>8716</v>
      </c>
      <c r="G584">
        <v>0.21757388328134639</v>
      </c>
      <c r="H584">
        <v>6.7447693267590776E-94</v>
      </c>
      <c r="I584">
        <v>7.3698233807475268E-94</v>
      </c>
      <c r="J584">
        <v>0.18183939707109281</v>
      </c>
      <c r="K584">
        <v>1.110526982440465E-65</v>
      </c>
      <c r="L584">
        <v>1.212136017432327E-65</v>
      </c>
      <c r="M584">
        <v>0.120661177604193</v>
      </c>
      <c r="N584">
        <v>5.0342488963393707E-64</v>
      </c>
      <c r="O584">
        <v>5.4948637038623503E-64</v>
      </c>
      <c r="P584">
        <v>4.7338394686124941E-2</v>
      </c>
      <c r="Q584">
        <v>0.74602099551532841</v>
      </c>
      <c r="R584">
        <v>-5.7003642311742739</v>
      </c>
      <c r="S584">
        <v>0.41696017023525739</v>
      </c>
      <c r="T584">
        <v>0.32808922280528341</v>
      </c>
      <c r="U584">
        <v>4.3169497564249664</v>
      </c>
      <c r="V584">
        <v>0.1245965072716559</v>
      </c>
      <c r="W584">
        <v>-2.4798290762964661</v>
      </c>
      <c r="X584">
        <v>0.42721860266812062</v>
      </c>
      <c r="Z584" t="s">
        <v>392</v>
      </c>
      <c r="AA584">
        <v>9937</v>
      </c>
      <c r="AB584" t="s">
        <v>975</v>
      </c>
      <c r="AC584" t="str">
        <f>HYPERLINK("plots/20251231000436_3FT6Y121H01_04823_B11P_N_UFLEX98_M5358A8BH101511/dpll_52084/txpa_55165.png","plot")</f>
        <v>plot</v>
      </c>
    </row>
    <row r="585" spans="1:29" hidden="1" x14ac:dyDescent="0.35">
      <c r="A585" t="s">
        <v>46</v>
      </c>
      <c r="B585">
        <v>52084</v>
      </c>
      <c r="C585" t="s">
        <v>52</v>
      </c>
      <c r="D585">
        <v>55166</v>
      </c>
      <c r="E585" t="s">
        <v>299</v>
      </c>
      <c r="F585">
        <v>8716</v>
      </c>
      <c r="G585">
        <v>0.33545205599489952</v>
      </c>
      <c r="H585">
        <v>3.2769859515410298E-228</v>
      </c>
      <c r="I585">
        <v>3.8637950637937262E-228</v>
      </c>
      <c r="J585">
        <v>0.26727891475716592</v>
      </c>
      <c r="K585">
        <v>1.804233542099157E-142</v>
      </c>
      <c r="L585">
        <v>2.2670295064294239E-142</v>
      </c>
      <c r="M585">
        <v>0.18035111021741429</v>
      </c>
      <c r="N585">
        <v>1.1258595346656691E-140</v>
      </c>
      <c r="O585">
        <v>1.4111515057490589E-140</v>
      </c>
      <c r="P585">
        <v>0.11252808187120519</v>
      </c>
      <c r="Q585">
        <v>0.99386003407132406</v>
      </c>
      <c r="R585">
        <v>-6.7590246728720818</v>
      </c>
      <c r="S585">
        <v>0.34773870443862498</v>
      </c>
      <c r="T585">
        <v>0.27904167792410017</v>
      </c>
      <c r="U585">
        <v>4.3169497564249664</v>
      </c>
      <c r="V585">
        <v>0.1245965072716559</v>
      </c>
      <c r="W585">
        <v>-2.4685808408673702</v>
      </c>
      <c r="X585">
        <v>0.3691480995545271</v>
      </c>
      <c r="Z585" t="s">
        <v>392</v>
      </c>
      <c r="AA585">
        <v>9937</v>
      </c>
      <c r="AB585" t="s">
        <v>976</v>
      </c>
      <c r="AC585" t="str">
        <f>HYPERLINK("plots/20251231000436_3FT6Y121H01_04823_B11P_N_UFLEX98_M5358A8BH101511/dpll_52084/txpa_55166.png","plot")</f>
        <v>plot</v>
      </c>
    </row>
    <row r="586" spans="1:29" hidden="1" x14ac:dyDescent="0.35">
      <c r="A586" t="s">
        <v>46</v>
      </c>
      <c r="B586">
        <v>52084</v>
      </c>
      <c r="C586" t="s">
        <v>52</v>
      </c>
      <c r="D586">
        <v>55167</v>
      </c>
      <c r="E586" t="s">
        <v>300</v>
      </c>
      <c r="F586">
        <v>8716</v>
      </c>
      <c r="G586">
        <v>0.2322184646290798</v>
      </c>
      <c r="H586">
        <v>4.698015814870693E-107</v>
      </c>
      <c r="I586">
        <v>5.1780304742161769E-107</v>
      </c>
      <c r="J586">
        <v>0.19588501047036769</v>
      </c>
      <c r="K586">
        <v>4.0050217029951038E-76</v>
      </c>
      <c r="L586">
        <v>4.4190337397573837E-76</v>
      </c>
      <c r="M586">
        <v>0.12962851645329559</v>
      </c>
      <c r="N586">
        <v>1.311965840061451E-73</v>
      </c>
      <c r="O586">
        <v>1.4460145237199029E-73</v>
      </c>
      <c r="P586">
        <v>5.392541531468719E-2</v>
      </c>
      <c r="Q586">
        <v>0.78165818776231288</v>
      </c>
      <c r="R586">
        <v>-5.9542352071368443</v>
      </c>
      <c r="S586">
        <v>0.40790945608350421</v>
      </c>
      <c r="T586">
        <v>0.31200525693712172</v>
      </c>
      <c r="U586">
        <v>4.3169497564249664</v>
      </c>
      <c r="V586">
        <v>0.1245965072716559</v>
      </c>
      <c r="W586">
        <v>-2.579856083868747</v>
      </c>
      <c r="X586">
        <v>0.4193976574215979</v>
      </c>
      <c r="Z586" t="s">
        <v>392</v>
      </c>
      <c r="AA586">
        <v>9937</v>
      </c>
      <c r="AB586" t="s">
        <v>977</v>
      </c>
      <c r="AC586" t="str">
        <f>HYPERLINK("plots/20251231000436_3FT6Y121H01_04823_B11P_N_UFLEX98_M5358A8BH101511/dpll_52084/txpa_55167.png","plot")</f>
        <v>plot</v>
      </c>
    </row>
    <row r="587" spans="1:29" hidden="1" x14ac:dyDescent="0.35">
      <c r="A587" t="s">
        <v>46</v>
      </c>
      <c r="B587">
        <v>52084</v>
      </c>
      <c r="C587" t="s">
        <v>52</v>
      </c>
      <c r="D587">
        <v>55168</v>
      </c>
      <c r="E587" t="s">
        <v>301</v>
      </c>
      <c r="F587">
        <v>8716</v>
      </c>
      <c r="G587">
        <v>0.36169431642177258</v>
      </c>
      <c r="H587">
        <v>1.1699511174755861E-267</v>
      </c>
      <c r="I587">
        <v>1.464605472987955E-267</v>
      </c>
      <c r="J587">
        <v>0.2854359201943919</v>
      </c>
      <c r="K587">
        <v>4.6334729465628121E-163</v>
      </c>
      <c r="L587">
        <v>6.1176322497587121E-163</v>
      </c>
      <c r="M587">
        <v>0.1919493942693368</v>
      </c>
      <c r="N587">
        <v>4.4270536944244688E-159</v>
      </c>
      <c r="O587">
        <v>5.7997835221529868E-159</v>
      </c>
      <c r="P587">
        <v>0.13082277853181329</v>
      </c>
      <c r="Q587">
        <v>0.89664225791122754</v>
      </c>
      <c r="R587">
        <v>-6.2637170687442669</v>
      </c>
      <c r="S587">
        <v>0.28794705410548099</v>
      </c>
      <c r="T587">
        <v>0.2313661137733527</v>
      </c>
      <c r="U587">
        <v>4.3169497564249664</v>
      </c>
      <c r="V587">
        <v>0.1245965072716559</v>
      </c>
      <c r="W587">
        <v>-2.392957491854061</v>
      </c>
      <c r="X587">
        <v>0.3088754468500825</v>
      </c>
      <c r="Z587" t="s">
        <v>392</v>
      </c>
      <c r="AA587">
        <v>9937</v>
      </c>
      <c r="AB587" t="s">
        <v>978</v>
      </c>
      <c r="AC587" t="str">
        <f>HYPERLINK("plots/20251231000436_3FT6Y121H01_04823_B11P_N_UFLEX98_M5358A8BH101511/dpll_52084/txpa_55168.png","plot")</f>
        <v>plot</v>
      </c>
    </row>
    <row r="588" spans="1:29" hidden="1" x14ac:dyDescent="0.35">
      <c r="A588" t="s">
        <v>46</v>
      </c>
      <c r="B588">
        <v>52084</v>
      </c>
      <c r="C588" t="s">
        <v>52</v>
      </c>
      <c r="D588">
        <v>55169</v>
      </c>
      <c r="E588" t="s">
        <v>302</v>
      </c>
      <c r="F588">
        <v>8716</v>
      </c>
      <c r="G588">
        <v>0.26787681180308731</v>
      </c>
      <c r="H588">
        <v>4.0103574402771648E-143</v>
      </c>
      <c r="I588">
        <v>4.5233620071646782E-143</v>
      </c>
      <c r="J588">
        <v>0.21987167235338009</v>
      </c>
      <c r="K588">
        <v>6.7124511184587801E-96</v>
      </c>
      <c r="L588">
        <v>7.7610324220264582E-96</v>
      </c>
      <c r="M588">
        <v>0.146287432861614</v>
      </c>
      <c r="N588">
        <v>3.1758025488918039E-93</v>
      </c>
      <c r="O588">
        <v>3.6182739152542581E-93</v>
      </c>
      <c r="P588">
        <v>7.1757986301786633E-2</v>
      </c>
      <c r="Q588">
        <v>0.73124783350394129</v>
      </c>
      <c r="R588">
        <v>-5.7378741568458551</v>
      </c>
      <c r="S588">
        <v>0.32767328479389879</v>
      </c>
      <c r="T588">
        <v>0.25743774940994729</v>
      </c>
      <c r="U588">
        <v>4.3169497564249664</v>
      </c>
      <c r="V588">
        <v>0.1245965072716559</v>
      </c>
      <c r="W588">
        <v>-2.5811140001147321</v>
      </c>
      <c r="X588">
        <v>0.34012248164104197</v>
      </c>
      <c r="Z588" t="s">
        <v>392</v>
      </c>
      <c r="AA588">
        <v>9937</v>
      </c>
      <c r="AB588" t="s">
        <v>979</v>
      </c>
      <c r="AC588" t="str">
        <f>HYPERLINK("plots/20251231000436_3FT6Y121H01_04823_B11P_N_UFLEX98_M5358A8BH101511/dpll_52084/txpa_55169.png","plot")</f>
        <v>plot</v>
      </c>
    </row>
    <row r="589" spans="1:29" hidden="1" x14ac:dyDescent="0.35">
      <c r="A589" t="s">
        <v>46</v>
      </c>
      <c r="B589">
        <v>52084</v>
      </c>
      <c r="C589" t="s">
        <v>52</v>
      </c>
      <c r="D589">
        <v>55170</v>
      </c>
      <c r="E589" t="s">
        <v>303</v>
      </c>
      <c r="F589">
        <v>8716</v>
      </c>
      <c r="G589">
        <v>0.32034208444107171</v>
      </c>
      <c r="H589">
        <v>3.5146778607786403E-207</v>
      </c>
      <c r="I589">
        <v>4.0870221913182802E-207</v>
      </c>
      <c r="J589">
        <v>0.21692557172803639</v>
      </c>
      <c r="K589">
        <v>2.4529125138925251E-93</v>
      </c>
      <c r="L589">
        <v>2.7852780392911762E-93</v>
      </c>
      <c r="M589">
        <v>0.1460705178833048</v>
      </c>
      <c r="N589">
        <v>5.9106295992502947E-93</v>
      </c>
      <c r="O589">
        <v>6.7265750994835003E-93</v>
      </c>
      <c r="P589">
        <v>0.1026190510640507</v>
      </c>
      <c r="Q589">
        <v>1.03574862136164</v>
      </c>
      <c r="R589">
        <v>-6.6595348380988444</v>
      </c>
      <c r="S589">
        <v>0.38160120952188548</v>
      </c>
      <c r="T589">
        <v>0.30633200279745121</v>
      </c>
      <c r="U589">
        <v>4.3169497564249664</v>
      </c>
      <c r="V589">
        <v>0.1245965072716559</v>
      </c>
      <c r="W589">
        <v>-2.188260079394218</v>
      </c>
      <c r="X589">
        <v>0.40285265939459342</v>
      </c>
      <c r="Z589" t="s">
        <v>392</v>
      </c>
      <c r="AA589">
        <v>9937</v>
      </c>
      <c r="AB589" t="s">
        <v>980</v>
      </c>
      <c r="AC589" t="str">
        <f>HYPERLINK("plots/20251231000436_3FT6Y121H01_04823_B11P_N_UFLEX98_M5358A8BH101511/dpll_52084/txpa_55170.png","plot")</f>
        <v>plot</v>
      </c>
    </row>
    <row r="590" spans="1:29" hidden="1" x14ac:dyDescent="0.35">
      <c r="A590" t="s">
        <v>46</v>
      </c>
      <c r="B590">
        <v>52084</v>
      </c>
      <c r="C590" t="s">
        <v>52</v>
      </c>
      <c r="D590">
        <v>55171</v>
      </c>
      <c r="E590" t="s">
        <v>304</v>
      </c>
      <c r="F590">
        <v>8716</v>
      </c>
      <c r="G590">
        <v>0.37278989858674721</v>
      </c>
      <c r="H590">
        <v>1.6968134765892398E-285</v>
      </c>
      <c r="I590">
        <v>2.183463026981586E-285</v>
      </c>
      <c r="J590">
        <v>0.2321909273111519</v>
      </c>
      <c r="K590">
        <v>4.9836064324161581E-107</v>
      </c>
      <c r="L590">
        <v>5.8084792212298681E-107</v>
      </c>
      <c r="M590">
        <v>0.15640452682804171</v>
      </c>
      <c r="N590">
        <v>2.7268884874713919E-106</v>
      </c>
      <c r="O590">
        <v>3.181892895622546E-106</v>
      </c>
      <c r="P590">
        <v>0.13897230848831721</v>
      </c>
      <c r="Q590">
        <v>1.0428927105984751</v>
      </c>
      <c r="R590">
        <v>-3.8892055121882092</v>
      </c>
      <c r="S590">
        <v>0.32341861184663923</v>
      </c>
      <c r="T590">
        <v>0.25639452150746678</v>
      </c>
      <c r="U590">
        <v>4.3169497564249664</v>
      </c>
      <c r="V590">
        <v>0.1245965072716559</v>
      </c>
      <c r="W590">
        <v>0.61290992080725104</v>
      </c>
      <c r="X590">
        <v>0.34856306378538582</v>
      </c>
      <c r="Z590" t="s">
        <v>392</v>
      </c>
      <c r="AA590">
        <v>9937</v>
      </c>
      <c r="AB590" t="s">
        <v>981</v>
      </c>
      <c r="AC590" t="str">
        <f>HYPERLINK("plots/20251231000436_3FT6Y121H01_04823_B11P_N_UFLEX98_M5358A8BH101511/dpll_52084/txpa_55171.png","plot")</f>
        <v>plot</v>
      </c>
    </row>
    <row r="591" spans="1:29" hidden="1" x14ac:dyDescent="0.35">
      <c r="A591" t="s">
        <v>46</v>
      </c>
      <c r="B591">
        <v>52084</v>
      </c>
      <c r="C591" t="s">
        <v>52</v>
      </c>
      <c r="D591">
        <v>55172</v>
      </c>
      <c r="E591" t="s">
        <v>305</v>
      </c>
      <c r="F591">
        <v>8716</v>
      </c>
      <c r="G591">
        <v>0.40117227778231962</v>
      </c>
      <c r="H591">
        <v>0</v>
      </c>
      <c r="I591">
        <v>0</v>
      </c>
      <c r="J591">
        <v>0.30383902154842302</v>
      </c>
      <c r="K591">
        <v>1.464211115645906E-185</v>
      </c>
      <c r="L591">
        <v>2.0881998189380429E-185</v>
      </c>
      <c r="M591">
        <v>0.20525878990135171</v>
      </c>
      <c r="N591">
        <v>1.2907685465276919E-181</v>
      </c>
      <c r="O591">
        <v>1.830544484166545E-181</v>
      </c>
      <c r="P591">
        <v>0.16093919646105459</v>
      </c>
      <c r="Q591">
        <v>0.93161709980081187</v>
      </c>
      <c r="R591">
        <v>-3.873190282194833</v>
      </c>
      <c r="S591">
        <v>0.26502339131979569</v>
      </c>
      <c r="T591">
        <v>0.2118867550624437</v>
      </c>
      <c r="U591">
        <v>4.3169497564249664</v>
      </c>
      <c r="V591">
        <v>0.1245965072716559</v>
      </c>
      <c r="W591">
        <v>0.14855392987161539</v>
      </c>
      <c r="X591">
        <v>0.28934261707065162</v>
      </c>
      <c r="Z591" t="s">
        <v>392</v>
      </c>
      <c r="AA591">
        <v>9937</v>
      </c>
      <c r="AB591" t="s">
        <v>982</v>
      </c>
      <c r="AC591" t="str">
        <f>HYPERLINK("plots/20251231000436_3FT6Y121H01_04823_B11P_N_UFLEX98_M5358A8BH101511/dpll_52084/txpa_55172.png","plot")</f>
        <v>plot</v>
      </c>
    </row>
    <row r="592" spans="1:29" hidden="1" x14ac:dyDescent="0.35">
      <c r="A592" t="s">
        <v>46</v>
      </c>
      <c r="B592">
        <v>52084</v>
      </c>
      <c r="C592" t="s">
        <v>52</v>
      </c>
      <c r="D592">
        <v>55173</v>
      </c>
      <c r="E592" t="s">
        <v>306</v>
      </c>
      <c r="F592">
        <v>8716</v>
      </c>
      <c r="G592">
        <v>0.244580432060652</v>
      </c>
      <c r="H592">
        <v>6.6651639736855743E-119</v>
      </c>
      <c r="I592">
        <v>7.4106099444267241E-119</v>
      </c>
      <c r="J592">
        <v>0.20267516489790449</v>
      </c>
      <c r="K592">
        <v>1.7995295564734971E-81</v>
      </c>
      <c r="L592">
        <v>1.9964146282977301E-81</v>
      </c>
      <c r="M592">
        <v>0.1351782538159895</v>
      </c>
      <c r="N592">
        <v>6.9619660184070266E-80</v>
      </c>
      <c r="O592">
        <v>7.7321287433348579E-80</v>
      </c>
      <c r="P592">
        <v>5.9819587746975218E-2</v>
      </c>
      <c r="Q592">
        <v>0.79089014232090693</v>
      </c>
      <c r="R592">
        <v>-3.0836705436700309</v>
      </c>
      <c r="S592">
        <v>0.3906438641491331</v>
      </c>
      <c r="T592">
        <v>0.30647679410592021</v>
      </c>
      <c r="U592">
        <v>4.3169497564249664</v>
      </c>
      <c r="V592">
        <v>0.1245965072716559</v>
      </c>
      <c r="W592">
        <v>0.33056246358111518</v>
      </c>
      <c r="X592">
        <v>0.40290283461569382</v>
      </c>
      <c r="Z592" t="s">
        <v>392</v>
      </c>
      <c r="AA592">
        <v>9937</v>
      </c>
      <c r="AB592" t="s">
        <v>983</v>
      </c>
      <c r="AC592" t="str">
        <f>HYPERLINK("plots/20251231000436_3FT6Y121H01_04823_B11P_N_UFLEX98_M5358A8BH101511/dpll_52084/txpa_55173.png","plot")</f>
        <v>plot</v>
      </c>
    </row>
    <row r="593" spans="1:29" hidden="1" x14ac:dyDescent="0.35">
      <c r="A593" t="s">
        <v>46</v>
      </c>
      <c r="B593">
        <v>52084</v>
      </c>
      <c r="C593" t="s">
        <v>52</v>
      </c>
      <c r="D593">
        <v>55174</v>
      </c>
      <c r="E593" t="s">
        <v>307</v>
      </c>
      <c r="F593">
        <v>8716</v>
      </c>
      <c r="G593">
        <v>0.35844585429088183</v>
      </c>
      <c r="H593">
        <v>1.438991722774626E-262</v>
      </c>
      <c r="I593">
        <v>1.7881588319772931E-262</v>
      </c>
      <c r="J593">
        <v>0.28474240556110469</v>
      </c>
      <c r="K593">
        <v>3.02962552305196E-162</v>
      </c>
      <c r="L593">
        <v>3.9741788879362052E-162</v>
      </c>
      <c r="M593">
        <v>0.19265119220894181</v>
      </c>
      <c r="N593">
        <v>3.0953820096396042E-160</v>
      </c>
      <c r="O593">
        <v>4.0656960592934701E-160</v>
      </c>
      <c r="P593">
        <v>0.12848343045832011</v>
      </c>
      <c r="Q593">
        <v>1.0135154174559451</v>
      </c>
      <c r="R593">
        <v>-4.0316370814391904</v>
      </c>
      <c r="S593">
        <v>0.32887099713641299</v>
      </c>
      <c r="T593">
        <v>0.26398324125534811</v>
      </c>
      <c r="U593">
        <v>4.3169497564249664</v>
      </c>
      <c r="V593">
        <v>0.1245965072716559</v>
      </c>
      <c r="W593">
        <v>0.34365805308019731</v>
      </c>
      <c r="X593">
        <v>0.35230001845273751</v>
      </c>
      <c r="Z593" t="s">
        <v>392</v>
      </c>
      <c r="AA593">
        <v>9937</v>
      </c>
      <c r="AB593" t="s">
        <v>984</v>
      </c>
      <c r="AC593" t="str">
        <f>HYPERLINK("plots/20251231000436_3FT6Y121H01_04823_B11P_N_UFLEX98_M5358A8BH101511/dpll_52084/txpa_55174.png","plot")</f>
        <v>plot</v>
      </c>
    </row>
    <row r="594" spans="1:29" hidden="1" x14ac:dyDescent="0.35">
      <c r="A594" t="s">
        <v>46</v>
      </c>
      <c r="B594">
        <v>52084</v>
      </c>
      <c r="C594" t="s">
        <v>52</v>
      </c>
      <c r="D594">
        <v>55175</v>
      </c>
      <c r="E594" t="s">
        <v>308</v>
      </c>
      <c r="F594">
        <v>8716</v>
      </c>
      <c r="G594">
        <v>0.25682734890464382</v>
      </c>
      <c r="H594">
        <v>2.5308616382361858E-131</v>
      </c>
      <c r="I594">
        <v>2.8482726983035429E-131</v>
      </c>
      <c r="J594">
        <v>0.21413539240399851</v>
      </c>
      <c r="K594">
        <v>6.0533830394026074E-91</v>
      </c>
      <c r="L594">
        <v>6.8277312591259665E-91</v>
      </c>
      <c r="M594">
        <v>0.14261483634218339</v>
      </c>
      <c r="N594">
        <v>1.0627359647531839E-88</v>
      </c>
      <c r="O594">
        <v>1.200015888930656E-88</v>
      </c>
      <c r="P594">
        <v>6.5960287145387653E-2</v>
      </c>
      <c r="Q594">
        <v>0.81948776581990379</v>
      </c>
      <c r="R594">
        <v>-3.296186061437266</v>
      </c>
      <c r="S594">
        <v>0.38420660753430419</v>
      </c>
      <c r="T594">
        <v>0.29361100473337609</v>
      </c>
      <c r="U594">
        <v>4.3169497564249664</v>
      </c>
      <c r="V594">
        <v>0.1245965072716559</v>
      </c>
      <c r="W594">
        <v>0.2415014496122074</v>
      </c>
      <c r="X594">
        <v>0.39756402037589411</v>
      </c>
      <c r="Z594" t="s">
        <v>392</v>
      </c>
      <c r="AA594">
        <v>9937</v>
      </c>
      <c r="AB594" t="s">
        <v>985</v>
      </c>
      <c r="AC594" t="str">
        <f>HYPERLINK("plots/20251231000436_3FT6Y121H01_04823_B11P_N_UFLEX98_M5358A8BH101511/dpll_52084/txpa_55175.png","plot")</f>
        <v>plot</v>
      </c>
    </row>
    <row r="595" spans="1:29" hidden="1" x14ac:dyDescent="0.35">
      <c r="A595" t="s">
        <v>46</v>
      </c>
      <c r="B595">
        <v>52084</v>
      </c>
      <c r="C595" t="s">
        <v>52</v>
      </c>
      <c r="D595">
        <v>55176</v>
      </c>
      <c r="E595" t="s">
        <v>309</v>
      </c>
      <c r="F595">
        <v>8716</v>
      </c>
      <c r="G595">
        <v>0.3889572406822574</v>
      </c>
      <c r="H595">
        <v>0</v>
      </c>
      <c r="I595">
        <v>0</v>
      </c>
      <c r="J595">
        <v>0.30360757279515399</v>
      </c>
      <c r="K595">
        <v>2.877406670429816E-185</v>
      </c>
      <c r="L595">
        <v>4.0978797244604413E-185</v>
      </c>
      <c r="M595">
        <v>0.2048624113697281</v>
      </c>
      <c r="N595">
        <v>6.3539177875816227E-181</v>
      </c>
      <c r="O595">
        <v>8.9733602181166653E-181</v>
      </c>
      <c r="P595">
        <v>0.15128773507915549</v>
      </c>
      <c r="Q595">
        <v>0.92293368353561001</v>
      </c>
      <c r="R595">
        <v>-3.5736678532200288</v>
      </c>
      <c r="S595">
        <v>0.27235153547258217</v>
      </c>
      <c r="T595">
        <v>0.2186450909236817</v>
      </c>
      <c r="U595">
        <v>4.3169497564249664</v>
      </c>
      <c r="V595">
        <v>0.1245965072716559</v>
      </c>
      <c r="W595">
        <v>0.4105904871154199</v>
      </c>
      <c r="X595">
        <v>0.29564769950083181</v>
      </c>
      <c r="Z595" t="s">
        <v>392</v>
      </c>
      <c r="AA595">
        <v>9937</v>
      </c>
      <c r="AB595" t="s">
        <v>986</v>
      </c>
      <c r="AC595" t="str">
        <f>HYPERLINK("plots/20251231000436_3FT6Y121H01_04823_B11P_N_UFLEX98_M5358A8BH101511/dpll_52084/txpa_55176.png","plot")</f>
        <v>plot</v>
      </c>
    </row>
    <row r="596" spans="1:29" hidden="1" x14ac:dyDescent="0.35">
      <c r="A596" t="s">
        <v>46</v>
      </c>
      <c r="B596">
        <v>52084</v>
      </c>
      <c r="C596" t="s">
        <v>52</v>
      </c>
      <c r="D596">
        <v>55177</v>
      </c>
      <c r="E596" t="s">
        <v>310</v>
      </c>
      <c r="F596">
        <v>8716</v>
      </c>
      <c r="G596">
        <v>0.29690747795743128</v>
      </c>
      <c r="H596">
        <v>6.8634569156843779E-177</v>
      </c>
      <c r="I596">
        <v>7.8109375000044429E-177</v>
      </c>
      <c r="J596">
        <v>0.2406060815661647</v>
      </c>
      <c r="K596">
        <v>5.1033077662032846E-115</v>
      </c>
      <c r="L596">
        <v>6.0879459705060366E-115</v>
      </c>
      <c r="M596">
        <v>0.1610076272005927</v>
      </c>
      <c r="N596">
        <v>1.5998772087499141E-112</v>
      </c>
      <c r="O596">
        <v>1.9018469984436259E-112</v>
      </c>
      <c r="P596">
        <v>8.8154050467042569E-2</v>
      </c>
      <c r="Q596">
        <v>0.77055924538459353</v>
      </c>
      <c r="R596">
        <v>-3.0857070822109698</v>
      </c>
      <c r="S596">
        <v>0.30876395088940028</v>
      </c>
      <c r="T596">
        <v>0.24180745544176091</v>
      </c>
      <c r="U596">
        <v>4.3169497564249664</v>
      </c>
      <c r="V596">
        <v>0.1245965072716559</v>
      </c>
      <c r="W596">
        <v>0.24075846446305649</v>
      </c>
      <c r="X596">
        <v>0.32336332948329549</v>
      </c>
      <c r="Z596" t="s">
        <v>392</v>
      </c>
      <c r="AA596">
        <v>9937</v>
      </c>
      <c r="AB596" t="s">
        <v>987</v>
      </c>
      <c r="AC596" t="str">
        <f>HYPERLINK("plots/20251231000436_3FT6Y121H01_04823_B11P_N_UFLEX98_M5358A8BH101511/dpll_52084/txpa_55177.png","plot")</f>
        <v>plot</v>
      </c>
    </row>
    <row r="597" spans="1:29" hidden="1" x14ac:dyDescent="0.35">
      <c r="A597" t="s">
        <v>46</v>
      </c>
      <c r="B597">
        <v>52084</v>
      </c>
      <c r="C597" t="s">
        <v>52</v>
      </c>
      <c r="D597">
        <v>55178</v>
      </c>
      <c r="E597" t="s">
        <v>311</v>
      </c>
      <c r="F597">
        <v>8716</v>
      </c>
      <c r="G597">
        <v>0.34158223453937281</v>
      </c>
      <c r="H597">
        <v>4.3423950290108748E-237</v>
      </c>
      <c r="I597">
        <v>5.1924393389351741E-237</v>
      </c>
      <c r="J597">
        <v>0.2321937315585566</v>
      </c>
      <c r="K597">
        <v>4.9537484589232209E-107</v>
      </c>
      <c r="L597">
        <v>5.7803232880876259E-107</v>
      </c>
      <c r="M597">
        <v>0.15682618313004079</v>
      </c>
      <c r="N597">
        <v>7.4449628951610604E-107</v>
      </c>
      <c r="O597">
        <v>8.6972262392780134E-107</v>
      </c>
      <c r="P597">
        <v>0.1166784229529111</v>
      </c>
      <c r="Q597">
        <v>1.0485529838903029</v>
      </c>
      <c r="R597">
        <v>-3.9111998257767948</v>
      </c>
      <c r="S597">
        <v>0.35944750874182868</v>
      </c>
      <c r="T597">
        <v>0.28766749283270632</v>
      </c>
      <c r="U597">
        <v>4.3169497564249664</v>
      </c>
      <c r="V597">
        <v>0.1245965072716559</v>
      </c>
      <c r="W597">
        <v>0.61535072262712254</v>
      </c>
      <c r="X597">
        <v>0.38247316830801292</v>
      </c>
      <c r="Z597" t="s">
        <v>392</v>
      </c>
      <c r="AA597">
        <v>9937</v>
      </c>
      <c r="AB597" t="s">
        <v>988</v>
      </c>
      <c r="AC597" t="str">
        <f>HYPERLINK("plots/20251231000436_3FT6Y121H01_04823_B11P_N_UFLEX98_M5358A8BH101511/dpll_52084/txpa_55178.png","plot")</f>
        <v>plot</v>
      </c>
    </row>
    <row r="598" spans="1:29" hidden="1" x14ac:dyDescent="0.35">
      <c r="A598" t="s">
        <v>46</v>
      </c>
      <c r="B598">
        <v>52084</v>
      </c>
      <c r="C598" t="s">
        <v>52</v>
      </c>
      <c r="D598">
        <v>55179</v>
      </c>
      <c r="E598" t="s">
        <v>312</v>
      </c>
      <c r="F598">
        <v>8716</v>
      </c>
      <c r="G598">
        <v>0.41009173074389871</v>
      </c>
      <c r="H598">
        <v>0</v>
      </c>
      <c r="I598">
        <v>0</v>
      </c>
      <c r="J598">
        <v>0.2677097750593031</v>
      </c>
      <c r="K598">
        <v>6.1068027118690212E-143</v>
      </c>
      <c r="L598">
        <v>7.6922955898573763E-143</v>
      </c>
      <c r="M598">
        <v>0.1814051906887007</v>
      </c>
      <c r="N598">
        <v>2.6354975969892131E-142</v>
      </c>
      <c r="O598">
        <v>3.3115174267002013E-142</v>
      </c>
      <c r="P598">
        <v>0.1681752276245263</v>
      </c>
      <c r="Q598">
        <v>1.101174094266534</v>
      </c>
      <c r="R598">
        <v>-1.005084503514154</v>
      </c>
      <c r="S598">
        <v>0.30512082629191167</v>
      </c>
      <c r="T598">
        <v>0.23909609102019791</v>
      </c>
      <c r="U598">
        <v>4.3169497564249664</v>
      </c>
      <c r="V598">
        <v>0.1245965072716559</v>
      </c>
      <c r="W598">
        <v>3.748628734511243</v>
      </c>
      <c r="X598">
        <v>0.33456525883795951</v>
      </c>
      <c r="Z598" t="s">
        <v>392</v>
      </c>
      <c r="AA598">
        <v>9937</v>
      </c>
      <c r="AB598" t="s">
        <v>989</v>
      </c>
      <c r="AC598" t="str">
        <f>HYPERLINK("plots/20251231000436_3FT6Y121H01_04823_B11P_N_UFLEX98_M5358A8BH101511/dpll_52084/txpa_55179.png","plot")</f>
        <v>plot</v>
      </c>
    </row>
    <row r="599" spans="1:29" hidden="1" x14ac:dyDescent="0.35">
      <c r="A599" t="s">
        <v>46</v>
      </c>
      <c r="B599">
        <v>52084</v>
      </c>
      <c r="C599" t="s">
        <v>52</v>
      </c>
      <c r="D599">
        <v>55180</v>
      </c>
      <c r="E599" t="s">
        <v>313</v>
      </c>
      <c r="F599">
        <v>8716</v>
      </c>
      <c r="G599">
        <v>0.44128048925171198</v>
      </c>
      <c r="H599">
        <v>0</v>
      </c>
      <c r="I599">
        <v>0</v>
      </c>
      <c r="J599">
        <v>0.33407567041662428</v>
      </c>
      <c r="K599">
        <v>3.0274113912866951E-226</v>
      </c>
      <c r="L599">
        <v>4.7965549230698569E-226</v>
      </c>
      <c r="M599">
        <v>0.226643881918072</v>
      </c>
      <c r="N599">
        <v>5.6192558308061786E-221</v>
      </c>
      <c r="O599">
        <v>8.8066853360702712E-221</v>
      </c>
      <c r="P599">
        <v>0.19472847019423031</v>
      </c>
      <c r="Q599">
        <v>1.0088353005151149</v>
      </c>
      <c r="R599">
        <v>-1.0246644530647691</v>
      </c>
      <c r="S599">
        <v>0.25559812876252408</v>
      </c>
      <c r="T599">
        <v>0.20198958192930749</v>
      </c>
      <c r="U599">
        <v>4.3169497564249664</v>
      </c>
      <c r="V599">
        <v>0.1245965072716559</v>
      </c>
      <c r="W599">
        <v>3.330426851766866</v>
      </c>
      <c r="X599">
        <v>0.28484684439523289</v>
      </c>
      <c r="Z599" t="s">
        <v>392</v>
      </c>
      <c r="AA599">
        <v>9937</v>
      </c>
      <c r="AB599" t="s">
        <v>990</v>
      </c>
      <c r="AC599" t="str">
        <f>HYPERLINK("plots/20251231000436_3FT6Y121H01_04823_B11P_N_UFLEX98_M5358A8BH101511/dpll_52084/txpa_55180.png","plot")</f>
        <v>plot</v>
      </c>
    </row>
    <row r="600" spans="1:29" hidden="1" x14ac:dyDescent="0.35">
      <c r="A600" t="s">
        <v>46</v>
      </c>
      <c r="B600">
        <v>52084</v>
      </c>
      <c r="C600" t="s">
        <v>52</v>
      </c>
      <c r="D600">
        <v>55181</v>
      </c>
      <c r="E600" t="s">
        <v>314</v>
      </c>
      <c r="F600">
        <v>8716</v>
      </c>
      <c r="G600">
        <v>0.29809706091876448</v>
      </c>
      <c r="H600">
        <v>2.3196965147624539E-178</v>
      </c>
      <c r="I600">
        <v>2.645863066331978E-178</v>
      </c>
      <c r="J600">
        <v>0.24065052928377129</v>
      </c>
      <c r="K600">
        <v>4.6217678455897339E-115</v>
      </c>
      <c r="L600">
        <v>5.5199912784781994E-115</v>
      </c>
      <c r="M600">
        <v>0.16227041458378491</v>
      </c>
      <c r="N600">
        <v>2.8896584005839761E-114</v>
      </c>
      <c r="O600">
        <v>3.4553226629624429E-114</v>
      </c>
      <c r="P600">
        <v>8.8861857728405616E-2</v>
      </c>
      <c r="Q600">
        <v>0.90060964231524565</v>
      </c>
      <c r="R600">
        <v>-0.40283670968900642</v>
      </c>
      <c r="S600">
        <v>0.35929565493210092</v>
      </c>
      <c r="T600">
        <v>0.27954941971995928</v>
      </c>
      <c r="U600">
        <v>4.3169497564249664</v>
      </c>
      <c r="V600">
        <v>0.1245965072716559</v>
      </c>
      <c r="W600">
        <v>3.48504986633777</v>
      </c>
      <c r="X600">
        <v>0.37643046698214289</v>
      </c>
      <c r="Z600" t="s">
        <v>392</v>
      </c>
      <c r="AA600">
        <v>9937</v>
      </c>
      <c r="AB600" t="s">
        <v>991</v>
      </c>
      <c r="AC600" t="str">
        <f>HYPERLINK("plots/20251231000436_3FT6Y121H01_04823_B11P_N_UFLEX98_M5358A8BH101511/dpll_52084/txpa_55181.png","plot")</f>
        <v>plot</v>
      </c>
    </row>
    <row r="601" spans="1:29" hidden="1" x14ac:dyDescent="0.35">
      <c r="A601" t="s">
        <v>46</v>
      </c>
      <c r="B601">
        <v>52084</v>
      </c>
      <c r="C601" t="s">
        <v>52</v>
      </c>
      <c r="D601">
        <v>55182</v>
      </c>
      <c r="E601" t="s">
        <v>315</v>
      </c>
      <c r="F601">
        <v>8716</v>
      </c>
      <c r="G601">
        <v>0.4030216960464591</v>
      </c>
      <c r="H601">
        <v>0</v>
      </c>
      <c r="I601">
        <v>0</v>
      </c>
      <c r="J601">
        <v>0.31543109884845361</v>
      </c>
      <c r="K601">
        <v>1.33287764792268E-200</v>
      </c>
      <c r="L601">
        <v>1.9875557867552899E-200</v>
      </c>
      <c r="M601">
        <v>0.21489439801944091</v>
      </c>
      <c r="N601">
        <v>7.1568706514016917E-199</v>
      </c>
      <c r="O601">
        <v>1.0594258161344991E-198</v>
      </c>
      <c r="P601">
        <v>0.16242648748416449</v>
      </c>
      <c r="Q601">
        <v>1.0916906615777331</v>
      </c>
      <c r="R601">
        <v>-1.212509423863841</v>
      </c>
      <c r="S601">
        <v>0.30886136716384072</v>
      </c>
      <c r="T601">
        <v>0.24751265862935701</v>
      </c>
      <c r="U601">
        <v>4.3169497564249664</v>
      </c>
      <c r="V601">
        <v>0.1245965072716559</v>
      </c>
      <c r="W601">
        <v>3.5002643117255618</v>
      </c>
      <c r="X601">
        <v>0.33750253345663228</v>
      </c>
      <c r="Z601" t="s">
        <v>392</v>
      </c>
      <c r="AA601">
        <v>9937</v>
      </c>
      <c r="AB601" t="s">
        <v>992</v>
      </c>
      <c r="AC601" t="str">
        <f>HYPERLINK("plots/20251231000436_3FT6Y121H01_04823_B11P_N_UFLEX98_M5358A8BH101511/dpll_52084/txpa_55182.png","plot")</f>
        <v>plot</v>
      </c>
    </row>
    <row r="602" spans="1:29" hidden="1" x14ac:dyDescent="0.35">
      <c r="A602" t="s">
        <v>46</v>
      </c>
      <c r="B602">
        <v>52084</v>
      </c>
      <c r="C602" t="s">
        <v>52</v>
      </c>
      <c r="D602">
        <v>55183</v>
      </c>
      <c r="E602" t="s">
        <v>316</v>
      </c>
      <c r="F602">
        <v>8716</v>
      </c>
      <c r="G602">
        <v>0.3087220616610824</v>
      </c>
      <c r="H602">
        <v>8.1809597602365457E-192</v>
      </c>
      <c r="I602">
        <v>9.3946695321402696E-192</v>
      </c>
      <c r="J602">
        <v>0.2478197711894877</v>
      </c>
      <c r="K602">
        <v>4.0287285077645411E-122</v>
      </c>
      <c r="L602">
        <v>4.840202259328488E-122</v>
      </c>
      <c r="M602">
        <v>0.166783381581598</v>
      </c>
      <c r="N602">
        <v>1.342505016344489E-120</v>
      </c>
      <c r="O602">
        <v>1.6110060196133871E-120</v>
      </c>
      <c r="P602">
        <v>9.5309311356269161E-2</v>
      </c>
      <c r="Q602">
        <v>0.92367104537519129</v>
      </c>
      <c r="R602">
        <v>-0.57592069386735334</v>
      </c>
      <c r="S602">
        <v>0.35455260239924141</v>
      </c>
      <c r="T602">
        <v>0.27047395833747839</v>
      </c>
      <c r="U602">
        <v>4.3169497564249664</v>
      </c>
      <c r="V602">
        <v>0.1245965072716559</v>
      </c>
      <c r="W602">
        <v>3.4115208004818731</v>
      </c>
      <c r="X602">
        <v>0.37278251350903002</v>
      </c>
      <c r="Z602" t="s">
        <v>392</v>
      </c>
      <c r="AA602">
        <v>9937</v>
      </c>
      <c r="AB602" t="s">
        <v>993</v>
      </c>
      <c r="AC602" t="str">
        <f>HYPERLINK("plots/20251231000436_3FT6Y121H01_04823_B11P_N_UFLEX98_M5358A8BH101511/dpll_52084/txpa_55183.png","plot")</f>
        <v>plot</v>
      </c>
    </row>
    <row r="603" spans="1:29" hidden="1" x14ac:dyDescent="0.35">
      <c r="A603" t="s">
        <v>46</v>
      </c>
      <c r="B603">
        <v>52084</v>
      </c>
      <c r="C603" t="s">
        <v>52</v>
      </c>
      <c r="D603">
        <v>55184</v>
      </c>
      <c r="E603" t="s">
        <v>317</v>
      </c>
      <c r="F603">
        <v>8716</v>
      </c>
      <c r="G603">
        <v>0.43868779685453879</v>
      </c>
      <c r="H603">
        <v>0</v>
      </c>
      <c r="I603">
        <v>0</v>
      </c>
      <c r="J603">
        <v>0.33490062468504772</v>
      </c>
      <c r="K603">
        <v>2.014555490199724E-227</v>
      </c>
      <c r="L603">
        <v>3.2068434333791521E-227</v>
      </c>
      <c r="M603">
        <v>0.2275555750060019</v>
      </c>
      <c r="N603">
        <v>9.6590617914129301E-223</v>
      </c>
      <c r="O603">
        <v>1.5279701492188319E-222</v>
      </c>
      <c r="P603">
        <v>0.19244698310908909</v>
      </c>
      <c r="Q603">
        <v>1.010462443101839</v>
      </c>
      <c r="R603">
        <v>-0.80526179358650829</v>
      </c>
      <c r="S603">
        <v>0.25788797842451139</v>
      </c>
      <c r="T603">
        <v>0.20576773944723251</v>
      </c>
      <c r="U603">
        <v>4.3169497564249664</v>
      </c>
      <c r="V603">
        <v>0.1245965072716559</v>
      </c>
      <c r="W603">
        <v>3.5568538040385498</v>
      </c>
      <c r="X603">
        <v>0.28699246261782768</v>
      </c>
      <c r="Z603" t="s">
        <v>392</v>
      </c>
      <c r="AA603">
        <v>9937</v>
      </c>
      <c r="AB603" t="s">
        <v>994</v>
      </c>
      <c r="AC603" t="str">
        <f>HYPERLINK("plots/20251231000436_3FT6Y121H01_04823_B11P_N_UFLEX98_M5358A8BH101511/dpll_52084/txpa_55184.png","plot")</f>
        <v>plot</v>
      </c>
    </row>
    <row r="604" spans="1:29" hidden="1" x14ac:dyDescent="0.35">
      <c r="A604" t="s">
        <v>46</v>
      </c>
      <c r="B604">
        <v>52084</v>
      </c>
      <c r="C604" t="s">
        <v>52</v>
      </c>
      <c r="D604">
        <v>55185</v>
      </c>
      <c r="E604" t="s">
        <v>318</v>
      </c>
      <c r="F604">
        <v>8716</v>
      </c>
      <c r="G604">
        <v>0.35501809211017837</v>
      </c>
      <c r="H604">
        <v>2.9147227684911852E-257</v>
      </c>
      <c r="I604">
        <v>3.565173567249773E-257</v>
      </c>
      <c r="J604">
        <v>0.27981749747089307</v>
      </c>
      <c r="K604">
        <v>1.6056212849367851E-156</v>
      </c>
      <c r="L604">
        <v>2.08730767041782E-156</v>
      </c>
      <c r="M604">
        <v>0.18907944818531661</v>
      </c>
      <c r="N604">
        <v>1.9985778145905251E-154</v>
      </c>
      <c r="O604">
        <v>2.6048302107902219E-154</v>
      </c>
      <c r="P604">
        <v>0.1260378457255511</v>
      </c>
      <c r="Q604">
        <v>0.87801035035090669</v>
      </c>
      <c r="R604">
        <v>-0.37816403974725832</v>
      </c>
      <c r="S604">
        <v>0.28805566209525241</v>
      </c>
      <c r="T604">
        <v>0.2237238492986037</v>
      </c>
      <c r="U604">
        <v>4.3169497564249664</v>
      </c>
      <c r="V604">
        <v>0.1245965072716559</v>
      </c>
      <c r="W604">
        <v>3.4121625283386878</v>
      </c>
      <c r="X604">
        <v>0.30814492397231102</v>
      </c>
      <c r="Z604" t="s">
        <v>392</v>
      </c>
      <c r="AA604">
        <v>9937</v>
      </c>
      <c r="AB604" t="s">
        <v>995</v>
      </c>
      <c r="AC604" t="str">
        <f>HYPERLINK("plots/20251231000436_3FT6Y121H01_04823_B11P_N_UFLEX98_M5358A8BH101511/dpll_52084/txpa_55185.png","plot")</f>
        <v>plot</v>
      </c>
    </row>
    <row r="605" spans="1:29" hidden="1" x14ac:dyDescent="0.35">
      <c r="A605" t="s">
        <v>46</v>
      </c>
      <c r="B605">
        <v>52084</v>
      </c>
      <c r="C605" t="s">
        <v>52</v>
      </c>
      <c r="D605">
        <v>55186</v>
      </c>
      <c r="E605" t="s">
        <v>319</v>
      </c>
      <c r="F605">
        <v>8716</v>
      </c>
      <c r="G605">
        <v>0.38451674822649251</v>
      </c>
      <c r="H605">
        <v>3.9636009745594141E-305</v>
      </c>
      <c r="I605">
        <v>5.1993420287234734E-305</v>
      </c>
      <c r="J605">
        <v>0.26517887958930142</v>
      </c>
      <c r="K605">
        <v>3.4431898615880809E-140</v>
      </c>
      <c r="L605">
        <v>4.2891824565728675E-140</v>
      </c>
      <c r="M605">
        <v>0.18018906316937369</v>
      </c>
      <c r="N605">
        <v>1.9744565289701871E-140</v>
      </c>
      <c r="O605">
        <v>2.4686793099577928E-140</v>
      </c>
      <c r="P605">
        <v>0.1478531296666758</v>
      </c>
      <c r="Q605">
        <v>1.1137053446848331</v>
      </c>
      <c r="R605">
        <v>-1.0535892595824821</v>
      </c>
      <c r="S605">
        <v>0.33311425870139838</v>
      </c>
      <c r="T605">
        <v>0.26461328259122913</v>
      </c>
      <c r="U605">
        <v>4.3169497564249664</v>
      </c>
      <c r="V605">
        <v>0.1245965072716559</v>
      </c>
      <c r="W605">
        <v>3.7542207568838921</v>
      </c>
      <c r="X605">
        <v>0.36087841873605342</v>
      </c>
      <c r="Z605" t="s">
        <v>392</v>
      </c>
      <c r="AA605">
        <v>9937</v>
      </c>
      <c r="AB605" t="s">
        <v>996</v>
      </c>
      <c r="AC605" t="str">
        <f>HYPERLINK("plots/20251231000436_3FT6Y121H01_04823_B11P_N_UFLEX98_M5358A8BH101511/dpll_52084/txpa_55186.png","plot")</f>
        <v>plot</v>
      </c>
    </row>
    <row r="606" spans="1:29" hidden="1" x14ac:dyDescent="0.35">
      <c r="A606" t="s">
        <v>46</v>
      </c>
      <c r="B606">
        <v>52084</v>
      </c>
      <c r="C606" t="s">
        <v>52</v>
      </c>
      <c r="D606">
        <v>55187</v>
      </c>
      <c r="E606" t="s">
        <v>320</v>
      </c>
      <c r="F606">
        <v>8711</v>
      </c>
      <c r="G606">
        <v>0.43306597155125393</v>
      </c>
      <c r="H606">
        <v>0</v>
      </c>
      <c r="I606">
        <v>0</v>
      </c>
      <c r="J606">
        <v>0.29790329769807772</v>
      </c>
      <c r="K606">
        <v>5.0880913125036985E-178</v>
      </c>
      <c r="L606">
        <v>7.0675679327106161E-178</v>
      </c>
      <c r="M606">
        <v>0.20274193935716581</v>
      </c>
      <c r="N606">
        <v>3.8309680925343441E-177</v>
      </c>
      <c r="O606">
        <v>5.3286716678049734E-177</v>
      </c>
      <c r="P606">
        <v>0.18754613571563139</v>
      </c>
      <c r="Q606">
        <v>1.1455475086842679</v>
      </c>
      <c r="R606">
        <v>0.53152415316096047</v>
      </c>
      <c r="S606">
        <v>0.29644158441107171</v>
      </c>
      <c r="T606">
        <v>0.22911186177366069</v>
      </c>
      <c r="U606">
        <v>4.3171519593617269</v>
      </c>
      <c r="V606">
        <v>0.12433850915100229</v>
      </c>
      <c r="W606">
        <v>5.4770268248191938</v>
      </c>
      <c r="X606">
        <v>0.32890062657483388</v>
      </c>
      <c r="Z606" t="s">
        <v>392</v>
      </c>
      <c r="AA606">
        <v>9937</v>
      </c>
      <c r="AB606" t="s">
        <v>997</v>
      </c>
      <c r="AC606" t="str">
        <f>HYPERLINK("plots/20251231000436_3FT6Y121H01_04823_B11P_N_UFLEX98_M5358A8BH101511/dpll_52084/txpa_55187.png","plot")</f>
        <v>plot</v>
      </c>
    </row>
    <row r="607" spans="1:29" hidden="1" x14ac:dyDescent="0.35">
      <c r="A607" t="s">
        <v>46</v>
      </c>
      <c r="B607">
        <v>52084</v>
      </c>
      <c r="C607" t="s">
        <v>52</v>
      </c>
      <c r="D607">
        <v>55188</v>
      </c>
      <c r="E607" t="s">
        <v>321</v>
      </c>
      <c r="F607">
        <v>8716</v>
      </c>
      <c r="G607">
        <v>0.46763137467399751</v>
      </c>
      <c r="H607">
        <v>0</v>
      </c>
      <c r="I607">
        <v>0</v>
      </c>
      <c r="J607">
        <v>0.355444615241574</v>
      </c>
      <c r="K607">
        <v>6.4250043440054177E-258</v>
      </c>
      <c r="L607">
        <v>1.1252080146496529E-257</v>
      </c>
      <c r="M607">
        <v>0.24198896077940871</v>
      </c>
      <c r="N607">
        <v>1.2877020493474841E-251</v>
      </c>
      <c r="O607">
        <v>2.2131014882005921E-251</v>
      </c>
      <c r="P607">
        <v>0.21867910257949261</v>
      </c>
      <c r="Q607">
        <v>1.079780182889732</v>
      </c>
      <c r="R607">
        <v>0.42889564018244908</v>
      </c>
      <c r="S607">
        <v>0.25428888904123043</v>
      </c>
      <c r="T607">
        <v>0.19778573308476649</v>
      </c>
      <c r="U607">
        <v>4.3169497564249664</v>
      </c>
      <c r="V607">
        <v>0.1245965072716559</v>
      </c>
      <c r="W607">
        <v>5.090252437700781</v>
      </c>
      <c r="X607">
        <v>0.2876984879446996</v>
      </c>
      <c r="Z607" t="s">
        <v>392</v>
      </c>
      <c r="AA607">
        <v>9937</v>
      </c>
      <c r="AB607" t="s">
        <v>998</v>
      </c>
      <c r="AC607" t="str">
        <f>HYPERLINK("plots/20251231000436_3FT6Y121H01_04823_B11P_N_UFLEX98_M5358A8BH101511/dpll_52084/txpa_55188.png","plot")</f>
        <v>plot</v>
      </c>
    </row>
    <row r="608" spans="1:29" hidden="1" x14ac:dyDescent="0.35">
      <c r="A608" t="s">
        <v>46</v>
      </c>
      <c r="B608">
        <v>52084</v>
      </c>
      <c r="C608" t="s">
        <v>52</v>
      </c>
      <c r="D608">
        <v>55189</v>
      </c>
      <c r="E608" t="s">
        <v>322</v>
      </c>
      <c r="F608">
        <v>8716</v>
      </c>
      <c r="G608">
        <v>0.34049488652327448</v>
      </c>
      <c r="H608">
        <v>1.6873023974655561E-235</v>
      </c>
      <c r="I608">
        <v>2.0057733071864879E-235</v>
      </c>
      <c r="J608">
        <v>0.26753471345867402</v>
      </c>
      <c r="K608">
        <v>9.4858880033280982E-143</v>
      </c>
      <c r="L608">
        <v>1.193385910096116E-142</v>
      </c>
      <c r="M608">
        <v>0.1815583040403147</v>
      </c>
      <c r="N608">
        <v>1.523505128890055E-142</v>
      </c>
      <c r="O608">
        <v>1.921435573003129E-142</v>
      </c>
      <c r="P608">
        <v>0.11593676774849759</v>
      </c>
      <c r="Q608">
        <v>0.99473501267484388</v>
      </c>
      <c r="R608">
        <v>0.93173538045031634</v>
      </c>
      <c r="S608">
        <v>0.34223106432813549</v>
      </c>
      <c r="T608">
        <v>0.26415144402235707</v>
      </c>
      <c r="U608">
        <v>4.3169497564249664</v>
      </c>
      <c r="V608">
        <v>0.1245965072716559</v>
      </c>
      <c r="W608">
        <v>5.225956451124369</v>
      </c>
      <c r="X608">
        <v>0.36400108531920627</v>
      </c>
      <c r="Z608" t="s">
        <v>392</v>
      </c>
      <c r="AA608">
        <v>9937</v>
      </c>
      <c r="AB608" t="s">
        <v>999</v>
      </c>
      <c r="AC608" t="str">
        <f>HYPERLINK("plots/20251231000436_3FT6Y121H01_04823_B11P_N_UFLEX98_M5358A8BH101511/dpll_52084/txpa_55189.png","plot")</f>
        <v>plot</v>
      </c>
    </row>
    <row r="609" spans="1:29" hidden="1" x14ac:dyDescent="0.35">
      <c r="A609" t="s">
        <v>46</v>
      </c>
      <c r="B609">
        <v>52084</v>
      </c>
      <c r="C609" t="s">
        <v>52</v>
      </c>
      <c r="D609">
        <v>55190</v>
      </c>
      <c r="E609" t="s">
        <v>323</v>
      </c>
      <c r="F609">
        <v>8716</v>
      </c>
      <c r="G609">
        <v>0.43474311166387558</v>
      </c>
      <c r="H609">
        <v>0</v>
      </c>
      <c r="I609">
        <v>0</v>
      </c>
      <c r="J609">
        <v>0.33540259700471498</v>
      </c>
      <c r="K609">
        <v>3.8572818994212939E-228</v>
      </c>
      <c r="L609">
        <v>6.1692174227337415E-228</v>
      </c>
      <c r="M609">
        <v>0.22982345595545961</v>
      </c>
      <c r="N609">
        <v>3.6632786123443142E-227</v>
      </c>
      <c r="O609">
        <v>5.8497078943576921E-227</v>
      </c>
      <c r="P609">
        <v>0.189001573139189</v>
      </c>
      <c r="Q609">
        <v>1.1635062550129209</v>
      </c>
      <c r="R609">
        <v>0.21940768620395451</v>
      </c>
      <c r="S609">
        <v>0.30028039047670851</v>
      </c>
      <c r="T609">
        <v>0.2394468380391446</v>
      </c>
      <c r="U609">
        <v>4.3169497564249664</v>
      </c>
      <c r="V609">
        <v>0.1245965072716559</v>
      </c>
      <c r="W609">
        <v>5.2422057303809089</v>
      </c>
      <c r="X609">
        <v>0.33345856823010023</v>
      </c>
      <c r="Z609" t="s">
        <v>392</v>
      </c>
      <c r="AA609">
        <v>9937</v>
      </c>
      <c r="AB609" t="s">
        <v>1000</v>
      </c>
      <c r="AC609" t="str">
        <f>HYPERLINK("plots/20251231000436_3FT6Y121H01_04823_B11P_N_UFLEX98_M5358A8BH101511/dpll_52084/txpa_55190.png","plot")</f>
        <v>plot</v>
      </c>
    </row>
    <row r="610" spans="1:29" hidden="1" x14ac:dyDescent="0.35">
      <c r="A610" t="s">
        <v>46</v>
      </c>
      <c r="B610">
        <v>52084</v>
      </c>
      <c r="C610" t="s">
        <v>52</v>
      </c>
      <c r="D610">
        <v>55191</v>
      </c>
      <c r="E610" t="s">
        <v>324</v>
      </c>
      <c r="F610">
        <v>8716</v>
      </c>
      <c r="G610">
        <v>0.34982076532904899</v>
      </c>
      <c r="H610">
        <v>2.4310872713978208E-249</v>
      </c>
      <c r="I610">
        <v>2.9522425068232219E-249</v>
      </c>
      <c r="J610">
        <v>0.27137364123368529</v>
      </c>
      <c r="K610">
        <v>5.6198825887433286E-147</v>
      </c>
      <c r="L610">
        <v>7.1680011886613019E-147</v>
      </c>
      <c r="M610">
        <v>0.18374425620731211</v>
      </c>
      <c r="N610">
        <v>6.0084801445651517E-146</v>
      </c>
      <c r="O610">
        <v>7.6540186766194268E-146</v>
      </c>
      <c r="P610">
        <v>0.1223745678554016</v>
      </c>
      <c r="Q610">
        <v>1.0119423892902719</v>
      </c>
      <c r="R610">
        <v>0.7938450921763156</v>
      </c>
      <c r="S610">
        <v>0.33763367506024788</v>
      </c>
      <c r="T610">
        <v>0.25737465269137932</v>
      </c>
      <c r="U610">
        <v>4.3169497564249664</v>
      </c>
      <c r="V610">
        <v>0.1245965072716559</v>
      </c>
      <c r="W610">
        <v>5.1623495431390554</v>
      </c>
      <c r="X610">
        <v>0.36042596598605131</v>
      </c>
      <c r="Z610" t="s">
        <v>392</v>
      </c>
      <c r="AA610">
        <v>9937</v>
      </c>
      <c r="AB610" t="s">
        <v>1001</v>
      </c>
      <c r="AC610" t="str">
        <f>HYPERLINK("plots/20251231000436_3FT6Y121H01_04823_B11P_N_UFLEX98_M5358A8BH101511/dpll_52084/txpa_55191.png","plot")</f>
        <v>plot</v>
      </c>
    </row>
    <row r="611" spans="1:29" hidden="1" x14ac:dyDescent="0.35">
      <c r="A611" t="s">
        <v>46</v>
      </c>
      <c r="B611">
        <v>52084</v>
      </c>
      <c r="C611" t="s">
        <v>52</v>
      </c>
      <c r="D611">
        <v>55192</v>
      </c>
      <c r="E611" t="s">
        <v>325</v>
      </c>
      <c r="F611">
        <v>8716</v>
      </c>
      <c r="G611">
        <v>0.4717436055187435</v>
      </c>
      <c r="H611">
        <v>0</v>
      </c>
      <c r="I611">
        <v>0</v>
      </c>
      <c r="J611">
        <v>0.35537109121111182</v>
      </c>
      <c r="K611">
        <v>8.3397270392164851E-258</v>
      </c>
      <c r="L611">
        <v>1.458014347890606E-257</v>
      </c>
      <c r="M611">
        <v>0.2426922694783418</v>
      </c>
      <c r="N611">
        <v>4.5442281137855539E-253</v>
      </c>
      <c r="O611">
        <v>7.8901494989358765E-253</v>
      </c>
      <c r="P611">
        <v>0.22254202934782391</v>
      </c>
      <c r="Q611">
        <v>1.087402767889293</v>
      </c>
      <c r="R611">
        <v>0.59824970176564918</v>
      </c>
      <c r="S611">
        <v>0.2532233940194677</v>
      </c>
      <c r="T611">
        <v>0.19999504770722501</v>
      </c>
      <c r="U611">
        <v>4.3169497564249664</v>
      </c>
      <c r="V611">
        <v>0.1245965072716559</v>
      </c>
      <c r="W611">
        <v>5.2925128157411656</v>
      </c>
      <c r="X611">
        <v>0.28720386517492252</v>
      </c>
      <c r="Z611" t="s">
        <v>392</v>
      </c>
      <c r="AA611">
        <v>9937</v>
      </c>
      <c r="AB611" t="s">
        <v>1002</v>
      </c>
      <c r="AC611" t="str">
        <f>HYPERLINK("plots/20251231000436_3FT6Y121H01_04823_B11P_N_UFLEX98_M5358A8BH101511/dpll_52084/txpa_55192.png","plot")</f>
        <v>plot</v>
      </c>
    </row>
    <row r="612" spans="1:29" hidden="1" x14ac:dyDescent="0.35">
      <c r="A612" t="s">
        <v>46</v>
      </c>
      <c r="B612">
        <v>52084</v>
      </c>
      <c r="C612" t="s">
        <v>52</v>
      </c>
      <c r="D612">
        <v>55193</v>
      </c>
      <c r="E612" t="s">
        <v>326</v>
      </c>
      <c r="F612">
        <v>8716</v>
      </c>
      <c r="G612">
        <v>0.39881460380078909</v>
      </c>
      <c r="H612">
        <v>0</v>
      </c>
      <c r="I612">
        <v>0</v>
      </c>
      <c r="J612">
        <v>0.30697010343792008</v>
      </c>
      <c r="K612">
        <v>1.4792106290589639E-189</v>
      </c>
      <c r="L612">
        <v>2.1366375753073921E-189</v>
      </c>
      <c r="M612">
        <v>0.208815029006437</v>
      </c>
      <c r="N612">
        <v>6.7762588497030247E-188</v>
      </c>
      <c r="O612">
        <v>9.8299377304704817E-188</v>
      </c>
      <c r="P612">
        <v>0.1590530882047804</v>
      </c>
      <c r="Q612">
        <v>0.97035981206115218</v>
      </c>
      <c r="R612">
        <v>0.97530363073998849</v>
      </c>
      <c r="S612">
        <v>0.2779886035810073</v>
      </c>
      <c r="T612">
        <v>0.21452753631709029</v>
      </c>
      <c r="U612">
        <v>4.3169497564249664</v>
      </c>
      <c r="V612">
        <v>0.1245965072716559</v>
      </c>
      <c r="W612">
        <v>5.1642981850619556</v>
      </c>
      <c r="X612">
        <v>0.30315701137160989</v>
      </c>
      <c r="Z612" t="s">
        <v>392</v>
      </c>
      <c r="AA612">
        <v>9937</v>
      </c>
      <c r="AB612" t="s">
        <v>1003</v>
      </c>
      <c r="AC612" t="str">
        <f>HYPERLINK("plots/20251231000436_3FT6Y121H01_04823_B11P_N_UFLEX98_M5358A8BH101511/dpll_52084/txpa_55193.png","plot")</f>
        <v>plot</v>
      </c>
    </row>
    <row r="613" spans="1:29" hidden="1" x14ac:dyDescent="0.35">
      <c r="A613" t="s">
        <v>46</v>
      </c>
      <c r="B613">
        <v>52084</v>
      </c>
      <c r="C613" t="s">
        <v>52</v>
      </c>
      <c r="D613">
        <v>55194</v>
      </c>
      <c r="E613" t="s">
        <v>327</v>
      </c>
      <c r="F613">
        <v>8713</v>
      </c>
      <c r="G613">
        <v>0.41544875233007439</v>
      </c>
      <c r="H613">
        <v>0</v>
      </c>
      <c r="I613">
        <v>0</v>
      </c>
      <c r="J613">
        <v>0.29220132374559371</v>
      </c>
      <c r="K613">
        <v>4.4277600865001206E-171</v>
      </c>
      <c r="L613">
        <v>6.0672280104204356E-171</v>
      </c>
      <c r="M613">
        <v>0.19932241835026049</v>
      </c>
      <c r="N613">
        <v>2.51555031350061E-171</v>
      </c>
      <c r="O613">
        <v>3.4330659729335378E-171</v>
      </c>
      <c r="P613">
        <v>0.17259766581261549</v>
      </c>
      <c r="Q613">
        <v>1.168269291974775</v>
      </c>
      <c r="R613">
        <v>0.43921002694566003</v>
      </c>
      <c r="S613">
        <v>0.31838959733256678</v>
      </c>
      <c r="T613">
        <v>0.25098432220044609</v>
      </c>
      <c r="U613">
        <v>4.3170582030299549</v>
      </c>
      <c r="V613">
        <v>0.1244800975877976</v>
      </c>
      <c r="W613">
        <v>5.4826965572133588</v>
      </c>
      <c r="X613">
        <v>0.35004624435195281</v>
      </c>
      <c r="Z613" t="s">
        <v>392</v>
      </c>
      <c r="AA613">
        <v>9937</v>
      </c>
      <c r="AB613" t="s">
        <v>1004</v>
      </c>
      <c r="AC613" t="str">
        <f>HYPERLINK("plots/20251231000436_3FT6Y121H01_04823_B11P_N_UFLEX98_M5358A8BH101511/dpll_52084/txpa_55194.png","plot")</f>
        <v>plot</v>
      </c>
    </row>
    <row r="614" spans="1:29" hidden="1" x14ac:dyDescent="0.35">
      <c r="A614" t="s">
        <v>46</v>
      </c>
      <c r="B614">
        <v>52084</v>
      </c>
      <c r="C614" t="s">
        <v>52</v>
      </c>
      <c r="D614">
        <v>55195</v>
      </c>
      <c r="E614" t="s">
        <v>328</v>
      </c>
      <c r="F614">
        <v>8695</v>
      </c>
      <c r="G614">
        <v>0.44894738976476167</v>
      </c>
      <c r="H614">
        <v>0</v>
      </c>
      <c r="I614">
        <v>0</v>
      </c>
      <c r="J614">
        <v>0.34087457643015923</v>
      </c>
      <c r="K614">
        <v>1.7245615360101188E-235</v>
      </c>
      <c r="L614">
        <v>2.8159507206348809E-235</v>
      </c>
      <c r="M614">
        <v>0.23347450517833859</v>
      </c>
      <c r="N614">
        <v>8.24251017119898E-234</v>
      </c>
      <c r="O614">
        <v>1.341557835248117E-233</v>
      </c>
      <c r="P614">
        <v>0.2015537587765929</v>
      </c>
      <c r="Q614">
        <v>1.1901450744004329</v>
      </c>
      <c r="R614">
        <v>2.3835220125558321</v>
      </c>
      <c r="S614">
        <v>0.29224474163080583</v>
      </c>
      <c r="T614">
        <v>0.21889361872015309</v>
      </c>
      <c r="U614">
        <v>4.3178360200115007</v>
      </c>
      <c r="V614">
        <v>0.12337989258465169</v>
      </c>
      <c r="W614">
        <v>7.5223732838412882</v>
      </c>
      <c r="X614">
        <v>0.32707612247532752</v>
      </c>
      <c r="Z614" t="s">
        <v>392</v>
      </c>
      <c r="AA614">
        <v>9937</v>
      </c>
      <c r="AB614" t="s">
        <v>1005</v>
      </c>
      <c r="AC614" t="str">
        <f>HYPERLINK("plots/20251231000436_3FT6Y121H01_04823_B11P_N_UFLEX98_M5358A8BH101511/dpll_52084/txpa_55195.png","plot")</f>
        <v>plot</v>
      </c>
    </row>
    <row r="615" spans="1:29" hidden="1" x14ac:dyDescent="0.35">
      <c r="A615" t="s">
        <v>46</v>
      </c>
      <c r="B615">
        <v>52084</v>
      </c>
      <c r="C615" t="s">
        <v>52</v>
      </c>
      <c r="D615">
        <v>55196</v>
      </c>
      <c r="E615" t="s">
        <v>329</v>
      </c>
      <c r="F615">
        <v>8714</v>
      </c>
      <c r="G615">
        <v>0.49287107839535621</v>
      </c>
      <c r="H615">
        <v>0</v>
      </c>
      <c r="I615">
        <v>0</v>
      </c>
      <c r="J615">
        <v>0.38278893330623509</v>
      </c>
      <c r="K615">
        <v>4.0786389755641131E-302</v>
      </c>
      <c r="L615">
        <v>8.2880559543527272E-302</v>
      </c>
      <c r="M615">
        <v>0.26207358193614327</v>
      </c>
      <c r="N615">
        <v>1.1161567185904551E-294</v>
      </c>
      <c r="O615">
        <v>2.2235420680760739E-294</v>
      </c>
      <c r="P615">
        <v>0.2429218999186013</v>
      </c>
      <c r="Q615">
        <v>1.181943637730277</v>
      </c>
      <c r="R615">
        <v>2.0791145392192401</v>
      </c>
      <c r="S615">
        <v>0.2597799775652217</v>
      </c>
      <c r="T615">
        <v>0.19562747036805481</v>
      </c>
      <c r="U615">
        <v>4.3170257554509979</v>
      </c>
      <c r="V615">
        <v>0.1245078750823482</v>
      </c>
      <c r="W615">
        <v>7.1815956647922894</v>
      </c>
      <c r="X615">
        <v>0.29857968392061368</v>
      </c>
      <c r="Z615" t="s">
        <v>392</v>
      </c>
      <c r="AA615">
        <v>9937</v>
      </c>
      <c r="AB615" t="s">
        <v>1006</v>
      </c>
      <c r="AC615" t="str">
        <f>HYPERLINK("plots/20251231000436_3FT6Y121H01_04823_B11P_N_UFLEX98_M5358A8BH101511/dpll_52084/txpa_55196.png","plot")</f>
        <v>plot</v>
      </c>
    </row>
    <row r="616" spans="1:29" hidden="1" x14ac:dyDescent="0.35">
      <c r="A616" t="s">
        <v>46</v>
      </c>
      <c r="B616">
        <v>52084</v>
      </c>
      <c r="C616" t="s">
        <v>52</v>
      </c>
      <c r="D616">
        <v>55197</v>
      </c>
      <c r="E616" t="s">
        <v>330</v>
      </c>
      <c r="F616">
        <v>8716</v>
      </c>
      <c r="G616">
        <v>0.40205496519731349</v>
      </c>
      <c r="H616">
        <v>0</v>
      </c>
      <c r="I616">
        <v>0</v>
      </c>
      <c r="J616">
        <v>0.30464857792710248</v>
      </c>
      <c r="K616">
        <v>1.371674748814562E-186</v>
      </c>
      <c r="L616">
        <v>1.96729589151056E-186</v>
      </c>
      <c r="M616">
        <v>0.20813681754927921</v>
      </c>
      <c r="N616">
        <v>1.083624675412493E-186</v>
      </c>
      <c r="O616">
        <v>1.5652356422624901E-186</v>
      </c>
      <c r="P616">
        <v>0.16164819503981301</v>
      </c>
      <c r="Q616">
        <v>1.1441457023042121</v>
      </c>
      <c r="R616">
        <v>2.3476914643411519</v>
      </c>
      <c r="S616">
        <v>0.32463101436846109</v>
      </c>
      <c r="T616">
        <v>0.24743981880820309</v>
      </c>
      <c r="U616">
        <v>4.3169497564249664</v>
      </c>
      <c r="V616">
        <v>0.1245965072716559</v>
      </c>
      <c r="W616">
        <v>7.2869109752179897</v>
      </c>
      <c r="X616">
        <v>0.35456982417073019</v>
      </c>
      <c r="Z616" t="s">
        <v>392</v>
      </c>
      <c r="AA616">
        <v>9937</v>
      </c>
      <c r="AB616" t="s">
        <v>1007</v>
      </c>
      <c r="AC616" t="str">
        <f>HYPERLINK("plots/20251231000436_3FT6Y121H01_04823_B11P_N_UFLEX98_M5358A8BH101511/dpll_52084/txpa_55197.png","plot")</f>
        <v>plot</v>
      </c>
    </row>
    <row r="617" spans="1:29" hidden="1" x14ac:dyDescent="0.35">
      <c r="A617" t="s">
        <v>46</v>
      </c>
      <c r="B617">
        <v>52084</v>
      </c>
      <c r="C617" t="s">
        <v>52</v>
      </c>
      <c r="D617">
        <v>55198</v>
      </c>
      <c r="E617" t="s">
        <v>331</v>
      </c>
      <c r="F617">
        <v>8713</v>
      </c>
      <c r="G617">
        <v>0.47118614041228463</v>
      </c>
      <c r="H617">
        <v>0</v>
      </c>
      <c r="I617">
        <v>0</v>
      </c>
      <c r="J617">
        <v>0.36038312982718079</v>
      </c>
      <c r="K617">
        <v>1.6614369232373669E-265</v>
      </c>
      <c r="L617">
        <v>3.0245907363782589E-265</v>
      </c>
      <c r="M617">
        <v>0.24879937667684091</v>
      </c>
      <c r="N617">
        <v>9.1002782670701306E-266</v>
      </c>
      <c r="O617">
        <v>1.6566754331793741E-265</v>
      </c>
      <c r="P617">
        <v>0.22201637891662521</v>
      </c>
      <c r="Q617">
        <v>1.2636233165843871</v>
      </c>
      <c r="R617">
        <v>1.849735603870386</v>
      </c>
      <c r="S617">
        <v>0.29439007882440521</v>
      </c>
      <c r="T617">
        <v>0.23072131465956511</v>
      </c>
      <c r="U617">
        <v>4.3170646894295883</v>
      </c>
      <c r="V617">
        <v>0.1244622773120956</v>
      </c>
      <c r="W617">
        <v>7.304879204636749</v>
      </c>
      <c r="X617">
        <v>0.33378196461623999</v>
      </c>
      <c r="Z617" t="s">
        <v>392</v>
      </c>
      <c r="AA617">
        <v>9937</v>
      </c>
      <c r="AB617" t="s">
        <v>1008</v>
      </c>
      <c r="AC617" t="str">
        <f>HYPERLINK("plots/20251231000436_3FT6Y121H01_04823_B11P_N_UFLEX98_M5358A8BH101511/dpll_52084/txpa_55198.png","plot")</f>
        <v>plot</v>
      </c>
    </row>
    <row r="618" spans="1:29" hidden="1" x14ac:dyDescent="0.35">
      <c r="A618" t="s">
        <v>46</v>
      </c>
      <c r="B618">
        <v>52084</v>
      </c>
      <c r="C618" t="s">
        <v>52</v>
      </c>
      <c r="D618">
        <v>55199</v>
      </c>
      <c r="E618" t="s">
        <v>332</v>
      </c>
      <c r="F618">
        <v>8716</v>
      </c>
      <c r="G618">
        <v>0.4096846573099735</v>
      </c>
      <c r="H618">
        <v>0</v>
      </c>
      <c r="I618">
        <v>0</v>
      </c>
      <c r="J618">
        <v>0.30295660341964298</v>
      </c>
      <c r="K618">
        <v>1.917644794822737E-184</v>
      </c>
      <c r="L618">
        <v>2.7195689817486088E-184</v>
      </c>
      <c r="M618">
        <v>0.20652428312762261</v>
      </c>
      <c r="N618">
        <v>7.6675583870493697E-184</v>
      </c>
      <c r="O618">
        <v>1.093516765747969E-183</v>
      </c>
      <c r="P618">
        <v>0.16784151843519041</v>
      </c>
      <c r="Q618">
        <v>1.152162191658475</v>
      </c>
      <c r="R618">
        <v>2.265548243498325</v>
      </c>
      <c r="S618">
        <v>0.31963026503482539</v>
      </c>
      <c r="T618">
        <v>0.2433545743170894</v>
      </c>
      <c r="U618">
        <v>4.3169497564249664</v>
      </c>
      <c r="V618">
        <v>0.1245965072716559</v>
      </c>
      <c r="W618">
        <v>7.2393745361404314</v>
      </c>
      <c r="X618">
        <v>0.35040459126221563</v>
      </c>
      <c r="Z618" t="s">
        <v>392</v>
      </c>
      <c r="AA618">
        <v>9937</v>
      </c>
      <c r="AB618" t="s">
        <v>1009</v>
      </c>
      <c r="AC618" t="str">
        <f>HYPERLINK("plots/20251231000436_3FT6Y121H01_04823_B11P_N_UFLEX98_M5358A8BH101511/dpll_52084/txpa_55199.png","plot")</f>
        <v>plot</v>
      </c>
    </row>
    <row r="619" spans="1:29" hidden="1" x14ac:dyDescent="0.35">
      <c r="A619" t="s">
        <v>46</v>
      </c>
      <c r="B619">
        <v>52084</v>
      </c>
      <c r="C619" t="s">
        <v>52</v>
      </c>
      <c r="D619">
        <v>55200</v>
      </c>
      <c r="E619" t="s">
        <v>333</v>
      </c>
      <c r="F619">
        <v>8712</v>
      </c>
      <c r="G619">
        <v>0.50518024717669519</v>
      </c>
      <c r="H619">
        <v>0</v>
      </c>
      <c r="I619">
        <v>0</v>
      </c>
      <c r="J619">
        <v>0.38142480493360609</v>
      </c>
      <c r="K619">
        <v>9.7663354354004317E-300</v>
      </c>
      <c r="L619">
        <v>1.957127298714632E-299</v>
      </c>
      <c r="M619">
        <v>0.26231071955117707</v>
      </c>
      <c r="N619">
        <v>3.8504289477661959E-295</v>
      </c>
      <c r="O619">
        <v>7.7008578955323917E-295</v>
      </c>
      <c r="P619">
        <v>0.25520708213750692</v>
      </c>
      <c r="Q619">
        <v>1.194632800908372</v>
      </c>
      <c r="R619">
        <v>2.1902759588054548</v>
      </c>
      <c r="S619">
        <v>0.25389421089311742</v>
      </c>
      <c r="T619">
        <v>0.19543948198582051</v>
      </c>
      <c r="U619">
        <v>4.3171041759641868</v>
      </c>
      <c r="V619">
        <v>0.1244147530790896</v>
      </c>
      <c r="W619">
        <v>7.3476302123507811</v>
      </c>
      <c r="X619">
        <v>0.29421171111864641</v>
      </c>
      <c r="Z619" t="s">
        <v>392</v>
      </c>
      <c r="AA619">
        <v>9937</v>
      </c>
      <c r="AB619" t="s">
        <v>1010</v>
      </c>
      <c r="AC619" t="str">
        <f>HYPERLINK("plots/20251231000436_3FT6Y121H01_04823_B11P_N_UFLEX98_M5358A8BH101511/dpll_52084/txpa_55200.png","plot")</f>
        <v>plot</v>
      </c>
    </row>
    <row r="620" spans="1:29" hidden="1" x14ac:dyDescent="0.35">
      <c r="A620" t="s">
        <v>46</v>
      </c>
      <c r="B620">
        <v>52084</v>
      </c>
      <c r="C620" t="s">
        <v>52</v>
      </c>
      <c r="D620">
        <v>55201</v>
      </c>
      <c r="E620" t="s">
        <v>334</v>
      </c>
      <c r="F620">
        <v>8716</v>
      </c>
      <c r="G620">
        <v>0.45646779866598802</v>
      </c>
      <c r="H620">
        <v>0</v>
      </c>
      <c r="I620">
        <v>0</v>
      </c>
      <c r="J620">
        <v>0.34017207971939151</v>
      </c>
      <c r="K620">
        <v>4.9869587037674117E-235</v>
      </c>
      <c r="L620">
        <v>8.1298651537301529E-235</v>
      </c>
      <c r="M620">
        <v>0.23287776679354069</v>
      </c>
      <c r="N620">
        <v>3.482565165916103E-233</v>
      </c>
      <c r="O620">
        <v>5.650113725182285E-233</v>
      </c>
      <c r="P620">
        <v>0.20836285121897299</v>
      </c>
      <c r="Q620">
        <v>1.117568891149078</v>
      </c>
      <c r="R620">
        <v>2.4198747763634789</v>
      </c>
      <c r="S620">
        <v>0.27139896959906612</v>
      </c>
      <c r="T620">
        <v>0.20693391278573539</v>
      </c>
      <c r="U620">
        <v>4.3169497564249664</v>
      </c>
      <c r="V620">
        <v>0.1245965072716559</v>
      </c>
      <c r="W620">
        <v>7.2443635287976136</v>
      </c>
      <c r="X620">
        <v>0.30504929565584238</v>
      </c>
      <c r="Z620" t="s">
        <v>392</v>
      </c>
      <c r="AA620">
        <v>9937</v>
      </c>
      <c r="AB620" t="s">
        <v>1011</v>
      </c>
      <c r="AC620" t="str">
        <f>HYPERLINK("plots/20251231000436_3FT6Y121H01_04823_B11P_N_UFLEX98_M5358A8BH101511/dpll_52084/txpa_55201.png","plot")</f>
        <v>plot</v>
      </c>
    </row>
    <row r="621" spans="1:29" hidden="1" x14ac:dyDescent="0.35">
      <c r="A621" t="s">
        <v>46</v>
      </c>
      <c r="B621">
        <v>52084</v>
      </c>
      <c r="C621" t="s">
        <v>52</v>
      </c>
      <c r="D621">
        <v>55202</v>
      </c>
      <c r="E621" t="s">
        <v>335</v>
      </c>
      <c r="F621">
        <v>8708</v>
      </c>
      <c r="G621">
        <v>0.4545134703170553</v>
      </c>
      <c r="H621">
        <v>0</v>
      </c>
      <c r="I621">
        <v>0</v>
      </c>
      <c r="J621">
        <v>0.32994339743505752</v>
      </c>
      <c r="K621">
        <v>3.328337275317292E-220</v>
      </c>
      <c r="L621">
        <v>5.192206149494976E-220</v>
      </c>
      <c r="M621">
        <v>0.2267058724256997</v>
      </c>
      <c r="N621">
        <v>6.7363222051400161E-221</v>
      </c>
      <c r="O621">
        <v>1.0541096783969101E-220</v>
      </c>
      <c r="P621">
        <v>0.2065824946996527</v>
      </c>
      <c r="Q621">
        <v>1.256239660683991</v>
      </c>
      <c r="R621">
        <v>2.104894364519668</v>
      </c>
      <c r="S621">
        <v>0.30578417626278132</v>
      </c>
      <c r="T621">
        <v>0.2363671347848903</v>
      </c>
      <c r="U621">
        <v>4.3172664184657794</v>
      </c>
      <c r="V621">
        <v>0.12421193149265029</v>
      </c>
      <c r="W621">
        <v>7.5284156651355083</v>
      </c>
      <c r="X621">
        <v>0.3433120575334791</v>
      </c>
      <c r="Z621" t="s">
        <v>392</v>
      </c>
      <c r="AA621">
        <v>9937</v>
      </c>
      <c r="AB621" t="s">
        <v>1012</v>
      </c>
      <c r="AC621" t="str">
        <f>HYPERLINK("plots/20251231000436_3FT6Y121H01_04823_B11P_N_UFLEX98_M5358A8BH101511/dpll_52084/txpa_55202.png","plot")</f>
        <v>plot</v>
      </c>
    </row>
    <row r="622" spans="1:29" hidden="1" x14ac:dyDescent="0.35">
      <c r="A622" t="s">
        <v>46</v>
      </c>
      <c r="B622">
        <v>52084</v>
      </c>
      <c r="C622" t="s">
        <v>52</v>
      </c>
      <c r="D622">
        <v>55203</v>
      </c>
      <c r="E622" t="s">
        <v>336</v>
      </c>
      <c r="F622">
        <v>8682</v>
      </c>
      <c r="G622">
        <v>0.44697140471859098</v>
      </c>
      <c r="H622">
        <v>0</v>
      </c>
      <c r="I622">
        <v>0</v>
      </c>
      <c r="J622">
        <v>0.36258358970781451</v>
      </c>
      <c r="K622">
        <v>5.0802069372633872E-268</v>
      </c>
      <c r="L622">
        <v>9.2984293039441781E-268</v>
      </c>
      <c r="M622">
        <v>0.24953264581149209</v>
      </c>
      <c r="N622">
        <v>2.2236663495741441E-266</v>
      </c>
      <c r="O622">
        <v>4.05853926521893E-266</v>
      </c>
      <c r="P622">
        <v>0.19978343663611051</v>
      </c>
      <c r="Q622">
        <v>1.208610073977828</v>
      </c>
      <c r="R622">
        <v>3.1818380607901169</v>
      </c>
      <c r="S622">
        <v>0.29629016039686368</v>
      </c>
      <c r="T622">
        <v>0.21658848476703041</v>
      </c>
      <c r="U622">
        <v>4.3184279515088688</v>
      </c>
      <c r="V622">
        <v>0.1224988476828916</v>
      </c>
      <c r="W622">
        <v>8.4011335867311701</v>
      </c>
      <c r="X622">
        <v>0.33123671849529462</v>
      </c>
      <c r="Z622" t="s">
        <v>392</v>
      </c>
      <c r="AA622">
        <v>9937</v>
      </c>
      <c r="AB622" t="s">
        <v>1013</v>
      </c>
      <c r="AC622" t="str">
        <f>HYPERLINK("plots/20251231000436_3FT6Y121H01_04823_B11P_N_UFLEX98_M5358A8BH101511/dpll_52084/txpa_55203.png","plot")</f>
        <v>plot</v>
      </c>
    </row>
    <row r="623" spans="1:29" hidden="1" x14ac:dyDescent="0.35">
      <c r="A623" t="s">
        <v>46</v>
      </c>
      <c r="B623">
        <v>52084</v>
      </c>
      <c r="C623" t="s">
        <v>52</v>
      </c>
      <c r="D623">
        <v>55204</v>
      </c>
      <c r="E623" t="s">
        <v>337</v>
      </c>
      <c r="F623">
        <v>8705</v>
      </c>
      <c r="G623">
        <v>0.49546689305400748</v>
      </c>
      <c r="H623">
        <v>0</v>
      </c>
      <c r="I623">
        <v>0</v>
      </c>
      <c r="J623">
        <v>0.39450843330434421</v>
      </c>
      <c r="K623">
        <v>0</v>
      </c>
      <c r="L623">
        <v>0</v>
      </c>
      <c r="M623">
        <v>0.27103452404709388</v>
      </c>
      <c r="N623">
        <v>0</v>
      </c>
      <c r="O623">
        <v>0</v>
      </c>
      <c r="P623">
        <v>0.2454874421125913</v>
      </c>
      <c r="Q623">
        <v>1.216057368186144</v>
      </c>
      <c r="R623">
        <v>2.840486427457932</v>
      </c>
      <c r="S623">
        <v>0.26449730012596639</v>
      </c>
      <c r="T623">
        <v>0.19547849666869821</v>
      </c>
      <c r="U623">
        <v>4.3173788461803566</v>
      </c>
      <c r="V623">
        <v>0.1240719278711782</v>
      </c>
      <c r="W623">
        <v>8.0906667846065474</v>
      </c>
      <c r="X623">
        <v>0.30451798937120861</v>
      </c>
      <c r="Z623" t="s">
        <v>392</v>
      </c>
      <c r="AA623">
        <v>9937</v>
      </c>
      <c r="AB623" t="s">
        <v>1014</v>
      </c>
      <c r="AC623" t="str">
        <f>HYPERLINK("plots/20251231000436_3FT6Y121H01_04823_B11P_N_UFLEX98_M5358A8BH101511/dpll_52084/txpa_55204.png","plot")</f>
        <v>plot</v>
      </c>
    </row>
    <row r="624" spans="1:29" hidden="1" x14ac:dyDescent="0.35">
      <c r="A624" t="s">
        <v>46</v>
      </c>
      <c r="B624">
        <v>52084</v>
      </c>
      <c r="C624" t="s">
        <v>52</v>
      </c>
      <c r="D624">
        <v>55205</v>
      </c>
      <c r="E624" t="s">
        <v>338</v>
      </c>
      <c r="F624">
        <v>8716</v>
      </c>
      <c r="G624">
        <v>0.43283208880689122</v>
      </c>
      <c r="H624">
        <v>0</v>
      </c>
      <c r="I624">
        <v>0</v>
      </c>
      <c r="J624">
        <v>0.32509653944064271</v>
      </c>
      <c r="K624">
        <v>1.142142775614605E-213</v>
      </c>
      <c r="L624">
        <v>1.7574093694585879E-213</v>
      </c>
      <c r="M624">
        <v>0.2225853656224088</v>
      </c>
      <c r="N624">
        <v>3.2733580426325517E-213</v>
      </c>
      <c r="O624">
        <v>5.0366996285726968E-213</v>
      </c>
      <c r="P624">
        <v>0.1873436171009365</v>
      </c>
      <c r="Q624">
        <v>1.233450265581167</v>
      </c>
      <c r="R624">
        <v>2.85074933522551</v>
      </c>
      <c r="S624">
        <v>0.32006384695632928</v>
      </c>
      <c r="T624">
        <v>0.241189948713699</v>
      </c>
      <c r="U624">
        <v>4.3169497564249664</v>
      </c>
      <c r="V624">
        <v>0.1245965072716559</v>
      </c>
      <c r="W624">
        <v>8.1754921587884368</v>
      </c>
      <c r="X624">
        <v>0.35506516027575752</v>
      </c>
      <c r="Z624" t="s">
        <v>392</v>
      </c>
      <c r="AA624">
        <v>9937</v>
      </c>
      <c r="AB624" t="s">
        <v>1015</v>
      </c>
      <c r="AC624" t="str">
        <f>HYPERLINK("plots/20251231000436_3FT6Y121H01_04823_B11P_N_UFLEX98_M5358A8BH101511/dpll_52084/txpa_55205.png","plot")</f>
        <v>plot</v>
      </c>
    </row>
    <row r="625" spans="1:29" hidden="1" x14ac:dyDescent="0.35">
      <c r="A625" t="s">
        <v>46</v>
      </c>
      <c r="B625">
        <v>52084</v>
      </c>
      <c r="C625" t="s">
        <v>52</v>
      </c>
      <c r="D625">
        <v>55206</v>
      </c>
      <c r="E625" t="s">
        <v>339</v>
      </c>
      <c r="F625">
        <v>8710</v>
      </c>
      <c r="G625">
        <v>0.48498622047572582</v>
      </c>
      <c r="H625">
        <v>0</v>
      </c>
      <c r="I625">
        <v>0</v>
      </c>
      <c r="J625">
        <v>0.37391318608009633</v>
      </c>
      <c r="K625">
        <v>3.8063542486322318E-287</v>
      </c>
      <c r="L625">
        <v>7.3238011539147699E-287</v>
      </c>
      <c r="M625">
        <v>0.25928081469991421</v>
      </c>
      <c r="N625">
        <v>2.3938139513153239E-288</v>
      </c>
      <c r="O625">
        <v>4.6769313037258932E-288</v>
      </c>
      <c r="P625">
        <v>0.2352116340513293</v>
      </c>
      <c r="Q625">
        <v>1.317124508423676</v>
      </c>
      <c r="R625">
        <v>2.5090497395088511</v>
      </c>
      <c r="S625">
        <v>0.29516349295519162</v>
      </c>
      <c r="T625">
        <v>0.22736604938368951</v>
      </c>
      <c r="U625">
        <v>4.3171944489092988</v>
      </c>
      <c r="V625">
        <v>0.1242852257541341</v>
      </c>
      <c r="W625">
        <v>8.1953323557979321</v>
      </c>
      <c r="X625">
        <v>0.33753354211830211</v>
      </c>
      <c r="Z625" t="s">
        <v>392</v>
      </c>
      <c r="AA625">
        <v>9937</v>
      </c>
      <c r="AB625" t="s">
        <v>1016</v>
      </c>
      <c r="AC625" t="str">
        <f>HYPERLINK("plots/20251231000436_3FT6Y121H01_04823_B11P_N_UFLEX98_M5358A8BH101511/dpll_52084/txpa_55206.png","plot")</f>
        <v>plot</v>
      </c>
    </row>
    <row r="626" spans="1:29" hidden="1" x14ac:dyDescent="0.35">
      <c r="A626" t="s">
        <v>46</v>
      </c>
      <c r="B626">
        <v>52084</v>
      </c>
      <c r="C626" t="s">
        <v>52</v>
      </c>
      <c r="D626">
        <v>55207</v>
      </c>
      <c r="E626" t="s">
        <v>340</v>
      </c>
      <c r="F626">
        <v>8716</v>
      </c>
      <c r="G626">
        <v>0.43967842687144798</v>
      </c>
      <c r="H626">
        <v>0</v>
      </c>
      <c r="I626">
        <v>0</v>
      </c>
      <c r="J626">
        <v>0.31990406554212403</v>
      </c>
      <c r="K626">
        <v>1.3731651828063299E-206</v>
      </c>
      <c r="L626">
        <v>2.0938187900234869E-206</v>
      </c>
      <c r="M626">
        <v>0.21866511284535309</v>
      </c>
      <c r="N626">
        <v>7.6940051107355361E-206</v>
      </c>
      <c r="O626">
        <v>1.1644359973560951E-205</v>
      </c>
      <c r="P626">
        <v>0.1933171190561512</v>
      </c>
      <c r="Q626">
        <v>1.235597416992787</v>
      </c>
      <c r="R626">
        <v>2.803331387915069</v>
      </c>
      <c r="S626">
        <v>0.31446637040065439</v>
      </c>
      <c r="T626">
        <v>0.23813327160674491</v>
      </c>
      <c r="U626">
        <v>4.3169497564249664</v>
      </c>
      <c r="V626">
        <v>0.1245965072716559</v>
      </c>
      <c r="W626">
        <v>8.1373433562413968</v>
      </c>
      <c r="X626">
        <v>0.35014481753545929</v>
      </c>
      <c r="Z626" t="s">
        <v>392</v>
      </c>
      <c r="AA626">
        <v>9937</v>
      </c>
      <c r="AB626" t="s">
        <v>1017</v>
      </c>
      <c r="AC626" t="str">
        <f>HYPERLINK("plots/20251231000436_3FT6Y121H01_04823_B11P_N_UFLEX98_M5358A8BH101511/dpll_52084/txpa_55207.png","plot")</f>
        <v>plot</v>
      </c>
    </row>
    <row r="627" spans="1:29" hidden="1" x14ac:dyDescent="0.35">
      <c r="A627" t="s">
        <v>46</v>
      </c>
      <c r="B627">
        <v>52084</v>
      </c>
      <c r="C627" t="s">
        <v>52</v>
      </c>
      <c r="D627">
        <v>55208</v>
      </c>
      <c r="E627" t="s">
        <v>341</v>
      </c>
      <c r="F627">
        <v>8706</v>
      </c>
      <c r="G627">
        <v>0.51417690480152511</v>
      </c>
      <c r="H627">
        <v>0</v>
      </c>
      <c r="I627">
        <v>0</v>
      </c>
      <c r="J627">
        <v>0.39470540256592168</v>
      </c>
      <c r="K627">
        <v>0</v>
      </c>
      <c r="L627">
        <v>0</v>
      </c>
      <c r="M627">
        <v>0.27264121668586072</v>
      </c>
      <c r="N627">
        <v>0</v>
      </c>
      <c r="O627">
        <v>0</v>
      </c>
      <c r="P627">
        <v>0.2643778894312766</v>
      </c>
      <c r="Q627">
        <v>1.2476384912933109</v>
      </c>
      <c r="R627">
        <v>2.8453460823823602</v>
      </c>
      <c r="S627">
        <v>0.25837932091281562</v>
      </c>
      <c r="T627">
        <v>0.19473434140498111</v>
      </c>
      <c r="U627">
        <v>4.3173271302549967</v>
      </c>
      <c r="V627">
        <v>0.1241592583565795</v>
      </c>
      <c r="W627">
        <v>8.2318095895933823</v>
      </c>
      <c r="X627">
        <v>0.30126959871115527</v>
      </c>
      <c r="Z627" t="s">
        <v>392</v>
      </c>
      <c r="AA627">
        <v>9937</v>
      </c>
      <c r="AB627" t="s">
        <v>1018</v>
      </c>
      <c r="AC627" t="str">
        <f>HYPERLINK("plots/20251231000436_3FT6Y121H01_04823_B11P_N_UFLEX98_M5358A8BH101511/dpll_52084/txpa_55208.png","plot")</f>
        <v>plot</v>
      </c>
    </row>
    <row r="628" spans="1:29" hidden="1" x14ac:dyDescent="0.35">
      <c r="A628" t="s">
        <v>46</v>
      </c>
      <c r="B628">
        <v>52084</v>
      </c>
      <c r="C628" t="s">
        <v>52</v>
      </c>
      <c r="D628">
        <v>55209</v>
      </c>
      <c r="E628" t="s">
        <v>342</v>
      </c>
      <c r="F628">
        <v>8713</v>
      </c>
      <c r="G628">
        <v>0.48024007464660651</v>
      </c>
      <c r="H628">
        <v>0</v>
      </c>
      <c r="I628">
        <v>0</v>
      </c>
      <c r="J628">
        <v>0.35579323489731413</v>
      </c>
      <c r="K628">
        <v>2.2834483277857859E-258</v>
      </c>
      <c r="L628">
        <v>4.0128537337517978E-258</v>
      </c>
      <c r="M628">
        <v>0.24411111669860749</v>
      </c>
      <c r="N628">
        <v>6.325083978603129E-256</v>
      </c>
      <c r="O628">
        <v>1.1154148094441001E-255</v>
      </c>
      <c r="P628">
        <v>0.2306305292965781</v>
      </c>
      <c r="Q628">
        <v>1.197087191564272</v>
      </c>
      <c r="R628">
        <v>2.975539271530657</v>
      </c>
      <c r="S628">
        <v>0.27210883962514792</v>
      </c>
      <c r="T628">
        <v>0.2052037727794942</v>
      </c>
      <c r="U628">
        <v>4.317065186043842</v>
      </c>
      <c r="V628">
        <v>0.1244608358444047</v>
      </c>
      <c r="W628">
        <v>8.1434427108917706</v>
      </c>
      <c r="X628">
        <v>0.31024164851373082</v>
      </c>
      <c r="Z628" t="s">
        <v>392</v>
      </c>
      <c r="AA628">
        <v>9937</v>
      </c>
      <c r="AB628" t="s">
        <v>1019</v>
      </c>
      <c r="AC628" t="str">
        <f>HYPERLINK("plots/20251231000436_3FT6Y121H01_04823_B11P_N_UFLEX98_M5358A8BH101511/dpll_52084/txpa_55209.png","plot")</f>
        <v>plot</v>
      </c>
    </row>
    <row r="629" spans="1:29" hidden="1" x14ac:dyDescent="0.35">
      <c r="A629" t="s">
        <v>46</v>
      </c>
      <c r="B629">
        <v>52084</v>
      </c>
      <c r="C629" t="s">
        <v>52</v>
      </c>
      <c r="D629">
        <v>55210</v>
      </c>
      <c r="E629" t="s">
        <v>343</v>
      </c>
      <c r="F629">
        <v>8692</v>
      </c>
      <c r="G629">
        <v>0.46080874891577522</v>
      </c>
      <c r="H629">
        <v>0</v>
      </c>
      <c r="I629">
        <v>0</v>
      </c>
      <c r="J629">
        <v>0.34638360985125283</v>
      </c>
      <c r="K629">
        <v>1.61863632410973E-243</v>
      </c>
      <c r="L629">
        <v>2.712887987846722E-243</v>
      </c>
      <c r="M629">
        <v>0.23922130694976931</v>
      </c>
      <c r="N629">
        <v>2.8424426572797921E-245</v>
      </c>
      <c r="O629">
        <v>4.8117476702532698E-245</v>
      </c>
      <c r="P629">
        <v>0.21234470307732201</v>
      </c>
      <c r="Q629">
        <v>1.2685016477422859</v>
      </c>
      <c r="R629">
        <v>2.933828741049219</v>
      </c>
      <c r="S629">
        <v>0.30103988039074492</v>
      </c>
      <c r="T629">
        <v>0.2294064760215396</v>
      </c>
      <c r="U629">
        <v>4.3179600562586291</v>
      </c>
      <c r="V629">
        <v>0.1232283399406562</v>
      </c>
      <c r="W629">
        <v>8.4111681872986654</v>
      </c>
      <c r="X629">
        <v>0.33921958433093818</v>
      </c>
      <c r="Z629" t="s">
        <v>392</v>
      </c>
      <c r="AA629">
        <v>9937</v>
      </c>
      <c r="AB629" t="s">
        <v>1020</v>
      </c>
      <c r="AC629" t="str">
        <f>HYPERLINK("plots/20251231000436_3FT6Y121H01_04823_B11P_N_UFLEX98_M5358A8BH101511/dpll_52084/txpa_55210.png","plot")</f>
        <v>plot</v>
      </c>
    </row>
    <row r="630" spans="1:29" hidden="1" x14ac:dyDescent="0.35">
      <c r="A630" t="s">
        <v>46</v>
      </c>
      <c r="B630">
        <v>52084</v>
      </c>
      <c r="C630" t="s">
        <v>52</v>
      </c>
      <c r="D630">
        <v>55211</v>
      </c>
      <c r="E630" t="s">
        <v>344</v>
      </c>
      <c r="F630">
        <v>8660</v>
      </c>
      <c r="G630">
        <v>0.44301898649249088</v>
      </c>
      <c r="H630">
        <v>0</v>
      </c>
      <c r="I630">
        <v>0</v>
      </c>
      <c r="J630">
        <v>0.38525707629902928</v>
      </c>
      <c r="K630">
        <v>1.9342454066433199E-304</v>
      </c>
      <c r="L630">
        <v>4.0191082834760794E-304</v>
      </c>
      <c r="M630">
        <v>0.26713448082622832</v>
      </c>
      <c r="N630">
        <v>3.3471672080182061E-304</v>
      </c>
      <c r="O630">
        <v>6.9265868345519601E-304</v>
      </c>
      <c r="P630">
        <v>0.1962658223928338</v>
      </c>
      <c r="Q630">
        <v>1.23518211688354</v>
      </c>
      <c r="R630">
        <v>3.8887454700993742</v>
      </c>
      <c r="S630">
        <v>0.30324827057908688</v>
      </c>
      <c r="T630">
        <v>0.21655574520282589</v>
      </c>
      <c r="U630">
        <v>4.3191725049653584</v>
      </c>
      <c r="V630">
        <v>0.1213273004721636</v>
      </c>
      <c r="W630">
        <v>9.2237101079676673</v>
      </c>
      <c r="X630">
        <v>0.33827288762377339</v>
      </c>
      <c r="Z630" t="s">
        <v>392</v>
      </c>
      <c r="AA630">
        <v>9937</v>
      </c>
      <c r="AB630" t="s">
        <v>1021</v>
      </c>
      <c r="AC630" t="str">
        <f>HYPERLINK("plots/20251231000436_3FT6Y121H01_04823_B11P_N_UFLEX98_M5358A8BH101511/dpll_52084/txpa_55211.png","plot")</f>
        <v>plot</v>
      </c>
    </row>
    <row r="631" spans="1:29" hidden="1" x14ac:dyDescent="0.35">
      <c r="A631" t="s">
        <v>46</v>
      </c>
      <c r="B631">
        <v>52084</v>
      </c>
      <c r="C631" t="s">
        <v>52</v>
      </c>
      <c r="D631">
        <v>55212</v>
      </c>
      <c r="E631" t="s">
        <v>345</v>
      </c>
      <c r="F631">
        <v>8702</v>
      </c>
      <c r="G631">
        <v>0.50231997247637028</v>
      </c>
      <c r="H631">
        <v>0</v>
      </c>
      <c r="I631">
        <v>0</v>
      </c>
      <c r="J631">
        <v>0.41046742982574491</v>
      </c>
      <c r="K631">
        <v>0</v>
      </c>
      <c r="L631">
        <v>0</v>
      </c>
      <c r="M631">
        <v>0.28378310877839552</v>
      </c>
      <c r="N631">
        <v>0</v>
      </c>
      <c r="O631">
        <v>0</v>
      </c>
      <c r="P631">
        <v>0.25232535474866141</v>
      </c>
      <c r="Q631">
        <v>1.290162427202252</v>
      </c>
      <c r="R631">
        <v>3.3807744078012769</v>
      </c>
      <c r="S631">
        <v>0.27531539117144088</v>
      </c>
      <c r="T631">
        <v>0.1983371688587898</v>
      </c>
      <c r="U631">
        <v>4.3174367901631809</v>
      </c>
      <c r="V631">
        <v>0.1239753021814342</v>
      </c>
      <c r="W631">
        <v>8.9509691362905084</v>
      </c>
      <c r="X631">
        <v>0.31841910642534932</v>
      </c>
      <c r="Z631" t="s">
        <v>392</v>
      </c>
      <c r="AA631">
        <v>9937</v>
      </c>
      <c r="AB631" t="s">
        <v>1022</v>
      </c>
      <c r="AC631" t="str">
        <f>HYPERLINK("plots/20251231000436_3FT6Y121H01_04823_B11P_N_UFLEX98_M5358A8BH101511/dpll_52084/txpa_55212.png","plot")</f>
        <v>plot</v>
      </c>
    </row>
    <row r="632" spans="1:29" hidden="1" x14ac:dyDescent="0.35">
      <c r="A632" t="s">
        <v>46</v>
      </c>
      <c r="B632">
        <v>52084</v>
      </c>
      <c r="C632" t="s">
        <v>52</v>
      </c>
      <c r="D632">
        <v>55213</v>
      </c>
      <c r="E632" t="s">
        <v>346</v>
      </c>
      <c r="F632">
        <v>8711</v>
      </c>
      <c r="G632">
        <v>0.46051418285037787</v>
      </c>
      <c r="H632">
        <v>0</v>
      </c>
      <c r="I632">
        <v>0</v>
      </c>
      <c r="J632">
        <v>0.35088954242713849</v>
      </c>
      <c r="K632">
        <v>8.1635730351086685E-251</v>
      </c>
      <c r="L632">
        <v>1.393579639326631E-250</v>
      </c>
      <c r="M632">
        <v>0.2411571693859712</v>
      </c>
      <c r="N632">
        <v>9.1607958448293601E-250</v>
      </c>
      <c r="O632">
        <v>1.5690957747731371E-249</v>
      </c>
      <c r="P632">
        <v>0.21207331260635129</v>
      </c>
      <c r="Q632">
        <v>1.326716678995391</v>
      </c>
      <c r="R632">
        <v>3.2845751810540871</v>
      </c>
      <c r="S632">
        <v>0.31808182482912289</v>
      </c>
      <c r="T632">
        <v>0.23560012138286399</v>
      </c>
      <c r="U632">
        <v>4.3171324620594653</v>
      </c>
      <c r="V632">
        <v>0.1243900663619685</v>
      </c>
      <c r="W632">
        <v>9.0121868239008158</v>
      </c>
      <c r="X632">
        <v>0.35836111435765677</v>
      </c>
      <c r="Z632" t="s">
        <v>392</v>
      </c>
      <c r="AA632">
        <v>9937</v>
      </c>
      <c r="AB632" t="s">
        <v>1023</v>
      </c>
      <c r="AC632" t="str">
        <f>HYPERLINK("plots/20251231000436_3FT6Y121H01_04823_B11P_N_UFLEX98_M5358A8BH101511/dpll_52084/txpa_55213.png","plot")</f>
        <v>plot</v>
      </c>
    </row>
    <row r="633" spans="1:29" hidden="1" x14ac:dyDescent="0.35">
      <c r="A633" t="s">
        <v>46</v>
      </c>
      <c r="B633">
        <v>52084</v>
      </c>
      <c r="C633" t="s">
        <v>52</v>
      </c>
      <c r="D633">
        <v>55214</v>
      </c>
      <c r="E633" t="s">
        <v>347</v>
      </c>
      <c r="F633">
        <v>8699</v>
      </c>
      <c r="G633">
        <v>0.49488419416729962</v>
      </c>
      <c r="H633">
        <v>0</v>
      </c>
      <c r="I633">
        <v>0</v>
      </c>
      <c r="J633">
        <v>0.39045752146226431</v>
      </c>
      <c r="K633">
        <v>0</v>
      </c>
      <c r="L633">
        <v>0</v>
      </c>
      <c r="M633">
        <v>0.27207018730321492</v>
      </c>
      <c r="N633">
        <v>0</v>
      </c>
      <c r="O633">
        <v>0</v>
      </c>
      <c r="P633">
        <v>0.24491036563661739</v>
      </c>
      <c r="Q633">
        <v>1.365964565288813</v>
      </c>
      <c r="R633">
        <v>3.1370106968502429</v>
      </c>
      <c r="S633">
        <v>0.29688569042434843</v>
      </c>
      <c r="T633">
        <v>0.223589670296653</v>
      </c>
      <c r="U633">
        <v>4.3175676060466719</v>
      </c>
      <c r="V633">
        <v>0.1237881649784205</v>
      </c>
      <c r="W633">
        <v>9.0346550549488445</v>
      </c>
      <c r="X633">
        <v>0.34167639410501283</v>
      </c>
      <c r="Z633" t="s">
        <v>392</v>
      </c>
      <c r="AA633">
        <v>9937</v>
      </c>
      <c r="AB633" t="s">
        <v>1024</v>
      </c>
      <c r="AC633" t="str">
        <f>HYPERLINK("plots/20251231000436_3FT6Y121H01_04823_B11P_N_UFLEX98_M5358A8BH101511/dpll_52084/txpa_55214.png","plot")</f>
        <v>plot</v>
      </c>
    </row>
    <row r="634" spans="1:29" hidden="1" x14ac:dyDescent="0.35">
      <c r="A634" t="s">
        <v>46</v>
      </c>
      <c r="B634">
        <v>52084</v>
      </c>
      <c r="C634" t="s">
        <v>52</v>
      </c>
      <c r="D634">
        <v>55215</v>
      </c>
      <c r="E634" t="s">
        <v>348</v>
      </c>
      <c r="F634">
        <v>8712</v>
      </c>
      <c r="G634">
        <v>0.46713554664372109</v>
      </c>
      <c r="H634">
        <v>0</v>
      </c>
      <c r="I634">
        <v>0</v>
      </c>
      <c r="J634">
        <v>0.34161143291999119</v>
      </c>
      <c r="K634">
        <v>5.0447659200646933E-237</v>
      </c>
      <c r="L634">
        <v>8.3042088359506479E-237</v>
      </c>
      <c r="M634">
        <v>0.2342106925913629</v>
      </c>
      <c r="N634">
        <v>9.8980674293196968E-236</v>
      </c>
      <c r="O634">
        <v>1.6293247359302228E-235</v>
      </c>
      <c r="P634">
        <v>0.21821561893812819</v>
      </c>
      <c r="Q634">
        <v>1.3243197865176519</v>
      </c>
      <c r="R634">
        <v>3.2687444592781869</v>
      </c>
      <c r="S634">
        <v>0.31183050294156278</v>
      </c>
      <c r="T634">
        <v>0.23350612564305689</v>
      </c>
      <c r="U634">
        <v>4.3171064000229569</v>
      </c>
      <c r="V634">
        <v>0.1244085061246922</v>
      </c>
      <c r="W634">
        <v>8.9859738853305782</v>
      </c>
      <c r="X634">
        <v>0.35269558794182349</v>
      </c>
      <c r="Z634" t="s">
        <v>392</v>
      </c>
      <c r="AA634">
        <v>9937</v>
      </c>
      <c r="AB634" t="s">
        <v>1025</v>
      </c>
      <c r="AC634" t="str">
        <f>HYPERLINK("plots/20251231000436_3FT6Y121H01_04823_B11P_N_UFLEX98_M5358A8BH101511/dpll_52084/txpa_55215.png","plot")</f>
        <v>plot</v>
      </c>
    </row>
    <row r="635" spans="1:29" hidden="1" x14ac:dyDescent="0.35">
      <c r="A635" t="s">
        <v>46</v>
      </c>
      <c r="B635">
        <v>52084</v>
      </c>
      <c r="C635" t="s">
        <v>52</v>
      </c>
      <c r="D635">
        <v>55216</v>
      </c>
      <c r="E635" t="s">
        <v>349</v>
      </c>
      <c r="F635">
        <v>8694</v>
      </c>
      <c r="G635">
        <v>0.51497571275097753</v>
      </c>
      <c r="H635">
        <v>0</v>
      </c>
      <c r="I635">
        <v>0</v>
      </c>
      <c r="J635">
        <v>0.41046736921959431</v>
      </c>
      <c r="K635">
        <v>0</v>
      </c>
      <c r="L635">
        <v>0</v>
      </c>
      <c r="M635">
        <v>0.28541815584351599</v>
      </c>
      <c r="N635">
        <v>0</v>
      </c>
      <c r="O635">
        <v>0</v>
      </c>
      <c r="P635">
        <v>0.2651999847233773</v>
      </c>
      <c r="Q635">
        <v>1.2989793870226261</v>
      </c>
      <c r="R635">
        <v>3.4529429615913041</v>
      </c>
      <c r="S635">
        <v>0.26709262075293971</v>
      </c>
      <c r="T635">
        <v>0.19571905166613771</v>
      </c>
      <c r="U635">
        <v>4.3178155954681392</v>
      </c>
      <c r="V635">
        <v>0.1235340776946096</v>
      </c>
      <c r="W635">
        <v>9.0616964170692444</v>
      </c>
      <c r="X635">
        <v>0.31160347283745748</v>
      </c>
      <c r="Z635" t="s">
        <v>392</v>
      </c>
      <c r="AA635">
        <v>9937</v>
      </c>
      <c r="AB635" t="s">
        <v>1026</v>
      </c>
      <c r="AC635" t="str">
        <f>HYPERLINK("plots/20251231000436_3FT6Y121H01_04823_B11P_N_UFLEX98_M5358A8BH101511/dpll_52084/txpa_55216.png","plot")</f>
        <v>plot</v>
      </c>
    </row>
    <row r="636" spans="1:29" hidden="1" x14ac:dyDescent="0.35">
      <c r="A636" t="s">
        <v>46</v>
      </c>
      <c r="B636">
        <v>52084</v>
      </c>
      <c r="C636" t="s">
        <v>52</v>
      </c>
      <c r="D636">
        <v>55217</v>
      </c>
      <c r="E636" t="s">
        <v>350</v>
      </c>
      <c r="F636">
        <v>8706</v>
      </c>
      <c r="G636">
        <v>0.49935271310106039</v>
      </c>
      <c r="H636">
        <v>0</v>
      </c>
      <c r="I636">
        <v>0</v>
      </c>
      <c r="J636">
        <v>0.37513163564072699</v>
      </c>
      <c r="K636">
        <v>5.0532990256501749E-289</v>
      </c>
      <c r="L636">
        <v>9.8539331000178403E-289</v>
      </c>
      <c r="M636">
        <v>0.25821687811985022</v>
      </c>
      <c r="N636">
        <v>7.1319854101109271E-286</v>
      </c>
      <c r="O636">
        <v>1.3827596951916791E-285</v>
      </c>
      <c r="P636">
        <v>0.2493531320813899</v>
      </c>
      <c r="Q636">
        <v>1.2850326348484939</v>
      </c>
      <c r="R636">
        <v>3.4450262735378758</v>
      </c>
      <c r="S636">
        <v>0.27672592113381961</v>
      </c>
      <c r="T636">
        <v>0.204613881997251</v>
      </c>
      <c r="U636">
        <v>4.3173432193889276</v>
      </c>
      <c r="V636">
        <v>0.1241224112175847</v>
      </c>
      <c r="W636">
        <v>8.9929532062945086</v>
      </c>
      <c r="X636">
        <v>0.31941620611241328</v>
      </c>
      <c r="Z636" t="s">
        <v>392</v>
      </c>
      <c r="AA636">
        <v>9937</v>
      </c>
      <c r="AB636" t="s">
        <v>1027</v>
      </c>
      <c r="AC636" t="str">
        <f>HYPERLINK("plots/20251231000436_3FT6Y121H01_04823_B11P_N_UFLEX98_M5358A8BH101511/dpll_52084/txpa_55217.png","plot")</f>
        <v>plot</v>
      </c>
    </row>
    <row r="637" spans="1:29" hidden="1" x14ac:dyDescent="0.35">
      <c r="A637" t="s">
        <v>46</v>
      </c>
      <c r="B637">
        <v>52084</v>
      </c>
      <c r="C637" t="s">
        <v>52</v>
      </c>
      <c r="D637">
        <v>55218</v>
      </c>
      <c r="E637" t="s">
        <v>351</v>
      </c>
      <c r="F637">
        <v>8679</v>
      </c>
      <c r="G637">
        <v>0.46838906264805552</v>
      </c>
      <c r="H637">
        <v>0</v>
      </c>
      <c r="I637">
        <v>0</v>
      </c>
      <c r="J637">
        <v>0.36613338797118072</v>
      </c>
      <c r="K637">
        <v>1.4907559168626989E-273</v>
      </c>
      <c r="L637">
        <v>2.7534180322382081E-273</v>
      </c>
      <c r="M637">
        <v>0.25475071751736839</v>
      </c>
      <c r="N637">
        <v>1.8859451604455E-277</v>
      </c>
      <c r="O637">
        <v>3.534839912554043E-277</v>
      </c>
      <c r="P637">
        <v>0.21938831400832409</v>
      </c>
      <c r="Q637">
        <v>1.309580369488865</v>
      </c>
      <c r="R637">
        <v>3.5843097016254379</v>
      </c>
      <c r="S637">
        <v>0.302319468888612</v>
      </c>
      <c r="T637">
        <v>0.22540294817222459</v>
      </c>
      <c r="U637">
        <v>4.3185330360640624</v>
      </c>
      <c r="V637">
        <v>0.1223906388980589</v>
      </c>
      <c r="W637">
        <v>9.2397757906440816</v>
      </c>
      <c r="X637">
        <v>0.34219496331521287</v>
      </c>
      <c r="Z637" t="s">
        <v>392</v>
      </c>
      <c r="AA637">
        <v>9937</v>
      </c>
      <c r="AB637" t="s">
        <v>1028</v>
      </c>
      <c r="AC637" t="str">
        <f>HYPERLINK("plots/20251231000436_3FT6Y121H01_04823_B11P_N_UFLEX98_M5358A8BH101511/dpll_52084/txpa_55218.png","plot")</f>
        <v>plot</v>
      </c>
    </row>
    <row r="638" spans="1:29" hidden="1" x14ac:dyDescent="0.35">
      <c r="A638" t="s">
        <v>46</v>
      </c>
      <c r="B638">
        <v>52084</v>
      </c>
      <c r="C638" t="s">
        <v>52</v>
      </c>
      <c r="D638">
        <v>55219</v>
      </c>
      <c r="E638" t="s">
        <v>352</v>
      </c>
      <c r="F638">
        <v>8642</v>
      </c>
      <c r="G638">
        <v>0.4347242911202206</v>
      </c>
      <c r="H638">
        <v>0</v>
      </c>
      <c r="I638">
        <v>0</v>
      </c>
      <c r="J638">
        <v>0.4020188922602268</v>
      </c>
      <c r="K638">
        <v>0</v>
      </c>
      <c r="L638">
        <v>0</v>
      </c>
      <c r="M638">
        <v>0.28125801102062797</v>
      </c>
      <c r="N638">
        <v>0</v>
      </c>
      <c r="O638">
        <v>0</v>
      </c>
      <c r="P638">
        <v>0.18898520928997831</v>
      </c>
      <c r="Q638">
        <v>1.2896620875505871</v>
      </c>
      <c r="R638">
        <v>4.4284556338966183</v>
      </c>
      <c r="S638">
        <v>0.32085759175160627</v>
      </c>
      <c r="T638">
        <v>0.2245943000284486</v>
      </c>
      <c r="U638">
        <v>4.3198720204813714</v>
      </c>
      <c r="V638">
        <v>0.12010498562941101</v>
      </c>
      <c r="W638">
        <v>9.9996308017819953</v>
      </c>
      <c r="X638">
        <v>0.35630593839814712</v>
      </c>
      <c r="Z638" t="s">
        <v>392</v>
      </c>
      <c r="AA638">
        <v>9937</v>
      </c>
      <c r="AB638" t="s">
        <v>1029</v>
      </c>
      <c r="AC638" t="str">
        <f>HYPERLINK("plots/20251231000436_3FT6Y121H01_04823_B11P_N_UFLEX98_M5358A8BH101511/dpll_52084/txpa_55219.png","plot")</f>
        <v>plot</v>
      </c>
    </row>
    <row r="639" spans="1:29" hidden="1" x14ac:dyDescent="0.35">
      <c r="A639" t="s">
        <v>46</v>
      </c>
      <c r="B639">
        <v>52084</v>
      </c>
      <c r="C639" t="s">
        <v>52</v>
      </c>
      <c r="D639">
        <v>55220</v>
      </c>
      <c r="E639" t="s">
        <v>353</v>
      </c>
      <c r="F639">
        <v>8686</v>
      </c>
      <c r="G639">
        <v>0.4982087443032085</v>
      </c>
      <c r="H639">
        <v>0</v>
      </c>
      <c r="I639">
        <v>0</v>
      </c>
      <c r="J639">
        <v>0.42735909471195388</v>
      </c>
      <c r="K639">
        <v>0</v>
      </c>
      <c r="L639">
        <v>0</v>
      </c>
      <c r="M639">
        <v>0.29827810105047109</v>
      </c>
      <c r="N639">
        <v>0</v>
      </c>
      <c r="O639">
        <v>0</v>
      </c>
      <c r="P639">
        <v>0.24821195290017981</v>
      </c>
      <c r="Q639">
        <v>1.3503815014140861</v>
      </c>
      <c r="R639">
        <v>3.9547008800573642</v>
      </c>
      <c r="S639">
        <v>0.28948150820806817</v>
      </c>
      <c r="T639">
        <v>0.2031419855076424</v>
      </c>
      <c r="U639">
        <v>4.3180054991941059</v>
      </c>
      <c r="V639">
        <v>0.1231836264506336</v>
      </c>
      <c r="W639">
        <v>9.7856556291733821</v>
      </c>
      <c r="X639">
        <v>0.33388593102412811</v>
      </c>
      <c r="Z639" t="s">
        <v>392</v>
      </c>
      <c r="AA639">
        <v>9937</v>
      </c>
      <c r="AB639" t="s">
        <v>1030</v>
      </c>
      <c r="AC639" t="str">
        <f>HYPERLINK("plots/20251231000436_3FT6Y121H01_04823_B11P_N_UFLEX98_M5358A8BH101511/dpll_52084/txpa_55220.png","plot")</f>
        <v>plot</v>
      </c>
    </row>
    <row r="640" spans="1:29" hidden="1" x14ac:dyDescent="0.35">
      <c r="A640" t="s">
        <v>46</v>
      </c>
      <c r="B640">
        <v>52084</v>
      </c>
      <c r="C640" t="s">
        <v>52</v>
      </c>
      <c r="D640">
        <v>55221</v>
      </c>
      <c r="E640" t="s">
        <v>354</v>
      </c>
      <c r="F640">
        <v>8699</v>
      </c>
      <c r="G640">
        <v>0.48135520488969602</v>
      </c>
      <c r="H640">
        <v>0</v>
      </c>
      <c r="I640">
        <v>0</v>
      </c>
      <c r="J640">
        <v>0.38436615175253919</v>
      </c>
      <c r="K640">
        <v>2.79196082009031E-304</v>
      </c>
      <c r="L640">
        <v>5.7894647680400286E-304</v>
      </c>
      <c r="M640">
        <v>0.26648320212088</v>
      </c>
      <c r="N640">
        <v>4.3734024340294666E-304</v>
      </c>
      <c r="O640">
        <v>9.0318331325985325E-304</v>
      </c>
      <c r="P640">
        <v>0.23170283327440119</v>
      </c>
      <c r="Q640">
        <v>1.4227910445113721</v>
      </c>
      <c r="R640">
        <v>3.670716611135759</v>
      </c>
      <c r="S640">
        <v>0.32081990922188047</v>
      </c>
      <c r="T640">
        <v>0.23074720706767171</v>
      </c>
      <c r="U640">
        <v>4.317553642717554</v>
      </c>
      <c r="V640">
        <v>0.1238357984863331</v>
      </c>
      <c r="W640">
        <v>9.8136932681917468</v>
      </c>
      <c r="X640">
        <v>0.36603419530208431</v>
      </c>
      <c r="Z640" t="s">
        <v>392</v>
      </c>
      <c r="AA640">
        <v>9937</v>
      </c>
      <c r="AB640" t="s">
        <v>1031</v>
      </c>
      <c r="AC640" t="str">
        <f>HYPERLINK("plots/20251231000436_3FT6Y121H01_04823_B11P_N_UFLEX98_M5358A8BH101511/dpll_52084/txpa_55221.png","plot")</f>
        <v>plot</v>
      </c>
    </row>
    <row r="641" spans="1:29" hidden="1" x14ac:dyDescent="0.35">
      <c r="A641" t="s">
        <v>46</v>
      </c>
      <c r="B641">
        <v>52084</v>
      </c>
      <c r="C641" t="s">
        <v>52</v>
      </c>
      <c r="D641">
        <v>55222</v>
      </c>
      <c r="E641" t="s">
        <v>355</v>
      </c>
      <c r="F641">
        <v>8689</v>
      </c>
      <c r="G641">
        <v>0.50054833082194539</v>
      </c>
      <c r="H641">
        <v>0</v>
      </c>
      <c r="I641">
        <v>0</v>
      </c>
      <c r="J641">
        <v>0.41332142849794118</v>
      </c>
      <c r="K641">
        <v>0</v>
      </c>
      <c r="L641">
        <v>0</v>
      </c>
      <c r="M641">
        <v>0.29008296501965991</v>
      </c>
      <c r="N641">
        <v>0</v>
      </c>
      <c r="O641">
        <v>0</v>
      </c>
      <c r="P641">
        <v>0.25054863148863571</v>
      </c>
      <c r="Q641">
        <v>1.434526853683125</v>
      </c>
      <c r="R641">
        <v>3.6428007157680722</v>
      </c>
      <c r="S641">
        <v>0.30588703761150221</v>
      </c>
      <c r="T641">
        <v>0.22222541720073791</v>
      </c>
      <c r="U641">
        <v>4.3179647411669926</v>
      </c>
      <c r="V641">
        <v>0.1232967623392659</v>
      </c>
      <c r="W641">
        <v>9.8370370902290247</v>
      </c>
      <c r="X641">
        <v>0.3533575194575565</v>
      </c>
      <c r="Z641" t="s">
        <v>392</v>
      </c>
      <c r="AA641">
        <v>9937</v>
      </c>
      <c r="AB641" t="s">
        <v>1032</v>
      </c>
      <c r="AC641" t="str">
        <f>HYPERLINK("plots/20251231000436_3FT6Y121H01_04823_B11P_N_UFLEX98_M5358A8BH101511/dpll_52084/txpa_55222.png","plot")</f>
        <v>plot</v>
      </c>
    </row>
    <row r="642" spans="1:29" hidden="1" x14ac:dyDescent="0.35">
      <c r="A642" t="s">
        <v>46</v>
      </c>
      <c r="B642">
        <v>52084</v>
      </c>
      <c r="C642" t="s">
        <v>52</v>
      </c>
      <c r="D642">
        <v>55223</v>
      </c>
      <c r="E642" t="s">
        <v>356</v>
      </c>
      <c r="F642">
        <v>8703</v>
      </c>
      <c r="G642">
        <v>0.49200224010364418</v>
      </c>
      <c r="H642">
        <v>0</v>
      </c>
      <c r="I642">
        <v>0</v>
      </c>
      <c r="J642">
        <v>0.37240040105363398</v>
      </c>
      <c r="K642">
        <v>1.948061948878052E-284</v>
      </c>
      <c r="L642">
        <v>3.7270468229478199E-284</v>
      </c>
      <c r="M642">
        <v>0.25726164474258312</v>
      </c>
      <c r="N642">
        <v>1.109570736111971E-283</v>
      </c>
      <c r="O642">
        <v>2.130880163669582E-283</v>
      </c>
      <c r="P642">
        <v>0.24206620426700401</v>
      </c>
      <c r="Q642">
        <v>1.4295330584823029</v>
      </c>
      <c r="R642">
        <v>3.630961398564728</v>
      </c>
      <c r="S642">
        <v>0.31374515348326992</v>
      </c>
      <c r="T642">
        <v>0.23011267427505619</v>
      </c>
      <c r="U642">
        <v>4.3173946736757438</v>
      </c>
      <c r="V642">
        <v>0.1240392749708184</v>
      </c>
      <c r="W642">
        <v>9.802819811099619</v>
      </c>
      <c r="X642">
        <v>0.36040129427786322</v>
      </c>
      <c r="Z642" t="s">
        <v>392</v>
      </c>
      <c r="AA642">
        <v>9937</v>
      </c>
      <c r="AB642" t="s">
        <v>1033</v>
      </c>
      <c r="AC642" t="str">
        <f>HYPERLINK("plots/20251231000436_3FT6Y121H01_04823_B11P_N_UFLEX98_M5358A8BH101511/dpll_52084/txpa_55223.png","plot")</f>
        <v>plot</v>
      </c>
    </row>
    <row r="643" spans="1:29" hidden="1" x14ac:dyDescent="0.35">
      <c r="A643" t="s">
        <v>46</v>
      </c>
      <c r="B643">
        <v>52084</v>
      </c>
      <c r="C643" t="s">
        <v>52</v>
      </c>
      <c r="D643">
        <v>55224</v>
      </c>
      <c r="E643" t="s">
        <v>357</v>
      </c>
      <c r="F643">
        <v>8689</v>
      </c>
      <c r="G643">
        <v>0.51436718058506414</v>
      </c>
      <c r="H643">
        <v>0</v>
      </c>
      <c r="I643">
        <v>0</v>
      </c>
      <c r="J643">
        <v>0.4293835464015992</v>
      </c>
      <c r="K643">
        <v>0</v>
      </c>
      <c r="L643">
        <v>0</v>
      </c>
      <c r="M643">
        <v>0.3013985490325819</v>
      </c>
      <c r="N643">
        <v>0</v>
      </c>
      <c r="O643">
        <v>0</v>
      </c>
      <c r="P643">
        <v>0.26457359646302803</v>
      </c>
      <c r="Q643">
        <v>1.3946400245515349</v>
      </c>
      <c r="R643">
        <v>3.8264206711276239</v>
      </c>
      <c r="S643">
        <v>0.28637753185684039</v>
      </c>
      <c r="T643">
        <v>0.20275349506752649</v>
      </c>
      <c r="U643">
        <v>4.3180504470019558</v>
      </c>
      <c r="V643">
        <v>0.1231701445062672</v>
      </c>
      <c r="W643">
        <v>9.8485466525491994</v>
      </c>
      <c r="X643">
        <v>0.33395990226835381</v>
      </c>
      <c r="Z643" t="s">
        <v>392</v>
      </c>
      <c r="AA643">
        <v>9937</v>
      </c>
      <c r="AB643" t="s">
        <v>1034</v>
      </c>
      <c r="AC643" t="str">
        <f>HYPERLINK("plots/20251231000436_3FT6Y121H01_04823_B11P_N_UFLEX98_M5358A8BH101511/dpll_52084/txpa_55224.png","plot")</f>
        <v>plot</v>
      </c>
    </row>
    <row r="644" spans="1:29" hidden="1" x14ac:dyDescent="0.35">
      <c r="A644" t="s">
        <v>46</v>
      </c>
      <c r="B644">
        <v>52084</v>
      </c>
      <c r="C644" t="s">
        <v>52</v>
      </c>
      <c r="D644">
        <v>55225</v>
      </c>
      <c r="E644" t="s">
        <v>358</v>
      </c>
      <c r="F644">
        <v>8695</v>
      </c>
      <c r="G644">
        <v>0.51130320080223146</v>
      </c>
      <c r="H644">
        <v>0</v>
      </c>
      <c r="I644">
        <v>0</v>
      </c>
      <c r="J644">
        <v>0.40053950460779292</v>
      </c>
      <c r="K644">
        <v>0</v>
      </c>
      <c r="L644">
        <v>0</v>
      </c>
      <c r="M644">
        <v>0.27768465671565662</v>
      </c>
      <c r="N644">
        <v>0</v>
      </c>
      <c r="O644">
        <v>0</v>
      </c>
      <c r="P644">
        <v>0.26143096315060699</v>
      </c>
      <c r="Q644">
        <v>1.385430107149463</v>
      </c>
      <c r="R644">
        <v>3.827279074652846</v>
      </c>
      <c r="S644">
        <v>0.28771027164342028</v>
      </c>
      <c r="T644">
        <v>0.2063826596046649</v>
      </c>
      <c r="U644">
        <v>4.317784733640023</v>
      </c>
      <c r="V644">
        <v>0.1235602232279671</v>
      </c>
      <c r="W644">
        <v>9.8092680408280604</v>
      </c>
      <c r="X644">
        <v>0.33479949477638199</v>
      </c>
      <c r="Z644" t="s">
        <v>392</v>
      </c>
      <c r="AA644">
        <v>9937</v>
      </c>
      <c r="AB644" t="s">
        <v>1035</v>
      </c>
      <c r="AC644" t="str">
        <f>HYPERLINK("plots/20251231000436_3FT6Y121H01_04823_B11P_N_UFLEX98_M5358A8BH101511/dpll_52084/txpa_55225.png","plot")</f>
        <v>plot</v>
      </c>
    </row>
    <row r="645" spans="1:29" hidden="1" x14ac:dyDescent="0.35">
      <c r="A645" t="s">
        <v>46</v>
      </c>
      <c r="B645">
        <v>52084</v>
      </c>
      <c r="C645" t="s">
        <v>52</v>
      </c>
      <c r="D645">
        <v>55226</v>
      </c>
      <c r="E645" t="s">
        <v>359</v>
      </c>
      <c r="F645">
        <v>8663</v>
      </c>
      <c r="G645">
        <v>0.46524628583635103</v>
      </c>
      <c r="H645">
        <v>0</v>
      </c>
      <c r="I645">
        <v>0</v>
      </c>
      <c r="J645">
        <v>0.38616469378367568</v>
      </c>
      <c r="K645">
        <v>4.3034620800966967E-306</v>
      </c>
      <c r="L645">
        <v>8.9973413385939201E-306</v>
      </c>
      <c r="M645">
        <v>0.27039095230979798</v>
      </c>
      <c r="N645">
        <v>0</v>
      </c>
      <c r="O645">
        <v>0</v>
      </c>
      <c r="P645">
        <v>0.21645410648451971</v>
      </c>
      <c r="Q645">
        <v>1.358137005959297</v>
      </c>
      <c r="R645">
        <v>4.1650522392918816</v>
      </c>
      <c r="S645">
        <v>0.3122578476131217</v>
      </c>
      <c r="T645">
        <v>0.22669070679767039</v>
      </c>
      <c r="U645">
        <v>4.3193871565277613</v>
      </c>
      <c r="V645">
        <v>0.12084969029547731</v>
      </c>
      <c r="W645">
        <v>10.03137177963754</v>
      </c>
      <c r="X645">
        <v>0.35278183092629839</v>
      </c>
      <c r="Z645" t="s">
        <v>392</v>
      </c>
      <c r="AA645">
        <v>9937</v>
      </c>
      <c r="AB645" t="s">
        <v>1036</v>
      </c>
      <c r="AC645" t="str">
        <f>HYPERLINK("plots/20251231000436_3FT6Y121H01_04823_B11P_N_UFLEX98_M5358A8BH101511/dpll_52084/txpa_55226.png","plot")</f>
        <v>plot</v>
      </c>
    </row>
    <row r="646" spans="1:29" hidden="1" x14ac:dyDescent="0.35">
      <c r="A646" t="s">
        <v>46</v>
      </c>
      <c r="B646">
        <v>52084</v>
      </c>
      <c r="C646" t="s">
        <v>52</v>
      </c>
      <c r="D646">
        <v>55227</v>
      </c>
      <c r="E646" t="s">
        <v>360</v>
      </c>
      <c r="F646">
        <v>8640</v>
      </c>
      <c r="G646">
        <v>0.43297178418295479</v>
      </c>
      <c r="H646">
        <v>0</v>
      </c>
      <c r="I646">
        <v>0</v>
      </c>
      <c r="J646">
        <v>0.4054040672875785</v>
      </c>
      <c r="K646">
        <v>0</v>
      </c>
      <c r="L646">
        <v>0</v>
      </c>
      <c r="M646">
        <v>0.28458029339122742</v>
      </c>
      <c r="N646">
        <v>0</v>
      </c>
      <c r="O646">
        <v>0</v>
      </c>
      <c r="P646">
        <v>0.18746456589857119</v>
      </c>
      <c r="Q646">
        <v>1.344239384288646</v>
      </c>
      <c r="R646">
        <v>4.5348550915337036</v>
      </c>
      <c r="S646">
        <v>0.33559470114346979</v>
      </c>
      <c r="T646">
        <v>0.23405101070389381</v>
      </c>
      <c r="U646">
        <v>4.3199732859953706</v>
      </c>
      <c r="V646">
        <v>0.1199228812626397</v>
      </c>
      <c r="W646">
        <v>10.34193332164352</v>
      </c>
      <c r="X646">
        <v>0.37232232205342303</v>
      </c>
      <c r="Z646" t="s">
        <v>392</v>
      </c>
      <c r="AA646">
        <v>9937</v>
      </c>
      <c r="AB646" t="s">
        <v>1037</v>
      </c>
      <c r="AC646" t="str">
        <f>HYPERLINK("plots/20251231000436_3FT6Y121H01_04823_B11P_N_UFLEX98_M5358A8BH101511/dpll_52084/txpa_55227.png","plot")</f>
        <v>plot</v>
      </c>
    </row>
    <row r="647" spans="1:29" hidden="1" x14ac:dyDescent="0.35">
      <c r="A647" t="s">
        <v>46</v>
      </c>
      <c r="B647">
        <v>52084</v>
      </c>
      <c r="C647" t="s">
        <v>52</v>
      </c>
      <c r="D647">
        <v>55228</v>
      </c>
      <c r="E647" t="s">
        <v>361</v>
      </c>
      <c r="F647">
        <v>8679</v>
      </c>
      <c r="G647">
        <v>0.49688464925181092</v>
      </c>
      <c r="H647">
        <v>0</v>
      </c>
      <c r="I647">
        <v>0</v>
      </c>
      <c r="J647">
        <v>0.43643656519566321</v>
      </c>
      <c r="K647">
        <v>0</v>
      </c>
      <c r="L647">
        <v>0</v>
      </c>
      <c r="M647">
        <v>0.30646655053011501</v>
      </c>
      <c r="N647">
        <v>0</v>
      </c>
      <c r="O647">
        <v>0</v>
      </c>
      <c r="P647">
        <v>0.24689435466209511</v>
      </c>
      <c r="Q647">
        <v>1.396521867123893</v>
      </c>
      <c r="R647">
        <v>4.1357671563926619</v>
      </c>
      <c r="S647">
        <v>0.29965932627992969</v>
      </c>
      <c r="T647">
        <v>0.20778540090731501</v>
      </c>
      <c r="U647">
        <v>4.3182117673695144</v>
      </c>
      <c r="V647">
        <v>0.1228662795888453</v>
      </c>
      <c r="W647">
        <v>10.1662443163959</v>
      </c>
      <c r="X647">
        <v>0.34532249373440482</v>
      </c>
      <c r="Z647" t="s">
        <v>392</v>
      </c>
      <c r="AA647">
        <v>9937</v>
      </c>
      <c r="AB647" t="s">
        <v>1038</v>
      </c>
      <c r="AC647" t="str">
        <f>HYPERLINK("plots/20251231000436_3FT6Y121H01_04823_B11P_N_UFLEX98_M5358A8BH101511/dpll_52084/txpa_55228.png","plot")</f>
        <v>plot</v>
      </c>
    </row>
    <row r="648" spans="1:29" hidden="1" x14ac:dyDescent="0.35">
      <c r="A648" t="s">
        <v>46</v>
      </c>
      <c r="B648">
        <v>52084</v>
      </c>
      <c r="C648" t="s">
        <v>52</v>
      </c>
      <c r="D648">
        <v>55229</v>
      </c>
      <c r="E648" t="s">
        <v>362</v>
      </c>
      <c r="F648">
        <v>8688</v>
      </c>
      <c r="G648">
        <v>0.48722903130879203</v>
      </c>
      <c r="H648">
        <v>0</v>
      </c>
      <c r="I648">
        <v>0</v>
      </c>
      <c r="J648">
        <v>0.40135697145512123</v>
      </c>
      <c r="K648">
        <v>0</v>
      </c>
      <c r="L648">
        <v>0</v>
      </c>
      <c r="M648">
        <v>0.27971449252529917</v>
      </c>
      <c r="N648">
        <v>0</v>
      </c>
      <c r="O648">
        <v>0</v>
      </c>
      <c r="P648">
        <v>0.23739212895010381</v>
      </c>
      <c r="Q648">
        <v>1.4681584909073619</v>
      </c>
      <c r="R648">
        <v>3.836879488182682</v>
      </c>
      <c r="S648">
        <v>0.3246457965727812</v>
      </c>
      <c r="T648">
        <v>0.22982589280941329</v>
      </c>
      <c r="U648">
        <v>4.3178840709023936</v>
      </c>
      <c r="V648">
        <v>0.1233798830520281</v>
      </c>
      <c r="W648">
        <v>10.176217649631679</v>
      </c>
      <c r="X648">
        <v>0.37177838607730679</v>
      </c>
      <c r="Z648" t="s">
        <v>392</v>
      </c>
      <c r="AA648">
        <v>9937</v>
      </c>
      <c r="AB648" t="s">
        <v>1039</v>
      </c>
      <c r="AC648" t="str">
        <f>HYPERLINK("plots/20251231000436_3FT6Y121H01_04823_B11P_N_UFLEX98_M5358A8BH101511/dpll_52084/txpa_55229.png","plot")</f>
        <v>plot</v>
      </c>
    </row>
    <row r="649" spans="1:29" hidden="1" x14ac:dyDescent="0.35">
      <c r="A649" t="s">
        <v>46</v>
      </c>
      <c r="B649">
        <v>52084</v>
      </c>
      <c r="C649" t="s">
        <v>52</v>
      </c>
      <c r="D649">
        <v>55230</v>
      </c>
      <c r="E649" t="s">
        <v>363</v>
      </c>
      <c r="F649">
        <v>8684</v>
      </c>
      <c r="G649">
        <v>0.50258959466753905</v>
      </c>
      <c r="H649">
        <v>0</v>
      </c>
      <c r="I649">
        <v>0</v>
      </c>
      <c r="J649">
        <v>0.42575893350216498</v>
      </c>
      <c r="K649">
        <v>0</v>
      </c>
      <c r="L649">
        <v>0</v>
      </c>
      <c r="M649">
        <v>0.30007820334034269</v>
      </c>
      <c r="N649">
        <v>0</v>
      </c>
      <c r="O649">
        <v>0</v>
      </c>
      <c r="P649">
        <v>0.2525963006680812</v>
      </c>
      <c r="Q649">
        <v>1.481958871266646</v>
      </c>
      <c r="R649">
        <v>3.79971181390128</v>
      </c>
      <c r="S649">
        <v>0.31364017941374628</v>
      </c>
      <c r="T649">
        <v>0.22340422743570279</v>
      </c>
      <c r="U649">
        <v>4.3181354462229393</v>
      </c>
      <c r="V649">
        <v>0.12304286106747481</v>
      </c>
      <c r="W649">
        <v>10.199010945762319</v>
      </c>
      <c r="X649">
        <v>0.3628098580624094</v>
      </c>
      <c r="Z649" t="s">
        <v>392</v>
      </c>
      <c r="AA649">
        <v>9937</v>
      </c>
      <c r="AB649" t="s">
        <v>1040</v>
      </c>
      <c r="AC649" t="str">
        <f>HYPERLINK("plots/20251231000436_3FT6Y121H01_04823_B11P_N_UFLEX98_M5358A8BH101511/dpll_52084/txpa_55230.png","plot")</f>
        <v>plot</v>
      </c>
    </row>
    <row r="650" spans="1:29" hidden="1" x14ac:dyDescent="0.35">
      <c r="A650" t="s">
        <v>46</v>
      </c>
      <c r="B650">
        <v>52084</v>
      </c>
      <c r="C650" t="s">
        <v>52</v>
      </c>
      <c r="D650">
        <v>55231</v>
      </c>
      <c r="E650" t="s">
        <v>364</v>
      </c>
      <c r="F650">
        <v>8692</v>
      </c>
      <c r="G650">
        <v>0.49579103282927822</v>
      </c>
      <c r="H650">
        <v>0</v>
      </c>
      <c r="I650">
        <v>0</v>
      </c>
      <c r="J650">
        <v>0.38849068872137671</v>
      </c>
      <c r="K650">
        <v>0</v>
      </c>
      <c r="L650">
        <v>0</v>
      </c>
      <c r="M650">
        <v>0.2698211578239777</v>
      </c>
      <c r="N650">
        <v>0</v>
      </c>
      <c r="O650">
        <v>0</v>
      </c>
      <c r="P650">
        <v>0.2458087482339224</v>
      </c>
      <c r="Q650">
        <v>1.464302891225866</v>
      </c>
      <c r="R650">
        <v>3.851434724094545</v>
      </c>
      <c r="S650">
        <v>0.31673854511916982</v>
      </c>
      <c r="T650">
        <v>0.22920331366646601</v>
      </c>
      <c r="U650">
        <v>4.317830672802577</v>
      </c>
      <c r="V650">
        <v>0.1234960036149978</v>
      </c>
      <c r="W650">
        <v>10.174046662103081</v>
      </c>
      <c r="X650">
        <v>0.3647414801278801</v>
      </c>
      <c r="Z650" t="s">
        <v>392</v>
      </c>
      <c r="AA650">
        <v>9937</v>
      </c>
      <c r="AB650" t="s">
        <v>1041</v>
      </c>
      <c r="AC650" t="str">
        <f>HYPERLINK("plots/20251231000436_3FT6Y121H01_04823_B11P_N_UFLEX98_M5358A8BH101511/dpll_52084/txpa_55231.png","plot")</f>
        <v>plot</v>
      </c>
    </row>
    <row r="651" spans="1:29" hidden="1" x14ac:dyDescent="0.35">
      <c r="A651" t="s">
        <v>46</v>
      </c>
      <c r="B651">
        <v>52084</v>
      </c>
      <c r="C651" t="s">
        <v>52</v>
      </c>
      <c r="D651">
        <v>55232</v>
      </c>
      <c r="E651" t="s">
        <v>365</v>
      </c>
      <c r="F651">
        <v>8687</v>
      </c>
      <c r="G651">
        <v>0.51240348470662911</v>
      </c>
      <c r="H651">
        <v>0</v>
      </c>
      <c r="I651">
        <v>0</v>
      </c>
      <c r="J651">
        <v>0.43655670873564267</v>
      </c>
      <c r="K651">
        <v>0</v>
      </c>
      <c r="L651">
        <v>0</v>
      </c>
      <c r="M651">
        <v>0.30783864800214961</v>
      </c>
      <c r="N651">
        <v>0</v>
      </c>
      <c r="O651">
        <v>0</v>
      </c>
      <c r="P651">
        <v>0.2625573311394967</v>
      </c>
      <c r="Q651">
        <v>1.4538747872337181</v>
      </c>
      <c r="R651">
        <v>3.920787191817428</v>
      </c>
      <c r="S651">
        <v>0.29978263607414779</v>
      </c>
      <c r="T651">
        <v>0.20958690987837411</v>
      </c>
      <c r="U651">
        <v>4.3181374095775293</v>
      </c>
      <c r="V651">
        <v>0.1230417248304249</v>
      </c>
      <c r="W651">
        <v>10.19881829941292</v>
      </c>
      <c r="X651">
        <v>0.34911406117997712</v>
      </c>
      <c r="Z651" t="s">
        <v>392</v>
      </c>
      <c r="AA651">
        <v>9937</v>
      </c>
      <c r="AB651" t="s">
        <v>1042</v>
      </c>
      <c r="AC651" t="str">
        <f>HYPERLINK("plots/20251231000436_3FT6Y121H01_04823_B11P_N_UFLEX98_M5358A8BH101511/dpll_52084/txpa_55232.png","plot")</f>
        <v>plot</v>
      </c>
    </row>
    <row r="652" spans="1:29" hidden="1" x14ac:dyDescent="0.35">
      <c r="A652" t="s">
        <v>46</v>
      </c>
      <c r="B652">
        <v>52084</v>
      </c>
      <c r="C652" t="s">
        <v>52</v>
      </c>
      <c r="D652">
        <v>55233</v>
      </c>
      <c r="E652" t="s">
        <v>366</v>
      </c>
      <c r="F652">
        <v>8686</v>
      </c>
      <c r="G652">
        <v>0.51079471925779807</v>
      </c>
      <c r="H652">
        <v>0</v>
      </c>
      <c r="I652">
        <v>0</v>
      </c>
      <c r="J652">
        <v>0.41324537986476079</v>
      </c>
      <c r="K652">
        <v>0</v>
      </c>
      <c r="L652">
        <v>0</v>
      </c>
      <c r="M652">
        <v>0.28787229439097922</v>
      </c>
      <c r="N652">
        <v>0</v>
      </c>
      <c r="O652">
        <v>0</v>
      </c>
      <c r="P652">
        <v>0.26091124522165282</v>
      </c>
      <c r="Q652">
        <v>1.432356587869583</v>
      </c>
      <c r="R652">
        <v>3.993097618571356</v>
      </c>
      <c r="S652">
        <v>0.29649252036198948</v>
      </c>
      <c r="T652">
        <v>0.20895863256166511</v>
      </c>
      <c r="U652">
        <v>4.3181759964310382</v>
      </c>
      <c r="V652">
        <v>0.12299450092556651</v>
      </c>
      <c r="W652">
        <v>10.17826545463965</v>
      </c>
      <c r="X652">
        <v>0.34489781712788731</v>
      </c>
      <c r="Z652" t="s">
        <v>392</v>
      </c>
      <c r="AA652">
        <v>9937</v>
      </c>
      <c r="AB652" t="s">
        <v>1043</v>
      </c>
      <c r="AC652" t="str">
        <f>HYPERLINK("plots/20251231000436_3FT6Y121H01_04823_B11P_N_UFLEX98_M5358A8BH101511/dpll_52084/txpa_55233.png","plot")</f>
        <v>plot</v>
      </c>
    </row>
    <row r="653" spans="1:29" hidden="1" x14ac:dyDescent="0.35">
      <c r="A653" t="s">
        <v>46</v>
      </c>
      <c r="B653">
        <v>52084</v>
      </c>
      <c r="C653" t="s">
        <v>52</v>
      </c>
      <c r="D653">
        <v>55234</v>
      </c>
      <c r="E653" t="s">
        <v>367</v>
      </c>
      <c r="F653">
        <v>8663</v>
      </c>
      <c r="G653">
        <v>0.46948143334061421</v>
      </c>
      <c r="H653">
        <v>0</v>
      </c>
      <c r="I653">
        <v>0</v>
      </c>
      <c r="J653">
        <v>0.39499249956924948</v>
      </c>
      <c r="K653">
        <v>0</v>
      </c>
      <c r="L653">
        <v>0</v>
      </c>
      <c r="M653">
        <v>0.27711752103181492</v>
      </c>
      <c r="N653">
        <v>0</v>
      </c>
      <c r="O653">
        <v>0</v>
      </c>
      <c r="P653">
        <v>0.22041281625155751</v>
      </c>
      <c r="Q653">
        <v>1.4246712524464371</v>
      </c>
      <c r="R653">
        <v>4.230312045882223</v>
      </c>
      <c r="S653">
        <v>0.32377928439434711</v>
      </c>
      <c r="T653">
        <v>0.23270146195345889</v>
      </c>
      <c r="U653">
        <v>4.3193871565277613</v>
      </c>
      <c r="V653">
        <v>0.12084969029547731</v>
      </c>
      <c r="W653">
        <v>10.384018755973679</v>
      </c>
      <c r="X653">
        <v>0.36672606711181599</v>
      </c>
      <c r="Z653" t="s">
        <v>392</v>
      </c>
      <c r="AA653">
        <v>9937</v>
      </c>
      <c r="AB653" t="s">
        <v>1044</v>
      </c>
      <c r="AC653" t="str">
        <f>HYPERLINK("plots/20251231000436_3FT6Y121H01_04823_B11P_N_UFLEX98_M5358A8BH101511/dpll_52084/txpa_55234.png","plot")</f>
        <v>plot</v>
      </c>
    </row>
    <row r="654" spans="1:29" hidden="1" x14ac:dyDescent="0.35">
      <c r="A654" t="s">
        <v>46</v>
      </c>
      <c r="B654">
        <v>52084</v>
      </c>
      <c r="C654" t="s">
        <v>52</v>
      </c>
      <c r="D654">
        <v>55235</v>
      </c>
      <c r="E654" t="s">
        <v>368</v>
      </c>
      <c r="F654">
        <v>8658</v>
      </c>
      <c r="G654">
        <v>0.44932446182305968</v>
      </c>
      <c r="H654">
        <v>0</v>
      </c>
      <c r="I654">
        <v>0</v>
      </c>
      <c r="J654">
        <v>0.40842885772742138</v>
      </c>
      <c r="K654">
        <v>0</v>
      </c>
      <c r="L654">
        <v>0</v>
      </c>
      <c r="M654">
        <v>0.28749456847728588</v>
      </c>
      <c r="N654">
        <v>0</v>
      </c>
      <c r="O654">
        <v>0</v>
      </c>
      <c r="P654">
        <v>0.20189247199258231</v>
      </c>
      <c r="Q654">
        <v>1.4792436953272829</v>
      </c>
      <c r="R654">
        <v>4.2533437944605748</v>
      </c>
      <c r="S654">
        <v>0.35669343078941229</v>
      </c>
      <c r="T654">
        <v>0.24869487216208111</v>
      </c>
      <c r="U654">
        <v>4.3191602828597828</v>
      </c>
      <c r="V654">
        <v>0.1212857631627586</v>
      </c>
      <c r="W654">
        <v>10.64243441198891</v>
      </c>
      <c r="X654">
        <v>0.39929097063520058</v>
      </c>
      <c r="Z654" t="s">
        <v>392</v>
      </c>
      <c r="AA654">
        <v>9937</v>
      </c>
      <c r="AB654" t="s">
        <v>1045</v>
      </c>
      <c r="AC654" t="str">
        <f>HYPERLINK("plots/20251231000436_3FT6Y121H01_04823_B11P_N_UFLEX98_M5358A8BH101511/dpll_52084/txpa_55235.png","plot")</f>
        <v>plot</v>
      </c>
    </row>
    <row r="655" spans="1:29" hidden="1" x14ac:dyDescent="0.35">
      <c r="A655" t="s">
        <v>46</v>
      </c>
      <c r="B655">
        <v>52084</v>
      </c>
      <c r="C655" t="s">
        <v>52</v>
      </c>
      <c r="D655">
        <v>55236</v>
      </c>
      <c r="E655" t="s">
        <v>369</v>
      </c>
      <c r="F655">
        <v>8675</v>
      </c>
      <c r="G655">
        <v>0.49534027933170549</v>
      </c>
      <c r="H655">
        <v>0</v>
      </c>
      <c r="I655">
        <v>0</v>
      </c>
      <c r="J655">
        <v>0.44437316855909847</v>
      </c>
      <c r="K655">
        <v>0</v>
      </c>
      <c r="L655">
        <v>0</v>
      </c>
      <c r="M655">
        <v>0.31390626011969808</v>
      </c>
      <c r="N655">
        <v>0</v>
      </c>
      <c r="O655">
        <v>0</v>
      </c>
      <c r="P655">
        <v>0.2453619923284121</v>
      </c>
      <c r="Q655">
        <v>1.451601545540717</v>
      </c>
      <c r="R655">
        <v>4.243366912374996</v>
      </c>
      <c r="S655">
        <v>0.31195150299477248</v>
      </c>
      <c r="T655">
        <v>0.214215664801891</v>
      </c>
      <c r="U655">
        <v>4.3183645202305474</v>
      </c>
      <c r="V655">
        <v>0.12254596064121739</v>
      </c>
      <c r="W655">
        <v>10.511911524149861</v>
      </c>
      <c r="X655">
        <v>0.35912263405383221</v>
      </c>
      <c r="Z655" t="s">
        <v>392</v>
      </c>
      <c r="AA655">
        <v>9937</v>
      </c>
      <c r="AB655" t="s">
        <v>1046</v>
      </c>
      <c r="AC655" t="str">
        <f>HYPERLINK("plots/20251231000436_3FT6Y121H01_04823_B11P_N_UFLEX98_M5358A8BH101511/dpll_52084/txpa_55236.png","plot")</f>
        <v>plot</v>
      </c>
    </row>
    <row r="656" spans="1:29" hidden="1" x14ac:dyDescent="0.35">
      <c r="A656" t="s">
        <v>46</v>
      </c>
      <c r="B656">
        <v>52084</v>
      </c>
      <c r="C656" t="s">
        <v>52</v>
      </c>
      <c r="D656">
        <v>55237</v>
      </c>
      <c r="E656" t="s">
        <v>370</v>
      </c>
      <c r="F656">
        <v>8682</v>
      </c>
      <c r="G656">
        <v>0.48803153026387169</v>
      </c>
      <c r="H656">
        <v>0</v>
      </c>
      <c r="I656">
        <v>0</v>
      </c>
      <c r="J656">
        <v>0.41505271714070102</v>
      </c>
      <c r="K656">
        <v>0</v>
      </c>
      <c r="L656">
        <v>0</v>
      </c>
      <c r="M656">
        <v>0.29079455585495428</v>
      </c>
      <c r="N656">
        <v>0</v>
      </c>
      <c r="O656">
        <v>0</v>
      </c>
      <c r="P656">
        <v>0.23817477453169639</v>
      </c>
      <c r="Q656">
        <v>1.5160031188689009</v>
      </c>
      <c r="R656">
        <v>3.9566305083646158</v>
      </c>
      <c r="S656">
        <v>0.33335754748234109</v>
      </c>
      <c r="T656">
        <v>0.2323645007197393</v>
      </c>
      <c r="U656">
        <v>4.3181622328956459</v>
      </c>
      <c r="V656">
        <v>0.1229576111981165</v>
      </c>
      <c r="W656">
        <v>10.50297792121631</v>
      </c>
      <c r="X656">
        <v>0.38195098165937819</v>
      </c>
      <c r="Z656" t="s">
        <v>392</v>
      </c>
      <c r="AA656">
        <v>9937</v>
      </c>
      <c r="AB656" t="s">
        <v>1047</v>
      </c>
      <c r="AC656" t="str">
        <f>HYPERLINK("plots/20251231000436_3FT6Y121H01_04823_B11P_N_UFLEX98_M5358A8BH101511/dpll_52084/txpa_55237.png","plot")</f>
        <v>plot</v>
      </c>
    </row>
    <row r="657" spans="1:29" hidden="1" x14ac:dyDescent="0.35">
      <c r="A657" t="s">
        <v>46</v>
      </c>
      <c r="B657">
        <v>52084</v>
      </c>
      <c r="C657" t="s">
        <v>52</v>
      </c>
      <c r="D657">
        <v>55238</v>
      </c>
      <c r="E657" t="s">
        <v>371</v>
      </c>
      <c r="F657">
        <v>8682</v>
      </c>
      <c r="G657">
        <v>0.50530189239722656</v>
      </c>
      <c r="H657">
        <v>0</v>
      </c>
      <c r="I657">
        <v>0</v>
      </c>
      <c r="J657">
        <v>0.43689561800027132</v>
      </c>
      <c r="K657">
        <v>0</v>
      </c>
      <c r="L657">
        <v>0</v>
      </c>
      <c r="M657">
        <v>0.30931885450256658</v>
      </c>
      <c r="N657">
        <v>0</v>
      </c>
      <c r="O657">
        <v>0</v>
      </c>
      <c r="P657">
        <v>0.25533000246021831</v>
      </c>
      <c r="Q657">
        <v>1.5413818664982699</v>
      </c>
      <c r="R657">
        <v>3.8691433753831168</v>
      </c>
      <c r="S657">
        <v>0.32358102335653349</v>
      </c>
      <c r="T657">
        <v>0.2267096340042084</v>
      </c>
      <c r="U657">
        <v>4.318175775397374</v>
      </c>
      <c r="V657">
        <v>0.1229325266287223</v>
      </c>
      <c r="W657">
        <v>10.52510121193273</v>
      </c>
      <c r="X657">
        <v>0.37499556245352428</v>
      </c>
      <c r="Z657" t="s">
        <v>392</v>
      </c>
      <c r="AA657">
        <v>9937</v>
      </c>
      <c r="AB657" t="s">
        <v>1048</v>
      </c>
      <c r="AC657" t="str">
        <f>HYPERLINK("plots/20251231000436_3FT6Y121H01_04823_B11P_N_UFLEX98_M5358A8BH101511/dpll_52084/txpa_55238.png","plot")</f>
        <v>plot</v>
      </c>
    </row>
    <row r="658" spans="1:29" hidden="1" x14ac:dyDescent="0.35">
      <c r="A658" t="s">
        <v>46</v>
      </c>
      <c r="B658">
        <v>52084</v>
      </c>
      <c r="C658" t="s">
        <v>52</v>
      </c>
      <c r="D658">
        <v>55239</v>
      </c>
      <c r="E658" t="s">
        <v>372</v>
      </c>
      <c r="F658">
        <v>8686</v>
      </c>
      <c r="G658">
        <v>0.49863549926032769</v>
      </c>
      <c r="H658">
        <v>0</v>
      </c>
      <c r="I658">
        <v>0</v>
      </c>
      <c r="J658">
        <v>0.4041681050962207</v>
      </c>
      <c r="K658">
        <v>0</v>
      </c>
      <c r="L658">
        <v>0</v>
      </c>
      <c r="M658">
        <v>0.28221035616927498</v>
      </c>
      <c r="N658">
        <v>0</v>
      </c>
      <c r="O658">
        <v>0</v>
      </c>
      <c r="P658">
        <v>0.2486373611225963</v>
      </c>
      <c r="Q658">
        <v>1.513840417596799</v>
      </c>
      <c r="R658">
        <v>3.9726443008875161</v>
      </c>
      <c r="S658">
        <v>0.32369207389259808</v>
      </c>
      <c r="T658">
        <v>0.2308552882982034</v>
      </c>
      <c r="U658">
        <v>4.3181257818328342</v>
      </c>
      <c r="V658">
        <v>0.1230085689128412</v>
      </c>
      <c r="W658">
        <v>10.50959763769284</v>
      </c>
      <c r="X658">
        <v>0.37344983180545882</v>
      </c>
      <c r="Z658" t="s">
        <v>392</v>
      </c>
      <c r="AA658">
        <v>9937</v>
      </c>
      <c r="AB658" t="s">
        <v>1049</v>
      </c>
      <c r="AC658" t="str">
        <f>HYPERLINK("plots/20251231000436_3FT6Y121H01_04823_B11P_N_UFLEX98_M5358A8BH101511/dpll_52084/txpa_55239.png","plot")</f>
        <v>plot</v>
      </c>
    </row>
    <row r="659" spans="1:29" hidden="1" x14ac:dyDescent="0.35">
      <c r="A659" t="s">
        <v>46</v>
      </c>
      <c r="B659">
        <v>52084</v>
      </c>
      <c r="C659" t="s">
        <v>52</v>
      </c>
      <c r="D659">
        <v>55240</v>
      </c>
      <c r="E659" t="s">
        <v>373</v>
      </c>
      <c r="F659">
        <v>8687</v>
      </c>
      <c r="G659">
        <v>0.5111214101335998</v>
      </c>
      <c r="H659">
        <v>0</v>
      </c>
      <c r="I659">
        <v>0</v>
      </c>
      <c r="J659">
        <v>0.44088023956713529</v>
      </c>
      <c r="K659">
        <v>0</v>
      </c>
      <c r="L659">
        <v>0</v>
      </c>
      <c r="M659">
        <v>0.31192743643617371</v>
      </c>
      <c r="N659">
        <v>0</v>
      </c>
      <c r="O659">
        <v>0</v>
      </c>
      <c r="P659">
        <v>0.26124509589695949</v>
      </c>
      <c r="Q659">
        <v>1.5204502966552249</v>
      </c>
      <c r="R659">
        <v>3.947275626462015</v>
      </c>
      <c r="S659">
        <v>0.31457612261539408</v>
      </c>
      <c r="T659">
        <v>0.21844804043075111</v>
      </c>
      <c r="U659">
        <v>4.3181374095775293</v>
      </c>
      <c r="V659">
        <v>0.1230417248304249</v>
      </c>
      <c r="W659">
        <v>10.512788931852191</v>
      </c>
      <c r="X659">
        <v>0.36601641666798967</v>
      </c>
      <c r="Z659" t="s">
        <v>392</v>
      </c>
      <c r="AA659">
        <v>9937</v>
      </c>
      <c r="AB659" t="s">
        <v>1050</v>
      </c>
      <c r="AC659" t="str">
        <f>HYPERLINK("plots/20251231000436_3FT6Y121H01_04823_B11P_N_UFLEX98_M5358A8BH101511/dpll_52084/txpa_55240.png","plot")</f>
        <v>plot</v>
      </c>
    </row>
    <row r="660" spans="1:29" hidden="1" x14ac:dyDescent="0.35">
      <c r="A660" t="s">
        <v>46</v>
      </c>
      <c r="B660">
        <v>52084</v>
      </c>
      <c r="C660" t="s">
        <v>52</v>
      </c>
      <c r="D660">
        <v>55241</v>
      </c>
      <c r="E660" t="s">
        <v>374</v>
      </c>
      <c r="F660">
        <v>8678</v>
      </c>
      <c r="G660">
        <v>0.50732610322194893</v>
      </c>
      <c r="H660">
        <v>0</v>
      </c>
      <c r="I660">
        <v>0</v>
      </c>
      <c r="J660">
        <v>0.4240302323360659</v>
      </c>
      <c r="K660">
        <v>0</v>
      </c>
      <c r="L660">
        <v>0</v>
      </c>
      <c r="M660">
        <v>0.29704754969223662</v>
      </c>
      <c r="N660">
        <v>0</v>
      </c>
      <c r="O660">
        <v>0</v>
      </c>
      <c r="P660">
        <v>0.25737977501036757</v>
      </c>
      <c r="Q660">
        <v>1.4784247385617311</v>
      </c>
      <c r="R660">
        <v>4.1277087493887104</v>
      </c>
      <c r="S660">
        <v>0.30721583906286432</v>
      </c>
      <c r="T660">
        <v>0.213392483037776</v>
      </c>
      <c r="U660">
        <v>4.318567830029961</v>
      </c>
      <c r="V660">
        <v>0.12234133857136641</v>
      </c>
      <c r="W660">
        <v>10.51238626446186</v>
      </c>
      <c r="X660">
        <v>0.35652110219437128</v>
      </c>
      <c r="Z660" t="s">
        <v>392</v>
      </c>
      <c r="AA660">
        <v>9937</v>
      </c>
      <c r="AB660" t="s">
        <v>1051</v>
      </c>
      <c r="AC660" t="str">
        <f>HYPERLINK("plots/20251231000436_3FT6Y121H01_04823_B11P_N_UFLEX98_M5358A8BH101511/dpll_52084/txpa_55241.png","plot")</f>
        <v>plot</v>
      </c>
    </row>
    <row r="661" spans="1:29" hidden="1" x14ac:dyDescent="0.35">
      <c r="A661" t="s">
        <v>46</v>
      </c>
      <c r="B661">
        <v>52084</v>
      </c>
      <c r="C661" t="s">
        <v>52</v>
      </c>
      <c r="D661">
        <v>55242</v>
      </c>
      <c r="E661" t="s">
        <v>375</v>
      </c>
      <c r="F661">
        <v>8665</v>
      </c>
      <c r="G661">
        <v>0.47370963224218621</v>
      </c>
      <c r="H661">
        <v>0</v>
      </c>
      <c r="I661">
        <v>0</v>
      </c>
      <c r="J661">
        <v>0.40030450147750102</v>
      </c>
      <c r="K661">
        <v>0</v>
      </c>
      <c r="L661">
        <v>0</v>
      </c>
      <c r="M661">
        <v>0.28100379571538697</v>
      </c>
      <c r="N661">
        <v>0</v>
      </c>
      <c r="O661">
        <v>0</v>
      </c>
      <c r="P661">
        <v>0.22440081567902731</v>
      </c>
      <c r="Q661">
        <v>1.5019178508743549</v>
      </c>
      <c r="R661">
        <v>4.2137730733384959</v>
      </c>
      <c r="S661">
        <v>0.33793243978832849</v>
      </c>
      <c r="T661">
        <v>0.24158598264137451</v>
      </c>
      <c r="U661">
        <v>4.3192825815349103</v>
      </c>
      <c r="V661">
        <v>0.1210325853445009</v>
      </c>
      <c r="W661">
        <v>10.70098068551644</v>
      </c>
      <c r="X661">
        <v>0.3837392953273186</v>
      </c>
      <c r="Z661" t="s">
        <v>392</v>
      </c>
      <c r="AA661">
        <v>9937</v>
      </c>
      <c r="AB661" t="s">
        <v>1052</v>
      </c>
      <c r="AC661" t="str">
        <f>HYPERLINK("plots/20251231000436_3FT6Y121H01_04823_B11P_N_UFLEX98_M5358A8BH101511/dpll_52084/txpa_55242.png","plot")</f>
        <v>plot</v>
      </c>
    </row>
    <row r="662" spans="1:29" hidden="1" x14ac:dyDescent="0.35">
      <c r="A662" t="s">
        <v>46</v>
      </c>
      <c r="B662">
        <v>52084</v>
      </c>
      <c r="C662" t="s">
        <v>52</v>
      </c>
      <c r="D662">
        <v>55243</v>
      </c>
      <c r="E662" t="s">
        <v>376</v>
      </c>
      <c r="F662">
        <v>8693</v>
      </c>
      <c r="G662">
        <v>0.46845280632206249</v>
      </c>
      <c r="H662">
        <v>0</v>
      </c>
      <c r="I662">
        <v>0</v>
      </c>
      <c r="J662">
        <v>0.397818247488193</v>
      </c>
      <c r="K662">
        <v>0</v>
      </c>
      <c r="L662">
        <v>0</v>
      </c>
      <c r="M662">
        <v>0.28003244738181449</v>
      </c>
      <c r="N662">
        <v>0</v>
      </c>
      <c r="O662">
        <v>0</v>
      </c>
      <c r="P662">
        <v>0.21944803175101579</v>
      </c>
      <c r="Q662">
        <v>1.8000548488974</v>
      </c>
      <c r="R662">
        <v>3.6599219036007362</v>
      </c>
      <c r="S662">
        <v>0.4193043613835602</v>
      </c>
      <c r="T662">
        <v>0.29689017543646318</v>
      </c>
      <c r="U662">
        <v>4.3178097164385134</v>
      </c>
      <c r="V662">
        <v>0.1235189398652895</v>
      </c>
      <c r="W662">
        <v>11.43221622029219</v>
      </c>
      <c r="X662">
        <v>0.47462810262752692</v>
      </c>
      <c r="Z662" t="s">
        <v>392</v>
      </c>
      <c r="AA662">
        <v>9937</v>
      </c>
      <c r="AB662" t="s">
        <v>1053</v>
      </c>
      <c r="AC662" t="str">
        <f>HYPERLINK("plots/20251231000436_3FT6Y121H01_04823_B11P_N_UFLEX98_M5358A8BH101511/dpll_52084/txpa_55243.png","plot")</f>
        <v>plot</v>
      </c>
    </row>
    <row r="663" spans="1:29" hidden="1" x14ac:dyDescent="0.35">
      <c r="A663" t="s">
        <v>46</v>
      </c>
      <c r="B663">
        <v>52084</v>
      </c>
      <c r="C663" t="s">
        <v>52</v>
      </c>
      <c r="D663">
        <v>55244</v>
      </c>
      <c r="E663" t="s">
        <v>377</v>
      </c>
      <c r="F663">
        <v>8672</v>
      </c>
      <c r="G663">
        <v>0.49333287491696498</v>
      </c>
      <c r="H663">
        <v>0</v>
      </c>
      <c r="I663">
        <v>0</v>
      </c>
      <c r="J663">
        <v>0.45446558134265308</v>
      </c>
      <c r="K663">
        <v>0</v>
      </c>
      <c r="L663">
        <v>0</v>
      </c>
      <c r="M663">
        <v>0.3245250465048376</v>
      </c>
      <c r="N663">
        <v>0</v>
      </c>
      <c r="O663">
        <v>0</v>
      </c>
      <c r="P663">
        <v>0.24337732547383789</v>
      </c>
      <c r="Q663">
        <v>1.655375349085392</v>
      </c>
      <c r="R663">
        <v>4.2896978601563527</v>
      </c>
      <c r="S663">
        <v>0.35671636135598278</v>
      </c>
      <c r="T663">
        <v>0.2430675476841421</v>
      </c>
      <c r="U663">
        <v>4.3185336525599638</v>
      </c>
      <c r="V663">
        <v>0.1222227267024224</v>
      </c>
      <c r="W663">
        <v>11.43849201279982</v>
      </c>
      <c r="X663">
        <v>0.41011758828203948</v>
      </c>
      <c r="Z663" t="s">
        <v>392</v>
      </c>
      <c r="AA663">
        <v>9937</v>
      </c>
      <c r="AB663" t="s">
        <v>1054</v>
      </c>
      <c r="AC663" t="str">
        <f>HYPERLINK("plots/20251231000436_3FT6Y121H01_04823_B11P_N_UFLEX98_M5358A8BH101511/dpll_52084/txpa_55244.png","plot")</f>
        <v>plot</v>
      </c>
    </row>
    <row r="664" spans="1:29" hidden="1" x14ac:dyDescent="0.35">
      <c r="A664" t="s">
        <v>46</v>
      </c>
      <c r="B664">
        <v>52084</v>
      </c>
      <c r="C664" t="s">
        <v>52</v>
      </c>
      <c r="D664">
        <v>55245</v>
      </c>
      <c r="E664" t="s">
        <v>378</v>
      </c>
      <c r="F664">
        <v>8680</v>
      </c>
      <c r="G664">
        <v>0.48049529011577868</v>
      </c>
      <c r="H664">
        <v>0</v>
      </c>
      <c r="I664">
        <v>0</v>
      </c>
      <c r="J664">
        <v>0.42084553413140341</v>
      </c>
      <c r="K664">
        <v>0</v>
      </c>
      <c r="L664">
        <v>0</v>
      </c>
      <c r="M664">
        <v>0.29741276914213571</v>
      </c>
      <c r="N664">
        <v>0</v>
      </c>
      <c r="O664">
        <v>0</v>
      </c>
      <c r="P664">
        <v>0.23087572382344629</v>
      </c>
      <c r="Q664">
        <v>1.699140132128935</v>
      </c>
      <c r="R664">
        <v>4.0313822821303082</v>
      </c>
      <c r="S664">
        <v>0.3798505065263777</v>
      </c>
      <c r="T664">
        <v>0.26478448071855643</v>
      </c>
      <c r="U664">
        <v>4.3184302471198164</v>
      </c>
      <c r="V664">
        <v>0.12248965345389889</v>
      </c>
      <c r="W664">
        <v>11.369000422811061</v>
      </c>
      <c r="X664">
        <v>0.43315114681755851</v>
      </c>
      <c r="Z664" t="s">
        <v>392</v>
      </c>
      <c r="AA664">
        <v>9937</v>
      </c>
      <c r="AB664" t="s">
        <v>1055</v>
      </c>
      <c r="AC664" t="str">
        <f>HYPERLINK("plots/20251231000436_3FT6Y121H01_04823_B11P_N_UFLEX98_M5358A8BH101511/dpll_52084/txpa_55245.png","plot")</f>
        <v>plot</v>
      </c>
    </row>
    <row r="665" spans="1:29" hidden="1" x14ac:dyDescent="0.35">
      <c r="A665" t="s">
        <v>46</v>
      </c>
      <c r="B665">
        <v>52084</v>
      </c>
      <c r="C665" t="s">
        <v>52</v>
      </c>
      <c r="D665">
        <v>55246</v>
      </c>
      <c r="E665" t="s">
        <v>379</v>
      </c>
      <c r="F665">
        <v>8685</v>
      </c>
      <c r="G665">
        <v>0.50470987445134763</v>
      </c>
      <c r="H665">
        <v>0</v>
      </c>
      <c r="I665">
        <v>0</v>
      </c>
      <c r="J665">
        <v>0.448027993024952</v>
      </c>
      <c r="K665">
        <v>0</v>
      </c>
      <c r="L665">
        <v>0</v>
      </c>
      <c r="M665">
        <v>0.31941508645471139</v>
      </c>
      <c r="N665">
        <v>0</v>
      </c>
      <c r="O665">
        <v>0</v>
      </c>
      <c r="P665">
        <v>0.25473205736869509</v>
      </c>
      <c r="Q665">
        <v>1.7389789860669049</v>
      </c>
      <c r="R665">
        <v>3.8778295318997329</v>
      </c>
      <c r="S665">
        <v>0.36576377183659431</v>
      </c>
      <c r="T665">
        <v>0.25143657387400559</v>
      </c>
      <c r="U665">
        <v>4.3181620639032818</v>
      </c>
      <c r="V665">
        <v>0.12297503039723839</v>
      </c>
      <c r="W665">
        <v>11.38702261945884</v>
      </c>
      <c r="X665">
        <v>0.4237107385786863</v>
      </c>
      <c r="Z665" t="s">
        <v>392</v>
      </c>
      <c r="AA665">
        <v>9937</v>
      </c>
      <c r="AB665" t="s">
        <v>1056</v>
      </c>
      <c r="AC665" t="str">
        <f>HYPERLINK("plots/20251231000436_3FT6Y121H01_04823_B11P_N_UFLEX98_M5358A8BH101511/dpll_52084/txpa_55246.png","plot")</f>
        <v>plot</v>
      </c>
    </row>
    <row r="666" spans="1:29" hidden="1" x14ac:dyDescent="0.35">
      <c r="A666" t="s">
        <v>46</v>
      </c>
      <c r="B666">
        <v>52084</v>
      </c>
      <c r="C666" t="s">
        <v>52</v>
      </c>
      <c r="D666">
        <v>55247</v>
      </c>
      <c r="E666" t="s">
        <v>380</v>
      </c>
      <c r="F666">
        <v>8682</v>
      </c>
      <c r="G666">
        <v>0.50576747442317149</v>
      </c>
      <c r="H666">
        <v>0</v>
      </c>
      <c r="I666">
        <v>0</v>
      </c>
      <c r="J666">
        <v>0.43256971518248988</v>
      </c>
      <c r="K666">
        <v>0</v>
      </c>
      <c r="L666">
        <v>0</v>
      </c>
      <c r="M666">
        <v>0.3055334431577385</v>
      </c>
      <c r="N666">
        <v>0</v>
      </c>
      <c r="O666">
        <v>0</v>
      </c>
      <c r="P666">
        <v>0.25580073818439342</v>
      </c>
      <c r="Q666">
        <v>1.7170387418169599</v>
      </c>
      <c r="R666">
        <v>3.99039442812817</v>
      </c>
      <c r="S666">
        <v>0.35908380108470839</v>
      </c>
      <c r="T666">
        <v>0.25088135207118489</v>
      </c>
      <c r="U666">
        <v>4.3183429196037766</v>
      </c>
      <c r="V666">
        <v>0.1226159624339655</v>
      </c>
      <c r="W666">
        <v>11.405156521538821</v>
      </c>
      <c r="X666">
        <v>0.41627105045536722</v>
      </c>
      <c r="Z666" t="s">
        <v>392</v>
      </c>
      <c r="AA666">
        <v>9937</v>
      </c>
      <c r="AB666" t="s">
        <v>1057</v>
      </c>
      <c r="AC666" t="str">
        <f>HYPERLINK("plots/20251231000436_3FT6Y121H01_04823_B11P_N_UFLEX98_M5358A8BH101511/dpll_52084/txpa_55247.png","plot")</f>
        <v>plot</v>
      </c>
    </row>
    <row r="667" spans="1:29" hidden="1" x14ac:dyDescent="0.35">
      <c r="A667" t="s">
        <v>46</v>
      </c>
      <c r="B667">
        <v>52084</v>
      </c>
      <c r="C667" t="s">
        <v>52</v>
      </c>
      <c r="D667">
        <v>55248</v>
      </c>
      <c r="E667" t="s">
        <v>381</v>
      </c>
      <c r="F667">
        <v>8689</v>
      </c>
      <c r="G667">
        <v>0.5081253332679404</v>
      </c>
      <c r="H667">
        <v>0</v>
      </c>
      <c r="I667">
        <v>0</v>
      </c>
      <c r="J667">
        <v>0.43847973122924888</v>
      </c>
      <c r="K667">
        <v>0</v>
      </c>
      <c r="L667">
        <v>0</v>
      </c>
      <c r="M667">
        <v>0.31115238389160932</v>
      </c>
      <c r="N667">
        <v>0</v>
      </c>
      <c r="O667">
        <v>0</v>
      </c>
      <c r="P667">
        <v>0.25819135430865547</v>
      </c>
      <c r="Q667">
        <v>1.731215984385825</v>
      </c>
      <c r="R667">
        <v>3.8642283454909099</v>
      </c>
      <c r="S667">
        <v>0.36141552924123838</v>
      </c>
      <c r="T667">
        <v>0.25193035627196952</v>
      </c>
      <c r="U667">
        <v>4.3180504470019558</v>
      </c>
      <c r="V667">
        <v>0.1231701445062672</v>
      </c>
      <c r="W667">
        <v>11.33970630072505</v>
      </c>
      <c r="X667">
        <v>0.41964867525296312</v>
      </c>
      <c r="Z667" t="s">
        <v>392</v>
      </c>
      <c r="AA667">
        <v>9937</v>
      </c>
      <c r="AB667" t="s">
        <v>1058</v>
      </c>
      <c r="AC667" t="str">
        <f>HYPERLINK("plots/20251231000436_3FT6Y121H01_04823_B11P_N_UFLEX98_M5358A8BH101511/dpll_52084/txpa_55248.png","plot")</f>
        <v>plot</v>
      </c>
    </row>
    <row r="668" spans="1:29" hidden="1" x14ac:dyDescent="0.35">
      <c r="A668" t="s">
        <v>46</v>
      </c>
      <c r="B668">
        <v>52084</v>
      </c>
      <c r="C668" t="s">
        <v>52</v>
      </c>
      <c r="D668">
        <v>55249</v>
      </c>
      <c r="E668" t="s">
        <v>382</v>
      </c>
      <c r="F668">
        <v>8673</v>
      </c>
      <c r="G668">
        <v>0.5029466119287993</v>
      </c>
      <c r="H668">
        <v>0</v>
      </c>
      <c r="I668">
        <v>0</v>
      </c>
      <c r="J668">
        <v>0.43437488251065098</v>
      </c>
      <c r="K668">
        <v>0</v>
      </c>
      <c r="L668">
        <v>0</v>
      </c>
      <c r="M668">
        <v>0.3076801082151952</v>
      </c>
      <c r="N668">
        <v>0</v>
      </c>
      <c r="O668">
        <v>0</v>
      </c>
      <c r="P668">
        <v>0.25295529445065817</v>
      </c>
      <c r="Q668">
        <v>1.6777992431981079</v>
      </c>
      <c r="R668">
        <v>4.1556888866161117</v>
      </c>
      <c r="S668">
        <v>0.35173371285782329</v>
      </c>
      <c r="T668">
        <v>0.2437383024003123</v>
      </c>
      <c r="U668">
        <v>4.3187951406664364</v>
      </c>
      <c r="V668">
        <v>0.1219965731606646</v>
      </c>
      <c r="W668">
        <v>11.401760105153921</v>
      </c>
      <c r="X668">
        <v>0.40697313246977851</v>
      </c>
      <c r="Z668" t="s">
        <v>392</v>
      </c>
      <c r="AA668">
        <v>9937</v>
      </c>
      <c r="AB668" t="s">
        <v>1059</v>
      </c>
      <c r="AC668" t="str">
        <f>HYPERLINK("plots/20251231000436_3FT6Y121H01_04823_B11P_N_UFLEX98_M5358A8BH101511/dpll_52084/txpa_55249.png","plot")</f>
        <v>plot</v>
      </c>
    </row>
    <row r="669" spans="1:29" hidden="1" x14ac:dyDescent="0.35">
      <c r="A669" t="s">
        <v>46</v>
      </c>
      <c r="B669">
        <v>52084</v>
      </c>
      <c r="C669" t="s">
        <v>52</v>
      </c>
      <c r="D669">
        <v>55250</v>
      </c>
      <c r="E669" t="s">
        <v>383</v>
      </c>
      <c r="F669">
        <v>8688</v>
      </c>
      <c r="G669">
        <v>0.49375461333811699</v>
      </c>
      <c r="H669">
        <v>0</v>
      </c>
      <c r="I669">
        <v>0</v>
      </c>
      <c r="J669">
        <v>0.39750017853978448</v>
      </c>
      <c r="K669">
        <v>0</v>
      </c>
      <c r="L669">
        <v>0</v>
      </c>
      <c r="M669">
        <v>0.27860485414253511</v>
      </c>
      <c r="N669">
        <v>0</v>
      </c>
      <c r="O669">
        <v>0</v>
      </c>
      <c r="P669">
        <v>0.24379361819267339</v>
      </c>
      <c r="Q669">
        <v>1.825288420989513</v>
      </c>
      <c r="R669">
        <v>3.661379610352967</v>
      </c>
      <c r="S669">
        <v>0.39575983854324981</v>
      </c>
      <c r="T669">
        <v>0.28471345115332519</v>
      </c>
      <c r="U669">
        <v>4.3180916795580124</v>
      </c>
      <c r="V669">
        <v>0.12311648678610899</v>
      </c>
      <c r="W669">
        <v>11.543142353821359</v>
      </c>
      <c r="X669">
        <v>0.45513113537170252</v>
      </c>
      <c r="Z669" t="s">
        <v>392</v>
      </c>
      <c r="AA669">
        <v>9937</v>
      </c>
      <c r="AB669" t="s">
        <v>1060</v>
      </c>
      <c r="AC669" t="str">
        <f>HYPERLINK("plots/20251231000436_3FT6Y121H01_04823_B11P_N_UFLEX98_M5358A8BH101511/dpll_52084/txpa_55250.png","plot")</f>
        <v>plot</v>
      </c>
    </row>
    <row r="670" spans="1:29" hidden="1" x14ac:dyDescent="0.35">
      <c r="A670" t="s">
        <v>46</v>
      </c>
      <c r="B670">
        <v>52084</v>
      </c>
      <c r="C670" t="s">
        <v>52</v>
      </c>
      <c r="D670">
        <v>55251</v>
      </c>
      <c r="E670" t="s">
        <v>384</v>
      </c>
      <c r="F670">
        <v>8698</v>
      </c>
      <c r="G670">
        <v>0.46896357984755099</v>
      </c>
      <c r="H670">
        <v>0</v>
      </c>
      <c r="I670">
        <v>0</v>
      </c>
      <c r="J670">
        <v>0.39292646901114642</v>
      </c>
      <c r="K670">
        <v>0</v>
      </c>
      <c r="L670">
        <v>0</v>
      </c>
      <c r="M670">
        <v>0.27627819116720181</v>
      </c>
      <c r="N670">
        <v>0</v>
      </c>
      <c r="O670">
        <v>0</v>
      </c>
      <c r="P670">
        <v>0.2199268392234304</v>
      </c>
      <c r="Q670">
        <v>1.8740338381832291</v>
      </c>
      <c r="R670">
        <v>3.5325353324542408</v>
      </c>
      <c r="S670">
        <v>0.43650238076005993</v>
      </c>
      <c r="T670">
        <v>0.31102310653187021</v>
      </c>
      <c r="U670">
        <v>4.3176698116808456</v>
      </c>
      <c r="V670">
        <v>0.1236817448345279</v>
      </c>
      <c r="W670">
        <v>11.623994661646361</v>
      </c>
      <c r="X670">
        <v>0.4942468561434909</v>
      </c>
      <c r="Z670" t="s">
        <v>392</v>
      </c>
      <c r="AA670">
        <v>9937</v>
      </c>
      <c r="AB670" t="s">
        <v>1061</v>
      </c>
      <c r="AC670" t="str">
        <f>HYPERLINK("plots/20251231000436_3FT6Y121H01_04823_B11P_N_UFLEX98_M5358A8BH101511/dpll_52084/txpa_55251.png","plot")</f>
        <v>plot</v>
      </c>
    </row>
    <row r="671" spans="1:29" hidden="1" x14ac:dyDescent="0.35">
      <c r="A671" t="s">
        <v>46</v>
      </c>
      <c r="B671">
        <v>52084</v>
      </c>
      <c r="C671" t="s">
        <v>52</v>
      </c>
      <c r="D671">
        <v>55252</v>
      </c>
      <c r="E671" t="s">
        <v>385</v>
      </c>
      <c r="F671">
        <v>8677</v>
      </c>
      <c r="G671">
        <v>0.49774202547871582</v>
      </c>
      <c r="H671">
        <v>0</v>
      </c>
      <c r="I671">
        <v>0</v>
      </c>
      <c r="J671">
        <v>0.45437299198427278</v>
      </c>
      <c r="K671">
        <v>0</v>
      </c>
      <c r="L671">
        <v>0</v>
      </c>
      <c r="M671">
        <v>0.32474494845879948</v>
      </c>
      <c r="N671">
        <v>0</v>
      </c>
      <c r="O671">
        <v>0</v>
      </c>
      <c r="P671">
        <v>0.24774712392765461</v>
      </c>
      <c r="Q671">
        <v>1.7431025974262191</v>
      </c>
      <c r="R671">
        <v>4.1448718527121988</v>
      </c>
      <c r="S671">
        <v>0.37254238755294339</v>
      </c>
      <c r="T671">
        <v>0.2546950399360538</v>
      </c>
      <c r="U671">
        <v>4.3183129278552501</v>
      </c>
      <c r="V671">
        <v>0.122659207078334</v>
      </c>
      <c r="W671">
        <v>11.67213433375591</v>
      </c>
      <c r="X671">
        <v>0.4295550134647555</v>
      </c>
      <c r="Z671" t="s">
        <v>392</v>
      </c>
      <c r="AA671">
        <v>9937</v>
      </c>
      <c r="AB671" t="s">
        <v>1062</v>
      </c>
      <c r="AC671" t="str">
        <f>HYPERLINK("plots/20251231000436_3FT6Y121H01_04823_B11P_N_UFLEX98_M5358A8BH101511/dpll_52084/txpa_55252.png","plot")</f>
        <v>plot</v>
      </c>
    </row>
    <row r="672" spans="1:29" hidden="1" x14ac:dyDescent="0.35">
      <c r="A672" t="s">
        <v>46</v>
      </c>
      <c r="B672">
        <v>52084</v>
      </c>
      <c r="C672" t="s">
        <v>52</v>
      </c>
      <c r="D672">
        <v>55253</v>
      </c>
      <c r="E672" t="s">
        <v>386</v>
      </c>
      <c r="F672">
        <v>8690</v>
      </c>
      <c r="G672">
        <v>0.48519646592553678</v>
      </c>
      <c r="H672">
        <v>0</v>
      </c>
      <c r="I672">
        <v>0</v>
      </c>
      <c r="J672">
        <v>0.41429145554972691</v>
      </c>
      <c r="K672">
        <v>0</v>
      </c>
      <c r="L672">
        <v>0</v>
      </c>
      <c r="M672">
        <v>0.29258552668048432</v>
      </c>
      <c r="N672">
        <v>0</v>
      </c>
      <c r="O672">
        <v>0</v>
      </c>
      <c r="P672">
        <v>0.2354156105466306</v>
      </c>
      <c r="Q672">
        <v>1.801925635173784</v>
      </c>
      <c r="R672">
        <v>3.8028394673014372</v>
      </c>
      <c r="S672">
        <v>0.40051705864742482</v>
      </c>
      <c r="T672">
        <v>0.28266539461687529</v>
      </c>
      <c r="U672">
        <v>4.317969125776755</v>
      </c>
      <c r="V672">
        <v>0.1233428727844018</v>
      </c>
      <c r="W672">
        <v>11.5834987269275</v>
      </c>
      <c r="X672">
        <v>0.4580715235883473</v>
      </c>
      <c r="Z672" t="s">
        <v>392</v>
      </c>
      <c r="AA672">
        <v>9937</v>
      </c>
      <c r="AB672" t="s">
        <v>1063</v>
      </c>
      <c r="AC672" t="str">
        <f>HYPERLINK("plots/20251231000436_3FT6Y121H01_04823_B11P_N_UFLEX98_M5358A8BH101511/dpll_52084/txpa_55253.png","plot")</f>
        <v>plot</v>
      </c>
    </row>
    <row r="673" spans="1:29" hidden="1" x14ac:dyDescent="0.35">
      <c r="A673" t="s">
        <v>46</v>
      </c>
      <c r="B673">
        <v>52084</v>
      </c>
      <c r="C673" t="s">
        <v>52</v>
      </c>
      <c r="D673">
        <v>55254</v>
      </c>
      <c r="E673" t="s">
        <v>387</v>
      </c>
      <c r="F673">
        <v>8686</v>
      </c>
      <c r="G673">
        <v>0.50300592598279692</v>
      </c>
      <c r="H673">
        <v>0</v>
      </c>
      <c r="I673">
        <v>0</v>
      </c>
      <c r="J673">
        <v>0.4456066830548599</v>
      </c>
      <c r="K673">
        <v>0</v>
      </c>
      <c r="L673">
        <v>0</v>
      </c>
      <c r="M673">
        <v>0.31760848666819153</v>
      </c>
      <c r="N673">
        <v>0</v>
      </c>
      <c r="O673">
        <v>0</v>
      </c>
      <c r="P673">
        <v>0.25301496157381098</v>
      </c>
      <c r="Q673">
        <v>1.800407589954929</v>
      </c>
      <c r="R673">
        <v>3.8274838619930751</v>
      </c>
      <c r="S673">
        <v>0.38041985449129961</v>
      </c>
      <c r="T673">
        <v>0.26203698289483057</v>
      </c>
      <c r="U673">
        <v>4.3181805356896152</v>
      </c>
      <c r="V673">
        <v>0.1229800006607748</v>
      </c>
      <c r="W673">
        <v>11.601968873244299</v>
      </c>
      <c r="X673">
        <v>0.44018194451628351</v>
      </c>
      <c r="Z673" t="s">
        <v>392</v>
      </c>
      <c r="AA673">
        <v>9937</v>
      </c>
      <c r="AB673" t="s">
        <v>1064</v>
      </c>
      <c r="AC673" t="str">
        <f>HYPERLINK("plots/20251231000436_3FT6Y121H01_04823_B11P_N_UFLEX98_M5358A8BH101511/dpll_52084/txpa_55254.png","plot")</f>
        <v>plot</v>
      </c>
    </row>
    <row r="674" spans="1:29" hidden="1" x14ac:dyDescent="0.35">
      <c r="A674" t="s">
        <v>46</v>
      </c>
      <c r="B674">
        <v>52084</v>
      </c>
      <c r="C674" t="s">
        <v>52</v>
      </c>
      <c r="D674">
        <v>55255</v>
      </c>
      <c r="E674" t="s">
        <v>388</v>
      </c>
      <c r="F674">
        <v>8683</v>
      </c>
      <c r="G674">
        <v>0.50529430650939056</v>
      </c>
      <c r="H674">
        <v>0</v>
      </c>
      <c r="I674">
        <v>0</v>
      </c>
      <c r="J674">
        <v>0.43375574893335261</v>
      </c>
      <c r="K674">
        <v>0</v>
      </c>
      <c r="L674">
        <v>0</v>
      </c>
      <c r="M674">
        <v>0.30675748810490938</v>
      </c>
      <c r="N674">
        <v>0</v>
      </c>
      <c r="O674">
        <v>0</v>
      </c>
      <c r="P674">
        <v>0.25532233619080591</v>
      </c>
      <c r="Q674">
        <v>1.784324292620171</v>
      </c>
      <c r="R674">
        <v>3.921929780822079</v>
      </c>
      <c r="S674">
        <v>0.37363991150189702</v>
      </c>
      <c r="T674">
        <v>0.26123056493638452</v>
      </c>
      <c r="U674">
        <v>4.3183613769434528</v>
      </c>
      <c r="V674">
        <v>0.12262096315197329</v>
      </c>
      <c r="W674">
        <v>11.62728689001497</v>
      </c>
      <c r="X674">
        <v>0.43300619167471749</v>
      </c>
      <c r="Z674" t="s">
        <v>392</v>
      </c>
      <c r="AA674">
        <v>9937</v>
      </c>
      <c r="AB674" t="s">
        <v>1065</v>
      </c>
      <c r="AC674" t="str">
        <f>HYPERLINK("plots/20251231000436_3FT6Y121H01_04823_B11P_N_UFLEX98_M5358A8BH101511/dpll_52084/txpa_55255.png","plot")</f>
        <v>plot</v>
      </c>
    </row>
    <row r="675" spans="1:29" hidden="1" x14ac:dyDescent="0.35">
      <c r="A675" t="s">
        <v>46</v>
      </c>
      <c r="B675">
        <v>52084</v>
      </c>
      <c r="C675" t="s">
        <v>52</v>
      </c>
      <c r="D675">
        <v>55256</v>
      </c>
      <c r="E675" t="s">
        <v>389</v>
      </c>
      <c r="F675">
        <v>8693</v>
      </c>
      <c r="G675">
        <v>0.51106936472150188</v>
      </c>
      <c r="H675">
        <v>0</v>
      </c>
      <c r="I675">
        <v>0</v>
      </c>
      <c r="J675">
        <v>0.43631526166443563</v>
      </c>
      <c r="K675">
        <v>0</v>
      </c>
      <c r="L675">
        <v>0</v>
      </c>
      <c r="M675">
        <v>0.30957872182451612</v>
      </c>
      <c r="N675">
        <v>0</v>
      </c>
      <c r="O675">
        <v>0</v>
      </c>
      <c r="P675">
        <v>0.26119189555683953</v>
      </c>
      <c r="Q675">
        <v>1.812220658368606</v>
      </c>
      <c r="R675">
        <v>3.7150909032417081</v>
      </c>
      <c r="S675">
        <v>0.37639367063086759</v>
      </c>
      <c r="T675">
        <v>0.26370141731952768</v>
      </c>
      <c r="U675">
        <v>4.317850459335097</v>
      </c>
      <c r="V675">
        <v>0.12350093317675789</v>
      </c>
      <c r="W675">
        <v>11.53998870539515</v>
      </c>
      <c r="X675">
        <v>0.43792674317836122</v>
      </c>
      <c r="Z675" t="s">
        <v>392</v>
      </c>
      <c r="AA675">
        <v>9937</v>
      </c>
      <c r="AB675" t="s">
        <v>1066</v>
      </c>
      <c r="AC675" t="str">
        <f>HYPERLINK("plots/20251231000436_3FT6Y121H01_04823_B11P_N_UFLEX98_M5358A8BH101511/dpll_52084/txpa_55256.png","plot")</f>
        <v>plot</v>
      </c>
    </row>
    <row r="676" spans="1:29" hidden="1" x14ac:dyDescent="0.35">
      <c r="A676" t="s">
        <v>46</v>
      </c>
      <c r="B676">
        <v>52084</v>
      </c>
      <c r="C676" t="s">
        <v>52</v>
      </c>
      <c r="D676">
        <v>55257</v>
      </c>
      <c r="E676" t="s">
        <v>390</v>
      </c>
      <c r="F676">
        <v>8679</v>
      </c>
      <c r="G676">
        <v>0.50502409120589797</v>
      </c>
      <c r="H676">
        <v>0</v>
      </c>
      <c r="I676">
        <v>0</v>
      </c>
      <c r="J676">
        <v>0.43183317204904043</v>
      </c>
      <c r="K676">
        <v>0</v>
      </c>
      <c r="L676">
        <v>0</v>
      </c>
      <c r="M676">
        <v>0.30612758141089991</v>
      </c>
      <c r="N676">
        <v>0</v>
      </c>
      <c r="O676">
        <v>0</v>
      </c>
      <c r="P676">
        <v>0.25504933269834318</v>
      </c>
      <c r="Q676">
        <v>1.7678668564267881</v>
      </c>
      <c r="R676">
        <v>3.985759392530122</v>
      </c>
      <c r="S676">
        <v>0.36950609835172632</v>
      </c>
      <c r="T676">
        <v>0.25818374015807449</v>
      </c>
      <c r="U676">
        <v>4.3185552080884886</v>
      </c>
      <c r="V676">
        <v>0.1223053393325005</v>
      </c>
      <c r="W676">
        <v>11.620390012559049</v>
      </c>
      <c r="X676">
        <v>0.42813711174385682</v>
      </c>
      <c r="Z676" t="s">
        <v>392</v>
      </c>
      <c r="AA676">
        <v>9937</v>
      </c>
      <c r="AB676" t="s">
        <v>1067</v>
      </c>
      <c r="AC676" t="str">
        <f>HYPERLINK("plots/20251231000436_3FT6Y121H01_04823_B11P_N_UFLEX98_M5358A8BH101511/dpll_52084/txpa_55257.png","plot")</f>
        <v>plot</v>
      </c>
    </row>
    <row r="677" spans="1:29" hidden="1" x14ac:dyDescent="0.35">
      <c r="A677" t="s">
        <v>46</v>
      </c>
      <c r="B677">
        <v>52084</v>
      </c>
      <c r="C677" t="s">
        <v>52</v>
      </c>
      <c r="D677">
        <v>55258</v>
      </c>
      <c r="E677" t="s">
        <v>391</v>
      </c>
      <c r="F677">
        <v>8696</v>
      </c>
      <c r="G677">
        <v>0.49770681820693319</v>
      </c>
      <c r="H677">
        <v>0</v>
      </c>
      <c r="I677">
        <v>0</v>
      </c>
      <c r="J677">
        <v>0.39326371278076078</v>
      </c>
      <c r="K677">
        <v>0</v>
      </c>
      <c r="L677">
        <v>0</v>
      </c>
      <c r="M677">
        <v>0.27539780951135678</v>
      </c>
      <c r="N677">
        <v>0</v>
      </c>
      <c r="O677">
        <v>0</v>
      </c>
      <c r="P677">
        <v>0.2477120768896692</v>
      </c>
      <c r="Q677">
        <v>1.9318017761918791</v>
      </c>
      <c r="R677">
        <v>3.4075152321987989</v>
      </c>
      <c r="S677">
        <v>0.41625557414698222</v>
      </c>
      <c r="T677">
        <v>0.30117076143001081</v>
      </c>
      <c r="U677">
        <v>4.3177295183992639</v>
      </c>
      <c r="V677">
        <v>0.1236528182027147</v>
      </c>
      <c r="W677">
        <v>11.748512784958599</v>
      </c>
      <c r="X677">
        <v>0.47994667763586613</v>
      </c>
      <c r="Z677" t="s">
        <v>392</v>
      </c>
      <c r="AA677">
        <v>9937</v>
      </c>
      <c r="AB677" t="s">
        <v>1068</v>
      </c>
      <c r="AC677" t="str">
        <f>HYPERLINK("plots/20251231000436_3FT6Y121H01_04823_B11P_N_UFLEX98_M5358A8BH101511/dpll_52084/txpa_55258.png","plot")</f>
        <v>plot</v>
      </c>
    </row>
    <row r="678" spans="1:29" hidden="1" x14ac:dyDescent="0.35">
      <c r="A678" t="s">
        <v>46</v>
      </c>
      <c r="B678">
        <v>52094</v>
      </c>
      <c r="C678" t="s">
        <v>53</v>
      </c>
      <c r="D678">
        <v>53179</v>
      </c>
      <c r="E678" t="s">
        <v>54</v>
      </c>
      <c r="F678">
        <v>8716</v>
      </c>
      <c r="G678">
        <v>0.15259791597542369</v>
      </c>
      <c r="H678">
        <v>1.4540603482360371E-46</v>
      </c>
      <c r="I678">
        <v>1.486307654346111E-46</v>
      </c>
      <c r="J678">
        <v>0.12952058688950729</v>
      </c>
      <c r="K678">
        <v>6.3712779404506078E-34</v>
      </c>
      <c r="L678">
        <v>6.5856022748388564E-34</v>
      </c>
      <c r="M678">
        <v>8.6653330211254112E-2</v>
      </c>
      <c r="N678">
        <v>7.6872719849339856E-34</v>
      </c>
      <c r="O678">
        <v>7.9377737196772534E-34</v>
      </c>
      <c r="P678">
        <v>2.3286123960042489E-2</v>
      </c>
      <c r="Q678">
        <v>1.17990940094111</v>
      </c>
      <c r="R678">
        <v>-26.5516479517593</v>
      </c>
      <c r="S678">
        <v>1.077722152019863</v>
      </c>
      <c r="T678">
        <v>0.83090857502990334</v>
      </c>
      <c r="U678">
        <v>4.3177108791877004</v>
      </c>
      <c r="V678">
        <v>0.14104184712444839</v>
      </c>
      <c r="W678">
        <v>-21.457140294860029</v>
      </c>
      <c r="X678">
        <v>1.090556186724315</v>
      </c>
      <c r="Z678" t="s">
        <v>392</v>
      </c>
      <c r="AA678">
        <v>9937</v>
      </c>
      <c r="AB678" t="s">
        <v>1069</v>
      </c>
      <c r="AC678" t="str">
        <f>HYPERLINK("plots/20251231000436_3FT6Y121H01_04823_B11P_N_UFLEX98_M5358A8BH101511/dpll_52094/txpa_53179.png","plot")</f>
        <v>plot</v>
      </c>
    </row>
    <row r="679" spans="1:29" hidden="1" x14ac:dyDescent="0.35">
      <c r="A679" t="s">
        <v>46</v>
      </c>
      <c r="B679">
        <v>52094</v>
      </c>
      <c r="C679" t="s">
        <v>53</v>
      </c>
      <c r="D679">
        <v>53180</v>
      </c>
      <c r="E679" t="s">
        <v>55</v>
      </c>
      <c r="F679">
        <v>8716</v>
      </c>
      <c r="G679">
        <v>0.17676808284524589</v>
      </c>
      <c r="H679">
        <v>4.1046451180422588E-62</v>
      </c>
      <c r="I679">
        <v>4.2864162200770858E-62</v>
      </c>
      <c r="J679">
        <v>0.12666723084963891</v>
      </c>
      <c r="K679">
        <v>1.659784438549241E-32</v>
      </c>
      <c r="L679">
        <v>1.701740566925107E-32</v>
      </c>
      <c r="M679">
        <v>8.5338806170703149E-2</v>
      </c>
      <c r="N679">
        <v>7.1073901267415713E-33</v>
      </c>
      <c r="O679">
        <v>7.3018172122755353E-33</v>
      </c>
      <c r="P679">
        <v>3.124695511278373E-2</v>
      </c>
      <c r="Q679">
        <v>1.345567511217495</v>
      </c>
      <c r="R679">
        <v>-26.834177665894661</v>
      </c>
      <c r="S679">
        <v>1.0566502325154961</v>
      </c>
      <c r="T679">
        <v>0.81676577642235593</v>
      </c>
      <c r="U679">
        <v>4.3177108791877004</v>
      </c>
      <c r="V679">
        <v>0.14104184712444839</v>
      </c>
      <c r="W679">
        <v>-21.02440618402937</v>
      </c>
      <c r="X679">
        <v>1.0736176133047111</v>
      </c>
      <c r="Z679" t="s">
        <v>392</v>
      </c>
      <c r="AA679">
        <v>9937</v>
      </c>
      <c r="AB679" t="s">
        <v>1070</v>
      </c>
      <c r="AC679" t="str">
        <f>HYPERLINK("plots/20251231000436_3FT6Y121H01_04823_B11P_N_UFLEX98_M5358A8BH101511/dpll_52094/txpa_53180.png","plot")</f>
        <v>plot</v>
      </c>
    </row>
    <row r="680" spans="1:29" hidden="1" x14ac:dyDescent="0.35">
      <c r="A680" t="s">
        <v>46</v>
      </c>
      <c r="B680">
        <v>52094</v>
      </c>
      <c r="C680" t="s">
        <v>53</v>
      </c>
      <c r="D680">
        <v>53181</v>
      </c>
      <c r="E680" t="s">
        <v>56</v>
      </c>
      <c r="F680">
        <v>8716</v>
      </c>
      <c r="G680">
        <v>0.1597423091921634</v>
      </c>
      <c r="H680">
        <v>6.5286461083182658E-51</v>
      </c>
      <c r="I680">
        <v>6.7208600546545401E-51</v>
      </c>
      <c r="J680">
        <v>0.1297579577448342</v>
      </c>
      <c r="K680">
        <v>4.8416581429737067E-34</v>
      </c>
      <c r="L680">
        <v>5.0096340377299369E-34</v>
      </c>
      <c r="M680">
        <v>8.7165781040756743E-2</v>
      </c>
      <c r="N680">
        <v>3.1903831975881318E-34</v>
      </c>
      <c r="O680">
        <v>3.3044418410156949E-34</v>
      </c>
      <c r="P680">
        <v>2.5517605346044719E-2</v>
      </c>
      <c r="Q680">
        <v>1.180707471517161</v>
      </c>
      <c r="R680">
        <v>-26.269550390272691</v>
      </c>
      <c r="S680">
        <v>1.0290403963133961</v>
      </c>
      <c r="T680">
        <v>0.79488364640004483</v>
      </c>
      <c r="U680">
        <v>4.3177108791877004</v>
      </c>
      <c r="V680">
        <v>0.14104184712444839</v>
      </c>
      <c r="W680">
        <v>-21.17159689536485</v>
      </c>
      <c r="X680">
        <v>1.042486261395468</v>
      </c>
      <c r="Z680" t="s">
        <v>392</v>
      </c>
      <c r="AA680">
        <v>9937</v>
      </c>
      <c r="AB680" t="s">
        <v>1071</v>
      </c>
      <c r="AC680" t="str">
        <f>HYPERLINK("plots/20251231000436_3FT6Y121H01_04823_B11P_N_UFLEX98_M5358A8BH101511/dpll_52094/txpa_53181.png","plot")</f>
        <v>plot</v>
      </c>
    </row>
    <row r="681" spans="1:29" hidden="1" x14ac:dyDescent="0.35">
      <c r="A681" t="s">
        <v>46</v>
      </c>
      <c r="B681">
        <v>52094</v>
      </c>
      <c r="C681" t="s">
        <v>53</v>
      </c>
      <c r="D681">
        <v>53182</v>
      </c>
      <c r="E681" t="s">
        <v>57</v>
      </c>
      <c r="F681">
        <v>8716</v>
      </c>
      <c r="G681">
        <v>0.160961671376915</v>
      </c>
      <c r="H681">
        <v>1.127351619320933E-51</v>
      </c>
      <c r="I681">
        <v>1.162903908434818E-51</v>
      </c>
      <c r="J681">
        <v>0.1126790099468202</v>
      </c>
      <c r="K681">
        <v>4.9850358291068968E-26</v>
      </c>
      <c r="L681">
        <v>5.0548263307143937E-26</v>
      </c>
      <c r="M681">
        <v>7.5962146693424937E-2</v>
      </c>
      <c r="N681">
        <v>2.1574900378276939E-26</v>
      </c>
      <c r="O681">
        <v>2.1920790564702221E-26</v>
      </c>
      <c r="P681">
        <v>2.590865965244997E-2</v>
      </c>
      <c r="Q681">
        <v>1.1866312495054321</v>
      </c>
      <c r="R681">
        <v>-26.108189199630601</v>
      </c>
      <c r="S681">
        <v>1.026162692639323</v>
      </c>
      <c r="T681">
        <v>0.79313035375358709</v>
      </c>
      <c r="U681">
        <v>4.3177108791877004</v>
      </c>
      <c r="V681">
        <v>0.14104184712444839</v>
      </c>
      <c r="W681">
        <v>-20.984658544056909</v>
      </c>
      <c r="X681">
        <v>1.039779606251291</v>
      </c>
      <c r="Z681" t="s">
        <v>392</v>
      </c>
      <c r="AA681">
        <v>9937</v>
      </c>
      <c r="AB681" t="s">
        <v>1072</v>
      </c>
      <c r="AC681" t="str">
        <f>HYPERLINK("plots/20251231000436_3FT6Y121H01_04823_B11P_N_UFLEX98_M5358A8BH101511/dpll_52094/txpa_53182.png","plot")</f>
        <v>plot</v>
      </c>
    </row>
    <row r="682" spans="1:29" hidden="1" x14ac:dyDescent="0.35">
      <c r="A682" t="s">
        <v>46</v>
      </c>
      <c r="B682">
        <v>52094</v>
      </c>
      <c r="C682" t="s">
        <v>53</v>
      </c>
      <c r="D682">
        <v>53183</v>
      </c>
      <c r="E682" t="s">
        <v>58</v>
      </c>
      <c r="F682">
        <v>8716</v>
      </c>
      <c r="G682">
        <v>0.1842701424951762</v>
      </c>
      <c r="H682">
        <v>1.9837709170125611E-67</v>
      </c>
      <c r="I682">
        <v>2.1107489085527149E-67</v>
      </c>
      <c r="J682">
        <v>0.13679760506450361</v>
      </c>
      <c r="K682">
        <v>1.115341552600355E-37</v>
      </c>
      <c r="L682">
        <v>1.181772554165893E-37</v>
      </c>
      <c r="M682">
        <v>9.194356359365706E-2</v>
      </c>
      <c r="N682">
        <v>6.9597020564947421E-38</v>
      </c>
      <c r="O682">
        <v>7.3819433946502812E-38</v>
      </c>
      <c r="P682">
        <v>3.3955485415192548E-2</v>
      </c>
      <c r="Q682">
        <v>1.2400059277449269</v>
      </c>
      <c r="R682">
        <v>-26.097781241204771</v>
      </c>
      <c r="S682">
        <v>0.93280406697515594</v>
      </c>
      <c r="T682">
        <v>0.72481159154413322</v>
      </c>
      <c r="U682">
        <v>4.3177108791877004</v>
      </c>
      <c r="V682">
        <v>0.14104184712444839</v>
      </c>
      <c r="W682">
        <v>-20.743794156723268</v>
      </c>
      <c r="X682">
        <v>0.94911049682933923</v>
      </c>
      <c r="Z682" t="s">
        <v>392</v>
      </c>
      <c r="AA682">
        <v>9937</v>
      </c>
      <c r="AB682" t="s">
        <v>1073</v>
      </c>
      <c r="AC682" t="str">
        <f>HYPERLINK("plots/20251231000436_3FT6Y121H01_04823_B11P_N_UFLEX98_M5358A8BH101511/dpll_52094/txpa_53183.png","plot")</f>
        <v>plot</v>
      </c>
    </row>
    <row r="683" spans="1:29" hidden="1" x14ac:dyDescent="0.35">
      <c r="A683" t="s">
        <v>46</v>
      </c>
      <c r="B683">
        <v>52094</v>
      </c>
      <c r="C683" t="s">
        <v>53</v>
      </c>
      <c r="D683">
        <v>53184</v>
      </c>
      <c r="E683" t="s">
        <v>59</v>
      </c>
      <c r="F683">
        <v>8716</v>
      </c>
      <c r="G683">
        <v>0.1913750254631241</v>
      </c>
      <c r="H683">
        <v>1.112362096690448E-72</v>
      </c>
      <c r="I683">
        <v>1.1873001747832779E-72</v>
      </c>
      <c r="J683">
        <v>0.136578518623616</v>
      </c>
      <c r="K683">
        <v>1.457418311840299E-37</v>
      </c>
      <c r="L683">
        <v>1.542611866603406E-37</v>
      </c>
      <c r="M683">
        <v>9.1859398353433458E-2</v>
      </c>
      <c r="N683">
        <v>8.1002637773550139E-38</v>
      </c>
      <c r="O683">
        <v>8.5737656265532189E-38</v>
      </c>
      <c r="P683">
        <v>3.662440037101141E-2</v>
      </c>
      <c r="Q683">
        <v>1.3335992738342091</v>
      </c>
      <c r="R683">
        <v>-26.537510032991459</v>
      </c>
      <c r="S683">
        <v>0.96463048322300926</v>
      </c>
      <c r="T683">
        <v>0.74955987549159064</v>
      </c>
      <c r="U683">
        <v>4.3177108791877004</v>
      </c>
      <c r="V683">
        <v>0.14104184712444839</v>
      </c>
      <c r="W683">
        <v>-20.77941393988068</v>
      </c>
      <c r="X683">
        <v>0.98285188702244475</v>
      </c>
      <c r="Z683" t="s">
        <v>392</v>
      </c>
      <c r="AA683">
        <v>9937</v>
      </c>
      <c r="AB683" t="s">
        <v>1074</v>
      </c>
      <c r="AC683" t="str">
        <f>HYPERLINK("plots/20251231000436_3FT6Y121H01_04823_B11P_N_UFLEX98_M5358A8BH101511/dpll_52094/txpa_53184.png","plot")</f>
        <v>plot</v>
      </c>
    </row>
    <row r="684" spans="1:29" hidden="1" x14ac:dyDescent="0.35">
      <c r="A684" t="s">
        <v>46</v>
      </c>
      <c r="B684">
        <v>52094</v>
      </c>
      <c r="C684" t="s">
        <v>53</v>
      </c>
      <c r="D684">
        <v>53185</v>
      </c>
      <c r="E684" t="s">
        <v>60</v>
      </c>
      <c r="F684">
        <v>8716</v>
      </c>
      <c r="G684">
        <v>0.1729869468948505</v>
      </c>
      <c r="H684">
        <v>1.5994039395735731E-59</v>
      </c>
      <c r="I684">
        <v>1.6650878795971281E-59</v>
      </c>
      <c r="J684">
        <v>0.1331019169201107</v>
      </c>
      <c r="K684">
        <v>9.5851073965703196E-36</v>
      </c>
      <c r="L684">
        <v>1.0019895773321961E-35</v>
      </c>
      <c r="M684">
        <v>8.9328424379031685E-2</v>
      </c>
      <c r="N684">
        <v>7.4148764951907132E-36</v>
      </c>
      <c r="O684">
        <v>7.7592206048744927E-36</v>
      </c>
      <c r="P684">
        <v>2.9924483796001822E-2</v>
      </c>
      <c r="Q684">
        <v>1.2064668043354969</v>
      </c>
      <c r="R684">
        <v>-26.05148356375971</v>
      </c>
      <c r="S684">
        <v>0.96878607290206942</v>
      </c>
      <c r="T684">
        <v>0.75150057212289922</v>
      </c>
      <c r="U684">
        <v>4.3177108791877004</v>
      </c>
      <c r="V684">
        <v>0.14104184712444839</v>
      </c>
      <c r="W684">
        <v>-20.84230871730151</v>
      </c>
      <c r="X684">
        <v>0.98367136730403981</v>
      </c>
      <c r="Z684" t="s">
        <v>392</v>
      </c>
      <c r="AA684">
        <v>9937</v>
      </c>
      <c r="AB684" t="s">
        <v>1075</v>
      </c>
      <c r="AC684" t="str">
        <f>HYPERLINK("plots/20251231000436_3FT6Y121H01_04823_B11P_N_UFLEX98_M5358A8BH101511/dpll_52094/txpa_53185.png","plot")</f>
        <v>plot</v>
      </c>
    </row>
    <row r="685" spans="1:29" hidden="1" x14ac:dyDescent="0.35">
      <c r="A685" t="s">
        <v>46</v>
      </c>
      <c r="B685">
        <v>52094</v>
      </c>
      <c r="C685" t="s">
        <v>53</v>
      </c>
      <c r="D685">
        <v>53186</v>
      </c>
      <c r="E685" t="s">
        <v>61</v>
      </c>
      <c r="F685">
        <v>8716</v>
      </c>
      <c r="G685">
        <v>0.1937411086406447</v>
      </c>
      <c r="H685">
        <v>1.7795993869223419E-74</v>
      </c>
      <c r="I685">
        <v>1.911561205867855E-74</v>
      </c>
      <c r="J685">
        <v>0.15244012321460329</v>
      </c>
      <c r="K685">
        <v>1.804157375637807E-46</v>
      </c>
      <c r="L685">
        <v>1.9482594024459378E-46</v>
      </c>
      <c r="M685">
        <v>0.102762821825786</v>
      </c>
      <c r="N685">
        <v>6.859553384992849E-47</v>
      </c>
      <c r="O685">
        <v>7.4074410355513834E-47</v>
      </c>
      <c r="P685">
        <v>3.7535617177306101E-2</v>
      </c>
      <c r="Q685">
        <v>1.4876834640606791</v>
      </c>
      <c r="R685">
        <v>-27.80692738848488</v>
      </c>
      <c r="S685">
        <v>1.0624393819929681</v>
      </c>
      <c r="T685">
        <v>0.82547173399391038</v>
      </c>
      <c r="U685">
        <v>4.3177108791877004</v>
      </c>
      <c r="V685">
        <v>0.14104184712444839</v>
      </c>
      <c r="W685">
        <v>-21.383540310922449</v>
      </c>
      <c r="X685">
        <v>1.083020661850373</v>
      </c>
      <c r="Z685" t="s">
        <v>392</v>
      </c>
      <c r="AA685">
        <v>9937</v>
      </c>
      <c r="AB685" t="s">
        <v>1076</v>
      </c>
      <c r="AC685" t="str">
        <f>HYPERLINK("plots/20251231000436_3FT6Y121H01_04823_B11P_N_UFLEX98_M5358A8BH101511/dpll_52094/txpa_53186.png","plot")</f>
        <v>plot</v>
      </c>
    </row>
    <row r="686" spans="1:29" hidden="1" x14ac:dyDescent="0.35">
      <c r="A686" t="s">
        <v>46</v>
      </c>
      <c r="B686">
        <v>52094</v>
      </c>
      <c r="C686" t="s">
        <v>53</v>
      </c>
      <c r="D686">
        <v>53187</v>
      </c>
      <c r="E686" t="s">
        <v>62</v>
      </c>
      <c r="F686">
        <v>8716</v>
      </c>
      <c r="G686">
        <v>0.36187884270692289</v>
      </c>
      <c r="H686">
        <v>5.9875834895563442E-268</v>
      </c>
      <c r="I686">
        <v>7.5048327050805109E-268</v>
      </c>
      <c r="J686">
        <v>0.29073648984146971</v>
      </c>
      <c r="K686">
        <v>2.269549242583465E-169</v>
      </c>
      <c r="L686">
        <v>3.0973390739968152E-169</v>
      </c>
      <c r="M686">
        <v>0.19780789294757589</v>
      </c>
      <c r="N686">
        <v>8.8087283300564583E-169</v>
      </c>
      <c r="O686">
        <v>1.1893542645375831E-168</v>
      </c>
      <c r="P686">
        <v>0.13095629679890189</v>
      </c>
      <c r="Q686">
        <v>0.73788073787631181</v>
      </c>
      <c r="R686">
        <v>-11.162463402528051</v>
      </c>
      <c r="S686">
        <v>0.26808151003726899</v>
      </c>
      <c r="T686">
        <v>0.2017940819767185</v>
      </c>
      <c r="U686">
        <v>4.3177108791877004</v>
      </c>
      <c r="V686">
        <v>0.14104184712444839</v>
      </c>
      <c r="W686">
        <v>-7.9765077130564483</v>
      </c>
      <c r="X686">
        <v>0.28758813709347297</v>
      </c>
      <c r="Z686" t="s">
        <v>392</v>
      </c>
      <c r="AA686">
        <v>9937</v>
      </c>
      <c r="AB686" t="s">
        <v>1077</v>
      </c>
      <c r="AC686" t="str">
        <f>HYPERLINK("plots/20251231000436_3FT6Y121H01_04823_B11P_N_UFLEX98_M5358A8BH101511/dpll_52094/txpa_53187.png","plot")</f>
        <v>plot</v>
      </c>
    </row>
    <row r="687" spans="1:29" hidden="1" x14ac:dyDescent="0.35">
      <c r="A687" t="s">
        <v>46</v>
      </c>
      <c r="B687">
        <v>52094</v>
      </c>
      <c r="C687" t="s">
        <v>53</v>
      </c>
      <c r="D687">
        <v>53188</v>
      </c>
      <c r="E687" t="s">
        <v>63</v>
      </c>
      <c r="F687">
        <v>8716</v>
      </c>
      <c r="G687">
        <v>0.3155925090922721</v>
      </c>
      <c r="H687">
        <v>8.1382702205568973E-201</v>
      </c>
      <c r="I687">
        <v>9.3988678857001081E-201</v>
      </c>
      <c r="J687">
        <v>0.19707874975799969</v>
      </c>
      <c r="K687">
        <v>4.7501168639363711E-77</v>
      </c>
      <c r="L687">
        <v>5.2525828789874371E-77</v>
      </c>
      <c r="M687">
        <v>0.13433983876162031</v>
      </c>
      <c r="N687">
        <v>6.5692981686062048E-79</v>
      </c>
      <c r="O687">
        <v>7.2800746917668758E-79</v>
      </c>
      <c r="P687">
        <v>9.9598631795155851E-2</v>
      </c>
      <c r="Q687">
        <v>0.875952756848703</v>
      </c>
      <c r="R687">
        <v>-11.43945314946045</v>
      </c>
      <c r="S687">
        <v>0.37144553531402968</v>
      </c>
      <c r="T687">
        <v>0.29480436708075092</v>
      </c>
      <c r="U687">
        <v>4.3177108791877004</v>
      </c>
      <c r="V687">
        <v>0.14104184712444839</v>
      </c>
      <c r="W687">
        <v>-7.6573424015603493</v>
      </c>
      <c r="X687">
        <v>0.39147315370394847</v>
      </c>
      <c r="Z687" t="s">
        <v>392</v>
      </c>
      <c r="AA687">
        <v>9937</v>
      </c>
      <c r="AB687" t="s">
        <v>1078</v>
      </c>
      <c r="AC687" t="str">
        <f>HYPERLINK("plots/20251231000436_3FT6Y121H01_04823_B11P_N_UFLEX98_M5358A8BH101511/dpll_52094/txpa_53188.png","plot")</f>
        <v>plot</v>
      </c>
    </row>
    <row r="688" spans="1:29" hidden="1" x14ac:dyDescent="0.35">
      <c r="A688" t="s">
        <v>46</v>
      </c>
      <c r="B688">
        <v>52094</v>
      </c>
      <c r="C688" t="s">
        <v>53</v>
      </c>
      <c r="D688">
        <v>53189</v>
      </c>
      <c r="E688" t="s">
        <v>64</v>
      </c>
      <c r="F688">
        <v>8716</v>
      </c>
      <c r="G688">
        <v>0.36637311111960807</v>
      </c>
      <c r="H688">
        <v>4.2858320778841323E-275</v>
      </c>
      <c r="I688">
        <v>5.4255102708795383E-275</v>
      </c>
      <c r="J688">
        <v>0.27753535273069929</v>
      </c>
      <c r="K688">
        <v>6.5868305394872332E-154</v>
      </c>
      <c r="L688">
        <v>8.4975142074300951E-154</v>
      </c>
      <c r="M688">
        <v>0.1890091757431421</v>
      </c>
      <c r="N688">
        <v>2.7883695939639429E-154</v>
      </c>
      <c r="O688">
        <v>3.6295337205127577E-154</v>
      </c>
      <c r="P688">
        <v>0.1342292565514607</v>
      </c>
      <c r="Q688">
        <v>0.75410002797009856</v>
      </c>
      <c r="R688">
        <v>-10.999318443064221</v>
      </c>
      <c r="S688">
        <v>0.27010329943609351</v>
      </c>
      <c r="T688">
        <v>0.2097903559678318</v>
      </c>
      <c r="U688">
        <v>4.3177108791877004</v>
      </c>
      <c r="V688">
        <v>0.14104184712444839</v>
      </c>
      <c r="W688">
        <v>-7.7433325483019733</v>
      </c>
      <c r="X688">
        <v>0.29030422166210279</v>
      </c>
      <c r="Z688" t="s">
        <v>392</v>
      </c>
      <c r="AA688">
        <v>9937</v>
      </c>
      <c r="AB688" t="s">
        <v>1079</v>
      </c>
      <c r="AC688" t="str">
        <f>HYPERLINK("plots/20251231000436_3FT6Y121H01_04823_B11P_N_UFLEX98_M5358A8BH101511/dpll_52094/txpa_53189.png","plot")</f>
        <v>plot</v>
      </c>
    </row>
    <row r="689" spans="1:29" hidden="1" x14ac:dyDescent="0.35">
      <c r="A689" t="s">
        <v>46</v>
      </c>
      <c r="B689">
        <v>52094</v>
      </c>
      <c r="C689" t="s">
        <v>53</v>
      </c>
      <c r="D689">
        <v>53190</v>
      </c>
      <c r="E689" t="s">
        <v>65</v>
      </c>
      <c r="F689">
        <v>8716</v>
      </c>
      <c r="G689">
        <v>0.34195604032621008</v>
      </c>
      <c r="H689">
        <v>1.2297877105570941E-237</v>
      </c>
      <c r="I689">
        <v>1.4722606121663429E-237</v>
      </c>
      <c r="J689">
        <v>0.21919990625344921</v>
      </c>
      <c r="K689">
        <v>2.5976579510223889E-95</v>
      </c>
      <c r="L689">
        <v>2.9864230865495489E-95</v>
      </c>
      <c r="M689">
        <v>0.1495601517261051</v>
      </c>
      <c r="N689">
        <v>2.4187224400078322E-97</v>
      </c>
      <c r="O689">
        <v>2.806160817125791E-97</v>
      </c>
      <c r="P689">
        <v>0.11693393351558071</v>
      </c>
      <c r="Q689">
        <v>0.84122340625362113</v>
      </c>
      <c r="R689">
        <v>-11.314378485707079</v>
      </c>
      <c r="S689">
        <v>0.32603238326261857</v>
      </c>
      <c r="T689">
        <v>0.2540471848770503</v>
      </c>
      <c r="U689">
        <v>4.3177108791877004</v>
      </c>
      <c r="V689">
        <v>0.14104184712444839</v>
      </c>
      <c r="W689">
        <v>-7.6822190326984856</v>
      </c>
      <c r="X689">
        <v>0.34696770657756659</v>
      </c>
      <c r="Z689" t="s">
        <v>392</v>
      </c>
      <c r="AA689">
        <v>9937</v>
      </c>
      <c r="AB689" t="s">
        <v>1080</v>
      </c>
      <c r="AC689" t="str">
        <f>HYPERLINK("plots/20251231000436_3FT6Y121H01_04823_B11P_N_UFLEX98_M5358A8BH101511/dpll_52094/txpa_53190.png","plot")</f>
        <v>plot</v>
      </c>
    </row>
    <row r="690" spans="1:29" hidden="1" x14ac:dyDescent="0.35">
      <c r="A690" t="s">
        <v>46</v>
      </c>
      <c r="B690">
        <v>52094</v>
      </c>
      <c r="C690" t="s">
        <v>53</v>
      </c>
      <c r="D690">
        <v>53191</v>
      </c>
      <c r="E690" t="s">
        <v>66</v>
      </c>
      <c r="F690">
        <v>8716</v>
      </c>
      <c r="G690">
        <v>0.39577984580900433</v>
      </c>
      <c r="H690">
        <v>0</v>
      </c>
      <c r="I690">
        <v>0</v>
      </c>
      <c r="J690">
        <v>0.28961126567695877</v>
      </c>
      <c r="K690">
        <v>5.0920201252330656E-168</v>
      </c>
      <c r="L690">
        <v>6.8752442170257371E-168</v>
      </c>
      <c r="M690">
        <v>0.198177513077475</v>
      </c>
      <c r="N690">
        <v>2.0767353399957639E-169</v>
      </c>
      <c r="O690">
        <v>2.81902226874927E-169</v>
      </c>
      <c r="P690">
        <v>0.15664168634859921</v>
      </c>
      <c r="Q690">
        <v>0.78886951022922824</v>
      </c>
      <c r="R690">
        <v>-10.947301816622099</v>
      </c>
      <c r="S690">
        <v>0.25815505476148221</v>
      </c>
      <c r="T690">
        <v>0.19978880332857471</v>
      </c>
      <c r="U690">
        <v>4.3177108791877004</v>
      </c>
      <c r="V690">
        <v>0.14104184712444839</v>
      </c>
      <c r="W690">
        <v>-7.5411913500458931</v>
      </c>
      <c r="X690">
        <v>0.28112500937347618</v>
      </c>
      <c r="Z690" t="s">
        <v>392</v>
      </c>
      <c r="AA690">
        <v>9937</v>
      </c>
      <c r="AB690" t="s">
        <v>1081</v>
      </c>
      <c r="AC690" t="str">
        <f>HYPERLINK("plots/20251231000436_3FT6Y121H01_04823_B11P_N_UFLEX98_M5358A8BH101511/dpll_52094/txpa_53191.png","plot")</f>
        <v>plot</v>
      </c>
    </row>
    <row r="691" spans="1:29" hidden="1" x14ac:dyDescent="0.35">
      <c r="A691" t="s">
        <v>46</v>
      </c>
      <c r="B691">
        <v>52094</v>
      </c>
      <c r="C691" t="s">
        <v>53</v>
      </c>
      <c r="D691">
        <v>53192</v>
      </c>
      <c r="E691" t="s">
        <v>67</v>
      </c>
      <c r="F691">
        <v>8714</v>
      </c>
      <c r="G691">
        <v>0.37188556882905</v>
      </c>
      <c r="H691">
        <v>5.9532923326179756E-284</v>
      </c>
      <c r="I691">
        <v>7.6316541406758886E-284</v>
      </c>
      <c r="J691">
        <v>0.25086867709913019</v>
      </c>
      <c r="K691">
        <v>3.6339795233396258E-125</v>
      </c>
      <c r="L691">
        <v>4.3815163337293458E-125</v>
      </c>
      <c r="M691">
        <v>0.17222661901322101</v>
      </c>
      <c r="N691">
        <v>2.0472711422560421E-128</v>
      </c>
      <c r="O691">
        <v>2.4921163724461311E-128</v>
      </c>
      <c r="P691">
        <v>0.13829887630330609</v>
      </c>
      <c r="Q691">
        <v>0.8792992012556603</v>
      </c>
      <c r="R691">
        <v>-11.32632346614127</v>
      </c>
      <c r="S691">
        <v>0.30933405390381641</v>
      </c>
      <c r="T691">
        <v>0.2398786948897772</v>
      </c>
      <c r="U691">
        <v>4.3177966139545552</v>
      </c>
      <c r="V691">
        <v>0.1409441229068373</v>
      </c>
      <c r="W691">
        <v>-7.5296883523066329</v>
      </c>
      <c r="X691">
        <v>0.33325319690109118</v>
      </c>
      <c r="Z691" t="s">
        <v>392</v>
      </c>
      <c r="AA691">
        <v>9937</v>
      </c>
      <c r="AB691" t="s">
        <v>1082</v>
      </c>
      <c r="AC691" t="str">
        <f>HYPERLINK("plots/20251231000436_3FT6Y121H01_04823_B11P_N_UFLEX98_M5358A8BH101511/dpll_52094/txpa_53192.png","plot")</f>
        <v>plot</v>
      </c>
    </row>
    <row r="692" spans="1:29" hidden="1" x14ac:dyDescent="0.35">
      <c r="A692" t="s">
        <v>46</v>
      </c>
      <c r="B692">
        <v>52094</v>
      </c>
      <c r="C692" t="s">
        <v>53</v>
      </c>
      <c r="D692">
        <v>53193</v>
      </c>
      <c r="E692" t="s">
        <v>68</v>
      </c>
      <c r="F692">
        <v>8716</v>
      </c>
      <c r="G692">
        <v>0.38587443564194301</v>
      </c>
      <c r="H692">
        <v>1.8731241713514298E-307</v>
      </c>
      <c r="I692">
        <v>2.466685597078377E-307</v>
      </c>
      <c r="J692">
        <v>0.28965522341701561</v>
      </c>
      <c r="K692">
        <v>4.5105583677768033E-168</v>
      </c>
      <c r="L692">
        <v>6.0982749132342386E-168</v>
      </c>
      <c r="M692">
        <v>0.19817535095140471</v>
      </c>
      <c r="N692">
        <v>2.0827109522844711E-169</v>
      </c>
      <c r="O692">
        <v>2.8233541518936548E-169</v>
      </c>
      <c r="P692">
        <v>0.14889908008198799</v>
      </c>
      <c r="Q692">
        <v>0.79218107026356799</v>
      </c>
      <c r="R692">
        <v>-10.9253745918849</v>
      </c>
      <c r="S692">
        <v>0.26711117327876921</v>
      </c>
      <c r="T692">
        <v>0.20898744344223921</v>
      </c>
      <c r="U692">
        <v>4.3177108791877004</v>
      </c>
      <c r="V692">
        <v>0.14104184712444839</v>
      </c>
      <c r="W692">
        <v>-7.504965766521341</v>
      </c>
      <c r="X692">
        <v>0.28955191400829711</v>
      </c>
      <c r="Z692" t="s">
        <v>392</v>
      </c>
      <c r="AA692">
        <v>9937</v>
      </c>
      <c r="AB692" t="s">
        <v>1083</v>
      </c>
      <c r="AC692" t="str">
        <f>HYPERLINK("plots/20251231000436_3FT6Y121H01_04823_B11P_N_UFLEX98_M5358A8BH101511/dpll_52094/txpa_53193.png","plot")</f>
        <v>plot</v>
      </c>
    </row>
    <row r="693" spans="1:29" hidden="1" x14ac:dyDescent="0.35">
      <c r="A693" t="s">
        <v>46</v>
      </c>
      <c r="B693">
        <v>52094</v>
      </c>
      <c r="C693" t="s">
        <v>53</v>
      </c>
      <c r="D693">
        <v>53194</v>
      </c>
      <c r="E693" t="s">
        <v>69</v>
      </c>
      <c r="F693">
        <v>8713</v>
      </c>
      <c r="G693">
        <v>0.39450711031516023</v>
      </c>
      <c r="H693">
        <v>0</v>
      </c>
      <c r="I693">
        <v>0</v>
      </c>
      <c r="J693">
        <v>0.28484608595419308</v>
      </c>
      <c r="K693">
        <v>2.5990886215633088E-162</v>
      </c>
      <c r="L693">
        <v>3.4182566306941571E-162</v>
      </c>
      <c r="M693">
        <v>0.19516830390226281</v>
      </c>
      <c r="N693">
        <v>2.61720812391305E-164</v>
      </c>
      <c r="O693">
        <v>3.4919066284839913E-164</v>
      </c>
      <c r="P693">
        <v>0.15563586008921801</v>
      </c>
      <c r="Q693">
        <v>0.86180314761419152</v>
      </c>
      <c r="R693">
        <v>-11.62247914315873</v>
      </c>
      <c r="S693">
        <v>0.28278196027945468</v>
      </c>
      <c r="T693">
        <v>0.21693769777916061</v>
      </c>
      <c r="U693">
        <v>4.3178441858143</v>
      </c>
      <c r="V693">
        <v>0.14088296825192259</v>
      </c>
      <c r="W693">
        <v>-7.9013474329163316</v>
      </c>
      <c r="X693">
        <v>0.3077596887613599</v>
      </c>
      <c r="Z693" t="s">
        <v>392</v>
      </c>
      <c r="AA693">
        <v>9937</v>
      </c>
      <c r="AB693" t="s">
        <v>1084</v>
      </c>
      <c r="AC693" t="str">
        <f>HYPERLINK("plots/20251231000436_3FT6Y121H01_04823_B11P_N_UFLEX98_M5358A8BH101511/dpll_52094/txpa_53194.png","plot")</f>
        <v>plot</v>
      </c>
    </row>
    <row r="694" spans="1:29" hidden="1" x14ac:dyDescent="0.35">
      <c r="A694" t="s">
        <v>46</v>
      </c>
      <c r="B694">
        <v>52094</v>
      </c>
      <c r="C694" t="s">
        <v>53</v>
      </c>
      <c r="D694">
        <v>53195</v>
      </c>
      <c r="E694" t="s">
        <v>70</v>
      </c>
      <c r="F694">
        <v>8715</v>
      </c>
      <c r="G694">
        <v>0.3891221097018801</v>
      </c>
      <c r="H694">
        <v>0</v>
      </c>
      <c r="I694">
        <v>0</v>
      </c>
      <c r="J694">
        <v>0.31181557351423328</v>
      </c>
      <c r="K694">
        <v>8.1545158052781951E-196</v>
      </c>
      <c r="L694">
        <v>1.198359279210448E-195</v>
      </c>
      <c r="M694">
        <v>0.21251850195845901</v>
      </c>
      <c r="N694">
        <v>1.639485853474279E-194</v>
      </c>
      <c r="O694">
        <v>2.4023679991660681E-194</v>
      </c>
      <c r="P694">
        <v>0.15141601625884199</v>
      </c>
      <c r="Q694">
        <v>0.72145390101793783</v>
      </c>
      <c r="R694">
        <v>-5.0703603032931639</v>
      </c>
      <c r="S694">
        <v>0.24085234798510671</v>
      </c>
      <c r="T694">
        <v>0.17912269088883251</v>
      </c>
      <c r="U694">
        <v>4.3177374527825583</v>
      </c>
      <c r="V694">
        <v>0.1410281175306248</v>
      </c>
      <c r="W694">
        <v>-1.955311774411933</v>
      </c>
      <c r="X694">
        <v>0.26147392555934718</v>
      </c>
      <c r="Z694" t="s">
        <v>392</v>
      </c>
      <c r="AA694">
        <v>9937</v>
      </c>
      <c r="AB694" t="s">
        <v>1085</v>
      </c>
      <c r="AC694" t="str">
        <f>HYPERLINK("plots/20251231000436_3FT6Y121H01_04823_B11P_N_UFLEX98_M5358A8BH101511/dpll_52094/txpa_53195.png","plot")</f>
        <v>plot</v>
      </c>
    </row>
    <row r="695" spans="1:29" hidden="1" x14ac:dyDescent="0.35">
      <c r="A695" t="s">
        <v>46</v>
      </c>
      <c r="B695">
        <v>52094</v>
      </c>
      <c r="C695" t="s">
        <v>53</v>
      </c>
      <c r="D695">
        <v>53196</v>
      </c>
      <c r="E695" t="s">
        <v>71</v>
      </c>
      <c r="F695">
        <v>8716</v>
      </c>
      <c r="G695">
        <v>0.33361704921558988</v>
      </c>
      <c r="H695">
        <v>1.3607527673094151E-225</v>
      </c>
      <c r="I695">
        <v>1.598845082331109E-225</v>
      </c>
      <c r="J695">
        <v>0.20884289454764071</v>
      </c>
      <c r="K695">
        <v>1.6870563834971719E-86</v>
      </c>
      <c r="L695">
        <v>1.8923397929935091E-86</v>
      </c>
      <c r="M695">
        <v>0.1424749098428712</v>
      </c>
      <c r="N695">
        <v>1.578489146444481E-88</v>
      </c>
      <c r="O695">
        <v>1.7804093375914389E-88</v>
      </c>
      <c r="P695">
        <v>0.1113003355273173</v>
      </c>
      <c r="Q695">
        <v>0.83657070597425309</v>
      </c>
      <c r="R695">
        <v>-5.2815460078876546</v>
      </c>
      <c r="S695">
        <v>0.33339186316625419</v>
      </c>
      <c r="T695">
        <v>0.26382843237151932</v>
      </c>
      <c r="U695">
        <v>4.3177108791877004</v>
      </c>
      <c r="V695">
        <v>0.14104184712444839</v>
      </c>
      <c r="W695">
        <v>-1.6694755694928869</v>
      </c>
      <c r="X695">
        <v>0.35367340457640722</v>
      </c>
      <c r="Z695" t="s">
        <v>392</v>
      </c>
      <c r="AA695">
        <v>9937</v>
      </c>
      <c r="AB695" t="s">
        <v>1086</v>
      </c>
      <c r="AC695" t="str">
        <f>HYPERLINK("plots/20251231000436_3FT6Y121H01_04823_B11P_N_UFLEX98_M5358A8BH101511/dpll_52094/txpa_53196.png","plot")</f>
        <v>plot</v>
      </c>
    </row>
    <row r="696" spans="1:29" hidden="1" x14ac:dyDescent="0.35">
      <c r="A696" t="s">
        <v>46</v>
      </c>
      <c r="B696">
        <v>52094</v>
      </c>
      <c r="C696" t="s">
        <v>53</v>
      </c>
      <c r="D696">
        <v>53197</v>
      </c>
      <c r="E696" t="s">
        <v>72</v>
      </c>
      <c r="F696">
        <v>8716</v>
      </c>
      <c r="G696">
        <v>0.39652107746191728</v>
      </c>
      <c r="H696">
        <v>0</v>
      </c>
      <c r="I696">
        <v>0</v>
      </c>
      <c r="J696">
        <v>0.30240157471296719</v>
      </c>
      <c r="K696">
        <v>9.626143281117922E-184</v>
      </c>
      <c r="L696">
        <v>1.3556818454241079E-183</v>
      </c>
      <c r="M696">
        <v>0.20669812446603841</v>
      </c>
      <c r="N696">
        <v>3.8861629308843952E-184</v>
      </c>
      <c r="O696">
        <v>5.5500974815729257E-184</v>
      </c>
      <c r="P696">
        <v>0.15722896487155991</v>
      </c>
      <c r="Q696">
        <v>0.73909073977474682</v>
      </c>
      <c r="R696">
        <v>-4.9460487886400202</v>
      </c>
      <c r="S696">
        <v>0.2413289124734449</v>
      </c>
      <c r="T696">
        <v>0.18549847638659281</v>
      </c>
      <c r="U696">
        <v>4.3177108791877004</v>
      </c>
      <c r="V696">
        <v>0.14104184712444839</v>
      </c>
      <c r="W696">
        <v>-1.75486866080771</v>
      </c>
      <c r="X696">
        <v>0.26289327114122202</v>
      </c>
      <c r="Z696" t="s">
        <v>392</v>
      </c>
      <c r="AA696">
        <v>9937</v>
      </c>
      <c r="AB696" t="s">
        <v>1087</v>
      </c>
      <c r="AC696" t="str">
        <f>HYPERLINK("plots/20251231000436_3FT6Y121H01_04823_B11P_N_UFLEX98_M5358A8BH101511/dpll_52094/txpa_53197.png","plot")</f>
        <v>plot</v>
      </c>
    </row>
    <row r="697" spans="1:29" hidden="1" x14ac:dyDescent="0.35">
      <c r="A697" t="s">
        <v>46</v>
      </c>
      <c r="B697">
        <v>52094</v>
      </c>
      <c r="C697" t="s">
        <v>53</v>
      </c>
      <c r="D697">
        <v>53198</v>
      </c>
      <c r="E697" t="s">
        <v>73</v>
      </c>
      <c r="F697">
        <v>8716</v>
      </c>
      <c r="G697">
        <v>0.36383490877771812</v>
      </c>
      <c r="H697">
        <v>4.8031794115710776E-271</v>
      </c>
      <c r="I697">
        <v>6.0577411981754639E-271</v>
      </c>
      <c r="J697">
        <v>0.2360386463723346</v>
      </c>
      <c r="K697">
        <v>1.212496056112487E-110</v>
      </c>
      <c r="L697">
        <v>1.4296174429047229E-110</v>
      </c>
      <c r="M697">
        <v>0.16133167875688581</v>
      </c>
      <c r="N697">
        <v>5.7666681125737185E-113</v>
      </c>
      <c r="O697">
        <v>6.8712120636307287E-113</v>
      </c>
      <c r="P697">
        <v>0.1323758408452905</v>
      </c>
      <c r="Q697">
        <v>0.80915195659754946</v>
      </c>
      <c r="R697">
        <v>-5.1981348179640632</v>
      </c>
      <c r="S697">
        <v>0.29215586753774758</v>
      </c>
      <c r="T697">
        <v>0.22650434003757311</v>
      </c>
      <c r="U697">
        <v>4.3177108791877004</v>
      </c>
      <c r="V697">
        <v>0.14104184712444839</v>
      </c>
      <c r="W697">
        <v>-1.7044506120468099</v>
      </c>
      <c r="X697">
        <v>0.31367052421185659</v>
      </c>
      <c r="Z697" t="s">
        <v>392</v>
      </c>
      <c r="AA697">
        <v>9937</v>
      </c>
      <c r="AB697" t="s">
        <v>1088</v>
      </c>
      <c r="AC697" t="str">
        <f>HYPERLINK("plots/20251231000436_3FT6Y121H01_04823_B11P_N_UFLEX98_M5358A8BH101511/dpll_52094/txpa_53198.png","plot")</f>
        <v>plot</v>
      </c>
    </row>
    <row r="698" spans="1:29" hidden="1" x14ac:dyDescent="0.35">
      <c r="A698" t="s">
        <v>46</v>
      </c>
      <c r="B698">
        <v>52094</v>
      </c>
      <c r="C698" t="s">
        <v>53</v>
      </c>
      <c r="D698">
        <v>53199</v>
      </c>
      <c r="E698" t="s">
        <v>74</v>
      </c>
      <c r="F698">
        <v>8713</v>
      </c>
      <c r="G698">
        <v>0.42786651555938898</v>
      </c>
      <c r="H698">
        <v>0</v>
      </c>
      <c r="I698">
        <v>0</v>
      </c>
      <c r="J698">
        <v>0.31929305586418327</v>
      </c>
      <c r="K698">
        <v>1.0758815961192949E-205</v>
      </c>
      <c r="L698">
        <v>1.625847896371037E-205</v>
      </c>
      <c r="M698">
        <v>0.21944149257589629</v>
      </c>
      <c r="N698">
        <v>3.3122503939412543E-207</v>
      </c>
      <c r="O698">
        <v>5.0354151416138398E-207</v>
      </c>
      <c r="P698">
        <v>0.18306975513693291</v>
      </c>
      <c r="Q698">
        <v>0.77173097234198018</v>
      </c>
      <c r="R698">
        <v>-4.9203182943199328</v>
      </c>
      <c r="S698">
        <v>0.2297567960886894</v>
      </c>
      <c r="T698">
        <v>0.17639659571412911</v>
      </c>
      <c r="U698">
        <v>4.3178180618615851</v>
      </c>
      <c r="V698">
        <v>0.14094289004565769</v>
      </c>
      <c r="W698">
        <v>-1.5881243630437281</v>
      </c>
      <c r="X698">
        <v>0.25421478340603321</v>
      </c>
      <c r="Z698" t="s">
        <v>392</v>
      </c>
      <c r="AA698">
        <v>9937</v>
      </c>
      <c r="AB698" t="s">
        <v>1089</v>
      </c>
      <c r="AC698" t="str">
        <f>HYPERLINK("plots/20251231000436_3FT6Y121H01_04823_B11P_N_UFLEX98_M5358A8BH101511/dpll_52094/txpa_53199.png","plot")</f>
        <v>plot</v>
      </c>
    </row>
    <row r="699" spans="1:29" hidden="1" x14ac:dyDescent="0.35">
      <c r="A699" t="s">
        <v>46</v>
      </c>
      <c r="B699">
        <v>52094</v>
      </c>
      <c r="C699" t="s">
        <v>53</v>
      </c>
      <c r="D699">
        <v>53200</v>
      </c>
      <c r="E699" t="s">
        <v>75</v>
      </c>
      <c r="F699">
        <v>8712</v>
      </c>
      <c r="G699">
        <v>0.39499725459921697</v>
      </c>
      <c r="H699">
        <v>0</v>
      </c>
      <c r="I699">
        <v>0</v>
      </c>
      <c r="J699">
        <v>0.27027872379020429</v>
      </c>
      <c r="K699">
        <v>1.0678255167322179E-145</v>
      </c>
      <c r="L699">
        <v>1.3585634554158961E-145</v>
      </c>
      <c r="M699">
        <v>0.18596165514793961</v>
      </c>
      <c r="N699">
        <v>2.282257100983205E-149</v>
      </c>
      <c r="O699">
        <v>2.9368130715697591E-149</v>
      </c>
      <c r="P699">
        <v>0.15602283114091869</v>
      </c>
      <c r="Q699">
        <v>0.84648515430842164</v>
      </c>
      <c r="R699">
        <v>-5.2267227194078636</v>
      </c>
      <c r="S699">
        <v>0.27737641366389759</v>
      </c>
      <c r="T699">
        <v>0.21375126700590599</v>
      </c>
      <c r="U699">
        <v>4.3178595135445361</v>
      </c>
      <c r="V699">
        <v>0.14089767841759679</v>
      </c>
      <c r="W699">
        <v>-1.5717187428030299</v>
      </c>
      <c r="X699">
        <v>0.30194587853030169</v>
      </c>
      <c r="Z699" t="s">
        <v>392</v>
      </c>
      <c r="AA699">
        <v>9937</v>
      </c>
      <c r="AB699" t="s">
        <v>1090</v>
      </c>
      <c r="AC699" t="str">
        <f>HYPERLINK("plots/20251231000436_3FT6Y121H01_04823_B11P_N_UFLEX98_M5358A8BH101511/dpll_52094/txpa_53200.png","plot")</f>
        <v>plot</v>
      </c>
    </row>
    <row r="700" spans="1:29" hidden="1" x14ac:dyDescent="0.35">
      <c r="A700" t="s">
        <v>46</v>
      </c>
      <c r="B700">
        <v>52094</v>
      </c>
      <c r="C700" t="s">
        <v>53</v>
      </c>
      <c r="D700">
        <v>53201</v>
      </c>
      <c r="E700" t="s">
        <v>76</v>
      </c>
      <c r="F700">
        <v>8715</v>
      </c>
      <c r="G700">
        <v>0.41757856438161162</v>
      </c>
      <c r="H700">
        <v>0</v>
      </c>
      <c r="I700">
        <v>0</v>
      </c>
      <c r="J700">
        <v>0.3149044704543621</v>
      </c>
      <c r="K700">
        <v>7.0083799329574585E-200</v>
      </c>
      <c r="L700">
        <v>1.040482760178457E-199</v>
      </c>
      <c r="M700">
        <v>0.21607292627185001</v>
      </c>
      <c r="N700">
        <v>5.2761626069543671E-201</v>
      </c>
      <c r="O700">
        <v>7.8908980581883903E-201</v>
      </c>
      <c r="P700">
        <v>0.17437185743100769</v>
      </c>
      <c r="Q700">
        <v>0.77580152743997366</v>
      </c>
      <c r="R700">
        <v>-4.8945145521393618</v>
      </c>
      <c r="S700">
        <v>0.2380276262352598</v>
      </c>
      <c r="T700">
        <v>0.1844519144689917</v>
      </c>
      <c r="U700">
        <v>4.3177471638554223</v>
      </c>
      <c r="V700">
        <v>0.14100925108931939</v>
      </c>
      <c r="W700">
        <v>-1.5447997073207109</v>
      </c>
      <c r="X700">
        <v>0.26197511488709452</v>
      </c>
      <c r="Z700" t="s">
        <v>392</v>
      </c>
      <c r="AA700">
        <v>9937</v>
      </c>
      <c r="AB700" t="s">
        <v>1091</v>
      </c>
      <c r="AC700" t="str">
        <f>HYPERLINK("plots/20251231000436_3FT6Y121H01_04823_B11P_N_UFLEX98_M5358A8BH101511/dpll_52094/txpa_53201.png","plot")</f>
        <v>plot</v>
      </c>
    </row>
    <row r="701" spans="1:29" hidden="1" x14ac:dyDescent="0.35">
      <c r="A701" t="s">
        <v>46</v>
      </c>
      <c r="B701">
        <v>52094</v>
      </c>
      <c r="C701" t="s">
        <v>53</v>
      </c>
      <c r="D701">
        <v>53202</v>
      </c>
      <c r="E701" t="s">
        <v>77</v>
      </c>
      <c r="F701">
        <v>8712</v>
      </c>
      <c r="G701">
        <v>0.4129521911649166</v>
      </c>
      <c r="H701">
        <v>0</v>
      </c>
      <c r="I701">
        <v>0</v>
      </c>
      <c r="J701">
        <v>0.29815537057152458</v>
      </c>
      <c r="K701">
        <v>2.3664956837253001E-178</v>
      </c>
      <c r="L701">
        <v>3.2961904166173832E-178</v>
      </c>
      <c r="M701">
        <v>0.20458592333449219</v>
      </c>
      <c r="N701">
        <v>2.3616468476709628E-180</v>
      </c>
      <c r="O701">
        <v>3.3306118268961849E-180</v>
      </c>
      <c r="P701">
        <v>0.1705295121879058</v>
      </c>
      <c r="Q701">
        <v>0.81635010857655976</v>
      </c>
      <c r="R701">
        <v>-5.4050308460280654</v>
      </c>
      <c r="S701">
        <v>0.25357703036319218</v>
      </c>
      <c r="T701">
        <v>0.1935093509495808</v>
      </c>
      <c r="U701">
        <v>4.3178804982782371</v>
      </c>
      <c r="V701">
        <v>0.14085027158546581</v>
      </c>
      <c r="W701">
        <v>-1.8801286324380171</v>
      </c>
      <c r="X701">
        <v>0.27844175902656287</v>
      </c>
      <c r="Z701" t="s">
        <v>392</v>
      </c>
      <c r="AA701">
        <v>9937</v>
      </c>
      <c r="AB701" t="s">
        <v>1092</v>
      </c>
      <c r="AC701" t="str">
        <f>HYPERLINK("plots/20251231000436_3FT6Y121H01_04823_B11P_N_UFLEX98_M5358A8BH101511/dpll_52094/txpa_53202.png","plot")</f>
        <v>plot</v>
      </c>
    </row>
    <row r="702" spans="1:29" hidden="1" x14ac:dyDescent="0.35">
      <c r="A702" t="s">
        <v>46</v>
      </c>
      <c r="B702">
        <v>52094</v>
      </c>
      <c r="C702" t="s">
        <v>53</v>
      </c>
      <c r="D702">
        <v>53203</v>
      </c>
      <c r="E702" t="s">
        <v>78</v>
      </c>
      <c r="F702">
        <v>8711</v>
      </c>
      <c r="G702">
        <v>0.40758096426959312</v>
      </c>
      <c r="H702">
        <v>0</v>
      </c>
      <c r="I702">
        <v>0</v>
      </c>
      <c r="J702">
        <v>0.32999408873114972</v>
      </c>
      <c r="K702">
        <v>2.376889251185524E-220</v>
      </c>
      <c r="L702">
        <v>3.713660555781389E-220</v>
      </c>
      <c r="M702">
        <v>0.2254313418328914</v>
      </c>
      <c r="N702">
        <v>1.636476922065101E-218</v>
      </c>
      <c r="O702">
        <v>2.5489824869032462E-218</v>
      </c>
      <c r="P702">
        <v>0.16612224243493129</v>
      </c>
      <c r="Q702">
        <v>0.75469608807734678</v>
      </c>
      <c r="R702">
        <v>-2.357668147566788</v>
      </c>
      <c r="S702">
        <v>0.23809918708081301</v>
      </c>
      <c r="T702">
        <v>0.17551454695923979</v>
      </c>
      <c r="U702">
        <v>4.3179125990127423</v>
      </c>
      <c r="V702">
        <v>0.1408229509296573</v>
      </c>
      <c r="W702">
        <v>0.90104359956801749</v>
      </c>
      <c r="X702">
        <v>0.26075440095338448</v>
      </c>
      <c r="Z702" t="s">
        <v>392</v>
      </c>
      <c r="AA702">
        <v>9937</v>
      </c>
      <c r="AB702" t="s">
        <v>1093</v>
      </c>
      <c r="AC702" t="str">
        <f>HYPERLINK("plots/20251231000436_3FT6Y121H01_04823_B11P_N_UFLEX98_M5358A8BH101511/dpll_52094/txpa_53203.png","plot")</f>
        <v>plot</v>
      </c>
    </row>
    <row r="703" spans="1:29" hidden="1" x14ac:dyDescent="0.35">
      <c r="A703" t="s">
        <v>46</v>
      </c>
      <c r="B703">
        <v>52094</v>
      </c>
      <c r="C703" t="s">
        <v>53</v>
      </c>
      <c r="D703">
        <v>53204</v>
      </c>
      <c r="E703" t="s">
        <v>79</v>
      </c>
      <c r="F703">
        <v>8716</v>
      </c>
      <c r="G703">
        <v>0.35686037743954307</v>
      </c>
      <c r="H703">
        <v>4.1756108743510089E-260</v>
      </c>
      <c r="I703">
        <v>5.1446773105612678E-260</v>
      </c>
      <c r="J703">
        <v>0.22544811603545151</v>
      </c>
      <c r="K703">
        <v>7.4463297653335478E-101</v>
      </c>
      <c r="L703">
        <v>8.6688615178509961E-101</v>
      </c>
      <c r="M703">
        <v>0.15388930713534271</v>
      </c>
      <c r="N703">
        <v>5.8060347729904242E-103</v>
      </c>
      <c r="O703">
        <v>6.7592643625858672E-103</v>
      </c>
      <c r="P703">
        <v>0.1273493289862932</v>
      </c>
      <c r="Q703">
        <v>0.87237879870402868</v>
      </c>
      <c r="R703">
        <v>-2.5898651962613131</v>
      </c>
      <c r="S703">
        <v>0.32206983986468141</v>
      </c>
      <c r="T703">
        <v>0.25308079844974418</v>
      </c>
      <c r="U703">
        <v>4.3177108791877004</v>
      </c>
      <c r="V703">
        <v>0.14104184712444839</v>
      </c>
      <c r="W703">
        <v>1.176814233675769</v>
      </c>
      <c r="X703">
        <v>0.34479007740854772</v>
      </c>
      <c r="Z703" t="s">
        <v>392</v>
      </c>
      <c r="AA703">
        <v>9937</v>
      </c>
      <c r="AB703" t="s">
        <v>1094</v>
      </c>
      <c r="AC703" t="str">
        <f>HYPERLINK("plots/20251231000436_3FT6Y121H01_04823_B11P_N_UFLEX98_M5358A8BH101511/dpll_52094/txpa_53204.png","plot")</f>
        <v>plot</v>
      </c>
    </row>
    <row r="704" spans="1:29" hidden="1" x14ac:dyDescent="0.35">
      <c r="A704" t="s">
        <v>46</v>
      </c>
      <c r="B704">
        <v>52094</v>
      </c>
      <c r="C704" t="s">
        <v>53</v>
      </c>
      <c r="D704">
        <v>53205</v>
      </c>
      <c r="E704" t="s">
        <v>80</v>
      </c>
      <c r="F704">
        <v>8715</v>
      </c>
      <c r="G704">
        <v>0.42306451363449998</v>
      </c>
      <c r="H704">
        <v>0</v>
      </c>
      <c r="I704">
        <v>0</v>
      </c>
      <c r="J704">
        <v>0.32740279998340233</v>
      </c>
      <c r="K704">
        <v>7.8097147061132776E-217</v>
      </c>
      <c r="L704">
        <v>1.205334963774561E-216</v>
      </c>
      <c r="M704">
        <v>0.2244442099254336</v>
      </c>
      <c r="N704">
        <v>1.0135961154075391E-216</v>
      </c>
      <c r="O704">
        <v>1.5715389312282019E-216</v>
      </c>
      <c r="P704">
        <v>0.17898358269679601</v>
      </c>
      <c r="Q704">
        <v>0.78711256401097385</v>
      </c>
      <c r="R704">
        <v>-2.3133468476516779</v>
      </c>
      <c r="S704">
        <v>0.23766616505739349</v>
      </c>
      <c r="T704">
        <v>0.18042269376617051</v>
      </c>
      <c r="U704">
        <v>4.317755179001721</v>
      </c>
      <c r="V704">
        <v>0.1409892854567717</v>
      </c>
      <c r="W704">
        <v>1.085212502064028</v>
      </c>
      <c r="X704">
        <v>0.26231091097805798</v>
      </c>
      <c r="Z704" t="s">
        <v>392</v>
      </c>
      <c r="AA704">
        <v>9937</v>
      </c>
      <c r="AB704" t="s">
        <v>1095</v>
      </c>
      <c r="AC704" t="str">
        <f>HYPERLINK("plots/20251231000436_3FT6Y121H01_04823_B11P_N_UFLEX98_M5358A8BH101511/dpll_52094/txpa_53205.png","plot")</f>
        <v>plot</v>
      </c>
    </row>
    <row r="705" spans="1:29" hidden="1" x14ac:dyDescent="0.35">
      <c r="A705" t="s">
        <v>46</v>
      </c>
      <c r="B705">
        <v>52094</v>
      </c>
      <c r="C705" t="s">
        <v>53</v>
      </c>
      <c r="D705">
        <v>53206</v>
      </c>
      <c r="E705" t="s">
        <v>81</v>
      </c>
      <c r="F705">
        <v>8713</v>
      </c>
      <c r="G705">
        <v>0.38630539335835617</v>
      </c>
      <c r="H705">
        <v>4.3395559266451539E-308</v>
      </c>
      <c r="I705">
        <v>5.7221192582811269E-308</v>
      </c>
      <c r="J705">
        <v>0.25567844072809942</v>
      </c>
      <c r="K705">
        <v>4.3834101224084981E-130</v>
      </c>
      <c r="L705">
        <v>5.3551540531592977E-130</v>
      </c>
      <c r="M705">
        <v>0.17499387135126809</v>
      </c>
      <c r="N705">
        <v>1.6201054458831869E-132</v>
      </c>
      <c r="O705">
        <v>1.9816488807304609E-132</v>
      </c>
      <c r="P705">
        <v>0.14923185693775429</v>
      </c>
      <c r="Q705">
        <v>0.84183236154641194</v>
      </c>
      <c r="R705">
        <v>-2.4929424082075662</v>
      </c>
      <c r="S705">
        <v>0.2831767691476198</v>
      </c>
      <c r="T705">
        <v>0.21829823653069641</v>
      </c>
      <c r="U705">
        <v>4.3178371316423734</v>
      </c>
      <c r="V705">
        <v>0.14089062352013629</v>
      </c>
      <c r="W705">
        <v>1.1419526210957189</v>
      </c>
      <c r="X705">
        <v>0.30702725966778749</v>
      </c>
      <c r="Z705" t="s">
        <v>392</v>
      </c>
      <c r="AA705">
        <v>9937</v>
      </c>
      <c r="AB705" t="s">
        <v>1096</v>
      </c>
      <c r="AC705" t="str">
        <f>HYPERLINK("plots/20251231000436_3FT6Y121H01_04823_B11P_N_UFLEX98_M5358A8BH101511/dpll_52094/txpa_53206.png","plot")</f>
        <v>plot</v>
      </c>
    </row>
    <row r="706" spans="1:29" hidden="1" x14ac:dyDescent="0.35">
      <c r="A706" t="s">
        <v>46</v>
      </c>
      <c r="B706">
        <v>52094</v>
      </c>
      <c r="C706" t="s">
        <v>53</v>
      </c>
      <c r="D706">
        <v>53207</v>
      </c>
      <c r="E706" t="s">
        <v>82</v>
      </c>
      <c r="F706">
        <v>8712</v>
      </c>
      <c r="G706">
        <v>0.45251821219758542</v>
      </c>
      <c r="H706">
        <v>0</v>
      </c>
      <c r="I706">
        <v>0</v>
      </c>
      <c r="J706">
        <v>0.34353111450938639</v>
      </c>
      <c r="K706">
        <v>7.6216301355339647E-240</v>
      </c>
      <c r="L706">
        <v>1.262799502848275E-239</v>
      </c>
      <c r="M706">
        <v>0.2369358923438506</v>
      </c>
      <c r="N706">
        <v>3.4314746622272988E-241</v>
      </c>
      <c r="O706">
        <v>5.7607869329445063E-241</v>
      </c>
      <c r="P706">
        <v>0.20477273237049889</v>
      </c>
      <c r="Q706">
        <v>0.81708648336269629</v>
      </c>
      <c r="R706">
        <v>-2.2851481541023029</v>
      </c>
      <c r="S706">
        <v>0.22684376169860049</v>
      </c>
      <c r="T706">
        <v>0.17196941652772241</v>
      </c>
      <c r="U706">
        <v>4.3178631751606984</v>
      </c>
      <c r="V706">
        <v>0.1408880544065409</v>
      </c>
      <c r="W706">
        <v>1.242919483331038</v>
      </c>
      <c r="X706">
        <v>0.25439357316427369</v>
      </c>
      <c r="Z706" t="s">
        <v>392</v>
      </c>
      <c r="AA706">
        <v>9937</v>
      </c>
      <c r="AB706" t="s">
        <v>1097</v>
      </c>
      <c r="AC706" t="str">
        <f>HYPERLINK("plots/20251231000436_3FT6Y121H01_04823_B11P_N_UFLEX98_M5358A8BH101511/dpll_52094/txpa_53207.png","plot")</f>
        <v>plot</v>
      </c>
    </row>
    <row r="707" spans="1:29" hidden="1" x14ac:dyDescent="0.35">
      <c r="A707" t="s">
        <v>46</v>
      </c>
      <c r="B707">
        <v>52094</v>
      </c>
      <c r="C707" t="s">
        <v>53</v>
      </c>
      <c r="D707">
        <v>53208</v>
      </c>
      <c r="E707" t="s">
        <v>83</v>
      </c>
      <c r="F707">
        <v>8707</v>
      </c>
      <c r="G707">
        <v>0.41588607623807761</v>
      </c>
      <c r="H707">
        <v>0</v>
      </c>
      <c r="I707">
        <v>0</v>
      </c>
      <c r="J707">
        <v>0.29060335053371589</v>
      </c>
      <c r="K707">
        <v>4.883885111684516E-169</v>
      </c>
      <c r="L707">
        <v>6.6384175646757365E-169</v>
      </c>
      <c r="M707">
        <v>0.20022019724677009</v>
      </c>
      <c r="N707">
        <v>9.8518879358227706E-173</v>
      </c>
      <c r="O707">
        <v>1.3518016734674269E-172</v>
      </c>
      <c r="P707">
        <v>0.17296122840870409</v>
      </c>
      <c r="Q707">
        <v>0.86950611391669497</v>
      </c>
      <c r="R707">
        <v>-2.496944526646419</v>
      </c>
      <c r="S707">
        <v>0.26733674888421849</v>
      </c>
      <c r="T707">
        <v>0.20498935261766721</v>
      </c>
      <c r="U707">
        <v>4.3180883968071671</v>
      </c>
      <c r="V707">
        <v>0.14061200749297989</v>
      </c>
      <c r="W707">
        <v>1.257659734810153</v>
      </c>
      <c r="X707">
        <v>0.29398195128623561</v>
      </c>
      <c r="Z707" t="s">
        <v>392</v>
      </c>
      <c r="AA707">
        <v>9937</v>
      </c>
      <c r="AB707" t="s">
        <v>1098</v>
      </c>
      <c r="AC707" t="str">
        <f>HYPERLINK("plots/20251231000436_3FT6Y121H01_04823_B11P_N_UFLEX98_M5358A8BH101511/dpll_52094/txpa_53208.png","plot")</f>
        <v>plot</v>
      </c>
    </row>
    <row r="708" spans="1:29" hidden="1" x14ac:dyDescent="0.35">
      <c r="A708" t="s">
        <v>46</v>
      </c>
      <c r="B708">
        <v>52094</v>
      </c>
      <c r="C708" t="s">
        <v>53</v>
      </c>
      <c r="D708">
        <v>53209</v>
      </c>
      <c r="E708" t="s">
        <v>84</v>
      </c>
      <c r="F708">
        <v>8714</v>
      </c>
      <c r="G708">
        <v>0.44457625061356421</v>
      </c>
      <c r="H708">
        <v>0</v>
      </c>
      <c r="I708">
        <v>0</v>
      </c>
      <c r="J708">
        <v>0.3374009294490577</v>
      </c>
      <c r="K708">
        <v>5.8551380564945917E-231</v>
      </c>
      <c r="L708">
        <v>9.4539967982253435E-231</v>
      </c>
      <c r="M708">
        <v>0.23220532819219061</v>
      </c>
      <c r="N708">
        <v>8.5806947396870757E-232</v>
      </c>
      <c r="O708">
        <v>1.3876913023991541E-231</v>
      </c>
      <c r="P708">
        <v>0.19764804260961469</v>
      </c>
      <c r="Q708">
        <v>0.82154958479258366</v>
      </c>
      <c r="R708">
        <v>-2.2633686242392339</v>
      </c>
      <c r="S708">
        <v>0.2333085461969433</v>
      </c>
      <c r="T708">
        <v>0.17879452051152031</v>
      </c>
      <c r="U708">
        <v>4.3177914729171452</v>
      </c>
      <c r="V708">
        <v>0.14095665608004959</v>
      </c>
      <c r="W708">
        <v>1.2839111675568049</v>
      </c>
      <c r="X708">
        <v>0.2604792363885724</v>
      </c>
      <c r="Z708" t="s">
        <v>392</v>
      </c>
      <c r="AA708">
        <v>9937</v>
      </c>
      <c r="AB708" t="s">
        <v>1099</v>
      </c>
      <c r="AC708" t="str">
        <f>HYPERLINK("plots/20251231000436_3FT6Y121H01_04823_B11P_N_UFLEX98_M5358A8BH101511/dpll_52094/txpa_53209.png","plot")</f>
        <v>plot</v>
      </c>
    </row>
    <row r="709" spans="1:29" hidden="1" x14ac:dyDescent="0.35">
      <c r="A709" t="s">
        <v>46</v>
      </c>
      <c r="B709">
        <v>52094</v>
      </c>
      <c r="C709" t="s">
        <v>53</v>
      </c>
      <c r="D709">
        <v>53210</v>
      </c>
      <c r="E709" t="s">
        <v>85</v>
      </c>
      <c r="F709">
        <v>8708</v>
      </c>
      <c r="G709">
        <v>0.42959981453461538</v>
      </c>
      <c r="H709">
        <v>0</v>
      </c>
      <c r="I709">
        <v>0</v>
      </c>
      <c r="J709">
        <v>0.31313310248694531</v>
      </c>
      <c r="K709">
        <v>2.1887106747985471E-197</v>
      </c>
      <c r="L709">
        <v>3.2304987252485102E-197</v>
      </c>
      <c r="M709">
        <v>0.2151214050180057</v>
      </c>
      <c r="N709">
        <v>4.2049830388503873E-199</v>
      </c>
      <c r="O709">
        <v>6.2519835797570284E-199</v>
      </c>
      <c r="P709">
        <v>0.18455600064817601</v>
      </c>
      <c r="Q709">
        <v>0.84176237175119006</v>
      </c>
      <c r="R709">
        <v>-2.6567661053983338</v>
      </c>
      <c r="S709">
        <v>0.24879471949778881</v>
      </c>
      <c r="T709">
        <v>0.1888070462084866</v>
      </c>
      <c r="U709">
        <v>4.3180643804547536</v>
      </c>
      <c r="V709">
        <v>0.1406188697626985</v>
      </c>
      <c r="W709">
        <v>0.97801800886759283</v>
      </c>
      <c r="X709">
        <v>0.27553008478983682</v>
      </c>
      <c r="Z709" t="s">
        <v>392</v>
      </c>
      <c r="AA709">
        <v>9937</v>
      </c>
      <c r="AB709" t="s">
        <v>1100</v>
      </c>
      <c r="AC709" t="str">
        <f>HYPERLINK("plots/20251231000436_3FT6Y121H01_04823_B11P_N_UFLEX98_M5358A8BH101511/dpll_52094/txpa_53210.png","plot")</f>
        <v>plot</v>
      </c>
    </row>
    <row r="710" spans="1:29" hidden="1" x14ac:dyDescent="0.35">
      <c r="A710" t="s">
        <v>46</v>
      </c>
      <c r="B710">
        <v>52094</v>
      </c>
      <c r="C710" t="s">
        <v>53</v>
      </c>
      <c r="D710">
        <v>53211</v>
      </c>
      <c r="E710" t="s">
        <v>86</v>
      </c>
      <c r="F710">
        <v>8702</v>
      </c>
      <c r="G710">
        <v>0.43221029162930619</v>
      </c>
      <c r="H710">
        <v>0</v>
      </c>
      <c r="I710">
        <v>0</v>
      </c>
      <c r="J710">
        <v>0.36020094163347971</v>
      </c>
      <c r="K710">
        <v>6.8911806136730076E-265</v>
      </c>
      <c r="L710">
        <v>1.2477959182615051E-264</v>
      </c>
      <c r="M710">
        <v>0.24711112489691159</v>
      </c>
      <c r="N710">
        <v>7.181327640435627E-262</v>
      </c>
      <c r="O710">
        <v>1.291111033227256E-261</v>
      </c>
      <c r="P710">
        <v>0.18680573619028989</v>
      </c>
      <c r="Q710">
        <v>0.83326045022990103</v>
      </c>
      <c r="R710">
        <v>0.5046313220576355</v>
      </c>
      <c r="S710">
        <v>0.24397680127470661</v>
      </c>
      <c r="T710">
        <v>0.17673716971950579</v>
      </c>
      <c r="U710">
        <v>4.3183080912433924</v>
      </c>
      <c r="V710">
        <v>0.14034297221601999</v>
      </c>
      <c r="W710">
        <v>4.1029066663985292</v>
      </c>
      <c r="X710">
        <v>0.27056793991296518</v>
      </c>
      <c r="Z710" t="s">
        <v>392</v>
      </c>
      <c r="AA710">
        <v>9937</v>
      </c>
      <c r="AB710" t="s">
        <v>1101</v>
      </c>
      <c r="AC710" t="str">
        <f>HYPERLINK("plots/20251231000436_3FT6Y121H01_04823_B11P_N_UFLEX98_M5358A8BH101511/dpll_52094/txpa_53211.png","plot")</f>
        <v>plot</v>
      </c>
    </row>
    <row r="711" spans="1:29" hidden="1" x14ac:dyDescent="0.35">
      <c r="A711" t="s">
        <v>46</v>
      </c>
      <c r="B711">
        <v>52094</v>
      </c>
      <c r="C711" t="s">
        <v>53</v>
      </c>
      <c r="D711">
        <v>53212</v>
      </c>
      <c r="E711" t="s">
        <v>87</v>
      </c>
      <c r="F711">
        <v>8710</v>
      </c>
      <c r="G711">
        <v>0.39346310721076738</v>
      </c>
      <c r="H711">
        <v>0</v>
      </c>
      <c r="I711">
        <v>0</v>
      </c>
      <c r="J711">
        <v>0.26052981843228828</v>
      </c>
      <c r="K711">
        <v>4.0207720956823689E-135</v>
      </c>
      <c r="L711">
        <v>4.9359115072904622E-135</v>
      </c>
      <c r="M711">
        <v>0.17810333439159051</v>
      </c>
      <c r="N711">
        <v>3.7514872961273179E-137</v>
      </c>
      <c r="O711">
        <v>4.6503766727055018E-137</v>
      </c>
      <c r="P711">
        <v>0.15481321673595189</v>
      </c>
      <c r="Q711">
        <v>0.94658184195384965</v>
      </c>
      <c r="R711">
        <v>0.27947969331966421</v>
      </c>
      <c r="S711">
        <v>0.31128075338212602</v>
      </c>
      <c r="T711">
        <v>0.24094482300050979</v>
      </c>
      <c r="U711">
        <v>4.3179640870264064</v>
      </c>
      <c r="V711">
        <v>0.14074944811274001</v>
      </c>
      <c r="W711">
        <v>4.3667860923076924</v>
      </c>
      <c r="X711">
        <v>0.33861083645938128</v>
      </c>
      <c r="Z711" t="s">
        <v>392</v>
      </c>
      <c r="AA711">
        <v>9937</v>
      </c>
      <c r="AB711" t="s">
        <v>1102</v>
      </c>
      <c r="AC711" t="str">
        <f>HYPERLINK("plots/20251231000436_3FT6Y121H01_04823_B11P_N_UFLEX98_M5358A8BH101511/dpll_52094/txpa_53212.png","plot")</f>
        <v>plot</v>
      </c>
    </row>
    <row r="712" spans="1:29" hidden="1" x14ac:dyDescent="0.35">
      <c r="A712" t="s">
        <v>46</v>
      </c>
      <c r="B712">
        <v>52094</v>
      </c>
      <c r="C712" t="s">
        <v>53</v>
      </c>
      <c r="D712">
        <v>53213</v>
      </c>
      <c r="E712" t="s">
        <v>88</v>
      </c>
      <c r="F712">
        <v>8703</v>
      </c>
      <c r="G712">
        <v>0.45409459763477689</v>
      </c>
      <c r="H712">
        <v>0</v>
      </c>
      <c r="I712">
        <v>0</v>
      </c>
      <c r="J712">
        <v>0.36647734206074062</v>
      </c>
      <c r="K712">
        <v>7.4543611832478578E-275</v>
      </c>
      <c r="L712">
        <v>1.3793288758783439E-274</v>
      </c>
      <c r="M712">
        <v>0.25272064010672168</v>
      </c>
      <c r="N712">
        <v>7.9383910475211573E-274</v>
      </c>
      <c r="O712">
        <v>1.4608944686363799E-273</v>
      </c>
      <c r="P712">
        <v>0.20620190360109</v>
      </c>
      <c r="Q712">
        <v>0.86868646783335035</v>
      </c>
      <c r="R712">
        <v>0.51266528557033642</v>
      </c>
      <c r="S712">
        <v>0.23925596580800779</v>
      </c>
      <c r="T712">
        <v>0.17769987749938521</v>
      </c>
      <c r="U712">
        <v>4.3182686870044806</v>
      </c>
      <c r="V712">
        <v>0.14038347231553391</v>
      </c>
      <c r="W712">
        <v>4.2638868584396183</v>
      </c>
      <c r="X712">
        <v>0.26855466535641209</v>
      </c>
      <c r="Z712" t="s">
        <v>392</v>
      </c>
      <c r="AA712">
        <v>9937</v>
      </c>
      <c r="AB712" t="s">
        <v>1103</v>
      </c>
      <c r="AC712" t="str">
        <f>HYPERLINK("plots/20251231000436_3FT6Y121H01_04823_B11P_N_UFLEX98_M5358A8BH101511/dpll_52094/txpa_53213.png","plot")</f>
        <v>plot</v>
      </c>
    </row>
    <row r="713" spans="1:29" hidden="1" x14ac:dyDescent="0.35">
      <c r="A713" t="s">
        <v>46</v>
      </c>
      <c r="B713">
        <v>52094</v>
      </c>
      <c r="C713" t="s">
        <v>53</v>
      </c>
      <c r="D713">
        <v>53214</v>
      </c>
      <c r="E713" t="s">
        <v>89</v>
      </c>
      <c r="F713">
        <v>8697</v>
      </c>
      <c r="G713">
        <v>0.41500352979831873</v>
      </c>
      <c r="H713">
        <v>0</v>
      </c>
      <c r="I713">
        <v>0</v>
      </c>
      <c r="J713">
        <v>0.2909181212964867</v>
      </c>
      <c r="K713">
        <v>3.1813471521967732E-169</v>
      </c>
      <c r="L713">
        <v>4.3358682961391488E-169</v>
      </c>
      <c r="M713">
        <v>0.1995269612712742</v>
      </c>
      <c r="N713">
        <v>2.321500031858203E-171</v>
      </c>
      <c r="O713">
        <v>3.1725081297900508E-171</v>
      </c>
      <c r="P713">
        <v>0.17222792974506401</v>
      </c>
      <c r="Q713">
        <v>0.89398224788899072</v>
      </c>
      <c r="R713">
        <v>0.47591352750562921</v>
      </c>
      <c r="S713">
        <v>0.27451646268335128</v>
      </c>
      <c r="T713">
        <v>0.20971745258428209</v>
      </c>
      <c r="U713">
        <v>4.318530615959526</v>
      </c>
      <c r="V713">
        <v>0.1400750785995796</v>
      </c>
      <c r="W713">
        <v>4.3366032351385542</v>
      </c>
      <c r="X713">
        <v>0.30174353866468367</v>
      </c>
      <c r="Z713" t="s">
        <v>392</v>
      </c>
      <c r="AA713">
        <v>9937</v>
      </c>
      <c r="AB713" t="s">
        <v>1104</v>
      </c>
      <c r="AC713" t="str">
        <f>HYPERLINK("plots/20251231000436_3FT6Y121H01_04823_B11P_N_UFLEX98_M5358A8BH101511/dpll_52094/txpa_53214.png","plot")</f>
        <v>plot</v>
      </c>
    </row>
    <row r="714" spans="1:29" hidden="1" x14ac:dyDescent="0.35">
      <c r="A714" t="s">
        <v>46</v>
      </c>
      <c r="B714">
        <v>52094</v>
      </c>
      <c r="C714" t="s">
        <v>53</v>
      </c>
      <c r="D714">
        <v>53215</v>
      </c>
      <c r="E714" t="s">
        <v>90</v>
      </c>
      <c r="F714">
        <v>8698</v>
      </c>
      <c r="G714">
        <v>0.47871534605370891</v>
      </c>
      <c r="H714">
        <v>0</v>
      </c>
      <c r="I714">
        <v>0</v>
      </c>
      <c r="J714">
        <v>0.37920504564571111</v>
      </c>
      <c r="K714">
        <v>1.577470812813769E-295</v>
      </c>
      <c r="L714">
        <v>3.1487311106164608E-295</v>
      </c>
      <c r="M714">
        <v>0.26293520716134111</v>
      </c>
      <c r="N714">
        <v>4.6167188700191999E-296</v>
      </c>
      <c r="O714">
        <v>9.3254042513933641E-296</v>
      </c>
      <c r="P714">
        <v>0.22916838254732219</v>
      </c>
      <c r="Q714">
        <v>0.89310727303966242</v>
      </c>
      <c r="R714">
        <v>0.5561634882833677</v>
      </c>
      <c r="S714">
        <v>0.2295139397606715</v>
      </c>
      <c r="T714">
        <v>0.17087862841427801</v>
      </c>
      <c r="U714">
        <v>4.3184883405380541</v>
      </c>
      <c r="V714">
        <v>0.14012899211851321</v>
      </c>
      <c r="W714">
        <v>4.4130368337548864</v>
      </c>
      <c r="X714">
        <v>0.26142930878744097</v>
      </c>
      <c r="Z714" t="s">
        <v>392</v>
      </c>
      <c r="AA714">
        <v>9937</v>
      </c>
      <c r="AB714" t="s">
        <v>1105</v>
      </c>
      <c r="AC714" t="str">
        <f>HYPERLINK("plots/20251231000436_3FT6Y121H01_04823_B11P_N_UFLEX98_M5358A8BH101511/dpll_52094/txpa_53215.png","plot")</f>
        <v>plot</v>
      </c>
    </row>
    <row r="715" spans="1:29" hidden="1" x14ac:dyDescent="0.35">
      <c r="A715" t="s">
        <v>46</v>
      </c>
      <c r="B715">
        <v>52094</v>
      </c>
      <c r="C715" t="s">
        <v>53</v>
      </c>
      <c r="D715">
        <v>53216</v>
      </c>
      <c r="E715" t="s">
        <v>91</v>
      </c>
      <c r="F715">
        <v>8694</v>
      </c>
      <c r="G715">
        <v>0.44590241129312558</v>
      </c>
      <c r="H715">
        <v>0</v>
      </c>
      <c r="I715">
        <v>0</v>
      </c>
      <c r="J715">
        <v>0.3287014913615614</v>
      </c>
      <c r="K715">
        <v>4.0391331685998008E-218</v>
      </c>
      <c r="L715">
        <v>6.2913687142245742E-218</v>
      </c>
      <c r="M715">
        <v>0.22705387328092441</v>
      </c>
      <c r="N715">
        <v>3.245575404162606E-221</v>
      </c>
      <c r="O715">
        <v>5.0944480802180833E-221</v>
      </c>
      <c r="P715">
        <v>0.1988289603970238</v>
      </c>
      <c r="Q715">
        <v>0.92665082441888547</v>
      </c>
      <c r="R715">
        <v>0.4216612644226112</v>
      </c>
      <c r="S715">
        <v>0.26017327545535202</v>
      </c>
      <c r="T715">
        <v>0.19674991520897481</v>
      </c>
      <c r="U715">
        <v>4.3186772957211863</v>
      </c>
      <c r="V715">
        <v>0.13987778482160901</v>
      </c>
      <c r="W715">
        <v>4.4235671409017714</v>
      </c>
      <c r="X715">
        <v>0.29068661962813142</v>
      </c>
      <c r="Z715" t="s">
        <v>392</v>
      </c>
      <c r="AA715">
        <v>9937</v>
      </c>
      <c r="AB715" t="s">
        <v>1106</v>
      </c>
      <c r="AC715" t="str">
        <f>HYPERLINK("plots/20251231000436_3FT6Y121H01_04823_B11P_N_UFLEX98_M5358A8BH101511/dpll_52094/txpa_53216.png","plot")</f>
        <v>plot</v>
      </c>
    </row>
    <row r="716" spans="1:29" hidden="1" x14ac:dyDescent="0.35">
      <c r="A716" t="s">
        <v>46</v>
      </c>
      <c r="B716">
        <v>52094</v>
      </c>
      <c r="C716" t="s">
        <v>53</v>
      </c>
      <c r="D716">
        <v>53217</v>
      </c>
      <c r="E716" t="s">
        <v>92</v>
      </c>
      <c r="F716">
        <v>8708</v>
      </c>
      <c r="G716">
        <v>0.47924824832307827</v>
      </c>
      <c r="H716">
        <v>0</v>
      </c>
      <c r="I716">
        <v>0</v>
      </c>
      <c r="J716">
        <v>0.37154304398363369</v>
      </c>
      <c r="K716">
        <v>3.3714267627941589E-283</v>
      </c>
      <c r="L716">
        <v>6.3780349579725321E-283</v>
      </c>
      <c r="M716">
        <v>0.25730874908766233</v>
      </c>
      <c r="N716">
        <v>6.0821459486538145E-284</v>
      </c>
      <c r="O716">
        <v>1.172489732307028E-283</v>
      </c>
      <c r="P716">
        <v>0.2296788835207389</v>
      </c>
      <c r="Q716">
        <v>0.91308822718338456</v>
      </c>
      <c r="R716">
        <v>0.50393425638979217</v>
      </c>
      <c r="S716">
        <v>0.23515590047171109</v>
      </c>
      <c r="T716">
        <v>0.1767942486037441</v>
      </c>
      <c r="U716">
        <v>4.3180590909508503</v>
      </c>
      <c r="V716">
        <v>0.1406347701453283</v>
      </c>
      <c r="W716">
        <v>4.4467031766192013</v>
      </c>
      <c r="X716">
        <v>0.26794454314994898</v>
      </c>
      <c r="Z716" t="s">
        <v>392</v>
      </c>
      <c r="AA716">
        <v>9937</v>
      </c>
      <c r="AB716" t="s">
        <v>1107</v>
      </c>
      <c r="AC716" t="str">
        <f>HYPERLINK("plots/20251231000436_3FT6Y121H01_04823_B11P_N_UFLEX98_M5358A8BH101511/dpll_52094/txpa_53217.png","plot")</f>
        <v>plot</v>
      </c>
    </row>
    <row r="717" spans="1:29" hidden="1" x14ac:dyDescent="0.35">
      <c r="A717" t="s">
        <v>46</v>
      </c>
      <c r="B717">
        <v>52094</v>
      </c>
      <c r="C717" t="s">
        <v>53</v>
      </c>
      <c r="D717">
        <v>53218</v>
      </c>
      <c r="E717" t="s">
        <v>93</v>
      </c>
      <c r="F717">
        <v>8695</v>
      </c>
      <c r="G717">
        <v>0.45057991995613311</v>
      </c>
      <c r="H717">
        <v>0</v>
      </c>
      <c r="I717">
        <v>0</v>
      </c>
      <c r="J717">
        <v>0.33923423651365658</v>
      </c>
      <c r="K717">
        <v>4.1689377577821397E-233</v>
      </c>
      <c r="L717">
        <v>6.7636846182257433E-233</v>
      </c>
      <c r="M717">
        <v>0.2337487528937025</v>
      </c>
      <c r="N717">
        <v>2.365327926604376E-234</v>
      </c>
      <c r="O717">
        <v>3.8560169092875188E-234</v>
      </c>
      <c r="P717">
        <v>0.20302226426767531</v>
      </c>
      <c r="Q717">
        <v>0.8952466107920628</v>
      </c>
      <c r="R717">
        <v>0.31734998570002843</v>
      </c>
      <c r="S717">
        <v>0.24823558588120509</v>
      </c>
      <c r="T717">
        <v>0.18634228277512141</v>
      </c>
      <c r="U717">
        <v>4.3186248431282337</v>
      </c>
      <c r="V717">
        <v>0.139957143064771</v>
      </c>
      <c r="W717">
        <v>4.1835842397929834</v>
      </c>
      <c r="X717">
        <v>0.27807754503812437</v>
      </c>
      <c r="Z717" t="s">
        <v>392</v>
      </c>
      <c r="AA717">
        <v>9937</v>
      </c>
      <c r="AB717" t="s">
        <v>1108</v>
      </c>
      <c r="AC717" t="str">
        <f>HYPERLINK("plots/20251231000436_3FT6Y121H01_04823_B11P_N_UFLEX98_M5358A8BH101511/dpll_52094/txpa_53218.png","plot")</f>
        <v>plot</v>
      </c>
    </row>
    <row r="718" spans="1:29" hidden="1" x14ac:dyDescent="0.35">
      <c r="A718" t="s">
        <v>46</v>
      </c>
      <c r="B718">
        <v>52094</v>
      </c>
      <c r="C718" t="s">
        <v>53</v>
      </c>
      <c r="D718">
        <v>53219</v>
      </c>
      <c r="E718" t="s">
        <v>94</v>
      </c>
      <c r="F718">
        <v>8697</v>
      </c>
      <c r="G718">
        <v>0.44543276064906212</v>
      </c>
      <c r="H718">
        <v>0</v>
      </c>
      <c r="I718">
        <v>0</v>
      </c>
      <c r="J718">
        <v>0.37878210420748742</v>
      </c>
      <c r="K718">
        <v>8.68959955016801E-295</v>
      </c>
      <c r="L718">
        <v>1.7276968517392869E-294</v>
      </c>
      <c r="M718">
        <v>0.26095945167328238</v>
      </c>
      <c r="N718">
        <v>1.2494583135404439E-291</v>
      </c>
      <c r="O718">
        <v>2.4600985047184659E-291</v>
      </c>
      <c r="P718">
        <v>0.1984103442594447</v>
      </c>
      <c r="Q718">
        <v>0.90482336834410726</v>
      </c>
      <c r="R718">
        <v>1.952638429390289</v>
      </c>
      <c r="S718">
        <v>0.25466729833466351</v>
      </c>
      <c r="T718">
        <v>0.18187772324367499</v>
      </c>
      <c r="U718">
        <v>4.3185438213176957</v>
      </c>
      <c r="V718">
        <v>0.14003624133319759</v>
      </c>
      <c r="W718">
        <v>5.8601577961365994</v>
      </c>
      <c r="X718">
        <v>0.28446058477764341</v>
      </c>
      <c r="Z718" t="s">
        <v>392</v>
      </c>
      <c r="AA718">
        <v>9937</v>
      </c>
      <c r="AB718" t="s">
        <v>1109</v>
      </c>
      <c r="AC718" t="str">
        <f>HYPERLINK("plots/20251231000436_3FT6Y121H01_04823_B11P_N_UFLEX98_M5358A8BH101511/dpll_52094/txpa_53219.png","plot")</f>
        <v>plot</v>
      </c>
    </row>
    <row r="719" spans="1:29" hidden="1" x14ac:dyDescent="0.35">
      <c r="A719" t="s">
        <v>46</v>
      </c>
      <c r="B719">
        <v>52094</v>
      </c>
      <c r="C719" t="s">
        <v>53</v>
      </c>
      <c r="D719">
        <v>53220</v>
      </c>
      <c r="E719" t="s">
        <v>95</v>
      </c>
      <c r="F719">
        <v>8702</v>
      </c>
      <c r="G719">
        <v>0.41464686638663267</v>
      </c>
      <c r="H719">
        <v>0</v>
      </c>
      <c r="I719">
        <v>0</v>
      </c>
      <c r="J719">
        <v>0.28892401613631408</v>
      </c>
      <c r="K719">
        <v>6.2274361711416106E-167</v>
      </c>
      <c r="L719">
        <v>8.3526723247851765E-167</v>
      </c>
      <c r="M719">
        <v>0.1976749191048231</v>
      </c>
      <c r="N719">
        <v>2.4959365610196561E-168</v>
      </c>
      <c r="O719">
        <v>3.361061982568301E-168</v>
      </c>
      <c r="P719">
        <v>0.17193202380425401</v>
      </c>
      <c r="Q719">
        <v>1.001985776451344</v>
      </c>
      <c r="R719">
        <v>1.791687760912301</v>
      </c>
      <c r="S719">
        <v>0.308631554038858</v>
      </c>
      <c r="T719">
        <v>0.2352151612510909</v>
      </c>
      <c r="U719">
        <v>4.3183016591588146</v>
      </c>
      <c r="V719">
        <v>0.14036186078250379</v>
      </c>
      <c r="W719">
        <v>6.1185646018156747</v>
      </c>
      <c r="X719">
        <v>0.33918160116800178</v>
      </c>
      <c r="Z719" t="s">
        <v>392</v>
      </c>
      <c r="AA719">
        <v>9937</v>
      </c>
      <c r="AB719" t="s">
        <v>1110</v>
      </c>
      <c r="AC719" t="str">
        <f>HYPERLINK("plots/20251231000436_3FT6Y121H01_04823_B11P_N_UFLEX98_M5358A8BH101511/dpll_52094/txpa_53220.png","plot")</f>
        <v>plot</v>
      </c>
    </row>
    <row r="720" spans="1:29" hidden="1" x14ac:dyDescent="0.35">
      <c r="A720" t="s">
        <v>46</v>
      </c>
      <c r="B720">
        <v>52094</v>
      </c>
      <c r="C720" t="s">
        <v>53</v>
      </c>
      <c r="D720">
        <v>53221</v>
      </c>
      <c r="E720" t="s">
        <v>96</v>
      </c>
      <c r="F720">
        <v>8697</v>
      </c>
      <c r="G720">
        <v>0.47071385382086239</v>
      </c>
      <c r="H720">
        <v>0</v>
      </c>
      <c r="I720">
        <v>0</v>
      </c>
      <c r="J720">
        <v>0.39009681196240498</v>
      </c>
      <c r="K720">
        <v>0</v>
      </c>
      <c r="L720">
        <v>0</v>
      </c>
      <c r="M720">
        <v>0.27045440821023559</v>
      </c>
      <c r="N720">
        <v>0</v>
      </c>
      <c r="O720">
        <v>0</v>
      </c>
      <c r="P720">
        <v>0.22157153217888831</v>
      </c>
      <c r="Q720">
        <v>0.94614653857136521</v>
      </c>
      <c r="R720">
        <v>1.918742873747175</v>
      </c>
      <c r="S720">
        <v>0.24838913893160691</v>
      </c>
      <c r="T720">
        <v>0.18080770511088809</v>
      </c>
      <c r="U720">
        <v>4.3185322865355866</v>
      </c>
      <c r="V720">
        <v>0.14007053646357481</v>
      </c>
      <c r="W720">
        <v>6.0047072483615036</v>
      </c>
      <c r="X720">
        <v>0.2815452576020438</v>
      </c>
      <c r="Z720" t="s">
        <v>392</v>
      </c>
      <c r="AA720">
        <v>9937</v>
      </c>
      <c r="AB720" t="s">
        <v>1111</v>
      </c>
      <c r="AC720" t="str">
        <f>HYPERLINK("plots/20251231000436_3FT6Y121H01_04823_B11P_N_UFLEX98_M5358A8BH101511/dpll_52094/txpa_53221.png","plot")</f>
        <v>plot</v>
      </c>
    </row>
    <row r="721" spans="1:29" hidden="1" x14ac:dyDescent="0.35">
      <c r="A721" t="s">
        <v>46</v>
      </c>
      <c r="B721">
        <v>52094</v>
      </c>
      <c r="C721" t="s">
        <v>53</v>
      </c>
      <c r="D721">
        <v>53222</v>
      </c>
      <c r="E721" t="s">
        <v>97</v>
      </c>
      <c r="F721">
        <v>8691</v>
      </c>
      <c r="G721">
        <v>0.43643668122208029</v>
      </c>
      <c r="H721">
        <v>0</v>
      </c>
      <c r="I721">
        <v>0</v>
      </c>
      <c r="J721">
        <v>0.32015322787528938</v>
      </c>
      <c r="K721">
        <v>2.4482999313044439E-206</v>
      </c>
      <c r="L721">
        <v>3.7220031939171002E-206</v>
      </c>
      <c r="M721">
        <v>0.22016918048566569</v>
      </c>
      <c r="N721">
        <v>4.6486524665966409E-208</v>
      </c>
      <c r="O721">
        <v>7.0883212047052539E-208</v>
      </c>
      <c r="P721">
        <v>0.1904769767161438</v>
      </c>
      <c r="Q721">
        <v>0.9622204018493502</v>
      </c>
      <c r="R721">
        <v>1.934950211624394</v>
      </c>
      <c r="S721">
        <v>0.27716717845744948</v>
      </c>
      <c r="T721">
        <v>0.20875173630158089</v>
      </c>
      <c r="U721">
        <v>4.3188040204809566</v>
      </c>
      <c r="V721">
        <v>0.1397329631599934</v>
      </c>
      <c r="W721">
        <v>6.0905915517201699</v>
      </c>
      <c r="X721">
        <v>0.30807196953959182</v>
      </c>
      <c r="Z721" t="s">
        <v>392</v>
      </c>
      <c r="AA721">
        <v>9937</v>
      </c>
      <c r="AB721" t="s">
        <v>1112</v>
      </c>
      <c r="AC721" t="str">
        <f>HYPERLINK("plots/20251231000436_3FT6Y121H01_04823_B11P_N_UFLEX98_M5358A8BH101511/dpll_52094/txpa_53222.png","plot")</f>
        <v>plot</v>
      </c>
    </row>
    <row r="722" spans="1:29" hidden="1" x14ac:dyDescent="0.35">
      <c r="A722" t="s">
        <v>46</v>
      </c>
      <c r="B722">
        <v>52094</v>
      </c>
      <c r="C722" t="s">
        <v>53</v>
      </c>
      <c r="D722">
        <v>53223</v>
      </c>
      <c r="E722" t="s">
        <v>98</v>
      </c>
      <c r="F722">
        <v>8689</v>
      </c>
      <c r="G722">
        <v>0.48970428491391671</v>
      </c>
      <c r="H722">
        <v>0</v>
      </c>
      <c r="I722">
        <v>0</v>
      </c>
      <c r="J722">
        <v>0.39785768753011808</v>
      </c>
      <c r="K722">
        <v>0</v>
      </c>
      <c r="L722">
        <v>0</v>
      </c>
      <c r="M722">
        <v>0.27705354163531148</v>
      </c>
      <c r="N722">
        <v>0</v>
      </c>
      <c r="O722">
        <v>0</v>
      </c>
      <c r="P722">
        <v>0.23981028666305049</v>
      </c>
      <c r="Q722">
        <v>0.95960845192520061</v>
      </c>
      <c r="R722">
        <v>2.00551011622164</v>
      </c>
      <c r="S722">
        <v>0.23854905100805721</v>
      </c>
      <c r="T722">
        <v>0.1749309138844817</v>
      </c>
      <c r="U722">
        <v>4.318889661986419</v>
      </c>
      <c r="V722">
        <v>0.13963089799823181</v>
      </c>
      <c r="W722">
        <v>6.1499531387961799</v>
      </c>
      <c r="X722">
        <v>0.2736161271134529</v>
      </c>
      <c r="Z722" t="s">
        <v>392</v>
      </c>
      <c r="AA722">
        <v>9937</v>
      </c>
      <c r="AB722" t="s">
        <v>1113</v>
      </c>
      <c r="AC722" t="str">
        <f>HYPERLINK("plots/20251231000436_3FT6Y121H01_04823_B11P_N_UFLEX98_M5358A8BH101511/dpll_52094/txpa_53223.png","plot")</f>
        <v>plot</v>
      </c>
    </row>
    <row r="723" spans="1:29" hidden="1" x14ac:dyDescent="0.35">
      <c r="A723" t="s">
        <v>46</v>
      </c>
      <c r="B723">
        <v>52094</v>
      </c>
      <c r="C723" t="s">
        <v>53</v>
      </c>
      <c r="D723">
        <v>53224</v>
      </c>
      <c r="E723" t="s">
        <v>99</v>
      </c>
      <c r="F723">
        <v>8690</v>
      </c>
      <c r="G723">
        <v>0.46579194343006108</v>
      </c>
      <c r="H723">
        <v>0</v>
      </c>
      <c r="I723">
        <v>0</v>
      </c>
      <c r="J723">
        <v>0.3581631543617102</v>
      </c>
      <c r="K723">
        <v>2.365652655787895E-261</v>
      </c>
      <c r="L723">
        <v>4.2531414768952566E-261</v>
      </c>
      <c r="M723">
        <v>0.24808071369844201</v>
      </c>
      <c r="N723">
        <v>1.489997349246345E-263</v>
      </c>
      <c r="O723">
        <v>2.7027858893305781E-263</v>
      </c>
      <c r="P723">
        <v>0.2169621345643532</v>
      </c>
      <c r="Q723">
        <v>0.99479830246167711</v>
      </c>
      <c r="R723">
        <v>1.859736520661504</v>
      </c>
      <c r="S723">
        <v>0.26373333699517681</v>
      </c>
      <c r="T723">
        <v>0.19599465271652</v>
      </c>
      <c r="U723">
        <v>4.3188851254315308</v>
      </c>
      <c r="V723">
        <v>0.13955826916880201</v>
      </c>
      <c r="W723">
        <v>6.1561561119677783</v>
      </c>
      <c r="X723">
        <v>0.29805652764464291</v>
      </c>
      <c r="Z723" t="s">
        <v>392</v>
      </c>
      <c r="AA723">
        <v>9937</v>
      </c>
      <c r="AB723" t="s">
        <v>1114</v>
      </c>
      <c r="AC723" t="str">
        <f>HYPERLINK("plots/20251231000436_3FT6Y121H01_04823_B11P_N_UFLEX98_M5358A8BH101511/dpll_52094/txpa_53224.png","plot")</f>
        <v>plot</v>
      </c>
    </row>
    <row r="724" spans="1:29" hidden="1" x14ac:dyDescent="0.35">
      <c r="A724" t="s">
        <v>46</v>
      </c>
      <c r="B724">
        <v>52094</v>
      </c>
      <c r="C724" t="s">
        <v>53</v>
      </c>
      <c r="D724">
        <v>53225</v>
      </c>
      <c r="E724" t="s">
        <v>100</v>
      </c>
      <c r="F724">
        <v>8698</v>
      </c>
      <c r="G724">
        <v>0.49355290081811642</v>
      </c>
      <c r="H724">
        <v>0</v>
      </c>
      <c r="I724">
        <v>0</v>
      </c>
      <c r="J724">
        <v>0.39036189807997451</v>
      </c>
      <c r="K724">
        <v>0</v>
      </c>
      <c r="L724">
        <v>0</v>
      </c>
      <c r="M724">
        <v>0.27150064735121548</v>
      </c>
      <c r="N724">
        <v>0</v>
      </c>
      <c r="O724">
        <v>0</v>
      </c>
      <c r="P724">
        <v>0.24359446590597739</v>
      </c>
      <c r="Q724">
        <v>0.97742922915924646</v>
      </c>
      <c r="R724">
        <v>1.9572205961692379</v>
      </c>
      <c r="S724">
        <v>0.24138527056443679</v>
      </c>
      <c r="T724">
        <v>0.17925178251902019</v>
      </c>
      <c r="U724">
        <v>4.3184793577833984</v>
      </c>
      <c r="V724">
        <v>0.14015441088295799</v>
      </c>
      <c r="W724">
        <v>6.178228545987583</v>
      </c>
      <c r="X724">
        <v>0.27756096168317662</v>
      </c>
      <c r="Z724" t="s">
        <v>392</v>
      </c>
      <c r="AA724">
        <v>9937</v>
      </c>
      <c r="AB724" t="s">
        <v>1115</v>
      </c>
      <c r="AC724" t="str">
        <f>HYPERLINK("plots/20251231000436_3FT6Y121H01_04823_B11P_N_UFLEX98_M5358A8BH101511/dpll_52094/txpa_53225.png","plot")</f>
        <v>plot</v>
      </c>
    </row>
    <row r="725" spans="1:29" hidden="1" x14ac:dyDescent="0.35">
      <c r="A725" t="s">
        <v>46</v>
      </c>
      <c r="B725">
        <v>52094</v>
      </c>
      <c r="C725" t="s">
        <v>53</v>
      </c>
      <c r="D725">
        <v>53226</v>
      </c>
      <c r="E725" t="s">
        <v>101</v>
      </c>
      <c r="F725">
        <v>8691</v>
      </c>
      <c r="G725">
        <v>0.46541069503358778</v>
      </c>
      <c r="H725">
        <v>0</v>
      </c>
      <c r="I725">
        <v>0</v>
      </c>
      <c r="J725">
        <v>0.35817861920574318</v>
      </c>
      <c r="K725">
        <v>2.089861131334321E-261</v>
      </c>
      <c r="L725">
        <v>3.770674710272244E-261</v>
      </c>
      <c r="M725">
        <v>0.24758810801838169</v>
      </c>
      <c r="N725">
        <v>1.5166052991630501E-262</v>
      </c>
      <c r="O725">
        <v>2.7363661447532602E-262</v>
      </c>
      <c r="P725">
        <v>0.21660711505164729</v>
      </c>
      <c r="Q725">
        <v>0.96178863592112196</v>
      </c>
      <c r="R725">
        <v>1.78953655611004</v>
      </c>
      <c r="S725">
        <v>0.25557885847500722</v>
      </c>
      <c r="T725">
        <v>0.18911698374186811</v>
      </c>
      <c r="U725">
        <v>4.3188016001610858</v>
      </c>
      <c r="V725">
        <v>0.13973873875718401</v>
      </c>
      <c r="W725">
        <v>5.9433108559429293</v>
      </c>
      <c r="X725">
        <v>0.28877533835983432</v>
      </c>
      <c r="Z725" t="s">
        <v>392</v>
      </c>
      <c r="AA725">
        <v>9937</v>
      </c>
      <c r="AB725" t="s">
        <v>1116</v>
      </c>
      <c r="AC725" t="str">
        <f>HYPERLINK("plots/20251231000436_3FT6Y121H01_04823_B11P_N_UFLEX98_M5358A8BH101511/dpll_52094/txpa_53226.png","plot")</f>
        <v>plot</v>
      </c>
    </row>
    <row r="726" spans="1:29" hidden="1" x14ac:dyDescent="0.35">
      <c r="A726" t="s">
        <v>46</v>
      </c>
      <c r="B726">
        <v>52094</v>
      </c>
      <c r="C726" t="s">
        <v>53</v>
      </c>
      <c r="D726">
        <v>53227</v>
      </c>
      <c r="E726" t="s">
        <v>102</v>
      </c>
      <c r="F726">
        <v>8686</v>
      </c>
      <c r="G726">
        <v>0.45148583811730841</v>
      </c>
      <c r="H726">
        <v>0</v>
      </c>
      <c r="I726">
        <v>0</v>
      </c>
      <c r="J726">
        <v>0.39627320942151018</v>
      </c>
      <c r="K726">
        <v>0</v>
      </c>
      <c r="L726">
        <v>0</v>
      </c>
      <c r="M726">
        <v>0.27467863648500002</v>
      </c>
      <c r="N726">
        <v>0</v>
      </c>
      <c r="O726">
        <v>0</v>
      </c>
      <c r="P726">
        <v>0.20383946202048839</v>
      </c>
      <c r="Q726">
        <v>1.000636140006294</v>
      </c>
      <c r="R726">
        <v>3.608996558953828</v>
      </c>
      <c r="S726">
        <v>0.27569193234322709</v>
      </c>
      <c r="T726">
        <v>0.19300448901741121</v>
      </c>
      <c r="U726">
        <v>4.3190376779875654</v>
      </c>
      <c r="V726">
        <v>0.13941730474946709</v>
      </c>
      <c r="W726">
        <v>7.9307817495970534</v>
      </c>
      <c r="X726">
        <v>0.30899306666257043</v>
      </c>
      <c r="Z726" t="s">
        <v>392</v>
      </c>
      <c r="AA726">
        <v>9937</v>
      </c>
      <c r="AB726" t="s">
        <v>1117</v>
      </c>
      <c r="AC726" t="str">
        <f>HYPERLINK("plots/20251231000436_3FT6Y121H01_04823_B11P_N_UFLEX98_M5358A8BH101511/dpll_52094/txpa_53227.png","plot")</f>
        <v>plot</v>
      </c>
    </row>
    <row r="727" spans="1:29" hidden="1" x14ac:dyDescent="0.35">
      <c r="A727" t="s">
        <v>46</v>
      </c>
      <c r="B727">
        <v>52094</v>
      </c>
      <c r="C727" t="s">
        <v>53</v>
      </c>
      <c r="D727">
        <v>53228</v>
      </c>
      <c r="E727" t="s">
        <v>103</v>
      </c>
      <c r="F727">
        <v>8686</v>
      </c>
      <c r="G727">
        <v>0.43171602349163929</v>
      </c>
      <c r="H727">
        <v>0</v>
      </c>
      <c r="I727">
        <v>0</v>
      </c>
      <c r="J727">
        <v>0.33123623485708509</v>
      </c>
      <c r="K727">
        <v>1.8281507520085941E-221</v>
      </c>
      <c r="L727">
        <v>2.8695740906141091E-221</v>
      </c>
      <c r="M727">
        <v>0.2275184546302344</v>
      </c>
      <c r="N727">
        <v>6.5130733086925319E-222</v>
      </c>
      <c r="O727">
        <v>1.027100518664732E-221</v>
      </c>
      <c r="P727">
        <v>0.18637872493943369</v>
      </c>
      <c r="Q727">
        <v>1.071590327003872</v>
      </c>
      <c r="R727">
        <v>3.5478603477673269</v>
      </c>
      <c r="S727">
        <v>0.31198109921473</v>
      </c>
      <c r="T727">
        <v>0.23094870273358081</v>
      </c>
      <c r="U727">
        <v>4.3190585313147576</v>
      </c>
      <c r="V727">
        <v>0.13935145908397351</v>
      </c>
      <c r="W727">
        <v>8.1761216916877721</v>
      </c>
      <c r="X727">
        <v>0.34589328976146699</v>
      </c>
      <c r="Z727" t="s">
        <v>392</v>
      </c>
      <c r="AA727">
        <v>9937</v>
      </c>
      <c r="AB727" t="s">
        <v>1118</v>
      </c>
      <c r="AC727" t="str">
        <f>HYPERLINK("plots/20251231000436_3FT6Y121H01_04823_B11P_N_UFLEX98_M5358A8BH101511/dpll_52094/txpa_53228.png","plot")</f>
        <v>plot</v>
      </c>
    </row>
    <row r="728" spans="1:29" hidden="1" x14ac:dyDescent="0.35">
      <c r="A728" t="s">
        <v>46</v>
      </c>
      <c r="B728">
        <v>52094</v>
      </c>
      <c r="C728" t="s">
        <v>53</v>
      </c>
      <c r="D728">
        <v>53229</v>
      </c>
      <c r="E728" t="s">
        <v>104</v>
      </c>
      <c r="F728">
        <v>8685</v>
      </c>
      <c r="G728">
        <v>0.47927155617344108</v>
      </c>
      <c r="H728">
        <v>0</v>
      </c>
      <c r="I728">
        <v>0</v>
      </c>
      <c r="J728">
        <v>0.41426455779961668</v>
      </c>
      <c r="K728">
        <v>0</v>
      </c>
      <c r="L728">
        <v>0</v>
      </c>
      <c r="M728">
        <v>0.2896044378578097</v>
      </c>
      <c r="N728">
        <v>0</v>
      </c>
      <c r="O728">
        <v>0</v>
      </c>
      <c r="P728">
        <v>0.22970122455691189</v>
      </c>
      <c r="Q728">
        <v>1.0556806023567009</v>
      </c>
      <c r="R728">
        <v>3.4866473139980578</v>
      </c>
      <c r="S728">
        <v>0.26944381196672917</v>
      </c>
      <c r="T728">
        <v>0.19031964208161231</v>
      </c>
      <c r="U728">
        <v>4.3190745989637307</v>
      </c>
      <c r="V728">
        <v>0.1393839371854951</v>
      </c>
      <c r="W728">
        <v>8.0462105882556152</v>
      </c>
      <c r="X728">
        <v>0.30701784170471941</v>
      </c>
      <c r="Z728" t="s">
        <v>392</v>
      </c>
      <c r="AA728">
        <v>9937</v>
      </c>
      <c r="AB728" t="s">
        <v>1119</v>
      </c>
      <c r="AC728" t="str">
        <f>HYPERLINK("plots/20251231000436_3FT6Y121H01_04823_B11P_N_UFLEX98_M5358A8BH101511/dpll_52094/txpa_53229.png","plot")</f>
        <v>plot</v>
      </c>
    </row>
    <row r="729" spans="1:29" hidden="1" x14ac:dyDescent="0.35">
      <c r="A729" t="s">
        <v>46</v>
      </c>
      <c r="B729">
        <v>52094</v>
      </c>
      <c r="C729" t="s">
        <v>53</v>
      </c>
      <c r="D729">
        <v>53230</v>
      </c>
      <c r="E729" t="s">
        <v>105</v>
      </c>
      <c r="F729">
        <v>8672</v>
      </c>
      <c r="G729">
        <v>0.44517692297273709</v>
      </c>
      <c r="H729">
        <v>0</v>
      </c>
      <c r="I729">
        <v>0</v>
      </c>
      <c r="J729">
        <v>0.35761347235153879</v>
      </c>
      <c r="K729">
        <v>5.7706540826078863E-260</v>
      </c>
      <c r="L729">
        <v>1.02656898943235E-259</v>
      </c>
      <c r="M729">
        <v>0.24726769030683191</v>
      </c>
      <c r="N729">
        <v>2.6337339447787142E-261</v>
      </c>
      <c r="O729">
        <v>4.7183855477131021E-261</v>
      </c>
      <c r="P729">
        <v>0.19818249274747429</v>
      </c>
      <c r="Q729">
        <v>1.0329865906897899</v>
      </c>
      <c r="R729">
        <v>3.6895609479591478</v>
      </c>
      <c r="S729">
        <v>0.28711607718176752</v>
      </c>
      <c r="T729">
        <v>0.21055652390328849</v>
      </c>
      <c r="U729">
        <v>4.3197996565959409</v>
      </c>
      <c r="V729">
        <v>0.13819195004682899</v>
      </c>
      <c r="W729">
        <v>8.1518560676891134</v>
      </c>
      <c r="X729">
        <v>0.32065999824611241</v>
      </c>
      <c r="Z729" t="s">
        <v>392</v>
      </c>
      <c r="AA729">
        <v>9937</v>
      </c>
      <c r="AB729" t="s">
        <v>1120</v>
      </c>
      <c r="AC729" t="str">
        <f>HYPERLINK("plots/20251231000436_3FT6Y121H01_04823_B11P_N_UFLEX98_M5358A8BH101511/dpll_52094/txpa_53230.png","plot")</f>
        <v>plot</v>
      </c>
    </row>
    <row r="730" spans="1:29" hidden="1" x14ac:dyDescent="0.35">
      <c r="A730" t="s">
        <v>46</v>
      </c>
      <c r="B730">
        <v>52094</v>
      </c>
      <c r="C730" t="s">
        <v>53</v>
      </c>
      <c r="D730">
        <v>53231</v>
      </c>
      <c r="E730" t="s">
        <v>106</v>
      </c>
      <c r="F730">
        <v>8683</v>
      </c>
      <c r="G730">
        <v>0.49555608006452351</v>
      </c>
      <c r="H730">
        <v>0</v>
      </c>
      <c r="I730">
        <v>0</v>
      </c>
      <c r="J730">
        <v>0.41841714607680908</v>
      </c>
      <c r="K730">
        <v>0</v>
      </c>
      <c r="L730">
        <v>0</v>
      </c>
      <c r="M730">
        <v>0.29340253250816117</v>
      </c>
      <c r="N730">
        <v>0</v>
      </c>
      <c r="O730">
        <v>0</v>
      </c>
      <c r="P730">
        <v>0.2455758284889164</v>
      </c>
      <c r="Q730">
        <v>1.080428237656615</v>
      </c>
      <c r="R730">
        <v>3.5192578873982958</v>
      </c>
      <c r="S730">
        <v>0.26312719585527311</v>
      </c>
      <c r="T730">
        <v>0.18692984721789979</v>
      </c>
      <c r="U730">
        <v>4.3192620370839574</v>
      </c>
      <c r="V730">
        <v>0.138956809073773</v>
      </c>
      <c r="W730">
        <v>8.185910558102039</v>
      </c>
      <c r="X730">
        <v>0.30295836612158072</v>
      </c>
      <c r="Z730" t="s">
        <v>392</v>
      </c>
      <c r="AA730">
        <v>9937</v>
      </c>
      <c r="AB730" t="s">
        <v>1121</v>
      </c>
      <c r="AC730" t="str">
        <f>HYPERLINK("plots/20251231000436_3FT6Y121H01_04823_B11P_N_UFLEX98_M5358A8BH101511/dpll_52094/txpa_53231.png","plot")</f>
        <v>plot</v>
      </c>
    </row>
    <row r="731" spans="1:29" hidden="1" x14ac:dyDescent="0.35">
      <c r="A731" t="s">
        <v>46</v>
      </c>
      <c r="B731">
        <v>52094</v>
      </c>
      <c r="C731" t="s">
        <v>53</v>
      </c>
      <c r="D731">
        <v>53232</v>
      </c>
      <c r="E731" t="s">
        <v>107</v>
      </c>
      <c r="F731">
        <v>8679</v>
      </c>
      <c r="G731">
        <v>0.47787789685016829</v>
      </c>
      <c r="H731">
        <v>0</v>
      </c>
      <c r="I731">
        <v>0</v>
      </c>
      <c r="J731">
        <v>0.39262146180131119</v>
      </c>
      <c r="K731">
        <v>0</v>
      </c>
      <c r="L731">
        <v>0</v>
      </c>
      <c r="M731">
        <v>0.27375317672829952</v>
      </c>
      <c r="N731">
        <v>0</v>
      </c>
      <c r="O731">
        <v>0</v>
      </c>
      <c r="P731">
        <v>0.22836728429794009</v>
      </c>
      <c r="Q731">
        <v>1.0859360683938679</v>
      </c>
      <c r="R731">
        <v>3.4965723992672859</v>
      </c>
      <c r="S731">
        <v>0.2770672771919076</v>
      </c>
      <c r="T731">
        <v>0.19999046883371929</v>
      </c>
      <c r="U731">
        <v>4.3194201395322036</v>
      </c>
      <c r="V731">
        <v>0.13880900061006099</v>
      </c>
      <c r="W731">
        <v>8.1871865233321817</v>
      </c>
      <c r="X731">
        <v>0.31543141328303242</v>
      </c>
      <c r="Z731" t="s">
        <v>392</v>
      </c>
      <c r="AA731">
        <v>9937</v>
      </c>
      <c r="AB731" t="s">
        <v>1122</v>
      </c>
      <c r="AC731" t="str">
        <f>HYPERLINK("plots/20251231000436_3FT6Y121H01_04823_B11P_N_UFLEX98_M5358A8BH101511/dpll_52094/txpa_53232.png","plot")</f>
        <v>plot</v>
      </c>
    </row>
    <row r="732" spans="1:29" hidden="1" x14ac:dyDescent="0.35">
      <c r="A732" t="s">
        <v>46</v>
      </c>
      <c r="B732">
        <v>52094</v>
      </c>
      <c r="C732" t="s">
        <v>53</v>
      </c>
      <c r="D732">
        <v>53233</v>
      </c>
      <c r="E732" t="s">
        <v>108</v>
      </c>
      <c r="F732">
        <v>8689</v>
      </c>
      <c r="G732">
        <v>0.50283014577176932</v>
      </c>
      <c r="H732">
        <v>0</v>
      </c>
      <c r="I732">
        <v>0</v>
      </c>
      <c r="J732">
        <v>0.41146227073800179</v>
      </c>
      <c r="K732">
        <v>0</v>
      </c>
      <c r="L732">
        <v>0</v>
      </c>
      <c r="M732">
        <v>0.28817563228313958</v>
      </c>
      <c r="N732">
        <v>0</v>
      </c>
      <c r="O732">
        <v>0</v>
      </c>
      <c r="P732">
        <v>0.25283815549685879</v>
      </c>
      <c r="Q732">
        <v>1.092390819990525</v>
      </c>
      <c r="R732">
        <v>3.4889722755158989</v>
      </c>
      <c r="S732">
        <v>0.26208778863014909</v>
      </c>
      <c r="T732">
        <v>0.18896891464531579</v>
      </c>
      <c r="U732">
        <v>4.3189070859707668</v>
      </c>
      <c r="V732">
        <v>0.13957502073454581</v>
      </c>
      <c r="W732">
        <v>8.2069067286223962</v>
      </c>
      <c r="X732">
        <v>0.30322460304440529</v>
      </c>
      <c r="Z732" t="s">
        <v>392</v>
      </c>
      <c r="AA732">
        <v>9937</v>
      </c>
      <c r="AB732" t="s">
        <v>1123</v>
      </c>
      <c r="AC732" t="str">
        <f>HYPERLINK("plots/20251231000436_3FT6Y121H01_04823_B11P_N_UFLEX98_M5358A8BH101511/dpll_52094/txpa_53233.png","plot")</f>
        <v>plot</v>
      </c>
    </row>
    <row r="733" spans="1:29" hidden="1" x14ac:dyDescent="0.35">
      <c r="A733" t="s">
        <v>46</v>
      </c>
      <c r="B733">
        <v>52094</v>
      </c>
      <c r="C733" t="s">
        <v>53</v>
      </c>
      <c r="D733">
        <v>53234</v>
      </c>
      <c r="E733" t="s">
        <v>109</v>
      </c>
      <c r="F733">
        <v>8686</v>
      </c>
      <c r="G733">
        <v>0.47542997195578057</v>
      </c>
      <c r="H733">
        <v>0</v>
      </c>
      <c r="I733">
        <v>0</v>
      </c>
      <c r="J733">
        <v>0.3785446749378153</v>
      </c>
      <c r="K733">
        <v>5.0734847946152908E-294</v>
      </c>
      <c r="L733">
        <v>1.0047878089335751E-293</v>
      </c>
      <c r="M733">
        <v>0.26292390600194998</v>
      </c>
      <c r="N733">
        <v>1.23652637653929E-295</v>
      </c>
      <c r="O733">
        <v>2.482847021407604E-295</v>
      </c>
      <c r="P733">
        <v>0.22603365823387431</v>
      </c>
      <c r="Q733">
        <v>1.061893435536019</v>
      </c>
      <c r="R733">
        <v>3.431251510512451</v>
      </c>
      <c r="S733">
        <v>0.27383669948758099</v>
      </c>
      <c r="T733">
        <v>0.1977899527949418</v>
      </c>
      <c r="U733">
        <v>4.3190561597973742</v>
      </c>
      <c r="V733">
        <v>0.13936741232159441</v>
      </c>
      <c r="W733">
        <v>8.0176288943126881</v>
      </c>
      <c r="X733">
        <v>0.31128315209733431</v>
      </c>
      <c r="Z733" t="s">
        <v>392</v>
      </c>
      <c r="AA733">
        <v>9937</v>
      </c>
      <c r="AB733" t="s">
        <v>1124</v>
      </c>
      <c r="AC733" t="str">
        <f>HYPERLINK("plots/20251231000436_3FT6Y121H01_04823_B11P_N_UFLEX98_M5358A8BH101511/dpll_52094/txpa_53234.png","plot")</f>
        <v>plot</v>
      </c>
    </row>
    <row r="734" spans="1:29" hidden="1" x14ac:dyDescent="0.35">
      <c r="A734" t="s">
        <v>46</v>
      </c>
      <c r="B734">
        <v>52094</v>
      </c>
      <c r="C734" t="s">
        <v>53</v>
      </c>
      <c r="D734">
        <v>53235</v>
      </c>
      <c r="E734" t="s">
        <v>110</v>
      </c>
      <c r="F734">
        <v>8682</v>
      </c>
      <c r="G734">
        <v>0.45716724946417292</v>
      </c>
      <c r="H734">
        <v>0</v>
      </c>
      <c r="I734">
        <v>0</v>
      </c>
      <c r="J734">
        <v>0.40533733673962108</v>
      </c>
      <c r="K734">
        <v>0</v>
      </c>
      <c r="L734">
        <v>0</v>
      </c>
      <c r="M734">
        <v>0.28213702675531449</v>
      </c>
      <c r="N734">
        <v>0</v>
      </c>
      <c r="O734">
        <v>0</v>
      </c>
      <c r="P734">
        <v>0.2090018939826373</v>
      </c>
      <c r="Q734">
        <v>1.0706642867658189</v>
      </c>
      <c r="R734">
        <v>4.1952436749646269</v>
      </c>
      <c r="S734">
        <v>0.29016892548890821</v>
      </c>
      <c r="T734">
        <v>0.20094026548003421</v>
      </c>
      <c r="U734">
        <v>4.3190791521538809</v>
      </c>
      <c r="V734">
        <v>0.1393188839214114</v>
      </c>
      <c r="W734">
        <v>8.8195274748905792</v>
      </c>
      <c r="X734">
        <v>0.32627830112843093</v>
      </c>
      <c r="Z734" t="s">
        <v>392</v>
      </c>
      <c r="AA734">
        <v>9937</v>
      </c>
      <c r="AB734" t="s">
        <v>1125</v>
      </c>
      <c r="AC734" t="str">
        <f>HYPERLINK("plots/20251231000436_3FT6Y121H01_04823_B11P_N_UFLEX98_M5358A8BH101511/dpll_52094/txpa_53235.png","plot")</f>
        <v>plot</v>
      </c>
    </row>
    <row r="735" spans="1:29" hidden="1" x14ac:dyDescent="0.35">
      <c r="A735" t="s">
        <v>46</v>
      </c>
      <c r="B735">
        <v>52094</v>
      </c>
      <c r="C735" t="s">
        <v>53</v>
      </c>
      <c r="D735">
        <v>53236</v>
      </c>
      <c r="E735" t="s">
        <v>111</v>
      </c>
      <c r="F735">
        <v>8681</v>
      </c>
      <c r="G735">
        <v>0.4397342814026246</v>
      </c>
      <c r="H735">
        <v>0</v>
      </c>
      <c r="I735">
        <v>0</v>
      </c>
      <c r="J735">
        <v>0.35684621001395322</v>
      </c>
      <c r="K735">
        <v>4.7724260462696519E-259</v>
      </c>
      <c r="L735">
        <v>8.460209809296202E-259</v>
      </c>
      <c r="M735">
        <v>0.2462667329603245</v>
      </c>
      <c r="N735">
        <v>1.7677533306158471E-259</v>
      </c>
      <c r="O735">
        <v>3.1558131641627978E-259</v>
      </c>
      <c r="P735">
        <v>0.19336623824068261</v>
      </c>
      <c r="Q735">
        <v>1.1257143831077741</v>
      </c>
      <c r="R735">
        <v>4.1889301423535041</v>
      </c>
      <c r="S735">
        <v>0.31934162840676872</v>
      </c>
      <c r="T735">
        <v>0.23127216500208431</v>
      </c>
      <c r="U735">
        <v>4.3193350982605683</v>
      </c>
      <c r="V735">
        <v>0.13890070899404799</v>
      </c>
      <c r="W735">
        <v>9.0512677879276584</v>
      </c>
      <c r="X735">
        <v>0.3555841164798802</v>
      </c>
      <c r="Z735" t="s">
        <v>392</v>
      </c>
      <c r="AA735">
        <v>9937</v>
      </c>
      <c r="AB735" t="s">
        <v>1126</v>
      </c>
      <c r="AC735" t="str">
        <f>HYPERLINK("plots/20251231000436_3FT6Y121H01_04823_B11P_N_UFLEX98_M5358A8BH101511/dpll_52094/txpa_53236.png","plot")</f>
        <v>plot</v>
      </c>
    </row>
    <row r="736" spans="1:29" hidden="1" x14ac:dyDescent="0.35">
      <c r="A736" t="s">
        <v>46</v>
      </c>
      <c r="B736">
        <v>52094</v>
      </c>
      <c r="C736" t="s">
        <v>53</v>
      </c>
      <c r="D736">
        <v>53237</v>
      </c>
      <c r="E736" t="s">
        <v>112</v>
      </c>
      <c r="F736">
        <v>8677</v>
      </c>
      <c r="G736">
        <v>0.48117587896509367</v>
      </c>
      <c r="H736">
        <v>0</v>
      </c>
      <c r="I736">
        <v>0</v>
      </c>
      <c r="J736">
        <v>0.42605641267962729</v>
      </c>
      <c r="K736">
        <v>0</v>
      </c>
      <c r="L736">
        <v>0</v>
      </c>
      <c r="M736">
        <v>0.29946315816727431</v>
      </c>
      <c r="N736">
        <v>0</v>
      </c>
      <c r="O736">
        <v>0</v>
      </c>
      <c r="P736">
        <v>0.2315302264978305</v>
      </c>
      <c r="Q736">
        <v>1.1247401102448791</v>
      </c>
      <c r="R736">
        <v>4.0583146490780857</v>
      </c>
      <c r="S736">
        <v>0.28450378618018612</v>
      </c>
      <c r="T736">
        <v>0.19770811812841191</v>
      </c>
      <c r="U736">
        <v>4.319361942606891</v>
      </c>
      <c r="V736">
        <v>0.13885174678612941</v>
      </c>
      <c r="W736">
        <v>8.9164742765932932</v>
      </c>
      <c r="X736">
        <v>0.32456350331570638</v>
      </c>
      <c r="Z736" t="s">
        <v>392</v>
      </c>
      <c r="AA736">
        <v>9937</v>
      </c>
      <c r="AB736" t="s">
        <v>1127</v>
      </c>
      <c r="AC736" t="str">
        <f>HYPERLINK("plots/20251231000436_3FT6Y121H01_04823_B11P_N_UFLEX98_M5358A8BH101511/dpll_52094/txpa_53237.png","plot")</f>
        <v>plot</v>
      </c>
    </row>
    <row r="737" spans="1:29" hidden="1" x14ac:dyDescent="0.35">
      <c r="A737" t="s">
        <v>46</v>
      </c>
      <c r="B737">
        <v>52094</v>
      </c>
      <c r="C737" t="s">
        <v>53</v>
      </c>
      <c r="D737">
        <v>53238</v>
      </c>
      <c r="E737" t="s">
        <v>113</v>
      </c>
      <c r="F737">
        <v>8662</v>
      </c>
      <c r="G737">
        <v>0.44416985895144551</v>
      </c>
      <c r="H737">
        <v>0</v>
      </c>
      <c r="I737">
        <v>0</v>
      </c>
      <c r="J737">
        <v>0.37774376707576479</v>
      </c>
      <c r="K737">
        <v>6.9495504608932942E-292</v>
      </c>
      <c r="L737">
        <v>1.368319255795301E-291</v>
      </c>
      <c r="M737">
        <v>0.26239930033144709</v>
      </c>
      <c r="N737">
        <v>1.173033942228097E-293</v>
      </c>
      <c r="O737">
        <v>2.3186284939947169E-293</v>
      </c>
      <c r="P737">
        <v>0.19728686360094691</v>
      </c>
      <c r="Q737">
        <v>1.07524013048648</v>
      </c>
      <c r="R737">
        <v>4.3842065162399448</v>
      </c>
      <c r="S737">
        <v>0.29740024855795177</v>
      </c>
      <c r="T737">
        <v>0.21375738209885661</v>
      </c>
      <c r="U737">
        <v>4.3203960780420223</v>
      </c>
      <c r="V737">
        <v>0.137129165090245</v>
      </c>
      <c r="W737">
        <v>9.0296697589471258</v>
      </c>
      <c r="X737">
        <v>0.33196034893771409</v>
      </c>
      <c r="Z737" t="s">
        <v>392</v>
      </c>
      <c r="AA737">
        <v>9937</v>
      </c>
      <c r="AB737" t="s">
        <v>1128</v>
      </c>
      <c r="AC737" t="str">
        <f>HYPERLINK("plots/20251231000436_3FT6Y121H01_04823_B11P_N_UFLEX98_M5358A8BH101511/dpll_52094/txpa_53238.png","plot")</f>
        <v>plot</v>
      </c>
    </row>
    <row r="738" spans="1:29" hidden="1" x14ac:dyDescent="0.35">
      <c r="A738" t="s">
        <v>46</v>
      </c>
      <c r="B738">
        <v>52094</v>
      </c>
      <c r="C738" t="s">
        <v>53</v>
      </c>
      <c r="D738">
        <v>53239</v>
      </c>
      <c r="E738" t="s">
        <v>114</v>
      </c>
      <c r="F738">
        <v>8668</v>
      </c>
      <c r="G738">
        <v>0.48353712287082901</v>
      </c>
      <c r="H738">
        <v>0</v>
      </c>
      <c r="I738">
        <v>0</v>
      </c>
      <c r="J738">
        <v>0.42538787916072479</v>
      </c>
      <c r="K738">
        <v>0</v>
      </c>
      <c r="L738">
        <v>0</v>
      </c>
      <c r="M738">
        <v>0.29939245173198492</v>
      </c>
      <c r="N738">
        <v>0</v>
      </c>
      <c r="O738">
        <v>0</v>
      </c>
      <c r="P738">
        <v>0.23380814919419921</v>
      </c>
      <c r="Q738">
        <v>1.117543292901966</v>
      </c>
      <c r="R738">
        <v>4.2262214409912442</v>
      </c>
      <c r="S738">
        <v>0.27837197482100479</v>
      </c>
      <c r="T738">
        <v>0.19432721603387809</v>
      </c>
      <c r="U738">
        <v>4.3200876483617909</v>
      </c>
      <c r="V738">
        <v>0.13760913496674509</v>
      </c>
      <c r="W738">
        <v>9.0541064171665901</v>
      </c>
      <c r="X738">
        <v>0.3180400398444877</v>
      </c>
      <c r="Z738" t="s">
        <v>392</v>
      </c>
      <c r="AA738">
        <v>9937</v>
      </c>
      <c r="AB738" t="s">
        <v>1129</v>
      </c>
      <c r="AC738" t="str">
        <f>HYPERLINK("plots/20251231000436_3FT6Y121H01_04823_B11P_N_UFLEX98_M5358A8BH101511/dpll_52094/txpa_53239.png","plot")</f>
        <v>plot</v>
      </c>
    </row>
    <row r="739" spans="1:29" hidden="1" x14ac:dyDescent="0.35">
      <c r="A739" t="s">
        <v>46</v>
      </c>
      <c r="B739">
        <v>52094</v>
      </c>
      <c r="C739" t="s">
        <v>53</v>
      </c>
      <c r="D739">
        <v>53240</v>
      </c>
      <c r="E739" t="s">
        <v>115</v>
      </c>
      <c r="F739">
        <v>8675</v>
      </c>
      <c r="G739">
        <v>0.4814429549176093</v>
      </c>
      <c r="H739">
        <v>0</v>
      </c>
      <c r="I739">
        <v>0</v>
      </c>
      <c r="J739">
        <v>0.40931337512566651</v>
      </c>
      <c r="K739">
        <v>0</v>
      </c>
      <c r="L739">
        <v>0</v>
      </c>
      <c r="M739">
        <v>0.28692149261129962</v>
      </c>
      <c r="N739">
        <v>0</v>
      </c>
      <c r="O739">
        <v>0</v>
      </c>
      <c r="P739">
        <v>0.23178731883979919</v>
      </c>
      <c r="Q739">
        <v>1.1483549546422041</v>
      </c>
      <c r="R739">
        <v>4.0880509568554428</v>
      </c>
      <c r="S739">
        <v>0.28957976839413779</v>
      </c>
      <c r="T739">
        <v>0.20532808971632471</v>
      </c>
      <c r="U739">
        <v>4.3196141127377521</v>
      </c>
      <c r="V739">
        <v>0.13852278061169951</v>
      </c>
      <c r="W739">
        <v>9.0485012253602299</v>
      </c>
      <c r="X739">
        <v>0.33040949051478541</v>
      </c>
      <c r="Z739" t="s">
        <v>392</v>
      </c>
      <c r="AA739">
        <v>9937</v>
      </c>
      <c r="AB739" t="s">
        <v>1130</v>
      </c>
      <c r="AC739" t="str">
        <f>HYPERLINK("plots/20251231000436_3FT6Y121H01_04823_B11P_N_UFLEX98_M5358A8BH101511/dpll_52094/txpa_53240.png","plot")</f>
        <v>plot</v>
      </c>
    </row>
    <row r="740" spans="1:29" hidden="1" x14ac:dyDescent="0.35">
      <c r="A740" t="s">
        <v>46</v>
      </c>
      <c r="B740">
        <v>52094</v>
      </c>
      <c r="C740" t="s">
        <v>53</v>
      </c>
      <c r="D740">
        <v>53241</v>
      </c>
      <c r="E740" t="s">
        <v>116</v>
      </c>
      <c r="F740">
        <v>8679</v>
      </c>
      <c r="G740">
        <v>0.49894384857522089</v>
      </c>
      <c r="H740">
        <v>0</v>
      </c>
      <c r="I740">
        <v>0</v>
      </c>
      <c r="J740">
        <v>0.42122548936762949</v>
      </c>
      <c r="K740">
        <v>0</v>
      </c>
      <c r="L740">
        <v>0</v>
      </c>
      <c r="M740">
        <v>0.29625249037847429</v>
      </c>
      <c r="N740">
        <v>0</v>
      </c>
      <c r="O740">
        <v>0</v>
      </c>
      <c r="P740">
        <v>0.24894496403105301</v>
      </c>
      <c r="Q740">
        <v>1.1468073738256539</v>
      </c>
      <c r="R740">
        <v>4.1155596214307533</v>
      </c>
      <c r="S740">
        <v>0.27665556729342022</v>
      </c>
      <c r="T740">
        <v>0.19597585954188901</v>
      </c>
      <c r="U740">
        <v>4.3193909032146554</v>
      </c>
      <c r="V740">
        <v>0.13889600359291751</v>
      </c>
      <c r="W740">
        <v>9.0690689596727729</v>
      </c>
      <c r="X740">
        <v>0.3192482712636513</v>
      </c>
      <c r="Z740" t="s">
        <v>392</v>
      </c>
      <c r="AA740">
        <v>9937</v>
      </c>
      <c r="AB740" t="s">
        <v>1131</v>
      </c>
      <c r="AC740" t="str">
        <f>HYPERLINK("plots/20251231000436_3FT6Y121H01_04823_B11P_N_UFLEX98_M5358A8BH101511/dpll_52094/txpa_53241.png","plot")</f>
        <v>plot</v>
      </c>
    </row>
    <row r="741" spans="1:29" hidden="1" x14ac:dyDescent="0.35">
      <c r="A741" t="s">
        <v>46</v>
      </c>
      <c r="B741">
        <v>52094</v>
      </c>
      <c r="C741" t="s">
        <v>53</v>
      </c>
      <c r="D741">
        <v>53242</v>
      </c>
      <c r="E741" t="s">
        <v>117</v>
      </c>
      <c r="F741">
        <v>8680</v>
      </c>
      <c r="G741">
        <v>0.47416557937634202</v>
      </c>
      <c r="H741">
        <v>0</v>
      </c>
      <c r="I741">
        <v>0</v>
      </c>
      <c r="J741">
        <v>0.38809713257557849</v>
      </c>
      <c r="K741">
        <v>0</v>
      </c>
      <c r="L741">
        <v>0</v>
      </c>
      <c r="M741">
        <v>0.27037346931254441</v>
      </c>
      <c r="N741">
        <v>0</v>
      </c>
      <c r="O741">
        <v>0</v>
      </c>
      <c r="P741">
        <v>0.22483299666530199</v>
      </c>
      <c r="Q741">
        <v>1.1085042256307791</v>
      </c>
      <c r="R741">
        <v>4.119712326410701</v>
      </c>
      <c r="S741">
        <v>0.28583042061269681</v>
      </c>
      <c r="T741">
        <v>0.20382291466116059</v>
      </c>
      <c r="U741">
        <v>4.3193715504608292</v>
      </c>
      <c r="V741">
        <v>0.13887641578551341</v>
      </c>
      <c r="W741">
        <v>8.9077539421658987</v>
      </c>
      <c r="X741">
        <v>0.3246652655411611</v>
      </c>
      <c r="Z741" t="s">
        <v>392</v>
      </c>
      <c r="AA741">
        <v>9937</v>
      </c>
      <c r="AB741" t="s">
        <v>1132</v>
      </c>
      <c r="AC741" t="str">
        <f>HYPERLINK("plots/20251231000436_3FT6Y121H01_04823_B11P_N_UFLEX98_M5358A8BH101511/dpll_52094/txpa_53242.png","plot")</f>
        <v>plot</v>
      </c>
    </row>
    <row r="742" spans="1:29" hidden="1" x14ac:dyDescent="0.35">
      <c r="A742" t="s">
        <v>46</v>
      </c>
      <c r="B742">
        <v>52094</v>
      </c>
      <c r="C742" t="s">
        <v>53</v>
      </c>
      <c r="D742">
        <v>53243</v>
      </c>
      <c r="E742" t="s">
        <v>118</v>
      </c>
      <c r="F742">
        <v>8666</v>
      </c>
      <c r="G742">
        <v>0.45070479659195251</v>
      </c>
      <c r="H742">
        <v>0</v>
      </c>
      <c r="I742">
        <v>0</v>
      </c>
      <c r="J742">
        <v>0.41435328298247298</v>
      </c>
      <c r="K742">
        <v>0</v>
      </c>
      <c r="L742">
        <v>0</v>
      </c>
      <c r="M742">
        <v>0.28990533297443638</v>
      </c>
      <c r="N742">
        <v>0</v>
      </c>
      <c r="O742">
        <v>0</v>
      </c>
      <c r="P742">
        <v>0.20313481367099331</v>
      </c>
      <c r="Q742">
        <v>1.11622778212272</v>
      </c>
      <c r="R742">
        <v>4.8340966955139821</v>
      </c>
      <c r="S742">
        <v>0.30556912650726242</v>
      </c>
      <c r="T742">
        <v>0.20903429648563471</v>
      </c>
      <c r="U742">
        <v>4.319788057350566</v>
      </c>
      <c r="V742">
        <v>0.13822336361712231</v>
      </c>
      <c r="W742">
        <v>9.6559641380106154</v>
      </c>
      <c r="X742">
        <v>0.34232774928190712</v>
      </c>
      <c r="Z742" t="s">
        <v>392</v>
      </c>
      <c r="AA742">
        <v>9937</v>
      </c>
      <c r="AB742" t="s">
        <v>1133</v>
      </c>
      <c r="AC742" t="str">
        <f>HYPERLINK("plots/20251231000436_3FT6Y121H01_04823_B11P_N_UFLEX98_M5358A8BH101511/dpll_52094/txpa_53243.png","plot")</f>
        <v>plot</v>
      </c>
    </row>
    <row r="743" spans="1:29" hidden="1" x14ac:dyDescent="0.35">
      <c r="A743" t="s">
        <v>46</v>
      </c>
      <c r="B743">
        <v>52094</v>
      </c>
      <c r="C743" t="s">
        <v>53</v>
      </c>
      <c r="D743">
        <v>53244</v>
      </c>
      <c r="E743" t="s">
        <v>119</v>
      </c>
      <c r="F743">
        <v>8653</v>
      </c>
      <c r="G743">
        <v>0.42324363648925117</v>
      </c>
      <c r="H743">
        <v>0</v>
      </c>
      <c r="I743">
        <v>0</v>
      </c>
      <c r="J743">
        <v>0.38327261935553408</v>
      </c>
      <c r="K743">
        <v>7.842726799257667E-301</v>
      </c>
      <c r="L743">
        <v>1.5810188815998561E-300</v>
      </c>
      <c r="M743">
        <v>0.2664286822485038</v>
      </c>
      <c r="N743">
        <v>2.2932919216230359E-302</v>
      </c>
      <c r="O743">
        <v>4.6883024365438675E-302</v>
      </c>
      <c r="P743">
        <v>0.17913517582864541</v>
      </c>
      <c r="Q743">
        <v>1.111328293295911</v>
      </c>
      <c r="R743">
        <v>5.0642291224506959</v>
      </c>
      <c r="S743">
        <v>0.32412622533070318</v>
      </c>
      <c r="T743">
        <v>0.22867128065155271</v>
      </c>
      <c r="U743">
        <v>4.3209135806078818</v>
      </c>
      <c r="V743">
        <v>0.1362547060820104</v>
      </c>
      <c r="W743">
        <v>9.8661826374667747</v>
      </c>
      <c r="X743">
        <v>0.35776960811436109</v>
      </c>
      <c r="Z743" t="s">
        <v>392</v>
      </c>
      <c r="AA743">
        <v>9937</v>
      </c>
      <c r="AB743" t="s">
        <v>1134</v>
      </c>
      <c r="AC743" t="str">
        <f>HYPERLINK("plots/20251231000436_3FT6Y121H01_04823_B11P_N_UFLEX98_M5358A8BH101511/dpll_52094/txpa_53244.png","plot")</f>
        <v>plot</v>
      </c>
    </row>
    <row r="744" spans="1:29" hidden="1" x14ac:dyDescent="0.35">
      <c r="A744" t="s">
        <v>46</v>
      </c>
      <c r="B744">
        <v>52094</v>
      </c>
      <c r="C744" t="s">
        <v>53</v>
      </c>
      <c r="D744">
        <v>53245</v>
      </c>
      <c r="E744" t="s">
        <v>120</v>
      </c>
      <c r="F744">
        <v>8659</v>
      </c>
      <c r="G744">
        <v>0.46685613566593909</v>
      </c>
      <c r="H744">
        <v>0</v>
      </c>
      <c r="I744">
        <v>0</v>
      </c>
      <c r="J744">
        <v>0.4356272861953101</v>
      </c>
      <c r="K744">
        <v>0</v>
      </c>
      <c r="L744">
        <v>0</v>
      </c>
      <c r="M744">
        <v>0.30812013382345382</v>
      </c>
      <c r="N744">
        <v>0</v>
      </c>
      <c r="O744">
        <v>0</v>
      </c>
      <c r="P744">
        <v>0.21795465140893369</v>
      </c>
      <c r="Q744">
        <v>1.1671477365293279</v>
      </c>
      <c r="R744">
        <v>4.6847469552858758</v>
      </c>
      <c r="S744">
        <v>0.3031021240986449</v>
      </c>
      <c r="T744">
        <v>0.20660185000386649</v>
      </c>
      <c r="U744">
        <v>4.3203901146783688</v>
      </c>
      <c r="V744">
        <v>0.1371056427442362</v>
      </c>
      <c r="W744">
        <v>9.7272804985564161</v>
      </c>
      <c r="X744">
        <v>0.34276627930801962</v>
      </c>
      <c r="Z744" t="s">
        <v>392</v>
      </c>
      <c r="AA744">
        <v>9937</v>
      </c>
      <c r="AB744" t="s">
        <v>1135</v>
      </c>
      <c r="AC744" t="str">
        <f>HYPERLINK("plots/20251231000436_3FT6Y121H01_04823_B11P_N_UFLEX98_M5358A8BH101511/dpll_52094/txpa_53245.png","plot")</f>
        <v>plot</v>
      </c>
    </row>
    <row r="745" spans="1:29" hidden="1" x14ac:dyDescent="0.35">
      <c r="A745" t="s">
        <v>46</v>
      </c>
      <c r="B745">
        <v>52094</v>
      </c>
      <c r="C745" t="s">
        <v>53</v>
      </c>
      <c r="D745">
        <v>53246</v>
      </c>
      <c r="E745" t="s">
        <v>121</v>
      </c>
      <c r="F745">
        <v>8648</v>
      </c>
      <c r="G745">
        <v>0.44108065710986771</v>
      </c>
      <c r="H745">
        <v>0</v>
      </c>
      <c r="I745">
        <v>0</v>
      </c>
      <c r="J745">
        <v>0.40041861547815821</v>
      </c>
      <c r="K745">
        <v>0</v>
      </c>
      <c r="L745">
        <v>0</v>
      </c>
      <c r="M745">
        <v>0.28016601009855879</v>
      </c>
      <c r="N745">
        <v>0</v>
      </c>
      <c r="O745">
        <v>0</v>
      </c>
      <c r="P745">
        <v>0.1945521460764727</v>
      </c>
      <c r="Q745">
        <v>1.1226360245246849</v>
      </c>
      <c r="R745">
        <v>4.9914273114335899</v>
      </c>
      <c r="S745">
        <v>0.31054654974467749</v>
      </c>
      <c r="T745">
        <v>0.21841122594499091</v>
      </c>
      <c r="U745">
        <v>4.3211428525670668</v>
      </c>
      <c r="V745">
        <v>0.13596030924892441</v>
      </c>
      <c r="W745">
        <v>9.842497944842739</v>
      </c>
      <c r="X745">
        <v>0.34604541960301838</v>
      </c>
      <c r="Z745" t="s">
        <v>392</v>
      </c>
      <c r="AA745">
        <v>9937</v>
      </c>
      <c r="AB745" t="s">
        <v>1136</v>
      </c>
      <c r="AC745" t="str">
        <f>HYPERLINK("plots/20251231000436_3FT6Y121H01_04823_B11P_N_UFLEX98_M5358A8BH101511/dpll_52094/txpa_53246.png","plot")</f>
        <v>plot</v>
      </c>
    </row>
    <row r="746" spans="1:29" hidden="1" x14ac:dyDescent="0.35">
      <c r="A746" t="s">
        <v>46</v>
      </c>
      <c r="B746">
        <v>52094</v>
      </c>
      <c r="C746" t="s">
        <v>53</v>
      </c>
      <c r="D746">
        <v>53247</v>
      </c>
      <c r="E746" t="s">
        <v>122</v>
      </c>
      <c r="F746">
        <v>8651</v>
      </c>
      <c r="G746">
        <v>0.47233763859179928</v>
      </c>
      <c r="H746">
        <v>0</v>
      </c>
      <c r="I746">
        <v>0</v>
      </c>
      <c r="J746">
        <v>0.43410330926336221</v>
      </c>
      <c r="K746">
        <v>0</v>
      </c>
      <c r="L746">
        <v>0</v>
      </c>
      <c r="M746">
        <v>0.30710999856058069</v>
      </c>
      <c r="N746">
        <v>0</v>
      </c>
      <c r="O746">
        <v>0</v>
      </c>
      <c r="P746">
        <v>0.22310284483047721</v>
      </c>
      <c r="Q746">
        <v>1.1674228285028869</v>
      </c>
      <c r="R746">
        <v>4.8152892546748021</v>
      </c>
      <c r="S746">
        <v>0.29680089582657909</v>
      </c>
      <c r="T746">
        <v>0.20384170012435349</v>
      </c>
      <c r="U746">
        <v>4.3209222617038492</v>
      </c>
      <c r="V746">
        <v>0.13624887237753741</v>
      </c>
      <c r="W746">
        <v>9.8596325431742002</v>
      </c>
      <c r="X746">
        <v>0.33675072866419492</v>
      </c>
      <c r="Z746" t="s">
        <v>392</v>
      </c>
      <c r="AA746">
        <v>9937</v>
      </c>
      <c r="AB746" t="s">
        <v>1137</v>
      </c>
      <c r="AC746" t="str">
        <f>HYPERLINK("plots/20251231000436_3FT6Y121H01_04823_B11P_N_UFLEX98_M5358A8BH101511/dpll_52094/txpa_53247.png","plot")</f>
        <v>plot</v>
      </c>
    </row>
    <row r="747" spans="1:29" hidden="1" x14ac:dyDescent="0.35">
      <c r="A747" t="s">
        <v>46</v>
      </c>
      <c r="B747">
        <v>52094</v>
      </c>
      <c r="C747" t="s">
        <v>53</v>
      </c>
      <c r="D747">
        <v>53248</v>
      </c>
      <c r="E747" t="s">
        <v>123</v>
      </c>
      <c r="F747">
        <v>8654</v>
      </c>
      <c r="G747">
        <v>0.46530393884943511</v>
      </c>
      <c r="H747">
        <v>0</v>
      </c>
      <c r="I747">
        <v>0</v>
      </c>
      <c r="J747">
        <v>0.42352173234770729</v>
      </c>
      <c r="K747">
        <v>0</v>
      </c>
      <c r="L747">
        <v>0</v>
      </c>
      <c r="M747">
        <v>0.29896718920776671</v>
      </c>
      <c r="N747">
        <v>0</v>
      </c>
      <c r="O747">
        <v>0</v>
      </c>
      <c r="P747">
        <v>0.2165077555087988</v>
      </c>
      <c r="Q747">
        <v>1.164731526351473</v>
      </c>
      <c r="R747">
        <v>4.8158690321792541</v>
      </c>
      <c r="S747">
        <v>0.30227641020479701</v>
      </c>
      <c r="T747">
        <v>0.21052014677225861</v>
      </c>
      <c r="U747">
        <v>4.3208296830367452</v>
      </c>
      <c r="V747">
        <v>0.1364340893862524</v>
      </c>
      <c r="W747">
        <v>9.8484755840073959</v>
      </c>
      <c r="X747">
        <v>0.34151674187448389</v>
      </c>
      <c r="Z747" t="s">
        <v>392</v>
      </c>
      <c r="AA747">
        <v>9937</v>
      </c>
      <c r="AB747" t="s">
        <v>1138</v>
      </c>
      <c r="AC747" t="str">
        <f>HYPERLINK("plots/20251231000436_3FT6Y121H01_04823_B11P_N_UFLEX98_M5358A8BH101511/dpll_52094/txpa_53248.png","plot")</f>
        <v>plot</v>
      </c>
    </row>
    <row r="748" spans="1:29" hidden="1" x14ac:dyDescent="0.35">
      <c r="A748" t="s">
        <v>46</v>
      </c>
      <c r="B748">
        <v>52094</v>
      </c>
      <c r="C748" t="s">
        <v>53</v>
      </c>
      <c r="D748">
        <v>53249</v>
      </c>
      <c r="E748" t="s">
        <v>124</v>
      </c>
      <c r="F748">
        <v>8669</v>
      </c>
      <c r="G748">
        <v>0.49250880553199111</v>
      </c>
      <c r="H748">
        <v>0</v>
      </c>
      <c r="I748">
        <v>0</v>
      </c>
      <c r="J748">
        <v>0.43291041694043841</v>
      </c>
      <c r="K748">
        <v>0</v>
      </c>
      <c r="L748">
        <v>0</v>
      </c>
      <c r="M748">
        <v>0.30612904085787412</v>
      </c>
      <c r="N748">
        <v>0</v>
      </c>
      <c r="O748">
        <v>0</v>
      </c>
      <c r="P748">
        <v>0.2425649235265486</v>
      </c>
      <c r="Q748">
        <v>1.215764809154688</v>
      </c>
      <c r="R748">
        <v>4.6158643207874261</v>
      </c>
      <c r="S748">
        <v>0.29637327761137011</v>
      </c>
      <c r="T748">
        <v>0.20584628823958709</v>
      </c>
      <c r="U748">
        <v>4.3199530945899181</v>
      </c>
      <c r="V748">
        <v>0.13796083614318261</v>
      </c>
      <c r="W748">
        <v>9.8679112703887402</v>
      </c>
      <c r="X748">
        <v>0.34055823518376199</v>
      </c>
      <c r="Z748" t="s">
        <v>392</v>
      </c>
      <c r="AA748">
        <v>9937</v>
      </c>
      <c r="AB748" t="s">
        <v>1139</v>
      </c>
      <c r="AC748" t="str">
        <f>HYPERLINK("plots/20251231000436_3FT6Y121H01_04823_B11P_N_UFLEX98_M5358A8BH101511/dpll_52094/txpa_53249.png","plot")</f>
        <v>plot</v>
      </c>
    </row>
    <row r="749" spans="1:29" hidden="1" x14ac:dyDescent="0.35">
      <c r="A749" t="s">
        <v>46</v>
      </c>
      <c r="B749">
        <v>52094</v>
      </c>
      <c r="C749" t="s">
        <v>53</v>
      </c>
      <c r="D749">
        <v>53250</v>
      </c>
      <c r="E749" t="s">
        <v>125</v>
      </c>
      <c r="F749">
        <v>8671</v>
      </c>
      <c r="G749">
        <v>0.47067999865620253</v>
      </c>
      <c r="H749">
        <v>0</v>
      </c>
      <c r="I749">
        <v>0</v>
      </c>
      <c r="J749">
        <v>0.40034346269839372</v>
      </c>
      <c r="K749">
        <v>0</v>
      </c>
      <c r="L749">
        <v>0</v>
      </c>
      <c r="M749">
        <v>0.28023527040362661</v>
      </c>
      <c r="N749">
        <v>0</v>
      </c>
      <c r="O749">
        <v>0</v>
      </c>
      <c r="P749">
        <v>0.22153966113500281</v>
      </c>
      <c r="Q749">
        <v>1.1593763376784461</v>
      </c>
      <c r="R749">
        <v>4.7338517600599452</v>
      </c>
      <c r="S749">
        <v>0.30019630787436019</v>
      </c>
      <c r="T749">
        <v>0.21123180361278279</v>
      </c>
      <c r="U749">
        <v>4.3198435516088098</v>
      </c>
      <c r="V749">
        <v>0.13813809310434211</v>
      </c>
      <c r="W749">
        <v>9.7421761562680196</v>
      </c>
      <c r="X749">
        <v>0.34026097759504992</v>
      </c>
      <c r="Z749" t="s">
        <v>392</v>
      </c>
      <c r="AA749">
        <v>9937</v>
      </c>
      <c r="AB749" t="s">
        <v>1140</v>
      </c>
      <c r="AC749" t="str">
        <f>HYPERLINK("plots/20251231000436_3FT6Y121H01_04823_B11P_N_UFLEX98_M5358A8BH101511/dpll_52094/txpa_53250.png","plot")</f>
        <v>plot</v>
      </c>
    </row>
    <row r="750" spans="1:29" hidden="1" x14ac:dyDescent="0.35">
      <c r="A750" t="s">
        <v>46</v>
      </c>
      <c r="B750">
        <v>52094</v>
      </c>
      <c r="C750" t="s">
        <v>53</v>
      </c>
      <c r="D750">
        <v>53251</v>
      </c>
      <c r="E750" t="s">
        <v>126</v>
      </c>
      <c r="F750">
        <v>8642</v>
      </c>
      <c r="G750">
        <v>0.43357421310068872</v>
      </c>
      <c r="H750">
        <v>0</v>
      </c>
      <c r="I750">
        <v>0</v>
      </c>
      <c r="J750">
        <v>0.42540924421845938</v>
      </c>
      <c r="K750">
        <v>0</v>
      </c>
      <c r="L750">
        <v>0</v>
      </c>
      <c r="M750">
        <v>0.29986254755609693</v>
      </c>
      <c r="N750">
        <v>0</v>
      </c>
      <c r="O750">
        <v>0</v>
      </c>
      <c r="P750">
        <v>0.1879865982658814</v>
      </c>
      <c r="Q750">
        <v>1.1447415021440359</v>
      </c>
      <c r="R750">
        <v>5.5087970779968423</v>
      </c>
      <c r="S750">
        <v>0.32389428050242602</v>
      </c>
      <c r="T750">
        <v>0.21825488313870081</v>
      </c>
      <c r="U750">
        <v>4.3210563598703997</v>
      </c>
      <c r="V750">
        <v>0.1361453539238443</v>
      </c>
      <c r="W750">
        <v>10.455289626243919</v>
      </c>
      <c r="X750">
        <v>0.35945688708318002</v>
      </c>
      <c r="Z750" t="s">
        <v>392</v>
      </c>
      <c r="AA750">
        <v>9937</v>
      </c>
      <c r="AB750" t="s">
        <v>1141</v>
      </c>
      <c r="AC750" t="str">
        <f>HYPERLINK("plots/20251231000436_3FT6Y121H01_04823_B11P_N_UFLEX98_M5358A8BH101511/dpll_52094/txpa_53251.png","plot")</f>
        <v>plot</v>
      </c>
    </row>
    <row r="751" spans="1:29" hidden="1" x14ac:dyDescent="0.35">
      <c r="A751" t="s">
        <v>46</v>
      </c>
      <c r="B751">
        <v>52094</v>
      </c>
      <c r="C751" t="s">
        <v>53</v>
      </c>
      <c r="D751">
        <v>53252</v>
      </c>
      <c r="E751" t="s">
        <v>127</v>
      </c>
      <c r="F751">
        <v>8641</v>
      </c>
      <c r="G751">
        <v>0.42711694820309509</v>
      </c>
      <c r="H751">
        <v>0</v>
      </c>
      <c r="I751">
        <v>0</v>
      </c>
      <c r="J751">
        <v>0.41636438395332043</v>
      </c>
      <c r="K751">
        <v>0</v>
      </c>
      <c r="L751">
        <v>0</v>
      </c>
      <c r="M751">
        <v>0.29360374317649129</v>
      </c>
      <c r="N751">
        <v>0</v>
      </c>
      <c r="O751">
        <v>0</v>
      </c>
      <c r="P751">
        <v>0.18242888744232541</v>
      </c>
      <c r="Q751">
        <v>1.1783815231502479</v>
      </c>
      <c r="R751">
        <v>5.5295460436488444</v>
      </c>
      <c r="S751">
        <v>0.33736499469670861</v>
      </c>
      <c r="T751">
        <v>0.23107462070016191</v>
      </c>
      <c r="U751">
        <v>4.3215547090614512</v>
      </c>
      <c r="V751">
        <v>0.13524563604463849</v>
      </c>
      <c r="W751">
        <v>10.6219862640898</v>
      </c>
      <c r="X751">
        <v>0.37313190046002082</v>
      </c>
      <c r="Z751" t="s">
        <v>392</v>
      </c>
      <c r="AA751">
        <v>9937</v>
      </c>
      <c r="AB751" t="s">
        <v>1142</v>
      </c>
      <c r="AC751" t="str">
        <f>HYPERLINK("plots/20251231000436_3FT6Y121H01_04823_B11P_N_UFLEX98_M5358A8BH101511/dpll_52094/txpa_53252.png","plot")</f>
        <v>plot</v>
      </c>
    </row>
    <row r="752" spans="1:29" hidden="1" x14ac:dyDescent="0.35">
      <c r="A752" t="s">
        <v>46</v>
      </c>
      <c r="B752">
        <v>52094</v>
      </c>
      <c r="C752" t="s">
        <v>53</v>
      </c>
      <c r="D752">
        <v>53253</v>
      </c>
      <c r="E752" t="s">
        <v>128</v>
      </c>
      <c r="F752">
        <v>8629</v>
      </c>
      <c r="G752">
        <v>0.44318547451012441</v>
      </c>
      <c r="H752">
        <v>0</v>
      </c>
      <c r="I752">
        <v>0</v>
      </c>
      <c r="J752">
        <v>0.44429754952293182</v>
      </c>
      <c r="K752">
        <v>0</v>
      </c>
      <c r="L752">
        <v>0</v>
      </c>
      <c r="M752">
        <v>0.31651243683166019</v>
      </c>
      <c r="N752">
        <v>0</v>
      </c>
      <c r="O752">
        <v>0</v>
      </c>
      <c r="P752">
        <v>0.19641336481676411</v>
      </c>
      <c r="Q752">
        <v>1.188503262971933</v>
      </c>
      <c r="R752">
        <v>5.3547509359497401</v>
      </c>
      <c r="S752">
        <v>0.32335688396147072</v>
      </c>
      <c r="T752">
        <v>0.2163762370829142</v>
      </c>
      <c r="U752">
        <v>4.3219636828137684</v>
      </c>
      <c r="V752">
        <v>0.13451665654757811</v>
      </c>
      <c r="W752">
        <v>10.49141887542009</v>
      </c>
      <c r="X752">
        <v>0.36073719565738882</v>
      </c>
      <c r="Z752" t="s">
        <v>392</v>
      </c>
      <c r="AA752">
        <v>9937</v>
      </c>
      <c r="AB752" t="s">
        <v>1143</v>
      </c>
      <c r="AC752" t="str">
        <f>HYPERLINK("plots/20251231000436_3FT6Y121H01_04823_B11P_N_UFLEX98_M5358A8BH101511/dpll_52094/txpa_53253.png","plot")</f>
        <v>plot</v>
      </c>
    </row>
    <row r="753" spans="1:29" hidden="1" x14ac:dyDescent="0.35">
      <c r="A753" t="s">
        <v>46</v>
      </c>
      <c r="B753">
        <v>52094</v>
      </c>
      <c r="C753" t="s">
        <v>53</v>
      </c>
      <c r="D753">
        <v>53254</v>
      </c>
      <c r="E753" t="s">
        <v>129</v>
      </c>
      <c r="F753">
        <v>8634</v>
      </c>
      <c r="G753">
        <v>0.43926839131540052</v>
      </c>
      <c r="H753">
        <v>0</v>
      </c>
      <c r="I753">
        <v>0</v>
      </c>
      <c r="J753">
        <v>0.4253123898277687</v>
      </c>
      <c r="K753">
        <v>0</v>
      </c>
      <c r="L753">
        <v>0</v>
      </c>
      <c r="M753">
        <v>0.30085866959515639</v>
      </c>
      <c r="N753">
        <v>0</v>
      </c>
      <c r="O753">
        <v>0</v>
      </c>
      <c r="P753">
        <v>0.1929567196088198</v>
      </c>
      <c r="Q753">
        <v>1.192818956482834</v>
      </c>
      <c r="R753">
        <v>5.4433226926620852</v>
      </c>
      <c r="S753">
        <v>0.32861432618357661</v>
      </c>
      <c r="T753">
        <v>0.2255730565601638</v>
      </c>
      <c r="U753">
        <v>4.321904846305304</v>
      </c>
      <c r="V753">
        <v>0.1347158367393031</v>
      </c>
      <c r="W753">
        <v>10.598572721450079</v>
      </c>
      <c r="X753">
        <v>0.36581645066673768</v>
      </c>
      <c r="Z753" t="s">
        <v>392</v>
      </c>
      <c r="AA753">
        <v>9937</v>
      </c>
      <c r="AB753" t="s">
        <v>1144</v>
      </c>
      <c r="AC753" t="str">
        <f>HYPERLINK("plots/20251231000436_3FT6Y121H01_04823_B11P_N_UFLEX98_M5358A8BH101511/dpll_52094/txpa_53254.png","plot")</f>
        <v>plot</v>
      </c>
    </row>
    <row r="754" spans="1:29" hidden="1" x14ac:dyDescent="0.35">
      <c r="A754" t="s">
        <v>46</v>
      </c>
      <c r="B754">
        <v>52094</v>
      </c>
      <c r="C754" t="s">
        <v>53</v>
      </c>
      <c r="D754">
        <v>53255</v>
      </c>
      <c r="E754" t="s">
        <v>130</v>
      </c>
      <c r="F754">
        <v>8626</v>
      </c>
      <c r="G754">
        <v>0.45118864372720591</v>
      </c>
      <c r="H754">
        <v>0</v>
      </c>
      <c r="I754">
        <v>0</v>
      </c>
      <c r="J754">
        <v>0.44182150246011148</v>
      </c>
      <c r="K754">
        <v>0</v>
      </c>
      <c r="L754">
        <v>0</v>
      </c>
      <c r="M754">
        <v>0.31449584250346252</v>
      </c>
      <c r="N754">
        <v>0</v>
      </c>
      <c r="O754">
        <v>0</v>
      </c>
      <c r="P754">
        <v>0.20357119222839551</v>
      </c>
      <c r="Q754">
        <v>1.1989019496055251</v>
      </c>
      <c r="R754">
        <v>5.4314181512355564</v>
      </c>
      <c r="S754">
        <v>0.31810490557068799</v>
      </c>
      <c r="T754">
        <v>0.21468111714395979</v>
      </c>
      <c r="U754">
        <v>4.3222497646649654</v>
      </c>
      <c r="V754">
        <v>0.1341518156411067</v>
      </c>
      <c r="W754">
        <v>10.6133718207744</v>
      </c>
      <c r="X754">
        <v>0.35646924086255682</v>
      </c>
      <c r="Z754" t="s">
        <v>392</v>
      </c>
      <c r="AA754">
        <v>9937</v>
      </c>
      <c r="AB754" t="s">
        <v>1145</v>
      </c>
      <c r="AC754" t="str">
        <f>HYPERLINK("plots/20251231000436_3FT6Y121H01_04823_B11P_N_UFLEX98_M5358A8BH101511/dpll_52094/txpa_53255.png","plot")</f>
        <v>plot</v>
      </c>
    </row>
    <row r="755" spans="1:29" hidden="1" x14ac:dyDescent="0.35">
      <c r="A755" t="s">
        <v>46</v>
      </c>
      <c r="B755">
        <v>52094</v>
      </c>
      <c r="C755" t="s">
        <v>53</v>
      </c>
      <c r="D755">
        <v>53256</v>
      </c>
      <c r="E755" t="s">
        <v>131</v>
      </c>
      <c r="F755">
        <v>8649</v>
      </c>
      <c r="G755">
        <v>0.46776972692318869</v>
      </c>
      <c r="H755">
        <v>0</v>
      </c>
      <c r="I755">
        <v>0</v>
      </c>
      <c r="J755">
        <v>0.44092231806828719</v>
      </c>
      <c r="K755">
        <v>0</v>
      </c>
      <c r="L755">
        <v>0</v>
      </c>
      <c r="M755">
        <v>0.31437016656818001</v>
      </c>
      <c r="N755">
        <v>0</v>
      </c>
      <c r="O755">
        <v>0</v>
      </c>
      <c r="P755">
        <v>0.2188085174257946</v>
      </c>
      <c r="Q755">
        <v>1.2612774264258</v>
      </c>
      <c r="R755">
        <v>5.1401852219331623</v>
      </c>
      <c r="S755">
        <v>0.32408795370157312</v>
      </c>
      <c r="T755">
        <v>0.22141845468116109</v>
      </c>
      <c r="U755">
        <v>4.3211031910047399</v>
      </c>
      <c r="V755">
        <v>0.13599744074202541</v>
      </c>
      <c r="W755">
        <v>10.590295134003931</v>
      </c>
      <c r="X755">
        <v>0.36669859588361847</v>
      </c>
      <c r="Z755" t="s">
        <v>392</v>
      </c>
      <c r="AA755">
        <v>9937</v>
      </c>
      <c r="AB755" t="s">
        <v>1146</v>
      </c>
      <c r="AC755" t="str">
        <f>HYPERLINK("plots/20251231000436_3FT6Y121H01_04823_B11P_N_UFLEX98_M5358A8BH101511/dpll_52094/txpa_53256.png","plot")</f>
        <v>plot</v>
      </c>
    </row>
    <row r="756" spans="1:29" hidden="1" x14ac:dyDescent="0.35">
      <c r="A756" t="s">
        <v>46</v>
      </c>
      <c r="B756">
        <v>52094</v>
      </c>
      <c r="C756" t="s">
        <v>53</v>
      </c>
      <c r="D756">
        <v>53257</v>
      </c>
      <c r="E756" t="s">
        <v>132</v>
      </c>
      <c r="F756">
        <v>8646</v>
      </c>
      <c r="G756">
        <v>0.47230629182628658</v>
      </c>
      <c r="H756">
        <v>0</v>
      </c>
      <c r="I756">
        <v>0</v>
      </c>
      <c r="J756">
        <v>0.44268152048321802</v>
      </c>
      <c r="K756">
        <v>0</v>
      </c>
      <c r="L756">
        <v>0</v>
      </c>
      <c r="M756">
        <v>0.31492932840381782</v>
      </c>
      <c r="N756">
        <v>0</v>
      </c>
      <c r="O756">
        <v>0</v>
      </c>
      <c r="P756">
        <v>0.22307323329869741</v>
      </c>
      <c r="Q756">
        <v>1.2564835459668979</v>
      </c>
      <c r="R756">
        <v>5.1864481729954521</v>
      </c>
      <c r="S756">
        <v>0.31826502472267387</v>
      </c>
      <c r="T756">
        <v>0.21697256136268381</v>
      </c>
      <c r="U756">
        <v>4.3212673724265551</v>
      </c>
      <c r="V756">
        <v>0.13573470868192361</v>
      </c>
      <c r="W756">
        <v>10.616049524173031</v>
      </c>
      <c r="X756">
        <v>0.36109709107617499</v>
      </c>
      <c r="Z756" t="s">
        <v>392</v>
      </c>
      <c r="AA756">
        <v>9937</v>
      </c>
      <c r="AB756" t="s">
        <v>1147</v>
      </c>
      <c r="AC756" t="str">
        <f>HYPERLINK("plots/20251231000436_3FT6Y121H01_04823_B11P_N_UFLEX98_M5358A8BH101511/dpll_52094/txpa_53257.png","plot")</f>
        <v>plot</v>
      </c>
    </row>
    <row r="757" spans="1:29" hidden="1" x14ac:dyDescent="0.35">
      <c r="A757" t="s">
        <v>46</v>
      </c>
      <c r="B757">
        <v>52094</v>
      </c>
      <c r="C757" t="s">
        <v>53</v>
      </c>
      <c r="D757">
        <v>53258</v>
      </c>
      <c r="E757" t="s">
        <v>133</v>
      </c>
      <c r="F757">
        <v>8662</v>
      </c>
      <c r="G757">
        <v>0.46761405423601321</v>
      </c>
      <c r="H757">
        <v>0</v>
      </c>
      <c r="I757">
        <v>0</v>
      </c>
      <c r="J757">
        <v>0.41738731958902608</v>
      </c>
      <c r="K757">
        <v>0</v>
      </c>
      <c r="L757">
        <v>0</v>
      </c>
      <c r="M757">
        <v>0.29432578442850887</v>
      </c>
      <c r="N757">
        <v>0</v>
      </c>
      <c r="O757">
        <v>0</v>
      </c>
      <c r="P757">
        <v>0.2186629037190411</v>
      </c>
      <c r="Q757">
        <v>1.2289521555476799</v>
      </c>
      <c r="R757">
        <v>5.2254760493526007</v>
      </c>
      <c r="S757">
        <v>0.31884834102388249</v>
      </c>
      <c r="T757">
        <v>0.22085581920017289</v>
      </c>
      <c r="U757">
        <v>4.320363595820826</v>
      </c>
      <c r="V757">
        <v>0.13725955602882739</v>
      </c>
      <c r="W757">
        <v>10.53499620318633</v>
      </c>
      <c r="X757">
        <v>0.36073643579156922</v>
      </c>
      <c r="Z757" t="s">
        <v>392</v>
      </c>
      <c r="AA757">
        <v>9937</v>
      </c>
      <c r="AB757" t="s">
        <v>1148</v>
      </c>
      <c r="AC757" t="str">
        <f>HYPERLINK("plots/20251231000436_3FT6Y121H01_04823_B11P_N_UFLEX98_M5358A8BH101511/dpll_52094/txpa_53258.png","plot")</f>
        <v>plot</v>
      </c>
    </row>
    <row r="758" spans="1:29" hidden="1" x14ac:dyDescent="0.35">
      <c r="A758" t="s">
        <v>46</v>
      </c>
      <c r="B758">
        <v>52094</v>
      </c>
      <c r="C758" t="s">
        <v>53</v>
      </c>
      <c r="D758">
        <v>53259</v>
      </c>
      <c r="E758" t="s">
        <v>134</v>
      </c>
      <c r="F758">
        <v>8632</v>
      </c>
      <c r="G758">
        <v>0.42763481128681402</v>
      </c>
      <c r="H758">
        <v>0</v>
      </c>
      <c r="I758">
        <v>0</v>
      </c>
      <c r="J758">
        <v>0.43199384085912967</v>
      </c>
      <c r="K758">
        <v>0</v>
      </c>
      <c r="L758">
        <v>0</v>
      </c>
      <c r="M758">
        <v>0.30587538524629232</v>
      </c>
      <c r="N758">
        <v>0</v>
      </c>
      <c r="O758">
        <v>0</v>
      </c>
      <c r="P758">
        <v>0.18287153182430901</v>
      </c>
      <c r="Q758">
        <v>1.172143493660232</v>
      </c>
      <c r="R758">
        <v>5.7468506513172528</v>
      </c>
      <c r="S758">
        <v>0.33525706221049623</v>
      </c>
      <c r="T758">
        <v>0.22423781701860551</v>
      </c>
      <c r="U758">
        <v>4.3215772276413347</v>
      </c>
      <c r="V758">
        <v>0.1353163242765745</v>
      </c>
      <c r="W758">
        <v>10.81235928104727</v>
      </c>
      <c r="X758">
        <v>0.37090092971973992</v>
      </c>
      <c r="Z758" t="s">
        <v>392</v>
      </c>
      <c r="AA758">
        <v>9937</v>
      </c>
      <c r="AB758" t="s">
        <v>1149</v>
      </c>
      <c r="AC758" t="str">
        <f>HYPERLINK("plots/20251231000436_3FT6Y121H01_04823_B11P_N_UFLEX98_M5358A8BH101511/dpll_52094/txpa_53259.png","plot")</f>
        <v>plot</v>
      </c>
    </row>
    <row r="759" spans="1:29" hidden="1" x14ac:dyDescent="0.35">
      <c r="A759" t="s">
        <v>46</v>
      </c>
      <c r="B759">
        <v>52094</v>
      </c>
      <c r="C759" t="s">
        <v>53</v>
      </c>
      <c r="D759">
        <v>53260</v>
      </c>
      <c r="E759" t="s">
        <v>135</v>
      </c>
      <c r="F759">
        <v>8639</v>
      </c>
      <c r="G759">
        <v>0.43303993030173737</v>
      </c>
      <c r="H759">
        <v>0</v>
      </c>
      <c r="I759">
        <v>0</v>
      </c>
      <c r="J759">
        <v>0.43140667902063712</v>
      </c>
      <c r="K759">
        <v>0</v>
      </c>
      <c r="L759">
        <v>0</v>
      </c>
      <c r="M759">
        <v>0.30662934649780671</v>
      </c>
      <c r="N759">
        <v>0</v>
      </c>
      <c r="O759">
        <v>0</v>
      </c>
      <c r="P759">
        <v>0.18752358123573359</v>
      </c>
      <c r="Q759">
        <v>1.235873367506344</v>
      </c>
      <c r="R759">
        <v>5.6106176268411518</v>
      </c>
      <c r="S759">
        <v>0.34742656761787022</v>
      </c>
      <c r="T759">
        <v>0.23463680723541769</v>
      </c>
      <c r="U759">
        <v>4.3216659363352239</v>
      </c>
      <c r="V759">
        <v>0.1350631116982044</v>
      </c>
      <c r="W759">
        <v>10.951649460817221</v>
      </c>
      <c r="X759">
        <v>0.38546307395726032</v>
      </c>
      <c r="Z759" t="s">
        <v>392</v>
      </c>
      <c r="AA759">
        <v>9937</v>
      </c>
      <c r="AB759" t="s">
        <v>1150</v>
      </c>
      <c r="AC759" t="str">
        <f>HYPERLINK("plots/20251231000436_3FT6Y121H01_04823_B11P_N_UFLEX98_M5358A8BH101511/dpll_52094/txpa_53260.png","plot")</f>
        <v>plot</v>
      </c>
    </row>
    <row r="760" spans="1:29" hidden="1" x14ac:dyDescent="0.35">
      <c r="A760" t="s">
        <v>46</v>
      </c>
      <c r="B760">
        <v>52094</v>
      </c>
      <c r="C760" t="s">
        <v>53</v>
      </c>
      <c r="D760">
        <v>53261</v>
      </c>
      <c r="E760" t="s">
        <v>136</v>
      </c>
      <c r="F760">
        <v>8620</v>
      </c>
      <c r="G760">
        <v>0.43927624337581861</v>
      </c>
      <c r="H760">
        <v>0</v>
      </c>
      <c r="I760">
        <v>0</v>
      </c>
      <c r="J760">
        <v>0.449372093120262</v>
      </c>
      <c r="K760">
        <v>0</v>
      </c>
      <c r="L760">
        <v>0</v>
      </c>
      <c r="M760">
        <v>0.32142460700973607</v>
      </c>
      <c r="N760">
        <v>0</v>
      </c>
      <c r="O760">
        <v>0</v>
      </c>
      <c r="P760">
        <v>0.19296361799437139</v>
      </c>
      <c r="Q760">
        <v>1.22686775111183</v>
      </c>
      <c r="R760">
        <v>5.5249334278193656</v>
      </c>
      <c r="S760">
        <v>0.33602105367080359</v>
      </c>
      <c r="T760">
        <v>0.22322511726579261</v>
      </c>
      <c r="U760">
        <v>4.3223559307424599</v>
      </c>
      <c r="V760">
        <v>0.13393222717407069</v>
      </c>
      <c r="W760">
        <v>10.82789252807425</v>
      </c>
      <c r="X760">
        <v>0.37406332081990379</v>
      </c>
      <c r="Z760" t="s">
        <v>392</v>
      </c>
      <c r="AA760">
        <v>9937</v>
      </c>
      <c r="AB760" t="s">
        <v>1151</v>
      </c>
      <c r="AC760" t="str">
        <f>HYPERLINK("plots/20251231000436_3FT6Y121H01_04823_B11P_N_UFLEX98_M5358A8BH101511/dpll_52094/txpa_53261.png","plot")</f>
        <v>plot</v>
      </c>
    </row>
    <row r="761" spans="1:29" hidden="1" x14ac:dyDescent="0.35">
      <c r="A761" t="s">
        <v>46</v>
      </c>
      <c r="B761">
        <v>52094</v>
      </c>
      <c r="C761" t="s">
        <v>53</v>
      </c>
      <c r="D761">
        <v>53262</v>
      </c>
      <c r="E761" t="s">
        <v>137</v>
      </c>
      <c r="F761">
        <v>8631</v>
      </c>
      <c r="G761">
        <v>0.44254735060281553</v>
      </c>
      <c r="H761">
        <v>0</v>
      </c>
      <c r="I761">
        <v>0</v>
      </c>
      <c r="J761">
        <v>0.43697307477145719</v>
      </c>
      <c r="K761">
        <v>0</v>
      </c>
      <c r="L761">
        <v>0</v>
      </c>
      <c r="M761">
        <v>0.31092630630646051</v>
      </c>
      <c r="N761">
        <v>0</v>
      </c>
      <c r="O761">
        <v>0</v>
      </c>
      <c r="P761">
        <v>0.1958481575255713</v>
      </c>
      <c r="Q761">
        <v>1.25114354125642</v>
      </c>
      <c r="R761">
        <v>5.520482036622794</v>
      </c>
      <c r="S761">
        <v>0.34077689253195431</v>
      </c>
      <c r="T761">
        <v>0.23119979001631011</v>
      </c>
      <c r="U761">
        <v>4.3220762971845668</v>
      </c>
      <c r="V761">
        <v>0.13442463779024491</v>
      </c>
      <c r="W761">
        <v>10.928019880662729</v>
      </c>
      <c r="X761">
        <v>0.38003733866648692</v>
      </c>
      <c r="Z761" t="s">
        <v>392</v>
      </c>
      <c r="AA761">
        <v>9937</v>
      </c>
      <c r="AB761" t="s">
        <v>1152</v>
      </c>
      <c r="AC761" t="str">
        <f>HYPERLINK("plots/20251231000436_3FT6Y121H01_04823_B11P_N_UFLEX98_M5358A8BH101511/dpll_52094/txpa_53262.png","plot")</f>
        <v>plot</v>
      </c>
    </row>
    <row r="762" spans="1:29" hidden="1" x14ac:dyDescent="0.35">
      <c r="A762" t="s">
        <v>46</v>
      </c>
      <c r="B762">
        <v>52094</v>
      </c>
      <c r="C762" t="s">
        <v>53</v>
      </c>
      <c r="D762">
        <v>53263</v>
      </c>
      <c r="E762" t="s">
        <v>138</v>
      </c>
      <c r="F762">
        <v>8620</v>
      </c>
      <c r="G762">
        <v>0.44709630802221589</v>
      </c>
      <c r="H762">
        <v>0</v>
      </c>
      <c r="I762">
        <v>0</v>
      </c>
      <c r="J762">
        <v>0.44655514298167959</v>
      </c>
      <c r="K762">
        <v>0</v>
      </c>
      <c r="L762">
        <v>0</v>
      </c>
      <c r="M762">
        <v>0.3190493538999572</v>
      </c>
      <c r="N762">
        <v>0</v>
      </c>
      <c r="O762">
        <v>0</v>
      </c>
      <c r="P762">
        <v>0.1998951086470962</v>
      </c>
      <c r="Q762">
        <v>1.2416944695640659</v>
      </c>
      <c r="R762">
        <v>5.5751758019311213</v>
      </c>
      <c r="S762">
        <v>0.33190772156594428</v>
      </c>
      <c r="T762">
        <v>0.22219708688022019</v>
      </c>
      <c r="U762">
        <v>4.3225768242459397</v>
      </c>
      <c r="V762">
        <v>0.13361506358890499</v>
      </c>
      <c r="W762">
        <v>10.94249553886311</v>
      </c>
      <c r="X762">
        <v>0.3710813140969853</v>
      </c>
      <c r="Z762" t="s">
        <v>392</v>
      </c>
      <c r="AA762">
        <v>9937</v>
      </c>
      <c r="AB762" t="s">
        <v>1153</v>
      </c>
      <c r="AC762" t="str">
        <f>HYPERLINK("plots/20251231000436_3FT6Y121H01_04823_B11P_N_UFLEX98_M5358A8BH101511/dpll_52094/txpa_53263.png","plot")</f>
        <v>plot</v>
      </c>
    </row>
    <row r="763" spans="1:29" hidden="1" x14ac:dyDescent="0.35">
      <c r="A763" t="s">
        <v>46</v>
      </c>
      <c r="B763">
        <v>52094</v>
      </c>
      <c r="C763" t="s">
        <v>53</v>
      </c>
      <c r="D763">
        <v>53264</v>
      </c>
      <c r="E763" t="s">
        <v>139</v>
      </c>
      <c r="F763">
        <v>8645</v>
      </c>
      <c r="G763">
        <v>0.46747446467140169</v>
      </c>
      <c r="H763">
        <v>0</v>
      </c>
      <c r="I763">
        <v>0</v>
      </c>
      <c r="J763">
        <v>0.44794754182970048</v>
      </c>
      <c r="K763">
        <v>0</v>
      </c>
      <c r="L763">
        <v>0</v>
      </c>
      <c r="M763">
        <v>0.32084452081260317</v>
      </c>
      <c r="N763">
        <v>0</v>
      </c>
      <c r="O763">
        <v>0</v>
      </c>
      <c r="P763">
        <v>0.2185323751198136</v>
      </c>
      <c r="Q763">
        <v>1.312291839584796</v>
      </c>
      <c r="R763">
        <v>5.242936320190327</v>
      </c>
      <c r="S763">
        <v>0.336562843154536</v>
      </c>
      <c r="T763">
        <v>0.2281546185397578</v>
      </c>
      <c r="U763">
        <v>4.3213259116252178</v>
      </c>
      <c r="V763">
        <v>0.13563234077455749</v>
      </c>
      <c r="W763">
        <v>10.91377705020243</v>
      </c>
      <c r="X763">
        <v>0.38074638816335921</v>
      </c>
      <c r="Z763" t="s">
        <v>392</v>
      </c>
      <c r="AA763">
        <v>9937</v>
      </c>
      <c r="AB763" t="s">
        <v>1154</v>
      </c>
      <c r="AC763" t="str">
        <f>HYPERLINK("plots/20251231000436_3FT6Y121H01_04823_B11P_N_UFLEX98_M5358A8BH101511/dpll_52094/txpa_53264.png","plot")</f>
        <v>plot</v>
      </c>
    </row>
    <row r="764" spans="1:29" hidden="1" x14ac:dyDescent="0.35">
      <c r="A764" t="s">
        <v>46</v>
      </c>
      <c r="B764">
        <v>52094</v>
      </c>
      <c r="C764" t="s">
        <v>53</v>
      </c>
      <c r="D764">
        <v>53265</v>
      </c>
      <c r="E764" t="s">
        <v>140</v>
      </c>
      <c r="F764">
        <v>8640</v>
      </c>
      <c r="G764">
        <v>0.46846992475891741</v>
      </c>
      <c r="H764">
        <v>0</v>
      </c>
      <c r="I764">
        <v>0</v>
      </c>
      <c r="J764">
        <v>0.44763038594309351</v>
      </c>
      <c r="K764">
        <v>0</v>
      </c>
      <c r="L764">
        <v>0</v>
      </c>
      <c r="M764">
        <v>0.31951711346385869</v>
      </c>
      <c r="N764">
        <v>0</v>
      </c>
      <c r="O764">
        <v>0</v>
      </c>
      <c r="P764">
        <v>0.2194640704036257</v>
      </c>
      <c r="Q764">
        <v>1.3010470378234349</v>
      </c>
      <c r="R764">
        <v>5.3195259491979119</v>
      </c>
      <c r="S764">
        <v>0.3318332487697141</v>
      </c>
      <c r="T764">
        <v>0.22431652944137631</v>
      </c>
      <c r="U764">
        <v>4.3215819516203702</v>
      </c>
      <c r="V764">
        <v>0.1352500082332847</v>
      </c>
      <c r="W764">
        <v>10.942107346064811</v>
      </c>
      <c r="X764">
        <v>0.37561989207325458</v>
      </c>
      <c r="Z764" t="s">
        <v>392</v>
      </c>
      <c r="AA764">
        <v>9937</v>
      </c>
      <c r="AB764" t="s">
        <v>1155</v>
      </c>
      <c r="AC764" t="str">
        <f>HYPERLINK("plots/20251231000436_3FT6Y121H01_04823_B11P_N_UFLEX98_M5358A8BH101511/dpll_52094/txpa_53265.png","plot")</f>
        <v>plot</v>
      </c>
    </row>
    <row r="765" spans="1:29" hidden="1" x14ac:dyDescent="0.35">
      <c r="A765" t="s">
        <v>46</v>
      </c>
      <c r="B765">
        <v>52094</v>
      </c>
      <c r="C765" t="s">
        <v>53</v>
      </c>
      <c r="D765">
        <v>53266</v>
      </c>
      <c r="E765" t="s">
        <v>141</v>
      </c>
      <c r="F765">
        <v>8652</v>
      </c>
      <c r="G765">
        <v>0.4606446838693809</v>
      </c>
      <c r="H765">
        <v>0</v>
      </c>
      <c r="I765">
        <v>0</v>
      </c>
      <c r="J765">
        <v>0.42565124034893509</v>
      </c>
      <c r="K765">
        <v>0</v>
      </c>
      <c r="L765">
        <v>0</v>
      </c>
      <c r="M765">
        <v>0.30133028739025108</v>
      </c>
      <c r="N765">
        <v>0</v>
      </c>
      <c r="O765">
        <v>0</v>
      </c>
      <c r="P765">
        <v>0.21219352477712189</v>
      </c>
      <c r="Q765">
        <v>1.250661256911765</v>
      </c>
      <c r="R765">
        <v>5.4842264768454791</v>
      </c>
      <c r="S765">
        <v>0.32836179608237198</v>
      </c>
      <c r="T765">
        <v>0.22570631075719511</v>
      </c>
      <c r="U765">
        <v>4.320940414470642</v>
      </c>
      <c r="V765">
        <v>0.13626813619314851</v>
      </c>
      <c r="W765">
        <v>10.888259246648181</v>
      </c>
      <c r="X765">
        <v>0.3699712261016172</v>
      </c>
      <c r="Z765" t="s">
        <v>392</v>
      </c>
      <c r="AA765">
        <v>9937</v>
      </c>
      <c r="AB765" t="s">
        <v>1156</v>
      </c>
      <c r="AC765" t="str">
        <f>HYPERLINK("plots/20251231000436_3FT6Y121H01_04823_B11P_N_UFLEX98_M5358A8BH101511/dpll_52094/txpa_53266.png","plot")</f>
        <v>plot</v>
      </c>
    </row>
    <row r="766" spans="1:29" hidden="1" x14ac:dyDescent="0.35">
      <c r="A766" t="s">
        <v>46</v>
      </c>
      <c r="B766">
        <v>52094</v>
      </c>
      <c r="C766" t="s">
        <v>53</v>
      </c>
      <c r="D766">
        <v>53267</v>
      </c>
      <c r="E766" t="s">
        <v>142</v>
      </c>
      <c r="F766">
        <v>8630</v>
      </c>
      <c r="G766">
        <v>0.43024978073422809</v>
      </c>
      <c r="H766">
        <v>0</v>
      </c>
      <c r="I766">
        <v>0</v>
      </c>
      <c r="J766">
        <v>0.44001207644725809</v>
      </c>
      <c r="K766">
        <v>0</v>
      </c>
      <c r="L766">
        <v>0</v>
      </c>
      <c r="M766">
        <v>0.31316956082867131</v>
      </c>
      <c r="N766">
        <v>0</v>
      </c>
      <c r="O766">
        <v>0</v>
      </c>
      <c r="P766">
        <v>0.18511487382185141</v>
      </c>
      <c r="Q766">
        <v>1.2286637938379981</v>
      </c>
      <c r="R766">
        <v>5.8208348031774966</v>
      </c>
      <c r="S766">
        <v>0.34833594313624949</v>
      </c>
      <c r="T766">
        <v>0.23122821439471311</v>
      </c>
      <c r="U766">
        <v>4.32168805631518</v>
      </c>
      <c r="V766">
        <v>0.13513344685159431</v>
      </c>
      <c r="W766">
        <v>11.130736446234071</v>
      </c>
      <c r="X766">
        <v>0.3859004255615105</v>
      </c>
      <c r="Z766" t="s">
        <v>392</v>
      </c>
      <c r="AA766">
        <v>9937</v>
      </c>
      <c r="AB766" t="s">
        <v>1157</v>
      </c>
      <c r="AC766" t="str">
        <f>HYPERLINK("plots/20251231000436_3FT6Y121H01_04823_B11P_N_UFLEX98_M5358A8BH101511/dpll_52094/txpa_53267.png","plot")</f>
        <v>plot</v>
      </c>
    </row>
    <row r="767" spans="1:29" hidden="1" x14ac:dyDescent="0.35">
      <c r="A767" t="s">
        <v>46</v>
      </c>
      <c r="B767">
        <v>52094</v>
      </c>
      <c r="C767" t="s">
        <v>53</v>
      </c>
      <c r="D767">
        <v>53268</v>
      </c>
      <c r="E767" t="s">
        <v>143</v>
      </c>
      <c r="F767">
        <v>8632</v>
      </c>
      <c r="G767">
        <v>0.43542561965269477</v>
      </c>
      <c r="H767">
        <v>0</v>
      </c>
      <c r="I767">
        <v>0</v>
      </c>
      <c r="J767">
        <v>0.44320701265031692</v>
      </c>
      <c r="K767">
        <v>0</v>
      </c>
      <c r="L767">
        <v>0</v>
      </c>
      <c r="M767">
        <v>0.31709319577623851</v>
      </c>
      <c r="N767">
        <v>0</v>
      </c>
      <c r="O767">
        <v>0</v>
      </c>
      <c r="P767">
        <v>0.1895954702499332</v>
      </c>
      <c r="Q767">
        <v>1.2797032548807601</v>
      </c>
      <c r="R767">
        <v>5.7131165241159323</v>
      </c>
      <c r="S767">
        <v>0.35584531986045759</v>
      </c>
      <c r="T767">
        <v>0.23790963455228159</v>
      </c>
      <c r="U767">
        <v>4.3219888525254868</v>
      </c>
      <c r="V767">
        <v>0.13450554542130069</v>
      </c>
      <c r="W767">
        <v>11.24397972625116</v>
      </c>
      <c r="X767">
        <v>0.39530789302761499</v>
      </c>
      <c r="Z767" t="s">
        <v>392</v>
      </c>
      <c r="AA767">
        <v>9937</v>
      </c>
      <c r="AB767" t="s">
        <v>1158</v>
      </c>
      <c r="AC767" t="str">
        <f>HYPERLINK("plots/20251231000436_3FT6Y121H01_04823_B11P_N_UFLEX98_M5358A8BH101511/dpll_52094/txpa_53268.png","plot")</f>
        <v>plot</v>
      </c>
    </row>
    <row r="768" spans="1:29" hidden="1" x14ac:dyDescent="0.35">
      <c r="A768" t="s">
        <v>46</v>
      </c>
      <c r="B768">
        <v>52094</v>
      </c>
      <c r="C768" t="s">
        <v>53</v>
      </c>
      <c r="D768">
        <v>53269</v>
      </c>
      <c r="E768" t="s">
        <v>144</v>
      </c>
      <c r="F768">
        <v>8614</v>
      </c>
      <c r="G768">
        <v>0.4381893047456894</v>
      </c>
      <c r="H768">
        <v>0</v>
      </c>
      <c r="I768">
        <v>0</v>
      </c>
      <c r="J768">
        <v>0.45386220735197569</v>
      </c>
      <c r="K768">
        <v>0</v>
      </c>
      <c r="L768">
        <v>0</v>
      </c>
      <c r="M768">
        <v>0.32573768433858108</v>
      </c>
      <c r="N768">
        <v>0</v>
      </c>
      <c r="O768">
        <v>0</v>
      </c>
      <c r="P768">
        <v>0.19200986679351059</v>
      </c>
      <c r="Q768">
        <v>1.2744649825748211</v>
      </c>
      <c r="R768">
        <v>5.6177050002308206</v>
      </c>
      <c r="S768">
        <v>0.34899011242739658</v>
      </c>
      <c r="T768">
        <v>0.2305524045908656</v>
      </c>
      <c r="U768">
        <v>4.3226187289296503</v>
      </c>
      <c r="V768">
        <v>0.13349628191379739</v>
      </c>
      <c r="W768">
        <v>11.12673120327374</v>
      </c>
      <c r="X768">
        <v>0.38827131278754701</v>
      </c>
      <c r="Z768" t="s">
        <v>392</v>
      </c>
      <c r="AA768">
        <v>9937</v>
      </c>
      <c r="AB768" t="s">
        <v>1159</v>
      </c>
      <c r="AC768" t="str">
        <f>HYPERLINK("plots/20251231000436_3FT6Y121H01_04823_B11P_N_UFLEX98_M5358A8BH101511/dpll_52094/txpa_53269.png","plot")</f>
        <v>plot</v>
      </c>
    </row>
    <row r="769" spans="1:29" hidden="1" x14ac:dyDescent="0.35">
      <c r="A769" t="s">
        <v>46</v>
      </c>
      <c r="B769">
        <v>52094</v>
      </c>
      <c r="C769" t="s">
        <v>53</v>
      </c>
      <c r="D769">
        <v>53270</v>
      </c>
      <c r="E769" t="s">
        <v>145</v>
      </c>
      <c r="F769">
        <v>8623</v>
      </c>
      <c r="G769">
        <v>0.44156515107308969</v>
      </c>
      <c r="H769">
        <v>0</v>
      </c>
      <c r="I769">
        <v>0</v>
      </c>
      <c r="J769">
        <v>0.44545911411000372</v>
      </c>
      <c r="K769">
        <v>0</v>
      </c>
      <c r="L769">
        <v>0</v>
      </c>
      <c r="M769">
        <v>0.3185568045733973</v>
      </c>
      <c r="N769">
        <v>0</v>
      </c>
      <c r="O769">
        <v>0</v>
      </c>
      <c r="P769">
        <v>0.19497978264220051</v>
      </c>
      <c r="Q769">
        <v>1.290324753656827</v>
      </c>
      <c r="R769">
        <v>5.6422526586125246</v>
      </c>
      <c r="S769">
        <v>0.35085921796505237</v>
      </c>
      <c r="T769">
        <v>0.23602112528819641</v>
      </c>
      <c r="U769">
        <v>4.3224781189841126</v>
      </c>
      <c r="V769">
        <v>0.1338290648248382</v>
      </c>
      <c r="W769">
        <v>11.21965317267772</v>
      </c>
      <c r="X769">
        <v>0.39107016186077947</v>
      </c>
      <c r="Z769" t="s">
        <v>392</v>
      </c>
      <c r="AA769">
        <v>9937</v>
      </c>
      <c r="AB769" t="s">
        <v>1160</v>
      </c>
      <c r="AC769" t="str">
        <f>HYPERLINK("plots/20251231000436_3FT6Y121H01_04823_B11P_N_UFLEX98_M5358A8BH101511/dpll_52094/txpa_53270.png","plot")</f>
        <v>plot</v>
      </c>
    </row>
    <row r="770" spans="1:29" hidden="1" x14ac:dyDescent="0.35">
      <c r="A770" t="s">
        <v>46</v>
      </c>
      <c r="B770">
        <v>52094</v>
      </c>
      <c r="C770" t="s">
        <v>53</v>
      </c>
      <c r="D770">
        <v>53271</v>
      </c>
      <c r="E770" t="s">
        <v>146</v>
      </c>
      <c r="F770">
        <v>8618</v>
      </c>
      <c r="G770">
        <v>0.4484226238930944</v>
      </c>
      <c r="H770">
        <v>0</v>
      </c>
      <c r="I770">
        <v>0</v>
      </c>
      <c r="J770">
        <v>0.45158907035581408</v>
      </c>
      <c r="K770">
        <v>0</v>
      </c>
      <c r="L770">
        <v>0</v>
      </c>
      <c r="M770">
        <v>0.32384109382180482</v>
      </c>
      <c r="N770">
        <v>0</v>
      </c>
      <c r="O770">
        <v>0</v>
      </c>
      <c r="P770">
        <v>0.20108284961916759</v>
      </c>
      <c r="Q770">
        <v>1.299245251548365</v>
      </c>
      <c r="R770">
        <v>5.6169786864070819</v>
      </c>
      <c r="S770">
        <v>0.34563813190240122</v>
      </c>
      <c r="T770">
        <v>0.22988432159774719</v>
      </c>
      <c r="U770">
        <v>4.3226754938500811</v>
      </c>
      <c r="V770">
        <v>0.13347267140555091</v>
      </c>
      <c r="W770">
        <v>11.233194295776279</v>
      </c>
      <c r="X770">
        <v>0.38671941444345992</v>
      </c>
      <c r="Z770" t="s">
        <v>392</v>
      </c>
      <c r="AA770">
        <v>9937</v>
      </c>
      <c r="AB770" t="s">
        <v>1161</v>
      </c>
      <c r="AC770" t="str">
        <f>HYPERLINK("plots/20251231000436_3FT6Y121H01_04823_B11P_N_UFLEX98_M5358A8BH101511/dpll_52094/txpa_53271.png","plot")</f>
        <v>plot</v>
      </c>
    </row>
    <row r="771" spans="1:29" hidden="1" x14ac:dyDescent="0.35">
      <c r="A771" t="s">
        <v>46</v>
      </c>
      <c r="B771">
        <v>52094</v>
      </c>
      <c r="C771" t="s">
        <v>53</v>
      </c>
      <c r="D771">
        <v>53272</v>
      </c>
      <c r="E771" t="s">
        <v>147</v>
      </c>
      <c r="F771">
        <v>8646</v>
      </c>
      <c r="G771">
        <v>0.47217635889346082</v>
      </c>
      <c r="H771">
        <v>0</v>
      </c>
      <c r="I771">
        <v>0</v>
      </c>
      <c r="J771">
        <v>0.45461279769081808</v>
      </c>
      <c r="K771">
        <v>0</v>
      </c>
      <c r="L771">
        <v>0</v>
      </c>
      <c r="M771">
        <v>0.32702879324305989</v>
      </c>
      <c r="N771">
        <v>0</v>
      </c>
      <c r="O771">
        <v>0</v>
      </c>
      <c r="P771">
        <v>0.22295051389788631</v>
      </c>
      <c r="Q771">
        <v>1.382254171794643</v>
      </c>
      <c r="R771">
        <v>5.2258016621086654</v>
      </c>
      <c r="S771">
        <v>0.3500611945021585</v>
      </c>
      <c r="T771">
        <v>0.23584615944721299</v>
      </c>
      <c r="U771">
        <v>4.3212878496414522</v>
      </c>
      <c r="V771">
        <v>0.1356628941803048</v>
      </c>
      <c r="W771">
        <v>11.198919819801061</v>
      </c>
      <c r="X771">
        <v>0.39714102137157758</v>
      </c>
      <c r="Z771" t="s">
        <v>392</v>
      </c>
      <c r="AA771">
        <v>9937</v>
      </c>
      <c r="AB771" t="s">
        <v>1162</v>
      </c>
      <c r="AC771" t="str">
        <f>HYPERLINK("plots/20251231000436_3FT6Y121H01_04823_B11P_N_UFLEX98_M5358A8BH101511/dpll_52094/txpa_53272.png","plot")</f>
        <v>plot</v>
      </c>
    </row>
    <row r="772" spans="1:29" hidden="1" x14ac:dyDescent="0.35">
      <c r="A772" t="s">
        <v>46</v>
      </c>
      <c r="B772">
        <v>52094</v>
      </c>
      <c r="C772" t="s">
        <v>53</v>
      </c>
      <c r="D772">
        <v>53273</v>
      </c>
      <c r="E772" t="s">
        <v>148</v>
      </c>
      <c r="F772">
        <v>8639</v>
      </c>
      <c r="G772">
        <v>0.47024515033647618</v>
      </c>
      <c r="H772">
        <v>0</v>
      </c>
      <c r="I772">
        <v>0</v>
      </c>
      <c r="J772">
        <v>0.45260624124152188</v>
      </c>
      <c r="K772">
        <v>0</v>
      </c>
      <c r="L772">
        <v>0</v>
      </c>
      <c r="M772">
        <v>0.32411975361738798</v>
      </c>
      <c r="N772">
        <v>0</v>
      </c>
      <c r="O772">
        <v>0</v>
      </c>
      <c r="P772">
        <v>0.22113050141497509</v>
      </c>
      <c r="Q772">
        <v>1.362922091597921</v>
      </c>
      <c r="R772">
        <v>5.3401283400078103</v>
      </c>
      <c r="S772">
        <v>0.3458338334464493</v>
      </c>
      <c r="T772">
        <v>0.23217814728831601</v>
      </c>
      <c r="U772">
        <v>4.321620044218081</v>
      </c>
      <c r="V772">
        <v>0.13521147851967019</v>
      </c>
      <c r="W772">
        <v>11.23015976976502</v>
      </c>
      <c r="X772">
        <v>0.39188646811182598</v>
      </c>
      <c r="Z772" t="s">
        <v>392</v>
      </c>
      <c r="AA772">
        <v>9937</v>
      </c>
      <c r="AB772" t="s">
        <v>1163</v>
      </c>
      <c r="AC772" t="str">
        <f>HYPERLINK("plots/20251231000436_3FT6Y121H01_04823_B11P_N_UFLEX98_M5358A8BH101511/dpll_52094/txpa_53273.png","plot")</f>
        <v>plot</v>
      </c>
    </row>
    <row r="773" spans="1:29" hidden="1" x14ac:dyDescent="0.35">
      <c r="A773" t="s">
        <v>46</v>
      </c>
      <c r="B773">
        <v>52094</v>
      </c>
      <c r="C773" t="s">
        <v>53</v>
      </c>
      <c r="D773">
        <v>53274</v>
      </c>
      <c r="E773" t="s">
        <v>149</v>
      </c>
      <c r="F773">
        <v>8648</v>
      </c>
      <c r="G773">
        <v>0.46165604130993371</v>
      </c>
      <c r="H773">
        <v>0</v>
      </c>
      <c r="I773">
        <v>0</v>
      </c>
      <c r="J773">
        <v>0.43485683493876182</v>
      </c>
      <c r="K773">
        <v>0</v>
      </c>
      <c r="L773">
        <v>0</v>
      </c>
      <c r="M773">
        <v>0.30926580649162011</v>
      </c>
      <c r="N773">
        <v>0</v>
      </c>
      <c r="O773">
        <v>0</v>
      </c>
      <c r="P773">
        <v>0.21312630047795919</v>
      </c>
      <c r="Q773">
        <v>1.2982315559840529</v>
      </c>
      <c r="R773">
        <v>5.5930064425908403</v>
      </c>
      <c r="S773">
        <v>0.33905538983603362</v>
      </c>
      <c r="T773">
        <v>0.23124745622078571</v>
      </c>
      <c r="U773">
        <v>4.3211551632747458</v>
      </c>
      <c r="V773">
        <v>0.13592821400596811</v>
      </c>
      <c r="W773">
        <v>11.20286643385754</v>
      </c>
      <c r="X773">
        <v>0.38224626340940759</v>
      </c>
      <c r="Z773" t="s">
        <v>392</v>
      </c>
      <c r="AA773">
        <v>9937</v>
      </c>
      <c r="AB773" t="s">
        <v>1164</v>
      </c>
      <c r="AC773" t="str">
        <f>HYPERLINK("plots/20251231000436_3FT6Y121H01_04823_B11P_N_UFLEX98_M5358A8BH101511/dpll_52094/txpa_53274.png","plot")</f>
        <v>plot</v>
      </c>
    </row>
    <row r="774" spans="1:29" hidden="1" x14ac:dyDescent="0.35">
      <c r="A774" t="s">
        <v>46</v>
      </c>
      <c r="B774">
        <v>52094</v>
      </c>
      <c r="C774" t="s">
        <v>53</v>
      </c>
      <c r="D774">
        <v>53275</v>
      </c>
      <c r="E774" t="s">
        <v>150</v>
      </c>
      <c r="F774">
        <v>8620</v>
      </c>
      <c r="G774">
        <v>0.43943842434865271</v>
      </c>
      <c r="H774">
        <v>0</v>
      </c>
      <c r="I774">
        <v>0</v>
      </c>
      <c r="J774">
        <v>0.4603841995114728</v>
      </c>
      <c r="K774">
        <v>0</v>
      </c>
      <c r="L774">
        <v>0</v>
      </c>
      <c r="M774">
        <v>0.33201974279862811</v>
      </c>
      <c r="N774">
        <v>0</v>
      </c>
      <c r="O774">
        <v>0</v>
      </c>
      <c r="P774">
        <v>0.1931061287940265</v>
      </c>
      <c r="Q774">
        <v>1.395136686711437</v>
      </c>
      <c r="R774">
        <v>5.9372522257591136</v>
      </c>
      <c r="S774">
        <v>0.38282014302048473</v>
      </c>
      <c r="T774">
        <v>0.25033846487129502</v>
      </c>
      <c r="U774">
        <v>4.3222355568445474</v>
      </c>
      <c r="V774">
        <v>0.13424342842571341</v>
      </c>
      <c r="W774">
        <v>11.967361619721579</v>
      </c>
      <c r="X774">
        <v>0.42619835128035699</v>
      </c>
      <c r="Z774" t="s">
        <v>392</v>
      </c>
      <c r="AA774">
        <v>9937</v>
      </c>
      <c r="AB774" t="s">
        <v>1165</v>
      </c>
      <c r="AC774" t="str">
        <f>HYPERLINK("plots/20251231000436_3FT6Y121H01_04823_B11P_N_UFLEX98_M5358A8BH101511/dpll_52094/txpa_53275.png","plot")</f>
        <v>plot</v>
      </c>
    </row>
    <row r="775" spans="1:29" hidden="1" x14ac:dyDescent="0.35">
      <c r="A775" t="s">
        <v>46</v>
      </c>
      <c r="B775">
        <v>52094</v>
      </c>
      <c r="C775" t="s">
        <v>53</v>
      </c>
      <c r="D775">
        <v>53276</v>
      </c>
      <c r="E775" t="s">
        <v>151</v>
      </c>
      <c r="F775">
        <v>8642</v>
      </c>
      <c r="G775">
        <v>0.46700551054299411</v>
      </c>
      <c r="H775">
        <v>0</v>
      </c>
      <c r="I775">
        <v>0</v>
      </c>
      <c r="J775">
        <v>0.46523507884029441</v>
      </c>
      <c r="K775">
        <v>0</v>
      </c>
      <c r="L775">
        <v>0</v>
      </c>
      <c r="M775">
        <v>0.33674640359459601</v>
      </c>
      <c r="N775">
        <v>0</v>
      </c>
      <c r="O775">
        <v>0</v>
      </c>
      <c r="P775">
        <v>0.21809414687752249</v>
      </c>
      <c r="Q775">
        <v>1.524320592553186</v>
      </c>
      <c r="R775">
        <v>5.3917074615209781</v>
      </c>
      <c r="S775">
        <v>0.39092848287437831</v>
      </c>
      <c r="T775">
        <v>0.25874974631948772</v>
      </c>
      <c r="U775">
        <v>4.3214288597546862</v>
      </c>
      <c r="V775">
        <v>0.1354537082168675</v>
      </c>
      <c r="W775">
        <v>11.97895046169868</v>
      </c>
      <c r="X775">
        <v>0.44212514009222381</v>
      </c>
      <c r="Z775" t="s">
        <v>392</v>
      </c>
      <c r="AA775">
        <v>9937</v>
      </c>
      <c r="AB775" t="s">
        <v>1166</v>
      </c>
      <c r="AC775" t="str">
        <f>HYPERLINK("plots/20251231000436_3FT6Y121H01_04823_B11P_N_UFLEX98_M5358A8BH101511/dpll_52094/txpa_53276.png","plot")</f>
        <v>plot</v>
      </c>
    </row>
    <row r="776" spans="1:29" hidden="1" x14ac:dyDescent="0.35">
      <c r="A776" t="s">
        <v>46</v>
      </c>
      <c r="B776">
        <v>52094</v>
      </c>
      <c r="C776" t="s">
        <v>53</v>
      </c>
      <c r="D776">
        <v>53277</v>
      </c>
      <c r="E776" t="s">
        <v>152</v>
      </c>
      <c r="F776">
        <v>8621</v>
      </c>
      <c r="G776">
        <v>0.45162968308796142</v>
      </c>
      <c r="H776">
        <v>0</v>
      </c>
      <c r="I776">
        <v>0</v>
      </c>
      <c r="J776">
        <v>0.46422023312218291</v>
      </c>
      <c r="K776">
        <v>0</v>
      </c>
      <c r="L776">
        <v>0</v>
      </c>
      <c r="M776">
        <v>0.33592059347017927</v>
      </c>
      <c r="N776">
        <v>0</v>
      </c>
      <c r="O776">
        <v>0</v>
      </c>
      <c r="P776">
        <v>0.20396937064613249</v>
      </c>
      <c r="Q776">
        <v>1.484901244799322</v>
      </c>
      <c r="R776">
        <v>5.4703472844223331</v>
      </c>
      <c r="S776">
        <v>0.39232476765958779</v>
      </c>
      <c r="T776">
        <v>0.25685228471153571</v>
      </c>
      <c r="U776">
        <v>4.3224688690407147</v>
      </c>
      <c r="V776">
        <v>0.13374911995863531</v>
      </c>
      <c r="W776">
        <v>11.88878668866721</v>
      </c>
      <c r="X776">
        <v>0.43975018063352223</v>
      </c>
      <c r="Z776" t="s">
        <v>392</v>
      </c>
      <c r="AA776">
        <v>9937</v>
      </c>
      <c r="AB776" t="s">
        <v>1167</v>
      </c>
      <c r="AC776" t="str">
        <f>HYPERLINK("plots/20251231000436_3FT6Y121H01_04823_B11P_N_UFLEX98_M5358A8BH101511/dpll_52094/txpa_53277.png","plot")</f>
        <v>plot</v>
      </c>
    </row>
    <row r="777" spans="1:29" hidden="1" x14ac:dyDescent="0.35">
      <c r="A777" t="s">
        <v>46</v>
      </c>
      <c r="B777">
        <v>52094</v>
      </c>
      <c r="C777" t="s">
        <v>53</v>
      </c>
      <c r="D777">
        <v>53278</v>
      </c>
      <c r="E777" t="s">
        <v>153</v>
      </c>
      <c r="F777">
        <v>8627</v>
      </c>
      <c r="G777">
        <v>0.46482492955198979</v>
      </c>
      <c r="H777">
        <v>0</v>
      </c>
      <c r="I777">
        <v>0</v>
      </c>
      <c r="J777">
        <v>0.46453960940478961</v>
      </c>
      <c r="K777">
        <v>0</v>
      </c>
      <c r="L777">
        <v>0</v>
      </c>
      <c r="M777">
        <v>0.33574154767189057</v>
      </c>
      <c r="N777">
        <v>0</v>
      </c>
      <c r="O777">
        <v>0</v>
      </c>
      <c r="P777">
        <v>0.2160622151330123</v>
      </c>
      <c r="Q777">
        <v>1.5148957834505681</v>
      </c>
      <c r="R777">
        <v>5.4023837249561062</v>
      </c>
      <c r="S777">
        <v>0.38685352690772801</v>
      </c>
      <c r="T777">
        <v>0.25722936234327221</v>
      </c>
      <c r="U777">
        <v>4.3222953989799473</v>
      </c>
      <c r="V777">
        <v>0.13407184609041231</v>
      </c>
      <c r="W777">
        <v>11.95021079969862</v>
      </c>
      <c r="X777">
        <v>0.43694918540095679</v>
      </c>
      <c r="Z777" t="s">
        <v>392</v>
      </c>
      <c r="AA777">
        <v>9937</v>
      </c>
      <c r="AB777" t="s">
        <v>1168</v>
      </c>
      <c r="AC777" t="str">
        <f>HYPERLINK("plots/20251231000436_3FT6Y121H01_04823_B11P_N_UFLEX98_M5358A8BH101511/dpll_52094/txpa_53278.png","plot")</f>
        <v>plot</v>
      </c>
    </row>
    <row r="778" spans="1:29" hidden="1" x14ac:dyDescent="0.35">
      <c r="A778" t="s">
        <v>46</v>
      </c>
      <c r="B778">
        <v>52094</v>
      </c>
      <c r="C778" t="s">
        <v>53</v>
      </c>
      <c r="D778">
        <v>53279</v>
      </c>
      <c r="E778" t="s">
        <v>154</v>
      </c>
      <c r="F778">
        <v>8624</v>
      </c>
      <c r="G778">
        <v>0.46466328063037132</v>
      </c>
      <c r="H778">
        <v>0</v>
      </c>
      <c r="I778">
        <v>0</v>
      </c>
      <c r="J778">
        <v>0.46532787998069469</v>
      </c>
      <c r="K778">
        <v>0</v>
      </c>
      <c r="L778">
        <v>0</v>
      </c>
      <c r="M778">
        <v>0.33687031480704771</v>
      </c>
      <c r="N778">
        <v>0</v>
      </c>
      <c r="O778">
        <v>0</v>
      </c>
      <c r="P778">
        <v>0.21591196436617921</v>
      </c>
      <c r="Q778">
        <v>1.505122802286549</v>
      </c>
      <c r="R778">
        <v>5.4682243162233144</v>
      </c>
      <c r="S778">
        <v>0.38384079438315688</v>
      </c>
      <c r="T778">
        <v>0.25258406945740558</v>
      </c>
      <c r="U778">
        <v>4.3224512457096473</v>
      </c>
      <c r="V778">
        <v>0.13383210714139249</v>
      </c>
      <c r="W778">
        <v>11.974044247912801</v>
      </c>
      <c r="X778">
        <v>0.43350478622562427</v>
      </c>
      <c r="Z778" t="s">
        <v>392</v>
      </c>
      <c r="AA778">
        <v>9937</v>
      </c>
      <c r="AB778" t="s">
        <v>1169</v>
      </c>
      <c r="AC778" t="str">
        <f>HYPERLINK("plots/20251231000436_3FT6Y121H01_04823_B11P_N_UFLEX98_M5358A8BH101511/dpll_52094/txpa_53279.png","plot")</f>
        <v>plot</v>
      </c>
    </row>
    <row r="779" spans="1:29" hidden="1" x14ac:dyDescent="0.35">
      <c r="A779" t="s">
        <v>46</v>
      </c>
      <c r="B779">
        <v>52094</v>
      </c>
      <c r="C779" t="s">
        <v>53</v>
      </c>
      <c r="D779">
        <v>53280</v>
      </c>
      <c r="E779" t="s">
        <v>155</v>
      </c>
      <c r="F779">
        <v>8665</v>
      </c>
      <c r="G779">
        <v>0.50372685216241397</v>
      </c>
      <c r="H779">
        <v>0</v>
      </c>
      <c r="I779">
        <v>0</v>
      </c>
      <c r="J779">
        <v>0.47023451548085932</v>
      </c>
      <c r="K779">
        <v>0</v>
      </c>
      <c r="L779">
        <v>0</v>
      </c>
      <c r="M779">
        <v>0.34083125811126719</v>
      </c>
      <c r="N779">
        <v>0</v>
      </c>
      <c r="O779">
        <v>0</v>
      </c>
      <c r="P779">
        <v>0.25374074158945448</v>
      </c>
      <c r="Q779">
        <v>1.6564503257706611</v>
      </c>
      <c r="R779">
        <v>4.7680762370324707</v>
      </c>
      <c r="S779">
        <v>0.39035421481834592</v>
      </c>
      <c r="T779">
        <v>0.26192315707073638</v>
      </c>
      <c r="U779">
        <v>4.3202262504327749</v>
      </c>
      <c r="V779">
        <v>0.13742183847140729</v>
      </c>
      <c r="W779">
        <v>11.9243164169648</v>
      </c>
      <c r="X779">
        <v>0.45189659460633919</v>
      </c>
      <c r="Z779" t="s">
        <v>392</v>
      </c>
      <c r="AA779">
        <v>9937</v>
      </c>
      <c r="AB779" t="s">
        <v>1170</v>
      </c>
      <c r="AC779" t="str">
        <f>HYPERLINK("plots/20251231000436_3FT6Y121H01_04823_B11P_N_UFLEX98_M5358A8BH101511/dpll_52094/txpa_53280.png","plot")</f>
        <v>plot</v>
      </c>
    </row>
    <row r="780" spans="1:29" hidden="1" x14ac:dyDescent="0.35">
      <c r="A780" t="s">
        <v>46</v>
      </c>
      <c r="B780">
        <v>52094</v>
      </c>
      <c r="C780" t="s">
        <v>53</v>
      </c>
      <c r="D780">
        <v>53281</v>
      </c>
      <c r="E780" t="s">
        <v>156</v>
      </c>
      <c r="F780">
        <v>8651</v>
      </c>
      <c r="G780">
        <v>0.49091752603300681</v>
      </c>
      <c r="H780">
        <v>0</v>
      </c>
      <c r="I780">
        <v>0</v>
      </c>
      <c r="J780">
        <v>0.46558221918918807</v>
      </c>
      <c r="K780">
        <v>0</v>
      </c>
      <c r="L780">
        <v>0</v>
      </c>
      <c r="M780">
        <v>0.33588564938556792</v>
      </c>
      <c r="N780">
        <v>0</v>
      </c>
      <c r="O780">
        <v>0</v>
      </c>
      <c r="P780">
        <v>0.24100001736636789</v>
      </c>
      <c r="Q780">
        <v>1.59645740026476</v>
      </c>
      <c r="R780">
        <v>5.0671580098120188</v>
      </c>
      <c r="S780">
        <v>0.38572184523155578</v>
      </c>
      <c r="T780">
        <v>0.25702715966417139</v>
      </c>
      <c r="U780">
        <v>4.3210037300890063</v>
      </c>
      <c r="V780">
        <v>0.13615376574404581</v>
      </c>
      <c r="W780">
        <v>11.965456391284251</v>
      </c>
      <c r="X780">
        <v>0.44277027274308822</v>
      </c>
      <c r="Z780" t="s">
        <v>392</v>
      </c>
      <c r="AA780">
        <v>9937</v>
      </c>
      <c r="AB780" t="s">
        <v>1171</v>
      </c>
      <c r="AC780" t="str">
        <f>HYPERLINK("plots/20251231000436_3FT6Y121H01_04823_B11P_N_UFLEX98_M5358A8BH101511/dpll_52094/txpa_53281.png","plot")</f>
        <v>plot</v>
      </c>
    </row>
    <row r="781" spans="1:29" hidden="1" x14ac:dyDescent="0.35">
      <c r="A781" t="s">
        <v>46</v>
      </c>
      <c r="B781">
        <v>52094</v>
      </c>
      <c r="C781" t="s">
        <v>53</v>
      </c>
      <c r="D781">
        <v>53282</v>
      </c>
      <c r="E781" t="s">
        <v>157</v>
      </c>
      <c r="F781">
        <v>8640</v>
      </c>
      <c r="G781">
        <v>0.47194740640412591</v>
      </c>
      <c r="H781">
        <v>0</v>
      </c>
      <c r="I781">
        <v>0</v>
      </c>
      <c r="J781">
        <v>0.45751046135829382</v>
      </c>
      <c r="K781">
        <v>0</v>
      </c>
      <c r="L781">
        <v>0</v>
      </c>
      <c r="M781">
        <v>0.32887383422676753</v>
      </c>
      <c r="N781">
        <v>0</v>
      </c>
      <c r="O781">
        <v>0</v>
      </c>
      <c r="P781">
        <v>0.22273435441158121</v>
      </c>
      <c r="Q781">
        <v>1.4642280516354309</v>
      </c>
      <c r="R781">
        <v>5.696963968833626</v>
      </c>
      <c r="S781">
        <v>0.36971787948682622</v>
      </c>
      <c r="T781">
        <v>0.2481177907169515</v>
      </c>
      <c r="U781">
        <v>4.3216049988425924</v>
      </c>
      <c r="V781">
        <v>0.1351747989532828</v>
      </c>
      <c r="W781">
        <v>12.02477923622685</v>
      </c>
      <c r="X781">
        <v>0.41938302831161811</v>
      </c>
      <c r="Z781" t="s">
        <v>392</v>
      </c>
      <c r="AA781">
        <v>9937</v>
      </c>
      <c r="AB781" t="s">
        <v>1172</v>
      </c>
      <c r="AC781" t="str">
        <f>HYPERLINK("plots/20251231000436_3FT6Y121H01_04823_B11P_N_UFLEX98_M5358A8BH101511/dpll_52094/txpa_53282.png","plot")</f>
        <v>plot</v>
      </c>
    </row>
    <row r="782" spans="1:29" hidden="1" x14ac:dyDescent="0.35">
      <c r="A782" t="s">
        <v>46</v>
      </c>
      <c r="B782">
        <v>52094</v>
      </c>
      <c r="C782" t="s">
        <v>53</v>
      </c>
      <c r="D782">
        <v>53283</v>
      </c>
      <c r="E782" t="s">
        <v>158</v>
      </c>
      <c r="F782">
        <v>8626</v>
      </c>
      <c r="G782">
        <v>0.45165370696960322</v>
      </c>
      <c r="H782">
        <v>0</v>
      </c>
      <c r="I782">
        <v>0</v>
      </c>
      <c r="J782">
        <v>0.46665916099931137</v>
      </c>
      <c r="K782">
        <v>0</v>
      </c>
      <c r="L782">
        <v>0</v>
      </c>
      <c r="M782">
        <v>0.33772217247424291</v>
      </c>
      <c r="N782">
        <v>0</v>
      </c>
      <c r="O782">
        <v>0</v>
      </c>
      <c r="P782">
        <v>0.20399107101938421</v>
      </c>
      <c r="Q782">
        <v>1.485987683631848</v>
      </c>
      <c r="R782">
        <v>5.7381631282251107</v>
      </c>
      <c r="S782">
        <v>0.3955878149921967</v>
      </c>
      <c r="T782">
        <v>0.25814566188828469</v>
      </c>
      <c r="U782">
        <v>4.3219446141896576</v>
      </c>
      <c r="V782">
        <v>0.13477194015762231</v>
      </c>
      <c r="W782">
        <v>12.160519594249941</v>
      </c>
      <c r="X782">
        <v>0.44341370409005337</v>
      </c>
      <c r="Z782" t="s">
        <v>392</v>
      </c>
      <c r="AA782">
        <v>9937</v>
      </c>
      <c r="AB782" t="s">
        <v>1173</v>
      </c>
      <c r="AC782" t="str">
        <f>HYPERLINK("plots/20251231000436_3FT6Y121H01_04823_B11P_N_UFLEX98_M5358A8BH101511/dpll_52094/txpa_53283.png","plot")</f>
        <v>plot</v>
      </c>
    </row>
    <row r="783" spans="1:29" hidden="1" x14ac:dyDescent="0.35">
      <c r="A783" t="s">
        <v>46</v>
      </c>
      <c r="B783">
        <v>52094</v>
      </c>
      <c r="C783" t="s">
        <v>53</v>
      </c>
      <c r="D783">
        <v>53284</v>
      </c>
      <c r="E783" t="s">
        <v>159</v>
      </c>
      <c r="F783">
        <v>8647</v>
      </c>
      <c r="G783">
        <v>0.47556737926064502</v>
      </c>
      <c r="H783">
        <v>0</v>
      </c>
      <c r="I783">
        <v>0</v>
      </c>
      <c r="J783">
        <v>0.46832156332879399</v>
      </c>
      <c r="K783">
        <v>0</v>
      </c>
      <c r="L783">
        <v>0</v>
      </c>
      <c r="M783">
        <v>0.33939818338306471</v>
      </c>
      <c r="N783">
        <v>0</v>
      </c>
      <c r="O783">
        <v>0</v>
      </c>
      <c r="P783">
        <v>0.2261643322168381</v>
      </c>
      <c r="Q783">
        <v>1.6022798953296831</v>
      </c>
      <c r="R783">
        <v>5.2218094609474948</v>
      </c>
      <c r="S783">
        <v>0.402513184925268</v>
      </c>
      <c r="T783">
        <v>0.26682360715713849</v>
      </c>
      <c r="U783">
        <v>4.3212172994101996</v>
      </c>
      <c r="V783">
        <v>0.13581712310753469</v>
      </c>
      <c r="W783">
        <v>12.14560906314329</v>
      </c>
      <c r="X783">
        <v>0.45759456028090939</v>
      </c>
      <c r="Z783" t="s">
        <v>392</v>
      </c>
      <c r="AA783">
        <v>9937</v>
      </c>
      <c r="AB783" t="s">
        <v>1174</v>
      </c>
      <c r="AC783" t="str">
        <f>HYPERLINK("plots/20251231000436_3FT6Y121H01_04823_B11P_N_UFLEX98_M5358A8BH101511/dpll_52094/txpa_53284.png","plot")</f>
        <v>plot</v>
      </c>
    </row>
    <row r="784" spans="1:29" hidden="1" x14ac:dyDescent="0.35">
      <c r="A784" t="s">
        <v>46</v>
      </c>
      <c r="B784">
        <v>52094</v>
      </c>
      <c r="C784" t="s">
        <v>53</v>
      </c>
      <c r="D784">
        <v>53285</v>
      </c>
      <c r="E784" t="s">
        <v>160</v>
      </c>
      <c r="F784">
        <v>8636</v>
      </c>
      <c r="G784">
        <v>0.46688481783849461</v>
      </c>
      <c r="H784">
        <v>0</v>
      </c>
      <c r="I784">
        <v>0</v>
      </c>
      <c r="J784">
        <v>0.46840315463064242</v>
      </c>
      <c r="K784">
        <v>0</v>
      </c>
      <c r="L784">
        <v>0</v>
      </c>
      <c r="M784">
        <v>0.33975057337157399</v>
      </c>
      <c r="N784">
        <v>0</v>
      </c>
      <c r="O784">
        <v>0</v>
      </c>
      <c r="P784">
        <v>0.2179814331280843</v>
      </c>
      <c r="Q784">
        <v>1.598786278842008</v>
      </c>
      <c r="R784">
        <v>5.1514930635444971</v>
      </c>
      <c r="S784">
        <v>0.40847752218988709</v>
      </c>
      <c r="T784">
        <v>0.26746567065550397</v>
      </c>
      <c r="U784">
        <v>4.3217970750347376</v>
      </c>
      <c r="V784">
        <v>0.1348975667877115</v>
      </c>
      <c r="W784">
        <v>12.06112292704956</v>
      </c>
      <c r="X784">
        <v>0.46193915627381188</v>
      </c>
      <c r="Z784" t="s">
        <v>392</v>
      </c>
      <c r="AA784">
        <v>9937</v>
      </c>
      <c r="AB784" t="s">
        <v>1175</v>
      </c>
      <c r="AC784" t="str">
        <f>HYPERLINK("plots/20251231000436_3FT6Y121H01_04823_B11P_N_UFLEX98_M5358A8BH101511/dpll_52094/txpa_53285.png","plot")</f>
        <v>plot</v>
      </c>
    </row>
    <row r="785" spans="1:29" hidden="1" x14ac:dyDescent="0.35">
      <c r="A785" t="s">
        <v>46</v>
      </c>
      <c r="B785">
        <v>52094</v>
      </c>
      <c r="C785" t="s">
        <v>53</v>
      </c>
      <c r="D785">
        <v>53286</v>
      </c>
      <c r="E785" t="s">
        <v>161</v>
      </c>
      <c r="F785">
        <v>8635</v>
      </c>
      <c r="G785">
        <v>0.47818441725041011</v>
      </c>
      <c r="H785">
        <v>0</v>
      </c>
      <c r="I785">
        <v>0</v>
      </c>
      <c r="J785">
        <v>0.4692890448514111</v>
      </c>
      <c r="K785">
        <v>0</v>
      </c>
      <c r="L785">
        <v>0</v>
      </c>
      <c r="M785">
        <v>0.33983339058856638</v>
      </c>
      <c r="N785">
        <v>0</v>
      </c>
      <c r="O785">
        <v>0</v>
      </c>
      <c r="P785">
        <v>0.22866033690111431</v>
      </c>
      <c r="Q785">
        <v>1.612431255668576</v>
      </c>
      <c r="R785">
        <v>5.1445433481513474</v>
      </c>
      <c r="S785">
        <v>0.39902431543649508</v>
      </c>
      <c r="T785">
        <v>0.26534895923791763</v>
      </c>
      <c r="U785">
        <v>4.3218686266357844</v>
      </c>
      <c r="V785">
        <v>0.1347460024133294</v>
      </c>
      <c r="W785">
        <v>12.113259404632309</v>
      </c>
      <c r="X785">
        <v>0.45436166054292182</v>
      </c>
      <c r="Z785" t="s">
        <v>392</v>
      </c>
      <c r="AA785">
        <v>9937</v>
      </c>
      <c r="AB785" t="s">
        <v>1176</v>
      </c>
      <c r="AC785" t="str">
        <f>HYPERLINK("plots/20251231000436_3FT6Y121H01_04823_B11P_N_UFLEX98_M5358A8BH101511/dpll_52094/txpa_53286.png","plot")</f>
        <v>plot</v>
      </c>
    </row>
    <row r="786" spans="1:29" hidden="1" x14ac:dyDescent="0.35">
      <c r="A786" t="s">
        <v>46</v>
      </c>
      <c r="B786">
        <v>52094</v>
      </c>
      <c r="C786" t="s">
        <v>53</v>
      </c>
      <c r="D786">
        <v>53287</v>
      </c>
      <c r="E786" t="s">
        <v>162</v>
      </c>
      <c r="F786">
        <v>8629</v>
      </c>
      <c r="G786">
        <v>0.47450210480927829</v>
      </c>
      <c r="H786">
        <v>0</v>
      </c>
      <c r="I786">
        <v>0</v>
      </c>
      <c r="J786">
        <v>0.46992822134613538</v>
      </c>
      <c r="K786">
        <v>0</v>
      </c>
      <c r="L786">
        <v>0</v>
      </c>
      <c r="M786">
        <v>0.34110844255421391</v>
      </c>
      <c r="N786">
        <v>0</v>
      </c>
      <c r="O786">
        <v>0</v>
      </c>
      <c r="P786">
        <v>0.2251522474684354</v>
      </c>
      <c r="Q786">
        <v>1.5848722805811879</v>
      </c>
      <c r="R786">
        <v>5.2897012784332631</v>
      </c>
      <c r="S786">
        <v>0.39480043154082378</v>
      </c>
      <c r="T786">
        <v>0.25973564941716198</v>
      </c>
      <c r="U786">
        <v>4.3221758678873563</v>
      </c>
      <c r="V786">
        <v>0.13428839082078761</v>
      </c>
      <c r="W786">
        <v>12.13979800324487</v>
      </c>
      <c r="X786">
        <v>0.44853320155716592</v>
      </c>
      <c r="Z786" t="s">
        <v>392</v>
      </c>
      <c r="AA786">
        <v>9937</v>
      </c>
      <c r="AB786" t="s">
        <v>1177</v>
      </c>
      <c r="AC786" t="str">
        <f>HYPERLINK("plots/20251231000436_3FT6Y121H01_04823_B11P_N_UFLEX98_M5358A8BH101511/dpll_52094/txpa_53287.png","plot")</f>
        <v>plot</v>
      </c>
    </row>
    <row r="787" spans="1:29" hidden="1" x14ac:dyDescent="0.35">
      <c r="A787" t="s">
        <v>46</v>
      </c>
      <c r="B787">
        <v>52094</v>
      </c>
      <c r="C787" t="s">
        <v>53</v>
      </c>
      <c r="D787">
        <v>53288</v>
      </c>
      <c r="E787" t="s">
        <v>163</v>
      </c>
      <c r="F787">
        <v>8666</v>
      </c>
      <c r="G787">
        <v>0.50827635052486719</v>
      </c>
      <c r="H787">
        <v>0</v>
      </c>
      <c r="I787">
        <v>0</v>
      </c>
      <c r="J787">
        <v>0.47283997559309832</v>
      </c>
      <c r="K787">
        <v>0</v>
      </c>
      <c r="L787">
        <v>0</v>
      </c>
      <c r="M787">
        <v>0.34308390622865731</v>
      </c>
      <c r="N787">
        <v>0</v>
      </c>
      <c r="O787">
        <v>0</v>
      </c>
      <c r="P787">
        <v>0.25834484850287759</v>
      </c>
      <c r="Q787">
        <v>1.720752550144993</v>
      </c>
      <c r="R787">
        <v>4.6536399986509283</v>
      </c>
      <c r="S787">
        <v>0.40075351107892149</v>
      </c>
      <c r="T787">
        <v>0.26899949092333908</v>
      </c>
      <c r="U787">
        <v>4.3201845140780053</v>
      </c>
      <c r="V787">
        <v>0.13746206606846681</v>
      </c>
      <c r="W787">
        <v>12.087608518347571</v>
      </c>
      <c r="X787">
        <v>0.46537321772153012</v>
      </c>
      <c r="Z787" t="s">
        <v>392</v>
      </c>
      <c r="AA787">
        <v>9937</v>
      </c>
      <c r="AB787" t="s">
        <v>1178</v>
      </c>
      <c r="AC787" t="str">
        <f>HYPERLINK("plots/20251231000436_3FT6Y121H01_04823_B11P_N_UFLEX98_M5358A8BH101511/dpll_52094/txpa_53288.png","plot")</f>
        <v>plot</v>
      </c>
    </row>
    <row r="788" spans="1:29" hidden="1" x14ac:dyDescent="0.35">
      <c r="A788" t="s">
        <v>46</v>
      </c>
      <c r="B788">
        <v>52094</v>
      </c>
      <c r="C788" t="s">
        <v>53</v>
      </c>
      <c r="D788">
        <v>53289</v>
      </c>
      <c r="E788" t="s">
        <v>164</v>
      </c>
      <c r="F788">
        <v>8655</v>
      </c>
      <c r="G788">
        <v>0.49879078271106381</v>
      </c>
      <c r="H788">
        <v>0</v>
      </c>
      <c r="I788">
        <v>0</v>
      </c>
      <c r="J788">
        <v>0.4690880794161616</v>
      </c>
      <c r="K788">
        <v>0</v>
      </c>
      <c r="L788">
        <v>0</v>
      </c>
      <c r="M788">
        <v>0.33900359363086979</v>
      </c>
      <c r="N788">
        <v>0</v>
      </c>
      <c r="O788">
        <v>0</v>
      </c>
      <c r="P788">
        <v>0.2487922449175157</v>
      </c>
      <c r="Q788">
        <v>1.670499159681011</v>
      </c>
      <c r="R788">
        <v>4.9126988025940772</v>
      </c>
      <c r="S788">
        <v>0.39640311460593991</v>
      </c>
      <c r="T788">
        <v>0.26439239389504388</v>
      </c>
      <c r="U788">
        <v>4.3207676886192941</v>
      </c>
      <c r="V788">
        <v>0.1365696748405239</v>
      </c>
      <c r="W788">
        <v>12.13053759560947</v>
      </c>
      <c r="X788">
        <v>0.45738521032606838</v>
      </c>
      <c r="Z788" t="s">
        <v>392</v>
      </c>
      <c r="AA788">
        <v>9937</v>
      </c>
      <c r="AB788" t="s">
        <v>1179</v>
      </c>
      <c r="AC788" t="str">
        <f>HYPERLINK("plots/20251231000436_3FT6Y121H01_04823_B11P_N_UFLEX98_M5358A8BH101511/dpll_52094/txpa_53289.png","plot")</f>
        <v>plot</v>
      </c>
    </row>
    <row r="789" spans="1:29" hidden="1" x14ac:dyDescent="0.35">
      <c r="A789" t="s">
        <v>46</v>
      </c>
      <c r="B789">
        <v>52094</v>
      </c>
      <c r="C789" t="s">
        <v>53</v>
      </c>
      <c r="D789">
        <v>53290</v>
      </c>
      <c r="E789" t="s">
        <v>165</v>
      </c>
      <c r="F789">
        <v>8647</v>
      </c>
      <c r="G789">
        <v>0.48445520129527081</v>
      </c>
      <c r="H789">
        <v>0</v>
      </c>
      <c r="I789">
        <v>0</v>
      </c>
      <c r="J789">
        <v>0.46422844440319178</v>
      </c>
      <c r="K789">
        <v>0</v>
      </c>
      <c r="L789">
        <v>0</v>
      </c>
      <c r="M789">
        <v>0.33461263596191099</v>
      </c>
      <c r="N789">
        <v>0</v>
      </c>
      <c r="O789">
        <v>0</v>
      </c>
      <c r="P789">
        <v>0.23469684206204139</v>
      </c>
      <c r="Q789">
        <v>1.5587628320134921</v>
      </c>
      <c r="R789">
        <v>5.4753908051451052</v>
      </c>
      <c r="S789">
        <v>0.38202623764172028</v>
      </c>
      <c r="T789">
        <v>0.25570860925356098</v>
      </c>
      <c r="U789">
        <v>4.3212428123048454</v>
      </c>
      <c r="V789">
        <v>0.13572977647699169</v>
      </c>
      <c r="W789">
        <v>12.211183489071351</v>
      </c>
      <c r="X789">
        <v>0.43671846272713188</v>
      </c>
      <c r="Z789" t="s">
        <v>392</v>
      </c>
      <c r="AA789">
        <v>9937</v>
      </c>
      <c r="AB789" t="s">
        <v>1180</v>
      </c>
      <c r="AC789" t="str">
        <f>HYPERLINK("plots/20251231000436_3FT6Y121H01_04823_B11P_N_UFLEX98_M5358A8BH101511/dpll_52094/txpa_53290.png","plot")</f>
        <v>plot</v>
      </c>
    </row>
    <row r="790" spans="1:29" hidden="1" x14ac:dyDescent="0.35">
      <c r="A790" t="s">
        <v>46</v>
      </c>
      <c r="B790">
        <v>52094</v>
      </c>
      <c r="C790" t="s">
        <v>53</v>
      </c>
      <c r="D790">
        <v>54146</v>
      </c>
      <c r="E790" t="s">
        <v>166</v>
      </c>
      <c r="F790">
        <v>8705</v>
      </c>
      <c r="G790">
        <v>-7.6723192418537353E-3</v>
      </c>
      <c r="H790">
        <v>0.4741521267182307</v>
      </c>
      <c r="I790">
        <v>0.47650174082486219</v>
      </c>
      <c r="J790">
        <v>-6.1837236586187849E-3</v>
      </c>
      <c r="K790">
        <v>0.5640288147620458</v>
      </c>
      <c r="L790">
        <v>0.56682380393331466</v>
      </c>
      <c r="M790">
        <v>-4.2468746460157846E-3</v>
      </c>
      <c r="N790">
        <v>0.55236344196339393</v>
      </c>
      <c r="O790">
        <v>0.55510062453011044</v>
      </c>
      <c r="P790">
        <v>5.8864482548919067E-5</v>
      </c>
      <c r="Q790">
        <v>-0.28029094632295271</v>
      </c>
      <c r="R790">
        <v>-9.3983800911922959</v>
      </c>
      <c r="S790">
        <v>5.1528088036307231</v>
      </c>
      <c r="T790">
        <v>3.88764056407256</v>
      </c>
      <c r="U790">
        <v>4.3177355789775991</v>
      </c>
      <c r="V790">
        <v>0.14105852973094751</v>
      </c>
      <c r="W790">
        <v>-10.608602282596211</v>
      </c>
      <c r="X790">
        <v>5.1532564715931723</v>
      </c>
      <c r="Z790" t="s">
        <v>392</v>
      </c>
      <c r="AA790">
        <v>9937</v>
      </c>
      <c r="AB790" t="s">
        <v>1181</v>
      </c>
      <c r="AC790" t="str">
        <f>HYPERLINK("plots/20251231000436_3FT6Y121H01_04823_B11P_N_UFLEX98_M5358A8BH101511/dpll_52094/txpa_54146.png","plot")</f>
        <v>plot</v>
      </c>
    </row>
    <row r="791" spans="1:29" hidden="1" x14ac:dyDescent="0.35">
      <c r="A791" t="s">
        <v>46</v>
      </c>
      <c r="B791">
        <v>52094</v>
      </c>
      <c r="C791" t="s">
        <v>53</v>
      </c>
      <c r="D791">
        <v>54147</v>
      </c>
      <c r="E791" t="s">
        <v>167</v>
      </c>
      <c r="F791">
        <v>8716</v>
      </c>
      <c r="G791">
        <v>0.1151715666321086</v>
      </c>
      <c r="H791">
        <v>3.9768952713651412E-27</v>
      </c>
      <c r="I791">
        <v>4.0085206810777869E-27</v>
      </c>
      <c r="J791">
        <v>9.7870017131178544E-2</v>
      </c>
      <c r="K791">
        <v>5.2976526806591788E-20</v>
      </c>
      <c r="L791">
        <v>5.334478468906066E-20</v>
      </c>
      <c r="M791">
        <v>6.4970806131614448E-2</v>
      </c>
      <c r="N791">
        <v>9.7410843405719666E-20</v>
      </c>
      <c r="O791">
        <v>9.8087979357894487E-20</v>
      </c>
      <c r="P791">
        <v>1.3264489760494229E-2</v>
      </c>
      <c r="Q791">
        <v>0.98730985413901762</v>
      </c>
      <c r="R791">
        <v>-26.31256095933654</v>
      </c>
      <c r="S791">
        <v>1.200968587037528</v>
      </c>
      <c r="T791">
        <v>0.93833980090126545</v>
      </c>
      <c r="U791">
        <v>4.3177108791877004</v>
      </c>
      <c r="V791">
        <v>0.14104184712444839</v>
      </c>
      <c r="W791">
        <v>-22.049642460991279</v>
      </c>
      <c r="X791">
        <v>1.209083192874749</v>
      </c>
      <c r="Z791" t="s">
        <v>392</v>
      </c>
      <c r="AA791">
        <v>9937</v>
      </c>
      <c r="AB791" t="s">
        <v>1182</v>
      </c>
      <c r="AC791" t="str">
        <f>HYPERLINK("plots/20251231000436_3FT6Y121H01_04823_B11P_N_UFLEX98_M5358A8BH101511/dpll_52094/txpa_54147.png","plot")</f>
        <v>plot</v>
      </c>
    </row>
    <row r="792" spans="1:29" hidden="1" x14ac:dyDescent="0.35">
      <c r="A792" t="s">
        <v>46</v>
      </c>
      <c r="B792">
        <v>52094</v>
      </c>
      <c r="C792" t="s">
        <v>53</v>
      </c>
      <c r="D792">
        <v>54148</v>
      </c>
      <c r="E792" t="s">
        <v>168</v>
      </c>
      <c r="F792">
        <v>8716</v>
      </c>
      <c r="G792">
        <v>0.1563322055977511</v>
      </c>
      <c r="H792">
        <v>8.2391961835080703E-49</v>
      </c>
      <c r="I792">
        <v>8.4474670678232388E-49</v>
      </c>
      <c r="J792">
        <v>0.13010052755595669</v>
      </c>
      <c r="K792">
        <v>3.2548185370105929E-34</v>
      </c>
      <c r="L792">
        <v>3.3746278083115959E-34</v>
      </c>
      <c r="M792">
        <v>8.6961610306555942E-2</v>
      </c>
      <c r="N792">
        <v>4.5318196855131679E-34</v>
      </c>
      <c r="O792">
        <v>4.6890460827656652E-34</v>
      </c>
      <c r="P792">
        <v>2.4439758507057509E-2</v>
      </c>
      <c r="Q792">
        <v>1.2772375116609529</v>
      </c>
      <c r="R792">
        <v>-27.09447523882687</v>
      </c>
      <c r="S792">
        <v>1.138081406437444</v>
      </c>
      <c r="T792">
        <v>0.88257380581435529</v>
      </c>
      <c r="U792">
        <v>4.3177108791877004</v>
      </c>
      <c r="V792">
        <v>0.14104184712444839</v>
      </c>
      <c r="W792">
        <v>-21.579732939421749</v>
      </c>
      <c r="X792">
        <v>1.1523149511803881</v>
      </c>
      <c r="Z792" t="s">
        <v>392</v>
      </c>
      <c r="AA792">
        <v>9937</v>
      </c>
      <c r="AB792" t="s">
        <v>1183</v>
      </c>
      <c r="AC792" t="str">
        <f>HYPERLINK("plots/20251231000436_3FT6Y121H01_04823_B11P_N_UFLEX98_M5358A8BH101511/dpll_52094/txpa_54148.png","plot")</f>
        <v>plot</v>
      </c>
    </row>
    <row r="793" spans="1:29" hidden="1" x14ac:dyDescent="0.35">
      <c r="A793" t="s">
        <v>46</v>
      </c>
      <c r="B793">
        <v>52094</v>
      </c>
      <c r="C793" t="s">
        <v>53</v>
      </c>
      <c r="D793">
        <v>54149</v>
      </c>
      <c r="E793" t="s">
        <v>169</v>
      </c>
      <c r="F793">
        <v>8716</v>
      </c>
      <c r="G793">
        <v>0.1826489055720136</v>
      </c>
      <c r="H793">
        <v>2.9249667422060482E-66</v>
      </c>
      <c r="I793">
        <v>3.105671493818778E-66</v>
      </c>
      <c r="J793">
        <v>0.13691458561160491</v>
      </c>
      <c r="K793">
        <v>9.667131313988991E-38</v>
      </c>
      <c r="L793">
        <v>1.025363091253644E-37</v>
      </c>
      <c r="M793">
        <v>9.1892805166882544E-2</v>
      </c>
      <c r="N793">
        <v>7.5982851546260072E-38</v>
      </c>
      <c r="O793">
        <v>8.0508475933027908E-38</v>
      </c>
      <c r="P793">
        <v>3.3360622706654339E-2</v>
      </c>
      <c r="Q793">
        <v>1.3738821804828969</v>
      </c>
      <c r="R793">
        <v>-26.995050161991561</v>
      </c>
      <c r="S793">
        <v>1.0430082164882959</v>
      </c>
      <c r="T793">
        <v>0.81113162648941917</v>
      </c>
      <c r="U793">
        <v>4.3177108791877004</v>
      </c>
      <c r="V793">
        <v>0.14104184712444839</v>
      </c>
      <c r="W793">
        <v>-21.063024124598439</v>
      </c>
      <c r="X793">
        <v>1.060914544545531</v>
      </c>
      <c r="Z793" t="s">
        <v>392</v>
      </c>
      <c r="AA793">
        <v>9937</v>
      </c>
      <c r="AB793" t="s">
        <v>1184</v>
      </c>
      <c r="AC793" t="str">
        <f>HYPERLINK("plots/20251231000436_3FT6Y121H01_04823_B11P_N_UFLEX98_M5358A8BH101511/dpll_52094/txpa_54149.png","plot")</f>
        <v>plot</v>
      </c>
    </row>
    <row r="794" spans="1:29" hidden="1" x14ac:dyDescent="0.35">
      <c r="A794" t="s">
        <v>46</v>
      </c>
      <c r="B794">
        <v>52094</v>
      </c>
      <c r="C794" t="s">
        <v>53</v>
      </c>
      <c r="D794">
        <v>54150</v>
      </c>
      <c r="E794" t="s">
        <v>170</v>
      </c>
      <c r="F794">
        <v>8716</v>
      </c>
      <c r="G794">
        <v>0.1815627340038522</v>
      </c>
      <c r="H794">
        <v>1.7495448251275711E-65</v>
      </c>
      <c r="I794">
        <v>1.8518146687675961E-65</v>
      </c>
      <c r="J794">
        <v>0.14593625698234061</v>
      </c>
      <c r="K794">
        <v>1.073236955124373E-42</v>
      </c>
      <c r="L794">
        <v>1.151600288355676E-42</v>
      </c>
      <c r="M794">
        <v>9.7890904777204718E-2</v>
      </c>
      <c r="N794">
        <v>1.033896381498203E-42</v>
      </c>
      <c r="O794">
        <v>1.109387228401246E-42</v>
      </c>
      <c r="P794">
        <v>3.2965026378953599E-2</v>
      </c>
      <c r="Q794">
        <v>1.459248150463164</v>
      </c>
      <c r="R794">
        <v>-27.924378445804528</v>
      </c>
      <c r="S794">
        <v>1.1146707375416101</v>
      </c>
      <c r="T794">
        <v>0.86574386701621608</v>
      </c>
      <c r="U794">
        <v>4.3177108791877004</v>
      </c>
      <c r="V794">
        <v>0.14104184712444839</v>
      </c>
      <c r="W794">
        <v>-21.623766831115191</v>
      </c>
      <c r="X794">
        <v>1.133575431563467</v>
      </c>
      <c r="Z794" t="s">
        <v>392</v>
      </c>
      <c r="AA794">
        <v>9937</v>
      </c>
      <c r="AB794" t="s">
        <v>1185</v>
      </c>
      <c r="AC794" t="str">
        <f>HYPERLINK("plots/20251231000436_3FT6Y121H01_04823_B11P_N_UFLEX98_M5358A8BH101511/dpll_52094/txpa_54150.png","plot")</f>
        <v>plot</v>
      </c>
    </row>
    <row r="795" spans="1:29" hidden="1" x14ac:dyDescent="0.35">
      <c r="A795" t="s">
        <v>46</v>
      </c>
      <c r="B795">
        <v>52094</v>
      </c>
      <c r="C795" t="s">
        <v>53</v>
      </c>
      <c r="D795">
        <v>54151</v>
      </c>
      <c r="E795" t="s">
        <v>171</v>
      </c>
      <c r="F795">
        <v>8716</v>
      </c>
      <c r="G795">
        <v>0.1629846896849084</v>
      </c>
      <c r="H795">
        <v>5.9320407528618656E-53</v>
      </c>
      <c r="I795">
        <v>6.1441157542409921E-53</v>
      </c>
      <c r="J795">
        <v>0.12850584009128699</v>
      </c>
      <c r="K795">
        <v>2.0484532043629551E-33</v>
      </c>
      <c r="L795">
        <v>2.1109060459593871E-33</v>
      </c>
      <c r="M795">
        <v>8.5729635036609741E-2</v>
      </c>
      <c r="N795">
        <v>3.6943759605877193E-33</v>
      </c>
      <c r="O795">
        <v>3.7992872454725638E-33</v>
      </c>
      <c r="P795">
        <v>2.6564009071685889E-2</v>
      </c>
      <c r="Q795">
        <v>1.190407519216732</v>
      </c>
      <c r="R795">
        <v>-26.31890990322692</v>
      </c>
      <c r="S795">
        <v>1.016308652690646</v>
      </c>
      <c r="T795">
        <v>0.78390655382901919</v>
      </c>
      <c r="U795">
        <v>4.3177108791877004</v>
      </c>
      <c r="V795">
        <v>0.14104184712444839</v>
      </c>
      <c r="W795">
        <v>-21.179074406838001</v>
      </c>
      <c r="X795">
        <v>1.0301413934385439</v>
      </c>
      <c r="Z795" t="s">
        <v>392</v>
      </c>
      <c r="AA795">
        <v>9937</v>
      </c>
      <c r="AB795" t="s">
        <v>1186</v>
      </c>
      <c r="AC795" t="str">
        <f>HYPERLINK("plots/20251231000436_3FT6Y121H01_04823_B11P_N_UFLEX98_M5358A8BH101511/dpll_52094/txpa_54151.png","plot")</f>
        <v>plot</v>
      </c>
    </row>
    <row r="796" spans="1:29" hidden="1" x14ac:dyDescent="0.35">
      <c r="A796" t="s">
        <v>46</v>
      </c>
      <c r="B796">
        <v>52094</v>
      </c>
      <c r="C796" t="s">
        <v>53</v>
      </c>
      <c r="D796">
        <v>54152</v>
      </c>
      <c r="E796" t="s">
        <v>172</v>
      </c>
      <c r="F796">
        <v>8716</v>
      </c>
      <c r="G796">
        <v>0.18009984291884529</v>
      </c>
      <c r="H796">
        <v>1.9115301539130869E-64</v>
      </c>
      <c r="I796">
        <v>2.0148561081786589E-64</v>
      </c>
      <c r="J796">
        <v>0.13457343866919261</v>
      </c>
      <c r="K796">
        <v>1.6518077359085639E-36</v>
      </c>
      <c r="L796">
        <v>1.7338851389350769E-36</v>
      </c>
      <c r="M796">
        <v>8.9920248691276308E-2</v>
      </c>
      <c r="N796">
        <v>2.6164683402982218E-36</v>
      </c>
      <c r="O796">
        <v>2.7436389835185082E-36</v>
      </c>
      <c r="P796">
        <v>3.2435953419392753E-2</v>
      </c>
      <c r="Q796">
        <v>1.3593593328236691</v>
      </c>
      <c r="R796">
        <v>-27.25506479414712</v>
      </c>
      <c r="S796">
        <v>1.047089663001602</v>
      </c>
      <c r="T796">
        <v>0.81121059741101509</v>
      </c>
      <c r="U796">
        <v>4.3177108791877004</v>
      </c>
      <c r="V796">
        <v>0.14104184712444839</v>
      </c>
      <c r="W796">
        <v>-21.38574421408903</v>
      </c>
      <c r="X796">
        <v>1.064557015153544</v>
      </c>
      <c r="Z796" t="s">
        <v>392</v>
      </c>
      <c r="AA796">
        <v>9937</v>
      </c>
      <c r="AB796" t="s">
        <v>1187</v>
      </c>
      <c r="AC796" t="str">
        <f>HYPERLINK("plots/20251231000436_3FT6Y121H01_04823_B11P_N_UFLEX98_M5358A8BH101511/dpll_52094/txpa_54152.png","plot")</f>
        <v>plot</v>
      </c>
    </row>
    <row r="797" spans="1:29" hidden="1" x14ac:dyDescent="0.35">
      <c r="A797" t="s">
        <v>46</v>
      </c>
      <c r="B797">
        <v>52094</v>
      </c>
      <c r="C797" t="s">
        <v>53</v>
      </c>
      <c r="D797">
        <v>54153</v>
      </c>
      <c r="E797" t="s">
        <v>173</v>
      </c>
      <c r="F797">
        <v>8716</v>
      </c>
      <c r="G797">
        <v>0.1925612297289046</v>
      </c>
      <c r="H797">
        <v>1.408762250093948E-73</v>
      </c>
      <c r="I797">
        <v>1.5084318073867608E-73</v>
      </c>
      <c r="J797">
        <v>0.13613916108336799</v>
      </c>
      <c r="K797">
        <v>2.488796393881644E-37</v>
      </c>
      <c r="L797">
        <v>2.6233259286860579E-37</v>
      </c>
      <c r="M797">
        <v>9.1265331275645956E-2</v>
      </c>
      <c r="N797">
        <v>2.365099924649124E-37</v>
      </c>
      <c r="O797">
        <v>2.4929431638193471E-37</v>
      </c>
      <c r="P797">
        <v>3.7079827194707968E-2</v>
      </c>
      <c r="Q797">
        <v>1.4203700360996789</v>
      </c>
      <c r="R797">
        <v>-27.264447524480701</v>
      </c>
      <c r="S797">
        <v>1.0208239851508569</v>
      </c>
      <c r="T797">
        <v>0.79160716784353558</v>
      </c>
      <c r="U797">
        <v>4.3177108791877004</v>
      </c>
      <c r="V797">
        <v>0.14104184712444839</v>
      </c>
      <c r="W797">
        <v>-21.131700367140891</v>
      </c>
      <c r="X797">
        <v>1.0403527946604461</v>
      </c>
      <c r="Z797" t="s">
        <v>392</v>
      </c>
      <c r="AA797">
        <v>9937</v>
      </c>
      <c r="AB797" t="s">
        <v>1188</v>
      </c>
      <c r="AC797" t="str">
        <f>HYPERLINK("plots/20251231000436_3FT6Y121H01_04823_B11P_N_UFLEX98_M5358A8BH101511/dpll_52094/txpa_54153.png","plot")</f>
        <v>plot</v>
      </c>
    </row>
    <row r="798" spans="1:29" hidden="1" x14ac:dyDescent="0.35">
      <c r="A798" t="s">
        <v>46</v>
      </c>
      <c r="B798">
        <v>52094</v>
      </c>
      <c r="C798" t="s">
        <v>53</v>
      </c>
      <c r="D798">
        <v>54154</v>
      </c>
      <c r="E798" t="s">
        <v>174</v>
      </c>
      <c r="F798">
        <v>8716</v>
      </c>
      <c r="G798">
        <v>0.12535325797496699</v>
      </c>
      <c r="H798">
        <v>7.26495469310846E-32</v>
      </c>
      <c r="I798">
        <v>7.3373147996135246E-32</v>
      </c>
      <c r="J798">
        <v>0.10628430950498299</v>
      </c>
      <c r="K798">
        <v>2.5365609825075391E-23</v>
      </c>
      <c r="L798">
        <v>2.5592764539926811E-23</v>
      </c>
      <c r="M798">
        <v>7.1005935781486063E-2</v>
      </c>
      <c r="N798">
        <v>2.9102457430816123E-23</v>
      </c>
      <c r="O798">
        <v>2.9363076452584621E-23</v>
      </c>
      <c r="P798">
        <v>1.571343928493862E-2</v>
      </c>
      <c r="Q798">
        <v>1.1308388260527431</v>
      </c>
      <c r="R798">
        <v>-27.270848795063671</v>
      </c>
      <c r="S798">
        <v>1.2622603335697531</v>
      </c>
      <c r="T798">
        <v>0.98866463025755569</v>
      </c>
      <c r="U798">
        <v>4.3177108791877004</v>
      </c>
      <c r="V798">
        <v>0.14104184712444839</v>
      </c>
      <c r="W798">
        <v>-22.388213693207891</v>
      </c>
      <c r="X798">
        <v>1.272368978701558</v>
      </c>
      <c r="Z798" t="s">
        <v>392</v>
      </c>
      <c r="AA798">
        <v>9937</v>
      </c>
      <c r="AB798" t="s">
        <v>1189</v>
      </c>
      <c r="AC798" t="str">
        <f>HYPERLINK("plots/20251231000436_3FT6Y121H01_04823_B11P_N_UFLEX98_M5358A8BH101511/dpll_52094/txpa_54154.png","plot")</f>
        <v>plot</v>
      </c>
    </row>
    <row r="799" spans="1:29" hidden="1" x14ac:dyDescent="0.35">
      <c r="A799" t="s">
        <v>46</v>
      </c>
      <c r="B799">
        <v>52094</v>
      </c>
      <c r="C799" t="s">
        <v>53</v>
      </c>
      <c r="D799">
        <v>54155</v>
      </c>
      <c r="E799" t="s">
        <v>175</v>
      </c>
      <c r="F799">
        <v>8716</v>
      </c>
      <c r="G799">
        <v>0.20781873208796331</v>
      </c>
      <c r="H799">
        <v>1.184009371945862E-85</v>
      </c>
      <c r="I799">
        <v>1.2854234509133879E-85</v>
      </c>
      <c r="J799">
        <v>0.17838922804495591</v>
      </c>
      <c r="K799">
        <v>3.0506761147270121E-63</v>
      </c>
      <c r="L799">
        <v>3.3155258095746952E-63</v>
      </c>
      <c r="M799">
        <v>0.1169687864010415</v>
      </c>
      <c r="N799">
        <v>2.8861751347195129E-60</v>
      </c>
      <c r="O799">
        <v>3.1367433940038439E-60</v>
      </c>
      <c r="P799">
        <v>4.3188625406648667E-2</v>
      </c>
      <c r="Q799">
        <v>0.59524497305584445</v>
      </c>
      <c r="R799">
        <v>-11.25454007903358</v>
      </c>
      <c r="S799">
        <v>0.39513662153308771</v>
      </c>
      <c r="T799">
        <v>0.3013744553538083</v>
      </c>
      <c r="U799">
        <v>4.3177108791877004</v>
      </c>
      <c r="V799">
        <v>0.14104184712444839</v>
      </c>
      <c r="W799">
        <v>-8.6844443830885716</v>
      </c>
      <c r="X799">
        <v>0.40397922577933643</v>
      </c>
      <c r="Z799" t="s">
        <v>392</v>
      </c>
      <c r="AA799">
        <v>9937</v>
      </c>
      <c r="AB799" t="s">
        <v>1190</v>
      </c>
      <c r="AC799" t="str">
        <f>HYPERLINK("plots/20251231000436_3FT6Y121H01_04823_B11P_N_UFLEX98_M5358A8BH101511/dpll_52094/txpa_54155.png","plot")</f>
        <v>plot</v>
      </c>
    </row>
    <row r="800" spans="1:29" hidden="1" x14ac:dyDescent="0.35">
      <c r="A800" t="s">
        <v>46</v>
      </c>
      <c r="B800">
        <v>52094</v>
      </c>
      <c r="C800" t="s">
        <v>53</v>
      </c>
      <c r="D800">
        <v>54156</v>
      </c>
      <c r="E800" t="s">
        <v>176</v>
      </c>
      <c r="F800">
        <v>8716</v>
      </c>
      <c r="G800">
        <v>0.3322320644111334</v>
      </c>
      <c r="H800">
        <v>1.253414765292901E-223</v>
      </c>
      <c r="I800">
        <v>1.465931455602078E-223</v>
      </c>
      <c r="J800">
        <v>0.26444363736645488</v>
      </c>
      <c r="K800">
        <v>2.140732829330833E-139</v>
      </c>
      <c r="L800">
        <v>2.6504311220286501E-139</v>
      </c>
      <c r="M800">
        <v>0.17770767044201879</v>
      </c>
      <c r="N800">
        <v>1.273301301874565E-136</v>
      </c>
      <c r="O800">
        <v>1.570714744648185E-136</v>
      </c>
      <c r="P800">
        <v>0.11037814462288351</v>
      </c>
      <c r="Q800">
        <v>0.84695122061453232</v>
      </c>
      <c r="R800">
        <v>-11.874759564556181</v>
      </c>
      <c r="S800">
        <v>0.33911160097770221</v>
      </c>
      <c r="T800">
        <v>0.2667521017701962</v>
      </c>
      <c r="U800">
        <v>4.3177108791877004</v>
      </c>
      <c r="V800">
        <v>0.14104184712444839</v>
      </c>
      <c r="W800">
        <v>-8.2178690651675073</v>
      </c>
      <c r="X800">
        <v>0.35955459263545031</v>
      </c>
      <c r="Z800" t="s">
        <v>392</v>
      </c>
      <c r="AA800">
        <v>9937</v>
      </c>
      <c r="AB800" t="s">
        <v>1191</v>
      </c>
      <c r="AC800" t="str">
        <f>HYPERLINK("plots/20251231000436_3FT6Y121H01_04823_B11P_N_UFLEX98_M5358A8BH101511/dpll_52094/txpa_54156.png","plot")</f>
        <v>plot</v>
      </c>
    </row>
    <row r="801" spans="1:29" hidden="1" x14ac:dyDescent="0.35">
      <c r="A801" t="s">
        <v>46</v>
      </c>
      <c r="B801">
        <v>52094</v>
      </c>
      <c r="C801" t="s">
        <v>53</v>
      </c>
      <c r="D801">
        <v>54157</v>
      </c>
      <c r="E801" t="s">
        <v>177</v>
      </c>
      <c r="F801">
        <v>8716</v>
      </c>
      <c r="G801">
        <v>0.34408647158341038</v>
      </c>
      <c r="H801">
        <v>8.9685104604960291E-241</v>
      </c>
      <c r="I801">
        <v>1.0774963989268919E-240</v>
      </c>
      <c r="J801">
        <v>0.21957582352301619</v>
      </c>
      <c r="K801">
        <v>1.21884994182621E-95</v>
      </c>
      <c r="L801">
        <v>1.407646743749177E-95</v>
      </c>
      <c r="M801">
        <v>0.1478799012429875</v>
      </c>
      <c r="N801">
        <v>3.2612284918495771E-95</v>
      </c>
      <c r="O801">
        <v>3.7706792368705487E-95</v>
      </c>
      <c r="P801">
        <v>0.1183954999267211</v>
      </c>
      <c r="Q801">
        <v>0.93025357114071883</v>
      </c>
      <c r="R801">
        <v>-11.82352799388876</v>
      </c>
      <c r="S801">
        <v>0.35800881420591413</v>
      </c>
      <c r="T801">
        <v>0.28681461990721702</v>
      </c>
      <c r="U801">
        <v>4.3177108791877004</v>
      </c>
      <c r="V801">
        <v>0.14104184712444839</v>
      </c>
      <c r="W801">
        <v>-7.8069620293712712</v>
      </c>
      <c r="X801">
        <v>0.38131310819639691</v>
      </c>
      <c r="Z801" t="s">
        <v>392</v>
      </c>
      <c r="AA801">
        <v>9937</v>
      </c>
      <c r="AB801" t="s">
        <v>1192</v>
      </c>
      <c r="AC801" t="str">
        <f>HYPERLINK("plots/20251231000436_3FT6Y121H01_04823_B11P_N_UFLEX98_M5358A8BH101511/dpll_52094/txpa_54157.png","plot")</f>
        <v>plot</v>
      </c>
    </row>
    <row r="802" spans="1:29" hidden="1" x14ac:dyDescent="0.35">
      <c r="A802" t="s">
        <v>46</v>
      </c>
      <c r="B802">
        <v>52094</v>
      </c>
      <c r="C802" t="s">
        <v>53</v>
      </c>
      <c r="D802">
        <v>54158</v>
      </c>
      <c r="E802" t="s">
        <v>178</v>
      </c>
      <c r="F802">
        <v>8716</v>
      </c>
      <c r="G802">
        <v>0.37273523041265688</v>
      </c>
      <c r="H802">
        <v>2.0857550834202421E-285</v>
      </c>
      <c r="I802">
        <v>2.6805521604412239E-285</v>
      </c>
      <c r="J802">
        <v>0.27834842725955861</v>
      </c>
      <c r="K802">
        <v>7.7727272100082029E-155</v>
      </c>
      <c r="L802">
        <v>1.006583063978074E-154</v>
      </c>
      <c r="M802">
        <v>0.18755434123131351</v>
      </c>
      <c r="N802">
        <v>5.9661151195825094E-152</v>
      </c>
      <c r="O802">
        <v>7.7065487022377894E-152</v>
      </c>
      <c r="P802">
        <v>0.13893155199077639</v>
      </c>
      <c r="Q802">
        <v>0.92946011292795283</v>
      </c>
      <c r="R802">
        <v>-12.26617363509571</v>
      </c>
      <c r="S802">
        <v>0.32634143828537421</v>
      </c>
      <c r="T802">
        <v>0.25899056462883763</v>
      </c>
      <c r="U802">
        <v>4.3177108791877004</v>
      </c>
      <c r="V802">
        <v>0.14104184712444839</v>
      </c>
      <c r="W802">
        <v>-8.2530335937356583</v>
      </c>
      <c r="X802">
        <v>0.35170480399913739</v>
      </c>
      <c r="Z802" t="s">
        <v>392</v>
      </c>
      <c r="AA802">
        <v>9937</v>
      </c>
      <c r="AB802" t="s">
        <v>1193</v>
      </c>
      <c r="AC802" t="str">
        <f>HYPERLINK("plots/20251231000436_3FT6Y121H01_04823_B11P_N_UFLEX98_M5358A8BH101511/dpll_52094/txpa_54158.png","plot")</f>
        <v>plot</v>
      </c>
    </row>
    <row r="803" spans="1:29" hidden="1" x14ac:dyDescent="0.35">
      <c r="A803" t="s">
        <v>46</v>
      </c>
      <c r="B803">
        <v>52094</v>
      </c>
      <c r="C803" t="s">
        <v>53</v>
      </c>
      <c r="D803">
        <v>54159</v>
      </c>
      <c r="E803" t="s">
        <v>179</v>
      </c>
      <c r="F803">
        <v>8716</v>
      </c>
      <c r="G803">
        <v>0.36434354973431021</v>
      </c>
      <c r="H803">
        <v>7.4641020053070205E-272</v>
      </c>
      <c r="I803">
        <v>9.4254040266267978E-272</v>
      </c>
      <c r="J803">
        <v>0.25301363699470492</v>
      </c>
      <c r="K803">
        <v>2.2114521773093299E-127</v>
      </c>
      <c r="L803">
        <v>2.6791069388191881E-127</v>
      </c>
      <c r="M803">
        <v>0.1692192584234572</v>
      </c>
      <c r="N803">
        <v>4.5802191604797153E-124</v>
      </c>
      <c r="O803">
        <v>5.5224045525879087E-124</v>
      </c>
      <c r="P803">
        <v>0.1327462222329977</v>
      </c>
      <c r="Q803">
        <v>0.84701131513604055</v>
      </c>
      <c r="R803">
        <v>-11.646311246890409</v>
      </c>
      <c r="S803">
        <v>0.30533338951774258</v>
      </c>
      <c r="T803">
        <v>0.24048643144235049</v>
      </c>
      <c r="U803">
        <v>4.3177108791877004</v>
      </c>
      <c r="V803">
        <v>0.14104184712444839</v>
      </c>
      <c r="W803">
        <v>-7.9891612767324469</v>
      </c>
      <c r="X803">
        <v>0.32788844624589092</v>
      </c>
      <c r="Z803" t="s">
        <v>392</v>
      </c>
      <c r="AA803">
        <v>9937</v>
      </c>
      <c r="AB803" t="s">
        <v>1194</v>
      </c>
      <c r="AC803" t="str">
        <f>HYPERLINK("plots/20251231000436_3FT6Y121H01_04823_B11P_N_UFLEX98_M5358A8BH101511/dpll_52094/txpa_54159.png","plot")</f>
        <v>plot</v>
      </c>
    </row>
    <row r="804" spans="1:29" hidden="1" x14ac:dyDescent="0.35">
      <c r="A804" t="s">
        <v>46</v>
      </c>
      <c r="B804">
        <v>52094</v>
      </c>
      <c r="C804" t="s">
        <v>53</v>
      </c>
      <c r="D804">
        <v>54160</v>
      </c>
      <c r="E804" t="s">
        <v>180</v>
      </c>
      <c r="F804">
        <v>8716</v>
      </c>
      <c r="G804">
        <v>0.39137056177330087</v>
      </c>
      <c r="H804">
        <v>0</v>
      </c>
      <c r="I804">
        <v>0</v>
      </c>
      <c r="J804">
        <v>0.28148359561938829</v>
      </c>
      <c r="K804">
        <v>1.9151446633785459E-158</v>
      </c>
      <c r="L804">
        <v>2.499300757613701E-158</v>
      </c>
      <c r="M804">
        <v>0.18811095202939551</v>
      </c>
      <c r="N804">
        <v>7.7208916929738175E-153</v>
      </c>
      <c r="O804">
        <v>1.001148871697628E-152</v>
      </c>
      <c r="P804">
        <v>0.15317091662274909</v>
      </c>
      <c r="Q804">
        <v>0.86770448161969194</v>
      </c>
      <c r="R804">
        <v>-11.83592184673061</v>
      </c>
      <c r="S804">
        <v>0.28774291522189682</v>
      </c>
      <c r="T804">
        <v>0.22617196136871151</v>
      </c>
      <c r="U804">
        <v>4.3177108791877004</v>
      </c>
      <c r="V804">
        <v>0.14104184712444839</v>
      </c>
      <c r="W804">
        <v>-8.0894247665213381</v>
      </c>
      <c r="X804">
        <v>0.31270272932968513</v>
      </c>
      <c r="Z804" t="s">
        <v>392</v>
      </c>
      <c r="AA804">
        <v>9937</v>
      </c>
      <c r="AB804" t="s">
        <v>1195</v>
      </c>
      <c r="AC804" t="str">
        <f>HYPERLINK("plots/20251231000436_3FT6Y121H01_04823_B11P_N_UFLEX98_M5358A8BH101511/dpll_52094/txpa_54160.png","plot")</f>
        <v>plot</v>
      </c>
    </row>
    <row r="805" spans="1:29" hidden="1" x14ac:dyDescent="0.35">
      <c r="A805" t="s">
        <v>46</v>
      </c>
      <c r="B805">
        <v>52094</v>
      </c>
      <c r="C805" t="s">
        <v>53</v>
      </c>
      <c r="D805">
        <v>54161</v>
      </c>
      <c r="E805" t="s">
        <v>181</v>
      </c>
      <c r="F805">
        <v>8716</v>
      </c>
      <c r="G805">
        <v>0.35651203185179142</v>
      </c>
      <c r="H805">
        <v>1.4451219777496599E-259</v>
      </c>
      <c r="I805">
        <v>1.776186285379582E-259</v>
      </c>
      <c r="J805">
        <v>0.21820847439082519</v>
      </c>
      <c r="K805">
        <v>1.898211926120763E-94</v>
      </c>
      <c r="L805">
        <v>2.1626819023443301E-94</v>
      </c>
      <c r="M805">
        <v>0.146370069858894</v>
      </c>
      <c r="N805">
        <v>2.5703246799882832E-93</v>
      </c>
      <c r="O805">
        <v>2.938341855138803E-93</v>
      </c>
      <c r="P805">
        <v>0.12710082885509269</v>
      </c>
      <c r="Q805">
        <v>0.90219782428316819</v>
      </c>
      <c r="R805">
        <v>-11.78016117086203</v>
      </c>
      <c r="S805">
        <v>0.3334515162407154</v>
      </c>
      <c r="T805">
        <v>0.26867262728297092</v>
      </c>
      <c r="U805">
        <v>4.3177108791877004</v>
      </c>
      <c r="V805">
        <v>0.14104184712444839</v>
      </c>
      <c r="W805">
        <v>-7.8847318097751264</v>
      </c>
      <c r="X805">
        <v>0.35692385176345409</v>
      </c>
      <c r="Z805" t="s">
        <v>392</v>
      </c>
      <c r="AA805">
        <v>9937</v>
      </c>
      <c r="AB805" t="s">
        <v>1196</v>
      </c>
      <c r="AC805" t="str">
        <f>HYPERLINK("plots/20251231000436_3FT6Y121H01_04823_B11P_N_UFLEX98_M5358A8BH101511/dpll_52094/txpa_54161.png","plot")</f>
        <v>plot</v>
      </c>
    </row>
    <row r="806" spans="1:29" hidden="1" x14ac:dyDescent="0.35">
      <c r="A806" t="s">
        <v>46</v>
      </c>
      <c r="B806">
        <v>52094</v>
      </c>
      <c r="C806" t="s">
        <v>53</v>
      </c>
      <c r="D806">
        <v>54162</v>
      </c>
      <c r="E806" t="s">
        <v>182</v>
      </c>
      <c r="F806">
        <v>8716</v>
      </c>
      <c r="G806">
        <v>0.23760379045989949</v>
      </c>
      <c r="H806">
        <v>3.9331081546505049E-112</v>
      </c>
      <c r="I806">
        <v>4.3491512200824566E-112</v>
      </c>
      <c r="J806">
        <v>0.21949678981043391</v>
      </c>
      <c r="K806">
        <v>1.429202576105903E-95</v>
      </c>
      <c r="L806">
        <v>1.6487046782382089E-95</v>
      </c>
      <c r="M806">
        <v>0.1463176207286242</v>
      </c>
      <c r="N806">
        <v>3.0259868945081741E-93</v>
      </c>
      <c r="O806">
        <v>3.4514631170205719E-93</v>
      </c>
      <c r="P806">
        <v>5.6455561240911827E-2</v>
      </c>
      <c r="Q806">
        <v>0.69203520391060358</v>
      </c>
      <c r="R806">
        <v>-11.796255298600141</v>
      </c>
      <c r="S806">
        <v>0.39900567676458132</v>
      </c>
      <c r="T806">
        <v>0.29880259229381911</v>
      </c>
      <c r="U806">
        <v>4.3177108791877004</v>
      </c>
      <c r="V806">
        <v>0.14104184712444839</v>
      </c>
      <c r="W806">
        <v>-8.8082473698944472</v>
      </c>
      <c r="X806">
        <v>0.41079278763092292</v>
      </c>
      <c r="Z806" t="s">
        <v>392</v>
      </c>
      <c r="AA806">
        <v>9937</v>
      </c>
      <c r="AB806" t="s">
        <v>1197</v>
      </c>
      <c r="AC806" t="str">
        <f>HYPERLINK("plots/20251231000436_3FT6Y121H01_04823_B11P_N_UFLEX98_M5358A8BH101511/dpll_52094/txpa_54162.png","plot")</f>
        <v>plot</v>
      </c>
    </row>
    <row r="807" spans="1:29" hidden="1" x14ac:dyDescent="0.35">
      <c r="A807" t="s">
        <v>46</v>
      </c>
      <c r="B807">
        <v>52094</v>
      </c>
      <c r="C807" t="s">
        <v>53</v>
      </c>
      <c r="D807">
        <v>54163</v>
      </c>
      <c r="E807" t="s">
        <v>183</v>
      </c>
      <c r="F807">
        <v>8716</v>
      </c>
      <c r="G807">
        <v>0.22000010554843999</v>
      </c>
      <c r="H807">
        <v>5.1795921285674379E-96</v>
      </c>
      <c r="I807">
        <v>5.6964277856479199E-96</v>
      </c>
      <c r="J807">
        <v>0.19144462244788571</v>
      </c>
      <c r="K807">
        <v>9.8572847168174169E-73</v>
      </c>
      <c r="L807">
        <v>1.081740985157236E-72</v>
      </c>
      <c r="M807">
        <v>0.12588545515928731</v>
      </c>
      <c r="N807">
        <v>1.594398062281867E-69</v>
      </c>
      <c r="O807">
        <v>1.7496965748417889E-69</v>
      </c>
      <c r="P807">
        <v>4.8400046441324743E-2</v>
      </c>
      <c r="Q807">
        <v>0.55574180243425975</v>
      </c>
      <c r="R807">
        <v>-5.0777735858666091</v>
      </c>
      <c r="S807">
        <v>0.34753652482458808</v>
      </c>
      <c r="T807">
        <v>0.26377568931359591</v>
      </c>
      <c r="U807">
        <v>4.3177108791877004</v>
      </c>
      <c r="V807">
        <v>0.14104184712444839</v>
      </c>
      <c r="W807">
        <v>-2.6782411594768241</v>
      </c>
      <c r="X807">
        <v>0.35628551242826489</v>
      </c>
      <c r="Z807" t="s">
        <v>392</v>
      </c>
      <c r="AA807">
        <v>9937</v>
      </c>
      <c r="AB807" t="s">
        <v>1198</v>
      </c>
      <c r="AC807" t="str">
        <f>HYPERLINK("plots/20251231000436_3FT6Y121H01_04823_B11P_N_UFLEX98_M5358A8BH101511/dpll_52094/txpa_54163.png","plot")</f>
        <v>plot</v>
      </c>
    </row>
    <row r="808" spans="1:29" hidden="1" x14ac:dyDescent="0.35">
      <c r="A808" t="s">
        <v>46</v>
      </c>
      <c r="B808">
        <v>52094</v>
      </c>
      <c r="C808" t="s">
        <v>53</v>
      </c>
      <c r="D808">
        <v>54164</v>
      </c>
      <c r="E808" t="s">
        <v>184</v>
      </c>
      <c r="F808">
        <v>8716</v>
      </c>
      <c r="G808">
        <v>0.35840279628256982</v>
      </c>
      <c r="H808">
        <v>1.679287496632656E-262</v>
      </c>
      <c r="I808">
        <v>2.0816595618404809E-262</v>
      </c>
      <c r="J808">
        <v>0.28658934417804882</v>
      </c>
      <c r="K808">
        <v>2.0158969033908149E-164</v>
      </c>
      <c r="L808">
        <v>2.679055648805094E-164</v>
      </c>
      <c r="M808">
        <v>0.19301008792648261</v>
      </c>
      <c r="N808">
        <v>8.033927487782838E-161</v>
      </c>
      <c r="O808">
        <v>1.0579743470924409E-160</v>
      </c>
      <c r="P808">
        <v>0.12845256438316521</v>
      </c>
      <c r="Q808">
        <v>0.8013572896334149</v>
      </c>
      <c r="R808">
        <v>-5.7302484501181947</v>
      </c>
      <c r="S808">
        <v>0.29439022744177329</v>
      </c>
      <c r="T808">
        <v>0.23132025044164839</v>
      </c>
      <c r="U808">
        <v>4.3177108791877004</v>
      </c>
      <c r="V808">
        <v>0.14104184712444839</v>
      </c>
      <c r="W808">
        <v>-2.27021936255163</v>
      </c>
      <c r="X808">
        <v>0.31535722798163662</v>
      </c>
      <c r="Z808" t="s">
        <v>392</v>
      </c>
      <c r="AA808">
        <v>9937</v>
      </c>
      <c r="AB808" t="s">
        <v>1199</v>
      </c>
      <c r="AC808" t="str">
        <f>HYPERLINK("plots/20251231000436_3FT6Y121H01_04823_B11P_N_UFLEX98_M5358A8BH101511/dpll_52094/txpa_54164.png","plot")</f>
        <v>plot</v>
      </c>
    </row>
    <row r="809" spans="1:29" hidden="1" x14ac:dyDescent="0.35">
      <c r="A809" t="s">
        <v>46</v>
      </c>
      <c r="B809">
        <v>52094</v>
      </c>
      <c r="C809" t="s">
        <v>53</v>
      </c>
      <c r="D809">
        <v>54165</v>
      </c>
      <c r="E809" t="s">
        <v>185</v>
      </c>
      <c r="F809">
        <v>8716</v>
      </c>
      <c r="G809">
        <v>0.37058257302509001</v>
      </c>
      <c r="H809">
        <v>6.8358588474717533E-282</v>
      </c>
      <c r="I809">
        <v>8.7079910443924089E-282</v>
      </c>
      <c r="J809">
        <v>0.23893430326220469</v>
      </c>
      <c r="K809">
        <v>2.091049304062392E-113</v>
      </c>
      <c r="L809">
        <v>2.482814981638484E-113</v>
      </c>
      <c r="M809">
        <v>0.16095276708283329</v>
      </c>
      <c r="N809">
        <v>1.911225066810002E-112</v>
      </c>
      <c r="O809">
        <v>2.2693000207790902E-112</v>
      </c>
      <c r="P809">
        <v>0.1373314434298962</v>
      </c>
      <c r="Q809">
        <v>0.88253158557104316</v>
      </c>
      <c r="R809">
        <v>-5.7274906719251568</v>
      </c>
      <c r="S809">
        <v>0.31195382962553392</v>
      </c>
      <c r="T809">
        <v>0.24958554528824209</v>
      </c>
      <c r="U809">
        <v>4.3177108791877004</v>
      </c>
      <c r="V809">
        <v>0.14104184712444839</v>
      </c>
      <c r="W809">
        <v>-1.9169744436782929</v>
      </c>
      <c r="X809">
        <v>0.33588704390095731</v>
      </c>
      <c r="Z809" t="s">
        <v>392</v>
      </c>
      <c r="AA809">
        <v>9937</v>
      </c>
      <c r="AB809" t="s">
        <v>1200</v>
      </c>
      <c r="AC809" t="str">
        <f>HYPERLINK("plots/20251231000436_3FT6Y121H01_04823_B11P_N_UFLEX98_M5358A8BH101511/dpll_52094/txpa_54165.png","plot")</f>
        <v>plot</v>
      </c>
    </row>
    <row r="810" spans="1:29" hidden="1" x14ac:dyDescent="0.35">
      <c r="A810" t="s">
        <v>46</v>
      </c>
      <c r="B810">
        <v>52094</v>
      </c>
      <c r="C810" t="s">
        <v>53</v>
      </c>
      <c r="D810">
        <v>54166</v>
      </c>
      <c r="E810" t="s">
        <v>186</v>
      </c>
      <c r="F810">
        <v>8716</v>
      </c>
      <c r="G810">
        <v>0.39778798095562562</v>
      </c>
      <c r="H810">
        <v>0</v>
      </c>
      <c r="I810">
        <v>0</v>
      </c>
      <c r="J810">
        <v>0.29755780195619091</v>
      </c>
      <c r="K810">
        <v>1.0793957059604029E-177</v>
      </c>
      <c r="L810">
        <v>1.495228477928755E-177</v>
      </c>
      <c r="M810">
        <v>0.20084492327833459</v>
      </c>
      <c r="N810">
        <v>5.6695910577875879E-174</v>
      </c>
      <c r="O810">
        <v>7.8323778373250876E-174</v>
      </c>
      <c r="P810">
        <v>0.15823527779275309</v>
      </c>
      <c r="Q810">
        <v>0.86972623286743778</v>
      </c>
      <c r="R810">
        <v>-6.0588947624496452</v>
      </c>
      <c r="S810">
        <v>0.28291068155469529</v>
      </c>
      <c r="T810">
        <v>0.22392108502175151</v>
      </c>
      <c r="U810">
        <v>4.3177108791877004</v>
      </c>
      <c r="V810">
        <v>0.14104184712444839</v>
      </c>
      <c r="W810">
        <v>-2.3036683448829738</v>
      </c>
      <c r="X810">
        <v>0.30837481334031441</v>
      </c>
      <c r="Z810" t="s">
        <v>392</v>
      </c>
      <c r="AA810">
        <v>9937</v>
      </c>
      <c r="AB810" t="s">
        <v>1201</v>
      </c>
      <c r="AC810" t="str">
        <f>HYPERLINK("plots/20251231000436_3FT6Y121H01_04823_B11P_N_UFLEX98_M5358A8BH101511/dpll_52094/txpa_54166.png","plot")</f>
        <v>plot</v>
      </c>
    </row>
    <row r="811" spans="1:29" hidden="1" x14ac:dyDescent="0.35">
      <c r="A811" t="s">
        <v>46</v>
      </c>
      <c r="B811">
        <v>52094</v>
      </c>
      <c r="C811" t="s">
        <v>53</v>
      </c>
      <c r="D811">
        <v>54167</v>
      </c>
      <c r="E811" t="s">
        <v>187</v>
      </c>
      <c r="F811">
        <v>8716</v>
      </c>
      <c r="G811">
        <v>0.39467451715542717</v>
      </c>
      <c r="H811">
        <v>0</v>
      </c>
      <c r="I811">
        <v>0</v>
      </c>
      <c r="J811">
        <v>0.27599891819549011</v>
      </c>
      <c r="K811">
        <v>3.663140569304738E-152</v>
      </c>
      <c r="L811">
        <v>4.7197262227128386E-152</v>
      </c>
      <c r="M811">
        <v>0.1851591319518138</v>
      </c>
      <c r="N811">
        <v>3.6391434231729662E-148</v>
      </c>
      <c r="O811">
        <v>4.6650966259132587E-148</v>
      </c>
      <c r="P811">
        <v>0.1557679744918696</v>
      </c>
      <c r="Q811">
        <v>0.810631969911635</v>
      </c>
      <c r="R811">
        <v>-5.5787734993689817</v>
      </c>
      <c r="S811">
        <v>0.26615744852047007</v>
      </c>
      <c r="T811">
        <v>0.20901139805297489</v>
      </c>
      <c r="U811">
        <v>4.3177108791877004</v>
      </c>
      <c r="V811">
        <v>0.14104184712444839</v>
      </c>
      <c r="W811">
        <v>-2.0786990238641581</v>
      </c>
      <c r="X811">
        <v>0.28968941597372411</v>
      </c>
      <c r="Z811" t="s">
        <v>392</v>
      </c>
      <c r="AA811">
        <v>9937</v>
      </c>
      <c r="AB811" t="s">
        <v>1202</v>
      </c>
      <c r="AC811" t="str">
        <f>HYPERLINK("plots/20251231000436_3FT6Y121H01_04823_B11P_N_UFLEX98_M5358A8BH101511/dpll_52094/txpa_54167.png","plot")</f>
        <v>plot</v>
      </c>
    </row>
    <row r="812" spans="1:29" hidden="1" x14ac:dyDescent="0.35">
      <c r="A812" t="s">
        <v>46</v>
      </c>
      <c r="B812">
        <v>52094</v>
      </c>
      <c r="C812" t="s">
        <v>53</v>
      </c>
      <c r="D812">
        <v>54168</v>
      </c>
      <c r="E812" t="s">
        <v>188</v>
      </c>
      <c r="F812">
        <v>8716</v>
      </c>
      <c r="G812">
        <v>0.42000526703089142</v>
      </c>
      <c r="H812">
        <v>0</v>
      </c>
      <c r="I812">
        <v>0</v>
      </c>
      <c r="J812">
        <v>0.30309373125311251</v>
      </c>
      <c r="K812">
        <v>1.2865202491454209E-184</v>
      </c>
      <c r="L812">
        <v>1.827074975677111E-184</v>
      </c>
      <c r="M812">
        <v>0.20324378377932531</v>
      </c>
      <c r="N812">
        <v>4.2079498232436559E-178</v>
      </c>
      <c r="O812">
        <v>5.8934545866976071E-178</v>
      </c>
      <c r="P812">
        <v>0.17640442433369041</v>
      </c>
      <c r="Q812">
        <v>0.81468270368113216</v>
      </c>
      <c r="R812">
        <v>-5.6788661240321208</v>
      </c>
      <c r="S812">
        <v>0.2482640487752279</v>
      </c>
      <c r="T812">
        <v>0.19436331457121189</v>
      </c>
      <c r="U812">
        <v>4.3177108791877004</v>
      </c>
      <c r="V812">
        <v>0.14104184712444839</v>
      </c>
      <c r="W812">
        <v>-2.1613017512620472</v>
      </c>
      <c r="X812">
        <v>0.27357836286151921</v>
      </c>
      <c r="Z812" t="s">
        <v>392</v>
      </c>
      <c r="AA812">
        <v>9937</v>
      </c>
      <c r="AB812" t="s">
        <v>1203</v>
      </c>
      <c r="AC812" t="str">
        <f>HYPERLINK("plots/20251231000436_3FT6Y121H01_04823_B11P_N_UFLEX98_M5358A8BH101511/dpll_52094/txpa_54168.png","plot")</f>
        <v>plot</v>
      </c>
    </row>
    <row r="813" spans="1:29" hidden="1" x14ac:dyDescent="0.35">
      <c r="A813" t="s">
        <v>46</v>
      </c>
      <c r="B813">
        <v>52094</v>
      </c>
      <c r="C813" t="s">
        <v>53</v>
      </c>
      <c r="D813">
        <v>54169</v>
      </c>
      <c r="E813" t="s">
        <v>189</v>
      </c>
      <c r="F813">
        <v>8716</v>
      </c>
      <c r="G813">
        <v>0.38271302628156068</v>
      </c>
      <c r="H813">
        <v>4.6834380783981243E-302</v>
      </c>
      <c r="I813">
        <v>6.0962852522409472E-302</v>
      </c>
      <c r="J813">
        <v>0.2371099040594476</v>
      </c>
      <c r="K813">
        <v>1.163488354970623E-111</v>
      </c>
      <c r="L813">
        <v>1.375031692238009E-111</v>
      </c>
      <c r="M813">
        <v>0.1595017507529416</v>
      </c>
      <c r="N813">
        <v>1.8407963146400709E-110</v>
      </c>
      <c r="O813">
        <v>2.170427282610502E-110</v>
      </c>
      <c r="P813">
        <v>0.14646926048559061</v>
      </c>
      <c r="Q813">
        <v>0.85202514019611508</v>
      </c>
      <c r="R813">
        <v>-5.6602745753236032</v>
      </c>
      <c r="S813">
        <v>0.29007601479018452</v>
      </c>
      <c r="T813">
        <v>0.23351261317631131</v>
      </c>
      <c r="U813">
        <v>4.3177108791877004</v>
      </c>
      <c r="V813">
        <v>0.14104184712444839</v>
      </c>
      <c r="W813">
        <v>-1.981476358157412</v>
      </c>
      <c r="X813">
        <v>0.3139981952987343</v>
      </c>
      <c r="Z813" t="s">
        <v>392</v>
      </c>
      <c r="AA813">
        <v>9937</v>
      </c>
      <c r="AB813" t="s">
        <v>1204</v>
      </c>
      <c r="AC813" t="str">
        <f>HYPERLINK("plots/20251231000436_3FT6Y121H01_04823_B11P_N_UFLEX98_M5358A8BH101511/dpll_52094/txpa_54169.png","plot")</f>
        <v>plot</v>
      </c>
    </row>
    <row r="814" spans="1:29" hidden="1" x14ac:dyDescent="0.35">
      <c r="A814" t="s">
        <v>46</v>
      </c>
      <c r="B814">
        <v>52094</v>
      </c>
      <c r="C814" t="s">
        <v>53</v>
      </c>
      <c r="D814">
        <v>54170</v>
      </c>
      <c r="E814" t="s">
        <v>190</v>
      </c>
      <c r="F814">
        <v>8716</v>
      </c>
      <c r="G814">
        <v>0.25232930630032702</v>
      </c>
      <c r="H814">
        <v>1.1087834881820981E-126</v>
      </c>
      <c r="I814">
        <v>1.2423275768139749E-126</v>
      </c>
      <c r="J814">
        <v>0.2335405968958893</v>
      </c>
      <c r="K814">
        <v>2.737922816642416E-108</v>
      </c>
      <c r="L814">
        <v>3.198449004695173E-108</v>
      </c>
      <c r="M814">
        <v>0.1560055977031384</v>
      </c>
      <c r="N814">
        <v>9.3580867009481942E-106</v>
      </c>
      <c r="O814">
        <v>1.090701139627755E-105</v>
      </c>
      <c r="P814">
        <v>6.3670078818004253E-2</v>
      </c>
      <c r="Q814">
        <v>0.64546635329348367</v>
      </c>
      <c r="R814">
        <v>-5.5508464232086672</v>
      </c>
      <c r="S814">
        <v>0.34909484640540223</v>
      </c>
      <c r="T814">
        <v>0.26078573211776601</v>
      </c>
      <c r="U814">
        <v>4.3177108791877004</v>
      </c>
      <c r="V814">
        <v>0.14104184712444839</v>
      </c>
      <c r="W814">
        <v>-2.7639093274437809</v>
      </c>
      <c r="X814">
        <v>0.36078950978781599</v>
      </c>
      <c r="Z814" t="s">
        <v>392</v>
      </c>
      <c r="AA814">
        <v>9937</v>
      </c>
      <c r="AB814" t="s">
        <v>1205</v>
      </c>
      <c r="AC814" t="str">
        <f>HYPERLINK("plots/20251231000436_3FT6Y121H01_04823_B11P_N_UFLEX98_M5358A8BH101511/dpll_52094/txpa_54170.png","plot")</f>
        <v>plot</v>
      </c>
    </row>
    <row r="815" spans="1:29" hidden="1" x14ac:dyDescent="0.35">
      <c r="A815" t="s">
        <v>46</v>
      </c>
      <c r="B815">
        <v>52094</v>
      </c>
      <c r="C815" t="s">
        <v>53</v>
      </c>
      <c r="D815">
        <v>54171</v>
      </c>
      <c r="E815" t="s">
        <v>191</v>
      </c>
      <c r="F815">
        <v>8716</v>
      </c>
      <c r="G815">
        <v>0.2464457769426906</v>
      </c>
      <c r="H815">
        <v>9.4668235548343276E-121</v>
      </c>
      <c r="I815">
        <v>1.056035102816503E-120</v>
      </c>
      <c r="J815">
        <v>0.2147826589993376</v>
      </c>
      <c r="K815">
        <v>1.6984048117353219E-91</v>
      </c>
      <c r="L815">
        <v>1.917797860912713E-91</v>
      </c>
      <c r="M815">
        <v>0.14196804088555909</v>
      </c>
      <c r="N815">
        <v>6.4980697375893676E-88</v>
      </c>
      <c r="O815">
        <v>7.3049254034541232E-88</v>
      </c>
      <c r="P815">
        <v>6.0735520972886432E-2</v>
      </c>
      <c r="Q815">
        <v>0.59256630666870058</v>
      </c>
      <c r="R815">
        <v>-2.387439977136502</v>
      </c>
      <c r="S815">
        <v>0.32864921137912129</v>
      </c>
      <c r="T815">
        <v>0.24767858190519751</v>
      </c>
      <c r="U815">
        <v>4.3177108791877004</v>
      </c>
      <c r="V815">
        <v>0.14104184712444839</v>
      </c>
      <c r="W815">
        <v>0.1710900118070216</v>
      </c>
      <c r="X815">
        <v>0.3391279309918997</v>
      </c>
      <c r="Z815" t="s">
        <v>392</v>
      </c>
      <c r="AA815">
        <v>9937</v>
      </c>
      <c r="AB815" t="s">
        <v>1206</v>
      </c>
      <c r="AC815" t="str">
        <f>HYPERLINK("plots/20251231000436_3FT6Y121H01_04823_B11P_N_UFLEX98_M5358A8BH101511/dpll_52094/txpa_54171.png","plot")</f>
        <v>plot</v>
      </c>
    </row>
    <row r="816" spans="1:29" hidden="1" x14ac:dyDescent="0.35">
      <c r="A816" t="s">
        <v>46</v>
      </c>
      <c r="B816">
        <v>52094</v>
      </c>
      <c r="C816" t="s">
        <v>53</v>
      </c>
      <c r="D816">
        <v>54172</v>
      </c>
      <c r="E816" t="s">
        <v>192</v>
      </c>
      <c r="F816">
        <v>8716</v>
      </c>
      <c r="G816">
        <v>0.38559334551460189</v>
      </c>
      <c r="H816">
        <v>5.6877446922787927E-307</v>
      </c>
      <c r="I816">
        <v>7.4706905673195542E-307</v>
      </c>
      <c r="J816">
        <v>0.30755818287686298</v>
      </c>
      <c r="K816">
        <v>2.594633079282673E-190</v>
      </c>
      <c r="L816">
        <v>3.7585113462751862E-190</v>
      </c>
      <c r="M816">
        <v>0.20784157587819649</v>
      </c>
      <c r="N816">
        <v>3.6565100582345479E-186</v>
      </c>
      <c r="O816">
        <v>5.2666210213776018E-186</v>
      </c>
      <c r="P816">
        <v>0.1486822281051432</v>
      </c>
      <c r="Q816">
        <v>0.82863453654761254</v>
      </c>
      <c r="R816">
        <v>-3.0303435241867871</v>
      </c>
      <c r="S816">
        <v>0.27964201424652779</v>
      </c>
      <c r="T816">
        <v>0.21864613049772949</v>
      </c>
      <c r="U816">
        <v>4.3177108791877004</v>
      </c>
      <c r="V816">
        <v>0.14104184712444839</v>
      </c>
      <c r="W816">
        <v>0.54746082913549787</v>
      </c>
      <c r="X816">
        <v>0.30309689465675888</v>
      </c>
      <c r="Z816" t="s">
        <v>392</v>
      </c>
      <c r="AA816">
        <v>9937</v>
      </c>
      <c r="AB816" t="s">
        <v>1207</v>
      </c>
      <c r="AC816" t="str">
        <f>HYPERLINK("plots/20251231000436_3FT6Y121H01_04823_B11P_N_UFLEX98_M5358A8BH101511/dpll_52094/txpa_54172.png","plot")</f>
        <v>plot</v>
      </c>
    </row>
    <row r="817" spans="1:29" hidden="1" x14ac:dyDescent="0.35">
      <c r="A817" t="s">
        <v>46</v>
      </c>
      <c r="B817">
        <v>52094</v>
      </c>
      <c r="C817" t="s">
        <v>53</v>
      </c>
      <c r="D817">
        <v>54173</v>
      </c>
      <c r="E817" t="s">
        <v>193</v>
      </c>
      <c r="F817">
        <v>8716</v>
      </c>
      <c r="G817">
        <v>0.39920815181220498</v>
      </c>
      <c r="H817">
        <v>0</v>
      </c>
      <c r="I817">
        <v>0</v>
      </c>
      <c r="J817">
        <v>0.26474439867322941</v>
      </c>
      <c r="K817">
        <v>1.0144580144284829E-139</v>
      </c>
      <c r="L817">
        <v>1.2590702896333931E-139</v>
      </c>
      <c r="M817">
        <v>0.17864941106833351</v>
      </c>
      <c r="N817">
        <v>4.4958318472235509E-138</v>
      </c>
      <c r="O817">
        <v>5.5935871080793634E-138</v>
      </c>
      <c r="P817">
        <v>0.15936714847331651</v>
      </c>
      <c r="Q817">
        <v>0.90814396179962587</v>
      </c>
      <c r="R817">
        <v>-3.0530779129318741</v>
      </c>
      <c r="S817">
        <v>0.29415859980769021</v>
      </c>
      <c r="T817">
        <v>0.2331043511101476</v>
      </c>
      <c r="U817">
        <v>4.3177108791877004</v>
      </c>
      <c r="V817">
        <v>0.14104184712444839</v>
      </c>
      <c r="W817">
        <v>0.86802515079899034</v>
      </c>
      <c r="X817">
        <v>0.32085091761199269</v>
      </c>
      <c r="Z817" t="s">
        <v>392</v>
      </c>
      <c r="AA817">
        <v>9937</v>
      </c>
      <c r="AB817" t="s">
        <v>1208</v>
      </c>
      <c r="AC817" t="str">
        <f>HYPERLINK("plots/20251231000436_3FT6Y121H01_04823_B11P_N_UFLEX98_M5358A8BH101511/dpll_52094/txpa_54173.png","plot")</f>
        <v>plot</v>
      </c>
    </row>
    <row r="818" spans="1:29" hidden="1" x14ac:dyDescent="0.35">
      <c r="A818" t="s">
        <v>46</v>
      </c>
      <c r="B818">
        <v>52094</v>
      </c>
      <c r="C818" t="s">
        <v>53</v>
      </c>
      <c r="D818">
        <v>54174</v>
      </c>
      <c r="E818" t="s">
        <v>194</v>
      </c>
      <c r="F818">
        <v>8716</v>
      </c>
      <c r="G818">
        <v>0.42303543043688879</v>
      </c>
      <c r="H818">
        <v>0</v>
      </c>
      <c r="I818">
        <v>0</v>
      </c>
      <c r="J818">
        <v>0.31783774065496362</v>
      </c>
      <c r="K818">
        <v>8.2471828571663075E-204</v>
      </c>
      <c r="L818">
        <v>1.242591889623571E-203</v>
      </c>
      <c r="M818">
        <v>0.2150380546857168</v>
      </c>
      <c r="N818">
        <v>3.936423090913155E-199</v>
      </c>
      <c r="O818">
        <v>5.8699014914499106E-199</v>
      </c>
      <c r="P818">
        <v>0.17895897540492381</v>
      </c>
      <c r="Q818">
        <v>0.89055131233705809</v>
      </c>
      <c r="R818">
        <v>-3.3300640649844722</v>
      </c>
      <c r="S818">
        <v>0.26902194390187562</v>
      </c>
      <c r="T818">
        <v>0.21158077537081399</v>
      </c>
      <c r="U818">
        <v>4.3177108791877004</v>
      </c>
      <c r="V818">
        <v>0.14104184712444839</v>
      </c>
      <c r="W818">
        <v>0.51507902476812761</v>
      </c>
      <c r="X818">
        <v>0.29691366966923322</v>
      </c>
      <c r="Z818" t="s">
        <v>392</v>
      </c>
      <c r="AA818">
        <v>9937</v>
      </c>
      <c r="AB818" t="s">
        <v>1209</v>
      </c>
      <c r="AC818" t="str">
        <f>HYPERLINK("plots/20251231000436_3FT6Y121H01_04823_B11P_N_UFLEX98_M5358A8BH101511/dpll_52094/txpa_54174.png","plot")</f>
        <v>plot</v>
      </c>
    </row>
    <row r="819" spans="1:29" hidden="1" x14ac:dyDescent="0.35">
      <c r="A819" t="s">
        <v>46</v>
      </c>
      <c r="B819">
        <v>52094</v>
      </c>
      <c r="C819" t="s">
        <v>53</v>
      </c>
      <c r="D819">
        <v>54175</v>
      </c>
      <c r="E819" t="s">
        <v>195</v>
      </c>
      <c r="F819">
        <v>8716</v>
      </c>
      <c r="G819">
        <v>0.42493803293416671</v>
      </c>
      <c r="H819">
        <v>0</v>
      </c>
      <c r="I819">
        <v>0</v>
      </c>
      <c r="J819">
        <v>0.30119973036103831</v>
      </c>
      <c r="K819">
        <v>3.1291000287533167E-182</v>
      </c>
      <c r="L819">
        <v>4.4007037852369809E-182</v>
      </c>
      <c r="M819">
        <v>0.20253478057125601</v>
      </c>
      <c r="N819">
        <v>6.9914247283735947E-177</v>
      </c>
      <c r="O819">
        <v>9.7113762665353766E-177</v>
      </c>
      <c r="P819">
        <v>0.18057233183395899</v>
      </c>
      <c r="Q819">
        <v>0.84171053796315365</v>
      </c>
      <c r="R819">
        <v>-2.910995274176122</v>
      </c>
      <c r="S819">
        <v>0.25288061855248972</v>
      </c>
      <c r="T819">
        <v>0.19728876784710461</v>
      </c>
      <c r="U819">
        <v>4.3177108791877004</v>
      </c>
      <c r="V819">
        <v>0.14104184712444839</v>
      </c>
      <c r="W819">
        <v>0.72326747271431857</v>
      </c>
      <c r="X819">
        <v>0.27937346111080708</v>
      </c>
      <c r="Z819" t="s">
        <v>392</v>
      </c>
      <c r="AA819">
        <v>9937</v>
      </c>
      <c r="AB819" t="s">
        <v>1210</v>
      </c>
      <c r="AC819" t="str">
        <f>HYPERLINK("plots/20251231000436_3FT6Y121H01_04823_B11P_N_UFLEX98_M5358A8BH101511/dpll_52094/txpa_54175.png","plot")</f>
        <v>plot</v>
      </c>
    </row>
    <row r="820" spans="1:29" hidden="1" x14ac:dyDescent="0.35">
      <c r="A820" t="s">
        <v>46</v>
      </c>
      <c r="B820">
        <v>52094</v>
      </c>
      <c r="C820" t="s">
        <v>53</v>
      </c>
      <c r="D820">
        <v>54176</v>
      </c>
      <c r="E820" t="s">
        <v>196</v>
      </c>
      <c r="F820">
        <v>8716</v>
      </c>
      <c r="G820">
        <v>0.44928253164054771</v>
      </c>
      <c r="H820">
        <v>0</v>
      </c>
      <c r="I820">
        <v>0</v>
      </c>
      <c r="J820">
        <v>0.32788669762282519</v>
      </c>
      <c r="K820">
        <v>1.56740414943268E-217</v>
      </c>
      <c r="L820">
        <v>2.433917009991941E-217</v>
      </c>
      <c r="M820">
        <v>0.22070202523881521</v>
      </c>
      <c r="N820">
        <v>1.200485299827671E-209</v>
      </c>
      <c r="O820">
        <v>1.8388098097058279E-209</v>
      </c>
      <c r="P820">
        <v>0.20185479323733979</v>
      </c>
      <c r="Q820">
        <v>0.84157739020573263</v>
      </c>
      <c r="R820">
        <v>-2.989195606830676</v>
      </c>
      <c r="S820">
        <v>0.236014427858904</v>
      </c>
      <c r="T820">
        <v>0.18346843613701119</v>
      </c>
      <c r="U820">
        <v>4.3177108791877004</v>
      </c>
      <c r="V820">
        <v>0.14104184712444839</v>
      </c>
      <c r="W820">
        <v>0.64449224653900872</v>
      </c>
      <c r="X820">
        <v>0.26419373390584933</v>
      </c>
      <c r="Z820" t="s">
        <v>392</v>
      </c>
      <c r="AA820">
        <v>9937</v>
      </c>
      <c r="AB820" t="s">
        <v>1211</v>
      </c>
      <c r="AC820" t="str">
        <f>HYPERLINK("plots/20251231000436_3FT6Y121H01_04823_B11P_N_UFLEX98_M5358A8BH101511/dpll_52094/txpa_54176.png","plot")</f>
        <v>plot</v>
      </c>
    </row>
    <row r="821" spans="1:29" hidden="1" x14ac:dyDescent="0.35">
      <c r="A821" t="s">
        <v>46</v>
      </c>
      <c r="B821">
        <v>52094</v>
      </c>
      <c r="C821" t="s">
        <v>53</v>
      </c>
      <c r="D821">
        <v>54177</v>
      </c>
      <c r="E821" t="s">
        <v>197</v>
      </c>
      <c r="F821">
        <v>8716</v>
      </c>
      <c r="G821">
        <v>0.41225818539389958</v>
      </c>
      <c r="H821">
        <v>0</v>
      </c>
      <c r="I821">
        <v>0</v>
      </c>
      <c r="J821">
        <v>0.26105544507642359</v>
      </c>
      <c r="K821">
        <v>9.0174110714824127E-136</v>
      </c>
      <c r="L821">
        <v>1.1096668478741709E-135</v>
      </c>
      <c r="M821">
        <v>0.17589159053466069</v>
      </c>
      <c r="N821">
        <v>6.6315501522230773E-134</v>
      </c>
      <c r="O821">
        <v>8.1409102352956415E-134</v>
      </c>
      <c r="P821">
        <v>0.16995681142427091</v>
      </c>
      <c r="Q821">
        <v>0.8767517586900081</v>
      </c>
      <c r="R821">
        <v>-2.9726838054522511</v>
      </c>
      <c r="S821">
        <v>0.27326296440084857</v>
      </c>
      <c r="T821">
        <v>0.21806189193209261</v>
      </c>
      <c r="U821">
        <v>4.3177108791877004</v>
      </c>
      <c r="V821">
        <v>0.14104184712444839</v>
      </c>
      <c r="W821">
        <v>0.81287680139054608</v>
      </c>
      <c r="X821">
        <v>0.29995447488106369</v>
      </c>
      <c r="Z821" t="s">
        <v>392</v>
      </c>
      <c r="AA821">
        <v>9937</v>
      </c>
      <c r="AB821" t="s">
        <v>1212</v>
      </c>
      <c r="AC821" t="str">
        <f>HYPERLINK("plots/20251231000436_3FT6Y121H01_04823_B11P_N_UFLEX98_M5358A8BH101511/dpll_52094/txpa_54177.png","plot")</f>
        <v>plot</v>
      </c>
    </row>
    <row r="822" spans="1:29" hidden="1" x14ac:dyDescent="0.35">
      <c r="A822" t="s">
        <v>46</v>
      </c>
      <c r="B822">
        <v>52094</v>
      </c>
      <c r="C822" t="s">
        <v>53</v>
      </c>
      <c r="D822">
        <v>54178</v>
      </c>
      <c r="E822" t="s">
        <v>198</v>
      </c>
      <c r="F822">
        <v>8716</v>
      </c>
      <c r="G822">
        <v>0.27872585309012721</v>
      </c>
      <c r="H822">
        <v>2.875258587016723E-155</v>
      </c>
      <c r="I822">
        <v>3.253919874146158E-155</v>
      </c>
      <c r="J822">
        <v>0.25418033575745552</v>
      </c>
      <c r="K822">
        <v>1.399648486699864E-128</v>
      </c>
      <c r="L822">
        <v>1.699692892830733E-128</v>
      </c>
      <c r="M822">
        <v>0.1707954652665068</v>
      </c>
      <c r="N822">
        <v>2.2675926252645811E-126</v>
      </c>
      <c r="O822">
        <v>2.7471193811449049E-126</v>
      </c>
      <c r="P822">
        <v>7.7688101180819175E-2</v>
      </c>
      <c r="Q822">
        <v>0.67786356613003218</v>
      </c>
      <c r="R822">
        <v>-2.8282763053233668</v>
      </c>
      <c r="S822">
        <v>0.32940259513282771</v>
      </c>
      <c r="T822">
        <v>0.24543383651806239</v>
      </c>
      <c r="U822">
        <v>4.3177108791877004</v>
      </c>
      <c r="V822">
        <v>0.14104184712444839</v>
      </c>
      <c r="W822">
        <v>9.8542588761243693E-2</v>
      </c>
      <c r="X822">
        <v>0.34301493171654401</v>
      </c>
      <c r="Z822" t="s">
        <v>392</v>
      </c>
      <c r="AA822">
        <v>9937</v>
      </c>
      <c r="AB822" t="s">
        <v>1213</v>
      </c>
      <c r="AC822" t="str">
        <f>HYPERLINK("plots/20251231000436_3FT6Y121H01_04823_B11P_N_UFLEX98_M5358A8BH101511/dpll_52094/txpa_54178.png","plot")</f>
        <v>plot</v>
      </c>
    </row>
    <row r="823" spans="1:29" hidden="1" x14ac:dyDescent="0.35">
      <c r="A823" t="s">
        <v>46</v>
      </c>
      <c r="B823">
        <v>52094</v>
      </c>
      <c r="C823" t="s">
        <v>53</v>
      </c>
      <c r="D823">
        <v>54179</v>
      </c>
      <c r="E823" t="s">
        <v>199</v>
      </c>
      <c r="F823">
        <v>8716</v>
      </c>
      <c r="G823">
        <v>0.30129408065277008</v>
      </c>
      <c r="H823">
        <v>2.3822311599149008E-182</v>
      </c>
      <c r="I823">
        <v>2.723317244818161E-182</v>
      </c>
      <c r="J823">
        <v>0.2627958676978272</v>
      </c>
      <c r="K823">
        <v>1.2587779711793321E-137</v>
      </c>
      <c r="L823">
        <v>1.5527991031336289E-137</v>
      </c>
      <c r="M823">
        <v>0.17661094132083219</v>
      </c>
      <c r="N823">
        <v>5.4798533205320192E-135</v>
      </c>
      <c r="O823">
        <v>6.743411731819742E-135</v>
      </c>
      <c r="P823">
        <v>9.0778123036397929E-2</v>
      </c>
      <c r="Q823">
        <v>0.68861375374174161</v>
      </c>
      <c r="R823">
        <v>0.40265469750898308</v>
      </c>
      <c r="S823">
        <v>0.30735699646124032</v>
      </c>
      <c r="T823">
        <v>0.22772978368135161</v>
      </c>
      <c r="U823">
        <v>4.3177108791877004</v>
      </c>
      <c r="V823">
        <v>0.14104184712444839</v>
      </c>
      <c r="W823">
        <v>3.375889793597981</v>
      </c>
      <c r="X823">
        <v>0.3223540123078828</v>
      </c>
      <c r="Z823" t="s">
        <v>392</v>
      </c>
      <c r="AA823">
        <v>9937</v>
      </c>
      <c r="AB823" t="s">
        <v>1214</v>
      </c>
      <c r="AC823" t="str">
        <f>HYPERLINK("plots/20251231000436_3FT6Y121H01_04823_B11P_N_UFLEX98_M5358A8BH101511/dpll_52094/txpa_54179.png","plot")</f>
        <v>plot</v>
      </c>
    </row>
    <row r="824" spans="1:29" hidden="1" x14ac:dyDescent="0.35">
      <c r="A824" t="s">
        <v>46</v>
      </c>
      <c r="B824">
        <v>52094</v>
      </c>
      <c r="C824" t="s">
        <v>53</v>
      </c>
      <c r="D824">
        <v>54180</v>
      </c>
      <c r="E824" t="s">
        <v>200</v>
      </c>
      <c r="F824">
        <v>8716</v>
      </c>
      <c r="G824">
        <v>0.43297584312510229</v>
      </c>
      <c r="H824">
        <v>0</v>
      </c>
      <c r="I824">
        <v>0</v>
      </c>
      <c r="J824">
        <v>0.34509560296081898</v>
      </c>
      <c r="K824">
        <v>2.8716864265826891E-242</v>
      </c>
      <c r="L824">
        <v>4.7814286314529493E-242</v>
      </c>
      <c r="M824">
        <v>0.2348052403012672</v>
      </c>
      <c r="N824">
        <v>5.054558803310728E-237</v>
      </c>
      <c r="O824">
        <v>8.3610483304356901E-237</v>
      </c>
      <c r="P824">
        <v>0.18746808072989321</v>
      </c>
      <c r="Q824">
        <v>0.9109957370670887</v>
      </c>
      <c r="R824">
        <v>-0.22731705762763621</v>
      </c>
      <c r="S824">
        <v>0.2674828644657597</v>
      </c>
      <c r="T824">
        <v>0.20630296207296681</v>
      </c>
      <c r="U824">
        <v>4.3177108791877004</v>
      </c>
      <c r="V824">
        <v>0.14104184712444839</v>
      </c>
      <c r="W824">
        <v>3.70609914720055</v>
      </c>
      <c r="X824">
        <v>0.29675679028891111</v>
      </c>
      <c r="Z824" t="s">
        <v>392</v>
      </c>
      <c r="AA824">
        <v>9937</v>
      </c>
      <c r="AB824" t="s">
        <v>1215</v>
      </c>
      <c r="AC824" t="str">
        <f>HYPERLINK("plots/20251231000436_3FT6Y121H01_04823_B11P_N_UFLEX98_M5358A8BH101511/dpll_52094/txpa_54180.png","plot")</f>
        <v>plot</v>
      </c>
    </row>
    <row r="825" spans="1:29" hidden="1" x14ac:dyDescent="0.35">
      <c r="A825" t="s">
        <v>46</v>
      </c>
      <c r="B825">
        <v>52094</v>
      </c>
      <c r="C825" t="s">
        <v>53</v>
      </c>
      <c r="D825">
        <v>54181</v>
      </c>
      <c r="E825" t="s">
        <v>201</v>
      </c>
      <c r="F825">
        <v>8716</v>
      </c>
      <c r="G825">
        <v>0.44686010447970193</v>
      </c>
      <c r="H825">
        <v>0</v>
      </c>
      <c r="I825">
        <v>0</v>
      </c>
      <c r="J825">
        <v>0.31496110413729878</v>
      </c>
      <c r="K825">
        <v>5.5963795408862988E-200</v>
      </c>
      <c r="L825">
        <v>8.3207167953939989E-200</v>
      </c>
      <c r="M825">
        <v>0.2134467790939599</v>
      </c>
      <c r="N825">
        <v>3.1404694279969079E-196</v>
      </c>
      <c r="O825">
        <v>4.6352780203622483E-196</v>
      </c>
      <c r="P825">
        <v>0.19968395297561009</v>
      </c>
      <c r="Q825">
        <v>0.98379626308760271</v>
      </c>
      <c r="R825">
        <v>-0.26770605623855692</v>
      </c>
      <c r="S825">
        <v>0.27777133125789299</v>
      </c>
      <c r="T825">
        <v>0.21447501237521621</v>
      </c>
      <c r="U825">
        <v>4.3177108791877004</v>
      </c>
      <c r="V825">
        <v>0.14104184712444839</v>
      </c>
      <c r="W825">
        <v>3.98004177179899</v>
      </c>
      <c r="X825">
        <v>0.31051427672552068</v>
      </c>
      <c r="Z825" t="s">
        <v>392</v>
      </c>
      <c r="AA825">
        <v>9937</v>
      </c>
      <c r="AB825" t="s">
        <v>1216</v>
      </c>
      <c r="AC825" t="str">
        <f>HYPERLINK("plots/20251231000436_3FT6Y121H01_04823_B11P_N_UFLEX98_M5358A8BH101511/dpll_52094/txpa_54181.png","plot")</f>
        <v>plot</v>
      </c>
    </row>
    <row r="826" spans="1:29" hidden="1" x14ac:dyDescent="0.35">
      <c r="A826" t="s">
        <v>46</v>
      </c>
      <c r="B826">
        <v>52094</v>
      </c>
      <c r="C826" t="s">
        <v>53</v>
      </c>
      <c r="D826">
        <v>54182</v>
      </c>
      <c r="E826" t="s">
        <v>202</v>
      </c>
      <c r="F826">
        <v>8716</v>
      </c>
      <c r="G826">
        <v>0.46776320310536251</v>
      </c>
      <c r="H826">
        <v>0</v>
      </c>
      <c r="I826">
        <v>0</v>
      </c>
      <c r="J826">
        <v>0.35612746833897801</v>
      </c>
      <c r="K826">
        <v>5.6801560961747605E-259</v>
      </c>
      <c r="L826">
        <v>1.003428272042022E-258</v>
      </c>
      <c r="M826">
        <v>0.2425660854301955</v>
      </c>
      <c r="N826">
        <v>8.302904726587273E-253</v>
      </c>
      <c r="O826">
        <v>1.434266676790374E-252</v>
      </c>
      <c r="P826">
        <v>0.21880241417938859</v>
      </c>
      <c r="Q826">
        <v>0.96766846059670042</v>
      </c>
      <c r="R826">
        <v>-0.50406072799373325</v>
      </c>
      <c r="S826">
        <v>0.25787191750400612</v>
      </c>
      <c r="T826">
        <v>0.1993465402777059</v>
      </c>
      <c r="U826">
        <v>4.3177108791877004</v>
      </c>
      <c r="V826">
        <v>0.14104184712444839</v>
      </c>
      <c r="W826">
        <v>3.6740519117714552</v>
      </c>
      <c r="X826">
        <v>0.29177529609118902</v>
      </c>
      <c r="Z826" t="s">
        <v>392</v>
      </c>
      <c r="AA826">
        <v>9937</v>
      </c>
      <c r="AB826" t="s">
        <v>1217</v>
      </c>
      <c r="AC826" t="str">
        <f>HYPERLINK("plots/20251231000436_3FT6Y121H01_04823_B11P_N_UFLEX98_M5358A8BH101511/dpll_52094/txpa_54182.png","plot")</f>
        <v>plot</v>
      </c>
    </row>
    <row r="827" spans="1:29" hidden="1" x14ac:dyDescent="0.35">
      <c r="A827" t="s">
        <v>46</v>
      </c>
      <c r="B827">
        <v>52094</v>
      </c>
      <c r="C827" t="s">
        <v>53</v>
      </c>
      <c r="D827">
        <v>54183</v>
      </c>
      <c r="E827" t="s">
        <v>203</v>
      </c>
      <c r="F827">
        <v>8716</v>
      </c>
      <c r="G827">
        <v>0.4758062234288632</v>
      </c>
      <c r="H827">
        <v>0</v>
      </c>
      <c r="I827">
        <v>0</v>
      </c>
      <c r="J827">
        <v>0.34603220114646899</v>
      </c>
      <c r="K827">
        <v>1.164153667216433E-243</v>
      </c>
      <c r="L827">
        <v>1.9543904280752701E-243</v>
      </c>
      <c r="M827">
        <v>0.2342949175215587</v>
      </c>
      <c r="N827">
        <v>5.2935427025743644E-236</v>
      </c>
      <c r="O827">
        <v>8.7421047237954489E-236</v>
      </c>
      <c r="P827">
        <v>0.2263915622536373</v>
      </c>
      <c r="Q827">
        <v>0.92862742650946384</v>
      </c>
      <c r="R827">
        <v>-0.148254844492512</v>
      </c>
      <c r="S827">
        <v>0.24210015018502989</v>
      </c>
      <c r="T827">
        <v>0.18492167513436741</v>
      </c>
      <c r="U827">
        <v>4.3177108791877004</v>
      </c>
      <c r="V827">
        <v>0.14104184712444839</v>
      </c>
      <c r="W827">
        <v>3.8612898976594772</v>
      </c>
      <c r="X827">
        <v>0.27527031189599321</v>
      </c>
      <c r="Z827" t="s">
        <v>392</v>
      </c>
      <c r="AA827">
        <v>9937</v>
      </c>
      <c r="AB827" t="s">
        <v>1218</v>
      </c>
      <c r="AC827" t="str">
        <f>HYPERLINK("plots/20251231000436_3FT6Y121H01_04823_B11P_N_UFLEX98_M5358A8BH101511/dpll_52094/txpa_54183.png","plot")</f>
        <v>plot</v>
      </c>
    </row>
    <row r="828" spans="1:29" hidden="1" x14ac:dyDescent="0.35">
      <c r="A828" t="s">
        <v>46</v>
      </c>
      <c r="B828">
        <v>52094</v>
      </c>
      <c r="C828" t="s">
        <v>53</v>
      </c>
      <c r="D828">
        <v>54184</v>
      </c>
      <c r="E828" t="s">
        <v>204</v>
      </c>
      <c r="F828">
        <v>8715</v>
      </c>
      <c r="G828">
        <v>0.49780924791428199</v>
      </c>
      <c r="H828">
        <v>0</v>
      </c>
      <c r="I828">
        <v>0</v>
      </c>
      <c r="J828">
        <v>0.37190028330523611</v>
      </c>
      <c r="K828">
        <v>5.2283313684136532E-284</v>
      </c>
      <c r="L828">
        <v>9.9840452119989529E-284</v>
      </c>
      <c r="M828">
        <v>0.25269992403604669</v>
      </c>
      <c r="N828">
        <v>3.7155885915249789E-274</v>
      </c>
      <c r="O828">
        <v>6.8626718247838415E-274</v>
      </c>
      <c r="P828">
        <v>0.2478140473089831</v>
      </c>
      <c r="Q828">
        <v>0.92236545766419842</v>
      </c>
      <c r="R828">
        <v>-0.19534839354364711</v>
      </c>
      <c r="S828">
        <v>0.22658197992333681</v>
      </c>
      <c r="T828">
        <v>0.17221875608699061</v>
      </c>
      <c r="U828">
        <v>4.3177471638554223</v>
      </c>
      <c r="V828">
        <v>0.14100925108931939</v>
      </c>
      <c r="W828">
        <v>3.7871924453241541</v>
      </c>
      <c r="X828">
        <v>0.26126887549963979</v>
      </c>
      <c r="Z828" t="s">
        <v>392</v>
      </c>
      <c r="AA828">
        <v>9937</v>
      </c>
      <c r="AB828" t="s">
        <v>1219</v>
      </c>
      <c r="AC828" t="str">
        <f>HYPERLINK("plots/20251231000436_3FT6Y121H01_04823_B11P_N_UFLEX98_M5358A8BH101511/dpll_52094/txpa_54184.png","plot")</f>
        <v>plot</v>
      </c>
    </row>
    <row r="829" spans="1:29" hidden="1" x14ac:dyDescent="0.35">
      <c r="A829" t="s">
        <v>46</v>
      </c>
      <c r="B829">
        <v>52094</v>
      </c>
      <c r="C829" t="s">
        <v>53</v>
      </c>
      <c r="D829">
        <v>54185</v>
      </c>
      <c r="E829" t="s">
        <v>205</v>
      </c>
      <c r="F829">
        <v>8716</v>
      </c>
      <c r="G829">
        <v>0.46280909166972722</v>
      </c>
      <c r="H829">
        <v>0</v>
      </c>
      <c r="I829">
        <v>0</v>
      </c>
      <c r="J829">
        <v>0.3102385176369889</v>
      </c>
      <c r="K829">
        <v>8.8402009920592094E-194</v>
      </c>
      <c r="L829">
        <v>1.2935012706995729E-193</v>
      </c>
      <c r="M829">
        <v>0.2099036166543857</v>
      </c>
      <c r="N829">
        <v>7.7543564256723832E-190</v>
      </c>
      <c r="O829">
        <v>1.1329852183907489E-189</v>
      </c>
      <c r="P829">
        <v>0.21419225533215791</v>
      </c>
      <c r="Q829">
        <v>0.95170999016824531</v>
      </c>
      <c r="R829">
        <v>-0.16977909249303019</v>
      </c>
      <c r="S829">
        <v>0.25708928152551241</v>
      </c>
      <c r="T829">
        <v>0.20025017459662059</v>
      </c>
      <c r="U829">
        <v>4.3177108791877004</v>
      </c>
      <c r="V829">
        <v>0.14104184712444839</v>
      </c>
      <c r="W829">
        <v>3.9394294858880219</v>
      </c>
      <c r="X829">
        <v>0.29003521615325267</v>
      </c>
      <c r="Z829" t="s">
        <v>392</v>
      </c>
      <c r="AA829">
        <v>9937</v>
      </c>
      <c r="AB829" t="s">
        <v>1220</v>
      </c>
      <c r="AC829" t="str">
        <f>HYPERLINK("plots/20251231000436_3FT6Y121H01_04823_B11P_N_UFLEX98_M5358A8BH101511/dpll_52094/txpa_54185.png","plot")</f>
        <v>plot</v>
      </c>
    </row>
    <row r="830" spans="1:29" hidden="1" x14ac:dyDescent="0.35">
      <c r="A830" t="s">
        <v>46</v>
      </c>
      <c r="B830">
        <v>52094</v>
      </c>
      <c r="C830" t="s">
        <v>53</v>
      </c>
      <c r="D830">
        <v>54186</v>
      </c>
      <c r="E830" t="s">
        <v>206</v>
      </c>
      <c r="F830">
        <v>8716</v>
      </c>
      <c r="G830">
        <v>0.33140093973499518</v>
      </c>
      <c r="H830">
        <v>1.8706211271746419E-222</v>
      </c>
      <c r="I830">
        <v>2.1852647729897319E-222</v>
      </c>
      <c r="J830">
        <v>0.29125000331795498</v>
      </c>
      <c r="K830">
        <v>5.4620387526924647E-170</v>
      </c>
      <c r="L830">
        <v>7.4743688194738997E-170</v>
      </c>
      <c r="M830">
        <v>0.19848661598298151</v>
      </c>
      <c r="N830">
        <v>5.7659821743677547E-170</v>
      </c>
      <c r="O830">
        <v>7.8374074059100579E-170</v>
      </c>
      <c r="P830">
        <v>0.1098265828572379</v>
      </c>
      <c r="Q830">
        <v>0.76211819509235934</v>
      </c>
      <c r="R830">
        <v>2.626451166862687E-2</v>
      </c>
      <c r="S830">
        <v>0.30600532012695192</v>
      </c>
      <c r="T830">
        <v>0.22660419522219261</v>
      </c>
      <c r="U830">
        <v>4.3177108791877004</v>
      </c>
      <c r="V830">
        <v>0.14104184712444839</v>
      </c>
      <c r="W830">
        <v>3.3168705338458011</v>
      </c>
      <c r="X830">
        <v>0.32435200108041912</v>
      </c>
      <c r="Z830" t="s">
        <v>392</v>
      </c>
      <c r="AA830">
        <v>9937</v>
      </c>
      <c r="AB830" t="s">
        <v>1221</v>
      </c>
      <c r="AC830" t="str">
        <f>HYPERLINK("plots/20251231000436_3FT6Y121H01_04823_B11P_N_UFLEX98_M5358A8BH101511/dpll_52094/txpa_54186.png","plot")</f>
        <v>plot</v>
      </c>
    </row>
    <row r="831" spans="1:29" hidden="1" x14ac:dyDescent="0.35">
      <c r="A831" t="s">
        <v>46</v>
      </c>
      <c r="B831">
        <v>52094</v>
      </c>
      <c r="C831" t="s">
        <v>53</v>
      </c>
      <c r="D831">
        <v>54187</v>
      </c>
      <c r="E831" t="s">
        <v>207</v>
      </c>
      <c r="F831">
        <v>8716</v>
      </c>
      <c r="G831">
        <v>0.34365267439477798</v>
      </c>
      <c r="H831">
        <v>3.9218929951376652E-240</v>
      </c>
      <c r="I831">
        <v>4.7062715941651969E-240</v>
      </c>
      <c r="J831">
        <v>0.2965558695502698</v>
      </c>
      <c r="K831">
        <v>1.8621825823452809E-176</v>
      </c>
      <c r="L831">
        <v>2.5725519598066961E-176</v>
      </c>
      <c r="M831">
        <v>0.2019702958107594</v>
      </c>
      <c r="N831">
        <v>6.514990692315315E-176</v>
      </c>
      <c r="O831">
        <v>9.0248641557482648E-176</v>
      </c>
      <c r="P831">
        <v>0.11809716061868331</v>
      </c>
      <c r="Q831">
        <v>0.76981381682514205</v>
      </c>
      <c r="R831">
        <v>1.823022363698082</v>
      </c>
      <c r="S831">
        <v>0.29668761401056509</v>
      </c>
      <c r="T831">
        <v>0.21642877463683341</v>
      </c>
      <c r="U831">
        <v>4.3177108791877004</v>
      </c>
      <c r="V831">
        <v>0.14104184712444839</v>
      </c>
      <c r="W831">
        <v>5.1468558555530057</v>
      </c>
      <c r="X831">
        <v>0.31594679965217132</v>
      </c>
      <c r="Z831" t="s">
        <v>392</v>
      </c>
      <c r="AA831">
        <v>9937</v>
      </c>
      <c r="AB831" t="s">
        <v>1222</v>
      </c>
      <c r="AC831" t="str">
        <f>HYPERLINK("plots/20251231000436_3FT6Y121H01_04823_B11P_N_UFLEX98_M5358A8BH101511/dpll_52094/txpa_54187.png","plot")</f>
        <v>plot</v>
      </c>
    </row>
    <row r="832" spans="1:29" hidden="1" x14ac:dyDescent="0.35">
      <c r="A832" t="s">
        <v>46</v>
      </c>
      <c r="B832">
        <v>52094</v>
      </c>
      <c r="C832" t="s">
        <v>53</v>
      </c>
      <c r="D832">
        <v>54188</v>
      </c>
      <c r="E832" t="s">
        <v>208</v>
      </c>
      <c r="F832">
        <v>8716</v>
      </c>
      <c r="G832">
        <v>0.46222428197274701</v>
      </c>
      <c r="H832">
        <v>0</v>
      </c>
      <c r="I832">
        <v>0</v>
      </c>
      <c r="J832">
        <v>0.36983060106114279</v>
      </c>
      <c r="K832">
        <v>1.139009477377736E-280</v>
      </c>
      <c r="L832">
        <v>2.142774786755148E-280</v>
      </c>
      <c r="M832">
        <v>0.25313596414140432</v>
      </c>
      <c r="N832">
        <v>3.951863218283184E-275</v>
      </c>
      <c r="O832">
        <v>7.3391745482401995E-275</v>
      </c>
      <c r="P832">
        <v>0.2136512868452215</v>
      </c>
      <c r="Q832">
        <v>0.98158601610796692</v>
      </c>
      <c r="R832">
        <v>1.206640497680324</v>
      </c>
      <c r="S832">
        <v>0.26558666674134612</v>
      </c>
      <c r="T832">
        <v>0.20137296990400469</v>
      </c>
      <c r="U832">
        <v>4.3177108791877004</v>
      </c>
      <c r="V832">
        <v>0.14104184712444839</v>
      </c>
      <c r="W832">
        <v>5.4448451182882058</v>
      </c>
      <c r="X832">
        <v>0.29951845937760352</v>
      </c>
      <c r="Z832" t="s">
        <v>392</v>
      </c>
      <c r="AA832">
        <v>9937</v>
      </c>
      <c r="AB832" t="s">
        <v>1223</v>
      </c>
      <c r="AC832" t="str">
        <f>HYPERLINK("plots/20251231000436_3FT6Y121H01_04823_B11P_N_UFLEX98_M5358A8BH101511/dpll_52094/txpa_54188.png","plot")</f>
        <v>plot</v>
      </c>
    </row>
    <row r="833" spans="1:29" hidden="1" x14ac:dyDescent="0.35">
      <c r="A833" t="s">
        <v>46</v>
      </c>
      <c r="B833">
        <v>52094</v>
      </c>
      <c r="C833" t="s">
        <v>53</v>
      </c>
      <c r="D833">
        <v>54189</v>
      </c>
      <c r="E833" t="s">
        <v>209</v>
      </c>
      <c r="F833">
        <v>8713</v>
      </c>
      <c r="G833">
        <v>0.4747960840664649</v>
      </c>
      <c r="H833">
        <v>0</v>
      </c>
      <c r="I833">
        <v>0</v>
      </c>
      <c r="J833">
        <v>0.35370569200743768</v>
      </c>
      <c r="K833">
        <v>3.6821653069474642E-255</v>
      </c>
      <c r="L833">
        <v>6.393348666514946E-255</v>
      </c>
      <c r="M833">
        <v>0.24111519240985241</v>
      </c>
      <c r="N833">
        <v>9.8420341377810063E-250</v>
      </c>
      <c r="O833">
        <v>1.682938046494088E-249</v>
      </c>
      <c r="P833">
        <v>0.22543132144484959</v>
      </c>
      <c r="Q833">
        <v>1.0440738841566211</v>
      </c>
      <c r="R833">
        <v>1.1800972666523091</v>
      </c>
      <c r="S833">
        <v>0.27262354803622207</v>
      </c>
      <c r="T833">
        <v>0.20476567545225771</v>
      </c>
      <c r="U833">
        <v>4.3178453180305292</v>
      </c>
      <c r="V833">
        <v>0.14087509413631619</v>
      </c>
      <c r="W833">
        <v>5.6882467990359231</v>
      </c>
      <c r="X833">
        <v>0.30978352950199051</v>
      </c>
      <c r="Z833" t="s">
        <v>392</v>
      </c>
      <c r="AA833">
        <v>9937</v>
      </c>
      <c r="AB833" t="s">
        <v>1224</v>
      </c>
      <c r="AC833" t="str">
        <f>HYPERLINK("plots/20251231000436_3FT6Y121H01_04823_B11P_N_UFLEX98_M5358A8BH101511/dpll_52094/txpa_54189.png","plot")</f>
        <v>plot</v>
      </c>
    </row>
    <row r="834" spans="1:29" hidden="1" x14ac:dyDescent="0.35">
      <c r="A834" t="s">
        <v>46</v>
      </c>
      <c r="B834">
        <v>52094</v>
      </c>
      <c r="C834" t="s">
        <v>53</v>
      </c>
      <c r="D834">
        <v>54190</v>
      </c>
      <c r="E834" t="s">
        <v>210</v>
      </c>
      <c r="F834">
        <v>8715</v>
      </c>
      <c r="G834">
        <v>0.49498891372755838</v>
      </c>
      <c r="H834">
        <v>0</v>
      </c>
      <c r="I834">
        <v>0</v>
      </c>
      <c r="J834">
        <v>0.38221406604427838</v>
      </c>
      <c r="K834">
        <v>3.5595301600692121E-301</v>
      </c>
      <c r="L834">
        <v>7.1899672954386077E-301</v>
      </c>
      <c r="M834">
        <v>0.26199112542221331</v>
      </c>
      <c r="N834">
        <v>1.5825575459606419E-294</v>
      </c>
      <c r="O834">
        <v>3.1464967678511592E-294</v>
      </c>
      <c r="P834">
        <v>0.24501402471318831</v>
      </c>
      <c r="Q834">
        <v>1.0337076722465</v>
      </c>
      <c r="R834">
        <v>0.95005269553604954</v>
      </c>
      <c r="S834">
        <v>0.2558552881969714</v>
      </c>
      <c r="T834">
        <v>0.1941547391471784</v>
      </c>
      <c r="U834">
        <v>4.3177471638554223</v>
      </c>
      <c r="V834">
        <v>0.14100925108931939</v>
      </c>
      <c r="W834">
        <v>5.413341065633964</v>
      </c>
      <c r="X834">
        <v>0.29447597848421719</v>
      </c>
      <c r="Z834" t="s">
        <v>392</v>
      </c>
      <c r="AA834">
        <v>9937</v>
      </c>
      <c r="AB834" t="s">
        <v>1225</v>
      </c>
      <c r="AC834" t="str">
        <f>HYPERLINK("plots/20251231000436_3FT6Y121H01_04823_B11P_N_UFLEX98_M5358A8BH101511/dpll_52094/txpa_54190.png","plot")</f>
        <v>plot</v>
      </c>
    </row>
    <row r="835" spans="1:29" hidden="1" x14ac:dyDescent="0.35">
      <c r="A835" t="s">
        <v>46</v>
      </c>
      <c r="B835">
        <v>52094</v>
      </c>
      <c r="C835" t="s">
        <v>53</v>
      </c>
      <c r="D835">
        <v>54191</v>
      </c>
      <c r="E835" t="s">
        <v>211</v>
      </c>
      <c r="F835">
        <v>8713</v>
      </c>
      <c r="G835">
        <v>0.50459084972918267</v>
      </c>
      <c r="H835">
        <v>0</v>
      </c>
      <c r="I835">
        <v>0</v>
      </c>
      <c r="J835">
        <v>0.37606673194224188</v>
      </c>
      <c r="K835">
        <v>8.410652225895231E-291</v>
      </c>
      <c r="L835">
        <v>1.6495940729318689E-290</v>
      </c>
      <c r="M835">
        <v>0.25643710461547498</v>
      </c>
      <c r="N835">
        <v>3.3718501170695358E-282</v>
      </c>
      <c r="O835">
        <v>6.4267970276475741E-282</v>
      </c>
      <c r="P835">
        <v>0.25461192563041862</v>
      </c>
      <c r="Q835">
        <v>0.99519401525472606</v>
      </c>
      <c r="R835">
        <v>1.290424381164661</v>
      </c>
      <c r="S835">
        <v>0.2399119268577487</v>
      </c>
      <c r="T835">
        <v>0.179558757818579</v>
      </c>
      <c r="U835">
        <v>4.3178365214047973</v>
      </c>
      <c r="V835">
        <v>0.1409019999433192</v>
      </c>
      <c r="W835">
        <v>5.5875094461150008</v>
      </c>
      <c r="X835">
        <v>0.27789807753405082</v>
      </c>
      <c r="Z835" t="s">
        <v>392</v>
      </c>
      <c r="AA835">
        <v>9937</v>
      </c>
      <c r="AB835" t="s">
        <v>1226</v>
      </c>
      <c r="AC835" t="str">
        <f>HYPERLINK("plots/20251231000436_3FT6Y121H01_04823_B11P_N_UFLEX98_M5358A8BH101511/dpll_52094/txpa_54191.png","plot")</f>
        <v>plot</v>
      </c>
    </row>
    <row r="836" spans="1:29" hidden="1" x14ac:dyDescent="0.35">
      <c r="A836" t="s">
        <v>46</v>
      </c>
      <c r="B836">
        <v>52094</v>
      </c>
      <c r="C836" t="s">
        <v>53</v>
      </c>
      <c r="D836">
        <v>54192</v>
      </c>
      <c r="E836" t="s">
        <v>212</v>
      </c>
      <c r="F836">
        <v>8710</v>
      </c>
      <c r="G836">
        <v>0.52245336147190968</v>
      </c>
      <c r="H836">
        <v>0</v>
      </c>
      <c r="I836">
        <v>0</v>
      </c>
      <c r="J836">
        <v>0.39963575836716142</v>
      </c>
      <c r="K836">
        <v>0</v>
      </c>
      <c r="L836">
        <v>0</v>
      </c>
      <c r="M836">
        <v>0.27393118797945248</v>
      </c>
      <c r="N836">
        <v>0</v>
      </c>
      <c r="O836">
        <v>0</v>
      </c>
      <c r="P836">
        <v>0.27295751491329789</v>
      </c>
      <c r="Q836">
        <v>0.98095359735392695</v>
      </c>
      <c r="R836">
        <v>1.2805543308050999</v>
      </c>
      <c r="S836">
        <v>0.22529329528162259</v>
      </c>
      <c r="T836">
        <v>0.16761956278122581</v>
      </c>
      <c r="U836">
        <v>4.3179737242250278</v>
      </c>
      <c r="V836">
        <v>0.1407318407685432</v>
      </c>
      <c r="W836">
        <v>5.5162861888633747</v>
      </c>
      <c r="X836">
        <v>0.26423680206633138</v>
      </c>
      <c r="Z836" t="s">
        <v>392</v>
      </c>
      <c r="AA836">
        <v>9937</v>
      </c>
      <c r="AB836" t="s">
        <v>1227</v>
      </c>
      <c r="AC836" t="str">
        <f>HYPERLINK("plots/20251231000436_3FT6Y121H01_04823_B11P_N_UFLEX98_M5358A8BH101511/dpll_52094/txpa_54192.png","plot")</f>
        <v>plot</v>
      </c>
    </row>
    <row r="837" spans="1:29" hidden="1" x14ac:dyDescent="0.35">
      <c r="A837" t="s">
        <v>46</v>
      </c>
      <c r="B837">
        <v>52094</v>
      </c>
      <c r="C837" t="s">
        <v>53</v>
      </c>
      <c r="D837">
        <v>54193</v>
      </c>
      <c r="E837" t="s">
        <v>213</v>
      </c>
      <c r="F837">
        <v>8710</v>
      </c>
      <c r="G837">
        <v>0.49175690842043512</v>
      </c>
      <c r="H837">
        <v>0</v>
      </c>
      <c r="I837">
        <v>0</v>
      </c>
      <c r="J837">
        <v>0.34749863255389141</v>
      </c>
      <c r="K837">
        <v>1.1080132788881529E-245</v>
      </c>
      <c r="L837">
        <v>1.8788051250712149E-245</v>
      </c>
      <c r="M837">
        <v>0.23630750921997121</v>
      </c>
      <c r="N837">
        <v>7.0948988692171415E-240</v>
      </c>
      <c r="O837">
        <v>1.1891285046919311E-239</v>
      </c>
      <c r="P837">
        <v>0.24182485697922421</v>
      </c>
      <c r="Q837">
        <v>1.0051994379233129</v>
      </c>
      <c r="R837">
        <v>1.317612187604839</v>
      </c>
      <c r="S837">
        <v>0.25051129733451322</v>
      </c>
      <c r="T837">
        <v>0.19080732514281959</v>
      </c>
      <c r="U837">
        <v>4.3179650351320316</v>
      </c>
      <c r="V837">
        <v>0.14075560897623379</v>
      </c>
      <c r="W837">
        <v>5.6580282138920781</v>
      </c>
      <c r="X837">
        <v>0.28771829455723069</v>
      </c>
      <c r="Z837" t="s">
        <v>392</v>
      </c>
      <c r="AA837">
        <v>9937</v>
      </c>
      <c r="AB837" t="s">
        <v>1228</v>
      </c>
      <c r="AC837" t="str">
        <f>HYPERLINK("plots/20251231000436_3FT6Y121H01_04823_B11P_N_UFLEX98_M5358A8BH101511/dpll_52094/txpa_54193.png","plot")</f>
        <v>plot</v>
      </c>
    </row>
    <row r="838" spans="1:29" hidden="1" x14ac:dyDescent="0.35">
      <c r="A838" t="s">
        <v>46</v>
      </c>
      <c r="B838">
        <v>52094</v>
      </c>
      <c r="C838" t="s">
        <v>53</v>
      </c>
      <c r="D838">
        <v>54194</v>
      </c>
      <c r="E838" t="s">
        <v>214</v>
      </c>
      <c r="F838">
        <v>8716</v>
      </c>
      <c r="G838">
        <v>0.3728344699563218</v>
      </c>
      <c r="H838">
        <v>1.4339892446699339E-285</v>
      </c>
      <c r="I838">
        <v>1.8476049480245401E-285</v>
      </c>
      <c r="J838">
        <v>0.3158753011167616</v>
      </c>
      <c r="K838">
        <v>3.4263201215767853E-201</v>
      </c>
      <c r="L838">
        <v>5.1243194738626249E-201</v>
      </c>
      <c r="M838">
        <v>0.21721666360001671</v>
      </c>
      <c r="N838">
        <v>3.7833610390515218E-203</v>
      </c>
      <c r="O838">
        <v>5.6918814445077809E-203</v>
      </c>
      <c r="P838">
        <v>0.13900554198761139</v>
      </c>
      <c r="Q838">
        <v>0.83578431649402152</v>
      </c>
      <c r="R838">
        <v>1.486634403326329</v>
      </c>
      <c r="S838">
        <v>0.29336034625896612</v>
      </c>
      <c r="T838">
        <v>0.21564382882312241</v>
      </c>
      <c r="U838">
        <v>4.3177108791877004</v>
      </c>
      <c r="V838">
        <v>0.14104184712444839</v>
      </c>
      <c r="W838">
        <v>5.0953094393070222</v>
      </c>
      <c r="X838">
        <v>0.31617399488242398</v>
      </c>
      <c r="Z838" t="s">
        <v>392</v>
      </c>
      <c r="AA838">
        <v>9937</v>
      </c>
      <c r="AB838" t="s">
        <v>1229</v>
      </c>
      <c r="AC838" t="str">
        <f>HYPERLINK("plots/20251231000436_3FT6Y121H01_04823_B11P_N_UFLEX98_M5358A8BH101511/dpll_52094/txpa_54194.png","plot")</f>
        <v>plot</v>
      </c>
    </row>
    <row r="839" spans="1:29" hidden="1" x14ac:dyDescent="0.35">
      <c r="A839" t="s">
        <v>46</v>
      </c>
      <c r="B839">
        <v>52094</v>
      </c>
      <c r="C839" t="s">
        <v>53</v>
      </c>
      <c r="D839">
        <v>54195</v>
      </c>
      <c r="E839" t="s">
        <v>215</v>
      </c>
      <c r="F839">
        <v>8716</v>
      </c>
      <c r="G839">
        <v>0.39938932656562348</v>
      </c>
      <c r="H839">
        <v>0</v>
      </c>
      <c r="I839">
        <v>0</v>
      </c>
      <c r="J839">
        <v>0.33364838698343707</v>
      </c>
      <c r="K839">
        <v>1.228047267577043E-225</v>
      </c>
      <c r="L839">
        <v>1.9396260581357041E-225</v>
      </c>
      <c r="M839">
        <v>0.22984987085386549</v>
      </c>
      <c r="N839">
        <v>3.2454157619336612E-227</v>
      </c>
      <c r="O839">
        <v>5.1906176381715014E-227</v>
      </c>
      <c r="P839">
        <v>0.15951183417454221</v>
      </c>
      <c r="Q839">
        <v>0.89238369750539748</v>
      </c>
      <c r="R839">
        <v>3.4004233172089688</v>
      </c>
      <c r="S839">
        <v>0.28889767498499569</v>
      </c>
      <c r="T839">
        <v>0.2059835209617627</v>
      </c>
      <c r="U839">
        <v>4.3177108791877004</v>
      </c>
      <c r="V839">
        <v>0.14104184712444839</v>
      </c>
      <c r="W839">
        <v>7.25347811633777</v>
      </c>
      <c r="X839">
        <v>0.31513973125475009</v>
      </c>
      <c r="Z839" t="s">
        <v>392</v>
      </c>
      <c r="AA839">
        <v>9937</v>
      </c>
      <c r="AB839" t="s">
        <v>1230</v>
      </c>
      <c r="AC839" t="str">
        <f>HYPERLINK("plots/20251231000436_3FT6Y121H01_04823_B11P_N_UFLEX98_M5358A8BH101511/dpll_52094/txpa_54195.png","plot")</f>
        <v>plot</v>
      </c>
    </row>
    <row r="840" spans="1:29" hidden="1" x14ac:dyDescent="0.35">
      <c r="A840" t="s">
        <v>46</v>
      </c>
      <c r="B840">
        <v>52094</v>
      </c>
      <c r="C840" t="s">
        <v>53</v>
      </c>
      <c r="D840">
        <v>54196</v>
      </c>
      <c r="E840" t="s">
        <v>216</v>
      </c>
      <c r="F840">
        <v>8710</v>
      </c>
      <c r="G840">
        <v>0.48935350623068868</v>
      </c>
      <c r="H840">
        <v>0</v>
      </c>
      <c r="I840">
        <v>0</v>
      </c>
      <c r="J840">
        <v>0.39955068959897211</v>
      </c>
      <c r="K840">
        <v>0</v>
      </c>
      <c r="L840">
        <v>0</v>
      </c>
      <c r="M840">
        <v>0.27582534520034241</v>
      </c>
      <c r="N840">
        <v>0</v>
      </c>
      <c r="O840">
        <v>0</v>
      </c>
      <c r="P840">
        <v>0.23946685406026871</v>
      </c>
      <c r="Q840">
        <v>1.074885585592418</v>
      </c>
      <c r="R840">
        <v>2.8621282772617271</v>
      </c>
      <c r="S840">
        <v>0.26964238612040292</v>
      </c>
      <c r="T840">
        <v>0.197964838345243</v>
      </c>
      <c r="U840">
        <v>4.3179557238805968</v>
      </c>
      <c r="V840">
        <v>0.14077141825255671</v>
      </c>
      <c r="W840">
        <v>7.5034366440872562</v>
      </c>
      <c r="X840">
        <v>0.3092103487897423</v>
      </c>
      <c r="Z840" t="s">
        <v>392</v>
      </c>
      <c r="AA840">
        <v>9937</v>
      </c>
      <c r="AB840" t="s">
        <v>1231</v>
      </c>
      <c r="AC840" t="str">
        <f>HYPERLINK("plots/20251231000436_3FT6Y121H01_04823_B11P_N_UFLEX98_M5358A8BH101511/dpll_52094/txpa_54196.png","plot")</f>
        <v>plot</v>
      </c>
    </row>
    <row r="841" spans="1:29" hidden="1" x14ac:dyDescent="0.35">
      <c r="A841" t="s">
        <v>46</v>
      </c>
      <c r="B841">
        <v>52094</v>
      </c>
      <c r="C841" t="s">
        <v>53</v>
      </c>
      <c r="D841">
        <v>54197</v>
      </c>
      <c r="E841" t="s">
        <v>217</v>
      </c>
      <c r="F841">
        <v>8695</v>
      </c>
      <c r="G841">
        <v>0.49268495639377452</v>
      </c>
      <c r="H841">
        <v>0</v>
      </c>
      <c r="I841">
        <v>0</v>
      </c>
      <c r="J841">
        <v>0.40017866066305979</v>
      </c>
      <c r="K841">
        <v>0</v>
      </c>
      <c r="L841">
        <v>0</v>
      </c>
      <c r="M841">
        <v>0.27611329290574282</v>
      </c>
      <c r="N841">
        <v>0</v>
      </c>
      <c r="O841">
        <v>0</v>
      </c>
      <c r="P841">
        <v>0.24273846625673551</v>
      </c>
      <c r="Q841">
        <v>1.1033314167656449</v>
      </c>
      <c r="R841">
        <v>2.9358410061149831</v>
      </c>
      <c r="S841">
        <v>0.27251215568457982</v>
      </c>
      <c r="T841">
        <v>0.1955689358966384</v>
      </c>
      <c r="U841">
        <v>4.318656287061529</v>
      </c>
      <c r="V841">
        <v>0.13984637815646239</v>
      </c>
      <c r="W841">
        <v>7.7007501658424378</v>
      </c>
      <c r="X841">
        <v>0.31317559129528838</v>
      </c>
      <c r="Z841" t="s">
        <v>392</v>
      </c>
      <c r="AA841">
        <v>9937</v>
      </c>
      <c r="AB841" t="s">
        <v>1232</v>
      </c>
      <c r="AC841" t="str">
        <f>HYPERLINK("plots/20251231000436_3FT6Y121H01_04823_B11P_N_UFLEX98_M5358A8BH101511/dpll_52094/txpa_54197.png","plot")</f>
        <v>plot</v>
      </c>
    </row>
    <row r="842" spans="1:29" hidden="1" x14ac:dyDescent="0.35">
      <c r="A842" t="s">
        <v>46</v>
      </c>
      <c r="B842">
        <v>52094</v>
      </c>
      <c r="C842" t="s">
        <v>53</v>
      </c>
      <c r="D842">
        <v>54198</v>
      </c>
      <c r="E842" t="s">
        <v>218</v>
      </c>
      <c r="F842">
        <v>8705</v>
      </c>
      <c r="G842">
        <v>0.51641174162156067</v>
      </c>
      <c r="H842">
        <v>0</v>
      </c>
      <c r="I842">
        <v>0</v>
      </c>
      <c r="J842">
        <v>0.41322353081477547</v>
      </c>
      <c r="K842">
        <v>0</v>
      </c>
      <c r="L842">
        <v>0</v>
      </c>
      <c r="M842">
        <v>0.28625779275324309</v>
      </c>
      <c r="N842">
        <v>0</v>
      </c>
      <c r="O842">
        <v>0</v>
      </c>
      <c r="P842">
        <v>0.26668108688461362</v>
      </c>
      <c r="Q842">
        <v>1.11399860038835</v>
      </c>
      <c r="R842">
        <v>2.6615689094649349</v>
      </c>
      <c r="S842">
        <v>0.25948947374083431</v>
      </c>
      <c r="T842">
        <v>0.19036612567235001</v>
      </c>
      <c r="U842">
        <v>4.3181849735784033</v>
      </c>
      <c r="V842">
        <v>0.14047845165370401</v>
      </c>
      <c r="W842">
        <v>7.4720209262492823</v>
      </c>
      <c r="X842">
        <v>0.30303880782329401</v>
      </c>
      <c r="Z842" t="s">
        <v>392</v>
      </c>
      <c r="AA842">
        <v>9937</v>
      </c>
      <c r="AB842" t="s">
        <v>1233</v>
      </c>
      <c r="AC842" t="str">
        <f>HYPERLINK("plots/20251231000436_3FT6Y121H01_04823_B11P_N_UFLEX98_M5358A8BH101511/dpll_52094/txpa_54198.png","plot")</f>
        <v>plot</v>
      </c>
    </row>
    <row r="843" spans="1:29" hidden="1" x14ac:dyDescent="0.35">
      <c r="A843" t="s">
        <v>46</v>
      </c>
      <c r="B843">
        <v>52094</v>
      </c>
      <c r="C843" t="s">
        <v>53</v>
      </c>
      <c r="D843">
        <v>54199</v>
      </c>
      <c r="E843" t="s">
        <v>219</v>
      </c>
      <c r="F843">
        <v>8693</v>
      </c>
      <c r="G843">
        <v>0.52175348035502067</v>
      </c>
      <c r="H843">
        <v>0</v>
      </c>
      <c r="I843">
        <v>0</v>
      </c>
      <c r="J843">
        <v>0.40904479619668449</v>
      </c>
      <c r="K843">
        <v>0</v>
      </c>
      <c r="L843">
        <v>0</v>
      </c>
      <c r="M843">
        <v>0.28218441524278642</v>
      </c>
      <c r="N843">
        <v>0</v>
      </c>
      <c r="O843">
        <v>0</v>
      </c>
      <c r="P843">
        <v>0.27222669426257701</v>
      </c>
      <c r="Q843">
        <v>1.0661713137206981</v>
      </c>
      <c r="R843">
        <v>3.025141103834645</v>
      </c>
      <c r="S843">
        <v>0.24377297545395879</v>
      </c>
      <c r="T843">
        <v>0.17600839308589719</v>
      </c>
      <c r="U843">
        <v>4.3187119490394572</v>
      </c>
      <c r="V843">
        <v>0.13984625469482581</v>
      </c>
      <c r="W843">
        <v>7.6296278961233179</v>
      </c>
      <c r="X843">
        <v>0.28576726500309751</v>
      </c>
      <c r="Z843" t="s">
        <v>392</v>
      </c>
      <c r="AA843">
        <v>9937</v>
      </c>
      <c r="AB843" t="s">
        <v>1234</v>
      </c>
      <c r="AC843" t="str">
        <f>HYPERLINK("plots/20251231000436_3FT6Y121H01_04823_B11P_N_UFLEX98_M5358A8BH101511/dpll_52094/txpa_54199.png","plot")</f>
        <v>plot</v>
      </c>
    </row>
    <row r="844" spans="1:29" hidden="1" x14ac:dyDescent="0.35">
      <c r="A844" t="s">
        <v>46</v>
      </c>
      <c r="B844">
        <v>52094</v>
      </c>
      <c r="C844" t="s">
        <v>53</v>
      </c>
      <c r="D844">
        <v>54200</v>
      </c>
      <c r="E844" t="s">
        <v>220</v>
      </c>
      <c r="F844">
        <v>8692</v>
      </c>
      <c r="G844">
        <v>0.53568698789344382</v>
      </c>
      <c r="H844">
        <v>0</v>
      </c>
      <c r="I844">
        <v>0</v>
      </c>
      <c r="J844">
        <v>0.43048025057537842</v>
      </c>
      <c r="K844">
        <v>0</v>
      </c>
      <c r="L844">
        <v>0</v>
      </c>
      <c r="M844">
        <v>0.29935995039517133</v>
      </c>
      <c r="N844">
        <v>0</v>
      </c>
      <c r="O844">
        <v>0</v>
      </c>
      <c r="P844">
        <v>0.28696054899835061</v>
      </c>
      <c r="Q844">
        <v>1.0490071191408299</v>
      </c>
      <c r="R844">
        <v>3.0318115571129969</v>
      </c>
      <c r="S844">
        <v>0.23102207133566249</v>
      </c>
      <c r="T844">
        <v>0.16549277418867819</v>
      </c>
      <c r="U844">
        <v>4.3187802983202941</v>
      </c>
      <c r="V844">
        <v>0.13971863671025611</v>
      </c>
      <c r="W844">
        <v>7.5622428360561438</v>
      </c>
      <c r="X844">
        <v>0.27360351828232982</v>
      </c>
      <c r="Z844" t="s">
        <v>392</v>
      </c>
      <c r="AA844">
        <v>9937</v>
      </c>
      <c r="AB844" t="s">
        <v>1235</v>
      </c>
      <c r="AC844" t="str">
        <f>HYPERLINK("plots/20251231000436_3FT6Y121H01_04823_B11P_N_UFLEX98_M5358A8BH101511/dpll_52094/txpa_54200.png","plot")</f>
        <v>plot</v>
      </c>
    </row>
    <row r="845" spans="1:29" hidden="1" x14ac:dyDescent="0.35">
      <c r="A845" t="s">
        <v>46</v>
      </c>
      <c r="B845">
        <v>52094</v>
      </c>
      <c r="C845" t="s">
        <v>53</v>
      </c>
      <c r="D845">
        <v>54201</v>
      </c>
      <c r="E845" t="s">
        <v>221</v>
      </c>
      <c r="F845">
        <v>8692</v>
      </c>
      <c r="G845">
        <v>0.51177077504553847</v>
      </c>
      <c r="H845">
        <v>0</v>
      </c>
      <c r="I845">
        <v>0</v>
      </c>
      <c r="J845">
        <v>0.39169925057545008</v>
      </c>
      <c r="K845">
        <v>0</v>
      </c>
      <c r="L845">
        <v>0</v>
      </c>
      <c r="M845">
        <v>0.26943236562184097</v>
      </c>
      <c r="N845">
        <v>0</v>
      </c>
      <c r="O845">
        <v>0</v>
      </c>
      <c r="P845">
        <v>0.26190932619071122</v>
      </c>
      <c r="Q845">
        <v>1.0649341495324161</v>
      </c>
      <c r="R845">
        <v>3.0880172908128571</v>
      </c>
      <c r="S845">
        <v>0.24963737183938001</v>
      </c>
      <c r="T845">
        <v>0.18243517733773171</v>
      </c>
      <c r="U845">
        <v>4.318804263920847</v>
      </c>
      <c r="V845">
        <v>0.13964727142263289</v>
      </c>
      <c r="W845">
        <v>7.6872594366083771</v>
      </c>
      <c r="X845">
        <v>0.29058937219256242</v>
      </c>
      <c r="Z845" t="s">
        <v>392</v>
      </c>
      <c r="AA845">
        <v>9937</v>
      </c>
      <c r="AB845" t="s">
        <v>1236</v>
      </c>
      <c r="AC845" t="str">
        <f>HYPERLINK("plots/20251231000436_3FT6Y121H01_04823_B11P_N_UFLEX98_M5358A8BH101511/dpll_52094/txpa_54201.png","plot")</f>
        <v>plot</v>
      </c>
    </row>
    <row r="846" spans="1:29" hidden="1" x14ac:dyDescent="0.35">
      <c r="A846" t="s">
        <v>46</v>
      </c>
      <c r="B846">
        <v>52094</v>
      </c>
      <c r="C846" t="s">
        <v>53</v>
      </c>
      <c r="D846">
        <v>54202</v>
      </c>
      <c r="E846" t="s">
        <v>222</v>
      </c>
      <c r="F846">
        <v>8714</v>
      </c>
      <c r="G846">
        <v>0.42591063871757562</v>
      </c>
      <c r="H846">
        <v>0</v>
      </c>
      <c r="I846">
        <v>0</v>
      </c>
      <c r="J846">
        <v>0.34106386521681148</v>
      </c>
      <c r="K846">
        <v>2.8185482259774358E-236</v>
      </c>
      <c r="L846">
        <v>4.6246082542736584E-236</v>
      </c>
      <c r="M846">
        <v>0.23606790595778149</v>
      </c>
      <c r="N846">
        <v>1.6700689743966021E-239</v>
      </c>
      <c r="O846">
        <v>2.7898681054994309E-239</v>
      </c>
      <c r="P846">
        <v>0.1813998721728132</v>
      </c>
      <c r="Q846">
        <v>0.93838499988069302</v>
      </c>
      <c r="R846">
        <v>3.161004222732029</v>
      </c>
      <c r="S846">
        <v>0.28097169916901432</v>
      </c>
      <c r="T846">
        <v>0.2045631922369682</v>
      </c>
      <c r="U846">
        <v>4.3177910638053696</v>
      </c>
      <c r="V846">
        <v>0.1409577717991419</v>
      </c>
      <c r="W846">
        <v>7.2127545896258889</v>
      </c>
      <c r="X846">
        <v>0.31056434530772892</v>
      </c>
      <c r="Z846" t="s">
        <v>392</v>
      </c>
      <c r="AA846">
        <v>9937</v>
      </c>
      <c r="AB846" t="s">
        <v>1237</v>
      </c>
      <c r="AC846" t="str">
        <f>HYPERLINK("plots/20251231000436_3FT6Y121H01_04823_B11P_N_UFLEX98_M5358A8BH101511/dpll_52094/txpa_54202.png","plot")</f>
        <v>plot</v>
      </c>
    </row>
    <row r="847" spans="1:29" hidden="1" x14ac:dyDescent="0.35">
      <c r="A847" t="s">
        <v>46</v>
      </c>
      <c r="B847">
        <v>52094</v>
      </c>
      <c r="C847" t="s">
        <v>53</v>
      </c>
      <c r="D847">
        <v>54203</v>
      </c>
      <c r="E847" t="s">
        <v>223</v>
      </c>
      <c r="F847">
        <v>8715</v>
      </c>
      <c r="G847">
        <v>0.4242536467090548</v>
      </c>
      <c r="H847">
        <v>0</v>
      </c>
      <c r="I847">
        <v>0</v>
      </c>
      <c r="J847">
        <v>0.35013170527393322</v>
      </c>
      <c r="K847">
        <v>8.8009108240395794E-250</v>
      </c>
      <c r="L847">
        <v>1.4973361703986801E-249</v>
      </c>
      <c r="M847">
        <v>0.24197101612191799</v>
      </c>
      <c r="N847">
        <v>1.4917414520609541E-251</v>
      </c>
      <c r="O847">
        <v>2.5594345725715871E-251</v>
      </c>
      <c r="P847">
        <v>0.1799911567459315</v>
      </c>
      <c r="Q847">
        <v>0.96073758632635309</v>
      </c>
      <c r="R847">
        <v>4.0227260158068399</v>
      </c>
      <c r="S847">
        <v>0.2891806680108796</v>
      </c>
      <c r="T847">
        <v>0.2035712120696028</v>
      </c>
      <c r="U847">
        <v>4.3177374527825583</v>
      </c>
      <c r="V847">
        <v>0.1410281175306248</v>
      </c>
      <c r="W847">
        <v>8.1709386745840504</v>
      </c>
      <c r="X847">
        <v>0.31936322596524158</v>
      </c>
      <c r="Z847" t="s">
        <v>392</v>
      </c>
      <c r="AA847">
        <v>9937</v>
      </c>
      <c r="AB847" t="s">
        <v>1238</v>
      </c>
      <c r="AC847" t="str">
        <f>HYPERLINK("plots/20251231000436_3FT6Y121H01_04823_B11P_N_UFLEX98_M5358A8BH101511/dpll_52094/txpa_54203.png","plot")</f>
        <v>plot</v>
      </c>
    </row>
    <row r="848" spans="1:29" hidden="1" x14ac:dyDescent="0.35">
      <c r="A848" t="s">
        <v>46</v>
      </c>
      <c r="B848">
        <v>52094</v>
      </c>
      <c r="C848" t="s">
        <v>53</v>
      </c>
      <c r="D848">
        <v>54204</v>
      </c>
      <c r="E848" t="s">
        <v>224</v>
      </c>
      <c r="F848">
        <v>8704</v>
      </c>
      <c r="G848">
        <v>0.49652655199570689</v>
      </c>
      <c r="H848">
        <v>0</v>
      </c>
      <c r="I848">
        <v>0</v>
      </c>
      <c r="J848">
        <v>0.41399334326198173</v>
      </c>
      <c r="K848">
        <v>0</v>
      </c>
      <c r="L848">
        <v>0</v>
      </c>
      <c r="M848">
        <v>0.28744811955848809</v>
      </c>
      <c r="N848">
        <v>0</v>
      </c>
      <c r="O848">
        <v>0</v>
      </c>
      <c r="P848">
        <v>0.24653861683674549</v>
      </c>
      <c r="Q848">
        <v>1.121653001747501</v>
      </c>
      <c r="R848">
        <v>3.5510251372633421</v>
      </c>
      <c r="S848">
        <v>0.27540180813103332</v>
      </c>
      <c r="T848">
        <v>0.1978703562940326</v>
      </c>
      <c r="U848">
        <v>4.3182167684972432</v>
      </c>
      <c r="V848">
        <v>0.14045758340743519</v>
      </c>
      <c r="W848">
        <v>8.3945659378446678</v>
      </c>
      <c r="X848">
        <v>0.31729354535809767</v>
      </c>
      <c r="Z848" t="s">
        <v>392</v>
      </c>
      <c r="AA848">
        <v>9937</v>
      </c>
      <c r="AB848" t="s">
        <v>1239</v>
      </c>
      <c r="AC848" t="str">
        <f>HYPERLINK("plots/20251231000436_3FT6Y121H01_04823_B11P_N_UFLEX98_M5358A8BH101511/dpll_52094/txpa_54204.png","plot")</f>
        <v>plot</v>
      </c>
    </row>
    <row r="849" spans="1:29" hidden="1" x14ac:dyDescent="0.35">
      <c r="A849" t="s">
        <v>46</v>
      </c>
      <c r="B849">
        <v>52094</v>
      </c>
      <c r="C849" t="s">
        <v>53</v>
      </c>
      <c r="D849">
        <v>54205</v>
      </c>
      <c r="E849" t="s">
        <v>225</v>
      </c>
      <c r="F849">
        <v>8675</v>
      </c>
      <c r="G849">
        <v>0.48606817578411748</v>
      </c>
      <c r="H849">
        <v>0</v>
      </c>
      <c r="I849">
        <v>0</v>
      </c>
      <c r="J849">
        <v>0.41947149052955518</v>
      </c>
      <c r="K849">
        <v>0</v>
      </c>
      <c r="L849">
        <v>0</v>
      </c>
      <c r="M849">
        <v>0.29208270845515849</v>
      </c>
      <c r="N849">
        <v>0</v>
      </c>
      <c r="O849">
        <v>0</v>
      </c>
      <c r="P849">
        <v>0.23626227151009979</v>
      </c>
      <c r="Q849">
        <v>1.1120858404517231</v>
      </c>
      <c r="R849">
        <v>3.7602524381551699</v>
      </c>
      <c r="S849">
        <v>0.27663751692426891</v>
      </c>
      <c r="T849">
        <v>0.19318511719092629</v>
      </c>
      <c r="U849">
        <v>4.3196623493948128</v>
      </c>
      <c r="V849">
        <v>0.1383639221747261</v>
      </c>
      <c r="W849">
        <v>8.5640877724495663</v>
      </c>
      <c r="X849">
        <v>0.31656579538796659</v>
      </c>
      <c r="Z849" t="s">
        <v>392</v>
      </c>
      <c r="AA849">
        <v>9937</v>
      </c>
      <c r="AB849" t="s">
        <v>1240</v>
      </c>
      <c r="AC849" t="str">
        <f>HYPERLINK("plots/20251231000436_3FT6Y121H01_04823_B11P_N_UFLEX98_M5358A8BH101511/dpll_52094/txpa_54205.png","plot")</f>
        <v>plot</v>
      </c>
    </row>
    <row r="850" spans="1:29" hidden="1" x14ac:dyDescent="0.35">
      <c r="A850" t="s">
        <v>46</v>
      </c>
      <c r="B850">
        <v>52094</v>
      </c>
      <c r="C850" t="s">
        <v>53</v>
      </c>
      <c r="D850">
        <v>54206</v>
      </c>
      <c r="E850" t="s">
        <v>226</v>
      </c>
      <c r="F850">
        <v>8696</v>
      </c>
      <c r="G850">
        <v>0.52011948988925583</v>
      </c>
      <c r="H850">
        <v>0</v>
      </c>
      <c r="I850">
        <v>0</v>
      </c>
      <c r="J850">
        <v>0.42768697170505598</v>
      </c>
      <c r="K850">
        <v>0</v>
      </c>
      <c r="L850">
        <v>0</v>
      </c>
      <c r="M850">
        <v>0.29835153897124111</v>
      </c>
      <c r="N850">
        <v>0</v>
      </c>
      <c r="O850">
        <v>0</v>
      </c>
      <c r="P850">
        <v>0.27052428376265969</v>
      </c>
      <c r="Q850">
        <v>1.1531184462982049</v>
      </c>
      <c r="R850">
        <v>3.3833983207484981</v>
      </c>
      <c r="S850">
        <v>0.26508094789798492</v>
      </c>
      <c r="T850">
        <v>0.1902837510974853</v>
      </c>
      <c r="U850">
        <v>4.3185788632704689</v>
      </c>
      <c r="V850">
        <v>0.13999975514674329</v>
      </c>
      <c r="W850">
        <v>8.3632312697792095</v>
      </c>
      <c r="X850">
        <v>0.31038310095111982</v>
      </c>
      <c r="Z850" t="s">
        <v>392</v>
      </c>
      <c r="AA850">
        <v>9937</v>
      </c>
      <c r="AB850" t="s">
        <v>1241</v>
      </c>
      <c r="AC850" t="str">
        <f>HYPERLINK("plots/20251231000436_3FT6Y121H01_04823_B11P_N_UFLEX98_M5358A8BH101511/dpll_52094/txpa_54206.png","plot")</f>
        <v>plot</v>
      </c>
    </row>
    <row r="851" spans="1:29" hidden="1" x14ac:dyDescent="0.35">
      <c r="A851" t="s">
        <v>46</v>
      </c>
      <c r="B851">
        <v>52094</v>
      </c>
      <c r="C851" t="s">
        <v>53</v>
      </c>
      <c r="D851">
        <v>54207</v>
      </c>
      <c r="E851" t="s">
        <v>227</v>
      </c>
      <c r="F851">
        <v>8678</v>
      </c>
      <c r="G851">
        <v>0.51772149241765586</v>
      </c>
      <c r="H851">
        <v>0</v>
      </c>
      <c r="I851">
        <v>0</v>
      </c>
      <c r="J851">
        <v>0.42435149065623751</v>
      </c>
      <c r="K851">
        <v>0</v>
      </c>
      <c r="L851">
        <v>0</v>
      </c>
      <c r="M851">
        <v>0.29523144420075559</v>
      </c>
      <c r="N851">
        <v>0</v>
      </c>
      <c r="O851">
        <v>0</v>
      </c>
      <c r="P851">
        <v>0.26803554371116489</v>
      </c>
      <c r="Q851">
        <v>1.096663588474559</v>
      </c>
      <c r="R851">
        <v>3.772907170759233</v>
      </c>
      <c r="S851">
        <v>0.25105500323750779</v>
      </c>
      <c r="T851">
        <v>0.17656401106804939</v>
      </c>
      <c r="U851">
        <v>4.3195278557271264</v>
      </c>
      <c r="V851">
        <v>0.13853888210122209</v>
      </c>
      <c r="W851">
        <v>8.5099760895367602</v>
      </c>
      <c r="X851">
        <v>0.2934599969549167</v>
      </c>
      <c r="Z851" t="s">
        <v>392</v>
      </c>
      <c r="AA851">
        <v>9937</v>
      </c>
      <c r="AB851" t="s">
        <v>1242</v>
      </c>
      <c r="AC851" t="str">
        <f>HYPERLINK("plots/20251231000436_3FT6Y121H01_04823_B11P_N_UFLEX98_M5358A8BH101511/dpll_52094/txpa_54207.png","plot")</f>
        <v>plot</v>
      </c>
    </row>
    <row r="852" spans="1:29" hidden="1" x14ac:dyDescent="0.35">
      <c r="A852" t="s">
        <v>46</v>
      </c>
      <c r="B852">
        <v>52094</v>
      </c>
      <c r="C852" t="s">
        <v>53</v>
      </c>
      <c r="D852">
        <v>54208</v>
      </c>
      <c r="E852" t="s">
        <v>228</v>
      </c>
      <c r="F852">
        <v>8684</v>
      </c>
      <c r="G852">
        <v>0.53451546474978529</v>
      </c>
      <c r="H852">
        <v>0</v>
      </c>
      <c r="I852">
        <v>0</v>
      </c>
      <c r="J852">
        <v>0.44475180577805629</v>
      </c>
      <c r="K852">
        <v>0</v>
      </c>
      <c r="L852">
        <v>0</v>
      </c>
      <c r="M852">
        <v>0.31225616639121551</v>
      </c>
      <c r="N852">
        <v>0</v>
      </c>
      <c r="O852">
        <v>0</v>
      </c>
      <c r="P852">
        <v>0.28570678205667888</v>
      </c>
      <c r="Q852">
        <v>1.092598431662527</v>
      </c>
      <c r="R852">
        <v>3.7246558677076829</v>
      </c>
      <c r="S852">
        <v>0.24016652178343001</v>
      </c>
      <c r="T852">
        <v>0.16766049222088461</v>
      </c>
      <c r="U852">
        <v>4.3192145072547206</v>
      </c>
      <c r="V852">
        <v>0.13902692402220171</v>
      </c>
      <c r="W852">
        <v>8.4438228643482258</v>
      </c>
      <c r="X852">
        <v>0.28418373117909651</v>
      </c>
      <c r="Z852" t="s">
        <v>392</v>
      </c>
      <c r="AA852">
        <v>9937</v>
      </c>
      <c r="AB852" t="s">
        <v>1243</v>
      </c>
      <c r="AC852" t="str">
        <f>HYPERLINK("plots/20251231000436_3FT6Y121H01_04823_B11P_N_UFLEX98_M5358A8BH101511/dpll_52094/txpa_54208.png","plot")</f>
        <v>plot</v>
      </c>
    </row>
    <row r="853" spans="1:29" hidden="1" x14ac:dyDescent="0.35">
      <c r="A853" t="s">
        <v>46</v>
      </c>
      <c r="B853">
        <v>52094</v>
      </c>
      <c r="C853" t="s">
        <v>53</v>
      </c>
      <c r="D853">
        <v>54209</v>
      </c>
      <c r="E853" t="s">
        <v>229</v>
      </c>
      <c r="F853">
        <v>8664</v>
      </c>
      <c r="G853">
        <v>0.49824815227863312</v>
      </c>
      <c r="H853">
        <v>0</v>
      </c>
      <c r="I853">
        <v>0</v>
      </c>
      <c r="J853">
        <v>0.40911079672278933</v>
      </c>
      <c r="K853">
        <v>0</v>
      </c>
      <c r="L853">
        <v>0</v>
      </c>
      <c r="M853">
        <v>0.28362441702885272</v>
      </c>
      <c r="N853">
        <v>0</v>
      </c>
      <c r="O853">
        <v>0</v>
      </c>
      <c r="P853">
        <v>0.2482512212490719</v>
      </c>
      <c r="Q853">
        <v>1.0533359723475111</v>
      </c>
      <c r="R853">
        <v>4.0092704583556733</v>
      </c>
      <c r="S853">
        <v>0.25173173820312927</v>
      </c>
      <c r="T853">
        <v>0.1791089535219689</v>
      </c>
      <c r="U853">
        <v>4.3202803672668511</v>
      </c>
      <c r="V853">
        <v>0.13734266001971471</v>
      </c>
      <c r="W853">
        <v>8.5599771798245623</v>
      </c>
      <c r="X853">
        <v>0.29035323799004809</v>
      </c>
      <c r="Z853" t="s">
        <v>392</v>
      </c>
      <c r="AA853">
        <v>9937</v>
      </c>
      <c r="AB853" t="s">
        <v>1244</v>
      </c>
      <c r="AC853" t="str">
        <f>HYPERLINK("plots/20251231000436_3FT6Y121H01_04823_B11P_N_UFLEX98_M5358A8BH101511/dpll_52094/txpa_54209.png","plot")</f>
        <v>plot</v>
      </c>
    </row>
    <row r="854" spans="1:29" hidden="1" x14ac:dyDescent="0.35">
      <c r="A854" t="s">
        <v>46</v>
      </c>
      <c r="B854">
        <v>52094</v>
      </c>
      <c r="C854" t="s">
        <v>53</v>
      </c>
      <c r="D854">
        <v>54210</v>
      </c>
      <c r="E854" t="s">
        <v>230</v>
      </c>
      <c r="F854">
        <v>8712</v>
      </c>
      <c r="G854">
        <v>0.44930995948824709</v>
      </c>
      <c r="H854">
        <v>0</v>
      </c>
      <c r="I854">
        <v>0</v>
      </c>
      <c r="J854">
        <v>0.35185749480090928</v>
      </c>
      <c r="K854">
        <v>2.5963831545223552E-252</v>
      </c>
      <c r="L854">
        <v>4.4547081534444472E-252</v>
      </c>
      <c r="M854">
        <v>0.2437871412472461</v>
      </c>
      <c r="N854">
        <v>3.183328656048193E-255</v>
      </c>
      <c r="O854">
        <v>5.5845938706450989E-255</v>
      </c>
      <c r="P854">
        <v>0.20187943969533029</v>
      </c>
      <c r="Q854">
        <v>0.99284511404040388</v>
      </c>
      <c r="R854">
        <v>3.8482984799719961</v>
      </c>
      <c r="S854">
        <v>0.27803692017186638</v>
      </c>
      <c r="T854">
        <v>0.20112362349662191</v>
      </c>
      <c r="U854">
        <v>4.3178804982782371</v>
      </c>
      <c r="V854">
        <v>0.14085027158546581</v>
      </c>
      <c r="W854">
        <v>8.1352850356978887</v>
      </c>
      <c r="X854">
        <v>0.31123838010216959</v>
      </c>
      <c r="Z854" t="s">
        <v>392</v>
      </c>
      <c r="AA854">
        <v>9937</v>
      </c>
      <c r="AB854" t="s">
        <v>1245</v>
      </c>
      <c r="AC854" t="str">
        <f>HYPERLINK("plots/20251231000436_3FT6Y121H01_04823_B11P_N_UFLEX98_M5358A8BH101511/dpll_52094/txpa_54210.png","plot")</f>
        <v>plot</v>
      </c>
    </row>
    <row r="855" spans="1:29" hidden="1" x14ac:dyDescent="0.35">
      <c r="A855" t="s">
        <v>46</v>
      </c>
      <c r="B855">
        <v>52094</v>
      </c>
      <c r="C855" t="s">
        <v>53</v>
      </c>
      <c r="D855">
        <v>54211</v>
      </c>
      <c r="E855" t="s">
        <v>231</v>
      </c>
      <c r="F855">
        <v>8707</v>
      </c>
      <c r="G855">
        <v>0.4424108658231895</v>
      </c>
      <c r="H855">
        <v>0</v>
      </c>
      <c r="I855">
        <v>0</v>
      </c>
      <c r="J855">
        <v>0.36800151428361327</v>
      </c>
      <c r="K855">
        <v>1.991870541238327E-277</v>
      </c>
      <c r="L855">
        <v>3.7264884295491949E-277</v>
      </c>
      <c r="M855">
        <v>0.25510246108378049</v>
      </c>
      <c r="N855">
        <v>4.2048849266118467E-279</v>
      </c>
      <c r="O855">
        <v>7.9399503083508618E-279</v>
      </c>
      <c r="P855">
        <v>0.1957273741984242</v>
      </c>
      <c r="Q855">
        <v>1.0238321645606401</v>
      </c>
      <c r="R855">
        <v>4.6266240804482939</v>
      </c>
      <c r="S855">
        <v>0.29181843475913177</v>
      </c>
      <c r="T855">
        <v>0.20248119890839469</v>
      </c>
      <c r="U855">
        <v>4.3180852182152289</v>
      </c>
      <c r="V855">
        <v>0.14061544856133229</v>
      </c>
      <c r="W855">
        <v>9.0476186161708956</v>
      </c>
      <c r="X855">
        <v>0.32541384082720681</v>
      </c>
      <c r="Z855" t="s">
        <v>392</v>
      </c>
      <c r="AA855">
        <v>9937</v>
      </c>
      <c r="AB855" t="s">
        <v>1246</v>
      </c>
      <c r="AC855" t="str">
        <f>HYPERLINK("plots/20251231000436_3FT6Y121H01_04823_B11P_N_UFLEX98_M5358A8BH101511/dpll_52094/txpa_54211.png","plot")</f>
        <v>plot</v>
      </c>
    </row>
    <row r="856" spans="1:29" hidden="1" x14ac:dyDescent="0.35">
      <c r="A856" t="s">
        <v>46</v>
      </c>
      <c r="B856">
        <v>52094</v>
      </c>
      <c r="C856" t="s">
        <v>53</v>
      </c>
      <c r="D856">
        <v>54212</v>
      </c>
      <c r="E856" t="s">
        <v>232</v>
      </c>
      <c r="F856">
        <v>8689</v>
      </c>
      <c r="G856">
        <v>0.49764194745922352</v>
      </c>
      <c r="H856">
        <v>0</v>
      </c>
      <c r="I856">
        <v>0</v>
      </c>
      <c r="J856">
        <v>0.42998884022995781</v>
      </c>
      <c r="K856">
        <v>0</v>
      </c>
      <c r="L856">
        <v>0</v>
      </c>
      <c r="M856">
        <v>0.30094487232533063</v>
      </c>
      <c r="N856">
        <v>0</v>
      </c>
      <c r="O856">
        <v>0</v>
      </c>
      <c r="P856">
        <v>0.24764750787100859</v>
      </c>
      <c r="Q856">
        <v>1.163972931733112</v>
      </c>
      <c r="R856">
        <v>4.2124847970078907</v>
      </c>
      <c r="S856">
        <v>0.28325233459073501</v>
      </c>
      <c r="T856">
        <v>0.19848088035488601</v>
      </c>
      <c r="U856">
        <v>4.3188411839106919</v>
      </c>
      <c r="V856">
        <v>0.1396245893030722</v>
      </c>
      <c r="W856">
        <v>9.2394990315341232</v>
      </c>
      <c r="X856">
        <v>0.3265786644049844</v>
      </c>
      <c r="Z856" t="s">
        <v>392</v>
      </c>
      <c r="AA856">
        <v>9937</v>
      </c>
      <c r="AB856" t="s">
        <v>1247</v>
      </c>
      <c r="AC856" t="str">
        <f>HYPERLINK("plots/20251231000436_3FT6Y121H01_04823_B11P_N_UFLEX98_M5358A8BH101511/dpll_52094/txpa_54212.png","plot")</f>
        <v>plot</v>
      </c>
    </row>
    <row r="857" spans="1:29" hidden="1" x14ac:dyDescent="0.35">
      <c r="A857" t="s">
        <v>46</v>
      </c>
      <c r="B857">
        <v>52094</v>
      </c>
      <c r="C857" t="s">
        <v>53</v>
      </c>
      <c r="D857">
        <v>54213</v>
      </c>
      <c r="E857" t="s">
        <v>233</v>
      </c>
      <c r="F857">
        <v>8631</v>
      </c>
      <c r="G857">
        <v>0.46595058933713318</v>
      </c>
      <c r="H857">
        <v>0</v>
      </c>
      <c r="I857">
        <v>0</v>
      </c>
      <c r="J857">
        <v>0.43817416135932757</v>
      </c>
      <c r="K857">
        <v>0</v>
      </c>
      <c r="L857">
        <v>0</v>
      </c>
      <c r="M857">
        <v>0.30903541154072589</v>
      </c>
      <c r="N857">
        <v>0</v>
      </c>
      <c r="O857">
        <v>0</v>
      </c>
      <c r="P857">
        <v>0.21710995170362171</v>
      </c>
      <c r="Q857">
        <v>1.0892817606879011</v>
      </c>
      <c r="R857">
        <v>4.6672540335597983</v>
      </c>
      <c r="S857">
        <v>0.27938897303886512</v>
      </c>
      <c r="T857">
        <v>0.1903800119673259</v>
      </c>
      <c r="U857">
        <v>4.3215850406673617</v>
      </c>
      <c r="V857">
        <v>0.13507770371643951</v>
      </c>
      <c r="W857">
        <v>9.3746777956204372</v>
      </c>
      <c r="X857">
        <v>0.31577957470392259</v>
      </c>
      <c r="Z857" t="s">
        <v>392</v>
      </c>
      <c r="AA857">
        <v>9937</v>
      </c>
      <c r="AB857" t="s">
        <v>1248</v>
      </c>
      <c r="AC857" t="str">
        <f>HYPERLINK("plots/20251231000436_3FT6Y121H01_04823_B11P_N_UFLEX98_M5358A8BH101511/dpll_52094/txpa_54213.png","plot")</f>
        <v>plot</v>
      </c>
    </row>
    <row r="858" spans="1:29" hidden="1" x14ac:dyDescent="0.35">
      <c r="A858" t="s">
        <v>46</v>
      </c>
      <c r="B858">
        <v>52094</v>
      </c>
      <c r="C858" t="s">
        <v>53</v>
      </c>
      <c r="D858">
        <v>54214</v>
      </c>
      <c r="E858" t="s">
        <v>234</v>
      </c>
      <c r="F858">
        <v>8684</v>
      </c>
      <c r="G858">
        <v>0.52058360220265054</v>
      </c>
      <c r="H858">
        <v>0</v>
      </c>
      <c r="I858">
        <v>0</v>
      </c>
      <c r="J858">
        <v>0.44409379802483512</v>
      </c>
      <c r="K858">
        <v>0</v>
      </c>
      <c r="L858">
        <v>0</v>
      </c>
      <c r="M858">
        <v>0.31293274378905311</v>
      </c>
      <c r="N858">
        <v>0</v>
      </c>
      <c r="O858">
        <v>0</v>
      </c>
      <c r="P858">
        <v>0.27100728688228748</v>
      </c>
      <c r="Q858">
        <v>1.201478190987773</v>
      </c>
      <c r="R858">
        <v>4.0171089069216039</v>
      </c>
      <c r="S858">
        <v>0.2743774325121871</v>
      </c>
      <c r="T858">
        <v>0.1918695888458381</v>
      </c>
      <c r="U858">
        <v>4.3190957869645326</v>
      </c>
      <c r="V858">
        <v>0.13924717508215881</v>
      </c>
      <c r="W858">
        <v>9.206408299746661</v>
      </c>
      <c r="X858">
        <v>0.32137478650882112</v>
      </c>
      <c r="Z858" t="s">
        <v>392</v>
      </c>
      <c r="AA858">
        <v>9937</v>
      </c>
      <c r="AB858" t="s">
        <v>1249</v>
      </c>
      <c r="AC858" t="str">
        <f>HYPERLINK("plots/20251231000436_3FT6Y121H01_04823_B11P_N_UFLEX98_M5358A8BH101511/dpll_52094/txpa_54214.png","plot")</f>
        <v>plot</v>
      </c>
    </row>
    <row r="859" spans="1:29" hidden="1" x14ac:dyDescent="0.35">
      <c r="A859" t="s">
        <v>46</v>
      </c>
      <c r="B859">
        <v>52094</v>
      </c>
      <c r="C859" t="s">
        <v>53</v>
      </c>
      <c r="D859">
        <v>54215</v>
      </c>
      <c r="E859" t="s">
        <v>235</v>
      </c>
      <c r="F859">
        <v>8633</v>
      </c>
      <c r="G859">
        <v>0.48976433209700432</v>
      </c>
      <c r="H859">
        <v>0</v>
      </c>
      <c r="I859">
        <v>0</v>
      </c>
      <c r="J859">
        <v>0.43735280960354311</v>
      </c>
      <c r="K859">
        <v>0</v>
      </c>
      <c r="L859">
        <v>0</v>
      </c>
      <c r="M859">
        <v>0.30742818723555321</v>
      </c>
      <c r="N859">
        <v>0</v>
      </c>
      <c r="O859">
        <v>0</v>
      </c>
      <c r="P859">
        <v>0.23986910099442471</v>
      </c>
      <c r="Q859">
        <v>1.067702290495335</v>
      </c>
      <c r="R859">
        <v>4.7294879051088392</v>
      </c>
      <c r="S859">
        <v>0.25638045342722798</v>
      </c>
      <c r="T859">
        <v>0.1754948405142184</v>
      </c>
      <c r="U859">
        <v>4.3217469167149316</v>
      </c>
      <c r="V859">
        <v>0.1348971740706667</v>
      </c>
      <c r="W859">
        <v>9.3438269870265245</v>
      </c>
      <c r="X859">
        <v>0.29408025921346959</v>
      </c>
      <c r="Z859" t="s">
        <v>392</v>
      </c>
      <c r="AA859">
        <v>9937</v>
      </c>
      <c r="AB859" t="s">
        <v>1250</v>
      </c>
      <c r="AC859" t="str">
        <f>HYPERLINK("plots/20251231000436_3FT6Y121H01_04823_B11P_N_UFLEX98_M5358A8BH101511/dpll_52094/txpa_54215.png","plot")</f>
        <v>plot</v>
      </c>
    </row>
    <row r="860" spans="1:29" hidden="1" x14ac:dyDescent="0.35">
      <c r="A860" t="s">
        <v>46</v>
      </c>
      <c r="B860">
        <v>52094</v>
      </c>
      <c r="C860" t="s">
        <v>53</v>
      </c>
      <c r="D860">
        <v>54216</v>
      </c>
      <c r="E860" t="s">
        <v>236</v>
      </c>
      <c r="F860">
        <v>8648</v>
      </c>
      <c r="G860">
        <v>0.5070587846889939</v>
      </c>
      <c r="H860">
        <v>0</v>
      </c>
      <c r="I860">
        <v>0</v>
      </c>
      <c r="J860">
        <v>0.45487676235918562</v>
      </c>
      <c r="K860">
        <v>0</v>
      </c>
      <c r="L860">
        <v>0</v>
      </c>
      <c r="M860">
        <v>0.32290067284195512</v>
      </c>
      <c r="N860">
        <v>0</v>
      </c>
      <c r="O860">
        <v>0</v>
      </c>
      <c r="P860">
        <v>0.2571086111302795</v>
      </c>
      <c r="Q860">
        <v>1.078661457497244</v>
      </c>
      <c r="R860">
        <v>4.6185269996431364</v>
      </c>
      <c r="S860">
        <v>0.24936915638677931</v>
      </c>
      <c r="T860">
        <v>0.16964807780112329</v>
      </c>
      <c r="U860">
        <v>4.32112847953284</v>
      </c>
      <c r="V860">
        <v>0.13601234713173599</v>
      </c>
      <c r="W860">
        <v>9.2795617434088804</v>
      </c>
      <c r="X860">
        <v>0.28933780663069542</v>
      </c>
      <c r="Z860" t="s">
        <v>392</v>
      </c>
      <c r="AA860">
        <v>9937</v>
      </c>
      <c r="AB860" t="s">
        <v>1251</v>
      </c>
      <c r="AC860" t="str">
        <f>HYPERLINK("plots/20251231000436_3FT6Y121H01_04823_B11P_N_UFLEX98_M5358A8BH101511/dpll_52094/txpa_54216.png","plot")</f>
        <v>plot</v>
      </c>
    </row>
    <row r="861" spans="1:29" hidden="1" x14ac:dyDescent="0.35">
      <c r="A861" t="s">
        <v>46</v>
      </c>
      <c r="B861">
        <v>52094</v>
      </c>
      <c r="C861" t="s">
        <v>53</v>
      </c>
      <c r="D861">
        <v>54217</v>
      </c>
      <c r="E861" t="s">
        <v>237</v>
      </c>
      <c r="F861">
        <v>8630</v>
      </c>
      <c r="G861">
        <v>0.47308531331609349</v>
      </c>
      <c r="H861">
        <v>0</v>
      </c>
      <c r="I861">
        <v>0</v>
      </c>
      <c r="J861">
        <v>0.42656622191276211</v>
      </c>
      <c r="K861">
        <v>0</v>
      </c>
      <c r="L861">
        <v>0</v>
      </c>
      <c r="M861">
        <v>0.29904312510408732</v>
      </c>
      <c r="N861">
        <v>0</v>
      </c>
      <c r="O861">
        <v>0</v>
      </c>
      <c r="P861">
        <v>0.22380971367538641</v>
      </c>
      <c r="Q861">
        <v>1.0329889158712899</v>
      </c>
      <c r="R861">
        <v>4.9138331061692204</v>
      </c>
      <c r="S861">
        <v>0.25858147856130981</v>
      </c>
      <c r="T861">
        <v>0.1785007794831871</v>
      </c>
      <c r="U861">
        <v>4.3221016181923524</v>
      </c>
      <c r="V861">
        <v>0.1344256918584795</v>
      </c>
      <c r="W861">
        <v>9.3785161710312863</v>
      </c>
      <c r="X861">
        <v>0.29352052534625811</v>
      </c>
      <c r="Z861" t="s">
        <v>392</v>
      </c>
      <c r="AA861">
        <v>9937</v>
      </c>
      <c r="AB861" t="s">
        <v>1252</v>
      </c>
      <c r="AC861" t="str">
        <f>HYPERLINK("plots/20251231000436_3FT6Y121H01_04823_B11P_N_UFLEX98_M5358A8BH101511/dpll_52094/txpa_54217.png","plot")</f>
        <v>plot</v>
      </c>
    </row>
    <row r="862" spans="1:29" hidden="1" x14ac:dyDescent="0.35">
      <c r="A862" t="s">
        <v>46</v>
      </c>
      <c r="B862">
        <v>52094</v>
      </c>
      <c r="C862" t="s">
        <v>53</v>
      </c>
      <c r="D862">
        <v>54218</v>
      </c>
      <c r="E862" t="s">
        <v>238</v>
      </c>
      <c r="F862">
        <v>8709</v>
      </c>
      <c r="G862">
        <v>0.47117825327039081</v>
      </c>
      <c r="H862">
        <v>0</v>
      </c>
      <c r="I862">
        <v>0</v>
      </c>
      <c r="J862">
        <v>0.36494567837448988</v>
      </c>
      <c r="K862">
        <v>1.353140084904113E-272</v>
      </c>
      <c r="L862">
        <v>2.4946982656232199E-272</v>
      </c>
      <c r="M862">
        <v>0.25295752128172039</v>
      </c>
      <c r="N862">
        <v>1.5801428918009061E-274</v>
      </c>
      <c r="O862">
        <v>2.929186274746104E-274</v>
      </c>
      <c r="P862">
        <v>0.22200894635493651</v>
      </c>
      <c r="Q862">
        <v>1.0568782838013639</v>
      </c>
      <c r="R862">
        <v>4.4529248764712532</v>
      </c>
      <c r="S862">
        <v>0.27833713491294559</v>
      </c>
      <c r="T862">
        <v>0.19956552771367489</v>
      </c>
      <c r="U862">
        <v>4.3180132020897926</v>
      </c>
      <c r="V862">
        <v>0.14069188539863789</v>
      </c>
      <c r="W862">
        <v>9.0165392589275459</v>
      </c>
      <c r="X862">
        <v>0.31557950171261601</v>
      </c>
      <c r="Z862" t="s">
        <v>392</v>
      </c>
      <c r="AA862">
        <v>9937</v>
      </c>
      <c r="AB862" t="s">
        <v>1253</v>
      </c>
      <c r="AC862" t="str">
        <f>HYPERLINK("plots/20251231000436_3FT6Y121H01_04823_B11P_N_UFLEX98_M5358A8BH101511/dpll_52094/txpa_54218.png","plot")</f>
        <v>plot</v>
      </c>
    </row>
    <row r="863" spans="1:29" hidden="1" x14ac:dyDescent="0.35">
      <c r="A863" t="s">
        <v>46</v>
      </c>
      <c r="B863">
        <v>52094</v>
      </c>
      <c r="C863" t="s">
        <v>53</v>
      </c>
      <c r="D863">
        <v>54219</v>
      </c>
      <c r="E863" t="s">
        <v>239</v>
      </c>
      <c r="F863">
        <v>8697</v>
      </c>
      <c r="G863">
        <v>0.46472699090904113</v>
      </c>
      <c r="H863">
        <v>0</v>
      </c>
      <c r="I863">
        <v>0</v>
      </c>
      <c r="J863">
        <v>0.392998013243329</v>
      </c>
      <c r="K863">
        <v>0</v>
      </c>
      <c r="L863">
        <v>0</v>
      </c>
      <c r="M863">
        <v>0.27378039303030338</v>
      </c>
      <c r="N863">
        <v>0</v>
      </c>
      <c r="O863">
        <v>0</v>
      </c>
      <c r="P863">
        <v>0.215971176079372</v>
      </c>
      <c r="Q863">
        <v>1.1203910131511201</v>
      </c>
      <c r="R863">
        <v>5.0696880365411516</v>
      </c>
      <c r="S863">
        <v>0.29942498597586081</v>
      </c>
      <c r="T863">
        <v>0.20448324934743781</v>
      </c>
      <c r="U863">
        <v>4.3182997149591822</v>
      </c>
      <c r="V863">
        <v>0.14027338353653551</v>
      </c>
      <c r="W863">
        <v>9.9078722292744619</v>
      </c>
      <c r="X863">
        <v>0.33817927809877318</v>
      </c>
      <c r="Z863" t="s">
        <v>392</v>
      </c>
      <c r="AA863">
        <v>9937</v>
      </c>
      <c r="AB863" t="s">
        <v>1254</v>
      </c>
      <c r="AC863" t="str">
        <f>HYPERLINK("plots/20251231000436_3FT6Y121H01_04823_B11P_N_UFLEX98_M5358A8BH101511/dpll_52094/txpa_54219.png","plot")</f>
        <v>plot</v>
      </c>
    </row>
    <row r="864" spans="1:29" hidden="1" x14ac:dyDescent="0.35">
      <c r="A864" t="s">
        <v>46</v>
      </c>
      <c r="B864">
        <v>52094</v>
      </c>
      <c r="C864" t="s">
        <v>53</v>
      </c>
      <c r="D864">
        <v>54220</v>
      </c>
      <c r="E864" t="s">
        <v>240</v>
      </c>
      <c r="F864">
        <v>8666</v>
      </c>
      <c r="G864">
        <v>0.4984220785798254</v>
      </c>
      <c r="H864">
        <v>0</v>
      </c>
      <c r="I864">
        <v>0</v>
      </c>
      <c r="J864">
        <v>0.45126478437514889</v>
      </c>
      <c r="K864">
        <v>0</v>
      </c>
      <c r="L864">
        <v>0</v>
      </c>
      <c r="M864">
        <v>0.31989243184200927</v>
      </c>
      <c r="N864">
        <v>0</v>
      </c>
      <c r="O864">
        <v>0</v>
      </c>
      <c r="P864">
        <v>0.24842456841583371</v>
      </c>
      <c r="Q864">
        <v>1.2246356344504961</v>
      </c>
      <c r="R864">
        <v>4.7688046633844028</v>
      </c>
      <c r="S864">
        <v>0.29420011587466027</v>
      </c>
      <c r="T864">
        <v>0.2003572403007704</v>
      </c>
      <c r="U864">
        <v>4.3196454698822988</v>
      </c>
      <c r="V864">
        <v>0.13812490439511721</v>
      </c>
      <c r="W864">
        <v>10.058796433994919</v>
      </c>
      <c r="X864">
        <v>0.33937637836851448</v>
      </c>
      <c r="Z864" t="s">
        <v>392</v>
      </c>
      <c r="AA864">
        <v>9937</v>
      </c>
      <c r="AB864" t="s">
        <v>1255</v>
      </c>
      <c r="AC864" t="str">
        <f>HYPERLINK("plots/20251231000436_3FT6Y121H01_04823_B11P_N_UFLEX98_M5358A8BH101511/dpll_52094/txpa_54220.png","plot")</f>
        <v>plot</v>
      </c>
    </row>
    <row r="865" spans="1:29" hidden="1" x14ac:dyDescent="0.35">
      <c r="A865" t="s">
        <v>46</v>
      </c>
      <c r="B865">
        <v>52094</v>
      </c>
      <c r="C865" t="s">
        <v>53</v>
      </c>
      <c r="D865">
        <v>54221</v>
      </c>
      <c r="E865" t="s">
        <v>241</v>
      </c>
      <c r="F865">
        <v>8588</v>
      </c>
      <c r="G865">
        <v>0.42963022762708009</v>
      </c>
      <c r="H865">
        <v>0</v>
      </c>
      <c r="I865">
        <v>0</v>
      </c>
      <c r="J865">
        <v>0.44931639698459708</v>
      </c>
      <c r="K865">
        <v>0</v>
      </c>
      <c r="L865">
        <v>0</v>
      </c>
      <c r="M865">
        <v>0.32069665084230098</v>
      </c>
      <c r="N865">
        <v>0</v>
      </c>
      <c r="O865">
        <v>0</v>
      </c>
      <c r="P865">
        <v>0.18458213249089669</v>
      </c>
      <c r="Q865">
        <v>1.0507803124527599</v>
      </c>
      <c r="R865">
        <v>5.5989250408305464</v>
      </c>
      <c r="S865">
        <v>0.29108277117734421</v>
      </c>
      <c r="T865">
        <v>0.19409067422134829</v>
      </c>
      <c r="U865">
        <v>4.3237109162785279</v>
      </c>
      <c r="V865">
        <v>0.13180581713521181</v>
      </c>
      <c r="W865">
        <v>10.142195348393111</v>
      </c>
      <c r="X865">
        <v>0.32236781494026201</v>
      </c>
      <c r="Z865" t="s">
        <v>392</v>
      </c>
      <c r="AA865">
        <v>9937</v>
      </c>
      <c r="AB865" t="s">
        <v>1256</v>
      </c>
      <c r="AC865" t="str">
        <f>HYPERLINK("plots/20251231000436_3FT6Y121H01_04823_B11P_N_UFLEX98_M5358A8BH101511/dpll_52094/txpa_54221.png","plot")</f>
        <v>plot</v>
      </c>
    </row>
    <row r="866" spans="1:29" hidden="1" x14ac:dyDescent="0.35">
      <c r="A866" t="s">
        <v>46</v>
      </c>
      <c r="B866">
        <v>52094</v>
      </c>
      <c r="C866" t="s">
        <v>53</v>
      </c>
      <c r="D866">
        <v>54222</v>
      </c>
      <c r="E866" t="s">
        <v>242</v>
      </c>
      <c r="F866">
        <v>8649</v>
      </c>
      <c r="G866">
        <v>0.50279869787178544</v>
      </c>
      <c r="H866">
        <v>0</v>
      </c>
      <c r="I866">
        <v>0</v>
      </c>
      <c r="J866">
        <v>0.46036595241803341</v>
      </c>
      <c r="K866">
        <v>0</v>
      </c>
      <c r="L866">
        <v>0</v>
      </c>
      <c r="M866">
        <v>0.32857521756639568</v>
      </c>
      <c r="N866">
        <v>0</v>
      </c>
      <c r="O866">
        <v>0</v>
      </c>
      <c r="P866">
        <v>0.25280653058156299</v>
      </c>
      <c r="Q866">
        <v>1.2147132663108611</v>
      </c>
      <c r="R866">
        <v>4.7767666371740001</v>
      </c>
      <c r="S866">
        <v>0.28479316159282558</v>
      </c>
      <c r="T866">
        <v>0.19358001162301411</v>
      </c>
      <c r="U866">
        <v>4.3207326255058396</v>
      </c>
      <c r="V866">
        <v>0.1363824540873913</v>
      </c>
      <c r="W866">
        <v>10.0252178775581</v>
      </c>
      <c r="X866">
        <v>0.32948688406156351</v>
      </c>
      <c r="Z866" t="s">
        <v>392</v>
      </c>
      <c r="AA866">
        <v>9937</v>
      </c>
      <c r="AB866" t="s">
        <v>1257</v>
      </c>
      <c r="AC866" t="str">
        <f>HYPERLINK("plots/20251231000436_3FT6Y121H01_04823_B11P_N_UFLEX98_M5358A8BH101511/dpll_52094/txpa_54222.png","plot")</f>
        <v>plot</v>
      </c>
    </row>
    <row r="867" spans="1:29" hidden="1" x14ac:dyDescent="0.35">
      <c r="A867" t="s">
        <v>46</v>
      </c>
      <c r="B867">
        <v>52094</v>
      </c>
      <c r="C867" t="s">
        <v>53</v>
      </c>
      <c r="D867">
        <v>54223</v>
      </c>
      <c r="E867" t="s">
        <v>243</v>
      </c>
      <c r="F867">
        <v>8586</v>
      </c>
      <c r="G867">
        <v>0.44927983587054882</v>
      </c>
      <c r="H867">
        <v>0</v>
      </c>
      <c r="I867">
        <v>0</v>
      </c>
      <c r="J867">
        <v>0.44990709276296148</v>
      </c>
      <c r="K867">
        <v>0</v>
      </c>
      <c r="L867">
        <v>0</v>
      </c>
      <c r="M867">
        <v>0.32074412623193421</v>
      </c>
      <c r="N867">
        <v>0</v>
      </c>
      <c r="O867">
        <v>0</v>
      </c>
      <c r="P867">
        <v>0.20185237091986721</v>
      </c>
      <c r="Q867">
        <v>1.0196705646557991</v>
      </c>
      <c r="R867">
        <v>5.7345986582002402</v>
      </c>
      <c r="S867">
        <v>0.26640977078914352</v>
      </c>
      <c r="T867">
        <v>0.17804323785761339</v>
      </c>
      <c r="U867">
        <v>4.3240570690659208</v>
      </c>
      <c r="V867">
        <v>0.13139864060854139</v>
      </c>
      <c r="W867">
        <v>10.143712371418591</v>
      </c>
      <c r="X867">
        <v>0.29821798212844902</v>
      </c>
      <c r="Z867" t="s">
        <v>392</v>
      </c>
      <c r="AA867">
        <v>9937</v>
      </c>
      <c r="AB867" t="s">
        <v>1258</v>
      </c>
      <c r="AC867" t="str">
        <f>HYPERLINK("plots/20251231000436_3FT6Y121H01_04823_B11P_N_UFLEX98_M5358A8BH101511/dpll_52094/txpa_54223.png","plot")</f>
        <v>plot</v>
      </c>
    </row>
    <row r="868" spans="1:29" hidden="1" x14ac:dyDescent="0.35">
      <c r="A868" t="s">
        <v>46</v>
      </c>
      <c r="B868">
        <v>52094</v>
      </c>
      <c r="C868" t="s">
        <v>53</v>
      </c>
      <c r="D868">
        <v>54224</v>
      </c>
      <c r="E868" t="s">
        <v>244</v>
      </c>
      <c r="F868">
        <v>8619</v>
      </c>
      <c r="G868">
        <v>0.4766924609766755</v>
      </c>
      <c r="H868">
        <v>0</v>
      </c>
      <c r="I868">
        <v>0</v>
      </c>
      <c r="J868">
        <v>0.46525258429670552</v>
      </c>
      <c r="K868">
        <v>0</v>
      </c>
      <c r="L868">
        <v>0</v>
      </c>
      <c r="M868">
        <v>0.33465391258588623</v>
      </c>
      <c r="N868">
        <v>0</v>
      </c>
      <c r="O868">
        <v>0</v>
      </c>
      <c r="P868">
        <v>0.2272357023519993</v>
      </c>
      <c r="Q868">
        <v>1.0855126547230229</v>
      </c>
      <c r="R868">
        <v>5.3898703938543084</v>
      </c>
      <c r="S868">
        <v>0.26702907729692499</v>
      </c>
      <c r="T868">
        <v>0.1775462262573429</v>
      </c>
      <c r="U868">
        <v>4.3227228927949888</v>
      </c>
      <c r="V868">
        <v>0.13340239258029191</v>
      </c>
      <c r="W868">
        <v>10.082240796844181</v>
      </c>
      <c r="X868">
        <v>0.30378073322061838</v>
      </c>
      <c r="Z868" t="s">
        <v>392</v>
      </c>
      <c r="AA868">
        <v>9937</v>
      </c>
      <c r="AB868" t="s">
        <v>1259</v>
      </c>
      <c r="AC868" t="str">
        <f>HYPERLINK("plots/20251231000436_3FT6Y121H01_04823_B11P_N_UFLEX98_M5358A8BH101511/dpll_52094/txpa_54224.png","plot")</f>
        <v>plot</v>
      </c>
    </row>
    <row r="869" spans="1:29" hidden="1" x14ac:dyDescent="0.35">
      <c r="A869" t="s">
        <v>46</v>
      </c>
      <c r="B869">
        <v>52094</v>
      </c>
      <c r="C869" t="s">
        <v>53</v>
      </c>
      <c r="D869">
        <v>54225</v>
      </c>
      <c r="E869" t="s">
        <v>245</v>
      </c>
      <c r="F869">
        <v>8594</v>
      </c>
      <c r="G869">
        <v>0.44018136046194373</v>
      </c>
      <c r="H869">
        <v>0</v>
      </c>
      <c r="I869">
        <v>0</v>
      </c>
      <c r="J869">
        <v>0.44044838902886557</v>
      </c>
      <c r="K869">
        <v>0</v>
      </c>
      <c r="L869">
        <v>0</v>
      </c>
      <c r="M869">
        <v>0.31251733731264769</v>
      </c>
      <c r="N869">
        <v>0</v>
      </c>
      <c r="O869">
        <v>0</v>
      </c>
      <c r="P869">
        <v>0.19375963009812761</v>
      </c>
      <c r="Q869">
        <v>1.014474858657139</v>
      </c>
      <c r="R869">
        <v>5.7696948201958094</v>
      </c>
      <c r="S869">
        <v>0.27239491497825968</v>
      </c>
      <c r="T869">
        <v>0.1838683394394586</v>
      </c>
      <c r="U869">
        <v>4.3239333585059336</v>
      </c>
      <c r="V869">
        <v>0.13163832707463219</v>
      </c>
      <c r="W869">
        <v>10.156216502909009</v>
      </c>
      <c r="X869">
        <v>0.30338352608287089</v>
      </c>
      <c r="Z869" t="s">
        <v>392</v>
      </c>
      <c r="AA869">
        <v>9937</v>
      </c>
      <c r="AB869" t="s">
        <v>1260</v>
      </c>
      <c r="AC869" t="str">
        <f>HYPERLINK("plots/20251231000436_3FT6Y121H01_04823_B11P_N_UFLEX98_M5358A8BH101511/dpll_52094/txpa_54225.png","plot")</f>
        <v>plot</v>
      </c>
    </row>
    <row r="870" spans="1:29" hidden="1" x14ac:dyDescent="0.35">
      <c r="A870" t="s">
        <v>46</v>
      </c>
      <c r="B870">
        <v>52094</v>
      </c>
      <c r="C870" t="s">
        <v>53</v>
      </c>
      <c r="D870">
        <v>54226</v>
      </c>
      <c r="E870" t="s">
        <v>246</v>
      </c>
      <c r="F870">
        <v>8701</v>
      </c>
      <c r="G870">
        <v>0.48891944723223169</v>
      </c>
      <c r="H870">
        <v>0</v>
      </c>
      <c r="I870">
        <v>0</v>
      </c>
      <c r="J870">
        <v>0.38342703284259999</v>
      </c>
      <c r="K870">
        <v>9.4397121274357947E-303</v>
      </c>
      <c r="L870">
        <v>1.937625120894716E-302</v>
      </c>
      <c r="M870">
        <v>0.26602088442441318</v>
      </c>
      <c r="N870">
        <v>4.1504552145553248E-303</v>
      </c>
      <c r="O870">
        <v>8.541471936786256E-303</v>
      </c>
      <c r="P870">
        <v>0.23904222588187099</v>
      </c>
      <c r="Q870">
        <v>1.1285831363302099</v>
      </c>
      <c r="R870">
        <v>5.0104007956430099</v>
      </c>
      <c r="S870">
        <v>0.28254434153282348</v>
      </c>
      <c r="T870">
        <v>0.2002504142245882</v>
      </c>
      <c r="U870">
        <v>4.3183426736007364</v>
      </c>
      <c r="V870">
        <v>0.14032499924239211</v>
      </c>
      <c r="W870">
        <v>9.8840095139639139</v>
      </c>
      <c r="X870">
        <v>0.32391517385335239</v>
      </c>
      <c r="Z870" t="s">
        <v>392</v>
      </c>
      <c r="AA870">
        <v>9937</v>
      </c>
      <c r="AB870" t="s">
        <v>1261</v>
      </c>
      <c r="AC870" t="str">
        <f>HYPERLINK("plots/20251231000436_3FT6Y121H01_04823_B11P_N_UFLEX98_M5358A8BH101511/dpll_52094/txpa_54226.png","plot")</f>
        <v>plot</v>
      </c>
    </row>
    <row r="871" spans="1:29" hidden="1" x14ac:dyDescent="0.35">
      <c r="A871" t="s">
        <v>46</v>
      </c>
      <c r="B871">
        <v>52094</v>
      </c>
      <c r="C871" t="s">
        <v>53</v>
      </c>
      <c r="D871">
        <v>54227</v>
      </c>
      <c r="E871" t="s">
        <v>247</v>
      </c>
      <c r="F871">
        <v>8690</v>
      </c>
      <c r="G871">
        <v>0.47516605689185559</v>
      </c>
      <c r="H871">
        <v>0</v>
      </c>
      <c r="I871">
        <v>0</v>
      </c>
      <c r="J871">
        <v>0.40794735927119952</v>
      </c>
      <c r="K871">
        <v>0</v>
      </c>
      <c r="L871">
        <v>0</v>
      </c>
      <c r="M871">
        <v>0.28524368417492862</v>
      </c>
      <c r="N871">
        <v>0</v>
      </c>
      <c r="O871">
        <v>0</v>
      </c>
      <c r="P871">
        <v>0.22578278162215409</v>
      </c>
      <c r="Q871">
        <v>1.179159575185406</v>
      </c>
      <c r="R871">
        <v>5.2138965186262336</v>
      </c>
      <c r="S871">
        <v>0.30590259892571281</v>
      </c>
      <c r="T871">
        <v>0.20739390757613041</v>
      </c>
      <c r="U871">
        <v>4.3184111386651329</v>
      </c>
      <c r="V871">
        <v>0.14010368916573621</v>
      </c>
      <c r="W871">
        <v>10.305992362370541</v>
      </c>
      <c r="X871">
        <v>0.34767762596345791</v>
      </c>
      <c r="Z871" t="s">
        <v>392</v>
      </c>
      <c r="AA871">
        <v>9937</v>
      </c>
      <c r="AB871" t="s">
        <v>1262</v>
      </c>
      <c r="AC871" t="str">
        <f>HYPERLINK("plots/20251231000436_3FT6Y121H01_04823_B11P_N_UFLEX98_M5358A8BH101511/dpll_52094/txpa_54227.png","plot")</f>
        <v>plot</v>
      </c>
    </row>
    <row r="872" spans="1:29" hidden="1" x14ac:dyDescent="0.35">
      <c r="A872" t="s">
        <v>46</v>
      </c>
      <c r="B872">
        <v>52094</v>
      </c>
      <c r="C872" t="s">
        <v>53</v>
      </c>
      <c r="D872">
        <v>54228</v>
      </c>
      <c r="E872" t="s">
        <v>248</v>
      </c>
      <c r="F872">
        <v>8649</v>
      </c>
      <c r="G872">
        <v>0.48649431662465498</v>
      </c>
      <c r="H872">
        <v>0</v>
      </c>
      <c r="I872">
        <v>0</v>
      </c>
      <c r="J872">
        <v>0.45915586716544549</v>
      </c>
      <c r="K872">
        <v>0</v>
      </c>
      <c r="L872">
        <v>0</v>
      </c>
      <c r="M872">
        <v>0.3277207073741904</v>
      </c>
      <c r="N872">
        <v>0</v>
      </c>
      <c r="O872">
        <v>0</v>
      </c>
      <c r="P872">
        <v>0.2366767201080901</v>
      </c>
      <c r="Q872">
        <v>1.2328305067912191</v>
      </c>
      <c r="R872">
        <v>5.1077803349081377</v>
      </c>
      <c r="S872">
        <v>0.30264531863618671</v>
      </c>
      <c r="T872">
        <v>0.2027841328886742</v>
      </c>
      <c r="U872">
        <v>4.3205257990519126</v>
      </c>
      <c r="V872">
        <v>0.13670336759660801</v>
      </c>
      <c r="W872">
        <v>10.43425634535784</v>
      </c>
      <c r="X872">
        <v>0.34642148159814973</v>
      </c>
      <c r="Z872" t="s">
        <v>392</v>
      </c>
      <c r="AA872">
        <v>9937</v>
      </c>
      <c r="AB872" t="s">
        <v>1263</v>
      </c>
      <c r="AC872" t="str">
        <f>HYPERLINK("plots/20251231000436_3FT6Y121H01_04823_B11P_N_UFLEX98_M5358A8BH101511/dpll_52094/txpa_54228.png","plot")</f>
        <v>plot</v>
      </c>
    </row>
    <row r="873" spans="1:29" hidden="1" x14ac:dyDescent="0.35">
      <c r="A873" t="s">
        <v>46</v>
      </c>
      <c r="B873">
        <v>52094</v>
      </c>
      <c r="C873" t="s">
        <v>53</v>
      </c>
      <c r="D873">
        <v>54229</v>
      </c>
      <c r="E873" t="s">
        <v>249</v>
      </c>
      <c r="F873">
        <v>8591</v>
      </c>
      <c r="G873">
        <v>0.42913336127352542</v>
      </c>
      <c r="H873">
        <v>0</v>
      </c>
      <c r="I873">
        <v>0</v>
      </c>
      <c r="J873">
        <v>0.45262235046109911</v>
      </c>
      <c r="K873">
        <v>0</v>
      </c>
      <c r="L873">
        <v>0</v>
      </c>
      <c r="M873">
        <v>0.32425005205980068</v>
      </c>
      <c r="N873">
        <v>0</v>
      </c>
      <c r="O873">
        <v>0</v>
      </c>
      <c r="P873">
        <v>0.1841554417579141</v>
      </c>
      <c r="Q873">
        <v>1.104930849205114</v>
      </c>
      <c r="R873">
        <v>5.7031520708767678</v>
      </c>
      <c r="S873">
        <v>0.30682834753263688</v>
      </c>
      <c r="T873">
        <v>0.20365583097756049</v>
      </c>
      <c r="U873">
        <v>4.3236335572110347</v>
      </c>
      <c r="V873">
        <v>0.13193931575047679</v>
      </c>
      <c r="W873">
        <v>10.48046816889768</v>
      </c>
      <c r="X873">
        <v>0.33971681848057222</v>
      </c>
      <c r="Z873" t="s">
        <v>392</v>
      </c>
      <c r="AA873">
        <v>9937</v>
      </c>
      <c r="AB873" t="s">
        <v>1264</v>
      </c>
      <c r="AC873" t="str">
        <f>HYPERLINK("plots/20251231000436_3FT6Y121H01_04823_B11P_N_UFLEX98_M5358A8BH101511/dpll_52094/txpa_54229.png","plot")</f>
        <v>plot</v>
      </c>
    </row>
    <row r="874" spans="1:29" hidden="1" x14ac:dyDescent="0.35">
      <c r="A874" t="s">
        <v>46</v>
      </c>
      <c r="B874">
        <v>52094</v>
      </c>
      <c r="C874" t="s">
        <v>53</v>
      </c>
      <c r="D874">
        <v>54230</v>
      </c>
      <c r="E874" t="s">
        <v>250</v>
      </c>
      <c r="F874">
        <v>8622</v>
      </c>
      <c r="G874">
        <v>0.48129163582525353</v>
      </c>
      <c r="H874">
        <v>0</v>
      </c>
      <c r="I874">
        <v>0</v>
      </c>
      <c r="J874">
        <v>0.46458832168715281</v>
      </c>
      <c r="K874">
        <v>0</v>
      </c>
      <c r="L874">
        <v>0</v>
      </c>
      <c r="M874">
        <v>0.33357559327530351</v>
      </c>
      <c r="N874">
        <v>0</v>
      </c>
      <c r="O874">
        <v>0</v>
      </c>
      <c r="P874">
        <v>0.23164163871534851</v>
      </c>
      <c r="Q874">
        <v>1.1885327641745229</v>
      </c>
      <c r="R874">
        <v>5.2640660404300856</v>
      </c>
      <c r="S874">
        <v>0.29076112184854103</v>
      </c>
      <c r="T874">
        <v>0.19506458286963191</v>
      </c>
      <c r="U874">
        <v>4.3220663746230574</v>
      </c>
      <c r="V874">
        <v>0.13433116080298671</v>
      </c>
      <c r="W874">
        <v>10.40098353560659</v>
      </c>
      <c r="X874">
        <v>0.33172607620780298</v>
      </c>
      <c r="Z874" t="s">
        <v>392</v>
      </c>
      <c r="AA874">
        <v>9937</v>
      </c>
      <c r="AB874" t="s">
        <v>1265</v>
      </c>
      <c r="AC874" t="str">
        <f>HYPERLINK("plots/20251231000436_3FT6Y121H01_04823_B11P_N_UFLEX98_M5358A8BH101511/dpll_52094/txpa_54230.png","plot")</f>
        <v>plot</v>
      </c>
    </row>
    <row r="875" spans="1:29" hidden="1" x14ac:dyDescent="0.35">
      <c r="A875" t="s">
        <v>46</v>
      </c>
      <c r="B875">
        <v>52094</v>
      </c>
      <c r="C875" t="s">
        <v>53</v>
      </c>
      <c r="D875">
        <v>54231</v>
      </c>
      <c r="E875" t="s">
        <v>251</v>
      </c>
      <c r="F875">
        <v>8579</v>
      </c>
      <c r="G875">
        <v>0.44069047234283359</v>
      </c>
      <c r="H875">
        <v>0</v>
      </c>
      <c r="I875">
        <v>0</v>
      </c>
      <c r="J875">
        <v>0.45589716452742141</v>
      </c>
      <c r="K875">
        <v>0</v>
      </c>
      <c r="L875">
        <v>0</v>
      </c>
      <c r="M875">
        <v>0.3271086186338899</v>
      </c>
      <c r="N875">
        <v>0</v>
      </c>
      <c r="O875">
        <v>0</v>
      </c>
      <c r="P875">
        <v>0.19420809241374981</v>
      </c>
      <c r="Q875">
        <v>1.0435693557375221</v>
      </c>
      <c r="R875">
        <v>5.9889758031744824</v>
      </c>
      <c r="S875">
        <v>0.27821022070644302</v>
      </c>
      <c r="T875">
        <v>0.18448995261915629</v>
      </c>
      <c r="U875">
        <v>4.3244008094183464</v>
      </c>
      <c r="V875">
        <v>0.13088783573264859</v>
      </c>
      <c r="W875">
        <v>10.50178796981</v>
      </c>
      <c r="X875">
        <v>0.30994664732197469</v>
      </c>
      <c r="Z875" t="s">
        <v>392</v>
      </c>
      <c r="AA875">
        <v>9937</v>
      </c>
      <c r="AB875" t="s">
        <v>1266</v>
      </c>
      <c r="AC875" t="str">
        <f>HYPERLINK("plots/20251231000436_3FT6Y121H01_04823_B11P_N_UFLEX98_M5358A8BH101511/dpll_52094/txpa_54231.png","plot")</f>
        <v>plot</v>
      </c>
    </row>
    <row r="876" spans="1:29" hidden="1" x14ac:dyDescent="0.35">
      <c r="A876" t="s">
        <v>46</v>
      </c>
      <c r="B876">
        <v>52094</v>
      </c>
      <c r="C876" t="s">
        <v>53</v>
      </c>
      <c r="D876">
        <v>54232</v>
      </c>
      <c r="E876" t="s">
        <v>252</v>
      </c>
      <c r="F876">
        <v>8617</v>
      </c>
      <c r="G876">
        <v>0.47219522704791839</v>
      </c>
      <c r="H876">
        <v>0</v>
      </c>
      <c r="I876">
        <v>0</v>
      </c>
      <c r="J876">
        <v>0.46939533023992569</v>
      </c>
      <c r="K876">
        <v>0</v>
      </c>
      <c r="L876">
        <v>0</v>
      </c>
      <c r="M876">
        <v>0.339371074119865</v>
      </c>
      <c r="N876">
        <v>0</v>
      </c>
      <c r="O876">
        <v>0</v>
      </c>
      <c r="P876">
        <v>0.22296833244683531</v>
      </c>
      <c r="Q876">
        <v>1.130463167302413</v>
      </c>
      <c r="R876">
        <v>5.5559735899817451</v>
      </c>
      <c r="S876">
        <v>0.28130911455568519</v>
      </c>
      <c r="T876">
        <v>0.1857610558012999</v>
      </c>
      <c r="U876">
        <v>4.322805310781014</v>
      </c>
      <c r="V876">
        <v>0.13330757306399149</v>
      </c>
      <c r="W876">
        <v>10.44274577323894</v>
      </c>
      <c r="X876">
        <v>0.31914617649454741</v>
      </c>
      <c r="Z876" t="s">
        <v>392</v>
      </c>
      <c r="AA876">
        <v>9937</v>
      </c>
      <c r="AB876" t="s">
        <v>1267</v>
      </c>
      <c r="AC876" t="str">
        <f>HYPERLINK("plots/20251231000436_3FT6Y121H01_04823_B11P_N_UFLEX98_M5358A8BH101511/dpll_52094/txpa_54232.png","plot")</f>
        <v>plot</v>
      </c>
    </row>
    <row r="877" spans="1:29" hidden="1" x14ac:dyDescent="0.35">
      <c r="A877" t="s">
        <v>46</v>
      </c>
      <c r="B877">
        <v>52094</v>
      </c>
      <c r="C877" t="s">
        <v>53</v>
      </c>
      <c r="D877">
        <v>54233</v>
      </c>
      <c r="E877" t="s">
        <v>253</v>
      </c>
      <c r="F877">
        <v>8598</v>
      </c>
      <c r="G877">
        <v>0.44271273331033661</v>
      </c>
      <c r="H877">
        <v>0</v>
      </c>
      <c r="I877">
        <v>0</v>
      </c>
      <c r="J877">
        <v>0.44590012885673053</v>
      </c>
      <c r="K877">
        <v>0</v>
      </c>
      <c r="L877">
        <v>0</v>
      </c>
      <c r="M877">
        <v>0.31773455672803652</v>
      </c>
      <c r="N877">
        <v>0</v>
      </c>
      <c r="O877">
        <v>0</v>
      </c>
      <c r="P877">
        <v>0.19599456423510919</v>
      </c>
      <c r="Q877">
        <v>1.0791933108685561</v>
      </c>
      <c r="R877">
        <v>5.8330951955942041</v>
      </c>
      <c r="S877">
        <v>0.28842689235228353</v>
      </c>
      <c r="T877">
        <v>0.1935113885665381</v>
      </c>
      <c r="U877">
        <v>4.3237284004419623</v>
      </c>
      <c r="V877">
        <v>0.13196363922250531</v>
      </c>
      <c r="W877">
        <v>10.499233963363571</v>
      </c>
      <c r="X877">
        <v>0.32168552203572681</v>
      </c>
      <c r="Z877" t="s">
        <v>392</v>
      </c>
      <c r="AA877">
        <v>9937</v>
      </c>
      <c r="AB877" t="s">
        <v>1268</v>
      </c>
      <c r="AC877" t="str">
        <f>HYPERLINK("plots/20251231000436_3FT6Y121H01_04823_B11P_N_UFLEX98_M5358A8BH101511/dpll_52094/txpa_54233.png","plot")</f>
        <v>plot</v>
      </c>
    </row>
    <row r="878" spans="1:29" hidden="1" x14ac:dyDescent="0.35">
      <c r="A878" t="s">
        <v>46</v>
      </c>
      <c r="B878">
        <v>52094</v>
      </c>
      <c r="C878" t="s">
        <v>53</v>
      </c>
      <c r="D878">
        <v>54234</v>
      </c>
      <c r="E878" t="s">
        <v>254</v>
      </c>
      <c r="F878">
        <v>8695</v>
      </c>
      <c r="G878">
        <v>0.49385461158636512</v>
      </c>
      <c r="H878">
        <v>0</v>
      </c>
      <c r="I878">
        <v>0</v>
      </c>
      <c r="J878">
        <v>0.39539544626034662</v>
      </c>
      <c r="K878">
        <v>0</v>
      </c>
      <c r="L878">
        <v>0</v>
      </c>
      <c r="M878">
        <v>0.27484671137236388</v>
      </c>
      <c r="N878">
        <v>0</v>
      </c>
      <c r="O878">
        <v>0</v>
      </c>
      <c r="P878">
        <v>0.24389237738511951</v>
      </c>
      <c r="Q878">
        <v>1.166840468656607</v>
      </c>
      <c r="R878">
        <v>5.2468715155165988</v>
      </c>
      <c r="S878">
        <v>0.28754018257507519</v>
      </c>
      <c r="T878">
        <v>0.20215148129922039</v>
      </c>
      <c r="U878">
        <v>4.3186223273145483</v>
      </c>
      <c r="V878">
        <v>0.13996496559623661</v>
      </c>
      <c r="W878">
        <v>10.286014815871191</v>
      </c>
      <c r="X878">
        <v>0.33069810875555178</v>
      </c>
      <c r="Z878" t="s">
        <v>392</v>
      </c>
      <c r="AA878">
        <v>9937</v>
      </c>
      <c r="AB878" t="s">
        <v>1269</v>
      </c>
      <c r="AC878" t="str">
        <f>HYPERLINK("plots/20251231000436_3FT6Y121H01_04823_B11P_N_UFLEX98_M5358A8BH101511/dpll_52094/txpa_54234.png","plot")</f>
        <v>plot</v>
      </c>
    </row>
    <row r="879" spans="1:29" hidden="1" x14ac:dyDescent="0.35">
      <c r="A879" t="s">
        <v>46</v>
      </c>
      <c r="B879">
        <v>52094</v>
      </c>
      <c r="C879" t="s">
        <v>53</v>
      </c>
      <c r="D879">
        <v>54235</v>
      </c>
      <c r="E879" t="s">
        <v>255</v>
      </c>
      <c r="F879">
        <v>8680</v>
      </c>
      <c r="G879">
        <v>0.48082316195284952</v>
      </c>
      <c r="H879">
        <v>0</v>
      </c>
      <c r="I879">
        <v>0</v>
      </c>
      <c r="J879">
        <v>0.42233620826174167</v>
      </c>
      <c r="K879">
        <v>0</v>
      </c>
      <c r="L879">
        <v>0</v>
      </c>
      <c r="M879">
        <v>0.296640405302173</v>
      </c>
      <c r="N879">
        <v>0</v>
      </c>
      <c r="O879">
        <v>0</v>
      </c>
      <c r="P879">
        <v>0.2311909130703361</v>
      </c>
      <c r="Q879">
        <v>1.230357552646044</v>
      </c>
      <c r="R879">
        <v>5.3590728811650123</v>
      </c>
      <c r="S879">
        <v>0.31330434298410648</v>
      </c>
      <c r="T879">
        <v>0.21118942854471531</v>
      </c>
      <c r="U879">
        <v>4.3187067346774191</v>
      </c>
      <c r="V879">
        <v>0.13964848228231849</v>
      </c>
      <c r="W879">
        <v>10.67262632983871</v>
      </c>
      <c r="X879">
        <v>0.3573404496442637</v>
      </c>
      <c r="Z879" t="s">
        <v>392</v>
      </c>
      <c r="AA879">
        <v>9937</v>
      </c>
      <c r="AB879" t="s">
        <v>1270</v>
      </c>
      <c r="AC879" t="str">
        <f>HYPERLINK("plots/20251231000436_3FT6Y121H01_04823_B11P_N_UFLEX98_M5358A8BH101511/dpll_52094/txpa_54235.png","plot")</f>
        <v>plot</v>
      </c>
    </row>
    <row r="880" spans="1:29" hidden="1" x14ac:dyDescent="0.35">
      <c r="A880" t="s">
        <v>46</v>
      </c>
      <c r="B880">
        <v>52094</v>
      </c>
      <c r="C880" t="s">
        <v>53</v>
      </c>
      <c r="D880">
        <v>54236</v>
      </c>
      <c r="E880" t="s">
        <v>256</v>
      </c>
      <c r="F880">
        <v>8634</v>
      </c>
      <c r="G880">
        <v>0.47298465469513712</v>
      </c>
      <c r="H880">
        <v>0</v>
      </c>
      <c r="I880">
        <v>0</v>
      </c>
      <c r="J880">
        <v>0.46457086498253197</v>
      </c>
      <c r="K880">
        <v>0</v>
      </c>
      <c r="L880">
        <v>0</v>
      </c>
      <c r="M880">
        <v>0.33353431362278552</v>
      </c>
      <c r="N880">
        <v>0</v>
      </c>
      <c r="O880">
        <v>0</v>
      </c>
      <c r="P880">
        <v>0.2237144835770781</v>
      </c>
      <c r="Q880">
        <v>1.2407923349711001</v>
      </c>
      <c r="R880">
        <v>5.4147903432511937</v>
      </c>
      <c r="S880">
        <v>0.31275972713365291</v>
      </c>
      <c r="T880">
        <v>0.20707560106642711</v>
      </c>
      <c r="U880">
        <v>4.3213569090803787</v>
      </c>
      <c r="V880">
        <v>0.1353234883795911</v>
      </c>
      <c r="W880">
        <v>10.776696872712529</v>
      </c>
      <c r="X880">
        <v>0.35499745172741992</v>
      </c>
      <c r="Z880" t="s">
        <v>392</v>
      </c>
      <c r="AA880">
        <v>9937</v>
      </c>
      <c r="AB880" t="s">
        <v>1271</v>
      </c>
      <c r="AC880" t="str">
        <f>HYPERLINK("plots/20251231000436_3FT6Y121H01_04823_B11P_N_UFLEX98_M5358A8BH101511/dpll_52094/txpa_54236.png","plot")</f>
        <v>plot</v>
      </c>
    </row>
    <row r="881" spans="1:29" hidden="1" x14ac:dyDescent="0.35">
      <c r="A881" t="s">
        <v>46</v>
      </c>
      <c r="B881">
        <v>52094</v>
      </c>
      <c r="C881" t="s">
        <v>53</v>
      </c>
      <c r="D881">
        <v>54237</v>
      </c>
      <c r="E881" t="s">
        <v>257</v>
      </c>
      <c r="F881">
        <v>8598</v>
      </c>
      <c r="G881">
        <v>0.43499834069984311</v>
      </c>
      <c r="H881">
        <v>0</v>
      </c>
      <c r="I881">
        <v>0</v>
      </c>
      <c r="J881">
        <v>0.4523783787697761</v>
      </c>
      <c r="K881">
        <v>0</v>
      </c>
      <c r="L881">
        <v>0</v>
      </c>
      <c r="M881">
        <v>0.3243307055631342</v>
      </c>
      <c r="N881">
        <v>0</v>
      </c>
      <c r="O881">
        <v>0</v>
      </c>
      <c r="P881">
        <v>0.18922355641161681</v>
      </c>
      <c r="Q881">
        <v>1.1821990390813959</v>
      </c>
      <c r="R881">
        <v>5.6719500931206763</v>
      </c>
      <c r="S881">
        <v>0.32432679377363388</v>
      </c>
      <c r="T881">
        <v>0.21578219674758281</v>
      </c>
      <c r="U881">
        <v>4.3232577094673177</v>
      </c>
      <c r="V881">
        <v>0.13254230622991731</v>
      </c>
      <c r="W881">
        <v>10.78290120295418</v>
      </c>
      <c r="X881">
        <v>0.36021145922200248</v>
      </c>
      <c r="Z881" t="s">
        <v>392</v>
      </c>
      <c r="AA881">
        <v>9937</v>
      </c>
      <c r="AB881" t="s">
        <v>1272</v>
      </c>
      <c r="AC881" t="str">
        <f>HYPERLINK("plots/20251231000436_3FT6Y121H01_04823_B11P_N_UFLEX98_M5358A8BH101511/dpll_52094/txpa_54237.png","plot")</f>
        <v>plot</v>
      </c>
    </row>
    <row r="882" spans="1:29" hidden="1" x14ac:dyDescent="0.35">
      <c r="A882" t="s">
        <v>46</v>
      </c>
      <c r="B882">
        <v>52094</v>
      </c>
      <c r="C882" t="s">
        <v>53</v>
      </c>
      <c r="D882">
        <v>54238</v>
      </c>
      <c r="E882" t="s">
        <v>258</v>
      </c>
      <c r="F882">
        <v>8613</v>
      </c>
      <c r="G882">
        <v>0.47204032563264858</v>
      </c>
      <c r="H882">
        <v>0</v>
      </c>
      <c r="I882">
        <v>0</v>
      </c>
      <c r="J882">
        <v>0.46963255952725069</v>
      </c>
      <c r="K882">
        <v>0</v>
      </c>
      <c r="L882">
        <v>0</v>
      </c>
      <c r="M882">
        <v>0.33900364872323668</v>
      </c>
      <c r="N882">
        <v>0</v>
      </c>
      <c r="O882">
        <v>0</v>
      </c>
      <c r="P882">
        <v>0.2228220690233769</v>
      </c>
      <c r="Q882">
        <v>1.2099206826543349</v>
      </c>
      <c r="R882">
        <v>5.5103537219993246</v>
      </c>
      <c r="S882">
        <v>0.3017382608052942</v>
      </c>
      <c r="T882">
        <v>0.2004625501183008</v>
      </c>
      <c r="U882">
        <v>4.3225561964472314</v>
      </c>
      <c r="V882">
        <v>0.13354190477897801</v>
      </c>
      <c r="W882">
        <v>10.74030386601649</v>
      </c>
      <c r="X882">
        <v>0.34229090994840611</v>
      </c>
      <c r="Z882" t="s">
        <v>392</v>
      </c>
      <c r="AA882">
        <v>9937</v>
      </c>
      <c r="AB882" t="s">
        <v>1273</v>
      </c>
      <c r="AC882" t="str">
        <f>HYPERLINK("plots/20251231000436_3FT6Y121H01_04823_B11P_N_UFLEX98_M5358A8BH101511/dpll_52094/txpa_54238.png","plot")</f>
        <v>plot</v>
      </c>
    </row>
    <row r="883" spans="1:29" hidden="1" x14ac:dyDescent="0.35">
      <c r="A883" t="s">
        <v>46</v>
      </c>
      <c r="B883">
        <v>52094</v>
      </c>
      <c r="C883" t="s">
        <v>53</v>
      </c>
      <c r="D883">
        <v>54239</v>
      </c>
      <c r="E883" t="s">
        <v>259</v>
      </c>
      <c r="F883">
        <v>8576</v>
      </c>
      <c r="G883">
        <v>0.43747511985291149</v>
      </c>
      <c r="H883">
        <v>0</v>
      </c>
      <c r="I883">
        <v>0</v>
      </c>
      <c r="J883">
        <v>0.45945089946802531</v>
      </c>
      <c r="K883">
        <v>0</v>
      </c>
      <c r="L883">
        <v>0</v>
      </c>
      <c r="M883">
        <v>0.33088602410379531</v>
      </c>
      <c r="N883">
        <v>0</v>
      </c>
      <c r="O883">
        <v>0</v>
      </c>
      <c r="P883">
        <v>0.19138448049031931</v>
      </c>
      <c r="Q883">
        <v>1.0848542557130509</v>
      </c>
      <c r="R883">
        <v>6.1335679104952634</v>
      </c>
      <c r="S883">
        <v>0.29153187436488709</v>
      </c>
      <c r="T883">
        <v>0.19310598132467979</v>
      </c>
      <c r="U883">
        <v>4.3244864851912306</v>
      </c>
      <c r="V883">
        <v>0.13074415793650659</v>
      </c>
      <c r="W883">
        <v>10.825005477728549</v>
      </c>
      <c r="X883">
        <v>0.32422039496720989</v>
      </c>
      <c r="Z883" t="s">
        <v>392</v>
      </c>
      <c r="AA883">
        <v>9937</v>
      </c>
      <c r="AB883" t="s">
        <v>1274</v>
      </c>
      <c r="AC883" t="str">
        <f>HYPERLINK("plots/20251231000436_3FT6Y121H01_04823_B11P_N_UFLEX98_M5358A8BH101511/dpll_52094/txpa_54239.png","plot")</f>
        <v>plot</v>
      </c>
    </row>
    <row r="884" spans="1:29" hidden="1" x14ac:dyDescent="0.35">
      <c r="A884" t="s">
        <v>46</v>
      </c>
      <c r="B884">
        <v>52094</v>
      </c>
      <c r="C884" t="s">
        <v>53</v>
      </c>
      <c r="D884">
        <v>54240</v>
      </c>
      <c r="E884" t="s">
        <v>260</v>
      </c>
      <c r="F884">
        <v>8624</v>
      </c>
      <c r="G884">
        <v>0.47569662273565871</v>
      </c>
      <c r="H884">
        <v>0</v>
      </c>
      <c r="I884">
        <v>0</v>
      </c>
      <c r="J884">
        <v>0.47174295793217591</v>
      </c>
      <c r="K884">
        <v>0</v>
      </c>
      <c r="L884">
        <v>0</v>
      </c>
      <c r="M884">
        <v>0.34187786525783709</v>
      </c>
      <c r="N884">
        <v>0</v>
      </c>
      <c r="O884">
        <v>0</v>
      </c>
      <c r="P884">
        <v>0.22628727688211159</v>
      </c>
      <c r="Q884">
        <v>1.206745201534787</v>
      </c>
      <c r="R884">
        <v>5.5518576361700482</v>
      </c>
      <c r="S884">
        <v>0.29872347269006572</v>
      </c>
      <c r="T884">
        <v>0.19692151002990771</v>
      </c>
      <c r="U884">
        <v>4.3224375184369208</v>
      </c>
      <c r="V884">
        <v>0.13388106192803101</v>
      </c>
      <c r="W884">
        <v>10.76793837047774</v>
      </c>
      <c r="X884">
        <v>0.33962891754186592</v>
      </c>
      <c r="Z884" t="s">
        <v>392</v>
      </c>
      <c r="AA884">
        <v>9937</v>
      </c>
      <c r="AB884" t="s">
        <v>1275</v>
      </c>
      <c r="AC884" t="str">
        <f>HYPERLINK("plots/20251231000436_3FT6Y121H01_04823_B11P_N_UFLEX98_M5358A8BH101511/dpll_52094/txpa_54240.png","plot")</f>
        <v>plot</v>
      </c>
    </row>
    <row r="885" spans="1:29" hidden="1" x14ac:dyDescent="0.35">
      <c r="A885" t="s">
        <v>46</v>
      </c>
      <c r="B885">
        <v>52094</v>
      </c>
      <c r="C885" t="s">
        <v>53</v>
      </c>
      <c r="D885">
        <v>54241</v>
      </c>
      <c r="E885" t="s">
        <v>261</v>
      </c>
      <c r="F885">
        <v>8608</v>
      </c>
      <c r="G885">
        <v>0.45083182775887221</v>
      </c>
      <c r="H885">
        <v>0</v>
      </c>
      <c r="I885">
        <v>0</v>
      </c>
      <c r="J885">
        <v>0.4476933746448461</v>
      </c>
      <c r="K885">
        <v>0</v>
      </c>
      <c r="L885">
        <v>0</v>
      </c>
      <c r="M885">
        <v>0.31947540591043477</v>
      </c>
      <c r="N885">
        <v>0</v>
      </c>
      <c r="O885">
        <v>0</v>
      </c>
      <c r="P885">
        <v>0.20324933692040539</v>
      </c>
      <c r="Q885">
        <v>1.1685114364957769</v>
      </c>
      <c r="R885">
        <v>5.7545450518183934</v>
      </c>
      <c r="S885">
        <v>0.30719094754524717</v>
      </c>
      <c r="T885">
        <v>0.20625700929638249</v>
      </c>
      <c r="U885">
        <v>4.3232059752555756</v>
      </c>
      <c r="V885">
        <v>0.1327865311804991</v>
      </c>
      <c r="W885">
        <v>10.80626067623141</v>
      </c>
      <c r="X885">
        <v>0.34416953449880461</v>
      </c>
      <c r="Z885" t="s">
        <v>392</v>
      </c>
      <c r="AA885">
        <v>9937</v>
      </c>
      <c r="AB885" t="s">
        <v>1276</v>
      </c>
      <c r="AC885" t="str">
        <f>HYPERLINK("plots/20251231000436_3FT6Y121H01_04823_B11P_N_UFLEX98_M5358A8BH101511/dpll_52094/txpa_54241.png","plot")</f>
        <v>plot</v>
      </c>
    </row>
    <row r="886" spans="1:29" hidden="1" x14ac:dyDescent="0.35">
      <c r="A886" t="s">
        <v>46</v>
      </c>
      <c r="B886">
        <v>52094</v>
      </c>
      <c r="C886" t="s">
        <v>53</v>
      </c>
      <c r="D886">
        <v>54242</v>
      </c>
      <c r="E886" t="s">
        <v>262</v>
      </c>
      <c r="F886">
        <v>8693</v>
      </c>
      <c r="G886">
        <v>0.50004924985275023</v>
      </c>
      <c r="H886">
        <v>0</v>
      </c>
      <c r="I886">
        <v>0</v>
      </c>
      <c r="J886">
        <v>0.40851286686179961</v>
      </c>
      <c r="K886">
        <v>0</v>
      </c>
      <c r="L886">
        <v>0</v>
      </c>
      <c r="M886">
        <v>0.28491321138985087</v>
      </c>
      <c r="N886">
        <v>0</v>
      </c>
      <c r="O886">
        <v>0</v>
      </c>
      <c r="P886">
        <v>0.25004925227829822</v>
      </c>
      <c r="Q886">
        <v>1.220559498165438</v>
      </c>
      <c r="R886">
        <v>5.3848121284572636</v>
      </c>
      <c r="S886">
        <v>0.29562833117739462</v>
      </c>
      <c r="T886">
        <v>0.20606200167956859</v>
      </c>
      <c r="U886">
        <v>4.318706926492581</v>
      </c>
      <c r="V886">
        <v>0.1398648187902358</v>
      </c>
      <c r="W886">
        <v>10.656050887380649</v>
      </c>
      <c r="X886">
        <v>0.34139303895342349</v>
      </c>
      <c r="Z886" t="s">
        <v>392</v>
      </c>
      <c r="AA886">
        <v>9937</v>
      </c>
      <c r="AB886" t="s">
        <v>1277</v>
      </c>
      <c r="AC886" t="str">
        <f>HYPERLINK("plots/20251231000436_3FT6Y121H01_04823_B11P_N_UFLEX98_M5358A8BH101511/dpll_52094/txpa_54242.png","plot")</f>
        <v>plot</v>
      </c>
    </row>
    <row r="887" spans="1:29" hidden="1" x14ac:dyDescent="0.35">
      <c r="A887" t="s">
        <v>46</v>
      </c>
      <c r="B887">
        <v>52094</v>
      </c>
      <c r="C887" t="s">
        <v>53</v>
      </c>
      <c r="D887">
        <v>54243</v>
      </c>
      <c r="E887" t="s">
        <v>263</v>
      </c>
      <c r="F887">
        <v>8663</v>
      </c>
      <c r="G887">
        <v>0.4815677166481418</v>
      </c>
      <c r="H887">
        <v>0</v>
      </c>
      <c r="I887">
        <v>0</v>
      </c>
      <c r="J887">
        <v>0.45071656690998668</v>
      </c>
      <c r="K887">
        <v>0</v>
      </c>
      <c r="L887">
        <v>0</v>
      </c>
      <c r="M887">
        <v>0.32088398822084602</v>
      </c>
      <c r="N887">
        <v>0</v>
      </c>
      <c r="O887">
        <v>0</v>
      </c>
      <c r="P887">
        <v>0.23190746571770501</v>
      </c>
      <c r="Q887">
        <v>1.3972158074403651</v>
      </c>
      <c r="R887">
        <v>5.6487882518445449</v>
      </c>
      <c r="S887">
        <v>0.35159345816636922</v>
      </c>
      <c r="T887">
        <v>0.23574839774148659</v>
      </c>
      <c r="U887">
        <v>4.3196008329677937</v>
      </c>
      <c r="V887">
        <v>0.13827795752303321</v>
      </c>
      <c r="W887">
        <v>11.68420281749971</v>
      </c>
      <c r="X887">
        <v>0.40119829754475472</v>
      </c>
      <c r="Z887" t="s">
        <v>392</v>
      </c>
      <c r="AA887">
        <v>9937</v>
      </c>
      <c r="AB887" t="s">
        <v>1278</v>
      </c>
      <c r="AC887" t="str">
        <f>HYPERLINK("plots/20251231000436_3FT6Y121H01_04823_B11P_N_UFLEX98_M5358A8BH101511/dpll_52094/txpa_54243.png","plot")</f>
        <v>plot</v>
      </c>
    </row>
    <row r="888" spans="1:29" hidden="1" x14ac:dyDescent="0.35">
      <c r="A888" t="s">
        <v>46</v>
      </c>
      <c r="B888">
        <v>52094</v>
      </c>
      <c r="C888" t="s">
        <v>53</v>
      </c>
      <c r="D888">
        <v>54244</v>
      </c>
      <c r="E888" t="s">
        <v>264</v>
      </c>
      <c r="F888">
        <v>8643</v>
      </c>
      <c r="G888">
        <v>0.47623317559601758</v>
      </c>
      <c r="H888">
        <v>0</v>
      </c>
      <c r="I888">
        <v>0</v>
      </c>
      <c r="J888">
        <v>0.46613883970175579</v>
      </c>
      <c r="K888">
        <v>0</v>
      </c>
      <c r="L888">
        <v>0</v>
      </c>
      <c r="M888">
        <v>0.33643833015176888</v>
      </c>
      <c r="N888">
        <v>0</v>
      </c>
      <c r="O888">
        <v>0</v>
      </c>
      <c r="P888">
        <v>0.2267980375382673</v>
      </c>
      <c r="Q888">
        <v>1.4441394003830379</v>
      </c>
      <c r="R888">
        <v>5.4547190908042849</v>
      </c>
      <c r="S888">
        <v>0.36237354120658349</v>
      </c>
      <c r="T888">
        <v>0.2410125305607097</v>
      </c>
      <c r="U888">
        <v>4.3210058723822753</v>
      </c>
      <c r="V888">
        <v>0.1359082000952348</v>
      </c>
      <c r="W888">
        <v>11.69485392039801</v>
      </c>
      <c r="X888">
        <v>0.41213085658518678</v>
      </c>
      <c r="Z888" t="s">
        <v>392</v>
      </c>
      <c r="AA888">
        <v>9937</v>
      </c>
      <c r="AB888" t="s">
        <v>1279</v>
      </c>
      <c r="AC888" t="str">
        <f>HYPERLINK("plots/20251231000436_3FT6Y121H01_04823_B11P_N_UFLEX98_M5358A8BH101511/dpll_52094/txpa_54244.png","plot")</f>
        <v>plot</v>
      </c>
    </row>
    <row r="889" spans="1:29" hidden="1" x14ac:dyDescent="0.35">
      <c r="A889" t="s">
        <v>46</v>
      </c>
      <c r="B889">
        <v>52094</v>
      </c>
      <c r="C889" t="s">
        <v>53</v>
      </c>
      <c r="D889">
        <v>54245</v>
      </c>
      <c r="E889" t="s">
        <v>265</v>
      </c>
      <c r="F889">
        <v>8662</v>
      </c>
      <c r="G889">
        <v>0.47675549096633663</v>
      </c>
      <c r="H889">
        <v>0</v>
      </c>
      <c r="I889">
        <v>0</v>
      </c>
      <c r="J889">
        <v>0.43711701081046078</v>
      </c>
      <c r="K889">
        <v>0</v>
      </c>
      <c r="L889">
        <v>0</v>
      </c>
      <c r="M889">
        <v>0.3116928510435496</v>
      </c>
      <c r="N889">
        <v>0</v>
      </c>
      <c r="O889">
        <v>0</v>
      </c>
      <c r="P889">
        <v>0.22729579816655271</v>
      </c>
      <c r="Q889">
        <v>1.5674407915415141</v>
      </c>
      <c r="R889">
        <v>4.7954858476528903</v>
      </c>
      <c r="S889">
        <v>0.39657421369243412</v>
      </c>
      <c r="T889">
        <v>0.27153327241775899</v>
      </c>
      <c r="U889">
        <v>4.320277351766336</v>
      </c>
      <c r="V889">
        <v>0.1372294946849385</v>
      </c>
      <c r="W889">
        <v>11.56726479958439</v>
      </c>
      <c r="X889">
        <v>0.45117279579898989</v>
      </c>
      <c r="Z889" t="s">
        <v>392</v>
      </c>
      <c r="AA889">
        <v>9937</v>
      </c>
      <c r="AB889" t="s">
        <v>1280</v>
      </c>
      <c r="AC889" t="str">
        <f>HYPERLINK("plots/20251231000436_3FT6Y121H01_04823_B11P_N_UFLEX98_M5358A8BH101511/dpll_52094/txpa_54245.png","plot")</f>
        <v>plot</v>
      </c>
    </row>
    <row r="890" spans="1:29" hidden="1" x14ac:dyDescent="0.35">
      <c r="A890" t="s">
        <v>46</v>
      </c>
      <c r="B890">
        <v>52094</v>
      </c>
      <c r="C890" t="s">
        <v>53</v>
      </c>
      <c r="D890">
        <v>54246</v>
      </c>
      <c r="E890" t="s">
        <v>266</v>
      </c>
      <c r="F890">
        <v>8630</v>
      </c>
      <c r="G890">
        <v>0.47970436957858831</v>
      </c>
      <c r="H890">
        <v>0</v>
      </c>
      <c r="I890">
        <v>0</v>
      </c>
      <c r="J890">
        <v>0.47144341308474991</v>
      </c>
      <c r="K890">
        <v>0</v>
      </c>
      <c r="L890">
        <v>0</v>
      </c>
      <c r="M890">
        <v>0.34139596124987542</v>
      </c>
      <c r="N890">
        <v>0</v>
      </c>
      <c r="O890">
        <v>0</v>
      </c>
      <c r="P890">
        <v>0.23011628219279079</v>
      </c>
      <c r="Q890">
        <v>1.4293837858133021</v>
      </c>
      <c r="R890">
        <v>5.4683574394558994</v>
      </c>
      <c r="S890">
        <v>0.35241755583972051</v>
      </c>
      <c r="T890">
        <v>0.2336738533014896</v>
      </c>
      <c r="U890">
        <v>4.3218328098493624</v>
      </c>
      <c r="V890">
        <v>0.13480157107968591</v>
      </c>
      <c r="W890">
        <v>11.645915182850519</v>
      </c>
      <c r="X890">
        <v>0.40167067932429118</v>
      </c>
      <c r="Z890" t="s">
        <v>392</v>
      </c>
      <c r="AA890">
        <v>9937</v>
      </c>
      <c r="AB890" t="s">
        <v>1281</v>
      </c>
      <c r="AC890" t="str">
        <f>HYPERLINK("plots/20251231000436_3FT6Y121H01_04823_B11P_N_UFLEX98_M5358A8BH101511/dpll_52094/txpa_54246.png","plot")</f>
        <v>plot</v>
      </c>
    </row>
    <row r="891" spans="1:29" hidden="1" x14ac:dyDescent="0.35">
      <c r="A891" t="s">
        <v>46</v>
      </c>
      <c r="B891">
        <v>52094</v>
      </c>
      <c r="C891" t="s">
        <v>53</v>
      </c>
      <c r="D891">
        <v>54247</v>
      </c>
      <c r="E891" t="s">
        <v>267</v>
      </c>
      <c r="F891">
        <v>8607</v>
      </c>
      <c r="G891">
        <v>0.45022185742189941</v>
      </c>
      <c r="H891">
        <v>0</v>
      </c>
      <c r="I891">
        <v>0</v>
      </c>
      <c r="J891">
        <v>0.45209107765276763</v>
      </c>
      <c r="K891">
        <v>0</v>
      </c>
      <c r="L891">
        <v>0</v>
      </c>
      <c r="M891">
        <v>0.32433568305623178</v>
      </c>
      <c r="N891">
        <v>0</v>
      </c>
      <c r="O891">
        <v>0</v>
      </c>
      <c r="P891">
        <v>0.2026997209004251</v>
      </c>
      <c r="Q891">
        <v>1.338227583468272</v>
      </c>
      <c r="R891">
        <v>5.8947203423684309</v>
      </c>
      <c r="S891">
        <v>0.35220632870913121</v>
      </c>
      <c r="T891">
        <v>0.2367352267535579</v>
      </c>
      <c r="U891">
        <v>4.3232038149180889</v>
      </c>
      <c r="V891">
        <v>0.13271133747482969</v>
      </c>
      <c r="W891">
        <v>11.680150936447079</v>
      </c>
      <c r="X891">
        <v>0.39446768192188858</v>
      </c>
      <c r="Z891" t="s">
        <v>392</v>
      </c>
      <c r="AA891">
        <v>9937</v>
      </c>
      <c r="AB891" t="s">
        <v>1282</v>
      </c>
      <c r="AC891" t="str">
        <f>HYPERLINK("plots/20251231000436_3FT6Y121H01_04823_B11P_N_UFLEX98_M5358A8BH101511/dpll_52094/txpa_54247.png","plot")</f>
        <v>plot</v>
      </c>
    </row>
    <row r="892" spans="1:29" hidden="1" x14ac:dyDescent="0.35">
      <c r="A892" t="s">
        <v>46</v>
      </c>
      <c r="B892">
        <v>52094</v>
      </c>
      <c r="C892" t="s">
        <v>53</v>
      </c>
      <c r="D892">
        <v>54248</v>
      </c>
      <c r="E892" t="s">
        <v>268</v>
      </c>
      <c r="F892">
        <v>8658</v>
      </c>
      <c r="G892">
        <v>0.49866110164800009</v>
      </c>
      <c r="H892">
        <v>0</v>
      </c>
      <c r="I892">
        <v>0</v>
      </c>
      <c r="J892">
        <v>0.46383933270582511</v>
      </c>
      <c r="K892">
        <v>0</v>
      </c>
      <c r="L892">
        <v>0</v>
      </c>
      <c r="M892">
        <v>0.33439192205847479</v>
      </c>
      <c r="N892">
        <v>0</v>
      </c>
      <c r="O892">
        <v>0</v>
      </c>
      <c r="P892">
        <v>0.24866289429679711</v>
      </c>
      <c r="Q892">
        <v>1.512412428379236</v>
      </c>
      <c r="R892">
        <v>5.1023362144339197</v>
      </c>
      <c r="S892">
        <v>0.35948932639316261</v>
      </c>
      <c r="T892">
        <v>0.2420767995658796</v>
      </c>
      <c r="U892">
        <v>4.3206235947100939</v>
      </c>
      <c r="V892">
        <v>0.13675049847095319</v>
      </c>
      <c r="W892">
        <v>11.636901037422041</v>
      </c>
      <c r="X892">
        <v>0.414756941720551</v>
      </c>
      <c r="Z892" t="s">
        <v>392</v>
      </c>
      <c r="AA892">
        <v>9937</v>
      </c>
      <c r="AB892" t="s">
        <v>1283</v>
      </c>
      <c r="AC892" t="str">
        <f>HYPERLINK("plots/20251231000436_3FT6Y121H01_04823_B11P_N_UFLEX98_M5358A8BH101511/dpll_52094/txpa_54248.png","plot")</f>
        <v>plot</v>
      </c>
    </row>
    <row r="893" spans="1:29" hidden="1" x14ac:dyDescent="0.35">
      <c r="A893" t="s">
        <v>46</v>
      </c>
      <c r="B893">
        <v>52094</v>
      </c>
      <c r="C893" t="s">
        <v>53</v>
      </c>
      <c r="D893">
        <v>54249</v>
      </c>
      <c r="E893" t="s">
        <v>269</v>
      </c>
      <c r="F893">
        <v>8665</v>
      </c>
      <c r="G893">
        <v>0.49553476133333968</v>
      </c>
      <c r="H893">
        <v>0</v>
      </c>
      <c r="I893">
        <v>0</v>
      </c>
      <c r="J893">
        <v>0.43836128375378208</v>
      </c>
      <c r="K893">
        <v>0</v>
      </c>
      <c r="L893">
        <v>0</v>
      </c>
      <c r="M893">
        <v>0.31174537331185609</v>
      </c>
      <c r="N893">
        <v>0</v>
      </c>
      <c r="O893">
        <v>0</v>
      </c>
      <c r="P893">
        <v>0.2455546996896899</v>
      </c>
      <c r="Q893">
        <v>1.563407871920502</v>
      </c>
      <c r="R893">
        <v>4.8562571446732354</v>
      </c>
      <c r="S893">
        <v>0.37649653481062012</v>
      </c>
      <c r="T893">
        <v>0.25967440063240288</v>
      </c>
      <c r="U893">
        <v>4.3202331826889786</v>
      </c>
      <c r="V893">
        <v>0.1373959708838747</v>
      </c>
      <c r="W893">
        <v>11.61054371102135</v>
      </c>
      <c r="X893">
        <v>0.43348309586199307</v>
      </c>
      <c r="Z893" t="s">
        <v>392</v>
      </c>
      <c r="AA893">
        <v>9937</v>
      </c>
      <c r="AB893" t="s">
        <v>1284</v>
      </c>
      <c r="AC893" t="str">
        <f>HYPERLINK("plots/20251231000436_3FT6Y121H01_04823_B11P_N_UFLEX98_M5358A8BH101511/dpll_52094/txpa_54249.png","plot")</f>
        <v>plot</v>
      </c>
    </row>
    <row r="894" spans="1:29" hidden="1" x14ac:dyDescent="0.35">
      <c r="A894" t="s">
        <v>46</v>
      </c>
      <c r="B894">
        <v>52094</v>
      </c>
      <c r="C894" t="s">
        <v>53</v>
      </c>
      <c r="D894">
        <v>54250</v>
      </c>
      <c r="E894" t="s">
        <v>270</v>
      </c>
      <c r="F894">
        <v>8686</v>
      </c>
      <c r="G894">
        <v>0.50788264965387653</v>
      </c>
      <c r="H894">
        <v>0</v>
      </c>
      <c r="I894">
        <v>0</v>
      </c>
      <c r="J894">
        <v>0.43751281566379308</v>
      </c>
      <c r="K894">
        <v>0</v>
      </c>
      <c r="L894">
        <v>0</v>
      </c>
      <c r="M894">
        <v>0.30892550363259658</v>
      </c>
      <c r="N894">
        <v>0</v>
      </c>
      <c r="O894">
        <v>0</v>
      </c>
      <c r="P894">
        <v>0.2579447858194423</v>
      </c>
      <c r="Q894">
        <v>1.407984948772697</v>
      </c>
      <c r="R894">
        <v>5.6048060998496494</v>
      </c>
      <c r="S894">
        <v>0.33285863798773108</v>
      </c>
      <c r="T894">
        <v>0.22912103646578461</v>
      </c>
      <c r="U894">
        <v>4.3190438771586459</v>
      </c>
      <c r="V894">
        <v>0.13939015042240571</v>
      </c>
      <c r="W894">
        <v>11.6859548719779</v>
      </c>
      <c r="X894">
        <v>0.38642634068255849</v>
      </c>
      <c r="Z894" t="s">
        <v>392</v>
      </c>
      <c r="AA894">
        <v>9937</v>
      </c>
      <c r="AB894" t="s">
        <v>1285</v>
      </c>
      <c r="AC894" t="str">
        <f>HYPERLINK("plots/20251231000436_3FT6Y121H01_04823_B11P_N_UFLEX98_M5358A8BH101511/dpll_52094/txpa_54250.png","plot")</f>
        <v>plot</v>
      </c>
    </row>
    <row r="895" spans="1:29" hidden="1" x14ac:dyDescent="0.35">
      <c r="A895" t="s">
        <v>46</v>
      </c>
      <c r="B895">
        <v>52094</v>
      </c>
      <c r="C895" t="s">
        <v>53</v>
      </c>
      <c r="D895">
        <v>54251</v>
      </c>
      <c r="E895" t="s">
        <v>271</v>
      </c>
      <c r="F895">
        <v>8664</v>
      </c>
      <c r="G895">
        <v>0.48173935977654597</v>
      </c>
      <c r="H895">
        <v>0</v>
      </c>
      <c r="I895">
        <v>0</v>
      </c>
      <c r="J895">
        <v>0.45281687059574088</v>
      </c>
      <c r="K895">
        <v>0</v>
      </c>
      <c r="L895">
        <v>0</v>
      </c>
      <c r="M895">
        <v>0.32314564125575579</v>
      </c>
      <c r="N895">
        <v>0</v>
      </c>
      <c r="O895">
        <v>0</v>
      </c>
      <c r="P895">
        <v>0.23207281075791639</v>
      </c>
      <c r="Q895">
        <v>1.4650681275908051</v>
      </c>
      <c r="R895">
        <v>5.6150722437360896</v>
      </c>
      <c r="S895">
        <v>0.36821139984676932</v>
      </c>
      <c r="T895">
        <v>0.2478421184497295</v>
      </c>
      <c r="U895">
        <v>4.3196888148661117</v>
      </c>
      <c r="V895">
        <v>0.13817089897334989</v>
      </c>
      <c r="W895">
        <v>11.943710647506929</v>
      </c>
      <c r="X895">
        <v>0.42020602248552152</v>
      </c>
      <c r="Z895" t="s">
        <v>392</v>
      </c>
      <c r="AA895">
        <v>9937</v>
      </c>
      <c r="AB895" t="s">
        <v>1286</v>
      </c>
      <c r="AC895" t="str">
        <f>HYPERLINK("plots/20251231000436_3FT6Y121H01_04823_B11P_N_UFLEX98_M5358A8BH101511/dpll_52094/txpa_54251.png","plot")</f>
        <v>plot</v>
      </c>
    </row>
    <row r="896" spans="1:29" hidden="1" x14ac:dyDescent="0.35">
      <c r="A896" t="s">
        <v>46</v>
      </c>
      <c r="B896">
        <v>52094</v>
      </c>
      <c r="C896" t="s">
        <v>53</v>
      </c>
      <c r="D896">
        <v>54252</v>
      </c>
      <c r="E896" t="s">
        <v>272</v>
      </c>
      <c r="F896">
        <v>8652</v>
      </c>
      <c r="G896">
        <v>0.47915181187130901</v>
      </c>
      <c r="H896">
        <v>0</v>
      </c>
      <c r="I896">
        <v>0</v>
      </c>
      <c r="J896">
        <v>0.46063262410947542</v>
      </c>
      <c r="K896">
        <v>0</v>
      </c>
      <c r="L896">
        <v>0</v>
      </c>
      <c r="M896">
        <v>0.33172633707931198</v>
      </c>
      <c r="N896">
        <v>0</v>
      </c>
      <c r="O896">
        <v>0</v>
      </c>
      <c r="P896">
        <v>0.22958645881955819</v>
      </c>
      <c r="Q896">
        <v>1.527943759504391</v>
      </c>
      <c r="R896">
        <v>5.3253622196564177</v>
      </c>
      <c r="S896">
        <v>0.38201389309238082</v>
      </c>
      <c r="T896">
        <v>0.2562908486083888</v>
      </c>
      <c r="U896">
        <v>4.3206748425797503</v>
      </c>
      <c r="V896">
        <v>0.13649227388247831</v>
      </c>
      <c r="W896">
        <v>11.927110382223759</v>
      </c>
      <c r="X896">
        <v>0.43525353120298782</v>
      </c>
      <c r="Z896" t="s">
        <v>392</v>
      </c>
      <c r="AA896">
        <v>9937</v>
      </c>
      <c r="AB896" t="s">
        <v>1287</v>
      </c>
      <c r="AC896" t="str">
        <f>HYPERLINK("plots/20251231000436_3FT6Y121H01_04823_B11P_N_UFLEX98_M5358A8BH101511/dpll_52094/txpa_54252.png","plot")</f>
        <v>plot</v>
      </c>
    </row>
    <row r="897" spans="1:29" hidden="1" x14ac:dyDescent="0.35">
      <c r="A897" t="s">
        <v>46</v>
      </c>
      <c r="B897">
        <v>52094</v>
      </c>
      <c r="C897" t="s">
        <v>53</v>
      </c>
      <c r="D897">
        <v>54253</v>
      </c>
      <c r="E897" t="s">
        <v>273</v>
      </c>
      <c r="F897">
        <v>8671</v>
      </c>
      <c r="G897">
        <v>0.48072988751676238</v>
      </c>
      <c r="H897">
        <v>0</v>
      </c>
      <c r="I897">
        <v>0</v>
      </c>
      <c r="J897">
        <v>0.42908894420704879</v>
      </c>
      <c r="K897">
        <v>0</v>
      </c>
      <c r="L897">
        <v>0</v>
      </c>
      <c r="M897">
        <v>0.30506337283878282</v>
      </c>
      <c r="N897">
        <v>0</v>
      </c>
      <c r="O897">
        <v>0</v>
      </c>
      <c r="P897">
        <v>0.231101224751879</v>
      </c>
      <c r="Q897">
        <v>1.653710664515162</v>
      </c>
      <c r="R897">
        <v>4.6172081918287464</v>
      </c>
      <c r="S897">
        <v>0.41612942920617579</v>
      </c>
      <c r="T897">
        <v>0.28810237452525378</v>
      </c>
      <c r="U897">
        <v>4.3198447332487602</v>
      </c>
      <c r="V897">
        <v>0.13796231938168621</v>
      </c>
      <c r="W897">
        <v>11.760981496251871</v>
      </c>
      <c r="X897">
        <v>0.47459033604351492</v>
      </c>
      <c r="Z897" t="s">
        <v>392</v>
      </c>
      <c r="AA897">
        <v>9937</v>
      </c>
      <c r="AB897" t="s">
        <v>1288</v>
      </c>
      <c r="AC897" t="str">
        <f>HYPERLINK("plots/20251231000436_3FT6Y121H01_04823_B11P_N_UFLEX98_M5358A8BH101511/dpll_52094/txpa_54253.png","plot")</f>
        <v>plot</v>
      </c>
    </row>
    <row r="898" spans="1:29" hidden="1" x14ac:dyDescent="0.35">
      <c r="A898" t="s">
        <v>46</v>
      </c>
      <c r="B898">
        <v>52094</v>
      </c>
      <c r="C898" t="s">
        <v>53</v>
      </c>
      <c r="D898">
        <v>54254</v>
      </c>
      <c r="E898" t="s">
        <v>274</v>
      </c>
      <c r="F898">
        <v>8641</v>
      </c>
      <c r="G898">
        <v>0.48527996567726173</v>
      </c>
      <c r="H898">
        <v>0</v>
      </c>
      <c r="I898">
        <v>0</v>
      </c>
      <c r="J898">
        <v>0.46813652184955312</v>
      </c>
      <c r="K898">
        <v>0</v>
      </c>
      <c r="L898">
        <v>0</v>
      </c>
      <c r="M898">
        <v>0.33845590369093642</v>
      </c>
      <c r="N898">
        <v>0</v>
      </c>
      <c r="O898">
        <v>0</v>
      </c>
      <c r="P898">
        <v>0.2354966450877243</v>
      </c>
      <c r="Q898">
        <v>1.5221132756488269</v>
      </c>
      <c r="R898">
        <v>5.2956013703547784</v>
      </c>
      <c r="S898">
        <v>0.37159656954344722</v>
      </c>
      <c r="T898">
        <v>0.24793156338233199</v>
      </c>
      <c r="U898">
        <v>4.3213820695521354</v>
      </c>
      <c r="V898">
        <v>0.1355041255872336</v>
      </c>
      <c r="W898">
        <v>11.87323438757088</v>
      </c>
      <c r="X898">
        <v>0.42501781043786951</v>
      </c>
      <c r="Z898" t="s">
        <v>392</v>
      </c>
      <c r="AA898">
        <v>9937</v>
      </c>
      <c r="AB898" t="s">
        <v>1289</v>
      </c>
      <c r="AC898" t="str">
        <f>HYPERLINK("plots/20251231000436_3FT6Y121H01_04823_B11P_N_UFLEX98_M5358A8BH101511/dpll_52094/txpa_54254.png","plot")</f>
        <v>plot</v>
      </c>
    </row>
    <row r="899" spans="1:29" hidden="1" x14ac:dyDescent="0.35">
      <c r="A899" t="s">
        <v>46</v>
      </c>
      <c r="B899">
        <v>52094</v>
      </c>
      <c r="C899" t="s">
        <v>53</v>
      </c>
      <c r="D899">
        <v>54255</v>
      </c>
      <c r="E899" t="s">
        <v>275</v>
      </c>
      <c r="F899">
        <v>8623</v>
      </c>
      <c r="G899">
        <v>0.45963738592430209</v>
      </c>
      <c r="H899">
        <v>0</v>
      </c>
      <c r="I899">
        <v>0</v>
      </c>
      <c r="J899">
        <v>0.44753663092171447</v>
      </c>
      <c r="K899">
        <v>0</v>
      </c>
      <c r="L899">
        <v>0</v>
      </c>
      <c r="M899">
        <v>0.32032635802948889</v>
      </c>
      <c r="N899">
        <v>0</v>
      </c>
      <c r="O899">
        <v>0</v>
      </c>
      <c r="P899">
        <v>0.21126652653932579</v>
      </c>
      <c r="Q899">
        <v>1.450588786258544</v>
      </c>
      <c r="R899">
        <v>5.6180287547348211</v>
      </c>
      <c r="S899">
        <v>0.37483364363983529</v>
      </c>
      <c r="T899">
        <v>0.253780480990562</v>
      </c>
      <c r="U899">
        <v>4.3225030985735824</v>
      </c>
      <c r="V899">
        <v>0.13374256322255601</v>
      </c>
      <c r="W899">
        <v>11.888203278093471</v>
      </c>
      <c r="X899">
        <v>0.42208373034317331</v>
      </c>
      <c r="Z899" t="s">
        <v>392</v>
      </c>
      <c r="AA899">
        <v>9937</v>
      </c>
      <c r="AB899" t="s">
        <v>1290</v>
      </c>
      <c r="AC899" t="str">
        <f>HYPERLINK("plots/20251231000436_3FT6Y121H01_04823_B11P_N_UFLEX98_M5358A8BH101511/dpll_52094/txpa_54255.png","plot")</f>
        <v>plot</v>
      </c>
    </row>
    <row r="900" spans="1:29" hidden="1" x14ac:dyDescent="0.35">
      <c r="A900" t="s">
        <v>46</v>
      </c>
      <c r="B900">
        <v>52094</v>
      </c>
      <c r="C900" t="s">
        <v>53</v>
      </c>
      <c r="D900">
        <v>54256</v>
      </c>
      <c r="E900" t="s">
        <v>276</v>
      </c>
      <c r="F900">
        <v>8668</v>
      </c>
      <c r="G900">
        <v>0.5060376561114065</v>
      </c>
      <c r="H900">
        <v>0</v>
      </c>
      <c r="I900">
        <v>0</v>
      </c>
      <c r="J900">
        <v>0.4589494911572275</v>
      </c>
      <c r="K900">
        <v>0</v>
      </c>
      <c r="L900">
        <v>0</v>
      </c>
      <c r="M900">
        <v>0.32999592623470392</v>
      </c>
      <c r="N900">
        <v>0</v>
      </c>
      <c r="O900">
        <v>0</v>
      </c>
      <c r="P900">
        <v>0.25607410940272612</v>
      </c>
      <c r="Q900">
        <v>1.61457458286636</v>
      </c>
      <c r="R900">
        <v>4.8759061565232713</v>
      </c>
      <c r="S900">
        <v>0.37881968635871238</v>
      </c>
      <c r="T900">
        <v>0.25769331256253808</v>
      </c>
      <c r="U900">
        <v>4.3200680248038763</v>
      </c>
      <c r="V900">
        <v>0.1376630795263257</v>
      </c>
      <c r="W900">
        <v>11.850978185625291</v>
      </c>
      <c r="X900">
        <v>0.43923076972236758</v>
      </c>
      <c r="Z900" t="s">
        <v>392</v>
      </c>
      <c r="AA900">
        <v>9937</v>
      </c>
      <c r="AB900" t="s">
        <v>1291</v>
      </c>
      <c r="AC900" t="str">
        <f>HYPERLINK("plots/20251231000436_3FT6Y121H01_04823_B11P_N_UFLEX98_M5358A8BH101511/dpll_52094/txpa_54256.png","plot")</f>
        <v>plot</v>
      </c>
    </row>
    <row r="901" spans="1:29" hidden="1" x14ac:dyDescent="0.35">
      <c r="A901" t="s">
        <v>46</v>
      </c>
      <c r="B901">
        <v>52094</v>
      </c>
      <c r="C901" t="s">
        <v>53</v>
      </c>
      <c r="D901">
        <v>54257</v>
      </c>
      <c r="E901" t="s">
        <v>277</v>
      </c>
      <c r="F901">
        <v>8682</v>
      </c>
      <c r="G901">
        <v>0.50861493954178361</v>
      </c>
      <c r="H901">
        <v>0</v>
      </c>
      <c r="I901">
        <v>0</v>
      </c>
      <c r="J901">
        <v>0.43362857584069597</v>
      </c>
      <c r="K901">
        <v>0</v>
      </c>
      <c r="L901">
        <v>0</v>
      </c>
      <c r="M901">
        <v>0.30792663218684402</v>
      </c>
      <c r="N901">
        <v>0</v>
      </c>
      <c r="O901">
        <v>0</v>
      </c>
      <c r="P901">
        <v>0.25868915672509218</v>
      </c>
      <c r="Q901">
        <v>1.6931329805880839</v>
      </c>
      <c r="R901">
        <v>4.4909540857141677</v>
      </c>
      <c r="S901">
        <v>0.39815041252083277</v>
      </c>
      <c r="T901">
        <v>0.27773149029210931</v>
      </c>
      <c r="U901">
        <v>4.3192930818935729</v>
      </c>
      <c r="V901">
        <v>0.13892168729581461</v>
      </c>
      <c r="W901">
        <v>11.804091655494121</v>
      </c>
      <c r="X901">
        <v>0.46245769086412208</v>
      </c>
      <c r="Z901" t="s">
        <v>392</v>
      </c>
      <c r="AA901">
        <v>9937</v>
      </c>
      <c r="AB901" t="s">
        <v>1292</v>
      </c>
      <c r="AC901" t="str">
        <f>HYPERLINK("plots/20251231000436_3FT6Y121H01_04823_B11P_N_UFLEX98_M5358A8BH101511/dpll_52094/txpa_54257.png","plot")</f>
        <v>plot</v>
      </c>
    </row>
    <row r="902" spans="1:29" hidden="1" x14ac:dyDescent="0.35">
      <c r="A902" t="s">
        <v>46</v>
      </c>
      <c r="B902">
        <v>52094</v>
      </c>
      <c r="C902" t="s">
        <v>53</v>
      </c>
      <c r="D902">
        <v>54258</v>
      </c>
      <c r="E902" t="s">
        <v>278</v>
      </c>
      <c r="F902">
        <v>8686</v>
      </c>
      <c r="G902">
        <v>0.50971163672297448</v>
      </c>
      <c r="H902">
        <v>0</v>
      </c>
      <c r="I902">
        <v>0</v>
      </c>
      <c r="J902">
        <v>0.44026895508879532</v>
      </c>
      <c r="K902">
        <v>0</v>
      </c>
      <c r="L902">
        <v>0</v>
      </c>
      <c r="M902">
        <v>0.31130909309734289</v>
      </c>
      <c r="N902">
        <v>0</v>
      </c>
      <c r="O902">
        <v>0</v>
      </c>
      <c r="P902">
        <v>0.25980595261081352</v>
      </c>
      <c r="Q902">
        <v>1.48356731807807</v>
      </c>
      <c r="R902">
        <v>5.5436024593311561</v>
      </c>
      <c r="S902">
        <v>0.34902986449422679</v>
      </c>
      <c r="T902">
        <v>0.24082901177577951</v>
      </c>
      <c r="U902">
        <v>4.3190438771586459</v>
      </c>
      <c r="V902">
        <v>0.13939015042240571</v>
      </c>
      <c r="W902">
        <v>11.951194800828921</v>
      </c>
      <c r="X902">
        <v>0.40570914362125682</v>
      </c>
      <c r="Z902" t="s">
        <v>392</v>
      </c>
      <c r="AA902">
        <v>9937</v>
      </c>
      <c r="AB902" t="s">
        <v>1293</v>
      </c>
      <c r="AC902" t="str">
        <f>HYPERLINK("plots/20251231000436_3FT6Y121H01_04823_B11P_N_UFLEX98_M5358A8BH101511/dpll_52094/txpa_54258.png","plot")</f>
        <v>plot</v>
      </c>
    </row>
    <row r="903" spans="1:29" hidden="1" x14ac:dyDescent="0.35">
      <c r="A903" t="s">
        <v>46</v>
      </c>
      <c r="B903">
        <v>52094</v>
      </c>
      <c r="C903" t="s">
        <v>53</v>
      </c>
      <c r="D903">
        <v>55146</v>
      </c>
      <c r="E903" t="s">
        <v>279</v>
      </c>
      <c r="F903">
        <v>8705</v>
      </c>
      <c r="G903">
        <v>-4.5137280758809333E-3</v>
      </c>
      <c r="H903">
        <v>0.67370020089859317</v>
      </c>
      <c r="I903">
        <v>0.67503162422052709</v>
      </c>
      <c r="J903">
        <v>-4.6107173093401822E-3</v>
      </c>
      <c r="K903">
        <v>0.66710605906634579</v>
      </c>
      <c r="L903">
        <v>0.66974806326066794</v>
      </c>
      <c r="M903">
        <v>-3.2015883692610141E-3</v>
      </c>
      <c r="N903">
        <v>0.65417781636908168</v>
      </c>
      <c r="O903">
        <v>0.65676861960222654</v>
      </c>
      <c r="P903">
        <v>2.037374114299579E-5</v>
      </c>
      <c r="Q903">
        <v>-0.16582274679247391</v>
      </c>
      <c r="R903">
        <v>-9.9007717506231749</v>
      </c>
      <c r="S903">
        <v>5.180860139749166</v>
      </c>
      <c r="T903">
        <v>3.8980475273249251</v>
      </c>
      <c r="U903">
        <v>4.3176266520390589</v>
      </c>
      <c r="V903">
        <v>0.1410335787372318</v>
      </c>
      <c r="W903">
        <v>-10.616732461688679</v>
      </c>
      <c r="X903">
        <v>5.1812105255401679</v>
      </c>
      <c r="Z903" t="s">
        <v>392</v>
      </c>
      <c r="AA903">
        <v>9937</v>
      </c>
      <c r="AB903" t="s">
        <v>1294</v>
      </c>
      <c r="AC903" t="str">
        <f>HYPERLINK("plots/20251231000436_3FT6Y121H01_04823_B11P_N_UFLEX98_M5358A8BH101511/dpll_52094/txpa_55146.png","plot")</f>
        <v>plot</v>
      </c>
    </row>
    <row r="904" spans="1:29" hidden="1" x14ac:dyDescent="0.35">
      <c r="A904" t="s">
        <v>46</v>
      </c>
      <c r="B904">
        <v>52094</v>
      </c>
      <c r="C904" t="s">
        <v>53</v>
      </c>
      <c r="D904">
        <v>55147</v>
      </c>
      <c r="E904" t="s">
        <v>280</v>
      </c>
      <c r="F904">
        <v>8716</v>
      </c>
      <c r="G904">
        <v>0.2144498575337804</v>
      </c>
      <c r="H904">
        <v>3.2663667562194111E-91</v>
      </c>
      <c r="I904">
        <v>3.549942005151643E-91</v>
      </c>
      <c r="J904">
        <v>0.15184723932779931</v>
      </c>
      <c r="K904">
        <v>4.0495773510042238E-46</v>
      </c>
      <c r="L904">
        <v>4.3637315982128414E-46</v>
      </c>
      <c r="M904">
        <v>0.1021800224941285</v>
      </c>
      <c r="N904">
        <v>2.2170215331371881E-46</v>
      </c>
      <c r="O904">
        <v>2.3864754082814318E-46</v>
      </c>
      <c r="P904">
        <v>4.5988741396258699E-2</v>
      </c>
      <c r="Q904">
        <v>1.7005483344686261</v>
      </c>
      <c r="R904">
        <v>-28.734572244411499</v>
      </c>
      <c r="S904">
        <v>1.092353086617067</v>
      </c>
      <c r="T904">
        <v>0.84867798818046392</v>
      </c>
      <c r="U904">
        <v>4.3177108791877004</v>
      </c>
      <c r="V904">
        <v>0.14104184712444839</v>
      </c>
      <c r="W904">
        <v>-21.392096200091789</v>
      </c>
      <c r="X904">
        <v>1.1184361742002</v>
      </c>
      <c r="Z904" t="s">
        <v>392</v>
      </c>
      <c r="AA904">
        <v>9937</v>
      </c>
      <c r="AB904" t="s">
        <v>1295</v>
      </c>
      <c r="AC904" t="str">
        <f>HYPERLINK("plots/20251231000436_3FT6Y121H01_04823_B11P_N_UFLEX98_M5358A8BH101511/dpll_52094/txpa_55147.png","plot")</f>
        <v>plot</v>
      </c>
    </row>
    <row r="905" spans="1:29" hidden="1" x14ac:dyDescent="0.35">
      <c r="A905" t="s">
        <v>46</v>
      </c>
      <c r="B905">
        <v>52094</v>
      </c>
      <c r="C905" t="s">
        <v>53</v>
      </c>
      <c r="D905">
        <v>55148</v>
      </c>
      <c r="E905" t="s">
        <v>281</v>
      </c>
      <c r="F905">
        <v>8716</v>
      </c>
      <c r="G905">
        <v>0.16322346198077919</v>
      </c>
      <c r="H905">
        <v>4.1798588840295747E-53</v>
      </c>
      <c r="I905">
        <v>4.3425992913995786E-53</v>
      </c>
      <c r="J905">
        <v>0.13180120508427301</v>
      </c>
      <c r="K905">
        <v>4.4610710671779071E-35</v>
      </c>
      <c r="L905">
        <v>4.6490504235543649E-35</v>
      </c>
      <c r="M905">
        <v>8.7957552187206495E-2</v>
      </c>
      <c r="N905">
        <v>8.1851000102643027E-35</v>
      </c>
      <c r="O905">
        <v>8.5300014495457373E-35</v>
      </c>
      <c r="P905">
        <v>2.6641898540990892E-2</v>
      </c>
      <c r="Q905">
        <v>1.388021746669563</v>
      </c>
      <c r="R905">
        <v>-28.033526592702341</v>
      </c>
      <c r="S905">
        <v>1.1832406498248349</v>
      </c>
      <c r="T905">
        <v>0.92080272992586931</v>
      </c>
      <c r="U905">
        <v>4.3177108791877004</v>
      </c>
      <c r="V905">
        <v>0.14104184712444839</v>
      </c>
      <c r="W905">
        <v>-22.040449996558049</v>
      </c>
      <c r="X905">
        <v>1.1993934488549911</v>
      </c>
      <c r="Z905" t="s">
        <v>392</v>
      </c>
      <c r="AA905">
        <v>9937</v>
      </c>
      <c r="AB905" t="s">
        <v>1296</v>
      </c>
      <c r="AC905" t="str">
        <f>HYPERLINK("plots/20251231000436_3FT6Y121H01_04823_B11P_N_UFLEX98_M5358A8BH101511/dpll_52094/txpa_55148.png","plot")</f>
        <v>plot</v>
      </c>
    </row>
    <row r="906" spans="1:29" hidden="1" x14ac:dyDescent="0.35">
      <c r="A906" t="s">
        <v>46</v>
      </c>
      <c r="B906">
        <v>52094</v>
      </c>
      <c r="C906" t="s">
        <v>53</v>
      </c>
      <c r="D906">
        <v>55149</v>
      </c>
      <c r="E906" t="s">
        <v>282</v>
      </c>
      <c r="F906">
        <v>8716</v>
      </c>
      <c r="G906">
        <v>0.1360286013947124</v>
      </c>
      <c r="H906">
        <v>2.846759001967858E-37</v>
      </c>
      <c r="I906">
        <v>2.9040378551261638E-37</v>
      </c>
      <c r="J906">
        <v>0.1187986403050829</v>
      </c>
      <c r="K906">
        <v>9.0827693453369592E-29</v>
      </c>
      <c r="L906">
        <v>9.2748520807368335E-29</v>
      </c>
      <c r="M906">
        <v>7.8867060463412755E-2</v>
      </c>
      <c r="N906">
        <v>2.5404549018167351E-28</v>
      </c>
      <c r="O906">
        <v>2.5915706946098278E-28</v>
      </c>
      <c r="P906">
        <v>1.850378039740155E-2</v>
      </c>
      <c r="Q906">
        <v>1.1693128348377499</v>
      </c>
      <c r="R906">
        <v>-26.757737306665849</v>
      </c>
      <c r="S906">
        <v>1.2010687609785651</v>
      </c>
      <c r="T906">
        <v>0.93450763168491369</v>
      </c>
      <c r="U906">
        <v>4.3177108791877004</v>
      </c>
      <c r="V906">
        <v>0.14104184712444839</v>
      </c>
      <c r="W906">
        <v>-21.708982558513078</v>
      </c>
      <c r="X906">
        <v>1.212407099689935</v>
      </c>
      <c r="Z906" t="s">
        <v>392</v>
      </c>
      <c r="AA906">
        <v>9937</v>
      </c>
      <c r="AB906" t="s">
        <v>1297</v>
      </c>
      <c r="AC906" t="str">
        <f>HYPERLINK("plots/20251231000436_3FT6Y121H01_04823_B11P_N_UFLEX98_M5358A8BH101511/dpll_52094/txpa_55149.png","plot")</f>
        <v>plot</v>
      </c>
    </row>
    <row r="907" spans="1:29" hidden="1" x14ac:dyDescent="0.35">
      <c r="A907" t="s">
        <v>46</v>
      </c>
      <c r="B907">
        <v>52094</v>
      </c>
      <c r="C907" t="s">
        <v>53</v>
      </c>
      <c r="D907">
        <v>55150</v>
      </c>
      <c r="E907" t="s">
        <v>283</v>
      </c>
      <c r="F907">
        <v>8716</v>
      </c>
      <c r="G907">
        <v>0.17928626054705821</v>
      </c>
      <c r="H907">
        <v>7.1624497443798545E-64</v>
      </c>
      <c r="I907">
        <v>7.5417695127738027E-64</v>
      </c>
      <c r="J907">
        <v>0.13919301175278789</v>
      </c>
      <c r="K907">
        <v>5.8170831999761177E-39</v>
      </c>
      <c r="L907">
        <v>6.1829374892827912E-39</v>
      </c>
      <c r="M907">
        <v>9.3110638764310666E-2</v>
      </c>
      <c r="N907">
        <v>8.2922958854659958E-39</v>
      </c>
      <c r="O907">
        <v>8.8138239285770646E-39</v>
      </c>
      <c r="P907">
        <v>3.2143563220947628E-2</v>
      </c>
      <c r="Q907">
        <v>1.50215462848142</v>
      </c>
      <c r="R907">
        <v>-28.184620595475959</v>
      </c>
      <c r="S907">
        <v>1.162508600287965</v>
      </c>
      <c r="T907">
        <v>0.8962403810873304</v>
      </c>
      <c r="U907">
        <v>4.3177108791877004</v>
      </c>
      <c r="V907">
        <v>0.14104184712444839</v>
      </c>
      <c r="W907">
        <v>-21.69875121385957</v>
      </c>
      <c r="X907">
        <v>1.181722809216323</v>
      </c>
      <c r="Z907" t="s">
        <v>392</v>
      </c>
      <c r="AA907">
        <v>9937</v>
      </c>
      <c r="AB907" t="s">
        <v>1298</v>
      </c>
      <c r="AC907" t="str">
        <f>HYPERLINK("plots/20251231000436_3FT6Y121H01_04823_B11P_N_UFLEX98_M5358A8BH101511/dpll_52094/txpa_55150.png","plot")</f>
        <v>plot</v>
      </c>
    </row>
    <row r="908" spans="1:29" hidden="1" x14ac:dyDescent="0.35">
      <c r="A908" t="s">
        <v>46</v>
      </c>
      <c r="B908">
        <v>52094</v>
      </c>
      <c r="C908" t="s">
        <v>53</v>
      </c>
      <c r="D908">
        <v>55151</v>
      </c>
      <c r="E908" t="s">
        <v>284</v>
      </c>
      <c r="F908">
        <v>8716</v>
      </c>
      <c r="G908">
        <v>0.1330001122924096</v>
      </c>
      <c r="H908">
        <v>1.08170783506584E-35</v>
      </c>
      <c r="I908">
        <v>1.0990498444456531E-35</v>
      </c>
      <c r="J908">
        <v>0.1124926734984764</v>
      </c>
      <c r="K908">
        <v>6.0087910901610781E-26</v>
      </c>
      <c r="L908">
        <v>6.0868273380852478E-26</v>
      </c>
      <c r="M908">
        <v>7.4572126433772132E-2</v>
      </c>
      <c r="N908">
        <v>1.706618339527993E-25</v>
      </c>
      <c r="O908">
        <v>1.7287822140673169E-25</v>
      </c>
      <c r="P908">
        <v>1.7689029869793559E-2</v>
      </c>
      <c r="Q908">
        <v>1.164826440644676</v>
      </c>
      <c r="R908">
        <v>-26.857399737082851</v>
      </c>
      <c r="S908">
        <v>1.224212420914867</v>
      </c>
      <c r="T908">
        <v>0.94891048027275093</v>
      </c>
      <c r="U908">
        <v>4.3177108791877004</v>
      </c>
      <c r="V908">
        <v>0.14104184712444839</v>
      </c>
      <c r="W908">
        <v>-21.82801594194585</v>
      </c>
      <c r="X908">
        <v>1.235256647052454</v>
      </c>
      <c r="Z908" t="s">
        <v>392</v>
      </c>
      <c r="AA908">
        <v>9937</v>
      </c>
      <c r="AB908" t="s">
        <v>1299</v>
      </c>
      <c r="AC908" t="str">
        <f>HYPERLINK("plots/20251231000436_3FT6Y121H01_04823_B11P_N_UFLEX98_M5358A8BH101511/dpll_52094/txpa_55151.png","plot")</f>
        <v>plot</v>
      </c>
    </row>
    <row r="909" spans="1:29" hidden="1" x14ac:dyDescent="0.35">
      <c r="A909" t="s">
        <v>46</v>
      </c>
      <c r="B909">
        <v>52094</v>
      </c>
      <c r="C909" t="s">
        <v>53</v>
      </c>
      <c r="D909">
        <v>55152</v>
      </c>
      <c r="E909" t="s">
        <v>285</v>
      </c>
      <c r="F909">
        <v>8716</v>
      </c>
      <c r="G909">
        <v>0.17889292219627381</v>
      </c>
      <c r="H909">
        <v>1.3534089205516699E-63</v>
      </c>
      <c r="I909">
        <v>1.4191899125536641E-63</v>
      </c>
      <c r="J909">
        <v>0.14282261459354281</v>
      </c>
      <c r="K909">
        <v>5.9905304610569112E-41</v>
      </c>
      <c r="L909">
        <v>6.4008407666087546E-41</v>
      </c>
      <c r="M909">
        <v>9.5636641770512884E-2</v>
      </c>
      <c r="N909">
        <v>7.5745441109524009E-41</v>
      </c>
      <c r="O909">
        <v>8.0933485021135243E-41</v>
      </c>
      <c r="P909">
        <v>3.2002677611922048E-2</v>
      </c>
      <c r="Q909">
        <v>1.4167136760361809</v>
      </c>
      <c r="R909">
        <v>-27.653332711192238</v>
      </c>
      <c r="S909">
        <v>1.0988769859699601</v>
      </c>
      <c r="T909">
        <v>0.85250080518122828</v>
      </c>
      <c r="U909">
        <v>4.3177108791877004</v>
      </c>
      <c r="V909">
        <v>0.14104184712444839</v>
      </c>
      <c r="W909">
        <v>-21.536372659476822</v>
      </c>
      <c r="X909">
        <v>1.1169581851616279</v>
      </c>
      <c r="Z909" t="s">
        <v>392</v>
      </c>
      <c r="AA909">
        <v>9937</v>
      </c>
      <c r="AB909" t="s">
        <v>1300</v>
      </c>
      <c r="AC909" t="str">
        <f>HYPERLINK("plots/20251231000436_3FT6Y121H01_04823_B11P_N_UFLEX98_M5358A8BH101511/dpll_52094/txpa_55152.png","plot")</f>
        <v>plot</v>
      </c>
    </row>
    <row r="910" spans="1:29" hidden="1" x14ac:dyDescent="0.35">
      <c r="A910" t="s">
        <v>46</v>
      </c>
      <c r="B910">
        <v>52094</v>
      </c>
      <c r="C910" t="s">
        <v>53</v>
      </c>
      <c r="D910">
        <v>55153</v>
      </c>
      <c r="E910" t="s">
        <v>286</v>
      </c>
      <c r="F910">
        <v>8716</v>
      </c>
      <c r="G910">
        <v>0.13021628448699621</v>
      </c>
      <c r="H910">
        <v>2.8454030122005341E-34</v>
      </c>
      <c r="I910">
        <v>2.8852386543713412E-34</v>
      </c>
      <c r="J910">
        <v>0.11871712623761919</v>
      </c>
      <c r="K910">
        <v>9.900812663366802E-29</v>
      </c>
      <c r="L910">
        <v>1.010002418576855E-28</v>
      </c>
      <c r="M910">
        <v>7.9140554327572457E-2</v>
      </c>
      <c r="N910">
        <v>1.663477102462587E-28</v>
      </c>
      <c r="O910">
        <v>1.698656376532793E-28</v>
      </c>
      <c r="P910">
        <v>1.695628074559832E-2</v>
      </c>
      <c r="Q910">
        <v>1.113167473309165</v>
      </c>
      <c r="R910">
        <v>-26.65655768824945</v>
      </c>
      <c r="S910">
        <v>1.1953764533489131</v>
      </c>
      <c r="T910">
        <v>0.92755970891429029</v>
      </c>
      <c r="U910">
        <v>4.3177108791877004</v>
      </c>
      <c r="V910">
        <v>0.14104184712444839</v>
      </c>
      <c r="W910">
        <v>-21.850222378384579</v>
      </c>
      <c r="X910">
        <v>1.2057109232759491</v>
      </c>
      <c r="Z910" t="s">
        <v>392</v>
      </c>
      <c r="AA910">
        <v>9937</v>
      </c>
      <c r="AB910" t="s">
        <v>1301</v>
      </c>
      <c r="AC910" t="str">
        <f>HYPERLINK("plots/20251231000436_3FT6Y121H01_04823_B11P_N_UFLEX98_M5358A8BH101511/dpll_52094/txpa_55153.png","plot")</f>
        <v>plot</v>
      </c>
    </row>
    <row r="911" spans="1:29" hidden="1" x14ac:dyDescent="0.35">
      <c r="A911" t="s">
        <v>46</v>
      </c>
      <c r="B911">
        <v>52094</v>
      </c>
      <c r="C911" t="s">
        <v>53</v>
      </c>
      <c r="D911">
        <v>55154</v>
      </c>
      <c r="E911" t="s">
        <v>287</v>
      </c>
      <c r="F911">
        <v>8716</v>
      </c>
      <c r="G911">
        <v>0.19922468228054749</v>
      </c>
      <c r="H911">
        <v>9.932023944772071E-79</v>
      </c>
      <c r="I911">
        <v>1.07025210201901E-78</v>
      </c>
      <c r="J911">
        <v>0.14404143110978709</v>
      </c>
      <c r="K911">
        <v>1.2540998018991721E-41</v>
      </c>
      <c r="L911">
        <v>1.3428270318117849E-41</v>
      </c>
      <c r="M911">
        <v>9.7126470479837718E-2</v>
      </c>
      <c r="N911">
        <v>4.4734049354969603E-42</v>
      </c>
      <c r="O911">
        <v>4.7898971537422557E-42</v>
      </c>
      <c r="P911">
        <v>3.9690474029785122E-2</v>
      </c>
      <c r="Q911">
        <v>1.6625646057445229</v>
      </c>
      <c r="R911">
        <v>-28.708901531330469</v>
      </c>
      <c r="S911">
        <v>1.153357855871032</v>
      </c>
      <c r="T911">
        <v>0.88898587804177942</v>
      </c>
      <c r="U911">
        <v>4.3177108791877004</v>
      </c>
      <c r="V911">
        <v>0.14104184712444839</v>
      </c>
      <c r="W911">
        <v>-21.53042824575493</v>
      </c>
      <c r="X911">
        <v>1.177018732185644</v>
      </c>
      <c r="Z911" t="s">
        <v>392</v>
      </c>
      <c r="AA911">
        <v>9937</v>
      </c>
      <c r="AB911" t="s">
        <v>1302</v>
      </c>
      <c r="AC911" t="str">
        <f>HYPERLINK("plots/20251231000436_3FT6Y121H01_04823_B11P_N_UFLEX98_M5358A8BH101511/dpll_52094/txpa_55154.png","plot")</f>
        <v>plot</v>
      </c>
    </row>
    <row r="912" spans="1:29" hidden="1" x14ac:dyDescent="0.35">
      <c r="A912" t="s">
        <v>46</v>
      </c>
      <c r="B912">
        <v>52094</v>
      </c>
      <c r="C912" t="s">
        <v>53</v>
      </c>
      <c r="D912">
        <v>55155</v>
      </c>
      <c r="E912" t="s">
        <v>288</v>
      </c>
      <c r="F912">
        <v>8716</v>
      </c>
      <c r="G912">
        <v>0.34471838258690501</v>
      </c>
      <c r="H912">
        <v>1.041051220713963E-241</v>
      </c>
      <c r="I912">
        <v>1.255203255414933E-241</v>
      </c>
      <c r="J912">
        <v>0.21046473482445921</v>
      </c>
      <c r="K912">
        <v>7.5477896643765684E-88</v>
      </c>
      <c r="L912">
        <v>8.4944047943150274E-88</v>
      </c>
      <c r="M912">
        <v>0.14161048540583041</v>
      </c>
      <c r="N912">
        <v>1.808448972525044E-87</v>
      </c>
      <c r="O912">
        <v>2.0307500090148331E-87</v>
      </c>
      <c r="P912">
        <v>0.1188307632933318</v>
      </c>
      <c r="Q912">
        <v>1.004314775355861</v>
      </c>
      <c r="R912">
        <v>-12.44553268379401</v>
      </c>
      <c r="S912">
        <v>0.38570755345687852</v>
      </c>
      <c r="T912">
        <v>0.30639800352759877</v>
      </c>
      <c r="U912">
        <v>4.3177108791877004</v>
      </c>
      <c r="V912">
        <v>0.14104184712444839</v>
      </c>
      <c r="W912">
        <v>-8.10919185211106</v>
      </c>
      <c r="X912">
        <v>0.410916325226304</v>
      </c>
      <c r="Z912" t="s">
        <v>392</v>
      </c>
      <c r="AA912">
        <v>9937</v>
      </c>
      <c r="AB912" t="s">
        <v>1303</v>
      </c>
      <c r="AC912" t="str">
        <f>HYPERLINK("plots/20251231000436_3FT6Y121H01_04823_B11P_N_UFLEX98_M5358A8BH101511/dpll_52094/txpa_55155.png","plot")</f>
        <v>plot</v>
      </c>
    </row>
    <row r="913" spans="1:29" hidden="1" x14ac:dyDescent="0.35">
      <c r="A913" t="s">
        <v>46</v>
      </c>
      <c r="B913">
        <v>52094</v>
      </c>
      <c r="C913" t="s">
        <v>53</v>
      </c>
      <c r="D913">
        <v>55156</v>
      </c>
      <c r="E913" t="s">
        <v>289</v>
      </c>
      <c r="F913">
        <v>8716</v>
      </c>
      <c r="G913">
        <v>0.3580467408584545</v>
      </c>
      <c r="H913">
        <v>6.0160934889438388E-262</v>
      </c>
      <c r="I913">
        <v>7.4394131680354298E-262</v>
      </c>
      <c r="J913">
        <v>0.27380319311055928</v>
      </c>
      <c r="K913">
        <v>1.0923730603257519E-149</v>
      </c>
      <c r="L913">
        <v>1.4003366411761219E-149</v>
      </c>
      <c r="M913">
        <v>0.18454644309769641</v>
      </c>
      <c r="N913">
        <v>3.5420835622684551E-147</v>
      </c>
      <c r="O913">
        <v>4.5292216042121229E-147</v>
      </c>
      <c r="P913">
        <v>0.12819746863936129</v>
      </c>
      <c r="Q913">
        <v>0.86709990370781476</v>
      </c>
      <c r="R913">
        <v>-12.394639230376701</v>
      </c>
      <c r="S913">
        <v>0.31890516111863898</v>
      </c>
      <c r="T913">
        <v>0.25567682939558978</v>
      </c>
      <c r="U913">
        <v>4.3177108791877004</v>
      </c>
      <c r="V913">
        <v>0.14104184712444839</v>
      </c>
      <c r="W913">
        <v>-8.6507525427948586</v>
      </c>
      <c r="X913">
        <v>0.34156817561629188</v>
      </c>
      <c r="Z913" t="s">
        <v>392</v>
      </c>
      <c r="AA913">
        <v>9937</v>
      </c>
      <c r="AB913" t="s">
        <v>1304</v>
      </c>
      <c r="AC913" t="str">
        <f>HYPERLINK("plots/20251231000436_3FT6Y121H01_04823_B11P_N_UFLEX98_M5358A8BH101511/dpll_52094/txpa_55156.png","plot")</f>
        <v>plot</v>
      </c>
    </row>
    <row r="914" spans="1:29" hidden="1" x14ac:dyDescent="0.35">
      <c r="A914" t="s">
        <v>46</v>
      </c>
      <c r="B914">
        <v>52094</v>
      </c>
      <c r="C914" t="s">
        <v>53</v>
      </c>
      <c r="D914">
        <v>55157</v>
      </c>
      <c r="E914" t="s">
        <v>290</v>
      </c>
      <c r="F914">
        <v>8716</v>
      </c>
      <c r="G914">
        <v>0.20177697389161581</v>
      </c>
      <c r="H914">
        <v>9.4142240223328257E-81</v>
      </c>
      <c r="I914">
        <v>1.0176996970837401E-80</v>
      </c>
      <c r="J914">
        <v>0.16767888371450509</v>
      </c>
      <c r="K914">
        <v>5.5120350279150906E-56</v>
      </c>
      <c r="L914">
        <v>5.9713712802413476E-56</v>
      </c>
      <c r="M914">
        <v>0.1109765934557075</v>
      </c>
      <c r="N914">
        <v>1.959561426762124E-54</v>
      </c>
      <c r="O914">
        <v>2.1228582123256341E-54</v>
      </c>
      <c r="P914">
        <v>4.0713947192857793E-2</v>
      </c>
      <c r="Q914">
        <v>0.69768363507972697</v>
      </c>
      <c r="R914">
        <v>-11.42400515372336</v>
      </c>
      <c r="S914">
        <v>0.47762172058488689</v>
      </c>
      <c r="T914">
        <v>0.37643253283472022</v>
      </c>
      <c r="U914">
        <v>4.3177108791877004</v>
      </c>
      <c r="V914">
        <v>0.14104184712444839</v>
      </c>
      <c r="W914">
        <v>-8.4116089323083987</v>
      </c>
      <c r="X914">
        <v>0.48767997012880709</v>
      </c>
      <c r="Z914" t="s">
        <v>392</v>
      </c>
      <c r="AA914">
        <v>9937</v>
      </c>
      <c r="AB914" t="s">
        <v>1305</v>
      </c>
      <c r="AC914" t="str">
        <f>HYPERLINK("plots/20251231000436_3FT6Y121H01_04823_B11P_N_UFLEX98_M5358A8BH101511/dpll_52094/txpa_55157.png","plot")</f>
        <v>plot</v>
      </c>
    </row>
    <row r="915" spans="1:29" hidden="1" x14ac:dyDescent="0.35">
      <c r="A915" t="s">
        <v>46</v>
      </c>
      <c r="B915">
        <v>52094</v>
      </c>
      <c r="C915" t="s">
        <v>53</v>
      </c>
      <c r="D915">
        <v>55158</v>
      </c>
      <c r="E915" t="s">
        <v>291</v>
      </c>
      <c r="F915">
        <v>8716</v>
      </c>
      <c r="G915">
        <v>0.31969994415265268</v>
      </c>
      <c r="H915">
        <v>2.5893220089427792E-206</v>
      </c>
      <c r="I915">
        <v>3.0006543052205459E-206</v>
      </c>
      <c r="J915">
        <v>0.25253937454922398</v>
      </c>
      <c r="K915">
        <v>6.7630883569445927E-127</v>
      </c>
      <c r="L915">
        <v>8.1737444504670051E-127</v>
      </c>
      <c r="M915">
        <v>0.1701242466443153</v>
      </c>
      <c r="N915">
        <v>2.2259306305817129E-125</v>
      </c>
      <c r="O915">
        <v>2.6870162612022099E-125</v>
      </c>
      <c r="P915">
        <v>0.1022080542912093</v>
      </c>
      <c r="Q915">
        <v>0.95269008997390847</v>
      </c>
      <c r="R915">
        <v>-12.51349452579567</v>
      </c>
      <c r="S915">
        <v>0.39821719747667922</v>
      </c>
      <c r="T915">
        <v>0.32038103174244448</v>
      </c>
      <c r="U915">
        <v>4.3177108791877004</v>
      </c>
      <c r="V915">
        <v>0.14104184712444839</v>
      </c>
      <c r="W915">
        <v>-8.4000541598210194</v>
      </c>
      <c r="X915">
        <v>0.42029775883513287</v>
      </c>
      <c r="Z915" t="s">
        <v>392</v>
      </c>
      <c r="AA915">
        <v>9937</v>
      </c>
      <c r="AB915" t="s">
        <v>1306</v>
      </c>
      <c r="AC915" t="str">
        <f>HYPERLINK("plots/20251231000436_3FT6Y121H01_04823_B11P_N_UFLEX98_M5358A8BH101511/dpll_52094/txpa_55158.png","plot")</f>
        <v>plot</v>
      </c>
    </row>
    <row r="916" spans="1:29" hidden="1" x14ac:dyDescent="0.35">
      <c r="A916" t="s">
        <v>46</v>
      </c>
      <c r="B916">
        <v>52094</v>
      </c>
      <c r="C916" t="s">
        <v>53</v>
      </c>
      <c r="D916">
        <v>55159</v>
      </c>
      <c r="E916" t="s">
        <v>292</v>
      </c>
      <c r="F916">
        <v>8716</v>
      </c>
      <c r="G916">
        <v>0.2192427814761625</v>
      </c>
      <c r="H916">
        <v>2.3830386313248659E-95</v>
      </c>
      <c r="I916">
        <v>2.6151527837266381E-95</v>
      </c>
      <c r="J916">
        <v>0.18539070529197971</v>
      </c>
      <c r="K916">
        <v>3.0432697944658081E-68</v>
      </c>
      <c r="L916">
        <v>3.3288841117457711E-68</v>
      </c>
      <c r="M916">
        <v>0.122308130402349</v>
      </c>
      <c r="N916">
        <v>1.0004902682882099E-65</v>
      </c>
      <c r="O916">
        <v>1.094387413208463E-65</v>
      </c>
      <c r="P916">
        <v>4.8067397229404348E-2</v>
      </c>
      <c r="Q916">
        <v>0.74053468303917513</v>
      </c>
      <c r="R916">
        <v>-11.725107379953229</v>
      </c>
      <c r="S916">
        <v>0.46477875994046031</v>
      </c>
      <c r="T916">
        <v>0.35681520750267309</v>
      </c>
      <c r="U916">
        <v>4.3177108791877004</v>
      </c>
      <c r="V916">
        <v>0.14104184712444839</v>
      </c>
      <c r="W916">
        <v>-8.5276927225791628</v>
      </c>
      <c r="X916">
        <v>0.47639597916212062</v>
      </c>
      <c r="Z916" t="s">
        <v>392</v>
      </c>
      <c r="AA916">
        <v>9937</v>
      </c>
      <c r="AB916" t="s">
        <v>1307</v>
      </c>
      <c r="AC916" t="str">
        <f>HYPERLINK("plots/20251231000436_3FT6Y121H01_04823_B11P_N_UFLEX98_M5358A8BH101511/dpll_52094/txpa_55159.png","plot")</f>
        <v>plot</v>
      </c>
    </row>
    <row r="917" spans="1:29" hidden="1" x14ac:dyDescent="0.35">
      <c r="A917" t="s">
        <v>46</v>
      </c>
      <c r="B917">
        <v>52094</v>
      </c>
      <c r="C917" t="s">
        <v>53</v>
      </c>
      <c r="D917">
        <v>55160</v>
      </c>
      <c r="E917" t="s">
        <v>293</v>
      </c>
      <c r="F917">
        <v>8716</v>
      </c>
      <c r="G917">
        <v>0.34010570233309162</v>
      </c>
      <c r="H917">
        <v>6.2307789344791538E-235</v>
      </c>
      <c r="I917">
        <v>7.3981379854354359E-235</v>
      </c>
      <c r="J917">
        <v>0.2685248826494066</v>
      </c>
      <c r="K917">
        <v>7.8229068963036681E-144</v>
      </c>
      <c r="L917">
        <v>9.8908074723839394E-144</v>
      </c>
      <c r="M917">
        <v>0.18005518064056089</v>
      </c>
      <c r="N917">
        <v>3.357983140738938E-140</v>
      </c>
      <c r="O917">
        <v>4.1933434787060129E-140</v>
      </c>
      <c r="P917">
        <v>0.1156718887594855</v>
      </c>
      <c r="Q917">
        <v>0.84593224905556075</v>
      </c>
      <c r="R917">
        <v>-11.96386362675335</v>
      </c>
      <c r="S917">
        <v>0.32987655875896349</v>
      </c>
      <c r="T917">
        <v>0.26531729355512262</v>
      </c>
      <c r="U917">
        <v>4.3177108791877004</v>
      </c>
      <c r="V917">
        <v>0.14104184712444839</v>
      </c>
      <c r="W917">
        <v>-8.3113727519504366</v>
      </c>
      <c r="X917">
        <v>0.35080813444310899</v>
      </c>
      <c r="Z917" t="s">
        <v>392</v>
      </c>
      <c r="AA917">
        <v>9937</v>
      </c>
      <c r="AB917" t="s">
        <v>1308</v>
      </c>
      <c r="AC917" t="str">
        <f>HYPERLINK("plots/20251231000436_3FT6Y121H01_04823_B11P_N_UFLEX98_M5358A8BH101511/dpll_52094/txpa_55160.png","plot")</f>
        <v>plot</v>
      </c>
    </row>
    <row r="918" spans="1:29" hidden="1" x14ac:dyDescent="0.35">
      <c r="A918" t="s">
        <v>46</v>
      </c>
      <c r="B918">
        <v>52094</v>
      </c>
      <c r="C918" t="s">
        <v>53</v>
      </c>
      <c r="D918">
        <v>55161</v>
      </c>
      <c r="E918" t="s">
        <v>294</v>
      </c>
      <c r="F918">
        <v>8716</v>
      </c>
      <c r="G918">
        <v>0.24664869826438129</v>
      </c>
      <c r="H918">
        <v>5.9464812994067079E-121</v>
      </c>
      <c r="I918">
        <v>6.6479956313102553E-121</v>
      </c>
      <c r="J918">
        <v>0.20391653510110491</v>
      </c>
      <c r="K918">
        <v>1.804202414256828E-82</v>
      </c>
      <c r="L918">
        <v>2.0059882105881841E-82</v>
      </c>
      <c r="M918">
        <v>0.13501275366651991</v>
      </c>
      <c r="N918">
        <v>1.113482241947499E-79</v>
      </c>
      <c r="O918">
        <v>1.235307432532565E-79</v>
      </c>
      <c r="P918">
        <v>6.0835580355513813E-2</v>
      </c>
      <c r="Q918">
        <v>0.67964597600789023</v>
      </c>
      <c r="R918">
        <v>-11.46779303158109</v>
      </c>
      <c r="S918">
        <v>0.37661517017050927</v>
      </c>
      <c r="T918">
        <v>0.29683949813760219</v>
      </c>
      <c r="U918">
        <v>4.3177108791877004</v>
      </c>
      <c r="V918">
        <v>0.14104184712444839</v>
      </c>
      <c r="W918">
        <v>-8.5332782069756767</v>
      </c>
      <c r="X918">
        <v>0.38864394793643381</v>
      </c>
      <c r="Z918" t="s">
        <v>392</v>
      </c>
      <c r="AA918">
        <v>9937</v>
      </c>
      <c r="AB918" t="s">
        <v>1309</v>
      </c>
      <c r="AC918" t="str">
        <f>HYPERLINK("plots/20251231000436_3FT6Y121H01_04823_B11P_N_UFLEX98_M5358A8BH101511/dpll_52094/txpa_55161.png","plot")</f>
        <v>plot</v>
      </c>
    </row>
    <row r="919" spans="1:29" hidden="1" x14ac:dyDescent="0.35">
      <c r="A919" t="s">
        <v>46</v>
      </c>
      <c r="B919">
        <v>52094</v>
      </c>
      <c r="C919" t="s">
        <v>53</v>
      </c>
      <c r="D919">
        <v>55162</v>
      </c>
      <c r="E919" t="s">
        <v>295</v>
      </c>
      <c r="F919">
        <v>8716</v>
      </c>
      <c r="G919">
        <v>0.30964719986221961</v>
      </c>
      <c r="H919">
        <v>5.1831293783675142E-193</v>
      </c>
      <c r="I919">
        <v>5.965599534239113E-193</v>
      </c>
      <c r="J919">
        <v>0.20853499378605039</v>
      </c>
      <c r="K919">
        <v>3.0339665067958681E-86</v>
      </c>
      <c r="L919">
        <v>3.3956313884006738E-86</v>
      </c>
      <c r="M919">
        <v>0.14022117115079991</v>
      </c>
      <c r="N919">
        <v>8.4407892205971783E-86</v>
      </c>
      <c r="O919">
        <v>9.4365603855408365E-86</v>
      </c>
      <c r="P919">
        <v>9.588138838251338E-2</v>
      </c>
      <c r="Q919">
        <v>0.99685152547181166</v>
      </c>
      <c r="R919">
        <v>-12.4286563544131</v>
      </c>
      <c r="S919">
        <v>0.43171694721974468</v>
      </c>
      <c r="T919">
        <v>0.34696928707168018</v>
      </c>
      <c r="U919">
        <v>4.3177108791877004</v>
      </c>
      <c r="V919">
        <v>0.14104184712444839</v>
      </c>
      <c r="W919">
        <v>-8.124539677948599</v>
      </c>
      <c r="X919">
        <v>0.45405797476589088</v>
      </c>
      <c r="Z919" t="s">
        <v>392</v>
      </c>
      <c r="AA919">
        <v>9937</v>
      </c>
      <c r="AB919" t="s">
        <v>1310</v>
      </c>
      <c r="AC919" t="str">
        <f>HYPERLINK("plots/20251231000436_3FT6Y121H01_04823_B11P_N_UFLEX98_M5358A8BH101511/dpll_52094/txpa_55162.png","plot")</f>
        <v>plot</v>
      </c>
    </row>
    <row r="920" spans="1:29" hidden="1" x14ac:dyDescent="0.35">
      <c r="A920" t="s">
        <v>46</v>
      </c>
      <c r="B920">
        <v>52094</v>
      </c>
      <c r="C920" t="s">
        <v>53</v>
      </c>
      <c r="D920">
        <v>55163</v>
      </c>
      <c r="E920" t="s">
        <v>296</v>
      </c>
      <c r="F920">
        <v>8716</v>
      </c>
      <c r="G920">
        <v>0.3527090081438467</v>
      </c>
      <c r="H920">
        <v>1.005406796250445E-253</v>
      </c>
      <c r="I920">
        <v>1.22533953293023E-253</v>
      </c>
      <c r="J920">
        <v>0.2188515246247168</v>
      </c>
      <c r="K920">
        <v>5.2310707334948331E-95</v>
      </c>
      <c r="L920">
        <v>5.9800515487753779E-95</v>
      </c>
      <c r="M920">
        <v>0.14721528098941961</v>
      </c>
      <c r="N920">
        <v>2.1855593327709311E-94</v>
      </c>
      <c r="O920">
        <v>2.5069651170019501E-94</v>
      </c>
      <c r="P920">
        <v>0.1244036444258161</v>
      </c>
      <c r="Q920">
        <v>0.91167444073726045</v>
      </c>
      <c r="R920">
        <v>-6.1222221320031984</v>
      </c>
      <c r="S920">
        <v>0.34111300101327241</v>
      </c>
      <c r="T920">
        <v>0.27099497279608548</v>
      </c>
      <c r="U920">
        <v>4.3177108791877004</v>
      </c>
      <c r="V920">
        <v>0.14104184712444839</v>
      </c>
      <c r="W920">
        <v>-2.1858754809545662</v>
      </c>
      <c r="X920">
        <v>0.36456184596592628</v>
      </c>
      <c r="Z920" t="s">
        <v>392</v>
      </c>
      <c r="AA920">
        <v>9937</v>
      </c>
      <c r="AB920" t="s">
        <v>1311</v>
      </c>
      <c r="AC920" t="str">
        <f>HYPERLINK("plots/20251231000436_3FT6Y121H01_04823_B11P_N_UFLEX98_M5358A8BH101511/dpll_52094/txpa_55163.png","plot")</f>
        <v>plot</v>
      </c>
    </row>
    <row r="921" spans="1:29" hidden="1" x14ac:dyDescent="0.35">
      <c r="A921" t="s">
        <v>46</v>
      </c>
      <c r="B921">
        <v>52094</v>
      </c>
      <c r="C921" t="s">
        <v>53</v>
      </c>
      <c r="D921">
        <v>55164</v>
      </c>
      <c r="E921" t="s">
        <v>297</v>
      </c>
      <c r="F921">
        <v>8716</v>
      </c>
      <c r="G921">
        <v>0.37834167181154332</v>
      </c>
      <c r="H921">
        <v>1.0879099083993439E-294</v>
      </c>
      <c r="I921">
        <v>1.41066578915209E-294</v>
      </c>
      <c r="J921">
        <v>0.28803144911186168</v>
      </c>
      <c r="K921">
        <v>3.9192026887809299E-166</v>
      </c>
      <c r="L921">
        <v>5.2428384253612972E-166</v>
      </c>
      <c r="M921">
        <v>0.1942175387215796</v>
      </c>
      <c r="N921">
        <v>8.1898825108170174E-163</v>
      </c>
      <c r="O921">
        <v>1.084143716183872E-162</v>
      </c>
      <c r="P921">
        <v>0.1431424206291535</v>
      </c>
      <c r="Q921">
        <v>0.80351404004383176</v>
      </c>
      <c r="R921">
        <v>-6.1507943889179746</v>
      </c>
      <c r="S921">
        <v>0.27725965876183839</v>
      </c>
      <c r="T921">
        <v>0.22258610782202229</v>
      </c>
      <c r="U921">
        <v>4.3177108791877004</v>
      </c>
      <c r="V921">
        <v>0.14104184712444839</v>
      </c>
      <c r="W921">
        <v>-2.6814530766406608</v>
      </c>
      <c r="X921">
        <v>0.29954169165552741</v>
      </c>
      <c r="Z921" t="s">
        <v>392</v>
      </c>
      <c r="AA921">
        <v>9937</v>
      </c>
      <c r="AB921" t="s">
        <v>1312</v>
      </c>
      <c r="AC921" t="str">
        <f>HYPERLINK("plots/20251231000436_3FT6Y121H01_04823_B11P_N_UFLEX98_M5358A8BH101511/dpll_52094/txpa_55164.png","plot")</f>
        <v>plot</v>
      </c>
    </row>
    <row r="922" spans="1:29" hidden="1" x14ac:dyDescent="0.35">
      <c r="A922" t="s">
        <v>46</v>
      </c>
      <c r="B922">
        <v>52094</v>
      </c>
      <c r="C922" t="s">
        <v>53</v>
      </c>
      <c r="D922">
        <v>55165</v>
      </c>
      <c r="E922" t="s">
        <v>298</v>
      </c>
      <c r="F922">
        <v>8716</v>
      </c>
      <c r="G922">
        <v>0.2174127363739414</v>
      </c>
      <c r="H922">
        <v>9.3006148262441916E-94</v>
      </c>
      <c r="I922">
        <v>1.015158604285426E-93</v>
      </c>
      <c r="J922">
        <v>0.18048689776978569</v>
      </c>
      <c r="K922">
        <v>1.0173983944744609E-64</v>
      </c>
      <c r="L922">
        <v>1.1092924430076381E-64</v>
      </c>
      <c r="M922">
        <v>0.1197836207276391</v>
      </c>
      <c r="N922">
        <v>4.0100695059922601E-63</v>
      </c>
      <c r="O922">
        <v>4.3722693323399482E-63</v>
      </c>
      <c r="P922">
        <v>4.7268297937604932E-2</v>
      </c>
      <c r="Q922">
        <v>0.6585475681835935</v>
      </c>
      <c r="R922">
        <v>-5.3232470759053712</v>
      </c>
      <c r="S922">
        <v>0.41697550989753229</v>
      </c>
      <c r="T922">
        <v>0.32805376882253218</v>
      </c>
      <c r="U922">
        <v>4.3177108791877004</v>
      </c>
      <c r="V922">
        <v>0.14104184712444839</v>
      </c>
      <c r="W922">
        <v>-2.4798290762964661</v>
      </c>
      <c r="X922">
        <v>0.42721860266812062</v>
      </c>
      <c r="Z922" t="s">
        <v>392</v>
      </c>
      <c r="AA922">
        <v>9937</v>
      </c>
      <c r="AB922" t="s">
        <v>1313</v>
      </c>
      <c r="AC922" t="str">
        <f>HYPERLINK("plots/20251231000436_3FT6Y121H01_04823_B11P_N_UFLEX98_M5358A8BH101511/dpll_52094/txpa_55165.png","plot")</f>
        <v>plot</v>
      </c>
    </row>
    <row r="923" spans="1:29" hidden="1" x14ac:dyDescent="0.35">
      <c r="A923" t="s">
        <v>46</v>
      </c>
      <c r="B923">
        <v>52094</v>
      </c>
      <c r="C923" t="s">
        <v>53</v>
      </c>
      <c r="D923">
        <v>55166</v>
      </c>
      <c r="E923" t="s">
        <v>299</v>
      </c>
      <c r="F923">
        <v>8716</v>
      </c>
      <c r="G923">
        <v>0.3345857938591954</v>
      </c>
      <c r="H923">
        <v>5.6721767227904194E-227</v>
      </c>
      <c r="I923">
        <v>6.6801245027984734E-227</v>
      </c>
      <c r="J923">
        <v>0.26725931685301751</v>
      </c>
      <c r="K923">
        <v>1.8952739412693041E-142</v>
      </c>
      <c r="L923">
        <v>2.378474970850339E-142</v>
      </c>
      <c r="M923">
        <v>0.18029834923788041</v>
      </c>
      <c r="N923">
        <v>1.356595480395917E-140</v>
      </c>
      <c r="O923">
        <v>1.6982565643474809E-140</v>
      </c>
      <c r="P923">
        <v>0.111947653452388</v>
      </c>
      <c r="Q923">
        <v>0.87570967382527309</v>
      </c>
      <c r="R923">
        <v>-6.2496420265526638</v>
      </c>
      <c r="S923">
        <v>0.3478524006758727</v>
      </c>
      <c r="T923">
        <v>0.27917192588246609</v>
      </c>
      <c r="U923">
        <v>4.3177108791877004</v>
      </c>
      <c r="V923">
        <v>0.14104184712444839</v>
      </c>
      <c r="W923">
        <v>-2.4685808408673702</v>
      </c>
      <c r="X923">
        <v>0.3691480995545271</v>
      </c>
      <c r="Z923" t="s">
        <v>392</v>
      </c>
      <c r="AA923">
        <v>9937</v>
      </c>
      <c r="AB923" t="s">
        <v>1314</v>
      </c>
      <c r="AC923" t="str">
        <f>HYPERLINK("plots/20251231000436_3FT6Y121H01_04823_B11P_N_UFLEX98_M5358A8BH101511/dpll_52094/txpa_55166.png","plot")</f>
        <v>plot</v>
      </c>
    </row>
    <row r="924" spans="1:29" hidden="1" x14ac:dyDescent="0.35">
      <c r="A924" t="s">
        <v>46</v>
      </c>
      <c r="B924">
        <v>52094</v>
      </c>
      <c r="C924" t="s">
        <v>53</v>
      </c>
      <c r="D924">
        <v>55167</v>
      </c>
      <c r="E924" t="s">
        <v>300</v>
      </c>
      <c r="F924">
        <v>8716</v>
      </c>
      <c r="G924">
        <v>0.2323366793301862</v>
      </c>
      <c r="H924">
        <v>3.6463010334177649E-107</v>
      </c>
      <c r="I924">
        <v>4.0232309552618222E-107</v>
      </c>
      <c r="J924">
        <v>0.19539360792703259</v>
      </c>
      <c r="K924">
        <v>9.5939243959223628E-76</v>
      </c>
      <c r="L924">
        <v>1.057417319289704E-75</v>
      </c>
      <c r="M924">
        <v>0.1293626641236493</v>
      </c>
      <c r="N924">
        <v>2.5810859294076769E-73</v>
      </c>
      <c r="O924">
        <v>2.8417167561556829E-73</v>
      </c>
      <c r="P924">
        <v>5.3980332562177782E-2</v>
      </c>
      <c r="Q924">
        <v>0.6908691358687008</v>
      </c>
      <c r="R924">
        <v>-5.5628292679040419</v>
      </c>
      <c r="S924">
        <v>0.40789761685327341</v>
      </c>
      <c r="T924">
        <v>0.31188321327868629</v>
      </c>
      <c r="U924">
        <v>4.3177108791877004</v>
      </c>
      <c r="V924">
        <v>0.14104184712444839</v>
      </c>
      <c r="W924">
        <v>-2.579856083868747</v>
      </c>
      <c r="X924">
        <v>0.4193976574215979</v>
      </c>
      <c r="Z924" t="s">
        <v>392</v>
      </c>
      <c r="AA924">
        <v>9937</v>
      </c>
      <c r="AB924" t="s">
        <v>1315</v>
      </c>
      <c r="AC924" t="str">
        <f>HYPERLINK("plots/20251231000436_3FT6Y121H01_04823_B11P_N_UFLEX98_M5358A8BH101511/dpll_52094/txpa_55167.png","plot")</f>
        <v>plot</v>
      </c>
    </row>
    <row r="925" spans="1:29" hidden="1" x14ac:dyDescent="0.35">
      <c r="A925" t="s">
        <v>46</v>
      </c>
      <c r="B925">
        <v>52094</v>
      </c>
      <c r="C925" t="s">
        <v>53</v>
      </c>
      <c r="D925">
        <v>55168</v>
      </c>
      <c r="E925" t="s">
        <v>301</v>
      </c>
      <c r="F925">
        <v>8716</v>
      </c>
      <c r="G925">
        <v>0.36168751766614082</v>
      </c>
      <c r="H925">
        <v>1.1991752517273081E-267</v>
      </c>
      <c r="I925">
        <v>1.499338724107879E-267</v>
      </c>
      <c r="J925">
        <v>0.28599882446326941</v>
      </c>
      <c r="K925">
        <v>1.005290440543451E-163</v>
      </c>
      <c r="L925">
        <v>1.3307630635914619E-163</v>
      </c>
      <c r="M925">
        <v>0.19233139964431209</v>
      </c>
      <c r="N925">
        <v>1.047728208874642E-159</v>
      </c>
      <c r="O925">
        <v>1.374380858730772E-159</v>
      </c>
      <c r="P925">
        <v>0.1308178604354949</v>
      </c>
      <c r="Q925">
        <v>0.79207976864237528</v>
      </c>
      <c r="R925">
        <v>-5.8129289261057213</v>
      </c>
      <c r="S925">
        <v>0.28794786875484618</v>
      </c>
      <c r="T925">
        <v>0.23141593097926069</v>
      </c>
      <c r="U925">
        <v>4.3177108791877004</v>
      </c>
      <c r="V925">
        <v>0.14104184712444839</v>
      </c>
      <c r="W925">
        <v>-2.392957491854061</v>
      </c>
      <c r="X925">
        <v>0.3088754468500825</v>
      </c>
      <c r="Z925" t="s">
        <v>392</v>
      </c>
      <c r="AA925">
        <v>9937</v>
      </c>
      <c r="AB925" t="s">
        <v>1316</v>
      </c>
      <c r="AC925" t="str">
        <f>HYPERLINK("plots/20251231000436_3FT6Y121H01_04823_B11P_N_UFLEX98_M5358A8BH101511/dpll_52094/txpa_55168.png","plot")</f>
        <v>plot</v>
      </c>
    </row>
    <row r="926" spans="1:29" hidden="1" x14ac:dyDescent="0.35">
      <c r="A926" t="s">
        <v>46</v>
      </c>
      <c r="B926">
        <v>52094</v>
      </c>
      <c r="C926" t="s">
        <v>53</v>
      </c>
      <c r="D926">
        <v>55169</v>
      </c>
      <c r="E926" t="s">
        <v>302</v>
      </c>
      <c r="F926">
        <v>8716</v>
      </c>
      <c r="G926">
        <v>0.26799764760590239</v>
      </c>
      <c r="H926">
        <v>2.9579078150126601E-143</v>
      </c>
      <c r="I926">
        <v>3.3399983568183041E-143</v>
      </c>
      <c r="J926">
        <v>0.21906475835412581</v>
      </c>
      <c r="K926">
        <v>3.4086243427218192E-95</v>
      </c>
      <c r="L926">
        <v>3.9143205928877972E-95</v>
      </c>
      <c r="M926">
        <v>0.14574430796244961</v>
      </c>
      <c r="N926">
        <v>1.508247361619645E-92</v>
      </c>
      <c r="O926">
        <v>1.7126123456688911E-92</v>
      </c>
      <c r="P926">
        <v>7.1822739122297474E-2</v>
      </c>
      <c r="Q926">
        <v>0.64627645508111486</v>
      </c>
      <c r="R926">
        <v>-5.3715488811813223</v>
      </c>
      <c r="S926">
        <v>0.32766185558733057</v>
      </c>
      <c r="T926">
        <v>0.25740711357488189</v>
      </c>
      <c r="U926">
        <v>4.3177108791877004</v>
      </c>
      <c r="V926">
        <v>0.14104184712444839</v>
      </c>
      <c r="W926">
        <v>-2.5811140001147321</v>
      </c>
      <c r="X926">
        <v>0.34012248164104197</v>
      </c>
      <c r="Z926" t="s">
        <v>392</v>
      </c>
      <c r="AA926">
        <v>9937</v>
      </c>
      <c r="AB926" t="s">
        <v>1317</v>
      </c>
      <c r="AC926" t="str">
        <f>HYPERLINK("plots/20251231000436_3FT6Y121H01_04823_B11P_N_UFLEX98_M5358A8BH101511/dpll_52094/txpa_55169.png","plot")</f>
        <v>plot</v>
      </c>
    </row>
    <row r="927" spans="1:29" hidden="1" x14ac:dyDescent="0.35">
      <c r="A927" t="s">
        <v>46</v>
      </c>
      <c r="B927">
        <v>52094</v>
      </c>
      <c r="C927" t="s">
        <v>53</v>
      </c>
      <c r="D927">
        <v>55170</v>
      </c>
      <c r="E927" t="s">
        <v>303</v>
      </c>
      <c r="F927">
        <v>8716</v>
      </c>
      <c r="G927">
        <v>0.31985957122691938</v>
      </c>
      <c r="H927">
        <v>1.5768360783499999E-206</v>
      </c>
      <c r="I927">
        <v>1.8315140703859109E-206</v>
      </c>
      <c r="J927">
        <v>0.21879797895803249</v>
      </c>
      <c r="K927">
        <v>5.8246417485764683E-95</v>
      </c>
      <c r="L927">
        <v>6.6511111858744801E-95</v>
      </c>
      <c r="M927">
        <v>0.14746190236021189</v>
      </c>
      <c r="N927">
        <v>1.069107002867342E-94</v>
      </c>
      <c r="O927">
        <v>1.229109411459733E-94</v>
      </c>
      <c r="P927">
        <v>0.10231014530546879</v>
      </c>
      <c r="Q927">
        <v>0.91360317188615969</v>
      </c>
      <c r="R927">
        <v>-6.1329344339074794</v>
      </c>
      <c r="S927">
        <v>0.38166688322970288</v>
      </c>
      <c r="T927">
        <v>0.30626669508917259</v>
      </c>
      <c r="U927">
        <v>4.3177108791877004</v>
      </c>
      <c r="V927">
        <v>0.14104184712444839</v>
      </c>
      <c r="W927">
        <v>-2.188260079394218</v>
      </c>
      <c r="X927">
        <v>0.40285265939459342</v>
      </c>
      <c r="Z927" t="s">
        <v>392</v>
      </c>
      <c r="AA927">
        <v>9937</v>
      </c>
      <c r="AB927" t="s">
        <v>1318</v>
      </c>
      <c r="AC927" t="str">
        <f>HYPERLINK("plots/20251231000436_3FT6Y121H01_04823_B11P_N_UFLEX98_M5358A8BH101511/dpll_52094/txpa_55170.png","plot")</f>
        <v>plot</v>
      </c>
    </row>
    <row r="928" spans="1:29" hidden="1" x14ac:dyDescent="0.35">
      <c r="A928" t="s">
        <v>46</v>
      </c>
      <c r="B928">
        <v>52094</v>
      </c>
      <c r="C928" t="s">
        <v>53</v>
      </c>
      <c r="D928">
        <v>55171</v>
      </c>
      <c r="E928" t="s">
        <v>304</v>
      </c>
      <c r="F928">
        <v>8716</v>
      </c>
      <c r="G928">
        <v>0.37131829126096172</v>
      </c>
      <c r="H928">
        <v>4.3281568364745867E-283</v>
      </c>
      <c r="I928">
        <v>5.5413523133651904E-283</v>
      </c>
      <c r="J928">
        <v>0.23454880720714891</v>
      </c>
      <c r="K928">
        <v>3.0960398442617349E-109</v>
      </c>
      <c r="L928">
        <v>3.637757128715411E-109</v>
      </c>
      <c r="M928">
        <v>0.15812449768470241</v>
      </c>
      <c r="N928">
        <v>1.3431214400179361E-108</v>
      </c>
      <c r="O928">
        <v>1.574479930841835E-108</v>
      </c>
      <c r="P928">
        <v>0.13787727342496039</v>
      </c>
      <c r="Q928">
        <v>0.91765560278910852</v>
      </c>
      <c r="R928">
        <v>-3.3492616587028299</v>
      </c>
      <c r="S928">
        <v>0.32362420464795583</v>
      </c>
      <c r="T928">
        <v>0.25636600096473539</v>
      </c>
      <c r="U928">
        <v>4.3177108791877004</v>
      </c>
      <c r="V928">
        <v>0.14104184712444839</v>
      </c>
      <c r="W928">
        <v>0.61290992080725104</v>
      </c>
      <c r="X928">
        <v>0.34856306378538582</v>
      </c>
      <c r="Z928" t="s">
        <v>392</v>
      </c>
      <c r="AA928">
        <v>9937</v>
      </c>
      <c r="AB928" t="s">
        <v>1319</v>
      </c>
      <c r="AC928" t="str">
        <f>HYPERLINK("plots/20251231000436_3FT6Y121H01_04823_B11P_N_UFLEX98_M5358A8BH101511/dpll_52094/txpa_55171.png","plot")</f>
        <v>plot</v>
      </c>
    </row>
    <row r="929" spans="1:29" hidden="1" x14ac:dyDescent="0.35">
      <c r="A929" t="s">
        <v>46</v>
      </c>
      <c r="B929">
        <v>52094</v>
      </c>
      <c r="C929" t="s">
        <v>53</v>
      </c>
      <c r="D929">
        <v>55172</v>
      </c>
      <c r="E929" t="s">
        <v>305</v>
      </c>
      <c r="F929">
        <v>8716</v>
      </c>
      <c r="G929">
        <v>0.40046187910734321</v>
      </c>
      <c r="H929">
        <v>0</v>
      </c>
      <c r="I929">
        <v>0</v>
      </c>
      <c r="J929">
        <v>0.30419249338754822</v>
      </c>
      <c r="K929">
        <v>5.2120015312444179E-186</v>
      </c>
      <c r="L929">
        <v>7.4541178458135962E-186</v>
      </c>
      <c r="M929">
        <v>0.2054604727130516</v>
      </c>
      <c r="N929">
        <v>5.723151522345539E-182</v>
      </c>
      <c r="O929">
        <v>8.1278370359361016E-182</v>
      </c>
      <c r="P929">
        <v>0.1603697166181843</v>
      </c>
      <c r="Q929">
        <v>0.82153410849555142</v>
      </c>
      <c r="R929">
        <v>-3.398592828003395</v>
      </c>
      <c r="S929">
        <v>0.26511331321734971</v>
      </c>
      <c r="T929">
        <v>0.2119121101237682</v>
      </c>
      <c r="U929">
        <v>4.3177108791877004</v>
      </c>
      <c r="V929">
        <v>0.14104184712444839</v>
      </c>
      <c r="W929">
        <v>0.14855392987161539</v>
      </c>
      <c r="X929">
        <v>0.28934261707065162</v>
      </c>
      <c r="Z929" t="s">
        <v>392</v>
      </c>
      <c r="AA929">
        <v>9937</v>
      </c>
      <c r="AB929" t="s">
        <v>1320</v>
      </c>
      <c r="AC929" t="str">
        <f>HYPERLINK("plots/20251231000436_3FT6Y121H01_04823_B11P_N_UFLEX98_M5358A8BH101511/dpll_52094/txpa_55172.png","plot")</f>
        <v>plot</v>
      </c>
    </row>
    <row r="930" spans="1:29" hidden="1" x14ac:dyDescent="0.35">
      <c r="A930" t="s">
        <v>46</v>
      </c>
      <c r="B930">
        <v>52094</v>
      </c>
      <c r="C930" t="s">
        <v>53</v>
      </c>
      <c r="D930">
        <v>55173</v>
      </c>
      <c r="E930" t="s">
        <v>306</v>
      </c>
      <c r="F930">
        <v>8716</v>
      </c>
      <c r="G930">
        <v>0.24419656682260649</v>
      </c>
      <c r="H930">
        <v>1.5924601506475141E-118</v>
      </c>
      <c r="I930">
        <v>1.766689926429517E-118</v>
      </c>
      <c r="J930">
        <v>0.20133282568861921</v>
      </c>
      <c r="K930">
        <v>2.1274830178084089E-80</v>
      </c>
      <c r="L930">
        <v>2.3576697049811229E-80</v>
      </c>
      <c r="M930">
        <v>0.13430443559628061</v>
      </c>
      <c r="N930">
        <v>7.0433534442360307E-79</v>
      </c>
      <c r="O930">
        <v>7.7968999917634659E-79</v>
      </c>
      <c r="P930">
        <v>5.9631963247947707E-2</v>
      </c>
      <c r="Q930">
        <v>0.69757657732202394</v>
      </c>
      <c r="R930">
        <v>-2.6813715133887071</v>
      </c>
      <c r="S930">
        <v>0.39068284108484802</v>
      </c>
      <c r="T930">
        <v>0.30645819126305462</v>
      </c>
      <c r="U930">
        <v>4.3177108791877004</v>
      </c>
      <c r="V930">
        <v>0.14104184712444839</v>
      </c>
      <c r="W930">
        <v>0.33056246358111518</v>
      </c>
      <c r="X930">
        <v>0.40290283461569382</v>
      </c>
      <c r="Z930" t="s">
        <v>392</v>
      </c>
      <c r="AA930">
        <v>9937</v>
      </c>
      <c r="AB930" t="s">
        <v>1321</v>
      </c>
      <c r="AC930" t="str">
        <f>HYPERLINK("plots/20251231000436_3FT6Y121H01_04823_B11P_N_UFLEX98_M5358A8BH101511/dpll_52094/txpa_55173.png","plot")</f>
        <v>plot</v>
      </c>
    </row>
    <row r="931" spans="1:29" hidden="1" x14ac:dyDescent="0.35">
      <c r="A931" t="s">
        <v>46</v>
      </c>
      <c r="B931">
        <v>52094</v>
      </c>
      <c r="C931" t="s">
        <v>53</v>
      </c>
      <c r="D931">
        <v>55174</v>
      </c>
      <c r="E931" t="s">
        <v>307</v>
      </c>
      <c r="F931">
        <v>8716</v>
      </c>
      <c r="G931">
        <v>0.35745238772223542</v>
      </c>
      <c r="H931">
        <v>5.0445438858516424E-261</v>
      </c>
      <c r="I931">
        <v>6.2304110843526992E-261</v>
      </c>
      <c r="J931">
        <v>0.28479509145070431</v>
      </c>
      <c r="K931">
        <v>2.627356392622389E-162</v>
      </c>
      <c r="L931">
        <v>3.450957748858941E-162</v>
      </c>
      <c r="M931">
        <v>0.19267425636215121</v>
      </c>
      <c r="N931">
        <v>2.835689411870745E-160</v>
      </c>
      <c r="O931">
        <v>3.7294280981023798E-160</v>
      </c>
      <c r="P931">
        <v>0.12777220948832729</v>
      </c>
      <c r="Q931">
        <v>0.89285900148062969</v>
      </c>
      <c r="R931">
        <v>-3.5114489711933849</v>
      </c>
      <c r="S931">
        <v>0.3290051611083748</v>
      </c>
      <c r="T931">
        <v>0.26411422550555519</v>
      </c>
      <c r="U931">
        <v>4.3177108791877004</v>
      </c>
      <c r="V931">
        <v>0.14104184712444839</v>
      </c>
      <c r="W931">
        <v>0.34365805308019731</v>
      </c>
      <c r="X931">
        <v>0.35230001845273751</v>
      </c>
      <c r="Z931" t="s">
        <v>392</v>
      </c>
      <c r="AA931">
        <v>9937</v>
      </c>
      <c r="AB931" t="s">
        <v>1322</v>
      </c>
      <c r="AC931" t="str">
        <f>HYPERLINK("plots/20251231000436_3FT6Y121H01_04823_B11P_N_UFLEX98_M5358A8BH101511/dpll_52094/txpa_55174.png","plot")</f>
        <v>plot</v>
      </c>
    </row>
    <row r="932" spans="1:29" hidden="1" x14ac:dyDescent="0.35">
      <c r="A932" t="s">
        <v>46</v>
      </c>
      <c r="B932">
        <v>52094</v>
      </c>
      <c r="C932" t="s">
        <v>53</v>
      </c>
      <c r="D932">
        <v>55175</v>
      </c>
      <c r="E932" t="s">
        <v>308</v>
      </c>
      <c r="F932">
        <v>8716</v>
      </c>
      <c r="G932">
        <v>0.25674311177204262</v>
      </c>
      <c r="H932">
        <v>3.0977753399677499E-131</v>
      </c>
      <c r="I932">
        <v>3.4824215019149651E-131</v>
      </c>
      <c r="J932">
        <v>0.21365109644592351</v>
      </c>
      <c r="K932">
        <v>1.562402844622033E-90</v>
      </c>
      <c r="L932">
        <v>1.760307204940824E-90</v>
      </c>
      <c r="M932">
        <v>0.14234803163580709</v>
      </c>
      <c r="N932">
        <v>2.2426565851597231E-88</v>
      </c>
      <c r="O932">
        <v>2.5267264192799542E-88</v>
      </c>
      <c r="P932">
        <v>6.5917025442391544E-2</v>
      </c>
      <c r="Q932">
        <v>0.72369885818247726</v>
      </c>
      <c r="R932">
        <v>-2.8832209836179912</v>
      </c>
      <c r="S932">
        <v>0.38421550503590779</v>
      </c>
      <c r="T932">
        <v>0.29354445758061593</v>
      </c>
      <c r="U932">
        <v>4.3177108791877004</v>
      </c>
      <c r="V932">
        <v>0.14104184712444839</v>
      </c>
      <c r="W932">
        <v>0.2415014496122074</v>
      </c>
      <c r="X932">
        <v>0.39756402037589411</v>
      </c>
      <c r="Z932" t="s">
        <v>392</v>
      </c>
      <c r="AA932">
        <v>9937</v>
      </c>
      <c r="AB932" t="s">
        <v>1323</v>
      </c>
      <c r="AC932" t="str">
        <f>HYPERLINK("plots/20251231000436_3FT6Y121H01_04823_B11P_N_UFLEX98_M5358A8BH101511/dpll_52094/txpa_55175.png","plot")</f>
        <v>plot</v>
      </c>
    </row>
    <row r="933" spans="1:29" hidden="1" x14ac:dyDescent="0.35">
      <c r="A933" t="s">
        <v>46</v>
      </c>
      <c r="B933">
        <v>52094</v>
      </c>
      <c r="C933" t="s">
        <v>53</v>
      </c>
      <c r="D933">
        <v>55176</v>
      </c>
      <c r="E933" t="s">
        <v>309</v>
      </c>
      <c r="F933">
        <v>8716</v>
      </c>
      <c r="G933">
        <v>0.38867163066388072</v>
      </c>
      <c r="H933">
        <v>0</v>
      </c>
      <c r="I933">
        <v>0</v>
      </c>
      <c r="J933">
        <v>0.30402688510024029</v>
      </c>
      <c r="K933">
        <v>8.4578463366117211E-186</v>
      </c>
      <c r="L933">
        <v>1.2079234063837021E-185</v>
      </c>
      <c r="M933">
        <v>0.20513492276293621</v>
      </c>
      <c r="N933">
        <v>2.1217270645504171E-181</v>
      </c>
      <c r="O933">
        <v>3.0006014553056111E-181</v>
      </c>
      <c r="P933">
        <v>0.1510656364829201</v>
      </c>
      <c r="Q933">
        <v>0.81472184184898333</v>
      </c>
      <c r="R933">
        <v>-3.1071428729477759</v>
      </c>
      <c r="S933">
        <v>0.27238716883114811</v>
      </c>
      <c r="T933">
        <v>0.21872034885799829</v>
      </c>
      <c r="U933">
        <v>4.3177108791877004</v>
      </c>
      <c r="V933">
        <v>0.14104184712444839</v>
      </c>
      <c r="W933">
        <v>0.4105904871154199</v>
      </c>
      <c r="X933">
        <v>0.29564769950083181</v>
      </c>
      <c r="Z933" t="s">
        <v>392</v>
      </c>
      <c r="AA933">
        <v>9937</v>
      </c>
      <c r="AB933" t="s">
        <v>1324</v>
      </c>
      <c r="AC933" t="str">
        <f>HYPERLINK("plots/20251231000436_3FT6Y121H01_04823_B11P_N_UFLEX98_M5358A8BH101511/dpll_52094/txpa_55176.png","plot")</f>
        <v>plot</v>
      </c>
    </row>
    <row r="934" spans="1:29" hidden="1" x14ac:dyDescent="0.35">
      <c r="A934" t="s">
        <v>46</v>
      </c>
      <c r="B934">
        <v>52094</v>
      </c>
      <c r="C934" t="s">
        <v>53</v>
      </c>
      <c r="D934">
        <v>55177</v>
      </c>
      <c r="E934" t="s">
        <v>310</v>
      </c>
      <c r="F934">
        <v>8716</v>
      </c>
      <c r="G934">
        <v>0.29675736219883692</v>
      </c>
      <c r="H934">
        <v>1.051205131052833E-176</v>
      </c>
      <c r="I934">
        <v>1.1949798238649909E-176</v>
      </c>
      <c r="J934">
        <v>0.23977333401261139</v>
      </c>
      <c r="K934">
        <v>3.2557350057129982E-114</v>
      </c>
      <c r="L934">
        <v>3.8793364227884609E-114</v>
      </c>
      <c r="M934">
        <v>0.1604249786019295</v>
      </c>
      <c r="N934">
        <v>1.0062512866562549E-111</v>
      </c>
      <c r="O934">
        <v>1.1919845848942091E-111</v>
      </c>
      <c r="P934">
        <v>8.8064932019211686E-2</v>
      </c>
      <c r="Q934">
        <v>0.68036863275496762</v>
      </c>
      <c r="R934">
        <v>-2.6968765830411279</v>
      </c>
      <c r="S934">
        <v>0.30877903890496361</v>
      </c>
      <c r="T934">
        <v>0.24177131494107479</v>
      </c>
      <c r="U934">
        <v>4.3177108791877004</v>
      </c>
      <c r="V934">
        <v>0.14104184712444839</v>
      </c>
      <c r="W934">
        <v>0.24075846446305649</v>
      </c>
      <c r="X934">
        <v>0.32336332948329549</v>
      </c>
      <c r="Z934" t="s">
        <v>392</v>
      </c>
      <c r="AA934">
        <v>9937</v>
      </c>
      <c r="AB934" t="s">
        <v>1325</v>
      </c>
      <c r="AC934" t="str">
        <f>HYPERLINK("plots/20251231000436_3FT6Y121H01_04823_B11P_N_UFLEX98_M5358A8BH101511/dpll_52094/txpa_55177.png","plot")</f>
        <v>plot</v>
      </c>
    </row>
    <row r="935" spans="1:29" hidden="1" x14ac:dyDescent="0.35">
      <c r="A935" t="s">
        <v>46</v>
      </c>
      <c r="B935">
        <v>52094</v>
      </c>
      <c r="C935" t="s">
        <v>53</v>
      </c>
      <c r="D935">
        <v>55178</v>
      </c>
      <c r="E935" t="s">
        <v>311</v>
      </c>
      <c r="F935">
        <v>8716</v>
      </c>
      <c r="G935">
        <v>0.34094406259416549</v>
      </c>
      <c r="H935">
        <v>3.7271005082301919E-236</v>
      </c>
      <c r="I935">
        <v>4.4462116651122527E-236</v>
      </c>
      <c r="J935">
        <v>0.23410811573354609</v>
      </c>
      <c r="K935">
        <v>8.0377061702941697E-109</v>
      </c>
      <c r="L935">
        <v>9.4113557236469849E-109</v>
      </c>
      <c r="M935">
        <v>0.1582633625255099</v>
      </c>
      <c r="N935">
        <v>8.7148517603227233E-109</v>
      </c>
      <c r="O935">
        <v>1.0227846857600981E-108</v>
      </c>
      <c r="P935">
        <v>0.1162428538182142</v>
      </c>
      <c r="Q935">
        <v>0.92456216714983686</v>
      </c>
      <c r="R935">
        <v>-3.3766414049610849</v>
      </c>
      <c r="S935">
        <v>0.3595361202671073</v>
      </c>
      <c r="T935">
        <v>0.28758591628541003</v>
      </c>
      <c r="U935">
        <v>4.3177108791877004</v>
      </c>
      <c r="V935">
        <v>0.14104184712444839</v>
      </c>
      <c r="W935">
        <v>0.61535072262712254</v>
      </c>
      <c r="X935">
        <v>0.38247316830801292</v>
      </c>
      <c r="Z935" t="s">
        <v>392</v>
      </c>
      <c r="AA935">
        <v>9937</v>
      </c>
      <c r="AB935" t="s">
        <v>1326</v>
      </c>
      <c r="AC935" t="str">
        <f>HYPERLINK("plots/20251231000436_3FT6Y121H01_04823_B11P_N_UFLEX98_M5358A8BH101511/dpll_52094/txpa_55178.png","plot")</f>
        <v>plot</v>
      </c>
    </row>
    <row r="936" spans="1:29" hidden="1" x14ac:dyDescent="0.35">
      <c r="A936" t="s">
        <v>46</v>
      </c>
      <c r="B936">
        <v>52094</v>
      </c>
      <c r="C936" t="s">
        <v>53</v>
      </c>
      <c r="D936">
        <v>55179</v>
      </c>
      <c r="E936" t="s">
        <v>312</v>
      </c>
      <c r="F936">
        <v>8716</v>
      </c>
      <c r="G936">
        <v>0.40832147465430069</v>
      </c>
      <c r="H936">
        <v>0</v>
      </c>
      <c r="I936">
        <v>0</v>
      </c>
      <c r="J936">
        <v>0.27002558137110783</v>
      </c>
      <c r="K936">
        <v>1.7462260643972909E-145</v>
      </c>
      <c r="L936">
        <v>2.218888758519865E-145</v>
      </c>
      <c r="M936">
        <v>0.18314988455005429</v>
      </c>
      <c r="N936">
        <v>5.1192188967766517E-145</v>
      </c>
      <c r="O936">
        <v>6.5048721319943925E-145</v>
      </c>
      <c r="P936">
        <v>0.16672642666386281</v>
      </c>
      <c r="Q936">
        <v>0.96857906105182578</v>
      </c>
      <c r="R936">
        <v>-0.43341561474563273</v>
      </c>
      <c r="S936">
        <v>0.30538642731938581</v>
      </c>
      <c r="T936">
        <v>0.23905167058679291</v>
      </c>
      <c r="U936">
        <v>4.3177108791877004</v>
      </c>
      <c r="V936">
        <v>0.14104184712444839</v>
      </c>
      <c r="W936">
        <v>3.748628734511243</v>
      </c>
      <c r="X936">
        <v>0.33456525883795951</v>
      </c>
      <c r="Z936" t="s">
        <v>392</v>
      </c>
      <c r="AA936">
        <v>9937</v>
      </c>
      <c r="AB936" t="s">
        <v>1327</v>
      </c>
      <c r="AC936" t="str">
        <f>HYPERLINK("plots/20251231000436_3FT6Y121H01_04823_B11P_N_UFLEX98_M5358A8BH101511/dpll_52094/txpa_55179.png","plot")</f>
        <v>plot</v>
      </c>
    </row>
    <row r="937" spans="1:29" hidden="1" x14ac:dyDescent="0.35">
      <c r="A937" t="s">
        <v>46</v>
      </c>
      <c r="B937">
        <v>52094</v>
      </c>
      <c r="C937" t="s">
        <v>53</v>
      </c>
      <c r="D937">
        <v>55180</v>
      </c>
      <c r="E937" t="s">
        <v>313</v>
      </c>
      <c r="F937">
        <v>8716</v>
      </c>
      <c r="G937">
        <v>0.44012592607333673</v>
      </c>
      <c r="H937">
        <v>0</v>
      </c>
      <c r="I937">
        <v>0</v>
      </c>
      <c r="J937">
        <v>0.33440563182899502</v>
      </c>
      <c r="K937">
        <v>1.0251297449690891E-226</v>
      </c>
      <c r="L937">
        <v>1.626731707979117E-226</v>
      </c>
      <c r="M937">
        <v>0.22681079529417639</v>
      </c>
      <c r="N937">
        <v>2.6726734941749202E-221</v>
      </c>
      <c r="O937">
        <v>4.2016913536331299E-221</v>
      </c>
      <c r="P937">
        <v>0.1937108308019122</v>
      </c>
      <c r="Q937">
        <v>0.88887435704029438</v>
      </c>
      <c r="R937">
        <v>-0.50747562985698558</v>
      </c>
      <c r="S937">
        <v>0.2557595802674133</v>
      </c>
      <c r="T937">
        <v>0.20200462734443639</v>
      </c>
      <c r="U937">
        <v>4.3177108791877004</v>
      </c>
      <c r="V937">
        <v>0.14104184712444839</v>
      </c>
      <c r="W937">
        <v>3.330426851766866</v>
      </c>
      <c r="X937">
        <v>0.28484684439523289</v>
      </c>
      <c r="Z937" t="s">
        <v>392</v>
      </c>
      <c r="AA937">
        <v>9937</v>
      </c>
      <c r="AB937" t="s">
        <v>1328</v>
      </c>
      <c r="AC937" t="str">
        <f>HYPERLINK("plots/20251231000436_3FT6Y121H01_04823_B11P_N_UFLEX98_M5358A8BH101511/dpll_52094/txpa_55180.png","plot")</f>
        <v>plot</v>
      </c>
    </row>
    <row r="938" spans="1:29" hidden="1" x14ac:dyDescent="0.35">
      <c r="A938" t="s">
        <v>46</v>
      </c>
      <c r="B938">
        <v>52094</v>
      </c>
      <c r="C938" t="s">
        <v>53</v>
      </c>
      <c r="D938">
        <v>55181</v>
      </c>
      <c r="E938" t="s">
        <v>314</v>
      </c>
      <c r="F938">
        <v>8716</v>
      </c>
      <c r="G938">
        <v>0.29725625621721757</v>
      </c>
      <c r="H938">
        <v>2.546527485151302E-177</v>
      </c>
      <c r="I938">
        <v>2.9013245729701349E-177</v>
      </c>
      <c r="J938">
        <v>0.23930213243310081</v>
      </c>
      <c r="K938">
        <v>9.2609017501507951E-114</v>
      </c>
      <c r="L938">
        <v>1.1021777435038619E-113</v>
      </c>
      <c r="M938">
        <v>0.16136915027943871</v>
      </c>
      <c r="N938">
        <v>5.0666763104317731E-113</v>
      </c>
      <c r="O938">
        <v>6.0442467985621377E-113</v>
      </c>
      <c r="P938">
        <v>8.8361281860276128E-2</v>
      </c>
      <c r="Q938">
        <v>0.79335540212032962</v>
      </c>
      <c r="R938">
        <v>5.9570615540489591E-2</v>
      </c>
      <c r="S938">
        <v>0.35939433922043468</v>
      </c>
      <c r="T938">
        <v>0.27956835191557239</v>
      </c>
      <c r="U938">
        <v>4.3177108791877004</v>
      </c>
      <c r="V938">
        <v>0.14104184712444839</v>
      </c>
      <c r="W938">
        <v>3.48504986633777</v>
      </c>
      <c r="X938">
        <v>0.37643046698214289</v>
      </c>
      <c r="Z938" t="s">
        <v>392</v>
      </c>
      <c r="AA938">
        <v>9937</v>
      </c>
      <c r="AB938" t="s">
        <v>1329</v>
      </c>
      <c r="AC938" t="str">
        <f>HYPERLINK("plots/20251231000436_3FT6Y121H01_04823_B11P_N_UFLEX98_M5358A8BH101511/dpll_52094/txpa_55181.png","plot")</f>
        <v>plot</v>
      </c>
    </row>
    <row r="939" spans="1:29" hidden="1" x14ac:dyDescent="0.35">
      <c r="A939" t="s">
        <v>46</v>
      </c>
      <c r="B939">
        <v>52094</v>
      </c>
      <c r="C939" t="s">
        <v>53</v>
      </c>
      <c r="D939">
        <v>55182</v>
      </c>
      <c r="E939" t="s">
        <v>315</v>
      </c>
      <c r="F939">
        <v>8716</v>
      </c>
      <c r="G939">
        <v>0.401632615692046</v>
      </c>
      <c r="H939">
        <v>0</v>
      </c>
      <c r="I939">
        <v>0</v>
      </c>
      <c r="J939">
        <v>0.31546935227579281</v>
      </c>
      <c r="K939">
        <v>1.1858349267895551E-200</v>
      </c>
      <c r="L939">
        <v>1.770893395824166E-200</v>
      </c>
      <c r="M939">
        <v>0.2149196087983449</v>
      </c>
      <c r="N939">
        <v>6.4317688181372918E-199</v>
      </c>
      <c r="O939">
        <v>9.5348151777649325E-199</v>
      </c>
      <c r="P939">
        <v>0.16130875798763469</v>
      </c>
      <c r="Q939">
        <v>0.96107664553822103</v>
      </c>
      <c r="R939">
        <v>-0.64938677644803633</v>
      </c>
      <c r="S939">
        <v>0.30906738392424538</v>
      </c>
      <c r="T939">
        <v>0.24765425394635909</v>
      </c>
      <c r="U939">
        <v>4.3177108791877004</v>
      </c>
      <c r="V939">
        <v>0.14104184712444839</v>
      </c>
      <c r="W939">
        <v>3.5002643117255618</v>
      </c>
      <c r="X939">
        <v>0.33750253345663228</v>
      </c>
      <c r="Z939" t="s">
        <v>392</v>
      </c>
      <c r="AA939">
        <v>9937</v>
      </c>
      <c r="AB939" t="s">
        <v>1330</v>
      </c>
      <c r="AC939" t="str">
        <f>HYPERLINK("plots/20251231000436_3FT6Y121H01_04823_B11P_N_UFLEX98_M5358A8BH101511/dpll_52094/txpa_55182.png","plot")</f>
        <v>plot</v>
      </c>
    </row>
    <row r="940" spans="1:29" hidden="1" x14ac:dyDescent="0.35">
      <c r="A940" t="s">
        <v>46</v>
      </c>
      <c r="B940">
        <v>52094</v>
      </c>
      <c r="C940" t="s">
        <v>53</v>
      </c>
      <c r="D940">
        <v>55183</v>
      </c>
      <c r="E940" t="s">
        <v>316</v>
      </c>
      <c r="F940">
        <v>8716</v>
      </c>
      <c r="G940">
        <v>0.30821641924124799</v>
      </c>
      <c r="H940">
        <v>3.6801609925592862E-191</v>
      </c>
      <c r="I940">
        <v>4.2213611385238867E-191</v>
      </c>
      <c r="J940">
        <v>0.2472951798290394</v>
      </c>
      <c r="K940">
        <v>1.347855550045797E-121</v>
      </c>
      <c r="L940">
        <v>1.617426660054956E-121</v>
      </c>
      <c r="M940">
        <v>0.16645890225367721</v>
      </c>
      <c r="N940">
        <v>3.8805794736053847E-120</v>
      </c>
      <c r="O940">
        <v>4.6511910002787962E-120</v>
      </c>
      <c r="P940">
        <v>9.4997361089896745E-2</v>
      </c>
      <c r="Q940">
        <v>0.81463547033757522</v>
      </c>
      <c r="R940">
        <v>-0.1058396323668651</v>
      </c>
      <c r="S940">
        <v>0.3546137245305061</v>
      </c>
      <c r="T940">
        <v>0.27044969891692822</v>
      </c>
      <c r="U940">
        <v>4.3177108791877004</v>
      </c>
      <c r="V940">
        <v>0.14104184712444839</v>
      </c>
      <c r="W940">
        <v>3.4115208004818731</v>
      </c>
      <c r="X940">
        <v>0.37278251350903002</v>
      </c>
      <c r="Z940" t="s">
        <v>392</v>
      </c>
      <c r="AA940">
        <v>9937</v>
      </c>
      <c r="AB940" t="s">
        <v>1331</v>
      </c>
      <c r="AC940" t="str">
        <f>HYPERLINK("plots/20251231000436_3FT6Y121H01_04823_B11P_N_UFLEX98_M5358A8BH101511/dpll_52094/txpa_55183.png","plot")</f>
        <v>plot</v>
      </c>
    </row>
    <row r="941" spans="1:29" hidden="1" x14ac:dyDescent="0.35">
      <c r="A941" t="s">
        <v>46</v>
      </c>
      <c r="B941">
        <v>52094</v>
      </c>
      <c r="C941" t="s">
        <v>53</v>
      </c>
      <c r="D941">
        <v>55184</v>
      </c>
      <c r="E941" t="s">
        <v>317</v>
      </c>
      <c r="F941">
        <v>8716</v>
      </c>
      <c r="G941">
        <v>0.43785307833724307</v>
      </c>
      <c r="H941">
        <v>0</v>
      </c>
      <c r="I941">
        <v>0</v>
      </c>
      <c r="J941">
        <v>0.3352015113609757</v>
      </c>
      <c r="K941">
        <v>7.4821493926168569E-228</v>
      </c>
      <c r="L941">
        <v>1.192908723917216E-227</v>
      </c>
      <c r="M941">
        <v>0.22773465226547601</v>
      </c>
      <c r="N941">
        <v>4.3381046687593576E-223</v>
      </c>
      <c r="O941">
        <v>6.8731845845656089E-223</v>
      </c>
      <c r="P941">
        <v>0.19171531820939991</v>
      </c>
      <c r="Q941">
        <v>0.8909450335397644</v>
      </c>
      <c r="R941">
        <v>-0.28998926003434139</v>
      </c>
      <c r="S941">
        <v>0.25800477872012989</v>
      </c>
      <c r="T941">
        <v>0.20587611697755909</v>
      </c>
      <c r="U941">
        <v>4.3177108791877004</v>
      </c>
      <c r="V941">
        <v>0.14104184712444839</v>
      </c>
      <c r="W941">
        <v>3.5568538040385498</v>
      </c>
      <c r="X941">
        <v>0.28699246261782768</v>
      </c>
      <c r="Z941" t="s">
        <v>392</v>
      </c>
      <c r="AA941">
        <v>9937</v>
      </c>
      <c r="AB941" t="s">
        <v>1332</v>
      </c>
      <c r="AC941" t="str">
        <f>HYPERLINK("plots/20251231000436_3FT6Y121H01_04823_B11P_N_UFLEX98_M5358A8BH101511/dpll_52094/txpa_55184.png","plot")</f>
        <v>plot</v>
      </c>
    </row>
    <row r="942" spans="1:29" hidden="1" x14ac:dyDescent="0.35">
      <c r="A942" t="s">
        <v>46</v>
      </c>
      <c r="B942">
        <v>52094</v>
      </c>
      <c r="C942" t="s">
        <v>53</v>
      </c>
      <c r="D942">
        <v>55185</v>
      </c>
      <c r="E942" t="s">
        <v>318</v>
      </c>
      <c r="F942">
        <v>8716</v>
      </c>
      <c r="G942">
        <v>0.35429555802904722</v>
      </c>
      <c r="H942">
        <v>3.7564650261806328E-256</v>
      </c>
      <c r="I942">
        <v>4.5892235380086291E-256</v>
      </c>
      <c r="J942">
        <v>0.27894140651562788</v>
      </c>
      <c r="K942">
        <v>1.6282026162776439E-155</v>
      </c>
      <c r="L942">
        <v>2.1139532047445978E-155</v>
      </c>
      <c r="M942">
        <v>0.18842519690486109</v>
      </c>
      <c r="N942">
        <v>2.2561179875018079E-153</v>
      </c>
      <c r="O942">
        <v>2.9291980016988899E-153</v>
      </c>
      <c r="P942">
        <v>0.1255253424391139</v>
      </c>
      <c r="Q942">
        <v>0.77405663651198586</v>
      </c>
      <c r="R942">
        <v>7.000976776344725E-2</v>
      </c>
      <c r="S942">
        <v>0.28814010959457481</v>
      </c>
      <c r="T942">
        <v>0.22375235111854069</v>
      </c>
      <c r="U942">
        <v>4.3177108791877004</v>
      </c>
      <c r="V942">
        <v>0.14104184712444839</v>
      </c>
      <c r="W942">
        <v>3.4121625283386878</v>
      </c>
      <c r="X942">
        <v>0.30814492397231102</v>
      </c>
      <c r="Z942" t="s">
        <v>392</v>
      </c>
      <c r="AA942">
        <v>9937</v>
      </c>
      <c r="AB942" t="s">
        <v>1333</v>
      </c>
      <c r="AC942" t="str">
        <f>HYPERLINK("plots/20251231000436_3FT6Y121H01_04823_B11P_N_UFLEX98_M5358A8BH101511/dpll_52094/txpa_55185.png","plot")</f>
        <v>plot</v>
      </c>
    </row>
    <row r="943" spans="1:29" hidden="1" x14ac:dyDescent="0.35">
      <c r="A943" t="s">
        <v>46</v>
      </c>
      <c r="B943">
        <v>52094</v>
      </c>
      <c r="C943" t="s">
        <v>53</v>
      </c>
      <c r="D943">
        <v>55186</v>
      </c>
      <c r="E943" t="s">
        <v>319</v>
      </c>
      <c r="F943">
        <v>8716</v>
      </c>
      <c r="G943">
        <v>0.38351385977884273</v>
      </c>
      <c r="H943">
        <v>2.0361695929709041E-303</v>
      </c>
      <c r="I943">
        <v>2.660664906278991E-303</v>
      </c>
      <c r="J943">
        <v>0.26696387881244987</v>
      </c>
      <c r="K943">
        <v>3.9787357239100473E-142</v>
      </c>
      <c r="L943">
        <v>4.9807876840059101E-142</v>
      </c>
      <c r="M943">
        <v>0.18153922592363911</v>
      </c>
      <c r="N943">
        <v>1.633681057874462E-142</v>
      </c>
      <c r="O943">
        <v>2.0578293076828618E-142</v>
      </c>
      <c r="P943">
        <v>0.1470828806424658</v>
      </c>
      <c r="Q943">
        <v>0.98128235060783242</v>
      </c>
      <c r="R943">
        <v>-0.48267272389042581</v>
      </c>
      <c r="S943">
        <v>0.33326477440910701</v>
      </c>
      <c r="T943">
        <v>0.26456152862225379</v>
      </c>
      <c r="U943">
        <v>4.3177108791877004</v>
      </c>
      <c r="V943">
        <v>0.14104184712444839</v>
      </c>
      <c r="W943">
        <v>3.7542207568838921</v>
      </c>
      <c r="X943">
        <v>0.36087841873605342</v>
      </c>
      <c r="Z943" t="s">
        <v>392</v>
      </c>
      <c r="AA943">
        <v>9937</v>
      </c>
      <c r="AB943" t="s">
        <v>1334</v>
      </c>
      <c r="AC943" t="str">
        <f>HYPERLINK("plots/20251231000436_3FT6Y121H01_04823_B11P_N_UFLEX98_M5358A8BH101511/dpll_52094/txpa_55186.png","plot")</f>
        <v>plot</v>
      </c>
    </row>
    <row r="944" spans="1:29" hidden="1" x14ac:dyDescent="0.35">
      <c r="A944" t="s">
        <v>46</v>
      </c>
      <c r="B944">
        <v>52094</v>
      </c>
      <c r="C944" t="s">
        <v>53</v>
      </c>
      <c r="D944">
        <v>55187</v>
      </c>
      <c r="E944" t="s">
        <v>320</v>
      </c>
      <c r="F944">
        <v>8711</v>
      </c>
      <c r="G944">
        <v>0.43117011190749932</v>
      </c>
      <c r="H944">
        <v>0</v>
      </c>
      <c r="I944">
        <v>0</v>
      </c>
      <c r="J944">
        <v>0.30018710252866232</v>
      </c>
      <c r="K944">
        <v>7.352018297145841E-181</v>
      </c>
      <c r="L944">
        <v>1.031112939599707E-180</v>
      </c>
      <c r="M944">
        <v>0.20449046570746479</v>
      </c>
      <c r="N944">
        <v>3.5495496624539749E-180</v>
      </c>
      <c r="O944">
        <v>4.9920157527438706E-180</v>
      </c>
      <c r="P944">
        <v>0.18590766540232551</v>
      </c>
      <c r="Q944">
        <v>1.007457313366626</v>
      </c>
      <c r="R944">
        <v>1.126890974903648</v>
      </c>
      <c r="S944">
        <v>0.29674034974485852</v>
      </c>
      <c r="T944">
        <v>0.2290287103535544</v>
      </c>
      <c r="U944">
        <v>4.317935650671564</v>
      </c>
      <c r="V944">
        <v>0.14076241056092331</v>
      </c>
      <c r="W944">
        <v>5.4770268248191938</v>
      </c>
      <c r="X944">
        <v>0.32890062657483388</v>
      </c>
      <c r="Z944" t="s">
        <v>392</v>
      </c>
      <c r="AA944">
        <v>9937</v>
      </c>
      <c r="AB944" t="s">
        <v>1335</v>
      </c>
      <c r="AC944" t="str">
        <f>HYPERLINK("plots/20251231000436_3FT6Y121H01_04823_B11P_N_UFLEX98_M5358A8BH101511/dpll_52094/txpa_55187.png","plot")</f>
        <v>plot</v>
      </c>
    </row>
    <row r="945" spans="1:29" hidden="1" x14ac:dyDescent="0.35">
      <c r="A945" t="s">
        <v>46</v>
      </c>
      <c r="B945">
        <v>52094</v>
      </c>
      <c r="C945" t="s">
        <v>53</v>
      </c>
      <c r="D945">
        <v>55188</v>
      </c>
      <c r="E945" t="s">
        <v>321</v>
      </c>
      <c r="F945">
        <v>8716</v>
      </c>
      <c r="G945">
        <v>0.46614772145687822</v>
      </c>
      <c r="H945">
        <v>0</v>
      </c>
      <c r="I945">
        <v>0</v>
      </c>
      <c r="J945">
        <v>0.35575221260797091</v>
      </c>
      <c r="K945">
        <v>2.1559129743016719E-258</v>
      </c>
      <c r="L945">
        <v>3.7953051318435682E-258</v>
      </c>
      <c r="M945">
        <v>0.2421693988724202</v>
      </c>
      <c r="N945">
        <v>5.4620463955581568E-252</v>
      </c>
      <c r="O945">
        <v>9.4032513499082693E-252</v>
      </c>
      <c r="P945">
        <v>0.21729369821943931</v>
      </c>
      <c r="Q945">
        <v>0.95085251190505737</v>
      </c>
      <c r="R945">
        <v>0.98474620254536216</v>
      </c>
      <c r="S945">
        <v>0.25451423621126829</v>
      </c>
      <c r="T945">
        <v>0.1977898417894477</v>
      </c>
      <c r="U945">
        <v>4.3177108791877004</v>
      </c>
      <c r="V945">
        <v>0.14104184712444839</v>
      </c>
      <c r="W945">
        <v>5.090252437700781</v>
      </c>
      <c r="X945">
        <v>0.2876984879446996</v>
      </c>
      <c r="Z945" t="s">
        <v>392</v>
      </c>
      <c r="AA945">
        <v>9937</v>
      </c>
      <c r="AB945" t="s">
        <v>1336</v>
      </c>
      <c r="AC945" t="str">
        <f>HYPERLINK("plots/20251231000436_3FT6Y121H01_04823_B11P_N_UFLEX98_M5358A8BH101511/dpll_52094/txpa_55188.png","plot")</f>
        <v>plot</v>
      </c>
    </row>
    <row r="946" spans="1:29" hidden="1" x14ac:dyDescent="0.35">
      <c r="A946" t="s">
        <v>46</v>
      </c>
      <c r="B946">
        <v>52094</v>
      </c>
      <c r="C946" t="s">
        <v>53</v>
      </c>
      <c r="D946">
        <v>55189</v>
      </c>
      <c r="E946" t="s">
        <v>322</v>
      </c>
      <c r="F946">
        <v>8716</v>
      </c>
      <c r="G946">
        <v>0.33928007325702181</v>
      </c>
      <c r="H946">
        <v>9.895382699507384E-234</v>
      </c>
      <c r="I946">
        <v>1.172186688936973E-233</v>
      </c>
      <c r="J946">
        <v>0.2661761469805628</v>
      </c>
      <c r="K946">
        <v>2.8608319940936647E-141</v>
      </c>
      <c r="L946">
        <v>3.5681225608991098E-141</v>
      </c>
      <c r="M946">
        <v>0.18066761590023089</v>
      </c>
      <c r="N946">
        <v>3.6152559012548108E-141</v>
      </c>
      <c r="O946">
        <v>4.5369671830103689E-141</v>
      </c>
      <c r="P946">
        <v>0.11511096810929</v>
      </c>
      <c r="Q946">
        <v>0.87561470166912148</v>
      </c>
      <c r="R946">
        <v>1.4453053277509109</v>
      </c>
      <c r="S946">
        <v>0.34239086529753998</v>
      </c>
      <c r="T946">
        <v>0.26423246833832142</v>
      </c>
      <c r="U946">
        <v>4.3177108791877004</v>
      </c>
      <c r="V946">
        <v>0.14104184712444839</v>
      </c>
      <c r="W946">
        <v>5.225956451124369</v>
      </c>
      <c r="X946">
        <v>0.36400108531920627</v>
      </c>
      <c r="Z946" t="s">
        <v>392</v>
      </c>
      <c r="AA946">
        <v>9937</v>
      </c>
      <c r="AB946" t="s">
        <v>1337</v>
      </c>
      <c r="AC946" t="str">
        <f>HYPERLINK("plots/20251231000436_3FT6Y121H01_04823_B11P_N_UFLEX98_M5358A8BH101511/dpll_52094/txpa_55189.png","plot")</f>
        <v>plot</v>
      </c>
    </row>
    <row r="947" spans="1:29" hidden="1" x14ac:dyDescent="0.35">
      <c r="A947" t="s">
        <v>46</v>
      </c>
      <c r="B947">
        <v>52094</v>
      </c>
      <c r="C947" t="s">
        <v>53</v>
      </c>
      <c r="D947">
        <v>55190</v>
      </c>
      <c r="E947" t="s">
        <v>323</v>
      </c>
      <c r="F947">
        <v>8716</v>
      </c>
      <c r="G947">
        <v>0.43306482371429222</v>
      </c>
      <c r="H947">
        <v>0</v>
      </c>
      <c r="I947">
        <v>0</v>
      </c>
      <c r="J947">
        <v>0.33542401116777909</v>
      </c>
      <c r="K947">
        <v>3.5943958196552591E-228</v>
      </c>
      <c r="L947">
        <v>5.7578473319596095E-228</v>
      </c>
      <c r="M947">
        <v>0.22985292388384129</v>
      </c>
      <c r="N947">
        <v>3.2055791788925579E-227</v>
      </c>
      <c r="O947">
        <v>5.135003613581444E-227</v>
      </c>
      <c r="P947">
        <v>0.18754514153869101</v>
      </c>
      <c r="Q947">
        <v>1.0238746798258329</v>
      </c>
      <c r="R947">
        <v>0.82141088637208703</v>
      </c>
      <c r="S947">
        <v>0.30054989881545829</v>
      </c>
      <c r="T947">
        <v>0.23959990543984749</v>
      </c>
      <c r="U947">
        <v>4.3177108791877004</v>
      </c>
      <c r="V947">
        <v>0.14104184712444839</v>
      </c>
      <c r="W947">
        <v>5.2422057303809089</v>
      </c>
      <c r="X947">
        <v>0.33345856823010023</v>
      </c>
      <c r="Z947" t="s">
        <v>392</v>
      </c>
      <c r="AA947">
        <v>9937</v>
      </c>
      <c r="AB947" t="s">
        <v>1338</v>
      </c>
      <c r="AC947" t="str">
        <f>HYPERLINK("plots/20251231000436_3FT6Y121H01_04823_B11P_N_UFLEX98_M5358A8BH101511/dpll_52094/txpa_55190.png","plot")</f>
        <v>plot</v>
      </c>
    </row>
    <row r="948" spans="1:29" hidden="1" x14ac:dyDescent="0.35">
      <c r="A948" t="s">
        <v>46</v>
      </c>
      <c r="B948">
        <v>52094</v>
      </c>
      <c r="C948" t="s">
        <v>53</v>
      </c>
      <c r="D948">
        <v>55191</v>
      </c>
      <c r="E948" t="s">
        <v>324</v>
      </c>
      <c r="F948">
        <v>8716</v>
      </c>
      <c r="G948">
        <v>0.34895834628870342</v>
      </c>
      <c r="H948">
        <v>4.8501926617866464E-248</v>
      </c>
      <c r="I948">
        <v>5.8828891854684921E-248</v>
      </c>
      <c r="J948">
        <v>0.27085129451802098</v>
      </c>
      <c r="K948">
        <v>2.133100458723812E-146</v>
      </c>
      <c r="L948">
        <v>2.7172912878717901E-146</v>
      </c>
      <c r="M948">
        <v>0.1834092361224274</v>
      </c>
      <c r="N948">
        <v>2.008991088533537E-145</v>
      </c>
      <c r="O948">
        <v>2.5559811339686401E-145</v>
      </c>
      <c r="P948">
        <v>0.1217719274445466</v>
      </c>
      <c r="Q948">
        <v>0.89174703546688816</v>
      </c>
      <c r="R948">
        <v>1.3120436666202919</v>
      </c>
      <c r="S948">
        <v>0.33774957688558083</v>
      </c>
      <c r="T948">
        <v>0.25743904082023278</v>
      </c>
      <c r="U948">
        <v>4.3177108791877004</v>
      </c>
      <c r="V948">
        <v>0.14104184712444839</v>
      </c>
      <c r="W948">
        <v>5.1623495431390554</v>
      </c>
      <c r="X948">
        <v>0.36042596598605131</v>
      </c>
      <c r="Z948" t="s">
        <v>392</v>
      </c>
      <c r="AA948">
        <v>9937</v>
      </c>
      <c r="AB948" t="s">
        <v>1339</v>
      </c>
      <c r="AC948" t="str">
        <f>HYPERLINK("plots/20251231000436_3FT6Y121H01_04823_B11P_N_UFLEX98_M5358A8BH101511/dpll_52094/txpa_55191.png","plot")</f>
        <v>plot</v>
      </c>
    </row>
    <row r="949" spans="1:29" hidden="1" x14ac:dyDescent="0.35">
      <c r="A949" t="s">
        <v>46</v>
      </c>
      <c r="B949">
        <v>52094</v>
      </c>
      <c r="C949" t="s">
        <v>53</v>
      </c>
      <c r="D949">
        <v>55192</v>
      </c>
      <c r="E949" t="s">
        <v>325</v>
      </c>
      <c r="F949">
        <v>8716</v>
      </c>
      <c r="G949">
        <v>0.47051451342210082</v>
      </c>
      <c r="H949">
        <v>0</v>
      </c>
      <c r="I949">
        <v>0</v>
      </c>
      <c r="J949">
        <v>0.35558992155532221</v>
      </c>
      <c r="K949">
        <v>3.8362895173484489E-258</v>
      </c>
      <c r="L949">
        <v>6.7300996030991816E-258</v>
      </c>
      <c r="M949">
        <v>0.24280467015527979</v>
      </c>
      <c r="N949">
        <v>2.658871085076215E-253</v>
      </c>
      <c r="O949">
        <v>4.6245202062903643E-253</v>
      </c>
      <c r="P949">
        <v>0.22138390734083629</v>
      </c>
      <c r="Q949">
        <v>0.95810987753506949</v>
      </c>
      <c r="R949">
        <v>1.1556713740508009</v>
      </c>
      <c r="S949">
        <v>0.25341192797521123</v>
      </c>
      <c r="T949">
        <v>0.20015071981603691</v>
      </c>
      <c r="U949">
        <v>4.3177108791877004</v>
      </c>
      <c r="V949">
        <v>0.14104184712444839</v>
      </c>
      <c r="W949">
        <v>5.2925128157411656</v>
      </c>
      <c r="X949">
        <v>0.28720386517492252</v>
      </c>
      <c r="Z949" t="s">
        <v>392</v>
      </c>
      <c r="AA949">
        <v>9937</v>
      </c>
      <c r="AB949" t="s">
        <v>1340</v>
      </c>
      <c r="AC949" t="str">
        <f>HYPERLINK("plots/20251231000436_3FT6Y121H01_04823_B11P_N_UFLEX98_M5358A8BH101511/dpll_52094/txpa_55192.png","plot")</f>
        <v>plot</v>
      </c>
    </row>
    <row r="950" spans="1:29" hidden="1" x14ac:dyDescent="0.35">
      <c r="A950" t="s">
        <v>46</v>
      </c>
      <c r="B950">
        <v>52094</v>
      </c>
      <c r="C950" t="s">
        <v>53</v>
      </c>
      <c r="D950">
        <v>55193</v>
      </c>
      <c r="E950" t="s">
        <v>326</v>
      </c>
      <c r="F950">
        <v>8716</v>
      </c>
      <c r="G950">
        <v>0.39767895437552042</v>
      </c>
      <c r="H950">
        <v>0</v>
      </c>
      <c r="I950">
        <v>0</v>
      </c>
      <c r="J950">
        <v>0.3061044291683242</v>
      </c>
      <c r="K950">
        <v>1.903922209269942E-188</v>
      </c>
      <c r="L950">
        <v>2.7384072626946399E-188</v>
      </c>
      <c r="M950">
        <v>0.2081583989133482</v>
      </c>
      <c r="N950">
        <v>9.9449372792468108E-187</v>
      </c>
      <c r="O950">
        <v>1.438540142818298E-186</v>
      </c>
      <c r="P950">
        <v>0.15814855075320719</v>
      </c>
      <c r="Q950">
        <v>0.85477583959528014</v>
      </c>
      <c r="R950">
        <v>1.4736232431746139</v>
      </c>
      <c r="S950">
        <v>0.27813806814264869</v>
      </c>
      <c r="T950">
        <v>0.21462765068016709</v>
      </c>
      <c r="U950">
        <v>4.3177108791877004</v>
      </c>
      <c r="V950">
        <v>0.14104184712444839</v>
      </c>
      <c r="W950">
        <v>5.1642981850619556</v>
      </c>
      <c r="X950">
        <v>0.30315701137160989</v>
      </c>
      <c r="Z950" t="s">
        <v>392</v>
      </c>
      <c r="AA950">
        <v>9937</v>
      </c>
      <c r="AB950" t="s">
        <v>1341</v>
      </c>
      <c r="AC950" t="str">
        <f>HYPERLINK("plots/20251231000436_3FT6Y121H01_04823_B11P_N_UFLEX98_M5358A8BH101511/dpll_52094/txpa_55193.png","plot")</f>
        <v>plot</v>
      </c>
    </row>
    <row r="951" spans="1:29" hidden="1" x14ac:dyDescent="0.35">
      <c r="A951" t="s">
        <v>46</v>
      </c>
      <c r="B951">
        <v>52094</v>
      </c>
      <c r="C951" t="s">
        <v>53</v>
      </c>
      <c r="D951">
        <v>55194</v>
      </c>
      <c r="E951" t="s">
        <v>327</v>
      </c>
      <c r="F951">
        <v>8713</v>
      </c>
      <c r="G951">
        <v>0.41423024766311872</v>
      </c>
      <c r="H951">
        <v>0</v>
      </c>
      <c r="I951">
        <v>0</v>
      </c>
      <c r="J951">
        <v>0.29386070706748191</v>
      </c>
      <c r="K951">
        <v>4.2793758475844827E-173</v>
      </c>
      <c r="L951">
        <v>5.8877708405029377E-173</v>
      </c>
      <c r="M951">
        <v>0.2005936095088941</v>
      </c>
      <c r="N951">
        <v>1.715909366412411E-173</v>
      </c>
      <c r="O951">
        <v>2.3608305258374291E-173</v>
      </c>
      <c r="P951">
        <v>0.17158669807904861</v>
      </c>
      <c r="Q951">
        <v>1.028978975278481</v>
      </c>
      <c r="R951">
        <v>1.039739067104207</v>
      </c>
      <c r="S951">
        <v>0.31858405130796069</v>
      </c>
      <c r="T951">
        <v>0.2509359753535611</v>
      </c>
      <c r="U951">
        <v>4.3178311674509349</v>
      </c>
      <c r="V951">
        <v>0.1409161372342049</v>
      </c>
      <c r="W951">
        <v>5.4826965572133588</v>
      </c>
      <c r="X951">
        <v>0.35004624435195281</v>
      </c>
      <c r="Z951" t="s">
        <v>392</v>
      </c>
      <c r="AA951">
        <v>9937</v>
      </c>
      <c r="AB951" t="s">
        <v>1342</v>
      </c>
      <c r="AC951" t="str">
        <f>HYPERLINK("plots/20251231000436_3FT6Y121H01_04823_B11P_N_UFLEX98_M5358A8BH101511/dpll_52094/txpa_55194.png","plot")</f>
        <v>plot</v>
      </c>
    </row>
    <row r="952" spans="1:29" hidden="1" x14ac:dyDescent="0.35">
      <c r="A952" t="s">
        <v>46</v>
      </c>
      <c r="B952">
        <v>52094</v>
      </c>
      <c r="C952" t="s">
        <v>53</v>
      </c>
      <c r="D952">
        <v>55195</v>
      </c>
      <c r="E952" t="s">
        <v>328</v>
      </c>
      <c r="F952">
        <v>8695</v>
      </c>
      <c r="G952">
        <v>0.44724883478263311</v>
      </c>
      <c r="H952">
        <v>0</v>
      </c>
      <c r="I952">
        <v>0</v>
      </c>
      <c r="J952">
        <v>0.34307486979313873</v>
      </c>
      <c r="K952">
        <v>1.039810543092657E-238</v>
      </c>
      <c r="L952">
        <v>1.7200128722609371E-238</v>
      </c>
      <c r="M952">
        <v>0.23526548764179309</v>
      </c>
      <c r="N952">
        <v>2.2265294098975939E-237</v>
      </c>
      <c r="O952">
        <v>3.7011488879281318E-237</v>
      </c>
      <c r="P952">
        <v>0.20003152021442311</v>
      </c>
      <c r="Q952">
        <v>1.046873873547866</v>
      </c>
      <c r="R952">
        <v>3.0012489137613829</v>
      </c>
      <c r="S952">
        <v>0.29252319142476452</v>
      </c>
      <c r="T952">
        <v>0.21881701142093929</v>
      </c>
      <c r="U952">
        <v>4.3186906124209319</v>
      </c>
      <c r="V952">
        <v>0.1397345166008899</v>
      </c>
      <c r="W952">
        <v>7.5223732838412882</v>
      </c>
      <c r="X952">
        <v>0.32707612247532752</v>
      </c>
      <c r="Z952" t="s">
        <v>392</v>
      </c>
      <c r="AA952">
        <v>9937</v>
      </c>
      <c r="AB952" t="s">
        <v>1343</v>
      </c>
      <c r="AC952" t="str">
        <f>HYPERLINK("plots/20251231000436_3FT6Y121H01_04823_B11P_N_UFLEX98_M5358A8BH101511/dpll_52094/txpa_55195.png","plot")</f>
        <v>plot</v>
      </c>
    </row>
    <row r="953" spans="1:29" hidden="1" x14ac:dyDescent="0.35">
      <c r="A953" t="s">
        <v>46</v>
      </c>
      <c r="B953">
        <v>52094</v>
      </c>
      <c r="C953" t="s">
        <v>53</v>
      </c>
      <c r="D953">
        <v>55196</v>
      </c>
      <c r="E953" t="s">
        <v>329</v>
      </c>
      <c r="F953">
        <v>8714</v>
      </c>
      <c r="G953">
        <v>0.49098602209138492</v>
      </c>
      <c r="H953">
        <v>0</v>
      </c>
      <c r="I953">
        <v>0</v>
      </c>
      <c r="J953">
        <v>0.38304152878443759</v>
      </c>
      <c r="K953">
        <v>1.5184287925746599E-302</v>
      </c>
      <c r="L953">
        <v>3.0917405535556341E-302</v>
      </c>
      <c r="M953">
        <v>0.26224118376984301</v>
      </c>
      <c r="N953">
        <v>4.7114386405316409E-295</v>
      </c>
      <c r="O953">
        <v>9.404328310037567E-295</v>
      </c>
      <c r="P953">
        <v>0.24106727388912191</v>
      </c>
      <c r="Q953">
        <v>1.0401155399125519</v>
      </c>
      <c r="R953">
        <v>2.6905892137928391</v>
      </c>
      <c r="S953">
        <v>0.26009797646397181</v>
      </c>
      <c r="T953">
        <v>0.19566166522468911</v>
      </c>
      <c r="U953">
        <v>4.3177957435161796</v>
      </c>
      <c r="V953">
        <v>0.14094439094507771</v>
      </c>
      <c r="W953">
        <v>7.1815956647922894</v>
      </c>
      <c r="X953">
        <v>0.29857968392061368</v>
      </c>
      <c r="Z953" t="s">
        <v>392</v>
      </c>
      <c r="AA953">
        <v>9937</v>
      </c>
      <c r="AB953" t="s">
        <v>1344</v>
      </c>
      <c r="AC953" t="str">
        <f>HYPERLINK("plots/20251231000436_3FT6Y121H01_04823_B11P_N_UFLEX98_M5358A8BH101511/dpll_52094/txpa_55196.png","plot")</f>
        <v>plot</v>
      </c>
    </row>
    <row r="954" spans="1:29" hidden="1" x14ac:dyDescent="0.35">
      <c r="A954" t="s">
        <v>46</v>
      </c>
      <c r="B954">
        <v>52094</v>
      </c>
      <c r="C954" t="s">
        <v>53</v>
      </c>
      <c r="D954">
        <v>55197</v>
      </c>
      <c r="E954" t="s">
        <v>330</v>
      </c>
      <c r="F954">
        <v>8716</v>
      </c>
      <c r="G954">
        <v>0.40029255679237102</v>
      </c>
      <c r="H954">
        <v>0</v>
      </c>
      <c r="I954">
        <v>0</v>
      </c>
      <c r="J954">
        <v>0.30334540763137641</v>
      </c>
      <c r="K954">
        <v>6.1803412391843582E-185</v>
      </c>
      <c r="L954">
        <v>8.7894334032720036E-185</v>
      </c>
      <c r="M954">
        <v>0.20728803357820749</v>
      </c>
      <c r="N954">
        <v>3.4464107336365578E-185</v>
      </c>
      <c r="O954">
        <v>4.9429426929384298E-185</v>
      </c>
      <c r="P954">
        <v>0.16023413102337361</v>
      </c>
      <c r="Q954">
        <v>1.0063088677042751</v>
      </c>
      <c r="R954">
        <v>2.941960229308187</v>
      </c>
      <c r="S954">
        <v>0.32490467968695053</v>
      </c>
      <c r="T954">
        <v>0.2475625194024762</v>
      </c>
      <c r="U954">
        <v>4.3177108791877004</v>
      </c>
      <c r="V954">
        <v>0.14104184712444839</v>
      </c>
      <c r="W954">
        <v>7.2869109752179897</v>
      </c>
      <c r="X954">
        <v>0.35456982417073019</v>
      </c>
      <c r="Z954" t="s">
        <v>392</v>
      </c>
      <c r="AA954">
        <v>9937</v>
      </c>
      <c r="AB954" t="s">
        <v>1345</v>
      </c>
      <c r="AC954" t="str">
        <f>HYPERLINK("plots/20251231000436_3FT6Y121H01_04823_B11P_N_UFLEX98_M5358A8BH101511/dpll_52094/txpa_55197.png","plot")</f>
        <v>plot</v>
      </c>
    </row>
    <row r="955" spans="1:29" hidden="1" x14ac:dyDescent="0.35">
      <c r="A955" t="s">
        <v>46</v>
      </c>
      <c r="B955">
        <v>52094</v>
      </c>
      <c r="C955" t="s">
        <v>53</v>
      </c>
      <c r="D955">
        <v>55198</v>
      </c>
      <c r="E955" t="s">
        <v>331</v>
      </c>
      <c r="F955">
        <v>8713</v>
      </c>
      <c r="G955">
        <v>0.46923331300454552</v>
      </c>
      <c r="H955">
        <v>0</v>
      </c>
      <c r="I955">
        <v>0</v>
      </c>
      <c r="J955">
        <v>0.36035402821503382</v>
      </c>
      <c r="K955">
        <v>1.8455048878840841E-265</v>
      </c>
      <c r="L955">
        <v>3.3536594199183887E-265</v>
      </c>
      <c r="M955">
        <v>0.2487704668323085</v>
      </c>
      <c r="N955">
        <v>1.0471838294606429E-265</v>
      </c>
      <c r="O955">
        <v>1.9029469589123511E-265</v>
      </c>
      <c r="P955">
        <v>0.2201799020332218</v>
      </c>
      <c r="Q955">
        <v>1.111564187456876</v>
      </c>
      <c r="R955">
        <v>2.5053267601498019</v>
      </c>
      <c r="S955">
        <v>0.29473733671148272</v>
      </c>
      <c r="T955">
        <v>0.23086809492092361</v>
      </c>
      <c r="U955">
        <v>4.3178365214047973</v>
      </c>
      <c r="V955">
        <v>0.1409019999433192</v>
      </c>
      <c r="W955">
        <v>7.304879204636749</v>
      </c>
      <c r="X955">
        <v>0.33378196461623999</v>
      </c>
      <c r="Z955" t="s">
        <v>392</v>
      </c>
      <c r="AA955">
        <v>9937</v>
      </c>
      <c r="AB955" t="s">
        <v>1346</v>
      </c>
      <c r="AC955" t="str">
        <f>HYPERLINK("plots/20251231000436_3FT6Y121H01_04823_B11P_N_UFLEX98_M5358A8BH101511/dpll_52094/txpa_55198.png","plot")</f>
        <v>plot</v>
      </c>
    </row>
    <row r="956" spans="1:29" hidden="1" x14ac:dyDescent="0.35">
      <c r="A956" t="s">
        <v>46</v>
      </c>
      <c r="B956">
        <v>52094</v>
      </c>
      <c r="C956" t="s">
        <v>53</v>
      </c>
      <c r="D956">
        <v>55199</v>
      </c>
      <c r="E956" t="s">
        <v>332</v>
      </c>
      <c r="F956">
        <v>8716</v>
      </c>
      <c r="G956">
        <v>0.40827883987211872</v>
      </c>
      <c r="H956">
        <v>0</v>
      </c>
      <c r="I956">
        <v>0</v>
      </c>
      <c r="J956">
        <v>0.3024326324083389</v>
      </c>
      <c r="K956">
        <v>8.7959932559214888E-184</v>
      </c>
      <c r="L956">
        <v>1.2404919557029751E-183</v>
      </c>
      <c r="M956">
        <v>0.2061880925211784</v>
      </c>
      <c r="N956">
        <v>2.9906966562915131E-183</v>
      </c>
      <c r="O956">
        <v>4.2592224852241492E-183</v>
      </c>
      <c r="P956">
        <v>0.16669161108732319</v>
      </c>
      <c r="Q956">
        <v>1.014328604759194</v>
      </c>
      <c r="R956">
        <v>2.8597968843003758</v>
      </c>
      <c r="S956">
        <v>0.31985102725396591</v>
      </c>
      <c r="T956">
        <v>0.2434406328766309</v>
      </c>
      <c r="U956">
        <v>4.3177108791877004</v>
      </c>
      <c r="V956">
        <v>0.14104184712444839</v>
      </c>
      <c r="W956">
        <v>7.2393745361404314</v>
      </c>
      <c r="X956">
        <v>0.35040459126221563</v>
      </c>
      <c r="Z956" t="s">
        <v>392</v>
      </c>
      <c r="AA956">
        <v>9937</v>
      </c>
      <c r="AB956" t="s">
        <v>1347</v>
      </c>
      <c r="AC956" t="str">
        <f>HYPERLINK("plots/20251231000436_3FT6Y121H01_04823_B11P_N_UFLEX98_M5358A8BH101511/dpll_52094/txpa_55199.png","plot")</f>
        <v>plot</v>
      </c>
    </row>
    <row r="957" spans="1:29" hidden="1" x14ac:dyDescent="0.35">
      <c r="A957" t="s">
        <v>46</v>
      </c>
      <c r="B957">
        <v>52094</v>
      </c>
      <c r="C957" t="s">
        <v>53</v>
      </c>
      <c r="D957">
        <v>55200</v>
      </c>
      <c r="E957" t="s">
        <v>333</v>
      </c>
      <c r="F957">
        <v>8712</v>
      </c>
      <c r="G957">
        <v>0.50355947510229726</v>
      </c>
      <c r="H957">
        <v>0</v>
      </c>
      <c r="I957">
        <v>0</v>
      </c>
      <c r="J957">
        <v>0.38154609363270858</v>
      </c>
      <c r="K957">
        <v>6.0919817651971998E-300</v>
      </c>
      <c r="L957">
        <v>1.2232216851306849E-299</v>
      </c>
      <c r="M957">
        <v>0.26234483490360361</v>
      </c>
      <c r="N957">
        <v>3.2283072009244272E-295</v>
      </c>
      <c r="O957">
        <v>6.4693745093623888E-295</v>
      </c>
      <c r="P957">
        <v>0.25357214496530112</v>
      </c>
      <c r="Q957">
        <v>1.051848130303088</v>
      </c>
      <c r="R957">
        <v>2.8058756833646501</v>
      </c>
      <c r="S957">
        <v>0.25417272692083048</v>
      </c>
      <c r="T957">
        <v>0.19551688528249059</v>
      </c>
      <c r="U957">
        <v>4.3178804982782371</v>
      </c>
      <c r="V957">
        <v>0.14085027158546581</v>
      </c>
      <c r="W957">
        <v>7.3476302123507811</v>
      </c>
      <c r="X957">
        <v>0.29421171111864641</v>
      </c>
      <c r="Z957" t="s">
        <v>392</v>
      </c>
      <c r="AA957">
        <v>9937</v>
      </c>
      <c r="AB957" t="s">
        <v>1348</v>
      </c>
      <c r="AC957" t="str">
        <f>HYPERLINK("plots/20251231000436_3FT6Y121H01_04823_B11P_N_UFLEX98_M5358A8BH101511/dpll_52094/txpa_55200.png","plot")</f>
        <v>plot</v>
      </c>
    </row>
    <row r="958" spans="1:29" hidden="1" x14ac:dyDescent="0.35">
      <c r="A958" t="s">
        <v>46</v>
      </c>
      <c r="B958">
        <v>52094</v>
      </c>
      <c r="C958" t="s">
        <v>53</v>
      </c>
      <c r="D958">
        <v>55201</v>
      </c>
      <c r="E958" t="s">
        <v>334</v>
      </c>
      <c r="F958">
        <v>8716</v>
      </c>
      <c r="G958">
        <v>0.45471024115269443</v>
      </c>
      <c r="H958">
        <v>0</v>
      </c>
      <c r="I958">
        <v>0</v>
      </c>
      <c r="J958">
        <v>0.3393330951511021</v>
      </c>
      <c r="K958">
        <v>8.2874670048564363E-234</v>
      </c>
      <c r="L958">
        <v>1.3488750470183671E-233</v>
      </c>
      <c r="M958">
        <v>0.23222107217007229</v>
      </c>
      <c r="N958">
        <v>6.9657219855090666E-232</v>
      </c>
      <c r="O958">
        <v>1.1283134334354939E-231</v>
      </c>
      <c r="P958">
        <v>0.20676140340914151</v>
      </c>
      <c r="Q958">
        <v>0.98346016887269982</v>
      </c>
      <c r="R958">
        <v>2.9980668584081842</v>
      </c>
      <c r="S958">
        <v>0.27167334511194469</v>
      </c>
      <c r="T958">
        <v>0.2070869886021941</v>
      </c>
      <c r="U958">
        <v>4.3177108791877004</v>
      </c>
      <c r="V958">
        <v>0.14104184712444839</v>
      </c>
      <c r="W958">
        <v>7.2443635287976136</v>
      </c>
      <c r="X958">
        <v>0.30504929565584238</v>
      </c>
      <c r="Z958" t="s">
        <v>392</v>
      </c>
      <c r="AA958">
        <v>9937</v>
      </c>
      <c r="AB958" t="s">
        <v>1349</v>
      </c>
      <c r="AC958" t="str">
        <f>HYPERLINK("plots/20251231000436_3FT6Y121H01_04823_B11P_N_UFLEX98_M5358A8BH101511/dpll_52094/txpa_55201.png","plot")</f>
        <v>plot</v>
      </c>
    </row>
    <row r="959" spans="1:29" hidden="1" x14ac:dyDescent="0.35">
      <c r="A959" t="s">
        <v>46</v>
      </c>
      <c r="B959">
        <v>52094</v>
      </c>
      <c r="C959" t="s">
        <v>53</v>
      </c>
      <c r="D959">
        <v>55202</v>
      </c>
      <c r="E959" t="s">
        <v>335</v>
      </c>
      <c r="F959">
        <v>8708</v>
      </c>
      <c r="G959">
        <v>0.45312183273942319</v>
      </c>
      <c r="H959">
        <v>0</v>
      </c>
      <c r="I959">
        <v>0</v>
      </c>
      <c r="J959">
        <v>0.33143337012444513</v>
      </c>
      <c r="K959">
        <v>2.6828223106506169E-222</v>
      </c>
      <c r="L959">
        <v>4.2307648880244571E-222</v>
      </c>
      <c r="M959">
        <v>0.22787520827768509</v>
      </c>
      <c r="N959">
        <v>3.6759790257143093E-223</v>
      </c>
      <c r="O959">
        <v>5.8332437121663667E-223</v>
      </c>
      <c r="P959">
        <v>0.20531939530513379</v>
      </c>
      <c r="Q959">
        <v>1.1061256714701799</v>
      </c>
      <c r="R959">
        <v>2.7521005264920242</v>
      </c>
      <c r="S959">
        <v>0.30602747957300969</v>
      </c>
      <c r="T959">
        <v>0.23621026532476791</v>
      </c>
      <c r="U959">
        <v>4.3180583019062926</v>
      </c>
      <c r="V959">
        <v>0.14063699335750021</v>
      </c>
      <c r="W959">
        <v>7.5284156651355083</v>
      </c>
      <c r="X959">
        <v>0.3433120575334791</v>
      </c>
      <c r="Z959" t="s">
        <v>392</v>
      </c>
      <c r="AA959">
        <v>9937</v>
      </c>
      <c r="AB959" t="s">
        <v>1350</v>
      </c>
      <c r="AC959" t="str">
        <f>HYPERLINK("plots/20251231000436_3FT6Y121H01_04823_B11P_N_UFLEX98_M5358A8BH101511/dpll_52094/txpa_55202.png","plot")</f>
        <v>plot</v>
      </c>
    </row>
    <row r="960" spans="1:29" hidden="1" x14ac:dyDescent="0.35">
      <c r="A960" t="s">
        <v>46</v>
      </c>
      <c r="B960">
        <v>52094</v>
      </c>
      <c r="C960" t="s">
        <v>53</v>
      </c>
      <c r="D960">
        <v>55203</v>
      </c>
      <c r="E960" t="s">
        <v>336</v>
      </c>
      <c r="F960">
        <v>8682</v>
      </c>
      <c r="G960">
        <v>0.44551688939960499</v>
      </c>
      <c r="H960">
        <v>0</v>
      </c>
      <c r="I960">
        <v>0</v>
      </c>
      <c r="J960">
        <v>0.36464027554934281</v>
      </c>
      <c r="K960">
        <v>2.8498137366071092E-271</v>
      </c>
      <c r="L960">
        <v>5.2349839292021894E-271</v>
      </c>
      <c r="M960">
        <v>0.25124868645146958</v>
      </c>
      <c r="N960">
        <v>5.0128148671519128E-270</v>
      </c>
      <c r="O960">
        <v>9.208322962485578E-270</v>
      </c>
      <c r="P960">
        <v>0.19848529874029991</v>
      </c>
      <c r="Q960">
        <v>1.0632370166735969</v>
      </c>
      <c r="R960">
        <v>3.8086474607940128</v>
      </c>
      <c r="S960">
        <v>0.29653038888081729</v>
      </c>
      <c r="T960">
        <v>0.21645528716239101</v>
      </c>
      <c r="U960">
        <v>4.3193437153881602</v>
      </c>
      <c r="V960">
        <v>0.1387945962798052</v>
      </c>
      <c r="W960">
        <v>8.4011335867311701</v>
      </c>
      <c r="X960">
        <v>0.33123671849529462</v>
      </c>
      <c r="Z960" t="s">
        <v>392</v>
      </c>
      <c r="AA960">
        <v>9937</v>
      </c>
      <c r="AB960" t="s">
        <v>1351</v>
      </c>
      <c r="AC960" t="str">
        <f>HYPERLINK("plots/20251231000436_3FT6Y121H01_04823_B11P_N_UFLEX98_M5358A8BH101511/dpll_52094/txpa_55203.png","plot")</f>
        <v>plot</v>
      </c>
    </row>
    <row r="961" spans="1:29" hidden="1" x14ac:dyDescent="0.35">
      <c r="A961" t="s">
        <v>46</v>
      </c>
      <c r="B961">
        <v>52094</v>
      </c>
      <c r="C961" t="s">
        <v>53</v>
      </c>
      <c r="D961">
        <v>55204</v>
      </c>
      <c r="E961" t="s">
        <v>337</v>
      </c>
      <c r="F961">
        <v>8705</v>
      </c>
      <c r="G961">
        <v>0.49368491005519732</v>
      </c>
      <c r="H961">
        <v>0</v>
      </c>
      <c r="I961">
        <v>0</v>
      </c>
      <c r="J961">
        <v>0.39472465158054459</v>
      </c>
      <c r="K961">
        <v>0</v>
      </c>
      <c r="L961">
        <v>0</v>
      </c>
      <c r="M961">
        <v>0.27116456191081079</v>
      </c>
      <c r="N961">
        <v>0</v>
      </c>
      <c r="O961">
        <v>0</v>
      </c>
      <c r="P961">
        <v>0.2437247904162082</v>
      </c>
      <c r="Q961">
        <v>1.0701311682320229</v>
      </c>
      <c r="R961">
        <v>3.4696439499141012</v>
      </c>
      <c r="S961">
        <v>0.26480607208736179</v>
      </c>
      <c r="T961">
        <v>0.19551462149182691</v>
      </c>
      <c r="U961">
        <v>4.3181835758759339</v>
      </c>
      <c r="V961">
        <v>0.1404836534583761</v>
      </c>
      <c r="W961">
        <v>8.0906667846065474</v>
      </c>
      <c r="X961">
        <v>0.30451798937120861</v>
      </c>
      <c r="Z961" t="s">
        <v>392</v>
      </c>
      <c r="AA961">
        <v>9937</v>
      </c>
      <c r="AB961" t="s">
        <v>1352</v>
      </c>
      <c r="AC961" t="str">
        <f>HYPERLINK("plots/20251231000436_3FT6Y121H01_04823_B11P_N_UFLEX98_M5358A8BH101511/dpll_52094/txpa_55204.png","plot")</f>
        <v>plot</v>
      </c>
    </row>
    <row r="962" spans="1:29" hidden="1" x14ac:dyDescent="0.35">
      <c r="A962" t="s">
        <v>46</v>
      </c>
      <c r="B962">
        <v>52094</v>
      </c>
      <c r="C962" t="s">
        <v>53</v>
      </c>
      <c r="D962">
        <v>55205</v>
      </c>
      <c r="E962" t="s">
        <v>338</v>
      </c>
      <c r="F962">
        <v>8716</v>
      </c>
      <c r="G962">
        <v>0.43077738943493271</v>
      </c>
      <c r="H962">
        <v>0</v>
      </c>
      <c r="I962">
        <v>0</v>
      </c>
      <c r="J962">
        <v>0.32385415652657151</v>
      </c>
      <c r="K962">
        <v>5.8142893387334601E-212</v>
      </c>
      <c r="L962">
        <v>8.8924425180629389E-212</v>
      </c>
      <c r="M962">
        <v>0.22176132455513081</v>
      </c>
      <c r="N962">
        <v>1.1884652692938309E-211</v>
      </c>
      <c r="O962">
        <v>1.823152470595982E-211</v>
      </c>
      <c r="P962">
        <v>0.18556915924837569</v>
      </c>
      <c r="Q962">
        <v>1.0844585911295359</v>
      </c>
      <c r="R962">
        <v>3.4931135018398711</v>
      </c>
      <c r="S962">
        <v>0.32041309057787459</v>
      </c>
      <c r="T962">
        <v>0.2413055270004443</v>
      </c>
      <c r="U962">
        <v>4.3177108791877004</v>
      </c>
      <c r="V962">
        <v>0.14104184712444839</v>
      </c>
      <c r="W962">
        <v>8.1754921587884368</v>
      </c>
      <c r="X962">
        <v>0.35506516027575752</v>
      </c>
      <c r="Z962" t="s">
        <v>392</v>
      </c>
      <c r="AA962">
        <v>9937</v>
      </c>
      <c r="AB962" t="s">
        <v>1353</v>
      </c>
      <c r="AC962" t="str">
        <f>HYPERLINK("plots/20251231000436_3FT6Y121H01_04823_B11P_N_UFLEX98_M5358A8BH101511/dpll_52094/txpa_55205.png","plot")</f>
        <v>plot</v>
      </c>
    </row>
    <row r="963" spans="1:29" hidden="1" x14ac:dyDescent="0.35">
      <c r="A963" t="s">
        <v>46</v>
      </c>
      <c r="B963">
        <v>52094</v>
      </c>
      <c r="C963" t="s">
        <v>53</v>
      </c>
      <c r="D963">
        <v>55206</v>
      </c>
      <c r="E963" t="s">
        <v>339</v>
      </c>
      <c r="F963">
        <v>8710</v>
      </c>
      <c r="G963">
        <v>0.48295613508452612</v>
      </c>
      <c r="H963">
        <v>0</v>
      </c>
      <c r="I963">
        <v>0</v>
      </c>
      <c r="J963">
        <v>0.37387745142826201</v>
      </c>
      <c r="K963">
        <v>4.3580448551801553E-287</v>
      </c>
      <c r="L963">
        <v>8.3694270514255251E-287</v>
      </c>
      <c r="M963">
        <v>0.25925346111474712</v>
      </c>
      <c r="N963">
        <v>2.7488638073469949E-288</v>
      </c>
      <c r="O963">
        <v>5.3602844243266397E-288</v>
      </c>
      <c r="P963">
        <v>0.233246628415783</v>
      </c>
      <c r="Q963">
        <v>1.1584786467537449</v>
      </c>
      <c r="R963">
        <v>3.193045370041129</v>
      </c>
      <c r="S963">
        <v>0.29554243821438442</v>
      </c>
      <c r="T963">
        <v>0.22748913126557271</v>
      </c>
      <c r="U963">
        <v>4.3179794463834673</v>
      </c>
      <c r="V963">
        <v>0.1407137675084803</v>
      </c>
      <c r="W963">
        <v>8.1953323557979321</v>
      </c>
      <c r="X963">
        <v>0.33753354211830211</v>
      </c>
      <c r="Z963" t="s">
        <v>392</v>
      </c>
      <c r="AA963">
        <v>9937</v>
      </c>
      <c r="AB963" t="s">
        <v>1354</v>
      </c>
      <c r="AC963" t="str">
        <f>HYPERLINK("plots/20251231000436_3FT6Y121H01_04823_B11P_N_UFLEX98_M5358A8BH101511/dpll_52094/txpa_55206.png","plot")</f>
        <v>plot</v>
      </c>
    </row>
    <row r="964" spans="1:29" hidden="1" x14ac:dyDescent="0.35">
      <c r="A964" t="s">
        <v>46</v>
      </c>
      <c r="B964">
        <v>52094</v>
      </c>
      <c r="C964" t="s">
        <v>53</v>
      </c>
      <c r="D964">
        <v>55207</v>
      </c>
      <c r="E964" t="s">
        <v>340</v>
      </c>
      <c r="F964">
        <v>8716</v>
      </c>
      <c r="G964">
        <v>0.43797320658739169</v>
      </c>
      <c r="H964">
        <v>0</v>
      </c>
      <c r="I964">
        <v>0</v>
      </c>
      <c r="J964">
        <v>0.3193508927269727</v>
      </c>
      <c r="K964">
        <v>7.6512837544155348E-206</v>
      </c>
      <c r="L964">
        <v>1.1579704070115449E-205</v>
      </c>
      <c r="M964">
        <v>0.21825361196356879</v>
      </c>
      <c r="N964">
        <v>4.4880559344189059E-205</v>
      </c>
      <c r="O964">
        <v>6.7822484612530111E-205</v>
      </c>
      <c r="P964">
        <v>0.1918205296884421</v>
      </c>
      <c r="Q964">
        <v>1.087294669153406</v>
      </c>
      <c r="R964">
        <v>3.4427193343549449</v>
      </c>
      <c r="S964">
        <v>0.31475794033378768</v>
      </c>
      <c r="T964">
        <v>0.2381988998289708</v>
      </c>
      <c r="U964">
        <v>4.3177108791877004</v>
      </c>
      <c r="V964">
        <v>0.14104184712444839</v>
      </c>
      <c r="W964">
        <v>8.1373433562413968</v>
      </c>
      <c r="X964">
        <v>0.35014481753545929</v>
      </c>
      <c r="Z964" t="s">
        <v>392</v>
      </c>
      <c r="AA964">
        <v>9937</v>
      </c>
      <c r="AB964" t="s">
        <v>1355</v>
      </c>
      <c r="AC964" t="str">
        <f>HYPERLINK("plots/20251231000436_3FT6Y121H01_04823_B11P_N_UFLEX98_M5358A8BH101511/dpll_52094/txpa_55207.png","plot")</f>
        <v>plot</v>
      </c>
    </row>
    <row r="965" spans="1:29" hidden="1" x14ac:dyDescent="0.35">
      <c r="A965" t="s">
        <v>46</v>
      </c>
      <c r="B965">
        <v>52094</v>
      </c>
      <c r="C965" t="s">
        <v>53</v>
      </c>
      <c r="D965">
        <v>55208</v>
      </c>
      <c r="E965" t="s">
        <v>341</v>
      </c>
      <c r="F965">
        <v>8706</v>
      </c>
      <c r="G965">
        <v>0.51246275334266711</v>
      </c>
      <c r="H965">
        <v>0</v>
      </c>
      <c r="I965">
        <v>0</v>
      </c>
      <c r="J965">
        <v>0.39475533685421771</v>
      </c>
      <c r="K965">
        <v>0</v>
      </c>
      <c r="L965">
        <v>0</v>
      </c>
      <c r="M965">
        <v>0.2725871232973574</v>
      </c>
      <c r="N965">
        <v>0</v>
      </c>
      <c r="O965">
        <v>0</v>
      </c>
      <c r="P965">
        <v>0.26261807356354733</v>
      </c>
      <c r="Q965">
        <v>1.0982424005035569</v>
      </c>
      <c r="R965">
        <v>3.4894603935998552</v>
      </c>
      <c r="S965">
        <v>0.25868819445289681</v>
      </c>
      <c r="T965">
        <v>0.19476347798743801</v>
      </c>
      <c r="U965">
        <v>4.3181261202618888</v>
      </c>
      <c r="V965">
        <v>0.14057866276440401</v>
      </c>
      <c r="W965">
        <v>8.2318095895933823</v>
      </c>
      <c r="X965">
        <v>0.30126959871115527</v>
      </c>
      <c r="Z965" t="s">
        <v>392</v>
      </c>
      <c r="AA965">
        <v>9937</v>
      </c>
      <c r="AB965" t="s">
        <v>1356</v>
      </c>
      <c r="AC965" t="str">
        <f>HYPERLINK("plots/20251231000436_3FT6Y121H01_04823_B11P_N_UFLEX98_M5358A8BH101511/dpll_52094/txpa_55208.png","plot")</f>
        <v>plot</v>
      </c>
    </row>
    <row r="966" spans="1:29" hidden="1" x14ac:dyDescent="0.35">
      <c r="A966" t="s">
        <v>46</v>
      </c>
      <c r="B966">
        <v>52094</v>
      </c>
      <c r="C966" t="s">
        <v>53</v>
      </c>
      <c r="D966">
        <v>55209</v>
      </c>
      <c r="E966" t="s">
        <v>342</v>
      </c>
      <c r="F966">
        <v>8713</v>
      </c>
      <c r="G966">
        <v>0.47830021298119979</v>
      </c>
      <c r="H966">
        <v>0</v>
      </c>
      <c r="I966">
        <v>0</v>
      </c>
      <c r="J966">
        <v>0.35500871640288301</v>
      </c>
      <c r="K966">
        <v>3.6885231588440497E-257</v>
      </c>
      <c r="L966">
        <v>6.4374569415970178E-257</v>
      </c>
      <c r="M966">
        <v>0.24349000780321781</v>
      </c>
      <c r="N966">
        <v>1.231928393250658E-254</v>
      </c>
      <c r="O966">
        <v>2.1537506737175291E-254</v>
      </c>
      <c r="P966">
        <v>0.22877109373786109</v>
      </c>
      <c r="Q966">
        <v>1.053134893447411</v>
      </c>
      <c r="R966">
        <v>3.5961783464101882</v>
      </c>
      <c r="S966">
        <v>0.27243746165275079</v>
      </c>
      <c r="T966">
        <v>0.20538005427950051</v>
      </c>
      <c r="U966">
        <v>4.3178365779869159</v>
      </c>
      <c r="V966">
        <v>0.14090184218852489</v>
      </c>
      <c r="W966">
        <v>8.1434427108917706</v>
      </c>
      <c r="X966">
        <v>0.31024164851373082</v>
      </c>
      <c r="Z966" t="s">
        <v>392</v>
      </c>
      <c r="AA966">
        <v>9937</v>
      </c>
      <c r="AB966" t="s">
        <v>1357</v>
      </c>
      <c r="AC966" t="str">
        <f>HYPERLINK("plots/20251231000436_3FT6Y121H01_04823_B11P_N_UFLEX98_M5358A8BH101511/dpll_52094/txpa_55209.png","plot")</f>
        <v>plot</v>
      </c>
    </row>
    <row r="967" spans="1:29" hidden="1" x14ac:dyDescent="0.35">
      <c r="A967" t="s">
        <v>46</v>
      </c>
      <c r="B967">
        <v>52094</v>
      </c>
      <c r="C967" t="s">
        <v>53</v>
      </c>
      <c r="D967">
        <v>55210</v>
      </c>
      <c r="E967" t="s">
        <v>343</v>
      </c>
      <c r="F967">
        <v>8692</v>
      </c>
      <c r="G967">
        <v>0.45951843844382789</v>
      </c>
      <c r="H967">
        <v>0</v>
      </c>
      <c r="I967">
        <v>0</v>
      </c>
      <c r="J967">
        <v>0.34775015367633028</v>
      </c>
      <c r="K967">
        <v>1.487148412415231E-245</v>
      </c>
      <c r="L967">
        <v>2.517476611333963E-245</v>
      </c>
      <c r="M967">
        <v>0.2403058273610062</v>
      </c>
      <c r="N967">
        <v>1.753300219903542E-247</v>
      </c>
      <c r="O967">
        <v>2.9729873294016579E-247</v>
      </c>
      <c r="P967">
        <v>0.2111571952698541</v>
      </c>
      <c r="Q967">
        <v>1.116862087616773</v>
      </c>
      <c r="R967">
        <v>3.587631225029416</v>
      </c>
      <c r="S967">
        <v>0.30126672617587269</v>
      </c>
      <c r="T967">
        <v>0.22919474841590501</v>
      </c>
      <c r="U967">
        <v>4.3188295276115971</v>
      </c>
      <c r="V967">
        <v>0.13956750382129829</v>
      </c>
      <c r="W967">
        <v>8.4111681872986654</v>
      </c>
      <c r="X967">
        <v>0.33921958433093818</v>
      </c>
      <c r="Z967" t="s">
        <v>392</v>
      </c>
      <c r="AA967">
        <v>9937</v>
      </c>
      <c r="AB967" t="s">
        <v>1358</v>
      </c>
      <c r="AC967" t="str">
        <f>HYPERLINK("plots/20251231000436_3FT6Y121H01_04823_B11P_N_UFLEX98_M5358A8BH101511/dpll_52094/txpa_55210.png","plot")</f>
        <v>plot</v>
      </c>
    </row>
    <row r="968" spans="1:29" hidden="1" x14ac:dyDescent="0.35">
      <c r="A968" t="s">
        <v>46</v>
      </c>
      <c r="B968">
        <v>52094</v>
      </c>
      <c r="C968" t="s">
        <v>53</v>
      </c>
      <c r="D968">
        <v>55211</v>
      </c>
      <c r="E968" t="s">
        <v>344</v>
      </c>
      <c r="F968">
        <v>8660</v>
      </c>
      <c r="G968">
        <v>0.44167176863990798</v>
      </c>
      <c r="H968">
        <v>0</v>
      </c>
      <c r="I968">
        <v>0</v>
      </c>
      <c r="J968">
        <v>0.38710562764747852</v>
      </c>
      <c r="K968">
        <v>1.347983874517214E-307</v>
      </c>
      <c r="L968">
        <v>2.8240819189265592E-307</v>
      </c>
      <c r="M968">
        <v>0.26872377933599673</v>
      </c>
      <c r="N968">
        <v>8.3166016659680246E-308</v>
      </c>
      <c r="O968">
        <v>1.742362415142888E-307</v>
      </c>
      <c r="P968">
        <v>0.19507395121350449</v>
      </c>
      <c r="Q968">
        <v>1.086444295966742</v>
      </c>
      <c r="R968">
        <v>4.5300809229835641</v>
      </c>
      <c r="S968">
        <v>0.30347303331125619</v>
      </c>
      <c r="T968">
        <v>0.21636301687803189</v>
      </c>
      <c r="U968">
        <v>4.3201747226327942</v>
      </c>
      <c r="V968">
        <v>0.13751794281065871</v>
      </c>
      <c r="W968">
        <v>9.2237101079676673</v>
      </c>
      <c r="X968">
        <v>0.33827288762377339</v>
      </c>
      <c r="Z968" t="s">
        <v>392</v>
      </c>
      <c r="AA968">
        <v>9937</v>
      </c>
      <c r="AB968" t="s">
        <v>1359</v>
      </c>
      <c r="AC968" t="str">
        <f>HYPERLINK("plots/20251231000436_3FT6Y121H01_04823_B11P_N_UFLEX98_M5358A8BH101511/dpll_52094/txpa_55211.png","plot")</f>
        <v>plot</v>
      </c>
    </row>
    <row r="969" spans="1:29" hidden="1" x14ac:dyDescent="0.35">
      <c r="A969" t="s">
        <v>46</v>
      </c>
      <c r="B969">
        <v>52094</v>
      </c>
      <c r="C969" t="s">
        <v>53</v>
      </c>
      <c r="D969">
        <v>55212</v>
      </c>
      <c r="E969" t="s">
        <v>345</v>
      </c>
      <c r="F969">
        <v>8702</v>
      </c>
      <c r="G969">
        <v>0.50039096576466358</v>
      </c>
      <c r="H969">
        <v>0</v>
      </c>
      <c r="I969">
        <v>0</v>
      </c>
      <c r="J969">
        <v>0.41065384066920402</v>
      </c>
      <c r="K969">
        <v>0</v>
      </c>
      <c r="L969">
        <v>0</v>
      </c>
      <c r="M969">
        <v>0.28388533518664821</v>
      </c>
      <c r="N969">
        <v>0</v>
      </c>
      <c r="O969">
        <v>0</v>
      </c>
      <c r="P969">
        <v>0.25039111861889268</v>
      </c>
      <c r="Q969">
        <v>1.135003741342014</v>
      </c>
      <c r="R969">
        <v>4.0497423891297633</v>
      </c>
      <c r="S969">
        <v>0.27567128194156998</v>
      </c>
      <c r="T969">
        <v>0.19836340628276011</v>
      </c>
      <c r="U969">
        <v>4.3182472168467019</v>
      </c>
      <c r="V969">
        <v>0.14038195503541431</v>
      </c>
      <c r="W969">
        <v>8.9509691362905084</v>
      </c>
      <c r="X969">
        <v>0.31841910642534932</v>
      </c>
      <c r="Z969" t="s">
        <v>392</v>
      </c>
      <c r="AA969">
        <v>9937</v>
      </c>
      <c r="AB969" t="s">
        <v>1360</v>
      </c>
      <c r="AC969" t="str">
        <f>HYPERLINK("plots/20251231000436_3FT6Y121H01_04823_B11P_N_UFLEX98_M5358A8BH101511/dpll_52094/txpa_55212.png","plot")</f>
        <v>plot</v>
      </c>
    </row>
    <row r="970" spans="1:29" hidden="1" x14ac:dyDescent="0.35">
      <c r="A970" t="s">
        <v>46</v>
      </c>
      <c r="B970">
        <v>52094</v>
      </c>
      <c r="C970" t="s">
        <v>53</v>
      </c>
      <c r="D970">
        <v>55213</v>
      </c>
      <c r="E970" t="s">
        <v>346</v>
      </c>
      <c r="F970">
        <v>8711</v>
      </c>
      <c r="G970">
        <v>0.45832731482137079</v>
      </c>
      <c r="H970">
        <v>0</v>
      </c>
      <c r="I970">
        <v>0</v>
      </c>
      <c r="J970">
        <v>0.34975786682575127</v>
      </c>
      <c r="K970">
        <v>4.1931985296236198E-249</v>
      </c>
      <c r="L970">
        <v>7.1221160955416253E-249</v>
      </c>
      <c r="M970">
        <v>0.24034645882620381</v>
      </c>
      <c r="N970">
        <v>4.2052863221254581E-248</v>
      </c>
      <c r="O970">
        <v>7.1426471199919841E-248</v>
      </c>
      <c r="P970">
        <v>0.21006392751136799</v>
      </c>
      <c r="Q970">
        <v>1.1663324220991891</v>
      </c>
      <c r="R970">
        <v>3.976066379451813</v>
      </c>
      <c r="S970">
        <v>0.31848715562606622</v>
      </c>
      <c r="T970">
        <v>0.23567934041509081</v>
      </c>
      <c r="U970">
        <v>4.3179117282745949</v>
      </c>
      <c r="V970">
        <v>0.14082322000817279</v>
      </c>
      <c r="W970">
        <v>9.0121868239008158</v>
      </c>
      <c r="X970">
        <v>0.35836111435765677</v>
      </c>
      <c r="Z970" t="s">
        <v>392</v>
      </c>
      <c r="AA970">
        <v>9937</v>
      </c>
      <c r="AB970" t="s">
        <v>1361</v>
      </c>
      <c r="AC970" t="str">
        <f>HYPERLINK("plots/20251231000436_3FT6Y121H01_04823_B11P_N_UFLEX98_M5358A8BH101511/dpll_52094/txpa_55213.png","plot")</f>
        <v>plot</v>
      </c>
    </row>
    <row r="971" spans="1:29" hidden="1" x14ac:dyDescent="0.35">
      <c r="A971" t="s">
        <v>46</v>
      </c>
      <c r="B971">
        <v>52094</v>
      </c>
      <c r="C971" t="s">
        <v>53</v>
      </c>
      <c r="D971">
        <v>55214</v>
      </c>
      <c r="E971" t="s">
        <v>347</v>
      </c>
      <c r="F971">
        <v>8699</v>
      </c>
      <c r="G971">
        <v>0.49285415244905789</v>
      </c>
      <c r="H971">
        <v>0</v>
      </c>
      <c r="I971">
        <v>0</v>
      </c>
      <c r="J971">
        <v>0.39035774185375421</v>
      </c>
      <c r="K971">
        <v>0</v>
      </c>
      <c r="L971">
        <v>0</v>
      </c>
      <c r="M971">
        <v>0.27201627152944913</v>
      </c>
      <c r="N971">
        <v>0</v>
      </c>
      <c r="O971">
        <v>0</v>
      </c>
      <c r="P971">
        <v>0.2429052155862792</v>
      </c>
      <c r="Q971">
        <v>1.2013211042795779</v>
      </c>
      <c r="R971">
        <v>3.8468775863404221</v>
      </c>
      <c r="S971">
        <v>0.29727962092411458</v>
      </c>
      <c r="T971">
        <v>0.22366502391536441</v>
      </c>
      <c r="U971">
        <v>4.3183936835268426</v>
      </c>
      <c r="V971">
        <v>0.1401762018735718</v>
      </c>
      <c r="W971">
        <v>9.0346550549488445</v>
      </c>
      <c r="X971">
        <v>0.34167639410501283</v>
      </c>
      <c r="Z971" t="s">
        <v>392</v>
      </c>
      <c r="AA971">
        <v>9937</v>
      </c>
      <c r="AB971" t="s">
        <v>1362</v>
      </c>
      <c r="AC971" t="str">
        <f>HYPERLINK("plots/20251231000436_3FT6Y121H01_04823_B11P_N_UFLEX98_M5358A8BH101511/dpll_52094/txpa_55214.png","plot")</f>
        <v>plot</v>
      </c>
    </row>
    <row r="972" spans="1:29" hidden="1" x14ac:dyDescent="0.35">
      <c r="A972" t="s">
        <v>46</v>
      </c>
      <c r="B972">
        <v>52094</v>
      </c>
      <c r="C972" t="s">
        <v>53</v>
      </c>
      <c r="D972">
        <v>55215</v>
      </c>
      <c r="E972" t="s">
        <v>348</v>
      </c>
      <c r="F972">
        <v>8712</v>
      </c>
      <c r="G972">
        <v>0.46531017999343421</v>
      </c>
      <c r="H972">
        <v>0</v>
      </c>
      <c r="I972">
        <v>0</v>
      </c>
      <c r="J972">
        <v>0.34108183645625301</v>
      </c>
      <c r="K972">
        <v>3.0027638708823151E-236</v>
      </c>
      <c r="L972">
        <v>4.9189055978589123E-236</v>
      </c>
      <c r="M972">
        <v>0.23375521567190549</v>
      </c>
      <c r="N972">
        <v>7.9986587468382241E-235</v>
      </c>
      <c r="O972">
        <v>1.3124012895297671E-234</v>
      </c>
      <c r="P972">
        <v>0.21651356360552221</v>
      </c>
      <c r="Q972">
        <v>1.1651841145082169</v>
      </c>
      <c r="R972">
        <v>3.9548467937779428</v>
      </c>
      <c r="S972">
        <v>0.31216976797185852</v>
      </c>
      <c r="T972">
        <v>0.2335623476525712</v>
      </c>
      <c r="U972">
        <v>4.317881636822773</v>
      </c>
      <c r="V972">
        <v>0.14084713777390129</v>
      </c>
      <c r="W972">
        <v>8.9859738853305782</v>
      </c>
      <c r="X972">
        <v>0.35269558794182349</v>
      </c>
      <c r="Z972" t="s">
        <v>392</v>
      </c>
      <c r="AA972">
        <v>9937</v>
      </c>
      <c r="AB972" t="s">
        <v>1363</v>
      </c>
      <c r="AC972" t="str">
        <f>HYPERLINK("plots/20251231000436_3FT6Y121H01_04823_B11P_N_UFLEX98_M5358A8BH101511/dpll_52094/txpa_55215.png","plot")</f>
        <v>plot</v>
      </c>
    </row>
    <row r="973" spans="1:29" hidden="1" x14ac:dyDescent="0.35">
      <c r="A973" t="s">
        <v>46</v>
      </c>
      <c r="B973">
        <v>52094</v>
      </c>
      <c r="C973" t="s">
        <v>53</v>
      </c>
      <c r="D973">
        <v>55216</v>
      </c>
      <c r="E973" t="s">
        <v>349</v>
      </c>
      <c r="F973">
        <v>8694</v>
      </c>
      <c r="G973">
        <v>0.51331960576036118</v>
      </c>
      <c r="H973">
        <v>0</v>
      </c>
      <c r="I973">
        <v>0</v>
      </c>
      <c r="J973">
        <v>0.41040134364673458</v>
      </c>
      <c r="K973">
        <v>0</v>
      </c>
      <c r="L973">
        <v>0</v>
      </c>
      <c r="M973">
        <v>0.28522285579875872</v>
      </c>
      <c r="N973">
        <v>0</v>
      </c>
      <c r="O973">
        <v>0</v>
      </c>
      <c r="P973">
        <v>0.26349701765797262</v>
      </c>
      <c r="Q973">
        <v>1.143286882909887</v>
      </c>
      <c r="R973">
        <v>4.1242215838932612</v>
      </c>
      <c r="S973">
        <v>0.26740194757169361</v>
      </c>
      <c r="T973">
        <v>0.1957389675002327</v>
      </c>
      <c r="U973">
        <v>4.318666563031976</v>
      </c>
      <c r="V973">
        <v>0.13990554271328109</v>
      </c>
      <c r="W973">
        <v>9.0616964170692444</v>
      </c>
      <c r="X973">
        <v>0.31160347283745748</v>
      </c>
      <c r="Z973" t="s">
        <v>392</v>
      </c>
      <c r="AA973">
        <v>9937</v>
      </c>
      <c r="AB973" t="s">
        <v>1364</v>
      </c>
      <c r="AC973" t="str">
        <f>HYPERLINK("plots/20251231000436_3FT6Y121H01_04823_B11P_N_UFLEX98_M5358A8BH101511/dpll_52094/txpa_55216.png","plot")</f>
        <v>plot</v>
      </c>
    </row>
    <row r="974" spans="1:29" hidden="1" x14ac:dyDescent="0.35">
      <c r="A974" t="s">
        <v>46</v>
      </c>
      <c r="B974">
        <v>52094</v>
      </c>
      <c r="C974" t="s">
        <v>53</v>
      </c>
      <c r="D974">
        <v>55217</v>
      </c>
      <c r="E974" t="s">
        <v>350</v>
      </c>
      <c r="F974">
        <v>8706</v>
      </c>
      <c r="G974">
        <v>0.4973176373897214</v>
      </c>
      <c r="H974">
        <v>0</v>
      </c>
      <c r="I974">
        <v>0</v>
      </c>
      <c r="J974">
        <v>0.37447001332213298</v>
      </c>
      <c r="K974">
        <v>6.2361415379045498E-288</v>
      </c>
      <c r="L974">
        <v>1.206764793785346E-287</v>
      </c>
      <c r="M974">
        <v>0.25769356910955221</v>
      </c>
      <c r="N974">
        <v>1.003855384839479E-284</v>
      </c>
      <c r="O974">
        <v>1.938874971861394E-284</v>
      </c>
      <c r="P974">
        <v>0.24732483245889439</v>
      </c>
      <c r="Q974">
        <v>1.1302891848400229</v>
      </c>
      <c r="R974">
        <v>4.1122022269563434</v>
      </c>
      <c r="S974">
        <v>0.27709953518613267</v>
      </c>
      <c r="T974">
        <v>0.20470985869763719</v>
      </c>
      <c r="U974">
        <v>4.3181435731679301</v>
      </c>
      <c r="V974">
        <v>0.1405404166459373</v>
      </c>
      <c r="W974">
        <v>8.9929532062945086</v>
      </c>
      <c r="X974">
        <v>0.31941620611241328</v>
      </c>
      <c r="Z974" t="s">
        <v>392</v>
      </c>
      <c r="AA974">
        <v>9937</v>
      </c>
      <c r="AB974" t="s">
        <v>1365</v>
      </c>
      <c r="AC974" t="str">
        <f>HYPERLINK("plots/20251231000436_3FT6Y121H01_04823_B11P_N_UFLEX98_M5358A8BH101511/dpll_52094/txpa_55217.png","plot")</f>
        <v>plot</v>
      </c>
    </row>
    <row r="975" spans="1:29" hidden="1" x14ac:dyDescent="0.35">
      <c r="A975" t="s">
        <v>46</v>
      </c>
      <c r="B975">
        <v>52094</v>
      </c>
      <c r="C975" t="s">
        <v>53</v>
      </c>
      <c r="D975">
        <v>55218</v>
      </c>
      <c r="E975" t="s">
        <v>351</v>
      </c>
      <c r="F975">
        <v>8679</v>
      </c>
      <c r="G975">
        <v>0.46725986359404748</v>
      </c>
      <c r="H975">
        <v>0</v>
      </c>
      <c r="I975">
        <v>0</v>
      </c>
      <c r="J975">
        <v>0.36731609295802542</v>
      </c>
      <c r="K975">
        <v>1.92129673306115E-275</v>
      </c>
      <c r="L975">
        <v>3.5746695180257002E-275</v>
      </c>
      <c r="M975">
        <v>0.25566236770602901</v>
      </c>
      <c r="N975">
        <v>2.001635987933087E-279</v>
      </c>
      <c r="O975">
        <v>3.7866770368734147E-279</v>
      </c>
      <c r="P975">
        <v>0.21833178012592791</v>
      </c>
      <c r="Q975">
        <v>1.153078529603438</v>
      </c>
      <c r="R975">
        <v>4.2590967482118103</v>
      </c>
      <c r="S975">
        <v>0.30252398975528572</v>
      </c>
      <c r="T975">
        <v>0.22515287614406829</v>
      </c>
      <c r="U975">
        <v>4.3194621307754346</v>
      </c>
      <c r="V975">
        <v>0.13866702724594709</v>
      </c>
      <c r="W975">
        <v>9.2397757906440816</v>
      </c>
      <c r="X975">
        <v>0.34219496331521287</v>
      </c>
      <c r="Z975" t="s">
        <v>392</v>
      </c>
      <c r="AA975">
        <v>9937</v>
      </c>
      <c r="AB975" t="s">
        <v>1366</v>
      </c>
      <c r="AC975" t="str">
        <f>HYPERLINK("plots/20251231000436_3FT6Y121H01_04823_B11P_N_UFLEX98_M5358A8BH101511/dpll_52094/txpa_55218.png","plot")</f>
        <v>plot</v>
      </c>
    </row>
    <row r="976" spans="1:29" hidden="1" x14ac:dyDescent="0.35">
      <c r="A976" t="s">
        <v>46</v>
      </c>
      <c r="B976">
        <v>52094</v>
      </c>
      <c r="C976" t="s">
        <v>53</v>
      </c>
      <c r="D976">
        <v>55219</v>
      </c>
      <c r="E976" t="s">
        <v>352</v>
      </c>
      <c r="F976">
        <v>8642</v>
      </c>
      <c r="G976">
        <v>0.4334260361365615</v>
      </c>
      <c r="H976">
        <v>0</v>
      </c>
      <c r="I976">
        <v>0</v>
      </c>
      <c r="J976">
        <v>0.40354419284439558</v>
      </c>
      <c r="K976">
        <v>0</v>
      </c>
      <c r="L976">
        <v>0</v>
      </c>
      <c r="M976">
        <v>0.28256976321902633</v>
      </c>
      <c r="N976">
        <v>0</v>
      </c>
      <c r="O976">
        <v>0</v>
      </c>
      <c r="P976">
        <v>0.1878581288010519</v>
      </c>
      <c r="Q976">
        <v>1.134159980907959</v>
      </c>
      <c r="R976">
        <v>5.0989721156547132</v>
      </c>
      <c r="S976">
        <v>0.3210804648614235</v>
      </c>
      <c r="T976">
        <v>0.22440779381983769</v>
      </c>
      <c r="U976">
        <v>4.3209589199259426</v>
      </c>
      <c r="V976">
        <v>0.1361644504580341</v>
      </c>
      <c r="W976">
        <v>9.9996308017819953</v>
      </c>
      <c r="X976">
        <v>0.35630593839814712</v>
      </c>
      <c r="Z976" t="s">
        <v>392</v>
      </c>
      <c r="AA976">
        <v>9937</v>
      </c>
      <c r="AB976" t="s">
        <v>1367</v>
      </c>
      <c r="AC976" t="str">
        <f>HYPERLINK("plots/20251231000436_3FT6Y121H01_04823_B11P_N_UFLEX98_M5358A8BH101511/dpll_52094/txpa_55219.png","plot")</f>
        <v>plot</v>
      </c>
    </row>
    <row r="977" spans="1:29" hidden="1" x14ac:dyDescent="0.35">
      <c r="A977" t="s">
        <v>46</v>
      </c>
      <c r="B977">
        <v>52094</v>
      </c>
      <c r="C977" t="s">
        <v>53</v>
      </c>
      <c r="D977">
        <v>55220</v>
      </c>
      <c r="E977" t="s">
        <v>353</v>
      </c>
      <c r="F977">
        <v>8686</v>
      </c>
      <c r="G977">
        <v>0.49635165114134211</v>
      </c>
      <c r="H977">
        <v>0</v>
      </c>
      <c r="I977">
        <v>0</v>
      </c>
      <c r="J977">
        <v>0.42757768772744942</v>
      </c>
      <c r="K977">
        <v>0</v>
      </c>
      <c r="L977">
        <v>0</v>
      </c>
      <c r="M977">
        <v>0.29839461918780241</v>
      </c>
      <c r="N977">
        <v>0</v>
      </c>
      <c r="O977">
        <v>0</v>
      </c>
      <c r="P977">
        <v>0.24636496159073651</v>
      </c>
      <c r="Q977">
        <v>1.187833609831936</v>
      </c>
      <c r="R977">
        <v>4.6555447845474669</v>
      </c>
      <c r="S977">
        <v>0.28983688885080072</v>
      </c>
      <c r="T977">
        <v>0.2031630720890438</v>
      </c>
      <c r="U977">
        <v>4.3188800200322364</v>
      </c>
      <c r="V977">
        <v>0.13951855864740029</v>
      </c>
      <c r="W977">
        <v>9.7856556291733821</v>
      </c>
      <c r="X977">
        <v>0.33388593102412811</v>
      </c>
      <c r="Z977" t="s">
        <v>392</v>
      </c>
      <c r="AA977">
        <v>9937</v>
      </c>
      <c r="AB977" t="s">
        <v>1368</v>
      </c>
      <c r="AC977" t="str">
        <f>HYPERLINK("plots/20251231000436_3FT6Y121H01_04823_B11P_N_UFLEX98_M5358A8BH101511/dpll_52094/txpa_55220.png","plot")</f>
        <v>plot</v>
      </c>
    </row>
    <row r="978" spans="1:29" hidden="1" x14ac:dyDescent="0.35">
      <c r="A978" t="s">
        <v>46</v>
      </c>
      <c r="B978">
        <v>52094</v>
      </c>
      <c r="C978" t="s">
        <v>53</v>
      </c>
      <c r="D978">
        <v>55221</v>
      </c>
      <c r="E978" t="s">
        <v>354</v>
      </c>
      <c r="F978">
        <v>8699</v>
      </c>
      <c r="G978">
        <v>0.47920661356486599</v>
      </c>
      <c r="H978">
        <v>0</v>
      </c>
      <c r="I978">
        <v>0</v>
      </c>
      <c r="J978">
        <v>0.38349112104830502</v>
      </c>
      <c r="K978">
        <v>8.6133461756351223E-303</v>
      </c>
      <c r="L978">
        <v>1.7715888482949321E-302</v>
      </c>
      <c r="M978">
        <v>0.26585791360687833</v>
      </c>
      <c r="N978">
        <v>1.136683880026462E-302</v>
      </c>
      <c r="O978">
        <v>2.3284797057511761E-302</v>
      </c>
      <c r="P978">
        <v>0.22963897848430689</v>
      </c>
      <c r="Q978">
        <v>1.2508480712207579</v>
      </c>
      <c r="R978">
        <v>4.4120591268929452</v>
      </c>
      <c r="S978">
        <v>0.32125052491913147</v>
      </c>
      <c r="T978">
        <v>0.23091747803077439</v>
      </c>
      <c r="U978">
        <v>4.3183774797103123</v>
      </c>
      <c r="V978">
        <v>0.1402296659485322</v>
      </c>
      <c r="W978">
        <v>9.8136932681917468</v>
      </c>
      <c r="X978">
        <v>0.36603419530208431</v>
      </c>
      <c r="Z978" t="s">
        <v>392</v>
      </c>
      <c r="AA978">
        <v>9937</v>
      </c>
      <c r="AB978" t="s">
        <v>1369</v>
      </c>
      <c r="AC978" t="str">
        <f>HYPERLINK("plots/20251231000436_3FT6Y121H01_04823_B11P_N_UFLEX98_M5358A8BH101511/dpll_52094/txpa_55221.png","plot")</f>
        <v>plot</v>
      </c>
    </row>
    <row r="979" spans="1:29" hidden="1" x14ac:dyDescent="0.35">
      <c r="A979" t="s">
        <v>46</v>
      </c>
      <c r="B979">
        <v>52094</v>
      </c>
      <c r="C979" t="s">
        <v>53</v>
      </c>
      <c r="D979">
        <v>55222</v>
      </c>
      <c r="E979" t="s">
        <v>355</v>
      </c>
      <c r="F979">
        <v>8689</v>
      </c>
      <c r="G979">
        <v>0.4986073587804985</v>
      </c>
      <c r="H979">
        <v>0</v>
      </c>
      <c r="I979">
        <v>0</v>
      </c>
      <c r="J979">
        <v>0.41315424742373519</v>
      </c>
      <c r="K979">
        <v>0</v>
      </c>
      <c r="L979">
        <v>0</v>
      </c>
      <c r="M979">
        <v>0.28996225639963841</v>
      </c>
      <c r="N979">
        <v>0</v>
      </c>
      <c r="O979">
        <v>0</v>
      </c>
      <c r="P979">
        <v>0.24860929823006481</v>
      </c>
      <c r="Q979">
        <v>1.261635528785072</v>
      </c>
      <c r="R979">
        <v>4.3882443142354184</v>
      </c>
      <c r="S979">
        <v>0.30628254935753008</v>
      </c>
      <c r="T979">
        <v>0.22224845885122649</v>
      </c>
      <c r="U979">
        <v>4.3188326990447701</v>
      </c>
      <c r="V979">
        <v>0.13964941178505411</v>
      </c>
      <c r="W979">
        <v>9.8370370902290247</v>
      </c>
      <c r="X979">
        <v>0.3533575194575565</v>
      </c>
      <c r="Z979" t="s">
        <v>392</v>
      </c>
      <c r="AA979">
        <v>9937</v>
      </c>
      <c r="AB979" t="s">
        <v>1370</v>
      </c>
      <c r="AC979" t="str">
        <f>HYPERLINK("plots/20251231000436_3FT6Y121H01_04823_B11P_N_UFLEX98_M5358A8BH101511/dpll_52094/txpa_55222.png","plot")</f>
        <v>plot</v>
      </c>
    </row>
    <row r="980" spans="1:29" hidden="1" x14ac:dyDescent="0.35">
      <c r="A980" t="s">
        <v>46</v>
      </c>
      <c r="B980">
        <v>52094</v>
      </c>
      <c r="C980" t="s">
        <v>53</v>
      </c>
      <c r="D980">
        <v>55223</v>
      </c>
      <c r="E980" t="s">
        <v>356</v>
      </c>
      <c r="F980">
        <v>8703</v>
      </c>
      <c r="G980">
        <v>0.49004866795383578</v>
      </c>
      <c r="H980">
        <v>0</v>
      </c>
      <c r="I980">
        <v>0</v>
      </c>
      <c r="J980">
        <v>0.37191810720117269</v>
      </c>
      <c r="K980">
        <v>1.195265217398146E-283</v>
      </c>
      <c r="L980">
        <v>2.2739191940745208E-283</v>
      </c>
      <c r="M980">
        <v>0.25677183167309248</v>
      </c>
      <c r="N980">
        <v>1.3056098796647209E-282</v>
      </c>
      <c r="O980">
        <v>2.4979026754340139E-282</v>
      </c>
      <c r="P980">
        <v>0.2401476969633288</v>
      </c>
      <c r="Q980">
        <v>1.257475188107998</v>
      </c>
      <c r="R980">
        <v>4.3727893873490231</v>
      </c>
      <c r="S980">
        <v>0.31414198362309009</v>
      </c>
      <c r="T980">
        <v>0.23015647570634881</v>
      </c>
      <c r="U980">
        <v>4.3182008480983569</v>
      </c>
      <c r="V980">
        <v>0.1404514187317204</v>
      </c>
      <c r="W980">
        <v>9.802819811099619</v>
      </c>
      <c r="X980">
        <v>0.36040129427786322</v>
      </c>
      <c r="Z980" t="s">
        <v>392</v>
      </c>
      <c r="AA980">
        <v>9937</v>
      </c>
      <c r="AB980" t="s">
        <v>1371</v>
      </c>
      <c r="AC980" t="str">
        <f>HYPERLINK("plots/20251231000436_3FT6Y121H01_04823_B11P_N_UFLEX98_M5358A8BH101511/dpll_52094/txpa_55223.png","plot")</f>
        <v>plot</v>
      </c>
    </row>
    <row r="981" spans="1:29" hidden="1" x14ac:dyDescent="0.35">
      <c r="A981" t="s">
        <v>46</v>
      </c>
      <c r="B981">
        <v>52094</v>
      </c>
      <c r="C981" t="s">
        <v>53</v>
      </c>
      <c r="D981">
        <v>55224</v>
      </c>
      <c r="E981" t="s">
        <v>357</v>
      </c>
      <c r="F981">
        <v>8689</v>
      </c>
      <c r="G981">
        <v>0.51259523254173311</v>
      </c>
      <c r="H981">
        <v>0</v>
      </c>
      <c r="I981">
        <v>0</v>
      </c>
      <c r="J981">
        <v>0.4291312106340755</v>
      </c>
      <c r="K981">
        <v>0</v>
      </c>
      <c r="L981">
        <v>0</v>
      </c>
      <c r="M981">
        <v>0.30104765504852399</v>
      </c>
      <c r="N981">
        <v>0</v>
      </c>
      <c r="O981">
        <v>0</v>
      </c>
      <c r="P981">
        <v>0.26275387242451342</v>
      </c>
      <c r="Q981">
        <v>1.2270507395567081</v>
      </c>
      <c r="R981">
        <v>4.5490034455045798</v>
      </c>
      <c r="S981">
        <v>0.28673161630863359</v>
      </c>
      <c r="T981">
        <v>0.2028705770248847</v>
      </c>
      <c r="U981">
        <v>4.3189275196225108</v>
      </c>
      <c r="V981">
        <v>0.13951033013085101</v>
      </c>
      <c r="W981">
        <v>9.8485466525491994</v>
      </c>
      <c r="X981">
        <v>0.33395990226835381</v>
      </c>
      <c r="Z981" t="s">
        <v>392</v>
      </c>
      <c r="AA981">
        <v>9937</v>
      </c>
      <c r="AB981" t="s">
        <v>1372</v>
      </c>
      <c r="AC981" t="str">
        <f>HYPERLINK("plots/20251231000436_3FT6Y121H01_04823_B11P_N_UFLEX98_M5358A8BH101511/dpll_52094/txpa_55224.png","plot")</f>
        <v>plot</v>
      </c>
    </row>
    <row r="982" spans="1:29" hidden="1" x14ac:dyDescent="0.35">
      <c r="A982" t="s">
        <v>46</v>
      </c>
      <c r="B982">
        <v>52094</v>
      </c>
      <c r="C982" t="s">
        <v>53</v>
      </c>
      <c r="D982">
        <v>55225</v>
      </c>
      <c r="E982" t="s">
        <v>358</v>
      </c>
      <c r="F982">
        <v>8695</v>
      </c>
      <c r="G982">
        <v>0.50921429198517842</v>
      </c>
      <c r="H982">
        <v>0</v>
      </c>
      <c r="I982">
        <v>0</v>
      </c>
      <c r="J982">
        <v>0.40007368570903562</v>
      </c>
      <c r="K982">
        <v>0</v>
      </c>
      <c r="L982">
        <v>0</v>
      </c>
      <c r="M982">
        <v>0.27727944058275639</v>
      </c>
      <c r="N982">
        <v>0</v>
      </c>
      <c r="O982">
        <v>0</v>
      </c>
      <c r="P982">
        <v>0.25929919516196648</v>
      </c>
      <c r="Q982">
        <v>1.2183871882639401</v>
      </c>
      <c r="R982">
        <v>4.54749807505309</v>
      </c>
      <c r="S982">
        <v>0.28812518858540598</v>
      </c>
      <c r="T982">
        <v>0.20645771679220709</v>
      </c>
      <c r="U982">
        <v>4.3186353373202993</v>
      </c>
      <c r="V982">
        <v>0.1399265269133958</v>
      </c>
      <c r="W982">
        <v>9.8092680408280604</v>
      </c>
      <c r="X982">
        <v>0.33479949477638199</v>
      </c>
      <c r="Z982" t="s">
        <v>392</v>
      </c>
      <c r="AA982">
        <v>9937</v>
      </c>
      <c r="AB982" t="s">
        <v>1373</v>
      </c>
      <c r="AC982" t="str">
        <f>HYPERLINK("plots/20251231000436_3FT6Y121H01_04823_B11P_N_UFLEX98_M5358A8BH101511/dpll_52094/txpa_55225.png","plot")</f>
        <v>plot</v>
      </c>
    </row>
    <row r="983" spans="1:29" hidden="1" x14ac:dyDescent="0.35">
      <c r="A983" t="s">
        <v>46</v>
      </c>
      <c r="B983">
        <v>52094</v>
      </c>
      <c r="C983" t="s">
        <v>53</v>
      </c>
      <c r="D983">
        <v>55226</v>
      </c>
      <c r="E983" t="s">
        <v>359</v>
      </c>
      <c r="F983">
        <v>8663</v>
      </c>
      <c r="G983">
        <v>0.46430531532361158</v>
      </c>
      <c r="H983">
        <v>0</v>
      </c>
      <c r="I983">
        <v>0</v>
      </c>
      <c r="J983">
        <v>0.3870739527829361</v>
      </c>
      <c r="K983">
        <v>1.197112634156605E-307</v>
      </c>
      <c r="L983">
        <v>2.5131929835088972E-307</v>
      </c>
      <c r="M983">
        <v>0.27113804935665031</v>
      </c>
      <c r="N983">
        <v>0</v>
      </c>
      <c r="O983">
        <v>0</v>
      </c>
      <c r="P983">
        <v>0.21557942583775841</v>
      </c>
      <c r="Q983">
        <v>1.1955816246857851</v>
      </c>
      <c r="R983">
        <v>4.8659698651782497</v>
      </c>
      <c r="S983">
        <v>0.31243208738487122</v>
      </c>
      <c r="T983">
        <v>0.22641257007081131</v>
      </c>
      <c r="U983">
        <v>4.320409253376428</v>
      </c>
      <c r="V983">
        <v>0.13700317558136149</v>
      </c>
      <c r="W983">
        <v>10.03137177963754</v>
      </c>
      <c r="X983">
        <v>0.35278183092629839</v>
      </c>
      <c r="Z983" t="s">
        <v>392</v>
      </c>
      <c r="AA983">
        <v>9937</v>
      </c>
      <c r="AB983" t="s">
        <v>1374</v>
      </c>
      <c r="AC983" t="str">
        <f>HYPERLINK("plots/20251231000436_3FT6Y121H01_04823_B11P_N_UFLEX98_M5358A8BH101511/dpll_52094/txpa_55226.png","plot")</f>
        <v>plot</v>
      </c>
    </row>
    <row r="984" spans="1:29" hidden="1" x14ac:dyDescent="0.35">
      <c r="A984" t="s">
        <v>46</v>
      </c>
      <c r="B984">
        <v>52094</v>
      </c>
      <c r="C984" t="s">
        <v>53</v>
      </c>
      <c r="D984">
        <v>55227</v>
      </c>
      <c r="E984" t="s">
        <v>360</v>
      </c>
      <c r="F984">
        <v>8640</v>
      </c>
      <c r="G984">
        <v>0.43164364558281421</v>
      </c>
      <c r="H984">
        <v>0</v>
      </c>
      <c r="I984">
        <v>0</v>
      </c>
      <c r="J984">
        <v>0.40673095267638099</v>
      </c>
      <c r="K984">
        <v>0</v>
      </c>
      <c r="L984">
        <v>0</v>
      </c>
      <c r="M984">
        <v>0.28569554432835198</v>
      </c>
      <c r="N984">
        <v>0</v>
      </c>
      <c r="O984">
        <v>0</v>
      </c>
      <c r="P984">
        <v>0.18631623677202211</v>
      </c>
      <c r="Q984">
        <v>1.1820396888771461</v>
      </c>
      <c r="R984">
        <v>5.2342531911152168</v>
      </c>
      <c r="S984">
        <v>0.33583175979423752</v>
      </c>
      <c r="T984">
        <v>0.23386125661436311</v>
      </c>
      <c r="U984">
        <v>4.3210732927083324</v>
      </c>
      <c r="V984">
        <v>0.13596037927936391</v>
      </c>
      <c r="W984">
        <v>10.34193332164352</v>
      </c>
      <c r="X984">
        <v>0.37232232205342303</v>
      </c>
      <c r="Z984" t="s">
        <v>392</v>
      </c>
      <c r="AA984">
        <v>9937</v>
      </c>
      <c r="AB984" t="s">
        <v>1375</v>
      </c>
      <c r="AC984" t="str">
        <f>HYPERLINK("plots/20251231000436_3FT6Y121H01_04823_B11P_N_UFLEX98_M5358A8BH101511/dpll_52094/txpa_55227.png","plot")</f>
        <v>plot</v>
      </c>
    </row>
    <row r="985" spans="1:29" hidden="1" x14ac:dyDescent="0.35">
      <c r="A985" t="s">
        <v>46</v>
      </c>
      <c r="B985">
        <v>52094</v>
      </c>
      <c r="C985" t="s">
        <v>53</v>
      </c>
      <c r="D985">
        <v>55228</v>
      </c>
      <c r="E985" t="s">
        <v>361</v>
      </c>
      <c r="F985">
        <v>8679</v>
      </c>
      <c r="G985">
        <v>0.49504710402139918</v>
      </c>
      <c r="H985">
        <v>0</v>
      </c>
      <c r="I985">
        <v>0</v>
      </c>
      <c r="J985">
        <v>0.43666910471132558</v>
      </c>
      <c r="K985">
        <v>0</v>
      </c>
      <c r="L985">
        <v>0</v>
      </c>
      <c r="M985">
        <v>0.30656259247421902</v>
      </c>
      <c r="N985">
        <v>0</v>
      </c>
      <c r="O985">
        <v>0</v>
      </c>
      <c r="P985">
        <v>0.24507163519997399</v>
      </c>
      <c r="Q985">
        <v>1.228231520994483</v>
      </c>
      <c r="R985">
        <v>4.8613788832146847</v>
      </c>
      <c r="S985">
        <v>0.30002173546107541</v>
      </c>
      <c r="T985">
        <v>0.20775422628973919</v>
      </c>
      <c r="U985">
        <v>4.3191086879824869</v>
      </c>
      <c r="V985">
        <v>0.1391845898387693</v>
      </c>
      <c r="W985">
        <v>10.1662443163959</v>
      </c>
      <c r="X985">
        <v>0.34532249373440482</v>
      </c>
      <c r="Z985" t="s">
        <v>392</v>
      </c>
      <c r="AA985">
        <v>9937</v>
      </c>
      <c r="AB985" t="s">
        <v>1376</v>
      </c>
      <c r="AC985" t="str">
        <f>HYPERLINK("plots/20251231000436_3FT6Y121H01_04823_B11P_N_UFLEX98_M5358A8BH101511/dpll_52094/txpa_55228.png","plot")</f>
        <v>plot</v>
      </c>
    </row>
    <row r="986" spans="1:29" hidden="1" x14ac:dyDescent="0.35">
      <c r="A986" t="s">
        <v>46</v>
      </c>
      <c r="B986">
        <v>52094</v>
      </c>
      <c r="C986" t="s">
        <v>53</v>
      </c>
      <c r="D986">
        <v>55229</v>
      </c>
      <c r="E986" t="s">
        <v>362</v>
      </c>
      <c r="F986">
        <v>8688</v>
      </c>
      <c r="G986">
        <v>0.48521861177182751</v>
      </c>
      <c r="H986">
        <v>0</v>
      </c>
      <c r="I986">
        <v>0</v>
      </c>
      <c r="J986">
        <v>0.40069846595943071</v>
      </c>
      <c r="K986">
        <v>0</v>
      </c>
      <c r="L986">
        <v>0</v>
      </c>
      <c r="M986">
        <v>0.27921661381686591</v>
      </c>
      <c r="N986">
        <v>0</v>
      </c>
      <c r="O986">
        <v>0</v>
      </c>
      <c r="P986">
        <v>0.2354371012097794</v>
      </c>
      <c r="Q986">
        <v>1.2909925307904679</v>
      </c>
      <c r="R986">
        <v>4.6007525019462507</v>
      </c>
      <c r="S986">
        <v>0.32506166251623198</v>
      </c>
      <c r="T986">
        <v>0.22984803922500621</v>
      </c>
      <c r="U986">
        <v>4.3187431489410679</v>
      </c>
      <c r="V986">
        <v>0.13973263832033719</v>
      </c>
      <c r="W986">
        <v>10.176217649631679</v>
      </c>
      <c r="X986">
        <v>0.37177838607730679</v>
      </c>
      <c r="Z986" t="s">
        <v>392</v>
      </c>
      <c r="AA986">
        <v>9937</v>
      </c>
      <c r="AB986" t="s">
        <v>1377</v>
      </c>
      <c r="AC986" t="str">
        <f>HYPERLINK("plots/20251231000436_3FT6Y121H01_04823_B11P_N_UFLEX98_M5358A8BH101511/dpll_52094/txpa_55229.png","plot")</f>
        <v>plot</v>
      </c>
    </row>
    <row r="987" spans="1:29" hidden="1" x14ac:dyDescent="0.35">
      <c r="A987" t="s">
        <v>46</v>
      </c>
      <c r="B987">
        <v>52094</v>
      </c>
      <c r="C987" t="s">
        <v>53</v>
      </c>
      <c r="D987">
        <v>55230</v>
      </c>
      <c r="E987" t="s">
        <v>363</v>
      </c>
      <c r="F987">
        <v>8684</v>
      </c>
      <c r="G987">
        <v>0.50057717823917625</v>
      </c>
      <c r="H987">
        <v>0</v>
      </c>
      <c r="I987">
        <v>0</v>
      </c>
      <c r="J987">
        <v>0.42554133666913951</v>
      </c>
      <c r="K987">
        <v>0</v>
      </c>
      <c r="L987">
        <v>0</v>
      </c>
      <c r="M987">
        <v>0.29986663650548961</v>
      </c>
      <c r="N987">
        <v>0</v>
      </c>
      <c r="O987">
        <v>0</v>
      </c>
      <c r="P987">
        <v>0.250577511373896</v>
      </c>
      <c r="Q987">
        <v>1.303109200359678</v>
      </c>
      <c r="R987">
        <v>4.5708494401149338</v>
      </c>
      <c r="S987">
        <v>0.31406347572074911</v>
      </c>
      <c r="T987">
        <v>0.2234566683939577</v>
      </c>
      <c r="U987">
        <v>4.3190252237448181</v>
      </c>
      <c r="V987">
        <v>0.1393700043987938</v>
      </c>
      <c r="W987">
        <v>10.199010945762319</v>
      </c>
      <c r="X987">
        <v>0.3628098580624094</v>
      </c>
      <c r="Z987" t="s">
        <v>392</v>
      </c>
      <c r="AA987">
        <v>9937</v>
      </c>
      <c r="AB987" t="s">
        <v>1378</v>
      </c>
      <c r="AC987" t="str">
        <f>HYPERLINK("plots/20251231000436_3FT6Y121H01_04823_B11P_N_UFLEX98_M5358A8BH101511/dpll_52094/txpa_55230.png","plot")</f>
        <v>plot</v>
      </c>
    </row>
    <row r="988" spans="1:29" hidden="1" x14ac:dyDescent="0.35">
      <c r="A988" t="s">
        <v>46</v>
      </c>
      <c r="B988">
        <v>52094</v>
      </c>
      <c r="C988" t="s">
        <v>53</v>
      </c>
      <c r="D988">
        <v>55231</v>
      </c>
      <c r="E988" t="s">
        <v>364</v>
      </c>
      <c r="F988">
        <v>8692</v>
      </c>
      <c r="G988">
        <v>0.49399956648890569</v>
      </c>
      <c r="H988">
        <v>0</v>
      </c>
      <c r="I988">
        <v>0</v>
      </c>
      <c r="J988">
        <v>0.3880706084313108</v>
      </c>
      <c r="K988">
        <v>0</v>
      </c>
      <c r="L988">
        <v>0</v>
      </c>
      <c r="M988">
        <v>0.26933502152491751</v>
      </c>
      <c r="N988">
        <v>0</v>
      </c>
      <c r="O988">
        <v>0</v>
      </c>
      <c r="P988">
        <v>0.24403557169122669</v>
      </c>
      <c r="Q988">
        <v>1.2882493883624311</v>
      </c>
      <c r="R988">
        <v>4.6105052057007354</v>
      </c>
      <c r="S988">
        <v>0.31711066799315812</v>
      </c>
      <c r="T988">
        <v>0.22926235337388889</v>
      </c>
      <c r="U988">
        <v>4.3186835613207544</v>
      </c>
      <c r="V988">
        <v>0.13986587899159381</v>
      </c>
      <c r="W988">
        <v>10.174046662103081</v>
      </c>
      <c r="X988">
        <v>0.3647414801278801</v>
      </c>
      <c r="Z988" t="s">
        <v>392</v>
      </c>
      <c r="AA988">
        <v>9937</v>
      </c>
      <c r="AB988" t="s">
        <v>1379</v>
      </c>
      <c r="AC988" t="str">
        <f>HYPERLINK("plots/20251231000436_3FT6Y121H01_04823_B11P_N_UFLEX98_M5358A8BH101511/dpll_52094/txpa_55231.png","plot")</f>
        <v>plot</v>
      </c>
    </row>
    <row r="989" spans="1:29" hidden="1" x14ac:dyDescent="0.35">
      <c r="A989" t="s">
        <v>46</v>
      </c>
      <c r="B989">
        <v>52094</v>
      </c>
      <c r="C989" t="s">
        <v>53</v>
      </c>
      <c r="D989">
        <v>55232</v>
      </c>
      <c r="E989" t="s">
        <v>365</v>
      </c>
      <c r="F989">
        <v>8687</v>
      </c>
      <c r="G989">
        <v>0.51058437265539081</v>
      </c>
      <c r="H989">
        <v>0</v>
      </c>
      <c r="I989">
        <v>0</v>
      </c>
      <c r="J989">
        <v>0.43618109605966271</v>
      </c>
      <c r="K989">
        <v>0</v>
      </c>
      <c r="L989">
        <v>0</v>
      </c>
      <c r="M989">
        <v>0.30738124627124741</v>
      </c>
      <c r="N989">
        <v>0</v>
      </c>
      <c r="O989">
        <v>0</v>
      </c>
      <c r="P989">
        <v>0.26069640159989899</v>
      </c>
      <c r="Q989">
        <v>1.2789791425773189</v>
      </c>
      <c r="R989">
        <v>4.6748764157788338</v>
      </c>
      <c r="S989">
        <v>0.30016064705871792</v>
      </c>
      <c r="T989">
        <v>0.20965978342899411</v>
      </c>
      <c r="U989">
        <v>4.3190242121560951</v>
      </c>
      <c r="V989">
        <v>0.1393706730459667</v>
      </c>
      <c r="W989">
        <v>10.19881829941292</v>
      </c>
      <c r="X989">
        <v>0.34911406117997712</v>
      </c>
      <c r="Z989" t="s">
        <v>392</v>
      </c>
      <c r="AA989">
        <v>9937</v>
      </c>
      <c r="AB989" t="s">
        <v>1380</v>
      </c>
      <c r="AC989" t="str">
        <f>HYPERLINK("plots/20251231000436_3FT6Y121H01_04823_B11P_N_UFLEX98_M5358A8BH101511/dpll_52094/txpa_55232.png","plot")</f>
        <v>plot</v>
      </c>
    </row>
    <row r="990" spans="1:29" hidden="1" x14ac:dyDescent="0.35">
      <c r="A990" t="s">
        <v>46</v>
      </c>
      <c r="B990">
        <v>52094</v>
      </c>
      <c r="C990" t="s">
        <v>53</v>
      </c>
      <c r="D990">
        <v>55233</v>
      </c>
      <c r="E990" t="s">
        <v>366</v>
      </c>
      <c r="F990">
        <v>8686</v>
      </c>
      <c r="G990">
        <v>0.50892248317358535</v>
      </c>
      <c r="H990">
        <v>0</v>
      </c>
      <c r="I990">
        <v>0</v>
      </c>
      <c r="J990">
        <v>0.41293985547799822</v>
      </c>
      <c r="K990">
        <v>0</v>
      </c>
      <c r="L990">
        <v>0</v>
      </c>
      <c r="M990">
        <v>0.28757472004870083</v>
      </c>
      <c r="N990">
        <v>0</v>
      </c>
      <c r="O990">
        <v>0</v>
      </c>
      <c r="P990">
        <v>0.25900209387956818</v>
      </c>
      <c r="Q990">
        <v>1.259861530369911</v>
      </c>
      <c r="R990">
        <v>4.7368400476307588</v>
      </c>
      <c r="S990">
        <v>0.29687521054525551</v>
      </c>
      <c r="T990">
        <v>0.2089791859933936</v>
      </c>
      <c r="U990">
        <v>4.3190662432650244</v>
      </c>
      <c r="V990">
        <v>0.13932186141308481</v>
      </c>
      <c r="W990">
        <v>10.17826545463965</v>
      </c>
      <c r="X990">
        <v>0.34489781712788731</v>
      </c>
      <c r="Z990" t="s">
        <v>392</v>
      </c>
      <c r="AA990">
        <v>9937</v>
      </c>
      <c r="AB990" t="s">
        <v>1381</v>
      </c>
      <c r="AC990" t="str">
        <f>HYPERLINK("plots/20251231000436_3FT6Y121H01_04823_B11P_N_UFLEX98_M5358A8BH101511/dpll_52094/txpa_55233.png","plot")</f>
        <v>plot</v>
      </c>
    </row>
    <row r="991" spans="1:29" hidden="1" x14ac:dyDescent="0.35">
      <c r="A991" t="s">
        <v>46</v>
      </c>
      <c r="B991">
        <v>52094</v>
      </c>
      <c r="C991" t="s">
        <v>53</v>
      </c>
      <c r="D991">
        <v>55234</v>
      </c>
      <c r="E991" t="s">
        <v>367</v>
      </c>
      <c r="F991">
        <v>8663</v>
      </c>
      <c r="G991">
        <v>0.46842755046844758</v>
      </c>
      <c r="H991">
        <v>0</v>
      </c>
      <c r="I991">
        <v>0</v>
      </c>
      <c r="J991">
        <v>0.39574821675203542</v>
      </c>
      <c r="K991">
        <v>0</v>
      </c>
      <c r="L991">
        <v>0</v>
      </c>
      <c r="M991">
        <v>0.27774376905596537</v>
      </c>
      <c r="N991">
        <v>0</v>
      </c>
      <c r="O991">
        <v>0</v>
      </c>
      <c r="P991">
        <v>0.21942437003786999</v>
      </c>
      <c r="Q991">
        <v>1.2538730768915529</v>
      </c>
      <c r="R991">
        <v>4.9667739120118419</v>
      </c>
      <c r="S991">
        <v>0.32398448083273368</v>
      </c>
      <c r="T991">
        <v>0.2324335990639963</v>
      </c>
      <c r="U991">
        <v>4.320409253376428</v>
      </c>
      <c r="V991">
        <v>0.13700317558136149</v>
      </c>
      <c r="W991">
        <v>10.384018755973679</v>
      </c>
      <c r="X991">
        <v>0.36672606711181599</v>
      </c>
      <c r="Z991" t="s">
        <v>392</v>
      </c>
      <c r="AA991">
        <v>9937</v>
      </c>
      <c r="AB991" t="s">
        <v>1382</v>
      </c>
      <c r="AC991" t="str">
        <f>HYPERLINK("plots/20251231000436_3FT6Y121H01_04823_B11P_N_UFLEX98_M5358A8BH101511/dpll_52094/txpa_55234.png","plot")</f>
        <v>plot</v>
      </c>
    </row>
    <row r="992" spans="1:29" hidden="1" x14ac:dyDescent="0.35">
      <c r="A992" t="s">
        <v>46</v>
      </c>
      <c r="B992">
        <v>52094</v>
      </c>
      <c r="C992" t="s">
        <v>53</v>
      </c>
      <c r="D992">
        <v>55235</v>
      </c>
      <c r="E992" t="s">
        <v>368</v>
      </c>
      <c r="F992">
        <v>8658</v>
      </c>
      <c r="G992">
        <v>0.44779571520861311</v>
      </c>
      <c r="H992">
        <v>0</v>
      </c>
      <c r="I992">
        <v>0</v>
      </c>
      <c r="J992">
        <v>0.40954582793991889</v>
      </c>
      <c r="K992">
        <v>0</v>
      </c>
      <c r="L992">
        <v>0</v>
      </c>
      <c r="M992">
        <v>0.28842746945237391</v>
      </c>
      <c r="N992">
        <v>0</v>
      </c>
      <c r="O992">
        <v>0</v>
      </c>
      <c r="P992">
        <v>0.20052100255919331</v>
      </c>
      <c r="Q992">
        <v>1.3005635893800469</v>
      </c>
      <c r="R992">
        <v>5.0237909889948078</v>
      </c>
      <c r="S992">
        <v>0.3569997705635708</v>
      </c>
      <c r="T992">
        <v>0.24853689404628129</v>
      </c>
      <c r="U992">
        <v>4.3201604818664823</v>
      </c>
      <c r="V992">
        <v>0.13747946446598719</v>
      </c>
      <c r="W992">
        <v>10.64243441198891</v>
      </c>
      <c r="X992">
        <v>0.39929097063520058</v>
      </c>
      <c r="Z992" t="s">
        <v>392</v>
      </c>
      <c r="AA992">
        <v>9937</v>
      </c>
      <c r="AB992" t="s">
        <v>1383</v>
      </c>
      <c r="AC992" t="str">
        <f>HYPERLINK("plots/20251231000436_3FT6Y121H01_04823_B11P_N_UFLEX98_M5358A8BH101511/dpll_52094/txpa_55235.png","plot")</f>
        <v>plot</v>
      </c>
    </row>
    <row r="993" spans="1:29" hidden="1" x14ac:dyDescent="0.35">
      <c r="A993" t="s">
        <v>46</v>
      </c>
      <c r="B993">
        <v>52094</v>
      </c>
      <c r="C993" t="s">
        <v>53</v>
      </c>
      <c r="D993">
        <v>55236</v>
      </c>
      <c r="E993" t="s">
        <v>369</v>
      </c>
      <c r="F993">
        <v>8675</v>
      </c>
      <c r="G993">
        <v>0.49360140365485922</v>
      </c>
      <c r="H993">
        <v>0</v>
      </c>
      <c r="I993">
        <v>0</v>
      </c>
      <c r="J993">
        <v>0.44465323027056292</v>
      </c>
      <c r="K993">
        <v>0</v>
      </c>
      <c r="L993">
        <v>0</v>
      </c>
      <c r="M993">
        <v>0.31402668029567388</v>
      </c>
      <c r="N993">
        <v>0</v>
      </c>
      <c r="O993">
        <v>0</v>
      </c>
      <c r="P993">
        <v>0.24364234569004731</v>
      </c>
      <c r="Q993">
        <v>1.2767827180650939</v>
      </c>
      <c r="R993">
        <v>4.9971341364091231</v>
      </c>
      <c r="S993">
        <v>0.31230673363928158</v>
      </c>
      <c r="T993">
        <v>0.214134905773923</v>
      </c>
      <c r="U993">
        <v>4.3192763417867441</v>
      </c>
      <c r="V993">
        <v>0.13883602412933399</v>
      </c>
      <c r="W993">
        <v>10.511911524149861</v>
      </c>
      <c r="X993">
        <v>0.35912263405383221</v>
      </c>
      <c r="Z993" t="s">
        <v>392</v>
      </c>
      <c r="AA993">
        <v>9937</v>
      </c>
      <c r="AB993" t="s">
        <v>1384</v>
      </c>
      <c r="AC993" t="str">
        <f>HYPERLINK("plots/20251231000436_3FT6Y121H01_04823_B11P_N_UFLEX98_M5358A8BH101511/dpll_52094/txpa_55236.png","plot")</f>
        <v>plot</v>
      </c>
    </row>
    <row r="994" spans="1:29" hidden="1" x14ac:dyDescent="0.35">
      <c r="A994" t="s">
        <v>46</v>
      </c>
      <c r="B994">
        <v>52094</v>
      </c>
      <c r="C994" t="s">
        <v>53</v>
      </c>
      <c r="D994">
        <v>55237</v>
      </c>
      <c r="E994" t="s">
        <v>370</v>
      </c>
      <c r="F994">
        <v>8682</v>
      </c>
      <c r="G994">
        <v>0.48613790471736579</v>
      </c>
      <c r="H994">
        <v>0</v>
      </c>
      <c r="I994">
        <v>0</v>
      </c>
      <c r="J994">
        <v>0.41462265149048422</v>
      </c>
      <c r="K994">
        <v>0</v>
      </c>
      <c r="L994">
        <v>0</v>
      </c>
      <c r="M994">
        <v>0.29041051490743353</v>
      </c>
      <c r="N994">
        <v>0</v>
      </c>
      <c r="O994">
        <v>0</v>
      </c>
      <c r="P994">
        <v>0.2363300624029907</v>
      </c>
      <c r="Q994">
        <v>1.3331844432982409</v>
      </c>
      <c r="R994">
        <v>4.7448858392593936</v>
      </c>
      <c r="S994">
        <v>0.33376090567760602</v>
      </c>
      <c r="T994">
        <v>0.23238788542886971</v>
      </c>
      <c r="U994">
        <v>4.3190513592490207</v>
      </c>
      <c r="V994">
        <v>0.13927619007409409</v>
      </c>
      <c r="W994">
        <v>10.50297792121631</v>
      </c>
      <c r="X994">
        <v>0.38195098165937819</v>
      </c>
      <c r="Z994" t="s">
        <v>392</v>
      </c>
      <c r="AA994">
        <v>9937</v>
      </c>
      <c r="AB994" t="s">
        <v>1385</v>
      </c>
      <c r="AC994" t="str">
        <f>HYPERLINK("plots/20251231000436_3FT6Y121H01_04823_B11P_N_UFLEX98_M5358A8BH101511/dpll_52094/txpa_55237.png","plot")</f>
        <v>plot</v>
      </c>
    </row>
    <row r="995" spans="1:29" hidden="1" x14ac:dyDescent="0.35">
      <c r="A995" t="s">
        <v>46</v>
      </c>
      <c r="B995">
        <v>52094</v>
      </c>
      <c r="C995" t="s">
        <v>53</v>
      </c>
      <c r="D995">
        <v>55238</v>
      </c>
      <c r="E995" t="s">
        <v>371</v>
      </c>
      <c r="F995">
        <v>8682</v>
      </c>
      <c r="G995">
        <v>0.50333011569910613</v>
      </c>
      <c r="H995">
        <v>0</v>
      </c>
      <c r="I995">
        <v>0</v>
      </c>
      <c r="J995">
        <v>0.43663719179716098</v>
      </c>
      <c r="K995">
        <v>0</v>
      </c>
      <c r="L995">
        <v>0</v>
      </c>
      <c r="M995">
        <v>0.30905957822774083</v>
      </c>
      <c r="N995">
        <v>0</v>
      </c>
      <c r="O995">
        <v>0</v>
      </c>
      <c r="P995">
        <v>0.25334120536967558</v>
      </c>
      <c r="Q995">
        <v>1.355462068846256</v>
      </c>
      <c r="R995">
        <v>4.6707681812518826</v>
      </c>
      <c r="S995">
        <v>0.32401283066559788</v>
      </c>
      <c r="T995">
        <v>0.22674973941977239</v>
      </c>
      <c r="U995">
        <v>4.3190681356830227</v>
      </c>
      <c r="V995">
        <v>0.1392488688355856</v>
      </c>
      <c r="W995">
        <v>10.52510121193273</v>
      </c>
      <c r="X995">
        <v>0.37499556245352428</v>
      </c>
      <c r="Z995" t="s">
        <v>392</v>
      </c>
      <c r="AA995">
        <v>9937</v>
      </c>
      <c r="AB995" t="s">
        <v>1386</v>
      </c>
      <c r="AC995" t="str">
        <f>HYPERLINK("plots/20251231000436_3FT6Y121H01_04823_B11P_N_UFLEX98_M5358A8BH101511/dpll_52094/txpa_55238.png","plot")</f>
        <v>plot</v>
      </c>
    </row>
    <row r="996" spans="1:29" hidden="1" x14ac:dyDescent="0.35">
      <c r="A996" t="s">
        <v>46</v>
      </c>
      <c r="B996">
        <v>52094</v>
      </c>
      <c r="C996" t="s">
        <v>53</v>
      </c>
      <c r="D996">
        <v>55239</v>
      </c>
      <c r="E996" t="s">
        <v>372</v>
      </c>
      <c r="F996">
        <v>8686</v>
      </c>
      <c r="G996">
        <v>0.49691348044721539</v>
      </c>
      <c r="H996">
        <v>0</v>
      </c>
      <c r="I996">
        <v>0</v>
      </c>
      <c r="J996">
        <v>0.403833948166956</v>
      </c>
      <c r="K996">
        <v>0</v>
      </c>
      <c r="L996">
        <v>0</v>
      </c>
      <c r="M996">
        <v>0.28182280241729718</v>
      </c>
      <c r="N996">
        <v>0</v>
      </c>
      <c r="O996">
        <v>0</v>
      </c>
      <c r="P996">
        <v>0.24692300705016509</v>
      </c>
      <c r="Q996">
        <v>1.3318021265107549</v>
      </c>
      <c r="R996">
        <v>4.7575297885357148</v>
      </c>
      <c r="S996">
        <v>0.32406114111839063</v>
      </c>
      <c r="T996">
        <v>0.2309376089375961</v>
      </c>
      <c r="U996">
        <v>4.3190108610407547</v>
      </c>
      <c r="V996">
        <v>0.1393392096324898</v>
      </c>
      <c r="W996">
        <v>10.50959763769284</v>
      </c>
      <c r="X996">
        <v>0.37344983180545882</v>
      </c>
      <c r="Z996" t="s">
        <v>392</v>
      </c>
      <c r="AA996">
        <v>9937</v>
      </c>
      <c r="AB996" t="s">
        <v>1387</v>
      </c>
      <c r="AC996" t="str">
        <f>HYPERLINK("plots/20251231000436_3FT6Y121H01_04823_B11P_N_UFLEX98_M5358A8BH101511/dpll_52094/txpa_55239.png","plot")</f>
        <v>plot</v>
      </c>
    </row>
    <row r="997" spans="1:29" hidden="1" x14ac:dyDescent="0.35">
      <c r="A997" t="s">
        <v>46</v>
      </c>
      <c r="B997">
        <v>52094</v>
      </c>
      <c r="C997" t="s">
        <v>53</v>
      </c>
      <c r="D997">
        <v>55240</v>
      </c>
      <c r="E997" t="s">
        <v>373</v>
      </c>
      <c r="F997">
        <v>8687</v>
      </c>
      <c r="G997">
        <v>0.50924186318145104</v>
      </c>
      <c r="H997">
        <v>0</v>
      </c>
      <c r="I997">
        <v>0</v>
      </c>
      <c r="J997">
        <v>0.44036809552305778</v>
      </c>
      <c r="K997">
        <v>0</v>
      </c>
      <c r="L997">
        <v>0</v>
      </c>
      <c r="M997">
        <v>0.31136167563598011</v>
      </c>
      <c r="N997">
        <v>0</v>
      </c>
      <c r="O997">
        <v>0</v>
      </c>
      <c r="P997">
        <v>0.25932727521651572</v>
      </c>
      <c r="Q997">
        <v>1.3373752017221769</v>
      </c>
      <c r="R997">
        <v>4.7366330548769682</v>
      </c>
      <c r="S997">
        <v>0.31498418051988558</v>
      </c>
      <c r="T997">
        <v>0.21850222418101589</v>
      </c>
      <c r="U997">
        <v>4.3190242121560951</v>
      </c>
      <c r="V997">
        <v>0.1393706730459667</v>
      </c>
      <c r="W997">
        <v>10.512788931852191</v>
      </c>
      <c r="X997">
        <v>0.36601641666798967</v>
      </c>
      <c r="Z997" t="s">
        <v>392</v>
      </c>
      <c r="AA997">
        <v>9937</v>
      </c>
      <c r="AB997" t="s">
        <v>1388</v>
      </c>
      <c r="AC997" t="str">
        <f>HYPERLINK("plots/20251231000436_3FT6Y121H01_04823_B11P_N_UFLEX98_M5358A8BH101511/dpll_52094/txpa_55240.png","plot")</f>
        <v>plot</v>
      </c>
    </row>
    <row r="998" spans="1:29" hidden="1" x14ac:dyDescent="0.35">
      <c r="A998" t="s">
        <v>46</v>
      </c>
      <c r="B998">
        <v>52094</v>
      </c>
      <c r="C998" t="s">
        <v>53</v>
      </c>
      <c r="D998">
        <v>55241</v>
      </c>
      <c r="E998" t="s">
        <v>374</v>
      </c>
      <c r="F998">
        <v>8678</v>
      </c>
      <c r="G998">
        <v>0.50565743126712825</v>
      </c>
      <c r="H998">
        <v>0</v>
      </c>
      <c r="I998">
        <v>0</v>
      </c>
      <c r="J998">
        <v>0.42385130579725377</v>
      </c>
      <c r="K998">
        <v>0</v>
      </c>
      <c r="L998">
        <v>0</v>
      </c>
      <c r="M998">
        <v>0.29683298257862162</v>
      </c>
      <c r="N998">
        <v>0</v>
      </c>
      <c r="O998">
        <v>0</v>
      </c>
      <c r="P998">
        <v>0.25568943779567049</v>
      </c>
      <c r="Q998">
        <v>1.3005077171108499</v>
      </c>
      <c r="R998">
        <v>4.89484482679216</v>
      </c>
      <c r="S998">
        <v>0.30756527958438329</v>
      </c>
      <c r="T998">
        <v>0.21337876598052791</v>
      </c>
      <c r="U998">
        <v>4.3194987340401019</v>
      </c>
      <c r="V998">
        <v>0.1386208957903208</v>
      </c>
      <c r="W998">
        <v>10.51238626446186</v>
      </c>
      <c r="X998">
        <v>0.35652110219437128</v>
      </c>
      <c r="Z998" t="s">
        <v>392</v>
      </c>
      <c r="AA998">
        <v>9937</v>
      </c>
      <c r="AB998" t="s">
        <v>1389</v>
      </c>
      <c r="AC998" t="str">
        <f>HYPERLINK("plots/20251231000436_3FT6Y121H01_04823_B11P_N_UFLEX98_M5358A8BH101511/dpll_52094/txpa_55241.png","plot")</f>
        <v>plot</v>
      </c>
    </row>
    <row r="999" spans="1:29" hidden="1" x14ac:dyDescent="0.35">
      <c r="A999" t="s">
        <v>46</v>
      </c>
      <c r="B999">
        <v>52094</v>
      </c>
      <c r="C999" t="s">
        <v>53</v>
      </c>
      <c r="D999">
        <v>55242</v>
      </c>
      <c r="E999" t="s">
        <v>375</v>
      </c>
      <c r="F999">
        <v>8665</v>
      </c>
      <c r="G999">
        <v>0.47250586182332188</v>
      </c>
      <c r="H999">
        <v>0</v>
      </c>
      <c r="I999">
        <v>0</v>
      </c>
      <c r="J999">
        <v>0.40093607199952619</v>
      </c>
      <c r="K999">
        <v>0</v>
      </c>
      <c r="L999">
        <v>0</v>
      </c>
      <c r="M999">
        <v>0.28147539512763559</v>
      </c>
      <c r="N999">
        <v>0</v>
      </c>
      <c r="O999">
        <v>0</v>
      </c>
      <c r="P999">
        <v>0.22326178945740019</v>
      </c>
      <c r="Q999">
        <v>1.3215887917343929</v>
      </c>
      <c r="R999">
        <v>4.9913284576081889</v>
      </c>
      <c r="S999">
        <v>0.33818048846004728</v>
      </c>
      <c r="T999">
        <v>0.24136422206786451</v>
      </c>
      <c r="U999">
        <v>4.3202940760530879</v>
      </c>
      <c r="V999">
        <v>0.13719779373745611</v>
      </c>
      <c r="W999">
        <v>10.70098068551644</v>
      </c>
      <c r="X999">
        <v>0.3837392953273186</v>
      </c>
      <c r="Z999" t="s">
        <v>392</v>
      </c>
      <c r="AA999">
        <v>9937</v>
      </c>
      <c r="AB999" t="s">
        <v>1390</v>
      </c>
      <c r="AC999" t="str">
        <f>HYPERLINK("plots/20251231000436_3FT6Y121H01_04823_B11P_N_UFLEX98_M5358A8BH101511/dpll_52094/txpa_55242.png","plot")</f>
        <v>plot</v>
      </c>
    </row>
    <row r="1000" spans="1:29" hidden="1" x14ac:dyDescent="0.35">
      <c r="A1000" t="s">
        <v>46</v>
      </c>
      <c r="B1000">
        <v>52094</v>
      </c>
      <c r="C1000" t="s">
        <v>53</v>
      </c>
      <c r="D1000">
        <v>55243</v>
      </c>
      <c r="E1000" t="s">
        <v>376</v>
      </c>
      <c r="F1000">
        <v>8693</v>
      </c>
      <c r="G1000">
        <v>0.46641379983611098</v>
      </c>
      <c r="H1000">
        <v>0</v>
      </c>
      <c r="I1000">
        <v>0</v>
      </c>
      <c r="J1000">
        <v>0.39844222431369269</v>
      </c>
      <c r="K1000">
        <v>0</v>
      </c>
      <c r="L1000">
        <v>0</v>
      </c>
      <c r="M1000">
        <v>0.28050866687434262</v>
      </c>
      <c r="N1000">
        <v>0</v>
      </c>
      <c r="O1000">
        <v>0</v>
      </c>
      <c r="P1000">
        <v>0.2175418326775598</v>
      </c>
      <c r="Q1000">
        <v>1.582492103227088</v>
      </c>
      <c r="R1000">
        <v>4.5979719379876931</v>
      </c>
      <c r="S1000">
        <v>0.41981604428892783</v>
      </c>
      <c r="T1000">
        <v>0.29680191159656327</v>
      </c>
      <c r="U1000">
        <v>4.3186593275048892</v>
      </c>
      <c r="V1000">
        <v>0.1398889109172011</v>
      </c>
      <c r="W1000">
        <v>11.43221622029219</v>
      </c>
      <c r="X1000">
        <v>0.47462810262752692</v>
      </c>
      <c r="Z1000" t="s">
        <v>392</v>
      </c>
      <c r="AA1000">
        <v>9937</v>
      </c>
      <c r="AB1000" t="s">
        <v>1391</v>
      </c>
      <c r="AC1000" t="str">
        <f>HYPERLINK("plots/20251231000436_3FT6Y121H01_04823_B11P_N_UFLEX98_M5358A8BH101511/dpll_52094/txpa_55243.png","plot")</f>
        <v>plot</v>
      </c>
    </row>
    <row r="1001" spans="1:29" hidden="1" x14ac:dyDescent="0.35">
      <c r="A1001" t="s">
        <v>46</v>
      </c>
      <c r="B1001">
        <v>52094</v>
      </c>
      <c r="C1001" t="s">
        <v>53</v>
      </c>
      <c r="D1001">
        <v>55244</v>
      </c>
      <c r="E1001" t="s">
        <v>377</v>
      </c>
      <c r="F1001">
        <v>8672</v>
      </c>
      <c r="G1001">
        <v>0.49169669185572351</v>
      </c>
      <c r="H1001">
        <v>0</v>
      </c>
      <c r="I1001">
        <v>0</v>
      </c>
      <c r="J1001">
        <v>0.45480717500741491</v>
      </c>
      <c r="K1001">
        <v>0</v>
      </c>
      <c r="L1001">
        <v>0</v>
      </c>
      <c r="M1001">
        <v>0.32468634535707303</v>
      </c>
      <c r="N1001">
        <v>0</v>
      </c>
      <c r="O1001">
        <v>0</v>
      </c>
      <c r="P1001">
        <v>0.2417656367818623</v>
      </c>
      <c r="Q1001">
        <v>1.4560876844911119</v>
      </c>
      <c r="R1001">
        <v>5.1489751029824946</v>
      </c>
      <c r="S1001">
        <v>0.35709608160000389</v>
      </c>
      <c r="T1001">
        <v>0.24298702441099779</v>
      </c>
      <c r="U1001">
        <v>4.319463021909594</v>
      </c>
      <c r="V1001">
        <v>0.13848991621723819</v>
      </c>
      <c r="W1001">
        <v>11.43849201279982</v>
      </c>
      <c r="X1001">
        <v>0.41011758828203948</v>
      </c>
      <c r="Z1001" t="s">
        <v>392</v>
      </c>
      <c r="AA1001">
        <v>9937</v>
      </c>
      <c r="AB1001" t="s">
        <v>1392</v>
      </c>
      <c r="AC1001" t="str">
        <f>HYPERLINK("plots/20251231000436_3FT6Y121H01_04823_B11P_N_UFLEX98_M5358A8BH101511/dpll_52094/txpa_55244.png","plot")</f>
        <v>plot</v>
      </c>
    </row>
    <row r="1002" spans="1:29" hidden="1" x14ac:dyDescent="0.35">
      <c r="A1002" t="s">
        <v>46</v>
      </c>
      <c r="B1002">
        <v>52094</v>
      </c>
      <c r="C1002" t="s">
        <v>53</v>
      </c>
      <c r="D1002">
        <v>55245</v>
      </c>
      <c r="E1002" t="s">
        <v>378</v>
      </c>
      <c r="F1002">
        <v>8680</v>
      </c>
      <c r="G1002">
        <v>0.47882388025316641</v>
      </c>
      <c r="H1002">
        <v>0</v>
      </c>
      <c r="I1002">
        <v>0</v>
      </c>
      <c r="J1002">
        <v>0.42089411993820608</v>
      </c>
      <c r="K1002">
        <v>0</v>
      </c>
      <c r="L1002">
        <v>0</v>
      </c>
      <c r="M1002">
        <v>0.29735854983617549</v>
      </c>
      <c r="N1002">
        <v>0</v>
      </c>
      <c r="O1002">
        <v>0</v>
      </c>
      <c r="P1002">
        <v>0.22927230830069861</v>
      </c>
      <c r="Q1002">
        <v>1.49453929387355</v>
      </c>
      <c r="R1002">
        <v>4.9135667851279896</v>
      </c>
      <c r="S1002">
        <v>0.38024624302664212</v>
      </c>
      <c r="T1002">
        <v>0.26479316457062962</v>
      </c>
      <c r="U1002">
        <v>4.3193468811059912</v>
      </c>
      <c r="V1002">
        <v>0.1387739443890727</v>
      </c>
      <c r="W1002">
        <v>11.369000422811061</v>
      </c>
      <c r="X1002">
        <v>0.43315114681755851</v>
      </c>
      <c r="Z1002" t="s">
        <v>392</v>
      </c>
      <c r="AA1002">
        <v>9937</v>
      </c>
      <c r="AB1002" t="s">
        <v>1393</v>
      </c>
      <c r="AC1002" t="str">
        <f>HYPERLINK("plots/20251231000436_3FT6Y121H01_04823_B11P_N_UFLEX98_M5358A8BH101511/dpll_52094/txpa_55245.png","plot")</f>
        <v>plot</v>
      </c>
    </row>
    <row r="1003" spans="1:29" hidden="1" x14ac:dyDescent="0.35">
      <c r="A1003" t="s">
        <v>46</v>
      </c>
      <c r="B1003">
        <v>52094</v>
      </c>
      <c r="C1003" t="s">
        <v>53</v>
      </c>
      <c r="D1003">
        <v>55246</v>
      </c>
      <c r="E1003" t="s">
        <v>379</v>
      </c>
      <c r="F1003">
        <v>8685</v>
      </c>
      <c r="G1003">
        <v>0.50268979268383951</v>
      </c>
      <c r="H1003">
        <v>0</v>
      </c>
      <c r="I1003">
        <v>0</v>
      </c>
      <c r="J1003">
        <v>0.44743549531972909</v>
      </c>
      <c r="K1003">
        <v>0</v>
      </c>
      <c r="L1003">
        <v>0</v>
      </c>
      <c r="M1003">
        <v>0.31883208924128609</v>
      </c>
      <c r="N1003">
        <v>0</v>
      </c>
      <c r="O1003">
        <v>0</v>
      </c>
      <c r="P1003">
        <v>0.25269702766852148</v>
      </c>
      <c r="Q1003">
        <v>1.52906340946974</v>
      </c>
      <c r="R1003">
        <v>4.7829171215246298</v>
      </c>
      <c r="S1003">
        <v>0.3662628089378076</v>
      </c>
      <c r="T1003">
        <v>0.2515021246356936</v>
      </c>
      <c r="U1003">
        <v>4.3190527332181912</v>
      </c>
      <c r="V1003">
        <v>0.13929773089521541</v>
      </c>
      <c r="W1003">
        <v>11.38702261945884</v>
      </c>
      <c r="X1003">
        <v>0.4237107385786863</v>
      </c>
      <c r="Z1003" t="s">
        <v>392</v>
      </c>
      <c r="AA1003">
        <v>9937</v>
      </c>
      <c r="AB1003" t="s">
        <v>1394</v>
      </c>
      <c r="AC1003" t="str">
        <f>HYPERLINK("plots/20251231000436_3FT6Y121H01_04823_B11P_N_UFLEX98_M5358A8BH101511/dpll_52094/txpa_55246.png","plot")</f>
        <v>plot</v>
      </c>
    </row>
    <row r="1004" spans="1:29" hidden="1" x14ac:dyDescent="0.35">
      <c r="A1004" t="s">
        <v>46</v>
      </c>
      <c r="B1004">
        <v>52094</v>
      </c>
      <c r="C1004" t="s">
        <v>53</v>
      </c>
      <c r="D1004">
        <v>55247</v>
      </c>
      <c r="E1004" t="s">
        <v>380</v>
      </c>
      <c r="F1004">
        <v>8682</v>
      </c>
      <c r="G1004">
        <v>0.50406675551131919</v>
      </c>
      <c r="H1004">
        <v>0</v>
      </c>
      <c r="I1004">
        <v>0</v>
      </c>
      <c r="J1004">
        <v>0.43243373413217268</v>
      </c>
      <c r="K1004">
        <v>0</v>
      </c>
      <c r="L1004">
        <v>0</v>
      </c>
      <c r="M1004">
        <v>0.30531646859611861</v>
      </c>
      <c r="N1004">
        <v>0</v>
      </c>
      <c r="O1004">
        <v>0</v>
      </c>
      <c r="P1004">
        <v>0.25408329401170798</v>
      </c>
      <c r="Q1004">
        <v>1.510427280624687</v>
      </c>
      <c r="R1004">
        <v>4.8812428882784866</v>
      </c>
      <c r="S1004">
        <v>0.35949790455029618</v>
      </c>
      <c r="T1004">
        <v>0.25083686868818872</v>
      </c>
      <c r="U1004">
        <v>4.3192503981801416</v>
      </c>
      <c r="V1004">
        <v>0.13891989406437641</v>
      </c>
      <c r="W1004">
        <v>11.405156521538821</v>
      </c>
      <c r="X1004">
        <v>0.41627105045536722</v>
      </c>
      <c r="Z1004" t="s">
        <v>392</v>
      </c>
      <c r="AA1004">
        <v>9937</v>
      </c>
      <c r="AB1004" t="s">
        <v>1395</v>
      </c>
      <c r="AC1004" t="str">
        <f>HYPERLINK("plots/20251231000436_3FT6Y121H01_04823_B11P_N_UFLEX98_M5358A8BH101511/dpll_52094/txpa_55247.png","plot")</f>
        <v>plot</v>
      </c>
    </row>
    <row r="1005" spans="1:29" hidden="1" x14ac:dyDescent="0.35">
      <c r="A1005" t="s">
        <v>46</v>
      </c>
      <c r="B1005">
        <v>52094</v>
      </c>
      <c r="C1005" t="s">
        <v>53</v>
      </c>
      <c r="D1005">
        <v>55248</v>
      </c>
      <c r="E1005" t="s">
        <v>381</v>
      </c>
      <c r="F1005">
        <v>8689</v>
      </c>
      <c r="G1005">
        <v>0.50611002250918347</v>
      </c>
      <c r="H1005">
        <v>0</v>
      </c>
      <c r="I1005">
        <v>0</v>
      </c>
      <c r="J1005">
        <v>0.43754698152356097</v>
      </c>
      <c r="K1005">
        <v>0</v>
      </c>
      <c r="L1005">
        <v>0</v>
      </c>
      <c r="M1005">
        <v>0.31024559019114373</v>
      </c>
      <c r="N1005">
        <v>0</v>
      </c>
      <c r="O1005">
        <v>0</v>
      </c>
      <c r="P1005">
        <v>0.25614735488424623</v>
      </c>
      <c r="Q1005">
        <v>1.522384760175254</v>
      </c>
      <c r="R1005">
        <v>4.7646368645502308</v>
      </c>
      <c r="S1005">
        <v>0.36191311373061302</v>
      </c>
      <c r="T1005">
        <v>0.25199615281944449</v>
      </c>
      <c r="U1005">
        <v>4.3189275196225108</v>
      </c>
      <c r="V1005">
        <v>0.13951033013085101</v>
      </c>
      <c r="W1005">
        <v>11.33970630072505</v>
      </c>
      <c r="X1005">
        <v>0.41964867525296312</v>
      </c>
      <c r="Z1005" t="s">
        <v>392</v>
      </c>
      <c r="AA1005">
        <v>9937</v>
      </c>
      <c r="AB1005" t="s">
        <v>1396</v>
      </c>
      <c r="AC1005" t="str">
        <f>HYPERLINK("plots/20251231000436_3FT6Y121H01_04823_B11P_N_UFLEX98_M5358A8BH101511/dpll_52094/txpa_55248.png","plot")</f>
        <v>plot</v>
      </c>
    </row>
    <row r="1006" spans="1:29" hidden="1" x14ac:dyDescent="0.35">
      <c r="A1006" t="s">
        <v>46</v>
      </c>
      <c r="B1006">
        <v>52094</v>
      </c>
      <c r="C1006" t="s">
        <v>53</v>
      </c>
      <c r="D1006">
        <v>55249</v>
      </c>
      <c r="E1006" t="s">
        <v>382</v>
      </c>
      <c r="F1006">
        <v>8673</v>
      </c>
      <c r="G1006">
        <v>0.5014299874270739</v>
      </c>
      <c r="H1006">
        <v>0</v>
      </c>
      <c r="I1006">
        <v>0</v>
      </c>
      <c r="J1006">
        <v>0.43455482687770941</v>
      </c>
      <c r="K1006">
        <v>0</v>
      </c>
      <c r="L1006">
        <v>0</v>
      </c>
      <c r="M1006">
        <v>0.30770541128453349</v>
      </c>
      <c r="N1006">
        <v>0</v>
      </c>
      <c r="O1006">
        <v>0</v>
      </c>
      <c r="P1006">
        <v>0.25143203229111549</v>
      </c>
      <c r="Q1006">
        <v>1.47609268963859</v>
      </c>
      <c r="R1006">
        <v>5.0254065123934781</v>
      </c>
      <c r="S1006">
        <v>0.35209213170955439</v>
      </c>
      <c r="T1006">
        <v>0.24359559582049539</v>
      </c>
      <c r="U1006">
        <v>4.3197514881817138</v>
      </c>
      <c r="V1006">
        <v>0.13824913173131601</v>
      </c>
      <c r="W1006">
        <v>11.401760105153921</v>
      </c>
      <c r="X1006">
        <v>0.40697313246977851</v>
      </c>
      <c r="Z1006" t="s">
        <v>392</v>
      </c>
      <c r="AA1006">
        <v>9937</v>
      </c>
      <c r="AB1006" t="s">
        <v>1397</v>
      </c>
      <c r="AC1006" t="str">
        <f>HYPERLINK("plots/20251231000436_3FT6Y121H01_04823_B11P_N_UFLEX98_M5358A8BH101511/dpll_52094/txpa_55249.png","plot")</f>
        <v>plot</v>
      </c>
    </row>
    <row r="1007" spans="1:29" hidden="1" x14ac:dyDescent="0.35">
      <c r="A1007" t="s">
        <v>46</v>
      </c>
      <c r="B1007">
        <v>52094</v>
      </c>
      <c r="C1007" t="s">
        <v>53</v>
      </c>
      <c r="D1007">
        <v>55250</v>
      </c>
      <c r="E1007" t="s">
        <v>383</v>
      </c>
      <c r="F1007">
        <v>8688</v>
      </c>
      <c r="G1007">
        <v>0.49176240486789091</v>
      </c>
      <c r="H1007">
        <v>0</v>
      </c>
      <c r="I1007">
        <v>0</v>
      </c>
      <c r="J1007">
        <v>0.39770999873764418</v>
      </c>
      <c r="K1007">
        <v>0</v>
      </c>
      <c r="L1007">
        <v>0</v>
      </c>
      <c r="M1007">
        <v>0.27869866799906318</v>
      </c>
      <c r="N1007">
        <v>0</v>
      </c>
      <c r="O1007">
        <v>0</v>
      </c>
      <c r="P1007">
        <v>0.2418302628414514</v>
      </c>
      <c r="Q1007">
        <v>1.6049956492413</v>
      </c>
      <c r="R1007">
        <v>4.6112077104038143</v>
      </c>
      <c r="S1007">
        <v>0.39627326551399078</v>
      </c>
      <c r="T1007">
        <v>0.28467751433460092</v>
      </c>
      <c r="U1007">
        <v>4.3189741023250452</v>
      </c>
      <c r="V1007">
        <v>0.13944983699266891</v>
      </c>
      <c r="W1007">
        <v>11.543142353821359</v>
      </c>
      <c r="X1007">
        <v>0.45513113537170252</v>
      </c>
      <c r="Z1007" t="s">
        <v>392</v>
      </c>
      <c r="AA1007">
        <v>9937</v>
      </c>
      <c r="AB1007" t="s">
        <v>1398</v>
      </c>
      <c r="AC1007" t="str">
        <f>HYPERLINK("plots/20251231000436_3FT6Y121H01_04823_B11P_N_UFLEX98_M5358A8BH101511/dpll_52094/txpa_55250.png","plot")</f>
        <v>plot</v>
      </c>
    </row>
    <row r="1008" spans="1:29" hidden="1" x14ac:dyDescent="0.35">
      <c r="A1008" t="s">
        <v>46</v>
      </c>
      <c r="B1008">
        <v>52094</v>
      </c>
      <c r="C1008" t="s">
        <v>53</v>
      </c>
      <c r="D1008">
        <v>55251</v>
      </c>
      <c r="E1008" t="s">
        <v>384</v>
      </c>
      <c r="F1008">
        <v>8698</v>
      </c>
      <c r="G1008">
        <v>0.46681965455483032</v>
      </c>
      <c r="H1008">
        <v>0</v>
      </c>
      <c r="I1008">
        <v>0</v>
      </c>
      <c r="J1008">
        <v>0.3934219282581809</v>
      </c>
      <c r="K1008">
        <v>0</v>
      </c>
      <c r="L1008">
        <v>0</v>
      </c>
      <c r="M1008">
        <v>0.27664966550119202</v>
      </c>
      <c r="N1008">
        <v>0</v>
      </c>
      <c r="O1008">
        <v>0</v>
      </c>
      <c r="P1008">
        <v>0.21792058987869109</v>
      </c>
      <c r="Q1008">
        <v>1.6472778895855891</v>
      </c>
      <c r="R1008">
        <v>4.5102163822080383</v>
      </c>
      <c r="S1008">
        <v>0.43706333472819697</v>
      </c>
      <c r="T1008">
        <v>0.31096554484233691</v>
      </c>
      <c r="U1008">
        <v>4.3185052894918368</v>
      </c>
      <c r="V1008">
        <v>0.14006388849653009</v>
      </c>
      <c r="W1008">
        <v>11.623994661646361</v>
      </c>
      <c r="X1008">
        <v>0.4942468561434909</v>
      </c>
      <c r="Z1008" t="s">
        <v>392</v>
      </c>
      <c r="AA1008">
        <v>9937</v>
      </c>
      <c r="AB1008" t="s">
        <v>1399</v>
      </c>
      <c r="AC1008" t="str">
        <f>HYPERLINK("plots/20251231000436_3FT6Y121H01_04823_B11P_N_UFLEX98_M5358A8BH101511/dpll_52094/txpa_55251.png","plot")</f>
        <v>plot</v>
      </c>
    </row>
    <row r="1009" spans="1:29" hidden="1" x14ac:dyDescent="0.35">
      <c r="A1009" t="s">
        <v>46</v>
      </c>
      <c r="B1009">
        <v>52094</v>
      </c>
      <c r="C1009" t="s">
        <v>53</v>
      </c>
      <c r="D1009">
        <v>55252</v>
      </c>
      <c r="E1009" t="s">
        <v>385</v>
      </c>
      <c r="F1009">
        <v>8677</v>
      </c>
      <c r="G1009">
        <v>0.49604438482682878</v>
      </c>
      <c r="H1009">
        <v>0</v>
      </c>
      <c r="I1009">
        <v>0</v>
      </c>
      <c r="J1009">
        <v>0.45469230955065132</v>
      </c>
      <c r="K1009">
        <v>0</v>
      </c>
      <c r="L1009">
        <v>0</v>
      </c>
      <c r="M1009">
        <v>0.32488459493449068</v>
      </c>
      <c r="N1009">
        <v>0</v>
      </c>
      <c r="O1009">
        <v>0</v>
      </c>
      <c r="P1009">
        <v>0.24606003171822699</v>
      </c>
      <c r="Q1009">
        <v>1.533420657558703</v>
      </c>
      <c r="R1009">
        <v>5.0489557395956819</v>
      </c>
      <c r="S1009">
        <v>0.37295990763130782</v>
      </c>
      <c r="T1009">
        <v>0.25465541431685118</v>
      </c>
      <c r="U1009">
        <v>4.3192183185432764</v>
      </c>
      <c r="V1009">
        <v>0.13895622923369139</v>
      </c>
      <c r="W1009">
        <v>11.67213433375591</v>
      </c>
      <c r="X1009">
        <v>0.4295550134647555</v>
      </c>
      <c r="Z1009" t="s">
        <v>392</v>
      </c>
      <c r="AA1009">
        <v>9937</v>
      </c>
      <c r="AB1009" t="s">
        <v>1400</v>
      </c>
      <c r="AC1009" t="str">
        <f>HYPERLINK("plots/20251231000436_3FT6Y121H01_04823_B11P_N_UFLEX98_M5358A8BH101511/dpll_52094/txpa_55252.png","plot")</f>
        <v>plot</v>
      </c>
    </row>
    <row r="1010" spans="1:29" hidden="1" x14ac:dyDescent="0.35">
      <c r="A1010" t="s">
        <v>46</v>
      </c>
      <c r="B1010">
        <v>52094</v>
      </c>
      <c r="C1010" t="s">
        <v>53</v>
      </c>
      <c r="D1010">
        <v>55253</v>
      </c>
      <c r="E1010" t="s">
        <v>386</v>
      </c>
      <c r="F1010">
        <v>8690</v>
      </c>
      <c r="G1010">
        <v>0.48326722797922089</v>
      </c>
      <c r="H1010">
        <v>0</v>
      </c>
      <c r="I1010">
        <v>0</v>
      </c>
      <c r="J1010">
        <v>0.41439544012339918</v>
      </c>
      <c r="K1010">
        <v>0</v>
      </c>
      <c r="L1010">
        <v>0</v>
      </c>
      <c r="M1010">
        <v>0.29256745819055252</v>
      </c>
      <c r="N1010">
        <v>0</v>
      </c>
      <c r="O1010">
        <v>0</v>
      </c>
      <c r="P1010">
        <v>0.2335472136387203</v>
      </c>
      <c r="Q1010">
        <v>1.584670943998514</v>
      </c>
      <c r="R1010">
        <v>4.7395611552541856</v>
      </c>
      <c r="S1010">
        <v>0.40100612711130912</v>
      </c>
      <c r="T1010">
        <v>0.28259699996876508</v>
      </c>
      <c r="U1010">
        <v>4.3188383036823934</v>
      </c>
      <c r="V1010">
        <v>0.13969521954014361</v>
      </c>
      <c r="W1010">
        <v>11.5834987269275</v>
      </c>
      <c r="X1010">
        <v>0.4580715235883473</v>
      </c>
      <c r="Z1010" t="s">
        <v>392</v>
      </c>
      <c r="AA1010">
        <v>9937</v>
      </c>
      <c r="AB1010" t="s">
        <v>1401</v>
      </c>
      <c r="AC1010" t="str">
        <f>HYPERLINK("plots/20251231000436_3FT6Y121H01_04823_B11P_N_UFLEX98_M5358A8BH101511/dpll_52094/txpa_55253.png","plot")</f>
        <v>plot</v>
      </c>
    </row>
    <row r="1011" spans="1:29" hidden="1" x14ac:dyDescent="0.35">
      <c r="A1011" t="s">
        <v>46</v>
      </c>
      <c r="B1011">
        <v>52094</v>
      </c>
      <c r="C1011" t="s">
        <v>53</v>
      </c>
      <c r="D1011">
        <v>55254</v>
      </c>
      <c r="E1011" t="s">
        <v>387</v>
      </c>
      <c r="F1011">
        <v>8686</v>
      </c>
      <c r="G1011">
        <v>0.50101485540098656</v>
      </c>
      <c r="H1011">
        <v>0</v>
      </c>
      <c r="I1011">
        <v>0</v>
      </c>
      <c r="J1011">
        <v>0.4449048940621857</v>
      </c>
      <c r="K1011">
        <v>0</v>
      </c>
      <c r="L1011">
        <v>0</v>
      </c>
      <c r="M1011">
        <v>0.31694667131574938</v>
      </c>
      <c r="N1011">
        <v>0</v>
      </c>
      <c r="O1011">
        <v>0</v>
      </c>
      <c r="P1011">
        <v>0.25101588533247149</v>
      </c>
      <c r="Q1011">
        <v>1.583159551432475</v>
      </c>
      <c r="R1011">
        <v>4.7641875322304914</v>
      </c>
      <c r="S1011">
        <v>0.38092855287885402</v>
      </c>
      <c r="T1011">
        <v>0.26216967193512841</v>
      </c>
      <c r="U1011">
        <v>4.3190727901220347</v>
      </c>
      <c r="V1011">
        <v>0.1393022535741289</v>
      </c>
      <c r="W1011">
        <v>11.601968873244299</v>
      </c>
      <c r="X1011">
        <v>0.44018194451628351</v>
      </c>
      <c r="Z1011" t="s">
        <v>392</v>
      </c>
      <c r="AA1011">
        <v>9937</v>
      </c>
      <c r="AB1011" t="s">
        <v>1402</v>
      </c>
      <c r="AC1011" t="str">
        <f>HYPERLINK("plots/20251231000436_3FT6Y121H01_04823_B11P_N_UFLEX98_M5358A8BH101511/dpll_52094/txpa_55254.png","plot")</f>
        <v>plot</v>
      </c>
    </row>
    <row r="1012" spans="1:29" hidden="1" x14ac:dyDescent="0.35">
      <c r="A1012" t="s">
        <v>46</v>
      </c>
      <c r="B1012">
        <v>52094</v>
      </c>
      <c r="C1012" t="s">
        <v>53</v>
      </c>
      <c r="D1012">
        <v>55255</v>
      </c>
      <c r="E1012" t="s">
        <v>388</v>
      </c>
      <c r="F1012">
        <v>8683</v>
      </c>
      <c r="G1012">
        <v>0.50360625382870927</v>
      </c>
      <c r="H1012">
        <v>0</v>
      </c>
      <c r="I1012">
        <v>0</v>
      </c>
      <c r="J1012">
        <v>0.43364141543928619</v>
      </c>
      <c r="K1012">
        <v>0</v>
      </c>
      <c r="L1012">
        <v>0</v>
      </c>
      <c r="M1012">
        <v>0.30656019546112301</v>
      </c>
      <c r="N1012">
        <v>0</v>
      </c>
      <c r="O1012">
        <v>0</v>
      </c>
      <c r="P1012">
        <v>0.25361925889538628</v>
      </c>
      <c r="Q1012">
        <v>1.5696634601887269</v>
      </c>
      <c r="R1012">
        <v>4.8474859068523344</v>
      </c>
      <c r="S1012">
        <v>0.37406692460457919</v>
      </c>
      <c r="T1012">
        <v>0.26119581575807482</v>
      </c>
      <c r="U1012">
        <v>4.3192704392491068</v>
      </c>
      <c r="V1012">
        <v>0.13892444565647319</v>
      </c>
      <c r="W1012">
        <v>11.62728689001497</v>
      </c>
      <c r="X1012">
        <v>0.43300619167471749</v>
      </c>
      <c r="Z1012" t="s">
        <v>392</v>
      </c>
      <c r="AA1012">
        <v>9937</v>
      </c>
      <c r="AB1012" t="s">
        <v>1403</v>
      </c>
      <c r="AC1012" t="str">
        <f>HYPERLINK("plots/20251231000436_3FT6Y121H01_04823_B11P_N_UFLEX98_M5358A8BH101511/dpll_52094/txpa_55255.png","plot")</f>
        <v>plot</v>
      </c>
    </row>
    <row r="1013" spans="1:29" hidden="1" x14ac:dyDescent="0.35">
      <c r="A1013" t="s">
        <v>46</v>
      </c>
      <c r="B1013">
        <v>52094</v>
      </c>
      <c r="C1013" t="s">
        <v>53</v>
      </c>
      <c r="D1013">
        <v>55256</v>
      </c>
      <c r="E1013" t="s">
        <v>389</v>
      </c>
      <c r="F1013">
        <v>8693</v>
      </c>
      <c r="G1013">
        <v>0.50890081981732849</v>
      </c>
      <c r="H1013">
        <v>0</v>
      </c>
      <c r="I1013">
        <v>0</v>
      </c>
      <c r="J1013">
        <v>0.43526237791149652</v>
      </c>
      <c r="K1013">
        <v>0</v>
      </c>
      <c r="L1013">
        <v>0</v>
      </c>
      <c r="M1013">
        <v>0.30858292541711402</v>
      </c>
      <c r="N1013">
        <v>0</v>
      </c>
      <c r="O1013">
        <v>0</v>
      </c>
      <c r="P1013">
        <v>0.25898004441074901</v>
      </c>
      <c r="Q1013">
        <v>1.5934048358339481</v>
      </c>
      <c r="R1013">
        <v>4.658540204172299</v>
      </c>
      <c r="S1013">
        <v>0.37695667514516162</v>
      </c>
      <c r="T1013">
        <v>0.26382398376973992</v>
      </c>
      <c r="U1013">
        <v>4.318706926492581</v>
      </c>
      <c r="V1013">
        <v>0.1398648187902358</v>
      </c>
      <c r="W1013">
        <v>11.53998870539515</v>
      </c>
      <c r="X1013">
        <v>0.43792674317836122</v>
      </c>
      <c r="Z1013" t="s">
        <v>392</v>
      </c>
      <c r="AA1013">
        <v>9937</v>
      </c>
      <c r="AB1013" t="s">
        <v>1404</v>
      </c>
      <c r="AC1013" t="str">
        <f>HYPERLINK("plots/20251231000436_3FT6Y121H01_04823_B11P_N_UFLEX98_M5358A8BH101511/dpll_52094/txpa_55256.png","plot")</f>
        <v>plot</v>
      </c>
    </row>
    <row r="1014" spans="1:29" hidden="1" x14ac:dyDescent="0.35">
      <c r="A1014" t="s">
        <v>46</v>
      </c>
      <c r="B1014">
        <v>52094</v>
      </c>
      <c r="C1014" t="s">
        <v>53</v>
      </c>
      <c r="D1014">
        <v>55257</v>
      </c>
      <c r="E1014" t="s">
        <v>390</v>
      </c>
      <c r="F1014">
        <v>8679</v>
      </c>
      <c r="G1014">
        <v>0.5034085295987919</v>
      </c>
      <c r="H1014">
        <v>0</v>
      </c>
      <c r="I1014">
        <v>0</v>
      </c>
      <c r="J1014">
        <v>0.43207263114518429</v>
      </c>
      <c r="K1014">
        <v>0</v>
      </c>
      <c r="L1014">
        <v>0</v>
      </c>
      <c r="M1014">
        <v>0.30622497367905421</v>
      </c>
      <c r="N1014">
        <v>0</v>
      </c>
      <c r="O1014">
        <v>0</v>
      </c>
      <c r="P1014">
        <v>0.25342014767281767</v>
      </c>
      <c r="Q1014">
        <v>1.555210368836369</v>
      </c>
      <c r="R1014">
        <v>4.9026822050292473</v>
      </c>
      <c r="S1014">
        <v>0.36990992712351473</v>
      </c>
      <c r="T1014">
        <v>0.258032043205845</v>
      </c>
      <c r="U1014">
        <v>4.3194849662403501</v>
      </c>
      <c r="V1014">
        <v>0.13858438588659211</v>
      </c>
      <c r="W1014">
        <v>11.620390012559049</v>
      </c>
      <c r="X1014">
        <v>0.42813711174385682</v>
      </c>
      <c r="Z1014" t="s">
        <v>392</v>
      </c>
      <c r="AA1014">
        <v>9937</v>
      </c>
      <c r="AB1014" t="s">
        <v>1405</v>
      </c>
      <c r="AC1014" t="str">
        <f>HYPERLINK("plots/20251231000436_3FT6Y121H01_04823_B11P_N_UFLEX98_M5358A8BH101511/dpll_52094/txpa_55257.png","plot")</f>
        <v>plot</v>
      </c>
    </row>
    <row r="1015" spans="1:29" hidden="1" x14ac:dyDescent="0.35">
      <c r="A1015" t="s">
        <v>46</v>
      </c>
      <c r="B1015">
        <v>52094</v>
      </c>
      <c r="C1015" t="s">
        <v>53</v>
      </c>
      <c r="D1015">
        <v>55258</v>
      </c>
      <c r="E1015" t="s">
        <v>391</v>
      </c>
      <c r="F1015">
        <v>8696</v>
      </c>
      <c r="G1015">
        <v>0.49546623570539883</v>
      </c>
      <c r="H1015">
        <v>0</v>
      </c>
      <c r="I1015">
        <v>0</v>
      </c>
      <c r="J1015">
        <v>0.39334905283788801</v>
      </c>
      <c r="K1015">
        <v>0</v>
      </c>
      <c r="L1015">
        <v>0</v>
      </c>
      <c r="M1015">
        <v>0.27537977550327358</v>
      </c>
      <c r="N1015">
        <v>0</v>
      </c>
      <c r="O1015">
        <v>0</v>
      </c>
      <c r="P1015">
        <v>0.24548679072407781</v>
      </c>
      <c r="Q1015">
        <v>1.698229748230994</v>
      </c>
      <c r="R1015">
        <v>4.4145824059781864</v>
      </c>
      <c r="S1015">
        <v>0.41687076665361111</v>
      </c>
      <c r="T1015">
        <v>0.30115402965771809</v>
      </c>
      <c r="U1015">
        <v>4.3185737304507814</v>
      </c>
      <c r="V1015">
        <v>0.14002662122440329</v>
      </c>
      <c r="W1015">
        <v>11.748512784958599</v>
      </c>
      <c r="X1015">
        <v>0.47994667763586613</v>
      </c>
      <c r="Z1015" t="s">
        <v>392</v>
      </c>
      <c r="AA1015">
        <v>9937</v>
      </c>
      <c r="AB1015" t="s">
        <v>1406</v>
      </c>
      <c r="AC1015" t="str">
        <f>HYPERLINK("plots/20251231000436_3FT6Y121H01_04823_B11P_N_UFLEX98_M5358A8BH101511/dpll_52094/txpa_55258.png","plot")</f>
        <v>plot</v>
      </c>
    </row>
    <row r="1016" spans="1:29" x14ac:dyDescent="0.35">
      <c r="A1016" s="3" t="s">
        <v>47</v>
      </c>
      <c r="B1016">
        <v>52046</v>
      </c>
      <c r="C1016" t="s">
        <v>51</v>
      </c>
      <c r="D1016">
        <v>53179</v>
      </c>
      <c r="E1016" t="s">
        <v>54</v>
      </c>
      <c r="F1016">
        <v>7128</v>
      </c>
      <c r="G1016">
        <v>0.1035317964795469</v>
      </c>
      <c r="H1016">
        <v>1.9020207199265579E-18</v>
      </c>
      <c r="I1016">
        <v>1.9286490100055291E-18</v>
      </c>
      <c r="J1016">
        <v>0.101925891869632</v>
      </c>
      <c r="K1016">
        <v>6.3362935192905573E-18</v>
      </c>
      <c r="L1016">
        <v>6.4250016285606241E-18</v>
      </c>
      <c r="M1016">
        <v>6.7782999817399936E-2</v>
      </c>
      <c r="N1016">
        <v>9.6611492073753782E-18</v>
      </c>
      <c r="O1016">
        <v>9.7964052962786335E-18</v>
      </c>
      <c r="P1016">
        <v>1.0718832882282319E-2</v>
      </c>
      <c r="Q1016">
        <v>0.61610000738430515</v>
      </c>
      <c r="R1016">
        <v>-21.964334698276211</v>
      </c>
      <c r="S1016">
        <v>0.68165615315895212</v>
      </c>
      <c r="T1016">
        <v>0.52103229789294025</v>
      </c>
      <c r="U1016">
        <v>4.4222676449214369</v>
      </c>
      <c r="V1016">
        <v>0.1151750715282467</v>
      </c>
      <c r="W1016">
        <v>-19.23977556958474</v>
      </c>
      <c r="X1016">
        <v>0.68538714512752552</v>
      </c>
      <c r="Z1016" t="s">
        <v>392</v>
      </c>
      <c r="AA1016">
        <v>140</v>
      </c>
      <c r="AB1016" t="s">
        <v>1407</v>
      </c>
      <c r="AC1016" t="str">
        <f>HYPERLINK("plots/20251231112652_3FT6Y119H04_05543_B21P_N_UFLEX98_M5358A8BA201511/dpll_52046/txpa_53179.png","plot")</f>
        <v>plot</v>
      </c>
    </row>
    <row r="1017" spans="1:29" x14ac:dyDescent="0.35">
      <c r="A1017" s="3" t="s">
        <v>47</v>
      </c>
      <c r="B1017">
        <v>52046</v>
      </c>
      <c r="C1017" t="s">
        <v>51</v>
      </c>
      <c r="D1017">
        <v>53180</v>
      </c>
      <c r="E1017" t="s">
        <v>55</v>
      </c>
      <c r="F1017">
        <v>7127</v>
      </c>
      <c r="G1017">
        <v>8.7150744063234822E-2</v>
      </c>
      <c r="H1017">
        <v>1.7045256591806361E-13</v>
      </c>
      <c r="I1017">
        <v>1.7163743976257841E-13</v>
      </c>
      <c r="J1017">
        <v>8.2596488326742004E-2</v>
      </c>
      <c r="K1017">
        <v>2.8763621311808152E-12</v>
      </c>
      <c r="L1017">
        <v>2.8963567040887252E-12</v>
      </c>
      <c r="M1017">
        <v>5.5216206011342119E-2</v>
      </c>
      <c r="N1017">
        <v>2.8022393085388409E-12</v>
      </c>
      <c r="O1017">
        <v>2.821718628459171E-12</v>
      </c>
      <c r="P1017">
        <v>7.5952521907754599E-3</v>
      </c>
      <c r="Q1017">
        <v>0.5240015530744635</v>
      </c>
      <c r="R1017">
        <v>-21.4117685943251</v>
      </c>
      <c r="S1017">
        <v>0.68980246293089831</v>
      </c>
      <c r="T1017">
        <v>0.52723666362149224</v>
      </c>
      <c r="U1017">
        <v>4.4223215157850424</v>
      </c>
      <c r="V1017">
        <v>0.1151726393751701</v>
      </c>
      <c r="W1017">
        <v>-19.09446525185913</v>
      </c>
      <c r="X1017">
        <v>0.69248567585934895</v>
      </c>
      <c r="Z1017" t="s">
        <v>392</v>
      </c>
      <c r="AA1017">
        <v>140</v>
      </c>
      <c r="AB1017" t="s">
        <v>1408</v>
      </c>
      <c r="AC1017" t="str">
        <f>HYPERLINK("plots/20251231112652_3FT6Y119H04_05543_B21P_N_UFLEX98_M5358A8BA201511/dpll_52046/txpa_53180.png","plot")</f>
        <v>plot</v>
      </c>
    </row>
    <row r="1018" spans="1:29" x14ac:dyDescent="0.35">
      <c r="A1018" s="3" t="s">
        <v>47</v>
      </c>
      <c r="B1018">
        <v>52046</v>
      </c>
      <c r="C1018" t="s">
        <v>51</v>
      </c>
      <c r="D1018">
        <v>53181</v>
      </c>
      <c r="E1018" t="s">
        <v>56</v>
      </c>
      <c r="F1018">
        <v>7134</v>
      </c>
      <c r="G1018">
        <v>0.1153665113394675</v>
      </c>
      <c r="H1018">
        <v>1.4394645082820239E-22</v>
      </c>
      <c r="I1018">
        <v>1.4758513765399121E-22</v>
      </c>
      <c r="J1018">
        <v>0.1121406876066464</v>
      </c>
      <c r="K1018">
        <v>2.097735273673186E-21</v>
      </c>
      <c r="L1018">
        <v>2.1883781558689409E-21</v>
      </c>
      <c r="M1018">
        <v>7.484736271152409E-2</v>
      </c>
      <c r="N1018">
        <v>2.6414110348780109E-21</v>
      </c>
      <c r="O1018">
        <v>2.7612276179034061E-21</v>
      </c>
      <c r="P1018">
        <v>1.330943193863947E-2</v>
      </c>
      <c r="Q1018">
        <v>0.63826651092822373</v>
      </c>
      <c r="R1018">
        <v>-21.708015011629051</v>
      </c>
      <c r="S1018">
        <v>0.63299006874099861</v>
      </c>
      <c r="T1018">
        <v>0.48413123890640791</v>
      </c>
      <c r="U1018">
        <v>4.4223099181384917</v>
      </c>
      <c r="V1018">
        <v>0.1151899394763785</v>
      </c>
      <c r="W1018">
        <v>-18.885402689935521</v>
      </c>
      <c r="X1018">
        <v>0.63728962512597975</v>
      </c>
      <c r="Z1018" t="s">
        <v>392</v>
      </c>
      <c r="AA1018">
        <v>140</v>
      </c>
      <c r="AB1018" t="s">
        <v>1409</v>
      </c>
      <c r="AC1018" t="str">
        <f>HYPERLINK("plots/20251231112652_3FT6Y119H04_05543_B21P_N_UFLEX98_M5358A8BA201511/dpll_52046/txpa_53181.png","plot")</f>
        <v>plot</v>
      </c>
    </row>
    <row r="1019" spans="1:29" x14ac:dyDescent="0.35">
      <c r="A1019" s="3" t="s">
        <v>47</v>
      </c>
      <c r="B1019">
        <v>52046</v>
      </c>
      <c r="C1019" t="s">
        <v>51</v>
      </c>
      <c r="D1019">
        <v>53182</v>
      </c>
      <c r="E1019" t="s">
        <v>57</v>
      </c>
      <c r="F1019">
        <v>7134</v>
      </c>
      <c r="G1019">
        <v>0.1073031600554939</v>
      </c>
      <c r="H1019">
        <v>1.010561896989091E-19</v>
      </c>
      <c r="I1019">
        <v>1.0277931429758661E-19</v>
      </c>
      <c r="J1019">
        <v>0.1046008318121523</v>
      </c>
      <c r="K1019">
        <v>8.1711758662614441E-19</v>
      </c>
      <c r="L1019">
        <v>8.3105038399088309E-19</v>
      </c>
      <c r="M1019">
        <v>6.9773000281601105E-2</v>
      </c>
      <c r="N1019">
        <v>1.0133926883248029E-18</v>
      </c>
      <c r="O1019">
        <v>1.03170701401742E-18</v>
      </c>
      <c r="P1019">
        <v>1.151396815789494E-2</v>
      </c>
      <c r="Q1019">
        <v>0.6018877567559453</v>
      </c>
      <c r="R1019">
        <v>-21.527538165946851</v>
      </c>
      <c r="S1019">
        <v>0.64197508864058561</v>
      </c>
      <c r="T1019">
        <v>0.49093197677463019</v>
      </c>
      <c r="U1019">
        <v>4.4222383671152228</v>
      </c>
      <c r="V1019">
        <v>0.11512253675591989</v>
      </c>
      <c r="W1019">
        <v>-18.865847035323799</v>
      </c>
      <c r="X1019">
        <v>0.64574841378613057</v>
      </c>
      <c r="Z1019" t="s">
        <v>392</v>
      </c>
      <c r="AA1019">
        <v>140</v>
      </c>
      <c r="AB1019" t="s">
        <v>1410</v>
      </c>
      <c r="AC1019" t="str">
        <f>HYPERLINK("plots/20251231112652_3FT6Y119H04_05543_B21P_N_UFLEX98_M5358A8BA201511/dpll_52046/txpa_53182.png","plot")</f>
        <v>plot</v>
      </c>
    </row>
    <row r="1020" spans="1:29" x14ac:dyDescent="0.35">
      <c r="A1020" s="3" t="s">
        <v>47</v>
      </c>
      <c r="B1020">
        <v>52046</v>
      </c>
      <c r="C1020" t="s">
        <v>51</v>
      </c>
      <c r="D1020">
        <v>53183</v>
      </c>
      <c r="E1020" t="s">
        <v>58</v>
      </c>
      <c r="F1020">
        <v>7133</v>
      </c>
      <c r="G1020">
        <v>0.12012522133465819</v>
      </c>
      <c r="H1020">
        <v>2.4223540691469132E-24</v>
      </c>
      <c r="I1020">
        <v>2.5063949246071118E-24</v>
      </c>
      <c r="J1020">
        <v>0.11006741741383951</v>
      </c>
      <c r="K1020">
        <v>1.134369911885452E-20</v>
      </c>
      <c r="L1020">
        <v>1.170143530673294E-20</v>
      </c>
      <c r="M1020">
        <v>7.3210627690095356E-2</v>
      </c>
      <c r="N1020">
        <v>1.892954784501712E-20</v>
      </c>
      <c r="O1020">
        <v>1.9526512222632111E-20</v>
      </c>
      <c r="P1020">
        <v>1.443006880070063E-2</v>
      </c>
      <c r="Q1020">
        <v>0.62068723906928502</v>
      </c>
      <c r="R1020">
        <v>-21.309916582602749</v>
      </c>
      <c r="S1020">
        <v>0.59064569896374053</v>
      </c>
      <c r="T1020">
        <v>0.45238478671771121</v>
      </c>
      <c r="U1020">
        <v>4.4222334826861056</v>
      </c>
      <c r="V1020">
        <v>0.11515297226983209</v>
      </c>
      <c r="W1020">
        <v>-18.565092691714561</v>
      </c>
      <c r="X1020">
        <v>0.59499561902711351</v>
      </c>
      <c r="Z1020" t="s">
        <v>392</v>
      </c>
      <c r="AA1020">
        <v>140</v>
      </c>
      <c r="AB1020" t="s">
        <v>1411</v>
      </c>
      <c r="AC1020" t="str">
        <f>HYPERLINK("plots/20251231112652_3FT6Y119H04_05543_B21P_N_UFLEX98_M5358A8BA201511/dpll_52046/txpa_53183.png","plot")</f>
        <v>plot</v>
      </c>
    </row>
    <row r="1021" spans="1:29" x14ac:dyDescent="0.35">
      <c r="A1021" s="3" t="s">
        <v>47</v>
      </c>
      <c r="B1021">
        <v>52046</v>
      </c>
      <c r="C1021" t="s">
        <v>51</v>
      </c>
      <c r="D1021">
        <v>53184</v>
      </c>
      <c r="E1021" t="s">
        <v>59</v>
      </c>
      <c r="F1021">
        <v>7130</v>
      </c>
      <c r="G1021">
        <v>8.965710951267139E-2</v>
      </c>
      <c r="H1021">
        <v>3.3367742888423491E-14</v>
      </c>
      <c r="I1021">
        <v>3.3666558496379521E-14</v>
      </c>
      <c r="J1021">
        <v>9.7842496406246829E-2</v>
      </c>
      <c r="K1021">
        <v>1.2299051895052071E-16</v>
      </c>
      <c r="L1021">
        <v>1.2409192658291341E-16</v>
      </c>
      <c r="M1021">
        <v>6.5475129101973922E-2</v>
      </c>
      <c r="N1021">
        <v>1.1590782836309771E-16</v>
      </c>
      <c r="O1021">
        <v>1.16945808915603E-16</v>
      </c>
      <c r="P1021">
        <v>8.0383972861671499E-3</v>
      </c>
      <c r="Q1021">
        <v>0.48927548050390091</v>
      </c>
      <c r="R1021">
        <v>-20.91569608317014</v>
      </c>
      <c r="S1021">
        <v>0.62586963661961947</v>
      </c>
      <c r="T1021">
        <v>0.48281087627626479</v>
      </c>
      <c r="U1021">
        <v>4.4223081342215984</v>
      </c>
      <c r="V1021">
        <v>0.11515908108745521</v>
      </c>
      <c r="W1021">
        <v>-18.751969145862549</v>
      </c>
      <c r="X1021">
        <v>0.62844447071416099</v>
      </c>
      <c r="Z1021" t="s">
        <v>392</v>
      </c>
      <c r="AA1021">
        <v>140</v>
      </c>
      <c r="AB1021" t="s">
        <v>1412</v>
      </c>
      <c r="AC1021" t="str">
        <f>HYPERLINK("plots/20251231112652_3FT6Y119H04_05543_B21P_N_UFLEX98_M5358A8BA201511/dpll_52046/txpa_53184.png","plot")</f>
        <v>plot</v>
      </c>
    </row>
    <row r="1022" spans="1:29" x14ac:dyDescent="0.35">
      <c r="A1022" s="3" t="s">
        <v>47</v>
      </c>
      <c r="B1022">
        <v>52046</v>
      </c>
      <c r="C1022" t="s">
        <v>51</v>
      </c>
      <c r="D1022">
        <v>53185</v>
      </c>
      <c r="E1022" t="s">
        <v>60</v>
      </c>
      <c r="F1022">
        <v>7130</v>
      </c>
      <c r="G1022">
        <v>0.11390999364859181</v>
      </c>
      <c r="H1022">
        <v>5.0019232909971361E-22</v>
      </c>
      <c r="I1022">
        <v>5.1128530414023154E-22</v>
      </c>
      <c r="J1022">
        <v>0.1097985911061329</v>
      </c>
      <c r="K1022">
        <v>1.4335987824342989E-20</v>
      </c>
      <c r="L1022">
        <v>1.475806259277543E-20</v>
      </c>
      <c r="M1022">
        <v>7.3602023415248991E-2</v>
      </c>
      <c r="N1022">
        <v>1.2094307656826211E-20</v>
      </c>
      <c r="O1022">
        <v>1.253949689572779E-20</v>
      </c>
      <c r="P1022">
        <v>1.297548665302223E-2</v>
      </c>
      <c r="Q1022">
        <v>0.62415253073851862</v>
      </c>
      <c r="R1022">
        <v>-21.470469979329518</v>
      </c>
      <c r="S1022">
        <v>0.62692433271059256</v>
      </c>
      <c r="T1022">
        <v>0.48049557430534018</v>
      </c>
      <c r="U1022">
        <v>4.4222665813464239</v>
      </c>
      <c r="V1022">
        <v>0.115173537560885</v>
      </c>
      <c r="W1022">
        <v>-18.71030110098177</v>
      </c>
      <c r="X1022">
        <v>0.63107592793393918</v>
      </c>
      <c r="Z1022" t="s">
        <v>392</v>
      </c>
      <c r="AA1022">
        <v>140</v>
      </c>
      <c r="AB1022" t="s">
        <v>1413</v>
      </c>
      <c r="AC1022" t="str">
        <f>HYPERLINK("plots/20251231112652_3FT6Y119H04_05543_B21P_N_UFLEX98_M5358A8BA201511/dpll_52046/txpa_53185.png","plot")</f>
        <v>plot</v>
      </c>
    </row>
    <row r="1023" spans="1:29" x14ac:dyDescent="0.35">
      <c r="A1023" s="3" t="s">
        <v>47</v>
      </c>
      <c r="B1023">
        <v>52046</v>
      </c>
      <c r="C1023" t="s">
        <v>51</v>
      </c>
      <c r="D1023">
        <v>53186</v>
      </c>
      <c r="E1023" t="s">
        <v>61</v>
      </c>
      <c r="F1023">
        <v>7129</v>
      </c>
      <c r="G1023">
        <v>0.13809642709816289</v>
      </c>
      <c r="H1023">
        <v>1.079692304906343E-31</v>
      </c>
      <c r="I1023">
        <v>1.1560802504488191E-31</v>
      </c>
      <c r="J1023">
        <v>0.13617590197735879</v>
      </c>
      <c r="K1023">
        <v>7.4151175660253464E-31</v>
      </c>
      <c r="L1023">
        <v>8.1638753658520097E-31</v>
      </c>
      <c r="M1023">
        <v>9.1118393137758061E-2</v>
      </c>
      <c r="N1023">
        <v>9.1068381891839294E-31</v>
      </c>
      <c r="O1023">
        <v>1.0059187280863299E-30</v>
      </c>
      <c r="P1023">
        <v>1.9070623177278229E-2</v>
      </c>
      <c r="Q1023">
        <v>0.83506174552704648</v>
      </c>
      <c r="R1023">
        <v>-22.926349328792011</v>
      </c>
      <c r="S1023">
        <v>0.68958398525572062</v>
      </c>
      <c r="T1023">
        <v>0.5215011697891766</v>
      </c>
      <c r="U1023">
        <v>4.4222674316173372</v>
      </c>
      <c r="V1023">
        <v>0.1151496472323234</v>
      </c>
      <c r="W1023">
        <v>-19.233482968158231</v>
      </c>
      <c r="X1023">
        <v>0.69630378884673372</v>
      </c>
      <c r="Z1023" t="s">
        <v>392</v>
      </c>
      <c r="AA1023">
        <v>140</v>
      </c>
      <c r="AB1023" t="s">
        <v>1414</v>
      </c>
      <c r="AC1023" t="str">
        <f>HYPERLINK("plots/20251231112652_3FT6Y119H04_05543_B21P_N_UFLEX98_M5358A8BA201511/dpll_52046/txpa_53186.png","plot")</f>
        <v>plot</v>
      </c>
    </row>
    <row r="1024" spans="1:29" x14ac:dyDescent="0.35">
      <c r="A1024" s="3" t="s">
        <v>47</v>
      </c>
      <c r="B1024">
        <v>52046</v>
      </c>
      <c r="C1024" t="s">
        <v>51</v>
      </c>
      <c r="D1024">
        <v>53187</v>
      </c>
      <c r="E1024" t="s">
        <v>62</v>
      </c>
      <c r="F1024">
        <v>7139</v>
      </c>
      <c r="G1024">
        <v>0.25006406963835448</v>
      </c>
      <c r="H1024">
        <v>3.1823200884849519E-102</v>
      </c>
      <c r="I1024">
        <v>5.1878980220638933E-102</v>
      </c>
      <c r="J1024">
        <v>0.23538395171878659</v>
      </c>
      <c r="K1024">
        <v>1.842645926562627E-90</v>
      </c>
      <c r="L1024">
        <v>3.1830374268049459E-90</v>
      </c>
      <c r="M1024">
        <v>0.15748411137751131</v>
      </c>
      <c r="N1024">
        <v>1.4331773484486999E-88</v>
      </c>
      <c r="O1024">
        <v>2.4631217480118331E-88</v>
      </c>
      <c r="P1024">
        <v>6.2532038924095826E-2</v>
      </c>
      <c r="Q1024">
        <v>0.56988152765676403</v>
      </c>
      <c r="R1024">
        <v>-11.003172070147309</v>
      </c>
      <c r="S1024">
        <v>0.25407826095575681</v>
      </c>
      <c r="T1024">
        <v>0.1982150354698933</v>
      </c>
      <c r="U1024">
        <v>4.4222873134892842</v>
      </c>
      <c r="V1024">
        <v>0.1151559613407446</v>
      </c>
      <c r="W1024">
        <v>-8.4829922201989074</v>
      </c>
      <c r="X1024">
        <v>0.26243376452504658</v>
      </c>
      <c r="Z1024" t="s">
        <v>392</v>
      </c>
      <c r="AA1024">
        <v>140</v>
      </c>
      <c r="AB1024" t="s">
        <v>1415</v>
      </c>
      <c r="AC1024" t="str">
        <f>HYPERLINK("plots/20251231112652_3FT6Y119H04_05543_B21P_N_UFLEX98_M5358A8BA201511/dpll_52046/txpa_53187.png","plot")</f>
        <v>plot</v>
      </c>
    </row>
    <row r="1025" spans="1:29" x14ac:dyDescent="0.35">
      <c r="A1025" s="3" t="s">
        <v>47</v>
      </c>
      <c r="B1025">
        <v>52046</v>
      </c>
      <c r="C1025" t="s">
        <v>51</v>
      </c>
      <c r="D1025">
        <v>53188</v>
      </c>
      <c r="E1025" t="s">
        <v>63</v>
      </c>
      <c r="F1025">
        <v>7139</v>
      </c>
      <c r="G1025">
        <v>0.1956448283270511</v>
      </c>
      <c r="H1025">
        <v>1.571376612638759E-62</v>
      </c>
      <c r="I1025">
        <v>1.931364709352366E-62</v>
      </c>
      <c r="J1025">
        <v>0.18573656272587061</v>
      </c>
      <c r="K1025">
        <v>1.9778102425385179E-56</v>
      </c>
      <c r="L1025">
        <v>2.567861185574978E-56</v>
      </c>
      <c r="M1025">
        <v>0.12388325742969911</v>
      </c>
      <c r="N1025">
        <v>1.6205166584760569E-55</v>
      </c>
      <c r="O1025">
        <v>2.0905901929958301E-55</v>
      </c>
      <c r="P1025">
        <v>3.8276898851121288E-2</v>
      </c>
      <c r="Q1025">
        <v>0.55283457790462709</v>
      </c>
      <c r="R1025">
        <v>-10.86856330054435</v>
      </c>
      <c r="S1025">
        <v>0.3190860785759348</v>
      </c>
      <c r="T1025">
        <v>0.25669073425076683</v>
      </c>
      <c r="U1025">
        <v>4.4222873134892842</v>
      </c>
      <c r="V1025">
        <v>0.1151559613407446</v>
      </c>
      <c r="W1025">
        <v>-8.4237699602185181</v>
      </c>
      <c r="X1025">
        <v>0.3253967806120116</v>
      </c>
      <c r="Z1025" t="s">
        <v>392</v>
      </c>
      <c r="AA1025">
        <v>140</v>
      </c>
      <c r="AB1025" t="s">
        <v>1416</v>
      </c>
      <c r="AC1025" t="str">
        <f>HYPERLINK("plots/20251231112652_3FT6Y119H04_05543_B21P_N_UFLEX98_M5358A8BA201511/dpll_52046/txpa_53188.png","plot")</f>
        <v>plot</v>
      </c>
    </row>
    <row r="1026" spans="1:29" x14ac:dyDescent="0.35">
      <c r="A1026" s="3" t="s">
        <v>47</v>
      </c>
      <c r="B1026">
        <v>52046</v>
      </c>
      <c r="C1026" t="s">
        <v>51</v>
      </c>
      <c r="D1026">
        <v>53189</v>
      </c>
      <c r="E1026" t="s">
        <v>64</v>
      </c>
      <c r="F1026">
        <v>7139</v>
      </c>
      <c r="G1026">
        <v>0.24740272575708161</v>
      </c>
      <c r="H1026">
        <v>4.9486611030998412E-100</v>
      </c>
      <c r="I1026">
        <v>7.8774605314650529E-100</v>
      </c>
      <c r="J1026">
        <v>0.2365846760911377</v>
      </c>
      <c r="K1026">
        <v>2.1536848719661189E-91</v>
      </c>
      <c r="L1026">
        <v>3.7522963233224138E-91</v>
      </c>
      <c r="M1026">
        <v>0.15842638580113241</v>
      </c>
      <c r="N1026">
        <v>1.3028795987896139E-89</v>
      </c>
      <c r="O1026">
        <v>2.2583246379019981E-89</v>
      </c>
      <c r="P1026">
        <v>6.1208108712033728E-2</v>
      </c>
      <c r="Q1026">
        <v>0.54482090761123692</v>
      </c>
      <c r="R1026">
        <v>-10.57513903259305</v>
      </c>
      <c r="S1026">
        <v>0.24569140064454009</v>
      </c>
      <c r="T1026">
        <v>0.19469672206155039</v>
      </c>
      <c r="U1026">
        <v>4.4222873134892842</v>
      </c>
      <c r="V1026">
        <v>0.1151559613407446</v>
      </c>
      <c r="W1026">
        <v>-8.1657844447401597</v>
      </c>
      <c r="X1026">
        <v>0.25359209435756652</v>
      </c>
      <c r="Z1026" t="s">
        <v>392</v>
      </c>
      <c r="AA1026">
        <v>140</v>
      </c>
      <c r="AB1026" t="s">
        <v>1417</v>
      </c>
      <c r="AC1026" t="str">
        <f>HYPERLINK("plots/20251231112652_3FT6Y119H04_05543_B21P_N_UFLEX98_M5358A8BA201511/dpll_52046/txpa_53189.png","plot")</f>
        <v>plot</v>
      </c>
    </row>
    <row r="1027" spans="1:29" x14ac:dyDescent="0.35">
      <c r="A1027" s="3" t="s">
        <v>47</v>
      </c>
      <c r="B1027">
        <v>52046</v>
      </c>
      <c r="C1027" t="s">
        <v>51</v>
      </c>
      <c r="D1027">
        <v>53190</v>
      </c>
      <c r="E1027" t="s">
        <v>65</v>
      </c>
      <c r="F1027">
        <v>7139</v>
      </c>
      <c r="G1027">
        <v>0.20012055787067271</v>
      </c>
      <c r="H1027">
        <v>2.135254255476153E-65</v>
      </c>
      <c r="I1027">
        <v>2.6829588786280291E-65</v>
      </c>
      <c r="J1027">
        <v>0.18746667574246309</v>
      </c>
      <c r="K1027">
        <v>1.8006144708673599E-57</v>
      </c>
      <c r="L1027">
        <v>2.3559007399477461E-57</v>
      </c>
      <c r="M1027">
        <v>0.12560684080072551</v>
      </c>
      <c r="N1027">
        <v>5.0750702136201393E-57</v>
      </c>
      <c r="O1027">
        <v>6.6573366062235715E-57</v>
      </c>
      <c r="P1027">
        <v>4.0048237682469283E-2</v>
      </c>
      <c r="Q1027">
        <v>0.51999130895659806</v>
      </c>
      <c r="R1027">
        <v>-10.633085256578889</v>
      </c>
      <c r="S1027">
        <v>0.29314675511689592</v>
      </c>
      <c r="T1027">
        <v>0.23494680129204479</v>
      </c>
      <c r="U1027">
        <v>4.4222873134892842</v>
      </c>
      <c r="V1027">
        <v>0.1151559613407446</v>
      </c>
      <c r="W1027">
        <v>-8.3335342878554428</v>
      </c>
      <c r="X1027">
        <v>0.29922012865078312</v>
      </c>
      <c r="Z1027" t="s">
        <v>392</v>
      </c>
      <c r="AA1027">
        <v>140</v>
      </c>
      <c r="AB1027" t="s">
        <v>1418</v>
      </c>
      <c r="AC1027" t="str">
        <f>HYPERLINK("plots/20251231112652_3FT6Y119H04_05543_B21P_N_UFLEX98_M5358A8BA201511/dpll_52046/txpa_53190.png","plot")</f>
        <v>plot</v>
      </c>
    </row>
    <row r="1028" spans="1:29" x14ac:dyDescent="0.35">
      <c r="A1028" s="3" t="s">
        <v>47</v>
      </c>
      <c r="B1028">
        <v>52046</v>
      </c>
      <c r="C1028" t="s">
        <v>51</v>
      </c>
      <c r="D1028">
        <v>53191</v>
      </c>
      <c r="E1028" t="s">
        <v>66</v>
      </c>
      <c r="F1028">
        <v>7139</v>
      </c>
      <c r="G1028">
        <v>0.26393435108417179</v>
      </c>
      <c r="H1028">
        <v>4.4515571064084901E-114</v>
      </c>
      <c r="I1028">
        <v>8.0749175418572603E-114</v>
      </c>
      <c r="J1028">
        <v>0.24354033673828079</v>
      </c>
      <c r="K1028">
        <v>6.7366837563378757E-97</v>
      </c>
      <c r="L1028">
        <v>1.2263909028593549E-96</v>
      </c>
      <c r="M1028">
        <v>0.16320880476914021</v>
      </c>
      <c r="N1028">
        <v>5.5002226311688221E-95</v>
      </c>
      <c r="O1028">
        <v>1.0049055401811151E-94</v>
      </c>
      <c r="P1028">
        <v>6.9661341682222891E-2</v>
      </c>
      <c r="Q1028">
        <v>0.5688789526955097</v>
      </c>
      <c r="R1028">
        <v>-10.50200603562093</v>
      </c>
      <c r="S1028">
        <v>0.23938695942145741</v>
      </c>
      <c r="T1028">
        <v>0.1887153216085429</v>
      </c>
      <c r="U1028">
        <v>4.4222873134892842</v>
      </c>
      <c r="V1028">
        <v>0.1151559613407446</v>
      </c>
      <c r="W1028">
        <v>-7.9862598602045107</v>
      </c>
      <c r="X1028">
        <v>0.2482049131349163</v>
      </c>
      <c r="Z1028" t="s">
        <v>392</v>
      </c>
      <c r="AA1028">
        <v>140</v>
      </c>
      <c r="AB1028" t="s">
        <v>1419</v>
      </c>
      <c r="AC1028" t="str">
        <f>HYPERLINK("plots/20251231112652_3FT6Y119H04_05543_B21P_N_UFLEX98_M5358A8BA201511/dpll_52046/txpa_53191.png","plot")</f>
        <v>plot</v>
      </c>
    </row>
    <row r="1029" spans="1:29" x14ac:dyDescent="0.35">
      <c r="A1029" s="3" t="s">
        <v>47</v>
      </c>
      <c r="B1029">
        <v>52046</v>
      </c>
      <c r="C1029" t="s">
        <v>51</v>
      </c>
      <c r="D1029">
        <v>53192</v>
      </c>
      <c r="E1029" t="s">
        <v>67</v>
      </c>
      <c r="F1029">
        <v>7139</v>
      </c>
      <c r="G1029">
        <v>0.21674372373989789</v>
      </c>
      <c r="H1029">
        <v>1.1669290796216749E-76</v>
      </c>
      <c r="I1029">
        <v>1.556929061495235E-76</v>
      </c>
      <c r="J1029">
        <v>0.2153893466865682</v>
      </c>
      <c r="K1029">
        <v>1.05005297956152E-75</v>
      </c>
      <c r="L1029">
        <v>1.5774129204079719E-75</v>
      </c>
      <c r="M1029">
        <v>0.14483449974884879</v>
      </c>
      <c r="N1029">
        <v>3.3032002823546762E-75</v>
      </c>
      <c r="O1029">
        <v>4.9621408686039136E-75</v>
      </c>
      <c r="P1029">
        <v>4.6977841780637172E-2</v>
      </c>
      <c r="Q1029">
        <v>0.551283582043957</v>
      </c>
      <c r="R1029">
        <v>-10.54994108956514</v>
      </c>
      <c r="S1029">
        <v>0.28591440300126553</v>
      </c>
      <c r="T1029">
        <v>0.22522878092722001</v>
      </c>
      <c r="U1029">
        <v>4.4222873134892842</v>
      </c>
      <c r="V1029">
        <v>0.1151559613407446</v>
      </c>
      <c r="W1029">
        <v>-8.1120066985572201</v>
      </c>
      <c r="X1029">
        <v>0.29289702034382448</v>
      </c>
      <c r="Z1029" t="s">
        <v>392</v>
      </c>
      <c r="AA1029">
        <v>140</v>
      </c>
      <c r="AB1029" t="s">
        <v>1420</v>
      </c>
      <c r="AC1029" t="str">
        <f>HYPERLINK("plots/20251231112652_3FT6Y119H04_05543_B21P_N_UFLEX98_M5358A8BA201511/dpll_52046/txpa_53192.png","plot")</f>
        <v>plot</v>
      </c>
    </row>
    <row r="1030" spans="1:29" x14ac:dyDescent="0.35">
      <c r="A1030" s="3" t="s">
        <v>47</v>
      </c>
      <c r="B1030">
        <v>52046</v>
      </c>
      <c r="C1030" t="s">
        <v>51</v>
      </c>
      <c r="D1030">
        <v>53193</v>
      </c>
      <c r="E1030" t="s">
        <v>68</v>
      </c>
      <c r="F1030">
        <v>7139</v>
      </c>
      <c r="G1030">
        <v>0.23468917517076429</v>
      </c>
      <c r="H1030">
        <v>6.3455131737364534E-90</v>
      </c>
      <c r="I1030">
        <v>9.3932122017062235E-90</v>
      </c>
      <c r="J1030">
        <v>0.22373740276612691</v>
      </c>
      <c r="K1030">
        <v>1.0855553826049689E-81</v>
      </c>
      <c r="L1030">
        <v>1.7065940433510681E-81</v>
      </c>
      <c r="M1030">
        <v>0.1508735446479583</v>
      </c>
      <c r="N1030">
        <v>1.8893611579469389E-81</v>
      </c>
      <c r="O1030">
        <v>3.012283355594648E-81</v>
      </c>
      <c r="P1030">
        <v>5.507900894233371E-2</v>
      </c>
      <c r="Q1030">
        <v>0.57593657440448309</v>
      </c>
      <c r="R1030">
        <v>-10.51063374470213</v>
      </c>
      <c r="S1030">
        <v>0.27468525974466601</v>
      </c>
      <c r="T1030">
        <v>0.21878735982794881</v>
      </c>
      <c r="U1030">
        <v>4.4222873134892842</v>
      </c>
      <c r="V1030">
        <v>0.1151559613407446</v>
      </c>
      <c r="W1030">
        <v>-7.9636767383387026</v>
      </c>
      <c r="X1030">
        <v>0.28259731131010202</v>
      </c>
      <c r="Z1030" t="s">
        <v>392</v>
      </c>
      <c r="AA1030">
        <v>140</v>
      </c>
      <c r="AB1030" t="s">
        <v>1421</v>
      </c>
      <c r="AC1030" t="str">
        <f>HYPERLINK("plots/20251231112652_3FT6Y119H04_05543_B21P_N_UFLEX98_M5358A8BA201511/dpll_52046/txpa_53193.png","plot")</f>
        <v>plot</v>
      </c>
    </row>
    <row r="1031" spans="1:29" x14ac:dyDescent="0.35">
      <c r="A1031" s="3" t="s">
        <v>47</v>
      </c>
      <c r="B1031">
        <v>52046</v>
      </c>
      <c r="C1031" t="s">
        <v>51</v>
      </c>
      <c r="D1031">
        <v>53194</v>
      </c>
      <c r="E1031" t="s">
        <v>69</v>
      </c>
      <c r="F1031">
        <v>7139</v>
      </c>
      <c r="G1031">
        <v>0.28642784889594941</v>
      </c>
      <c r="H1031">
        <v>7.1205054058897655E-135</v>
      </c>
      <c r="I1031">
        <v>1.5264677550892649E-134</v>
      </c>
      <c r="J1031">
        <v>0.25864161062372137</v>
      </c>
      <c r="K1031">
        <v>1.810801255958228E-109</v>
      </c>
      <c r="L1031">
        <v>3.628759829133682E-109</v>
      </c>
      <c r="M1031">
        <v>0.1739274548159894</v>
      </c>
      <c r="N1031">
        <v>1.312930309408811E-107</v>
      </c>
      <c r="O1031">
        <v>2.6310500666808989E-107</v>
      </c>
      <c r="P1031">
        <v>8.2040912623160822E-2</v>
      </c>
      <c r="Q1031">
        <v>0.66594377725337606</v>
      </c>
      <c r="R1031">
        <v>-11.43900430063956</v>
      </c>
      <c r="S1031">
        <v>0.25650154923435059</v>
      </c>
      <c r="T1031">
        <v>0.20150588376949069</v>
      </c>
      <c r="U1031">
        <v>4.4222873134892842</v>
      </c>
      <c r="V1031">
        <v>0.1151559613407446</v>
      </c>
      <c r="W1031">
        <v>-8.494009582994817</v>
      </c>
      <c r="X1031">
        <v>0.26773721956190588</v>
      </c>
      <c r="Z1031" t="s">
        <v>392</v>
      </c>
      <c r="AA1031">
        <v>140</v>
      </c>
      <c r="AB1031" t="s">
        <v>1422</v>
      </c>
      <c r="AC1031" t="str">
        <f>HYPERLINK("plots/20251231112652_3FT6Y119H04_05543_B21P_N_UFLEX98_M5358A8BA201511/dpll_52046/txpa_53194.png","plot")</f>
        <v>plot</v>
      </c>
    </row>
    <row r="1032" spans="1:29" x14ac:dyDescent="0.35">
      <c r="A1032" s="3" t="s">
        <v>47</v>
      </c>
      <c r="B1032">
        <v>52046</v>
      </c>
      <c r="C1032" t="s">
        <v>51</v>
      </c>
      <c r="D1032">
        <v>53195</v>
      </c>
      <c r="E1032" t="s">
        <v>70</v>
      </c>
      <c r="F1032">
        <v>7139</v>
      </c>
      <c r="G1032">
        <v>0.26133490917823399</v>
      </c>
      <c r="H1032">
        <v>8.4266006856707262E-112</v>
      </c>
      <c r="I1032">
        <v>1.4808618882617189E-111</v>
      </c>
      <c r="J1032">
        <v>0.25109710740581398</v>
      </c>
      <c r="K1032">
        <v>4.4142419137158001E-103</v>
      </c>
      <c r="L1032">
        <v>8.429456309807572E-103</v>
      </c>
      <c r="M1032">
        <v>0.1683383278568098</v>
      </c>
      <c r="N1032">
        <v>6.1264477854063554E-101</v>
      </c>
      <c r="O1032">
        <v>1.172116614038122E-100</v>
      </c>
      <c r="P1032">
        <v>6.8295934755195839E-2</v>
      </c>
      <c r="Q1032">
        <v>0.56823900353638823</v>
      </c>
      <c r="R1032">
        <v>-5.0011823941079419</v>
      </c>
      <c r="S1032">
        <v>0.2416732678822664</v>
      </c>
      <c r="T1032">
        <v>0.1881951059053604</v>
      </c>
      <c r="U1032">
        <v>4.4222873134892842</v>
      </c>
      <c r="V1032">
        <v>0.1151559613407446</v>
      </c>
      <c r="W1032">
        <v>-2.4882662577391801</v>
      </c>
      <c r="X1032">
        <v>0.25039176330978141</v>
      </c>
      <c r="Z1032" t="s">
        <v>392</v>
      </c>
      <c r="AA1032">
        <v>140</v>
      </c>
      <c r="AB1032" t="s">
        <v>1423</v>
      </c>
      <c r="AC1032" t="str">
        <f>HYPERLINK("plots/20251231112652_3FT6Y119H04_05543_B21P_N_UFLEX98_M5358A8BA201511/dpll_52046/txpa_53195.png","plot")</f>
        <v>plot</v>
      </c>
    </row>
    <row r="1033" spans="1:29" x14ac:dyDescent="0.35">
      <c r="A1033" s="3" t="s">
        <v>47</v>
      </c>
      <c r="B1033">
        <v>52046</v>
      </c>
      <c r="C1033" t="s">
        <v>51</v>
      </c>
      <c r="D1033">
        <v>53196</v>
      </c>
      <c r="E1033" t="s">
        <v>71</v>
      </c>
      <c r="F1033">
        <v>7139</v>
      </c>
      <c r="G1033">
        <v>0.20067069389958739</v>
      </c>
      <c r="H1033">
        <v>9.3811981841566929E-66</v>
      </c>
      <c r="I1033">
        <v>1.1802152554261649E-65</v>
      </c>
      <c r="J1033">
        <v>0.1935554295161083</v>
      </c>
      <c r="K1033">
        <v>3.2418095448459407E-61</v>
      </c>
      <c r="L1033">
        <v>4.3139040399918442E-61</v>
      </c>
      <c r="M1033">
        <v>0.12917633809443879</v>
      </c>
      <c r="N1033">
        <v>3.2849635972595408E-60</v>
      </c>
      <c r="O1033">
        <v>4.3770737025245401E-60</v>
      </c>
      <c r="P1033">
        <v>4.0268727390141888E-2</v>
      </c>
      <c r="Q1033">
        <v>0.54927000198467957</v>
      </c>
      <c r="R1033">
        <v>-4.870300271472491</v>
      </c>
      <c r="S1033">
        <v>0.3087683363552875</v>
      </c>
      <c r="T1033">
        <v>0.24895510927656331</v>
      </c>
      <c r="U1033">
        <v>4.4222873134892842</v>
      </c>
      <c r="V1033">
        <v>0.1151559613407446</v>
      </c>
      <c r="W1033">
        <v>-2.441270510015408</v>
      </c>
      <c r="X1033">
        <v>0.31520155676458012</v>
      </c>
      <c r="Z1033" t="s">
        <v>392</v>
      </c>
      <c r="AA1033">
        <v>140</v>
      </c>
      <c r="AB1033" t="s">
        <v>1424</v>
      </c>
      <c r="AC1033" t="str">
        <f>HYPERLINK("plots/20251231112652_3FT6Y119H04_05543_B21P_N_UFLEX98_M5358A8BA201511/dpll_52046/txpa_53196.png","plot")</f>
        <v>plot</v>
      </c>
    </row>
    <row r="1034" spans="1:29" x14ac:dyDescent="0.35">
      <c r="A1034" s="3" t="s">
        <v>47</v>
      </c>
      <c r="B1034">
        <v>52046</v>
      </c>
      <c r="C1034" t="s">
        <v>51</v>
      </c>
      <c r="D1034">
        <v>53197</v>
      </c>
      <c r="E1034" t="s">
        <v>72</v>
      </c>
      <c r="F1034">
        <v>7139</v>
      </c>
      <c r="G1034">
        <v>0.26355615517780462</v>
      </c>
      <c r="H1034">
        <v>9.581193373403292E-114</v>
      </c>
      <c r="I1034">
        <v>1.7225762554310171E-113</v>
      </c>
      <c r="J1034">
        <v>0.25639804953787709</v>
      </c>
      <c r="K1034">
        <v>1.5123165392652411E-107</v>
      </c>
      <c r="L1034">
        <v>2.9892572530505932E-107</v>
      </c>
      <c r="M1034">
        <v>0.17196372112351929</v>
      </c>
      <c r="N1034">
        <v>2.994944828127551E-105</v>
      </c>
      <c r="O1034">
        <v>5.9430020659908731E-105</v>
      </c>
      <c r="P1034">
        <v>6.9461846932107024E-2</v>
      </c>
      <c r="Q1034">
        <v>0.55366241168643326</v>
      </c>
      <c r="R1034">
        <v>-4.6308895146547639</v>
      </c>
      <c r="S1034">
        <v>0.23334310634779951</v>
      </c>
      <c r="T1034">
        <v>0.18491255393937719</v>
      </c>
      <c r="U1034">
        <v>4.4222873134892842</v>
      </c>
      <c r="V1034">
        <v>0.1151559613407446</v>
      </c>
      <c r="W1034">
        <v>-2.1824352554979689</v>
      </c>
      <c r="X1034">
        <v>0.2419124957752293</v>
      </c>
      <c r="Z1034" t="s">
        <v>392</v>
      </c>
      <c r="AA1034">
        <v>140</v>
      </c>
      <c r="AB1034" t="s">
        <v>1425</v>
      </c>
      <c r="AC1034" t="str">
        <f>HYPERLINK("plots/20251231112652_3FT6Y119H04_05543_B21P_N_UFLEX98_M5358A8BA201511/dpll_52046/txpa_53197.png","plot")</f>
        <v>plot</v>
      </c>
    </row>
    <row r="1035" spans="1:29" x14ac:dyDescent="0.35">
      <c r="A1035" s="3" t="s">
        <v>47</v>
      </c>
      <c r="B1035">
        <v>52046</v>
      </c>
      <c r="C1035" t="s">
        <v>51</v>
      </c>
      <c r="D1035">
        <v>53198</v>
      </c>
      <c r="E1035" t="s">
        <v>73</v>
      </c>
      <c r="F1035">
        <v>7139</v>
      </c>
      <c r="G1035">
        <v>0.20634033985975131</v>
      </c>
      <c r="H1035">
        <v>1.6959441771227781E-69</v>
      </c>
      <c r="I1035">
        <v>2.168584357632405E-69</v>
      </c>
      <c r="J1035">
        <v>0.19623713385865041</v>
      </c>
      <c r="K1035">
        <v>6.6204753155462221E-63</v>
      </c>
      <c r="L1035">
        <v>8.9988766353403077E-63</v>
      </c>
      <c r="M1035">
        <v>0.13150534979876391</v>
      </c>
      <c r="N1035">
        <v>2.469666942098166E-62</v>
      </c>
      <c r="O1035">
        <v>3.3479174856785312E-62</v>
      </c>
      <c r="P1035">
        <v>4.2576335853437688E-2</v>
      </c>
      <c r="Q1035">
        <v>0.51706852506049905</v>
      </c>
      <c r="R1035">
        <v>-4.6664008623729094</v>
      </c>
      <c r="S1035">
        <v>0.28233976282097428</v>
      </c>
      <c r="T1035">
        <v>0.2268951166422466</v>
      </c>
      <c r="U1035">
        <v>4.4222873134892842</v>
      </c>
      <c r="V1035">
        <v>0.1151559613407446</v>
      </c>
      <c r="W1035">
        <v>-2.379775283793248</v>
      </c>
      <c r="X1035">
        <v>0.28856947275968498</v>
      </c>
      <c r="Z1035" t="s">
        <v>392</v>
      </c>
      <c r="AA1035">
        <v>140</v>
      </c>
      <c r="AB1035" t="s">
        <v>1426</v>
      </c>
      <c r="AC1035" t="str">
        <f>HYPERLINK("plots/20251231112652_3FT6Y119H04_05543_B21P_N_UFLEX98_M5358A8BA201511/dpll_52046/txpa_53198.png","plot")</f>
        <v>plot</v>
      </c>
    </row>
    <row r="1036" spans="1:29" x14ac:dyDescent="0.35">
      <c r="A1036" s="3" t="s">
        <v>47</v>
      </c>
      <c r="B1036">
        <v>52046</v>
      </c>
      <c r="C1036" t="s">
        <v>51</v>
      </c>
      <c r="D1036">
        <v>53199</v>
      </c>
      <c r="E1036" t="s">
        <v>74</v>
      </c>
      <c r="F1036">
        <v>7139</v>
      </c>
      <c r="G1036">
        <v>0.27788854147389369</v>
      </c>
      <c r="H1036">
        <v>9.5493743574325584E-127</v>
      </c>
      <c r="I1036">
        <v>1.8802069123177889E-126</v>
      </c>
      <c r="J1036">
        <v>0.26290138715705519</v>
      </c>
      <c r="K1036">
        <v>3.6015384625634603E-113</v>
      </c>
      <c r="L1036">
        <v>7.3332530141352387E-113</v>
      </c>
      <c r="M1036">
        <v>0.17653242807409769</v>
      </c>
      <c r="N1036">
        <v>8.2225104445074951E-111</v>
      </c>
      <c r="O1036">
        <v>1.6675251181461199E-110</v>
      </c>
      <c r="P1036">
        <v>7.722204148248793E-2</v>
      </c>
      <c r="Q1036">
        <v>0.57054061340724183</v>
      </c>
      <c r="R1036">
        <v>-4.5582803989777769</v>
      </c>
      <c r="S1036">
        <v>0.2271017797151314</v>
      </c>
      <c r="T1036">
        <v>0.17893319378741829</v>
      </c>
      <c r="U1036">
        <v>4.4222873134892842</v>
      </c>
      <c r="V1036">
        <v>0.1151559613407446</v>
      </c>
      <c r="W1036">
        <v>-2.035185882476537</v>
      </c>
      <c r="X1036">
        <v>0.23642987390691439</v>
      </c>
      <c r="Z1036" t="s">
        <v>392</v>
      </c>
      <c r="AA1036">
        <v>140</v>
      </c>
      <c r="AB1036" t="s">
        <v>1427</v>
      </c>
      <c r="AC1036" t="str">
        <f>HYPERLINK("plots/20251231112652_3FT6Y119H04_05543_B21P_N_UFLEX98_M5358A8BA201511/dpll_52046/txpa_53199.png","plot")</f>
        <v>plot</v>
      </c>
    </row>
    <row r="1037" spans="1:29" x14ac:dyDescent="0.35">
      <c r="A1037" s="3" t="s">
        <v>47</v>
      </c>
      <c r="B1037">
        <v>52046</v>
      </c>
      <c r="C1037" t="s">
        <v>51</v>
      </c>
      <c r="D1037">
        <v>53200</v>
      </c>
      <c r="E1037" t="s">
        <v>75</v>
      </c>
      <c r="F1037">
        <v>7139</v>
      </c>
      <c r="G1037">
        <v>0.2268389176379588</v>
      </c>
      <c r="H1037">
        <v>5.5992429678224891E-84</v>
      </c>
      <c r="I1037">
        <v>7.8746634804049984E-84</v>
      </c>
      <c r="J1037">
        <v>0.23044360730035099</v>
      </c>
      <c r="K1037">
        <v>1.111215311411348E-86</v>
      </c>
      <c r="L1037">
        <v>1.8471677471657489E-86</v>
      </c>
      <c r="M1037">
        <v>0.15533543241233</v>
      </c>
      <c r="N1037">
        <v>3.106758382026392E-86</v>
      </c>
      <c r="O1037">
        <v>5.1984372926976258E-86</v>
      </c>
      <c r="P1037">
        <v>5.1455894555160669E-2</v>
      </c>
      <c r="Q1037">
        <v>0.5588389343247705</v>
      </c>
      <c r="R1037">
        <v>-4.6149551299405154</v>
      </c>
      <c r="S1037">
        <v>0.27628280733399307</v>
      </c>
      <c r="T1037">
        <v>0.217164909026341</v>
      </c>
      <c r="U1037">
        <v>4.4222873134892842</v>
      </c>
      <c r="V1037">
        <v>0.1151559613407446</v>
      </c>
      <c r="W1037">
        <v>-2.143608800392212</v>
      </c>
      <c r="X1037">
        <v>0.28369750388033682</v>
      </c>
      <c r="Z1037" t="s">
        <v>392</v>
      </c>
      <c r="AA1037">
        <v>140</v>
      </c>
      <c r="AB1037" t="s">
        <v>1428</v>
      </c>
      <c r="AC1037" t="str">
        <f>HYPERLINK("plots/20251231112652_3FT6Y119H04_05543_B21P_N_UFLEX98_M5358A8BA201511/dpll_52046/txpa_53200.png","plot")</f>
        <v>plot</v>
      </c>
    </row>
    <row r="1038" spans="1:29" x14ac:dyDescent="0.35">
      <c r="A1038" s="3" t="s">
        <v>47</v>
      </c>
      <c r="B1038">
        <v>52046</v>
      </c>
      <c r="C1038" t="s">
        <v>51</v>
      </c>
      <c r="D1038">
        <v>53201</v>
      </c>
      <c r="E1038" t="s">
        <v>76</v>
      </c>
      <c r="F1038">
        <v>7139</v>
      </c>
      <c r="G1038">
        <v>0.24349176288766131</v>
      </c>
      <c r="H1038">
        <v>7.3706662469607998E-97</v>
      </c>
      <c r="I1038">
        <v>1.144541435592381E-96</v>
      </c>
      <c r="J1038">
        <v>0.2357409924226519</v>
      </c>
      <c r="K1038">
        <v>9.7449988332607296E-91</v>
      </c>
      <c r="L1038">
        <v>1.6920254823504069E-90</v>
      </c>
      <c r="M1038">
        <v>0.15911157789097011</v>
      </c>
      <c r="N1038">
        <v>2.201147885622258E-90</v>
      </c>
      <c r="O1038">
        <v>3.841590285750377E-90</v>
      </c>
      <c r="P1038">
        <v>5.9288238594141049E-2</v>
      </c>
      <c r="Q1038">
        <v>0.57382242122936966</v>
      </c>
      <c r="R1038">
        <v>-4.5210028560692797</v>
      </c>
      <c r="S1038">
        <v>0.26319493822294532</v>
      </c>
      <c r="T1038">
        <v>0.20991884546370601</v>
      </c>
      <c r="U1038">
        <v>4.4222873134892842</v>
      </c>
      <c r="V1038">
        <v>0.1151559613407446</v>
      </c>
      <c r="W1038">
        <v>-1.983395242470934</v>
      </c>
      <c r="X1038">
        <v>0.27138114148866871</v>
      </c>
      <c r="Z1038" t="s">
        <v>392</v>
      </c>
      <c r="AA1038">
        <v>140</v>
      </c>
      <c r="AB1038" t="s">
        <v>1429</v>
      </c>
      <c r="AC1038" t="str">
        <f>HYPERLINK("plots/20251231112652_3FT6Y119H04_05543_B21P_N_UFLEX98_M5358A8BA201511/dpll_52046/txpa_53201.png","plot")</f>
        <v>plot</v>
      </c>
    </row>
    <row r="1039" spans="1:29" x14ac:dyDescent="0.35">
      <c r="A1039" s="3" t="s">
        <v>47</v>
      </c>
      <c r="B1039">
        <v>52046</v>
      </c>
      <c r="C1039" t="s">
        <v>51</v>
      </c>
      <c r="D1039">
        <v>53202</v>
      </c>
      <c r="E1039" t="s">
        <v>77</v>
      </c>
      <c r="F1039">
        <v>7139</v>
      </c>
      <c r="G1039">
        <v>0.29322556565511942</v>
      </c>
      <c r="H1039">
        <v>1.4984507166213009E-141</v>
      </c>
      <c r="I1039">
        <v>3.4532477878499982E-141</v>
      </c>
      <c r="J1039">
        <v>0.26845242334888902</v>
      </c>
      <c r="K1039">
        <v>4.2566952659237691E-118</v>
      </c>
      <c r="L1039">
        <v>9.0110417529158707E-118</v>
      </c>
      <c r="M1039">
        <v>0.18083143913581731</v>
      </c>
      <c r="N1039">
        <v>3.542395739971266E-116</v>
      </c>
      <c r="O1039">
        <v>7.5620826954333974E-116</v>
      </c>
      <c r="P1039">
        <v>8.5981232353764758E-2</v>
      </c>
      <c r="Q1039">
        <v>0.65264531800984427</v>
      </c>
      <c r="R1039">
        <v>-5.3818786618010623</v>
      </c>
      <c r="S1039">
        <v>0.24502418692667721</v>
      </c>
      <c r="T1039">
        <v>0.1928440066601145</v>
      </c>
      <c r="U1039">
        <v>4.4222873134892842</v>
      </c>
      <c r="V1039">
        <v>0.1151559613407446</v>
      </c>
      <c r="W1039">
        <v>-2.4956935517579488</v>
      </c>
      <c r="X1039">
        <v>0.25630779786219321</v>
      </c>
      <c r="Z1039" t="s">
        <v>392</v>
      </c>
      <c r="AA1039">
        <v>140</v>
      </c>
      <c r="AB1039" t="s">
        <v>1430</v>
      </c>
      <c r="AC1039" t="str">
        <f>HYPERLINK("plots/20251231112652_3FT6Y119H04_05543_B21P_N_UFLEX98_M5358A8BA201511/dpll_52046/txpa_53202.png","plot")</f>
        <v>plot</v>
      </c>
    </row>
    <row r="1040" spans="1:29" x14ac:dyDescent="0.35">
      <c r="A1040" s="3" t="s">
        <v>47</v>
      </c>
      <c r="B1040">
        <v>52046</v>
      </c>
      <c r="C1040" t="s">
        <v>51</v>
      </c>
      <c r="D1040">
        <v>53203</v>
      </c>
      <c r="E1040" t="s">
        <v>78</v>
      </c>
      <c r="F1040">
        <v>7139</v>
      </c>
      <c r="G1040">
        <v>0.27180076119629271</v>
      </c>
      <c r="H1040">
        <v>3.9770254435666883E-121</v>
      </c>
      <c r="I1040">
        <v>7.5660484048341869E-121</v>
      </c>
      <c r="J1040">
        <v>0.26550526316184392</v>
      </c>
      <c r="K1040">
        <v>1.819092838160705E-115</v>
      </c>
      <c r="L1040">
        <v>3.795391230236533E-115</v>
      </c>
      <c r="M1040">
        <v>0.17852811097691421</v>
      </c>
      <c r="N1040">
        <v>2.7394715462069169E-113</v>
      </c>
      <c r="O1040">
        <v>5.7156875470243079E-113</v>
      </c>
      <c r="P1040">
        <v>7.3875653786884099E-2</v>
      </c>
      <c r="Q1040">
        <v>0.57237704932643008</v>
      </c>
      <c r="R1040">
        <v>-1.996666170395401</v>
      </c>
      <c r="S1040">
        <v>0.23335773428197459</v>
      </c>
      <c r="T1040">
        <v>0.18150596110356371</v>
      </c>
      <c r="U1040">
        <v>4.4222873134892842</v>
      </c>
      <c r="V1040">
        <v>0.1151559613407446</v>
      </c>
      <c r="W1040">
        <v>0.53454959337330155</v>
      </c>
      <c r="X1040">
        <v>0.24250347598166669</v>
      </c>
      <c r="Z1040" t="s">
        <v>392</v>
      </c>
      <c r="AA1040">
        <v>140</v>
      </c>
      <c r="AB1040" t="s">
        <v>1431</v>
      </c>
      <c r="AC1040" t="str">
        <f>HYPERLINK("plots/20251231112652_3FT6Y119H04_05543_B21P_N_UFLEX98_M5358A8BA201511/dpll_52046/txpa_53203.png","plot")</f>
        <v>plot</v>
      </c>
    </row>
    <row r="1041" spans="1:29" x14ac:dyDescent="0.35">
      <c r="A1041" s="3" t="s">
        <v>47</v>
      </c>
      <c r="B1041">
        <v>52046</v>
      </c>
      <c r="C1041" t="s">
        <v>51</v>
      </c>
      <c r="D1041">
        <v>53204</v>
      </c>
      <c r="E1041" t="s">
        <v>79</v>
      </c>
      <c r="F1041">
        <v>7139</v>
      </c>
      <c r="G1041">
        <v>0.21122333201342899</v>
      </c>
      <c r="H1041">
        <v>8.228825696283216E-73</v>
      </c>
      <c r="I1041">
        <v>1.0724973336801E-72</v>
      </c>
      <c r="J1041">
        <v>0.20643116535441861</v>
      </c>
      <c r="K1041">
        <v>1.474128026886241E-69</v>
      </c>
      <c r="L1041">
        <v>2.0964457493164781E-69</v>
      </c>
      <c r="M1041">
        <v>0.13783167275467009</v>
      </c>
      <c r="N1041">
        <v>2.696729582712177E-68</v>
      </c>
      <c r="O1041">
        <v>3.8137849328732877E-68</v>
      </c>
      <c r="P1041">
        <v>4.4615295986855243E-2</v>
      </c>
      <c r="Q1041">
        <v>0.55914940504504385</v>
      </c>
      <c r="R1041">
        <v>-1.89064161909326</v>
      </c>
      <c r="S1041">
        <v>0.29794158639590901</v>
      </c>
      <c r="T1041">
        <v>0.24022801225330759</v>
      </c>
      <c r="U1041">
        <v>4.4222873134892842</v>
      </c>
      <c r="V1041">
        <v>0.1151559613407446</v>
      </c>
      <c r="W1041">
        <v>0.58207770118251845</v>
      </c>
      <c r="X1041">
        <v>0.30484031596932548</v>
      </c>
      <c r="Z1041" t="s">
        <v>392</v>
      </c>
      <c r="AA1041">
        <v>140</v>
      </c>
      <c r="AB1041" t="s">
        <v>1432</v>
      </c>
      <c r="AC1041" t="str">
        <f>HYPERLINK("plots/20251231112652_3FT6Y119H04_05543_B21P_N_UFLEX98_M5358A8BA201511/dpll_52046/txpa_53204.png","plot")</f>
        <v>plot</v>
      </c>
    </row>
    <row r="1042" spans="1:29" x14ac:dyDescent="0.35">
      <c r="A1042" s="3" t="s">
        <v>47</v>
      </c>
      <c r="B1042">
        <v>52046</v>
      </c>
      <c r="C1042" t="s">
        <v>51</v>
      </c>
      <c r="D1042">
        <v>53205</v>
      </c>
      <c r="E1042" t="s">
        <v>80</v>
      </c>
      <c r="F1042">
        <v>7139</v>
      </c>
      <c r="G1042">
        <v>0.27844500312268877</v>
      </c>
      <c r="H1042">
        <v>2.8780207551243098E-127</v>
      </c>
      <c r="I1042">
        <v>5.7334244512692538E-127</v>
      </c>
      <c r="J1042">
        <v>0.27405592488250979</v>
      </c>
      <c r="K1042">
        <v>3.4249913725362827E-123</v>
      </c>
      <c r="L1042">
        <v>7.7348357500039877E-123</v>
      </c>
      <c r="M1042">
        <v>0.1841371663257251</v>
      </c>
      <c r="N1042">
        <v>2.1515974678680909E-120</v>
      </c>
      <c r="O1042">
        <v>4.8055502916701418E-120</v>
      </c>
      <c r="P1042">
        <v>7.7531619763994156E-2</v>
      </c>
      <c r="Q1042">
        <v>0.56437513184410026</v>
      </c>
      <c r="R1042">
        <v>-1.6684541984833821</v>
      </c>
      <c r="S1042">
        <v>0.22416106995367341</v>
      </c>
      <c r="T1042">
        <v>0.17727051568741181</v>
      </c>
      <c r="U1042">
        <v>4.4222873134892842</v>
      </c>
      <c r="V1042">
        <v>0.1151559613407446</v>
      </c>
      <c r="W1042">
        <v>0.82737478711962464</v>
      </c>
      <c r="X1042">
        <v>0.23340753159675259</v>
      </c>
      <c r="Z1042" t="s">
        <v>392</v>
      </c>
      <c r="AA1042">
        <v>140</v>
      </c>
      <c r="AB1042" t="s">
        <v>1433</v>
      </c>
      <c r="AC1042" t="str">
        <f>HYPERLINK("plots/20251231112652_3FT6Y119H04_05543_B21P_N_UFLEX98_M5358A8BA201511/dpll_52046/txpa_53205.png","plot")</f>
        <v>plot</v>
      </c>
    </row>
    <row r="1043" spans="1:29" x14ac:dyDescent="0.35">
      <c r="A1043" s="3" t="s">
        <v>47</v>
      </c>
      <c r="B1043">
        <v>52046</v>
      </c>
      <c r="C1043" t="s">
        <v>51</v>
      </c>
      <c r="D1043">
        <v>53206</v>
      </c>
      <c r="E1043" t="s">
        <v>81</v>
      </c>
      <c r="F1043">
        <v>7139</v>
      </c>
      <c r="G1043">
        <v>0.2171889231799202</v>
      </c>
      <c r="H1043">
        <v>5.6490019536840514E-77</v>
      </c>
      <c r="I1043">
        <v>7.5468879855541879E-77</v>
      </c>
      <c r="J1043">
        <v>0.2097671876927609</v>
      </c>
      <c r="K1043">
        <v>8.1737511658431016E-72</v>
      </c>
      <c r="L1043">
        <v>1.192544414699986E-71</v>
      </c>
      <c r="M1043">
        <v>0.140692199316936</v>
      </c>
      <c r="N1043">
        <v>4.4137641467715649E-71</v>
      </c>
      <c r="O1043">
        <v>6.46756769483579E-71</v>
      </c>
      <c r="P1043">
        <v>4.7171028352053293E-2</v>
      </c>
      <c r="Q1043">
        <v>0.5275836902174188</v>
      </c>
      <c r="R1043">
        <v>-1.697863697078406</v>
      </c>
      <c r="S1043">
        <v>0.27303427693497379</v>
      </c>
      <c r="T1043">
        <v>0.2194822921414894</v>
      </c>
      <c r="U1043">
        <v>4.4222873134892842</v>
      </c>
      <c r="V1043">
        <v>0.1151559613407446</v>
      </c>
      <c r="W1043">
        <v>0.63526296297394591</v>
      </c>
      <c r="X1043">
        <v>0.27973068858744338</v>
      </c>
      <c r="Z1043" t="s">
        <v>392</v>
      </c>
      <c r="AA1043">
        <v>140</v>
      </c>
      <c r="AB1043" t="s">
        <v>1434</v>
      </c>
      <c r="AC1043" t="str">
        <f>HYPERLINK("plots/20251231112652_3FT6Y119H04_05543_B21P_N_UFLEX98_M5358A8BA201511/dpll_52046/txpa_53206.png","plot")</f>
        <v>plot</v>
      </c>
    </row>
    <row r="1044" spans="1:29" x14ac:dyDescent="0.35">
      <c r="A1044" s="3" t="s">
        <v>47</v>
      </c>
      <c r="B1044">
        <v>52046</v>
      </c>
      <c r="C1044" t="s">
        <v>51</v>
      </c>
      <c r="D1044">
        <v>53207</v>
      </c>
      <c r="E1044" t="s">
        <v>82</v>
      </c>
      <c r="F1044">
        <v>7139</v>
      </c>
      <c r="G1044">
        <v>0.29416519489970122</v>
      </c>
      <c r="H1044">
        <v>1.730379803927067E-142</v>
      </c>
      <c r="I1044">
        <v>4.0522058225913308E-142</v>
      </c>
      <c r="J1044">
        <v>0.28241104802787032</v>
      </c>
      <c r="K1044">
        <v>5.1454349102093565E-131</v>
      </c>
      <c r="L1044">
        <v>1.2633101692378421E-130</v>
      </c>
      <c r="M1044">
        <v>0.1901634453035887</v>
      </c>
      <c r="N1044">
        <v>2.8531893272010249E-128</v>
      </c>
      <c r="O1044">
        <v>7.0221698489850481E-128</v>
      </c>
      <c r="P1044">
        <v>8.653316189037917E-2</v>
      </c>
      <c r="Q1044">
        <v>0.58442731493817013</v>
      </c>
      <c r="R1044">
        <v>-1.6215387418972269</v>
      </c>
      <c r="S1044">
        <v>0.21864604107450239</v>
      </c>
      <c r="T1044">
        <v>0.17226469729976759</v>
      </c>
      <c r="U1044">
        <v>4.4222873134892842</v>
      </c>
      <c r="V1044">
        <v>0.1151559613407446</v>
      </c>
      <c r="W1044">
        <v>0.96296675861044956</v>
      </c>
      <c r="X1044">
        <v>0.22878399774127539</v>
      </c>
      <c r="Z1044" t="s">
        <v>392</v>
      </c>
      <c r="AA1044">
        <v>140</v>
      </c>
      <c r="AB1044" t="s">
        <v>1435</v>
      </c>
      <c r="AC1044" t="str">
        <f>HYPERLINK("plots/20251231112652_3FT6Y119H04_05543_B21P_N_UFLEX98_M5358A8BA201511/dpll_52046/txpa_53207.png","plot")</f>
        <v>plot</v>
      </c>
    </row>
    <row r="1045" spans="1:29" x14ac:dyDescent="0.35">
      <c r="A1045" s="3" t="s">
        <v>47</v>
      </c>
      <c r="B1045">
        <v>52046</v>
      </c>
      <c r="C1045" t="s">
        <v>51</v>
      </c>
      <c r="D1045">
        <v>53208</v>
      </c>
      <c r="E1045" t="s">
        <v>83</v>
      </c>
      <c r="F1045">
        <v>7139</v>
      </c>
      <c r="G1045">
        <v>0.23881663829725991</v>
      </c>
      <c r="H1045">
        <v>3.8566238615709214E-93</v>
      </c>
      <c r="I1045">
        <v>5.8542164605283153E-93</v>
      </c>
      <c r="J1045">
        <v>0.2457424774150819</v>
      </c>
      <c r="K1045">
        <v>1.1179200223296081E-98</v>
      </c>
      <c r="L1045">
        <v>2.072341686731669E-98</v>
      </c>
      <c r="M1045">
        <v>0.16587417269256161</v>
      </c>
      <c r="N1045">
        <v>4.5840334885194683E-98</v>
      </c>
      <c r="O1045">
        <v>8.5760331316581927E-98</v>
      </c>
      <c r="P1045">
        <v>5.7033386727604253E-2</v>
      </c>
      <c r="Q1045">
        <v>0.56783975245381058</v>
      </c>
      <c r="R1045">
        <v>-1.6504491839155759</v>
      </c>
      <c r="S1045">
        <v>0.26586757614583201</v>
      </c>
      <c r="T1045">
        <v>0.20900046151498641</v>
      </c>
      <c r="U1045">
        <v>4.4222873134892842</v>
      </c>
      <c r="V1045">
        <v>0.1151559613407446</v>
      </c>
      <c r="W1045">
        <v>0.86070134945580612</v>
      </c>
      <c r="X1045">
        <v>0.27380894835273811</v>
      </c>
      <c r="Z1045" t="s">
        <v>392</v>
      </c>
      <c r="AA1045">
        <v>140</v>
      </c>
      <c r="AB1045" t="s">
        <v>1436</v>
      </c>
      <c r="AC1045" t="str">
        <f>HYPERLINK("plots/20251231112652_3FT6Y119H04_05543_B21P_N_UFLEX98_M5358A8BA201511/dpll_52046/txpa_53208.png","plot")</f>
        <v>plot</v>
      </c>
    </row>
    <row r="1046" spans="1:29" x14ac:dyDescent="0.35">
      <c r="A1046" s="3" t="s">
        <v>47</v>
      </c>
      <c r="B1046">
        <v>52046</v>
      </c>
      <c r="C1046" t="s">
        <v>51</v>
      </c>
      <c r="D1046">
        <v>53209</v>
      </c>
      <c r="E1046" t="s">
        <v>84</v>
      </c>
      <c r="F1046">
        <v>7139</v>
      </c>
      <c r="G1046">
        <v>0.25759697675037108</v>
      </c>
      <c r="H1046">
        <v>1.4290429665530949E-108</v>
      </c>
      <c r="I1046">
        <v>2.439477387348213E-108</v>
      </c>
      <c r="J1046">
        <v>0.25203325726915882</v>
      </c>
      <c r="K1046">
        <v>7.3109861708000365E-104</v>
      </c>
      <c r="L1046">
        <v>1.4067058780249031E-103</v>
      </c>
      <c r="M1046">
        <v>0.1703185175041006</v>
      </c>
      <c r="N1046">
        <v>2.760873114948388E-103</v>
      </c>
      <c r="O1046">
        <v>5.3940757968355785E-103</v>
      </c>
      <c r="P1046">
        <v>6.6356202430931252E-2</v>
      </c>
      <c r="Q1046">
        <v>0.58349275206362938</v>
      </c>
      <c r="R1046">
        <v>-1.5625267945297019</v>
      </c>
      <c r="S1046">
        <v>0.25202366236249668</v>
      </c>
      <c r="T1046">
        <v>0.2005833989295002</v>
      </c>
      <c r="U1046">
        <v>4.4222873134892842</v>
      </c>
      <c r="V1046">
        <v>0.1151559613407446</v>
      </c>
      <c r="W1046">
        <v>1.017845800434235</v>
      </c>
      <c r="X1046">
        <v>0.26084416691100459</v>
      </c>
      <c r="Z1046" t="s">
        <v>392</v>
      </c>
      <c r="AA1046">
        <v>140</v>
      </c>
      <c r="AB1046" t="s">
        <v>1437</v>
      </c>
      <c r="AC1046" t="str">
        <f>HYPERLINK("plots/20251231112652_3FT6Y119H04_05543_B21P_N_UFLEX98_M5358A8BA201511/dpll_52046/txpa_53209.png","plot")</f>
        <v>plot</v>
      </c>
    </row>
    <row r="1047" spans="1:29" x14ac:dyDescent="0.35">
      <c r="A1047" s="3" t="s">
        <v>47</v>
      </c>
      <c r="B1047">
        <v>52046</v>
      </c>
      <c r="C1047" t="s">
        <v>51</v>
      </c>
      <c r="D1047">
        <v>53210</v>
      </c>
      <c r="E1047" t="s">
        <v>85</v>
      </c>
      <c r="F1047">
        <v>7139</v>
      </c>
      <c r="G1047">
        <v>0.30212567895225062</v>
      </c>
      <c r="H1047">
        <v>1.4199270849566949E-150</v>
      </c>
      <c r="I1047">
        <v>3.635873899358809E-150</v>
      </c>
      <c r="J1047">
        <v>0.28054615825207768</v>
      </c>
      <c r="K1047">
        <v>3.0292544953531568E-129</v>
      </c>
      <c r="L1047">
        <v>7.3661008592040795E-129</v>
      </c>
      <c r="M1047">
        <v>0.18922804623664111</v>
      </c>
      <c r="N1047">
        <v>4.9515854322709928E-127</v>
      </c>
      <c r="O1047">
        <v>1.212779620367823E-126</v>
      </c>
      <c r="P1047">
        <v>9.1279925882358379E-2</v>
      </c>
      <c r="Q1047">
        <v>0.65082411614034896</v>
      </c>
      <c r="R1047">
        <v>-2.3473707014199641</v>
      </c>
      <c r="S1047">
        <v>0.23645421762217961</v>
      </c>
      <c r="T1047">
        <v>0.18599733357001491</v>
      </c>
      <c r="U1047">
        <v>4.4222873134892842</v>
      </c>
      <c r="V1047">
        <v>0.1151559613407446</v>
      </c>
      <c r="W1047">
        <v>0.53076053070037821</v>
      </c>
      <c r="X1047">
        <v>0.24806324645356331</v>
      </c>
      <c r="Z1047" t="s">
        <v>392</v>
      </c>
      <c r="AA1047">
        <v>140</v>
      </c>
      <c r="AB1047" t="s">
        <v>1438</v>
      </c>
      <c r="AC1047" t="str">
        <f>HYPERLINK("plots/20251231112652_3FT6Y119H04_05543_B21P_N_UFLEX98_M5358A8BA201511/dpll_52046/txpa_53210.png","plot")</f>
        <v>plot</v>
      </c>
    </row>
    <row r="1048" spans="1:29" x14ac:dyDescent="0.35">
      <c r="A1048" s="3" t="s">
        <v>47</v>
      </c>
      <c r="B1048">
        <v>52046</v>
      </c>
      <c r="C1048" t="s">
        <v>51</v>
      </c>
      <c r="D1048">
        <v>53211</v>
      </c>
      <c r="E1048" t="s">
        <v>86</v>
      </c>
      <c r="F1048">
        <v>7139</v>
      </c>
      <c r="G1048">
        <v>0.29242759477470598</v>
      </c>
      <c r="H1048">
        <v>9.3114194608297868E-141</v>
      </c>
      <c r="I1048">
        <v>2.1169908819016601E-140</v>
      </c>
      <c r="J1048">
        <v>0.29443904367541718</v>
      </c>
      <c r="K1048">
        <v>9.2096559437241326E-143</v>
      </c>
      <c r="L1048">
        <v>2.451073786597447E-142</v>
      </c>
      <c r="M1048">
        <v>0.1987242948101979</v>
      </c>
      <c r="N1048">
        <v>6.7394492104012907E-140</v>
      </c>
      <c r="O1048">
        <v>1.793648687492627E-139</v>
      </c>
      <c r="P1048">
        <v>8.5513898185719681E-2</v>
      </c>
      <c r="Q1048">
        <v>0.58236753869898494</v>
      </c>
      <c r="R1048">
        <v>1.398895004538165</v>
      </c>
      <c r="S1048">
        <v>0.2192922926134849</v>
      </c>
      <c r="T1048">
        <v>0.16990399996619479</v>
      </c>
      <c r="U1048">
        <v>4.4222873134892842</v>
      </c>
      <c r="V1048">
        <v>0.1151559613407446</v>
      </c>
      <c r="W1048">
        <v>3.9742915827146659</v>
      </c>
      <c r="X1048">
        <v>0.2293323030071498</v>
      </c>
      <c r="Z1048" t="s">
        <v>392</v>
      </c>
      <c r="AA1048">
        <v>140</v>
      </c>
      <c r="AB1048" t="s">
        <v>1439</v>
      </c>
      <c r="AC1048" t="str">
        <f>HYPERLINK("plots/20251231112652_3FT6Y119H04_05543_B21P_N_UFLEX98_M5358A8BA201511/dpll_52046/txpa_53211.png","plot")</f>
        <v>plot</v>
      </c>
    </row>
    <row r="1049" spans="1:29" x14ac:dyDescent="0.35">
      <c r="A1049" s="3" t="s">
        <v>47</v>
      </c>
      <c r="B1049">
        <v>52046</v>
      </c>
      <c r="C1049" t="s">
        <v>51</v>
      </c>
      <c r="D1049">
        <v>53212</v>
      </c>
      <c r="E1049" t="s">
        <v>87</v>
      </c>
      <c r="F1049">
        <v>7139</v>
      </c>
      <c r="G1049">
        <v>0.22921703265684951</v>
      </c>
      <c r="H1049">
        <v>9.3456886609017797E-86</v>
      </c>
      <c r="I1049">
        <v>1.3235374723679329E-85</v>
      </c>
      <c r="J1049">
        <v>0.22821472450434321</v>
      </c>
      <c r="K1049">
        <v>5.2757111699962193E-85</v>
      </c>
      <c r="L1049">
        <v>8.6144462582546953E-85</v>
      </c>
      <c r="M1049">
        <v>0.15246956409658929</v>
      </c>
      <c r="N1049">
        <v>3.7367888145367471E-83</v>
      </c>
      <c r="O1049">
        <v>6.0722818236222139E-83</v>
      </c>
      <c r="P1049">
        <v>5.2540448060011229E-2</v>
      </c>
      <c r="Q1049">
        <v>0.57115096674963883</v>
      </c>
      <c r="R1049">
        <v>1.5036563585737079</v>
      </c>
      <c r="S1049">
        <v>0.27928034707721627</v>
      </c>
      <c r="T1049">
        <v>0.224816149557027</v>
      </c>
      <c r="U1049">
        <v>4.4222873134892842</v>
      </c>
      <c r="V1049">
        <v>0.1151559613407446</v>
      </c>
      <c r="W1049">
        <v>4.0294500329177758</v>
      </c>
      <c r="X1049">
        <v>0.28693957811247722</v>
      </c>
      <c r="Z1049" t="s">
        <v>392</v>
      </c>
      <c r="AA1049">
        <v>140</v>
      </c>
      <c r="AB1049" t="s">
        <v>1440</v>
      </c>
      <c r="AC1049" t="str">
        <f>HYPERLINK("plots/20251231112652_3FT6Y119H04_05543_B21P_N_UFLEX98_M5358A8BA201511/dpll_52046/txpa_53212.png","plot")</f>
        <v>plot</v>
      </c>
    </row>
    <row r="1050" spans="1:29" x14ac:dyDescent="0.35">
      <c r="A1050" s="3" t="s">
        <v>47</v>
      </c>
      <c r="B1050">
        <v>52046</v>
      </c>
      <c r="C1050" t="s">
        <v>51</v>
      </c>
      <c r="D1050">
        <v>53213</v>
      </c>
      <c r="E1050" t="s">
        <v>88</v>
      </c>
      <c r="F1050">
        <v>7139</v>
      </c>
      <c r="G1050">
        <v>0.30315072541998273</v>
      </c>
      <c r="H1050">
        <v>1.236837474103219E-151</v>
      </c>
      <c r="I1050">
        <v>3.1993704049506727E-151</v>
      </c>
      <c r="J1050">
        <v>0.30546346589296042</v>
      </c>
      <c r="K1050">
        <v>4.8414850837561657E-154</v>
      </c>
      <c r="L1050">
        <v>1.4396674120025671E-153</v>
      </c>
      <c r="M1050">
        <v>0.20592814461107109</v>
      </c>
      <c r="N1050">
        <v>4.4736736202184988E-150</v>
      </c>
      <c r="O1050">
        <v>1.32640498564373E-149</v>
      </c>
      <c r="P1050">
        <v>9.190036232266173E-2</v>
      </c>
      <c r="Q1050">
        <v>0.58012639712029601</v>
      </c>
      <c r="R1050">
        <v>1.679079333562143</v>
      </c>
      <c r="S1050">
        <v>0.20998427483875631</v>
      </c>
      <c r="T1050">
        <v>0.16509457871501251</v>
      </c>
      <c r="U1050">
        <v>4.4222873134892842</v>
      </c>
      <c r="V1050">
        <v>0.1151559613407446</v>
      </c>
      <c r="W1050">
        <v>4.2445649397674741</v>
      </c>
      <c r="X1050">
        <v>0.220368969485325</v>
      </c>
      <c r="Z1050" t="s">
        <v>392</v>
      </c>
      <c r="AA1050">
        <v>140</v>
      </c>
      <c r="AB1050" t="s">
        <v>1441</v>
      </c>
      <c r="AC1050" t="str">
        <f>HYPERLINK("plots/20251231112652_3FT6Y119H04_05543_B21P_N_UFLEX98_M5358A8BA201511/dpll_52046/txpa_53213.png","plot")</f>
        <v>plot</v>
      </c>
    </row>
    <row r="1051" spans="1:29" x14ac:dyDescent="0.35">
      <c r="A1051" s="3" t="s">
        <v>47</v>
      </c>
      <c r="B1051">
        <v>52046</v>
      </c>
      <c r="C1051" t="s">
        <v>51</v>
      </c>
      <c r="D1051">
        <v>53214</v>
      </c>
      <c r="E1051" t="s">
        <v>89</v>
      </c>
      <c r="F1051">
        <v>7139</v>
      </c>
      <c r="G1051">
        <v>0.23682047844883999</v>
      </c>
      <c r="H1051">
        <v>1.4108516687247331E-91</v>
      </c>
      <c r="I1051">
        <v>2.1162775030871E-91</v>
      </c>
      <c r="J1051">
        <v>0.23313936027521259</v>
      </c>
      <c r="K1051">
        <v>9.8636065959353388E-89</v>
      </c>
      <c r="L1051">
        <v>1.669732402049822E-88</v>
      </c>
      <c r="M1051">
        <v>0.15655710898436939</v>
      </c>
      <c r="N1051">
        <v>1.4380243692548891E-87</v>
      </c>
      <c r="O1051">
        <v>2.454809276808851E-87</v>
      </c>
      <c r="P1051">
        <v>5.6083939012737477E-2</v>
      </c>
      <c r="Q1051">
        <v>0.54330112567457234</v>
      </c>
      <c r="R1051">
        <v>1.673867498358762</v>
      </c>
      <c r="S1051">
        <v>0.25665164052871958</v>
      </c>
      <c r="T1051">
        <v>0.20619747623442511</v>
      </c>
      <c r="U1051">
        <v>4.4222873134892842</v>
      </c>
      <c r="V1051">
        <v>0.1151559613407446</v>
      </c>
      <c r="W1051">
        <v>4.0765011738338703</v>
      </c>
      <c r="X1051">
        <v>0.26418476913127159</v>
      </c>
      <c r="Z1051" t="s">
        <v>392</v>
      </c>
      <c r="AA1051">
        <v>140</v>
      </c>
      <c r="AB1051" t="s">
        <v>1442</v>
      </c>
      <c r="AC1051" t="str">
        <f>HYPERLINK("plots/20251231112652_3FT6Y119H04_05543_B21P_N_UFLEX98_M5358A8BA201511/dpll_52046/txpa_53214.png","plot")</f>
        <v>plot</v>
      </c>
    </row>
    <row r="1052" spans="1:29" x14ac:dyDescent="0.35">
      <c r="A1052" s="3" t="s">
        <v>47</v>
      </c>
      <c r="B1052">
        <v>52046</v>
      </c>
      <c r="C1052" t="s">
        <v>51</v>
      </c>
      <c r="D1052">
        <v>53215</v>
      </c>
      <c r="E1052" t="s">
        <v>90</v>
      </c>
      <c r="F1052">
        <v>7139</v>
      </c>
      <c r="G1052">
        <v>0.31906047258610709</v>
      </c>
      <c r="H1052">
        <v>1.2111729822294759E-168</v>
      </c>
      <c r="I1052">
        <v>3.7329161215218501E-168</v>
      </c>
      <c r="J1052">
        <v>0.31199196901443849</v>
      </c>
      <c r="K1052">
        <v>5.8924693324742751E-161</v>
      </c>
      <c r="L1052">
        <v>1.9150525330541391E-160</v>
      </c>
      <c r="M1052">
        <v>0.21089186959437689</v>
      </c>
      <c r="N1052">
        <v>2.675970084270897E-157</v>
      </c>
      <c r="O1052">
        <v>8.6415084886964628E-157</v>
      </c>
      <c r="P1052">
        <v>0.10179958516687</v>
      </c>
      <c r="Q1052">
        <v>0.60194245368470023</v>
      </c>
      <c r="R1052">
        <v>1.706590508351294</v>
      </c>
      <c r="S1052">
        <v>0.20588495027837761</v>
      </c>
      <c r="T1052">
        <v>0.1622550070778439</v>
      </c>
      <c r="U1052">
        <v>4.4222873134892842</v>
      </c>
      <c r="V1052">
        <v>0.1151559613407446</v>
      </c>
      <c r="W1052">
        <v>4.368552984731755</v>
      </c>
      <c r="X1052">
        <v>0.21725430719770891</v>
      </c>
      <c r="Z1052" t="s">
        <v>392</v>
      </c>
      <c r="AA1052">
        <v>140</v>
      </c>
      <c r="AB1052" t="s">
        <v>1443</v>
      </c>
      <c r="AC1052" t="str">
        <f>HYPERLINK("plots/20251231112652_3FT6Y119H04_05543_B21P_N_UFLEX98_M5358A8BA201511/dpll_52046/txpa_53215.png","plot")</f>
        <v>plot</v>
      </c>
    </row>
    <row r="1053" spans="1:29" x14ac:dyDescent="0.35">
      <c r="A1053" s="3" t="s">
        <v>47</v>
      </c>
      <c r="B1053">
        <v>52046</v>
      </c>
      <c r="C1053" t="s">
        <v>51</v>
      </c>
      <c r="D1053">
        <v>53216</v>
      </c>
      <c r="E1053" t="s">
        <v>91</v>
      </c>
      <c r="F1053">
        <v>7139</v>
      </c>
      <c r="G1053">
        <v>0.26291343491248098</v>
      </c>
      <c r="H1053">
        <v>3.5149695242493693E-113</v>
      </c>
      <c r="I1053">
        <v>6.2971362148213082E-113</v>
      </c>
      <c r="J1053">
        <v>0.27365852789628692</v>
      </c>
      <c r="K1053">
        <v>7.9425944467463361E-123</v>
      </c>
      <c r="L1053">
        <v>1.7778787569538159E-122</v>
      </c>
      <c r="M1053">
        <v>0.1851907068876662</v>
      </c>
      <c r="N1053">
        <v>9.3680134332646028E-122</v>
      </c>
      <c r="O1053">
        <v>2.1062451488537268E-121</v>
      </c>
      <c r="P1053">
        <v>6.9123474257479403E-2</v>
      </c>
      <c r="Q1053">
        <v>0.586586312998294</v>
      </c>
      <c r="R1053">
        <v>1.6811713577679139</v>
      </c>
      <c r="S1053">
        <v>0.24786841601903381</v>
      </c>
      <c r="T1053">
        <v>0.19471011352346851</v>
      </c>
      <c r="U1053">
        <v>4.4222873134892842</v>
      </c>
      <c r="V1053">
        <v>0.1151559613407446</v>
      </c>
      <c r="W1053">
        <v>4.275224568006724</v>
      </c>
      <c r="X1053">
        <v>0.25692453033116092</v>
      </c>
      <c r="Z1053" t="s">
        <v>392</v>
      </c>
      <c r="AA1053">
        <v>140</v>
      </c>
      <c r="AB1053" t="s">
        <v>1444</v>
      </c>
      <c r="AC1053" t="str">
        <f>HYPERLINK("plots/20251231112652_3FT6Y119H04_05543_B21P_N_UFLEX98_M5358A8BA201511/dpll_52046/txpa_53216.png","plot")</f>
        <v>plot</v>
      </c>
    </row>
    <row r="1054" spans="1:29" x14ac:dyDescent="0.35">
      <c r="A1054" s="3" t="s">
        <v>47</v>
      </c>
      <c r="B1054">
        <v>52046</v>
      </c>
      <c r="C1054" t="s">
        <v>51</v>
      </c>
      <c r="D1054">
        <v>53217</v>
      </c>
      <c r="E1054" t="s">
        <v>92</v>
      </c>
      <c r="F1054">
        <v>7139</v>
      </c>
      <c r="G1054">
        <v>0.28124785018676152</v>
      </c>
      <c r="H1054">
        <v>6.5612675427525362E-130</v>
      </c>
      <c r="I1054">
        <v>1.3522612374697301E-129</v>
      </c>
      <c r="J1054">
        <v>0.27890712373521592</v>
      </c>
      <c r="K1054">
        <v>1.060716508185428E-127</v>
      </c>
      <c r="L1054">
        <v>2.483987388683658E-127</v>
      </c>
      <c r="M1054">
        <v>0.1889148265512251</v>
      </c>
      <c r="N1054">
        <v>1.2761710421115671E-126</v>
      </c>
      <c r="O1054">
        <v>3.0957833413902598E-126</v>
      </c>
      <c r="P1054">
        <v>7.9100353234675014E-2</v>
      </c>
      <c r="Q1054">
        <v>0.59664877057325605</v>
      </c>
      <c r="R1054">
        <v>1.7815029842923349</v>
      </c>
      <c r="S1054">
        <v>0.23441840026822239</v>
      </c>
      <c r="T1054">
        <v>0.18600022374743119</v>
      </c>
      <c r="U1054">
        <v>4.4222873134892842</v>
      </c>
      <c r="V1054">
        <v>0.1151559613407446</v>
      </c>
      <c r="W1054">
        <v>4.4200552730074243</v>
      </c>
      <c r="X1054">
        <v>0.24429577937222149</v>
      </c>
      <c r="Z1054" t="s">
        <v>392</v>
      </c>
      <c r="AA1054">
        <v>140</v>
      </c>
      <c r="AB1054" t="s">
        <v>1445</v>
      </c>
      <c r="AC1054" t="str">
        <f>HYPERLINK("plots/20251231112652_3FT6Y119H04_05543_B21P_N_UFLEX98_M5358A8BA201511/dpll_52046/txpa_53217.png","plot")</f>
        <v>plot</v>
      </c>
    </row>
    <row r="1055" spans="1:29" x14ac:dyDescent="0.35">
      <c r="A1055" s="3" t="s">
        <v>47</v>
      </c>
      <c r="B1055">
        <v>52046</v>
      </c>
      <c r="C1055" t="s">
        <v>51</v>
      </c>
      <c r="D1055">
        <v>53218</v>
      </c>
      <c r="E1055" t="s">
        <v>93</v>
      </c>
      <c r="F1055">
        <v>7139</v>
      </c>
      <c r="G1055">
        <v>0.32136536058189441</v>
      </c>
      <c r="H1055">
        <v>3.3968217622747532E-171</v>
      </c>
      <c r="I1055">
        <v>1.086554342885363E-170</v>
      </c>
      <c r="J1055">
        <v>0.30497855750166042</v>
      </c>
      <c r="K1055">
        <v>1.554324739860181E-153</v>
      </c>
      <c r="L1055">
        <v>4.5551597867578699E-153</v>
      </c>
      <c r="M1055">
        <v>0.2065063696417912</v>
      </c>
      <c r="N1055">
        <v>6.5789166955119645E-151</v>
      </c>
      <c r="O1055">
        <v>1.979531611053155E-150</v>
      </c>
      <c r="P1055">
        <v>0.103275694981931</v>
      </c>
      <c r="Q1055">
        <v>0.65137506376496612</v>
      </c>
      <c r="R1055">
        <v>1.096530577068171</v>
      </c>
      <c r="S1055">
        <v>0.22101285881096161</v>
      </c>
      <c r="T1055">
        <v>0.17382084348586299</v>
      </c>
      <c r="U1055">
        <v>4.4222873134892842</v>
      </c>
      <c r="V1055">
        <v>0.1151559613407446</v>
      </c>
      <c r="W1055">
        <v>3.9770982578792551</v>
      </c>
      <c r="X1055">
        <v>0.23340947986871949</v>
      </c>
      <c r="Z1055" t="s">
        <v>392</v>
      </c>
      <c r="AA1055">
        <v>140</v>
      </c>
      <c r="AB1055" t="s">
        <v>1446</v>
      </c>
      <c r="AC1055" t="str">
        <f>HYPERLINK("plots/20251231112652_3FT6Y119H04_05543_B21P_N_UFLEX98_M5358A8BA201511/dpll_52046/txpa_53218.png","plot")</f>
        <v>plot</v>
      </c>
    </row>
    <row r="1056" spans="1:29" x14ac:dyDescent="0.35">
      <c r="A1056" s="3" t="s">
        <v>47</v>
      </c>
      <c r="B1056">
        <v>52046</v>
      </c>
      <c r="C1056" t="s">
        <v>51</v>
      </c>
      <c r="D1056">
        <v>53219</v>
      </c>
      <c r="E1056" t="s">
        <v>94</v>
      </c>
      <c r="F1056">
        <v>7139</v>
      </c>
      <c r="G1056">
        <v>0.30510079210220931</v>
      </c>
      <c r="H1056">
        <v>1.158616455452817E-153</v>
      </c>
      <c r="I1056">
        <v>3.0674597541231229E-153</v>
      </c>
      <c r="J1056">
        <v>0.31234143460941571</v>
      </c>
      <c r="K1056">
        <v>2.4840967294247538E-161</v>
      </c>
      <c r="L1056">
        <v>8.0992735808254045E-161</v>
      </c>
      <c r="M1056">
        <v>0.21133605797182409</v>
      </c>
      <c r="N1056">
        <v>5.919761185832483E-158</v>
      </c>
      <c r="O1056">
        <v>1.9177756685093089E-157</v>
      </c>
      <c r="P1056">
        <v>9.3086493341395515E-2</v>
      </c>
      <c r="Q1056">
        <v>0.59098840318902079</v>
      </c>
      <c r="R1056">
        <v>3.2625595194180241</v>
      </c>
      <c r="S1056">
        <v>0.21240980721788361</v>
      </c>
      <c r="T1056">
        <v>0.1639992733577848</v>
      </c>
      <c r="U1056">
        <v>4.4222873134892842</v>
      </c>
      <c r="V1056">
        <v>0.1151559613407446</v>
      </c>
      <c r="W1056">
        <v>5.8760800372601203</v>
      </c>
      <c r="X1056">
        <v>0.2230601803474323</v>
      </c>
      <c r="Z1056" t="s">
        <v>392</v>
      </c>
      <c r="AA1056">
        <v>140</v>
      </c>
      <c r="AB1056" t="s">
        <v>1447</v>
      </c>
      <c r="AC1056" t="str">
        <f>HYPERLINK("plots/20251231112652_3FT6Y119H04_05543_B21P_N_UFLEX98_M5358A8BA201511/dpll_52046/txpa_53219.png","plot")</f>
        <v>plot</v>
      </c>
    </row>
    <row r="1057" spans="1:29" x14ac:dyDescent="0.35">
      <c r="A1057" s="3" t="s">
        <v>47</v>
      </c>
      <c r="B1057">
        <v>52046</v>
      </c>
      <c r="C1057" t="s">
        <v>51</v>
      </c>
      <c r="D1057">
        <v>53220</v>
      </c>
      <c r="E1057" t="s">
        <v>95</v>
      </c>
      <c r="F1057">
        <v>7139</v>
      </c>
      <c r="G1057">
        <v>0.24144547471697769</v>
      </c>
      <c r="H1057">
        <v>3.1996120026256503E-95</v>
      </c>
      <c r="I1057">
        <v>4.893524239309818E-95</v>
      </c>
      <c r="J1057">
        <v>0.24263421594625709</v>
      </c>
      <c r="K1057">
        <v>3.594708385409608E-96</v>
      </c>
      <c r="L1057">
        <v>6.4858261615753417E-96</v>
      </c>
      <c r="M1057">
        <v>0.16225559172512441</v>
      </c>
      <c r="N1057">
        <v>6.4329131245617449E-94</v>
      </c>
      <c r="O1057">
        <v>1.160671513933383E-93</v>
      </c>
      <c r="P1057">
        <v>5.8295917261306743E-2</v>
      </c>
      <c r="Q1057">
        <v>0.58093516830988357</v>
      </c>
      <c r="R1057">
        <v>3.3728098336349821</v>
      </c>
      <c r="S1057">
        <v>0.26885729880761988</v>
      </c>
      <c r="T1057">
        <v>0.21618149913379359</v>
      </c>
      <c r="U1057">
        <v>4.4222873134892842</v>
      </c>
      <c r="V1057">
        <v>0.1151559613407446</v>
      </c>
      <c r="W1057">
        <v>5.9418720584115423</v>
      </c>
      <c r="X1057">
        <v>0.27707352089240811</v>
      </c>
      <c r="Z1057" t="s">
        <v>392</v>
      </c>
      <c r="AA1057">
        <v>140</v>
      </c>
      <c r="AB1057" t="s">
        <v>1448</v>
      </c>
      <c r="AC1057" t="str">
        <f>HYPERLINK("plots/20251231112652_3FT6Y119H04_05543_B21P_N_UFLEX98_M5358A8BA201511/dpll_52046/txpa_53220.png","plot")</f>
        <v>plot</v>
      </c>
    </row>
    <row r="1058" spans="1:29" x14ac:dyDescent="0.35">
      <c r="A1058" s="3" t="s">
        <v>47</v>
      </c>
      <c r="B1058">
        <v>52046</v>
      </c>
      <c r="C1058" t="s">
        <v>51</v>
      </c>
      <c r="D1058">
        <v>53221</v>
      </c>
      <c r="E1058" t="s">
        <v>96</v>
      </c>
      <c r="F1058">
        <v>7139</v>
      </c>
      <c r="G1058">
        <v>0.31864835251391471</v>
      </c>
      <c r="H1058">
        <v>3.44479817368749E-168</v>
      </c>
      <c r="I1058">
        <v>1.0552946671054729E-167</v>
      </c>
      <c r="J1058">
        <v>0.32476839369330462</v>
      </c>
      <c r="K1058">
        <v>5.2686928507627121E-175</v>
      </c>
      <c r="L1058">
        <v>2.0009193073683111E-174</v>
      </c>
      <c r="M1058">
        <v>0.21949955802136911</v>
      </c>
      <c r="N1058">
        <v>3.1249833586249409E-170</v>
      </c>
      <c r="O1058">
        <v>1.173604861350256E-169</v>
      </c>
      <c r="P1058">
        <v>0.101536772559832</v>
      </c>
      <c r="Q1058">
        <v>0.59296533002388752</v>
      </c>
      <c r="R1058">
        <v>3.5114987216764861</v>
      </c>
      <c r="S1058">
        <v>0.20310648185463279</v>
      </c>
      <c r="T1058">
        <v>0.1588220326025401</v>
      </c>
      <c r="U1058">
        <v>4.4222873134892842</v>
      </c>
      <c r="V1058">
        <v>0.1151559613407446</v>
      </c>
      <c r="W1058">
        <v>6.1337617779801104</v>
      </c>
      <c r="X1058">
        <v>0.21429105809561941</v>
      </c>
      <c r="Z1058" t="s">
        <v>392</v>
      </c>
      <c r="AA1058">
        <v>140</v>
      </c>
      <c r="AB1058" t="s">
        <v>1449</v>
      </c>
      <c r="AC1058" t="str">
        <f>HYPERLINK("plots/20251231112652_3FT6Y119H04_05543_B21P_N_UFLEX98_M5358A8BA201511/dpll_52046/txpa_53221.png","plot")</f>
        <v>plot</v>
      </c>
    </row>
    <row r="1059" spans="1:29" x14ac:dyDescent="0.35">
      <c r="A1059" s="3" t="s">
        <v>47</v>
      </c>
      <c r="B1059">
        <v>52046</v>
      </c>
      <c r="C1059" t="s">
        <v>51</v>
      </c>
      <c r="D1059">
        <v>53222</v>
      </c>
      <c r="E1059" t="s">
        <v>97</v>
      </c>
      <c r="F1059">
        <v>7139</v>
      </c>
      <c r="G1059">
        <v>0.25041063725789059</v>
      </c>
      <c r="H1059">
        <v>1.6420317237680179E-102</v>
      </c>
      <c r="I1059">
        <v>2.685516399839952E-102</v>
      </c>
      <c r="J1059">
        <v>0.2485886902213213</v>
      </c>
      <c r="K1059">
        <v>5.2608367114456828E-101</v>
      </c>
      <c r="L1059">
        <v>9.9338704383722948E-101</v>
      </c>
      <c r="M1059">
        <v>0.1671129385918185</v>
      </c>
      <c r="N1059">
        <v>1.6525545430065841E-99</v>
      </c>
      <c r="O1059">
        <v>3.114665997413896E-99</v>
      </c>
      <c r="P1059">
        <v>6.2705487251902864E-2</v>
      </c>
      <c r="Q1059">
        <v>0.55574518976697385</v>
      </c>
      <c r="R1059">
        <v>3.5305241070058089</v>
      </c>
      <c r="S1059">
        <v>0.24740984788134271</v>
      </c>
      <c r="T1059">
        <v>0.1984877128809622</v>
      </c>
      <c r="U1059">
        <v>4.4222873134892842</v>
      </c>
      <c r="V1059">
        <v>0.1151559613407446</v>
      </c>
      <c r="W1059">
        <v>5.9881890092449934</v>
      </c>
      <c r="X1059">
        <v>0.25556970058824369</v>
      </c>
      <c r="Z1059" t="s">
        <v>392</v>
      </c>
      <c r="AA1059">
        <v>140</v>
      </c>
      <c r="AB1059" t="s">
        <v>1450</v>
      </c>
      <c r="AC1059" t="str">
        <f>HYPERLINK("plots/20251231112652_3FT6Y119H04_05543_B21P_N_UFLEX98_M5358A8BA201511/dpll_52046/txpa_53222.png","plot")</f>
        <v>plot</v>
      </c>
    </row>
    <row r="1060" spans="1:29" x14ac:dyDescent="0.35">
      <c r="A1060" s="3" t="s">
        <v>47</v>
      </c>
      <c r="B1060">
        <v>52046</v>
      </c>
      <c r="C1060" t="s">
        <v>51</v>
      </c>
      <c r="D1060">
        <v>53223</v>
      </c>
      <c r="E1060" t="s">
        <v>98</v>
      </c>
      <c r="F1060">
        <v>7139</v>
      </c>
      <c r="G1060">
        <v>0.33338721513188901</v>
      </c>
      <c r="H1060">
        <v>7.1010331854624901E-185</v>
      </c>
      <c r="I1060">
        <v>2.7800956177833838E-184</v>
      </c>
      <c r="J1060">
        <v>0.32844340806567002</v>
      </c>
      <c r="K1060">
        <v>3.5663543917541669E-179</v>
      </c>
      <c r="L1060">
        <v>1.4016602144336151E-178</v>
      </c>
      <c r="M1060">
        <v>0.22258185712001749</v>
      </c>
      <c r="N1060">
        <v>5.4731416281990921E-175</v>
      </c>
      <c r="O1060">
        <v>2.1427666451713822E-174</v>
      </c>
      <c r="P1060">
        <v>0.1111470352133964</v>
      </c>
      <c r="Q1060">
        <v>0.61393854435162643</v>
      </c>
      <c r="R1060">
        <v>3.5383830182049669</v>
      </c>
      <c r="S1060">
        <v>0.19991571180350859</v>
      </c>
      <c r="T1060">
        <v>0.15745842370892829</v>
      </c>
      <c r="U1060">
        <v>4.4222873134892842</v>
      </c>
      <c r="V1060">
        <v>0.1151559613407446</v>
      </c>
      <c r="W1060">
        <v>6.2533956541532429</v>
      </c>
      <c r="X1060">
        <v>0.21206177102796309</v>
      </c>
      <c r="Z1060" t="s">
        <v>392</v>
      </c>
      <c r="AA1060">
        <v>140</v>
      </c>
      <c r="AB1060" t="s">
        <v>1451</v>
      </c>
      <c r="AC1060" t="str">
        <f>HYPERLINK("plots/20251231112652_3FT6Y119H04_05543_B21P_N_UFLEX98_M5358A8BA201511/dpll_52046/txpa_53223.png","plot")</f>
        <v>plot</v>
      </c>
    </row>
    <row r="1061" spans="1:29" x14ac:dyDescent="0.35">
      <c r="A1061" s="3" t="s">
        <v>47</v>
      </c>
      <c r="B1061">
        <v>52046</v>
      </c>
      <c r="C1061" t="s">
        <v>51</v>
      </c>
      <c r="D1061">
        <v>53224</v>
      </c>
      <c r="E1061" t="s">
        <v>99</v>
      </c>
      <c r="F1061">
        <v>7139</v>
      </c>
      <c r="G1061">
        <v>0.27815442332353862</v>
      </c>
      <c r="H1061">
        <v>5.3857367360179334E-127</v>
      </c>
      <c r="I1061">
        <v>1.0645491326164099E-126</v>
      </c>
      <c r="J1061">
        <v>0.2899193820305091</v>
      </c>
      <c r="K1061">
        <v>2.7934063300676257E-138</v>
      </c>
      <c r="L1061">
        <v>7.0812850467214333E-138</v>
      </c>
      <c r="M1061">
        <v>0.196528300601261</v>
      </c>
      <c r="N1061">
        <v>7.2131076399412606E-137</v>
      </c>
      <c r="O1061">
        <v>1.8754079863847279E-136</v>
      </c>
      <c r="P1061">
        <v>7.7369883214450333E-2</v>
      </c>
      <c r="Q1061">
        <v>0.59758577594649509</v>
      </c>
      <c r="R1061">
        <v>3.5223762732553952</v>
      </c>
      <c r="S1061">
        <v>0.23762060674141541</v>
      </c>
      <c r="T1061">
        <v>0.1865779549142986</v>
      </c>
      <c r="U1061">
        <v>4.4222873134892842</v>
      </c>
      <c r="V1061">
        <v>0.1151559613407446</v>
      </c>
      <c r="W1061">
        <v>6.16507226894523</v>
      </c>
      <c r="X1061">
        <v>0.24740057587590411</v>
      </c>
      <c r="Z1061" t="s">
        <v>392</v>
      </c>
      <c r="AA1061">
        <v>140</v>
      </c>
      <c r="AB1061" t="s">
        <v>1452</v>
      </c>
      <c r="AC1061" t="str">
        <f>HYPERLINK("plots/20251231112652_3FT6Y119H04_05543_B21P_N_UFLEX98_M5358A8BA201511/dpll_52046/txpa_53224.png","plot")</f>
        <v>plot</v>
      </c>
    </row>
    <row r="1062" spans="1:29" x14ac:dyDescent="0.35">
      <c r="A1062" s="3" t="s">
        <v>47</v>
      </c>
      <c r="B1062">
        <v>52046</v>
      </c>
      <c r="C1062" t="s">
        <v>51</v>
      </c>
      <c r="D1062">
        <v>53225</v>
      </c>
      <c r="E1062" t="s">
        <v>100</v>
      </c>
      <c r="F1062">
        <v>7139</v>
      </c>
      <c r="G1062">
        <v>0.29687082225506017</v>
      </c>
      <c r="H1062">
        <v>3.3017323467976483E-145</v>
      </c>
      <c r="I1062">
        <v>7.9713252372686057E-145</v>
      </c>
      <c r="J1062">
        <v>0.29546938536250528</v>
      </c>
      <c r="K1062">
        <v>8.5311064135841489E-144</v>
      </c>
      <c r="L1062">
        <v>2.3006760381314702E-143</v>
      </c>
      <c r="M1062">
        <v>0.2004626422061439</v>
      </c>
      <c r="N1062">
        <v>2.5378022117607991E-142</v>
      </c>
      <c r="O1062">
        <v>6.9175576417350806E-142</v>
      </c>
      <c r="P1062">
        <v>8.8132285106395536E-2</v>
      </c>
      <c r="Q1062">
        <v>0.60728128435709683</v>
      </c>
      <c r="R1062">
        <v>3.614051553699678</v>
      </c>
      <c r="S1062">
        <v>0.22492840697090949</v>
      </c>
      <c r="T1062">
        <v>0.17786234396193421</v>
      </c>
      <c r="U1062">
        <v>4.4222873134892842</v>
      </c>
      <c r="V1062">
        <v>0.1151559613407446</v>
      </c>
      <c r="W1062">
        <v>6.2996238732315453</v>
      </c>
      <c r="X1062">
        <v>0.23556393846041421</v>
      </c>
      <c r="Z1062" t="s">
        <v>392</v>
      </c>
      <c r="AA1062">
        <v>140</v>
      </c>
      <c r="AB1062" t="s">
        <v>1453</v>
      </c>
      <c r="AC1062" t="str">
        <f>HYPERLINK("plots/20251231112652_3FT6Y119H04_05543_B21P_N_UFLEX98_M5358A8BA201511/dpll_52046/txpa_53225.png","plot")</f>
        <v>plot</v>
      </c>
    </row>
    <row r="1063" spans="1:29" x14ac:dyDescent="0.35">
      <c r="A1063" s="3" t="s">
        <v>47</v>
      </c>
      <c r="B1063">
        <v>52046</v>
      </c>
      <c r="C1063" t="s">
        <v>51</v>
      </c>
      <c r="D1063">
        <v>53226</v>
      </c>
      <c r="E1063" t="s">
        <v>101</v>
      </c>
      <c r="F1063">
        <v>7139</v>
      </c>
      <c r="G1063">
        <v>0.33295742563488862</v>
      </c>
      <c r="H1063">
        <v>2.244595820807802E-184</v>
      </c>
      <c r="I1063">
        <v>8.6212884935572398E-184</v>
      </c>
      <c r="J1063">
        <v>0.3192286325691443</v>
      </c>
      <c r="K1063">
        <v>7.9025756740836522E-169</v>
      </c>
      <c r="L1063">
        <v>2.7536810080827568E-168</v>
      </c>
      <c r="M1063">
        <v>0.21662833486164401</v>
      </c>
      <c r="N1063">
        <v>7.3387759137038018E-166</v>
      </c>
      <c r="O1063">
        <v>2.6202530903153709E-165</v>
      </c>
      <c r="P1063">
        <v>0.1108606472854123</v>
      </c>
      <c r="Q1063">
        <v>0.65350474380068868</v>
      </c>
      <c r="R1063">
        <v>2.9951783383862991</v>
      </c>
      <c r="S1063">
        <v>0.2131085929595411</v>
      </c>
      <c r="T1063">
        <v>0.1674615937734715</v>
      </c>
      <c r="U1063">
        <v>4.4222873134892842</v>
      </c>
      <c r="V1063">
        <v>0.1151559613407446</v>
      </c>
      <c r="W1063">
        <v>5.885164076201149</v>
      </c>
      <c r="X1063">
        <v>0.22601978877512011</v>
      </c>
      <c r="Z1063" t="s">
        <v>392</v>
      </c>
      <c r="AA1063">
        <v>140</v>
      </c>
      <c r="AB1063" t="s">
        <v>1454</v>
      </c>
      <c r="AC1063" t="str">
        <f>HYPERLINK("plots/20251231112652_3FT6Y119H04_05543_B21P_N_UFLEX98_M5358A8BA201511/dpll_52046/txpa_53226.png","plot")</f>
        <v>plot</v>
      </c>
    </row>
    <row r="1064" spans="1:29" x14ac:dyDescent="0.35">
      <c r="A1064" s="3" t="s">
        <v>47</v>
      </c>
      <c r="B1064">
        <v>52046</v>
      </c>
      <c r="C1064" t="s">
        <v>51</v>
      </c>
      <c r="D1064">
        <v>53227</v>
      </c>
      <c r="E1064" t="s">
        <v>102</v>
      </c>
      <c r="F1064">
        <v>7139</v>
      </c>
      <c r="G1064">
        <v>0.31919191062865121</v>
      </c>
      <c r="H1064">
        <v>8.6750860641036626E-169</v>
      </c>
      <c r="I1064">
        <v>2.6900725593275579E-168</v>
      </c>
      <c r="J1064">
        <v>0.333969389137447</v>
      </c>
      <c r="K1064">
        <v>1.489391210389507E-185</v>
      </c>
      <c r="L1064">
        <v>6.2665671673649808E-185</v>
      </c>
      <c r="M1064">
        <v>0.22671133094153009</v>
      </c>
      <c r="N1064">
        <v>1.8256834045189131E-181</v>
      </c>
      <c r="O1064">
        <v>7.6182838361406469E-181</v>
      </c>
      <c r="P1064">
        <v>0.1018834758107688</v>
      </c>
      <c r="Q1064">
        <v>0.60761086677396037</v>
      </c>
      <c r="R1064">
        <v>5.4599837904810906</v>
      </c>
      <c r="S1064">
        <v>0.20772846194394801</v>
      </c>
      <c r="T1064">
        <v>0.15891237522242929</v>
      </c>
      <c r="U1064">
        <v>4.4222873134892842</v>
      </c>
      <c r="V1064">
        <v>0.1151559613407446</v>
      </c>
      <c r="W1064">
        <v>8.1470136181538031</v>
      </c>
      <c r="X1064">
        <v>0.21920985825308659</v>
      </c>
      <c r="Z1064" t="s">
        <v>392</v>
      </c>
      <c r="AA1064">
        <v>140</v>
      </c>
      <c r="AB1064" t="s">
        <v>1455</v>
      </c>
      <c r="AC1064" t="str">
        <f>HYPERLINK("plots/20251231112652_3FT6Y119H04_05543_B21P_N_UFLEX98_M5358A8BA201511/dpll_52046/txpa_53227.png","plot")</f>
        <v>plot</v>
      </c>
    </row>
    <row r="1065" spans="1:29" x14ac:dyDescent="0.35">
      <c r="A1065" s="3" t="s">
        <v>47</v>
      </c>
      <c r="B1065">
        <v>52046</v>
      </c>
      <c r="C1065" t="s">
        <v>51</v>
      </c>
      <c r="D1065">
        <v>53228</v>
      </c>
      <c r="E1065" t="s">
        <v>103</v>
      </c>
      <c r="F1065">
        <v>7139</v>
      </c>
      <c r="G1065">
        <v>0.25801117820014158</v>
      </c>
      <c r="H1065">
        <v>6.3067652275326928E-109</v>
      </c>
      <c r="I1065">
        <v>1.0839084645285E-108</v>
      </c>
      <c r="J1065">
        <v>0.26027092308788008</v>
      </c>
      <c r="K1065">
        <v>7.0841568393195006E-111</v>
      </c>
      <c r="L1065">
        <v>1.4252648879107091E-110</v>
      </c>
      <c r="M1065">
        <v>0.1744078382590149</v>
      </c>
      <c r="N1065">
        <v>3.2658128650807661E-108</v>
      </c>
      <c r="O1065">
        <v>6.5705044547458273E-108</v>
      </c>
      <c r="P1065">
        <v>6.6569768076225208E-2</v>
      </c>
      <c r="Q1065">
        <v>0.59860272030496708</v>
      </c>
      <c r="R1065">
        <v>5.5836828344623246</v>
      </c>
      <c r="S1065">
        <v>0.25810540640757818</v>
      </c>
      <c r="T1065">
        <v>0.20666325283159559</v>
      </c>
      <c r="U1065">
        <v>4.4222873134892842</v>
      </c>
      <c r="V1065">
        <v>0.1151559613407446</v>
      </c>
      <c r="W1065">
        <v>8.2308760502871543</v>
      </c>
      <c r="X1065">
        <v>0.2671693226579186</v>
      </c>
      <c r="Z1065" t="s">
        <v>392</v>
      </c>
      <c r="AA1065">
        <v>140</v>
      </c>
      <c r="AB1065" t="s">
        <v>1456</v>
      </c>
      <c r="AC1065" t="str">
        <f>HYPERLINK("plots/20251231112652_3FT6Y119H04_05543_B21P_N_UFLEX98_M5358A8BA201511/dpll_52046/txpa_53228.png","plot")</f>
        <v>plot</v>
      </c>
    </row>
    <row r="1066" spans="1:29" x14ac:dyDescent="0.35">
      <c r="A1066" s="3" t="s">
        <v>47</v>
      </c>
      <c r="B1066">
        <v>52046</v>
      </c>
      <c r="C1066" t="s">
        <v>51</v>
      </c>
      <c r="D1066">
        <v>53229</v>
      </c>
      <c r="E1066" t="s">
        <v>104</v>
      </c>
      <c r="F1066">
        <v>7139</v>
      </c>
      <c r="G1066">
        <v>0.3369936247975302</v>
      </c>
      <c r="H1066">
        <v>4.2221825272817622E-189</v>
      </c>
      <c r="I1066">
        <v>1.7913360178509231E-188</v>
      </c>
      <c r="J1066">
        <v>0.34849698505757731</v>
      </c>
      <c r="K1066">
        <v>5.7937770785035204E-203</v>
      </c>
      <c r="L1066">
        <v>2.9083613651497869E-202</v>
      </c>
      <c r="M1066">
        <v>0.23660442200765541</v>
      </c>
      <c r="N1066">
        <v>1.8351162713413631E-197</v>
      </c>
      <c r="O1066">
        <v>8.9461918227891467E-197</v>
      </c>
      <c r="P1066">
        <v>0.1135647031541786</v>
      </c>
      <c r="Q1066">
        <v>0.6155889657292507</v>
      </c>
      <c r="R1066">
        <v>5.6630919003654157</v>
      </c>
      <c r="S1066">
        <v>0.19803806218588549</v>
      </c>
      <c r="T1066">
        <v>0.1532083639751157</v>
      </c>
      <c r="U1066">
        <v>4.4222873134892842</v>
      </c>
      <c r="V1066">
        <v>0.1151559613407446</v>
      </c>
      <c r="W1066">
        <v>8.3854031738338701</v>
      </c>
      <c r="X1066">
        <v>0.21035632107846949</v>
      </c>
      <c r="Z1066" t="s">
        <v>392</v>
      </c>
      <c r="AA1066">
        <v>140</v>
      </c>
      <c r="AB1066" t="s">
        <v>1457</v>
      </c>
      <c r="AC1066" t="str">
        <f>HYPERLINK("plots/20251231112652_3FT6Y119H04_05543_B21P_N_UFLEX98_M5358A8BA201511/dpll_52046/txpa_53229.png","plot")</f>
        <v>plot</v>
      </c>
    </row>
    <row r="1067" spans="1:29" x14ac:dyDescent="0.35">
      <c r="A1067" s="3" t="s">
        <v>47</v>
      </c>
      <c r="B1067">
        <v>52046</v>
      </c>
      <c r="C1067" t="s">
        <v>51</v>
      </c>
      <c r="D1067">
        <v>53230</v>
      </c>
      <c r="E1067" t="s">
        <v>105</v>
      </c>
      <c r="F1067">
        <v>7139</v>
      </c>
      <c r="G1067">
        <v>0.27025104844448361</v>
      </c>
      <c r="H1067">
        <v>1.01647188665506E-119</v>
      </c>
      <c r="I1067">
        <v>1.8981629706597261E-119</v>
      </c>
      <c r="J1067">
        <v>0.26909584219957422</v>
      </c>
      <c r="K1067">
        <v>1.122741013052983E-118</v>
      </c>
      <c r="L1067">
        <v>2.386707310766719E-118</v>
      </c>
      <c r="M1067">
        <v>0.18140364313331511</v>
      </c>
      <c r="N1067">
        <v>6.5978102434396242E-117</v>
      </c>
      <c r="O1067">
        <v>1.4144142889741599E-116</v>
      </c>
      <c r="P1067">
        <v>7.3035629185342593E-2</v>
      </c>
      <c r="Q1067">
        <v>0.57957356858657239</v>
      </c>
      <c r="R1067">
        <v>5.7134151770748911</v>
      </c>
      <c r="S1067">
        <v>0.237754480905912</v>
      </c>
      <c r="T1067">
        <v>0.18993116250590811</v>
      </c>
      <c r="U1067">
        <v>4.4222873134892842</v>
      </c>
      <c r="V1067">
        <v>0.1151559613407446</v>
      </c>
      <c r="W1067">
        <v>8.2764560166690018</v>
      </c>
      <c r="X1067">
        <v>0.24696056441750719</v>
      </c>
      <c r="Z1067" t="s">
        <v>392</v>
      </c>
      <c r="AA1067">
        <v>140</v>
      </c>
      <c r="AB1067" t="s">
        <v>1458</v>
      </c>
      <c r="AC1067" t="str">
        <f>HYPERLINK("plots/20251231112652_3FT6Y119H04_05543_B21P_N_UFLEX98_M5358A8BA201511/dpll_52046/txpa_53230.png","plot")</f>
        <v>plot</v>
      </c>
    </row>
    <row r="1068" spans="1:29" x14ac:dyDescent="0.35">
      <c r="A1068" s="3" t="s">
        <v>47</v>
      </c>
      <c r="B1068">
        <v>52046</v>
      </c>
      <c r="C1068" t="s">
        <v>51</v>
      </c>
      <c r="D1068">
        <v>53231</v>
      </c>
      <c r="E1068" t="s">
        <v>106</v>
      </c>
      <c r="F1068">
        <v>7139</v>
      </c>
      <c r="G1068">
        <v>0.35156561358397942</v>
      </c>
      <c r="H1068">
        <v>9.2256560660655014E-207</v>
      </c>
      <c r="I1068">
        <v>5.6354308740906135E-206</v>
      </c>
      <c r="J1068">
        <v>0.34779212836265427</v>
      </c>
      <c r="K1068">
        <v>4.2594190772536676E-202</v>
      </c>
      <c r="L1068">
        <v>2.0966266720073881E-201</v>
      </c>
      <c r="M1068">
        <v>0.23665848695844019</v>
      </c>
      <c r="N1068">
        <v>1.4930456628337911E-197</v>
      </c>
      <c r="O1068">
        <v>7.3137599135916133E-197</v>
      </c>
      <c r="P1068">
        <v>0.1235983806546799</v>
      </c>
      <c r="Q1068">
        <v>0.63712225765899055</v>
      </c>
      <c r="R1068">
        <v>5.6863836419053051</v>
      </c>
      <c r="S1068">
        <v>0.19535475142822001</v>
      </c>
      <c r="T1068">
        <v>0.15290586415527699</v>
      </c>
      <c r="U1068">
        <v>4.4222873134892842</v>
      </c>
      <c r="V1068">
        <v>0.1151559613407446</v>
      </c>
      <c r="W1068">
        <v>8.50392131909231</v>
      </c>
      <c r="X1068">
        <v>0.20869056368842209</v>
      </c>
      <c r="Z1068" t="s">
        <v>392</v>
      </c>
      <c r="AA1068">
        <v>140</v>
      </c>
      <c r="AB1068" t="s">
        <v>1459</v>
      </c>
      <c r="AC1068" t="str">
        <f>HYPERLINK("plots/20251231112652_3FT6Y119H04_05543_B21P_N_UFLEX98_M5358A8BA201511/dpll_52046/txpa_53231.png","plot")</f>
        <v>plot</v>
      </c>
    </row>
    <row r="1069" spans="1:29" x14ac:dyDescent="0.35">
      <c r="A1069" s="3" t="s">
        <v>47</v>
      </c>
      <c r="B1069">
        <v>52046</v>
      </c>
      <c r="C1069" t="s">
        <v>51</v>
      </c>
      <c r="D1069">
        <v>53232</v>
      </c>
      <c r="E1069" t="s">
        <v>107</v>
      </c>
      <c r="F1069">
        <v>7139</v>
      </c>
      <c r="G1069">
        <v>0.29970425974716031</v>
      </c>
      <c r="H1069">
        <v>4.3559917466117018E-148</v>
      </c>
      <c r="I1069">
        <v>1.074689934565515E-147</v>
      </c>
      <c r="J1069">
        <v>0.31145634257691163</v>
      </c>
      <c r="K1069">
        <v>2.2093754359576851E-160</v>
      </c>
      <c r="L1069">
        <v>7.1120847367018803E-160</v>
      </c>
      <c r="M1069">
        <v>0.2118326615935934</v>
      </c>
      <c r="N1069">
        <v>1.0902137674293771E-158</v>
      </c>
      <c r="O1069">
        <v>3.5775946931177621E-158</v>
      </c>
      <c r="P1069">
        <v>8.9822643310593295E-2</v>
      </c>
      <c r="Q1069">
        <v>0.61926242511095619</v>
      </c>
      <c r="R1069">
        <v>5.683785998328104</v>
      </c>
      <c r="S1069">
        <v>0.2269869205885981</v>
      </c>
      <c r="T1069">
        <v>0.17779735561470519</v>
      </c>
      <c r="U1069">
        <v>4.4222873134892842</v>
      </c>
      <c r="V1069">
        <v>0.1151559613407446</v>
      </c>
      <c r="W1069">
        <v>8.4223423646168936</v>
      </c>
      <c r="X1069">
        <v>0.23794042816079369</v>
      </c>
      <c r="Z1069" t="s">
        <v>392</v>
      </c>
      <c r="AA1069">
        <v>140</v>
      </c>
      <c r="AB1069" t="s">
        <v>1460</v>
      </c>
      <c r="AC1069" t="str">
        <f>HYPERLINK("plots/20251231112652_3FT6Y119H04_05543_B21P_N_UFLEX98_M5358A8BA201511/dpll_52046/txpa_53232.png","plot")</f>
        <v>plot</v>
      </c>
    </row>
    <row r="1070" spans="1:29" x14ac:dyDescent="0.35">
      <c r="A1070" s="3" t="s">
        <v>47</v>
      </c>
      <c r="B1070">
        <v>52046</v>
      </c>
      <c r="C1070" t="s">
        <v>51</v>
      </c>
      <c r="D1070">
        <v>53233</v>
      </c>
      <c r="E1070" t="s">
        <v>108</v>
      </c>
      <c r="F1070">
        <v>7139</v>
      </c>
      <c r="G1070">
        <v>0.31756399352309961</v>
      </c>
      <c r="H1070">
        <v>5.3478325808150412E-167</v>
      </c>
      <c r="I1070">
        <v>1.6138994752816821E-166</v>
      </c>
      <c r="J1070">
        <v>0.31605917118131771</v>
      </c>
      <c r="K1070">
        <v>2.3593891718151782E-165</v>
      </c>
      <c r="L1070">
        <v>8.1099004075274241E-165</v>
      </c>
      <c r="M1070">
        <v>0.21511988570784921</v>
      </c>
      <c r="N1070">
        <v>1.3742282207951149E-163</v>
      </c>
      <c r="O1070">
        <v>4.7236183589364301E-163</v>
      </c>
      <c r="P1070">
        <v>0.10084688998233921</v>
      </c>
      <c r="Q1070">
        <v>0.62805366501865656</v>
      </c>
      <c r="R1070">
        <v>5.764958504417633</v>
      </c>
      <c r="S1070">
        <v>0.21594260243277391</v>
      </c>
      <c r="T1070">
        <v>0.16965221810500991</v>
      </c>
      <c r="U1070">
        <v>4.4222873134892842</v>
      </c>
      <c r="V1070">
        <v>0.1151559613407446</v>
      </c>
      <c r="W1070">
        <v>8.5423922594200867</v>
      </c>
      <c r="X1070">
        <v>0.22774661184483599</v>
      </c>
      <c r="Z1070" t="s">
        <v>392</v>
      </c>
      <c r="AA1070">
        <v>140</v>
      </c>
      <c r="AB1070" t="s">
        <v>1461</v>
      </c>
      <c r="AC1070" t="str">
        <f>HYPERLINK("plots/20251231112652_3FT6Y119H04_05543_B21P_N_UFLEX98_M5358A8BA201511/dpll_52046/txpa_53233.png","plot")</f>
        <v>plot</v>
      </c>
    </row>
    <row r="1071" spans="1:29" x14ac:dyDescent="0.35">
      <c r="A1071" s="3" t="s">
        <v>47</v>
      </c>
      <c r="B1071">
        <v>52046</v>
      </c>
      <c r="C1071" t="s">
        <v>51</v>
      </c>
      <c r="D1071">
        <v>53234</v>
      </c>
      <c r="E1071" t="s">
        <v>109</v>
      </c>
      <c r="F1071">
        <v>7139</v>
      </c>
      <c r="G1071">
        <v>0.34757098828934929</v>
      </c>
      <c r="H1071">
        <v>7.9562587476892074E-202</v>
      </c>
      <c r="I1071">
        <v>4.3774877068747943E-201</v>
      </c>
      <c r="J1071">
        <v>0.33578474546663217</v>
      </c>
      <c r="K1071">
        <v>1.117817942567208E-187</v>
      </c>
      <c r="L1071">
        <v>4.8646669260220975E-187</v>
      </c>
      <c r="M1071">
        <v>0.228697740331019</v>
      </c>
      <c r="N1071">
        <v>1.2703053273146081E-184</v>
      </c>
      <c r="O1071">
        <v>5.4580067876992043E-184</v>
      </c>
      <c r="P1071">
        <v>0.12080559190043499</v>
      </c>
      <c r="Q1071">
        <v>0.66284489308175754</v>
      </c>
      <c r="R1071">
        <v>5.2356237584461471</v>
      </c>
      <c r="S1071">
        <v>0.20590498470640389</v>
      </c>
      <c r="T1071">
        <v>0.16094180007442929</v>
      </c>
      <c r="U1071">
        <v>4.4222873134892842</v>
      </c>
      <c r="V1071">
        <v>0.1151559613407446</v>
      </c>
      <c r="W1071">
        <v>8.166914319932765</v>
      </c>
      <c r="X1071">
        <v>0.21961136991988661</v>
      </c>
      <c r="Z1071" t="s">
        <v>392</v>
      </c>
      <c r="AA1071">
        <v>140</v>
      </c>
      <c r="AB1071" t="s">
        <v>1462</v>
      </c>
      <c r="AC1071" t="str">
        <f>HYPERLINK("plots/20251231112652_3FT6Y119H04_05543_B21P_N_UFLEX98_M5358A8BA201511/dpll_52046/txpa_53234.png","plot")</f>
        <v>plot</v>
      </c>
    </row>
    <row r="1072" spans="1:29" x14ac:dyDescent="0.35">
      <c r="A1072" s="3" t="s">
        <v>47</v>
      </c>
      <c r="B1072">
        <v>52046</v>
      </c>
      <c r="C1072" t="s">
        <v>51</v>
      </c>
      <c r="D1072">
        <v>53235</v>
      </c>
      <c r="E1072" t="s">
        <v>110</v>
      </c>
      <c r="F1072">
        <v>7139</v>
      </c>
      <c r="G1072">
        <v>0.32462800042378248</v>
      </c>
      <c r="H1072">
        <v>7.5829316957396561E-175</v>
      </c>
      <c r="I1072">
        <v>2.563030913160004E-174</v>
      </c>
      <c r="J1072">
        <v>0.34350388295863588</v>
      </c>
      <c r="K1072">
        <v>7.1180034279449742E-197</v>
      </c>
      <c r="L1072">
        <v>3.2659074551747528E-196</v>
      </c>
      <c r="M1072">
        <v>0.23361311734108081</v>
      </c>
      <c r="N1072">
        <v>1.487072041608996E-192</v>
      </c>
      <c r="O1072">
        <v>6.7618432744014447E-192</v>
      </c>
      <c r="P1072">
        <v>0.1053833386591433</v>
      </c>
      <c r="Q1072">
        <v>0.61760038314817978</v>
      </c>
      <c r="R1072">
        <v>6.4076868235655766</v>
      </c>
      <c r="S1072">
        <v>0.2072030182099433</v>
      </c>
      <c r="T1072">
        <v>0.1573988154680914</v>
      </c>
      <c r="U1072">
        <v>4.4222873134892842</v>
      </c>
      <c r="V1072">
        <v>0.1151559613407446</v>
      </c>
      <c r="W1072">
        <v>9.1388931627678929</v>
      </c>
      <c r="X1072">
        <v>0.21908266000775489</v>
      </c>
      <c r="Z1072" t="s">
        <v>392</v>
      </c>
      <c r="AA1072">
        <v>140</v>
      </c>
      <c r="AB1072" t="s">
        <v>1463</v>
      </c>
      <c r="AC1072" t="str">
        <f>HYPERLINK("plots/20251231112652_3FT6Y119H04_05543_B21P_N_UFLEX98_M5358A8BA201511/dpll_52046/txpa_53235.png","plot")</f>
        <v>plot</v>
      </c>
    </row>
    <row r="1073" spans="1:29" x14ac:dyDescent="0.35">
      <c r="A1073" s="3" t="s">
        <v>47</v>
      </c>
      <c r="B1073">
        <v>52046</v>
      </c>
      <c r="C1073" t="s">
        <v>51</v>
      </c>
      <c r="D1073">
        <v>53236</v>
      </c>
      <c r="E1073" t="s">
        <v>111</v>
      </c>
      <c r="F1073">
        <v>7139</v>
      </c>
      <c r="G1073">
        <v>0.2660009705778062</v>
      </c>
      <c r="H1073">
        <v>6.6023092490210242E-116</v>
      </c>
      <c r="I1073">
        <v>1.2084371080338121E-115</v>
      </c>
      <c r="J1073">
        <v>0.26871613205319073</v>
      </c>
      <c r="K1073">
        <v>2.4662899559318689E-118</v>
      </c>
      <c r="L1073">
        <v>5.231836852123253E-118</v>
      </c>
      <c r="M1073">
        <v>0.18029492460770369</v>
      </c>
      <c r="N1073">
        <v>1.659575389971836E-115</v>
      </c>
      <c r="O1073">
        <v>3.5058530113155018E-115</v>
      </c>
      <c r="P1073">
        <v>7.0756516348334922E-2</v>
      </c>
      <c r="Q1073">
        <v>0.6093479133956603</v>
      </c>
      <c r="R1073">
        <v>6.5383530988379093</v>
      </c>
      <c r="S1073">
        <v>0.2542745387813784</v>
      </c>
      <c r="T1073">
        <v>0.20300736006389891</v>
      </c>
      <c r="U1073">
        <v>4.4222873134892842</v>
      </c>
      <c r="V1073">
        <v>0.1151559613407446</v>
      </c>
      <c r="W1073">
        <v>9.2330646457487049</v>
      </c>
      <c r="X1073">
        <v>0.26379619820796518</v>
      </c>
      <c r="Z1073" t="s">
        <v>392</v>
      </c>
      <c r="AA1073">
        <v>140</v>
      </c>
      <c r="AB1073" t="s">
        <v>1464</v>
      </c>
      <c r="AC1073" t="str">
        <f>HYPERLINK("plots/20251231112652_3FT6Y119H04_05543_B21P_N_UFLEX98_M5358A8BA201511/dpll_52046/txpa_53236.png","plot")</f>
        <v>plot</v>
      </c>
    </row>
    <row r="1074" spans="1:29" x14ac:dyDescent="0.35">
      <c r="A1074" s="3" t="s">
        <v>47</v>
      </c>
      <c r="B1074">
        <v>52046</v>
      </c>
      <c r="C1074" t="s">
        <v>51</v>
      </c>
      <c r="D1074">
        <v>53237</v>
      </c>
      <c r="E1074" t="s">
        <v>112</v>
      </c>
      <c r="F1074">
        <v>7139</v>
      </c>
      <c r="G1074">
        <v>0.34499725856966268</v>
      </c>
      <c r="H1074">
        <v>1.1035207850420221E-198</v>
      </c>
      <c r="I1074">
        <v>5.7977724146767358E-198</v>
      </c>
      <c r="J1074">
        <v>0.35939882074279211</v>
      </c>
      <c r="K1074">
        <v>1.1909186445578461E-216</v>
      </c>
      <c r="L1074">
        <v>8.159402064740917E-216</v>
      </c>
      <c r="M1074">
        <v>0.24456289021417091</v>
      </c>
      <c r="N1074">
        <v>7.9286638927680411E-211</v>
      </c>
      <c r="O1074">
        <v>4.9627562884362918E-210</v>
      </c>
      <c r="P1074">
        <v>0.1190231084205827</v>
      </c>
      <c r="Q1074">
        <v>0.62977756311838129</v>
      </c>
      <c r="R1074">
        <v>6.5822723463453698</v>
      </c>
      <c r="S1074">
        <v>0.1972921495132243</v>
      </c>
      <c r="T1074">
        <v>0.1515151198445269</v>
      </c>
      <c r="U1074">
        <v>4.4222873134892842</v>
      </c>
      <c r="V1074">
        <v>0.1151559613407446</v>
      </c>
      <c r="W1074">
        <v>9.3673296740439849</v>
      </c>
      <c r="X1074">
        <v>0.21021222317070881</v>
      </c>
      <c r="Z1074" t="s">
        <v>392</v>
      </c>
      <c r="AA1074">
        <v>140</v>
      </c>
      <c r="AB1074" t="s">
        <v>1465</v>
      </c>
      <c r="AC1074" t="str">
        <f>HYPERLINK("plots/20251231112652_3FT6Y119H04_05543_B21P_N_UFLEX98_M5358A8BA201511/dpll_52046/txpa_53237.png","plot")</f>
        <v>plot</v>
      </c>
    </row>
    <row r="1075" spans="1:29" x14ac:dyDescent="0.35">
      <c r="A1075" s="3" t="s">
        <v>47</v>
      </c>
      <c r="B1075">
        <v>52046</v>
      </c>
      <c r="C1075" t="s">
        <v>51</v>
      </c>
      <c r="D1075">
        <v>53238</v>
      </c>
      <c r="E1075" t="s">
        <v>113</v>
      </c>
      <c r="F1075">
        <v>7139</v>
      </c>
      <c r="G1075">
        <v>0.27989725612529143</v>
      </c>
      <c r="H1075">
        <v>1.2415940167222341E-128</v>
      </c>
      <c r="I1075">
        <v>2.5129268122881152E-128</v>
      </c>
      <c r="J1075">
        <v>0.27908274660450338</v>
      </c>
      <c r="K1075">
        <v>7.2549725465426018E-128</v>
      </c>
      <c r="L1075">
        <v>1.7108237586498131E-127</v>
      </c>
      <c r="M1075">
        <v>0.1883771471725135</v>
      </c>
      <c r="N1075">
        <v>6.5042357540320775E-126</v>
      </c>
      <c r="O1075">
        <v>1.5591714077041429E-125</v>
      </c>
      <c r="P1075">
        <v>7.8342473986466987E-2</v>
      </c>
      <c r="Q1075">
        <v>0.59344333676328342</v>
      </c>
      <c r="R1075">
        <v>6.6540670070480878</v>
      </c>
      <c r="S1075">
        <v>0.23438046407473739</v>
      </c>
      <c r="T1075">
        <v>0.18670428217774299</v>
      </c>
      <c r="U1075">
        <v>4.4222873134892842</v>
      </c>
      <c r="V1075">
        <v>0.1151559613407446</v>
      </c>
      <c r="W1075">
        <v>9.2784439464911053</v>
      </c>
      <c r="X1075">
        <v>0.2441557980677185</v>
      </c>
      <c r="Z1075" t="s">
        <v>392</v>
      </c>
      <c r="AA1075">
        <v>140</v>
      </c>
      <c r="AB1075" t="s">
        <v>1466</v>
      </c>
      <c r="AC1075" t="str">
        <f>HYPERLINK("plots/20251231112652_3FT6Y119H04_05543_B21P_N_UFLEX98_M5358A8BA201511/dpll_52046/txpa_53238.png","plot")</f>
        <v>plot</v>
      </c>
    </row>
    <row r="1076" spans="1:29" x14ac:dyDescent="0.35">
      <c r="A1076" s="3" t="s">
        <v>47</v>
      </c>
      <c r="B1076">
        <v>52046</v>
      </c>
      <c r="C1076" t="s">
        <v>51</v>
      </c>
      <c r="D1076">
        <v>53239</v>
      </c>
      <c r="E1076" t="s">
        <v>114</v>
      </c>
      <c r="F1076">
        <v>7139</v>
      </c>
      <c r="G1076">
        <v>0.35843896232562478</v>
      </c>
      <c r="H1076">
        <v>2.0080639358369281E-215</v>
      </c>
      <c r="I1076">
        <v>1.4339273457314399E-214</v>
      </c>
      <c r="J1076">
        <v>0.35554464978246991</v>
      </c>
      <c r="K1076">
        <v>9.4770309382144318E-212</v>
      </c>
      <c r="L1076">
        <v>5.6197130826604873E-211</v>
      </c>
      <c r="M1076">
        <v>0.2423941519318977</v>
      </c>
      <c r="N1076">
        <v>3.8438194173535343E-207</v>
      </c>
      <c r="O1076">
        <v>2.1533883365726431E-206</v>
      </c>
      <c r="P1076">
        <v>0.12847848971307069</v>
      </c>
      <c r="Q1076">
        <v>0.64928148194254809</v>
      </c>
      <c r="R1076">
        <v>6.6154274146865379</v>
      </c>
      <c r="S1076">
        <v>0.194721033773192</v>
      </c>
      <c r="T1076">
        <v>0.15170492703822341</v>
      </c>
      <c r="U1076">
        <v>4.4222873134892842</v>
      </c>
      <c r="V1076">
        <v>0.1151559613407446</v>
      </c>
      <c r="W1076">
        <v>9.4867366751645896</v>
      </c>
      <c r="X1076">
        <v>0.20859516149897139</v>
      </c>
      <c r="Z1076" t="s">
        <v>392</v>
      </c>
      <c r="AA1076">
        <v>140</v>
      </c>
      <c r="AB1076" t="s">
        <v>1467</v>
      </c>
      <c r="AC1076" t="str">
        <f>HYPERLINK("plots/20251231112652_3FT6Y119H04_05543_B21P_N_UFLEX98_M5358A8BA201511/dpll_52046/txpa_53239.png","plot")</f>
        <v>plot</v>
      </c>
    </row>
    <row r="1077" spans="1:29" x14ac:dyDescent="0.35">
      <c r="A1077" s="3" t="s">
        <v>47</v>
      </c>
      <c r="B1077">
        <v>52046</v>
      </c>
      <c r="C1077" t="s">
        <v>51</v>
      </c>
      <c r="D1077">
        <v>53240</v>
      </c>
      <c r="E1077" t="s">
        <v>115</v>
      </c>
      <c r="F1077">
        <v>7139</v>
      </c>
      <c r="G1077">
        <v>0.30981266473385799</v>
      </c>
      <c r="H1077">
        <v>1.253613659807936E-158</v>
      </c>
      <c r="I1077">
        <v>3.4355790568790448E-158</v>
      </c>
      <c r="J1077">
        <v>0.32148954672702729</v>
      </c>
      <c r="K1077">
        <v>2.471299034883773E-171</v>
      </c>
      <c r="L1077">
        <v>8.9496329334719484E-171</v>
      </c>
      <c r="M1077">
        <v>0.21908821184959831</v>
      </c>
      <c r="N1077">
        <v>1.3276022283317961E-169</v>
      </c>
      <c r="O1077">
        <v>4.9310939909466732E-169</v>
      </c>
      <c r="P1077">
        <v>9.5983887229493928E-2</v>
      </c>
      <c r="Q1077">
        <v>0.63206194926342341</v>
      </c>
      <c r="R1077">
        <v>6.6126136537374398</v>
      </c>
      <c r="S1077">
        <v>0.22335957298738121</v>
      </c>
      <c r="T1077">
        <v>0.17452197442610001</v>
      </c>
      <c r="U1077">
        <v>4.4222873134892842</v>
      </c>
      <c r="V1077">
        <v>0.1151559613407446</v>
      </c>
      <c r="W1077">
        <v>9.4077731933043847</v>
      </c>
      <c r="X1077">
        <v>0.23493455781370459</v>
      </c>
      <c r="Z1077" t="s">
        <v>392</v>
      </c>
      <c r="AA1077">
        <v>140</v>
      </c>
      <c r="AB1077" t="s">
        <v>1468</v>
      </c>
      <c r="AC1077" t="str">
        <f>HYPERLINK("plots/20251231112652_3FT6Y119H04_05543_B21P_N_UFLEX98_M5358A8BA201511/dpll_52046/txpa_53240.png","plot")</f>
        <v>plot</v>
      </c>
    </row>
    <row r="1078" spans="1:29" x14ac:dyDescent="0.35">
      <c r="A1078" s="3" t="s">
        <v>47</v>
      </c>
      <c r="B1078">
        <v>52046</v>
      </c>
      <c r="C1078" t="s">
        <v>51</v>
      </c>
      <c r="D1078">
        <v>53241</v>
      </c>
      <c r="E1078" t="s">
        <v>116</v>
      </c>
      <c r="F1078">
        <v>7139</v>
      </c>
      <c r="G1078">
        <v>0.32719143418379998</v>
      </c>
      <c r="H1078">
        <v>9.531570694323193E-178</v>
      </c>
      <c r="I1078">
        <v>3.3099358506999031E-177</v>
      </c>
      <c r="J1078">
        <v>0.3255828316463204</v>
      </c>
      <c r="K1078">
        <v>6.3486756089594172E-176</v>
      </c>
      <c r="L1078">
        <v>2.429266817918811E-175</v>
      </c>
      <c r="M1078">
        <v>0.22203370316150589</v>
      </c>
      <c r="N1078">
        <v>3.8700045800693901E-174</v>
      </c>
      <c r="O1078">
        <v>1.503519020762591E-173</v>
      </c>
      <c r="P1078">
        <v>0.1070542346032519</v>
      </c>
      <c r="Q1078">
        <v>0.64044370809015883</v>
      </c>
      <c r="R1078">
        <v>6.6880241825334821</v>
      </c>
      <c r="S1078">
        <v>0.21298429715438311</v>
      </c>
      <c r="T1078">
        <v>0.16659766209422261</v>
      </c>
      <c r="U1078">
        <v>4.4222873134892842</v>
      </c>
      <c r="V1078">
        <v>0.1151559613407446</v>
      </c>
      <c r="W1078">
        <v>9.5202502678246255</v>
      </c>
      <c r="X1078">
        <v>0.22540599534254249</v>
      </c>
      <c r="Z1078" t="s">
        <v>392</v>
      </c>
      <c r="AA1078">
        <v>140</v>
      </c>
      <c r="AB1078" t="s">
        <v>1469</v>
      </c>
      <c r="AC1078" t="str">
        <f>HYPERLINK("plots/20251231112652_3FT6Y119H04_05543_B21P_N_UFLEX98_M5358A8BA201511/dpll_52046/txpa_53241.png","plot")</f>
        <v>plot</v>
      </c>
    </row>
    <row r="1079" spans="1:29" x14ac:dyDescent="0.35">
      <c r="A1079" s="3" t="s">
        <v>47</v>
      </c>
      <c r="B1079">
        <v>52046</v>
      </c>
      <c r="C1079" t="s">
        <v>51</v>
      </c>
      <c r="D1079">
        <v>53242</v>
      </c>
      <c r="E1079" t="s">
        <v>117</v>
      </c>
      <c r="F1079">
        <v>7139</v>
      </c>
      <c r="G1079">
        <v>0.3539239266932982</v>
      </c>
      <c r="H1079">
        <v>1.0403852233645149E-209</v>
      </c>
      <c r="I1079">
        <v>6.8503286785170042E-209</v>
      </c>
      <c r="J1079">
        <v>0.34284462331534121</v>
      </c>
      <c r="K1079">
        <v>4.4467942045558313E-196</v>
      </c>
      <c r="L1079">
        <v>2.0040219215198279E-195</v>
      </c>
      <c r="M1079">
        <v>0.23392152169915331</v>
      </c>
      <c r="N1079">
        <v>4.6701488774352074E-193</v>
      </c>
      <c r="O1079">
        <v>2.1331220548285138E-192</v>
      </c>
      <c r="P1079">
        <v>0.1252621458860031</v>
      </c>
      <c r="Q1079">
        <v>0.67045725719760907</v>
      </c>
      <c r="R1079">
        <v>6.1994111684054101</v>
      </c>
      <c r="S1079">
        <v>0.20401219987319691</v>
      </c>
      <c r="T1079">
        <v>0.15884954180355959</v>
      </c>
      <c r="U1079">
        <v>4.4222873134892842</v>
      </c>
      <c r="V1079">
        <v>0.1151559613407446</v>
      </c>
      <c r="W1079">
        <v>9.1643657911472189</v>
      </c>
      <c r="X1079">
        <v>0.21814617257390281</v>
      </c>
      <c r="Z1079" t="s">
        <v>392</v>
      </c>
      <c r="AA1079">
        <v>140</v>
      </c>
      <c r="AB1079" t="s">
        <v>1470</v>
      </c>
      <c r="AC1079" t="str">
        <f>HYPERLINK("plots/20251231112652_3FT6Y119H04_05543_B21P_N_UFLEX98_M5358A8BA201511/dpll_52046/txpa_53242.png","plot")</f>
        <v>plot</v>
      </c>
    </row>
    <row r="1080" spans="1:29" x14ac:dyDescent="0.35">
      <c r="A1080" s="3" t="s">
        <v>47</v>
      </c>
      <c r="B1080">
        <v>52046</v>
      </c>
      <c r="C1080" t="s">
        <v>51</v>
      </c>
      <c r="D1080">
        <v>53243</v>
      </c>
      <c r="E1080" t="s">
        <v>118</v>
      </c>
      <c r="F1080">
        <v>7139</v>
      </c>
      <c r="G1080">
        <v>0.33073808440865898</v>
      </c>
      <c r="H1080">
        <v>8.3044084216374139E-182</v>
      </c>
      <c r="I1080">
        <v>3.0620618689237588E-181</v>
      </c>
      <c r="J1080">
        <v>0.35335212353352091</v>
      </c>
      <c r="K1080">
        <v>5.4231054678822096E-209</v>
      </c>
      <c r="L1080">
        <v>3.0214444749629449E-208</v>
      </c>
      <c r="M1080">
        <v>0.24085731134020871</v>
      </c>
      <c r="N1080">
        <v>1.5030586297366309E-204</v>
      </c>
      <c r="O1080">
        <v>8.1069226093241695E-204</v>
      </c>
      <c r="P1080">
        <v>0.1093876804783092</v>
      </c>
      <c r="Q1080">
        <v>0.63245228528403341</v>
      </c>
      <c r="R1080">
        <v>7.2983381944336134</v>
      </c>
      <c r="S1080">
        <v>0.20779922078793081</v>
      </c>
      <c r="T1080">
        <v>0.15673550739881381</v>
      </c>
      <c r="U1080">
        <v>4.4222873134892842</v>
      </c>
      <c r="V1080">
        <v>0.1151559613407446</v>
      </c>
      <c r="W1080">
        <v>10.0952239120325</v>
      </c>
      <c r="X1080">
        <v>0.22020642419892711</v>
      </c>
      <c r="Z1080" t="s">
        <v>392</v>
      </c>
      <c r="AA1080">
        <v>140</v>
      </c>
      <c r="AB1080" t="s">
        <v>1471</v>
      </c>
      <c r="AC1080" t="str">
        <f>HYPERLINK("plots/20251231112652_3FT6Y119H04_05543_B21P_N_UFLEX98_M5358A8BA201511/dpll_52046/txpa_53243.png","plot")</f>
        <v>plot</v>
      </c>
    </row>
    <row r="1081" spans="1:29" x14ac:dyDescent="0.35">
      <c r="A1081" s="3" t="s">
        <v>47</v>
      </c>
      <c r="B1081">
        <v>52046</v>
      </c>
      <c r="C1081" t="s">
        <v>51</v>
      </c>
      <c r="D1081">
        <v>53244</v>
      </c>
      <c r="E1081" t="s">
        <v>119</v>
      </c>
      <c r="F1081">
        <v>7139</v>
      </c>
      <c r="G1081">
        <v>0.27533077294864289</v>
      </c>
      <c r="H1081">
        <v>2.2836037713118529E-124</v>
      </c>
      <c r="I1081">
        <v>4.4190347788362957E-124</v>
      </c>
      <c r="J1081">
        <v>0.27857077653729989</v>
      </c>
      <c r="K1081">
        <v>2.193787001346567E-127</v>
      </c>
      <c r="L1081">
        <v>5.1255760814871414E-127</v>
      </c>
      <c r="M1081">
        <v>0.18716367162365499</v>
      </c>
      <c r="N1081">
        <v>2.5391315476964528E-124</v>
      </c>
      <c r="O1081">
        <v>5.8917148498036684E-124</v>
      </c>
      <c r="P1081">
        <v>7.5807034532497167E-2</v>
      </c>
      <c r="Q1081">
        <v>0.62543835829626349</v>
      </c>
      <c r="R1081">
        <v>7.4330826109901231</v>
      </c>
      <c r="S1081">
        <v>0.25145894809404218</v>
      </c>
      <c r="T1081">
        <v>0.20012932217155219</v>
      </c>
      <c r="U1081">
        <v>4.4222873134892842</v>
      </c>
      <c r="V1081">
        <v>0.1151559613407446</v>
      </c>
      <c r="W1081">
        <v>10.19895072825325</v>
      </c>
      <c r="X1081">
        <v>0.26158701636455889</v>
      </c>
      <c r="Z1081" t="s">
        <v>392</v>
      </c>
      <c r="AA1081">
        <v>140</v>
      </c>
      <c r="AB1081" t="s">
        <v>1472</v>
      </c>
      <c r="AC1081" t="str">
        <f>HYPERLINK("plots/20251231112652_3FT6Y119H04_05543_B21P_N_UFLEX98_M5358A8BA201511/dpll_52046/txpa_53244.png","plot")</f>
        <v>plot</v>
      </c>
    </row>
    <row r="1082" spans="1:29" x14ac:dyDescent="0.35">
      <c r="A1082" s="3" t="s">
        <v>47</v>
      </c>
      <c r="B1082">
        <v>52046</v>
      </c>
      <c r="C1082" t="s">
        <v>51</v>
      </c>
      <c r="D1082">
        <v>53245</v>
      </c>
      <c r="E1082" t="s">
        <v>120</v>
      </c>
      <c r="F1082">
        <v>7139</v>
      </c>
      <c r="G1082">
        <v>0.35297656584654657</v>
      </c>
      <c r="H1082">
        <v>1.601018644322829E-208</v>
      </c>
      <c r="I1082">
        <v>1.034033697670923E-207</v>
      </c>
      <c r="J1082">
        <v>0.36981822546671661</v>
      </c>
      <c r="K1082">
        <v>3.03629158825471E-230</v>
      </c>
      <c r="L1082">
        <v>2.7007014653423481E-229</v>
      </c>
      <c r="M1082">
        <v>0.25245131621740602</v>
      </c>
      <c r="N1082">
        <v>1.6524175878321081E-224</v>
      </c>
      <c r="O1082">
        <v>1.4444408914325501E-223</v>
      </c>
      <c r="P1082">
        <v>0.12459245603682149</v>
      </c>
      <c r="Q1082">
        <v>0.64753108708644136</v>
      </c>
      <c r="R1082">
        <v>7.4489761616912364</v>
      </c>
      <c r="S1082">
        <v>0.19764047918211011</v>
      </c>
      <c r="T1082">
        <v>0.15066225747090811</v>
      </c>
      <c r="U1082">
        <v>4.4222873134892842</v>
      </c>
      <c r="V1082">
        <v>0.1151559613407446</v>
      </c>
      <c r="W1082">
        <v>10.312544673203529</v>
      </c>
      <c r="X1082">
        <v>0.21125216812232769</v>
      </c>
      <c r="Z1082" t="s">
        <v>392</v>
      </c>
      <c r="AA1082">
        <v>140</v>
      </c>
      <c r="AB1082" t="s">
        <v>1473</v>
      </c>
      <c r="AC1082" t="str">
        <f>HYPERLINK("plots/20251231112652_3FT6Y119H04_05543_B21P_N_UFLEX98_M5358A8BA201511/dpll_52046/txpa_53245.png","plot")</f>
        <v>plot</v>
      </c>
    </row>
    <row r="1083" spans="1:29" x14ac:dyDescent="0.35">
      <c r="A1083" s="3" t="s">
        <v>47</v>
      </c>
      <c r="B1083">
        <v>52046</v>
      </c>
      <c r="C1083" t="s">
        <v>51</v>
      </c>
      <c r="D1083">
        <v>53246</v>
      </c>
      <c r="E1083" t="s">
        <v>121</v>
      </c>
      <c r="F1083">
        <v>7139</v>
      </c>
      <c r="G1083">
        <v>0.29067409455855647</v>
      </c>
      <c r="H1083">
        <v>5.0516098522482211E-139</v>
      </c>
      <c r="I1083">
        <v>1.1208604792515751E-138</v>
      </c>
      <c r="J1083">
        <v>0.2899221277272595</v>
      </c>
      <c r="K1083">
        <v>2.776107210474466E-138</v>
      </c>
      <c r="L1083">
        <v>7.0550694521832296E-138</v>
      </c>
      <c r="M1083">
        <v>0.1960468425069363</v>
      </c>
      <c r="N1083">
        <v>3.2927946236853911E-136</v>
      </c>
      <c r="O1083">
        <v>8.4528955656126242E-136</v>
      </c>
      <c r="P1083">
        <v>8.4491429247436661E-2</v>
      </c>
      <c r="Q1083">
        <v>0.61216267610770791</v>
      </c>
      <c r="R1083">
        <v>7.5369190522130536</v>
      </c>
      <c r="S1083">
        <v>0.23203191900332051</v>
      </c>
      <c r="T1083">
        <v>0.18422881654190251</v>
      </c>
      <c r="U1083">
        <v>4.4222873134892842</v>
      </c>
      <c r="V1083">
        <v>0.1151559613407446</v>
      </c>
      <c r="W1083">
        <v>10.244078288555819</v>
      </c>
      <c r="X1083">
        <v>0.2425196561501797</v>
      </c>
      <c r="Z1083" t="s">
        <v>392</v>
      </c>
      <c r="AA1083">
        <v>140</v>
      </c>
      <c r="AB1083" t="s">
        <v>1474</v>
      </c>
      <c r="AC1083" t="str">
        <f>HYPERLINK("plots/20251231112652_3FT6Y119H04_05543_B21P_N_UFLEX98_M5358A8BA201511/dpll_52046/txpa_53246.png","plot")</f>
        <v>plot</v>
      </c>
    </row>
    <row r="1084" spans="1:29" x14ac:dyDescent="0.35">
      <c r="A1084" s="3" t="s">
        <v>47</v>
      </c>
      <c r="B1084">
        <v>52046</v>
      </c>
      <c r="C1084" t="s">
        <v>51</v>
      </c>
      <c r="D1084">
        <v>53247</v>
      </c>
      <c r="E1084" t="s">
        <v>122</v>
      </c>
      <c r="F1084">
        <v>7139</v>
      </c>
      <c r="G1084">
        <v>0.36616689708534128</v>
      </c>
      <c r="H1084">
        <v>2.01255616952855E-225</v>
      </c>
      <c r="I1084">
        <v>2.0007176038254409E-224</v>
      </c>
      <c r="J1084">
        <v>0.36397666110971111</v>
      </c>
      <c r="K1084">
        <v>1.465028291816424E-222</v>
      </c>
      <c r="L1084">
        <v>1.1254080968953439E-221</v>
      </c>
      <c r="M1084">
        <v>0.24874736338170189</v>
      </c>
      <c r="N1084">
        <v>4.9693172902091638E-218</v>
      </c>
      <c r="O1084">
        <v>3.8173391911152207E-217</v>
      </c>
      <c r="P1084">
        <v>0.13407819652110689</v>
      </c>
      <c r="Q1084">
        <v>0.66671017679714473</v>
      </c>
      <c r="R1084">
        <v>7.4850286878638119</v>
      </c>
      <c r="S1084">
        <v>0.19509823843960281</v>
      </c>
      <c r="T1084">
        <v>0.15113821760286139</v>
      </c>
      <c r="U1084">
        <v>4.4222873134892842</v>
      </c>
      <c r="V1084">
        <v>0.1151559613407446</v>
      </c>
      <c r="W1084">
        <v>10.433412644488021</v>
      </c>
      <c r="X1084">
        <v>0.20967392726065881</v>
      </c>
      <c r="Z1084" t="s">
        <v>392</v>
      </c>
      <c r="AA1084">
        <v>140</v>
      </c>
      <c r="AB1084" t="s">
        <v>1475</v>
      </c>
      <c r="AC1084" t="str">
        <f>HYPERLINK("plots/20251231112652_3FT6Y119H04_05543_B21P_N_UFLEX98_M5358A8BA201511/dpll_52046/txpa_53247.png","plot")</f>
        <v>plot</v>
      </c>
    </row>
    <row r="1085" spans="1:29" x14ac:dyDescent="0.35">
      <c r="A1085" s="3" t="s">
        <v>47</v>
      </c>
      <c r="B1085">
        <v>52046</v>
      </c>
      <c r="C1085" t="s">
        <v>51</v>
      </c>
      <c r="D1085">
        <v>53248</v>
      </c>
      <c r="E1085" t="s">
        <v>123</v>
      </c>
      <c r="F1085">
        <v>7139</v>
      </c>
      <c r="G1085">
        <v>0.32100791683153518</v>
      </c>
      <c r="H1085">
        <v>8.4788231131251874E-171</v>
      </c>
      <c r="I1085">
        <v>2.7036247285248242E-170</v>
      </c>
      <c r="J1085">
        <v>0.33234870998550903</v>
      </c>
      <c r="K1085">
        <v>1.1419806897542969E-183</v>
      </c>
      <c r="L1085">
        <v>4.6881312526755346E-183</v>
      </c>
      <c r="M1085">
        <v>0.2269422237709553</v>
      </c>
      <c r="N1085">
        <v>7.8648679112137704E-182</v>
      </c>
      <c r="O1085">
        <v>3.3091186979131799E-181</v>
      </c>
      <c r="P1085">
        <v>0.1030460826685218</v>
      </c>
      <c r="Q1085">
        <v>0.6493484612953101</v>
      </c>
      <c r="R1085">
        <v>7.4853311469089991</v>
      </c>
      <c r="S1085">
        <v>0.22059879915962771</v>
      </c>
      <c r="T1085">
        <v>0.17191801099660059</v>
      </c>
      <c r="U1085">
        <v>4.4222873134892842</v>
      </c>
      <c r="V1085">
        <v>0.1151559613407446</v>
      </c>
      <c r="W1085">
        <v>10.35693660932904</v>
      </c>
      <c r="X1085">
        <v>0.23294237426810041</v>
      </c>
      <c r="Z1085" t="s">
        <v>392</v>
      </c>
      <c r="AA1085">
        <v>140</v>
      </c>
      <c r="AB1085" t="s">
        <v>1476</v>
      </c>
      <c r="AC1085" t="str">
        <f>HYPERLINK("plots/20251231112652_3FT6Y119H04_05543_B21P_N_UFLEX98_M5358A8BA201511/dpll_52046/txpa_53248.png","plot")</f>
        <v>plot</v>
      </c>
    </row>
    <row r="1086" spans="1:29" x14ac:dyDescent="0.35">
      <c r="A1086" s="3" t="s">
        <v>47</v>
      </c>
      <c r="B1086">
        <v>52046</v>
      </c>
      <c r="C1086" t="s">
        <v>51</v>
      </c>
      <c r="D1086">
        <v>53249</v>
      </c>
      <c r="E1086" t="s">
        <v>124</v>
      </c>
      <c r="F1086">
        <v>7139</v>
      </c>
      <c r="G1086">
        <v>0.33765386312811912</v>
      </c>
      <c r="H1086">
        <v>7.0103345479094516E-190</v>
      </c>
      <c r="I1086">
        <v>3.0378116374274292E-189</v>
      </c>
      <c r="J1086">
        <v>0.33571975270298288</v>
      </c>
      <c r="K1086">
        <v>1.332555452426787E-187</v>
      </c>
      <c r="L1086">
        <v>5.7744069605160757E-187</v>
      </c>
      <c r="M1086">
        <v>0.22945115967457899</v>
      </c>
      <c r="N1086">
        <v>7.9242132714419014E-186</v>
      </c>
      <c r="O1086">
        <v>3.4634276970871071E-185</v>
      </c>
      <c r="P1086">
        <v>0.1140101312853426</v>
      </c>
      <c r="Q1086">
        <v>0.65745446694509591</v>
      </c>
      <c r="R1086">
        <v>7.5544790598402756</v>
      </c>
      <c r="S1086">
        <v>0.21103978779585489</v>
      </c>
      <c r="T1086">
        <v>0.1642886495924975</v>
      </c>
      <c r="U1086">
        <v>4.4222873134892842</v>
      </c>
      <c r="V1086">
        <v>0.1151559613407446</v>
      </c>
      <c r="W1086">
        <v>10.461931608208429</v>
      </c>
      <c r="X1086">
        <v>0.22422311558183489</v>
      </c>
      <c r="Z1086" t="s">
        <v>392</v>
      </c>
      <c r="AA1086">
        <v>140</v>
      </c>
      <c r="AB1086" t="s">
        <v>1477</v>
      </c>
      <c r="AC1086" t="str">
        <f>HYPERLINK("plots/20251231112652_3FT6Y119H04_05543_B21P_N_UFLEX98_M5358A8BA201511/dpll_52046/txpa_53249.png","plot")</f>
        <v>plot</v>
      </c>
    </row>
    <row r="1087" spans="1:29" x14ac:dyDescent="0.35">
      <c r="A1087" s="3" t="s">
        <v>47</v>
      </c>
      <c r="B1087">
        <v>52046</v>
      </c>
      <c r="C1087" t="s">
        <v>51</v>
      </c>
      <c r="D1087">
        <v>53250</v>
      </c>
      <c r="E1087" t="s">
        <v>125</v>
      </c>
      <c r="F1087">
        <v>7139</v>
      </c>
      <c r="G1087">
        <v>0.36065654424786509</v>
      </c>
      <c r="H1087">
        <v>2.896150959245162E-218</v>
      </c>
      <c r="I1087">
        <v>2.3307119624401539E-217</v>
      </c>
      <c r="J1087">
        <v>0.35022727140961712</v>
      </c>
      <c r="K1087">
        <v>4.233100673838306E-205</v>
      </c>
      <c r="L1087">
        <v>2.1788650168893619E-204</v>
      </c>
      <c r="M1087">
        <v>0.23940033475880729</v>
      </c>
      <c r="N1087">
        <v>4.1581529580849514E-202</v>
      </c>
      <c r="O1087">
        <v>2.1733851028340929E-201</v>
      </c>
      <c r="P1087">
        <v>0.13007314290881231</v>
      </c>
      <c r="Q1087">
        <v>0.68233973633177525</v>
      </c>
      <c r="R1087">
        <v>7.1087962281476802</v>
      </c>
      <c r="S1087">
        <v>0.20319088496987561</v>
      </c>
      <c r="T1087">
        <v>0.15754074673241539</v>
      </c>
      <c r="U1087">
        <v>4.4222873134892842</v>
      </c>
      <c r="V1087">
        <v>0.1151559613407446</v>
      </c>
      <c r="W1087">
        <v>10.12629858761731</v>
      </c>
      <c r="X1087">
        <v>0.2178679121493326</v>
      </c>
      <c r="Z1087" t="s">
        <v>392</v>
      </c>
      <c r="AA1087">
        <v>140</v>
      </c>
      <c r="AB1087" t="s">
        <v>1478</v>
      </c>
      <c r="AC1087" t="str">
        <f>HYPERLINK("plots/20251231112652_3FT6Y119H04_05543_B21P_N_UFLEX98_M5358A8BA201511/dpll_52046/txpa_53250.png","plot")</f>
        <v>plot</v>
      </c>
    </row>
    <row r="1088" spans="1:29" x14ac:dyDescent="0.35">
      <c r="A1088" s="3" t="s">
        <v>47</v>
      </c>
      <c r="B1088">
        <v>52046</v>
      </c>
      <c r="C1088" t="s">
        <v>51</v>
      </c>
      <c r="D1088">
        <v>53251</v>
      </c>
      <c r="E1088" t="s">
        <v>126</v>
      </c>
      <c r="F1088">
        <v>7139</v>
      </c>
      <c r="G1088">
        <v>0.33461609710939721</v>
      </c>
      <c r="H1088">
        <v>2.6168101419742459E-186</v>
      </c>
      <c r="I1088">
        <v>1.0529545571277319E-185</v>
      </c>
      <c r="J1088">
        <v>0.36162248006231262</v>
      </c>
      <c r="K1088">
        <v>1.6491149777950019E-219</v>
      </c>
      <c r="L1088">
        <v>1.1944304196315229E-218</v>
      </c>
      <c r="M1088">
        <v>0.24708967908952961</v>
      </c>
      <c r="N1088">
        <v>3.6669030448298631E-215</v>
      </c>
      <c r="O1088">
        <v>2.6370494237287101E-214</v>
      </c>
      <c r="P1088">
        <v>0.1119679324447255</v>
      </c>
      <c r="Q1088">
        <v>0.64452719727050212</v>
      </c>
      <c r="R1088">
        <v>8.1995420666696077</v>
      </c>
      <c r="S1088">
        <v>0.20900888536210391</v>
      </c>
      <c r="T1088">
        <v>0.15644277990706851</v>
      </c>
      <c r="U1088">
        <v>4.4222873134892842</v>
      </c>
      <c r="V1088">
        <v>0.1151559613407446</v>
      </c>
      <c r="W1088">
        <v>11.049826514357751</v>
      </c>
      <c r="X1088">
        <v>0.2218098580824551</v>
      </c>
      <c r="Z1088" t="s">
        <v>392</v>
      </c>
      <c r="AA1088">
        <v>140</v>
      </c>
      <c r="AB1088" t="s">
        <v>1479</v>
      </c>
      <c r="AC1088" t="str">
        <f>HYPERLINK("plots/20251231112652_3FT6Y119H04_05543_B21P_N_UFLEX98_M5358A8BA201511/dpll_52046/txpa_53251.png","plot")</f>
        <v>plot</v>
      </c>
    </row>
    <row r="1089" spans="1:29" x14ac:dyDescent="0.35">
      <c r="A1089" s="3" t="s">
        <v>47</v>
      </c>
      <c r="B1089">
        <v>52046</v>
      </c>
      <c r="C1089" t="s">
        <v>51</v>
      </c>
      <c r="D1089">
        <v>53252</v>
      </c>
      <c r="E1089" t="s">
        <v>127</v>
      </c>
      <c r="F1089">
        <v>7139</v>
      </c>
      <c r="G1089">
        <v>0.28377366051441749</v>
      </c>
      <c r="H1089">
        <v>2.5676136408119959E-132</v>
      </c>
      <c r="I1089">
        <v>5.4015772443638257E-132</v>
      </c>
      <c r="J1089">
        <v>0.28816693515196118</v>
      </c>
      <c r="K1089">
        <v>1.4518304257489559E-136</v>
      </c>
      <c r="L1089">
        <v>3.6260001273631563E-136</v>
      </c>
      <c r="M1089">
        <v>0.19399496002574881</v>
      </c>
      <c r="N1089">
        <v>2.0518741613090849E-133</v>
      </c>
      <c r="O1089">
        <v>5.1372849372034869E-133</v>
      </c>
      <c r="P1089">
        <v>8.0527490401751875E-2</v>
      </c>
      <c r="Q1089">
        <v>0.63890264934562846</v>
      </c>
      <c r="R1089">
        <v>8.3361237068894631</v>
      </c>
      <c r="S1089">
        <v>0.24859248021932881</v>
      </c>
      <c r="T1089">
        <v>0.19703967688902929</v>
      </c>
      <c r="U1089">
        <v>4.4222873134892842</v>
      </c>
      <c r="V1089">
        <v>0.1151559613407446</v>
      </c>
      <c r="W1089">
        <v>11.16153478764533</v>
      </c>
      <c r="X1089">
        <v>0.25926806827375198</v>
      </c>
      <c r="Z1089" t="s">
        <v>392</v>
      </c>
      <c r="AA1089">
        <v>140</v>
      </c>
      <c r="AB1089" t="s">
        <v>1480</v>
      </c>
      <c r="AC1089" t="str">
        <f>HYPERLINK("plots/20251231112652_3FT6Y119H04_05543_B21P_N_UFLEX98_M5358A8BA201511/dpll_52046/txpa_53252.png","plot")</f>
        <v>plot</v>
      </c>
    </row>
    <row r="1090" spans="1:29" x14ac:dyDescent="0.35">
      <c r="A1090" s="3" t="s">
        <v>47</v>
      </c>
      <c r="B1090">
        <v>52046</v>
      </c>
      <c r="C1090" t="s">
        <v>51</v>
      </c>
      <c r="D1090">
        <v>53253</v>
      </c>
      <c r="E1090" t="s">
        <v>128</v>
      </c>
      <c r="F1090">
        <v>7139</v>
      </c>
      <c r="G1090">
        <v>0.35820775420262879</v>
      </c>
      <c r="H1090">
        <v>3.9598145697985249E-215</v>
      </c>
      <c r="I1090">
        <v>2.8078685131298631E-214</v>
      </c>
      <c r="J1090">
        <v>0.37907601625352638</v>
      </c>
      <c r="K1090">
        <v>9.4242486995848028E-243</v>
      </c>
      <c r="L1090">
        <v>1.085930475156704E-241</v>
      </c>
      <c r="M1090">
        <v>0.25973639452834801</v>
      </c>
      <c r="N1090">
        <v>1.5753597595406019E-237</v>
      </c>
      <c r="O1090">
        <v>1.8152440865615569E-236</v>
      </c>
      <c r="P1090">
        <v>0.128312795170891</v>
      </c>
      <c r="Q1090">
        <v>0.66220400190816164</v>
      </c>
      <c r="R1090">
        <v>8.3254242695578178</v>
      </c>
      <c r="S1090">
        <v>0.1987436034352868</v>
      </c>
      <c r="T1090">
        <v>0.1502276968988038</v>
      </c>
      <c r="U1090">
        <v>4.4222873134892842</v>
      </c>
      <c r="V1090">
        <v>0.1151559613407446</v>
      </c>
      <c r="W1090">
        <v>11.253880626138111</v>
      </c>
      <c r="X1090">
        <v>0.21288410858991669</v>
      </c>
      <c r="Z1090" t="s">
        <v>392</v>
      </c>
      <c r="AA1090">
        <v>140</v>
      </c>
      <c r="AB1090" t="s">
        <v>1481</v>
      </c>
      <c r="AC1090" t="str">
        <f>HYPERLINK("plots/20251231112652_3FT6Y119H04_05543_B21P_N_UFLEX98_M5358A8BA201511/dpll_52046/txpa_53253.png","plot")</f>
        <v>plot</v>
      </c>
    </row>
    <row r="1091" spans="1:29" x14ac:dyDescent="0.35">
      <c r="A1091" s="3" t="s">
        <v>47</v>
      </c>
      <c r="B1091">
        <v>52046</v>
      </c>
      <c r="C1091" t="s">
        <v>51</v>
      </c>
      <c r="D1091">
        <v>53254</v>
      </c>
      <c r="E1091" t="s">
        <v>129</v>
      </c>
      <c r="F1091">
        <v>7139</v>
      </c>
      <c r="G1091">
        <v>0.30039171618040722</v>
      </c>
      <c r="H1091">
        <v>8.6197526133035991E-149</v>
      </c>
      <c r="I1091">
        <v>2.14226204654163E-148</v>
      </c>
      <c r="J1091">
        <v>0.3009132497986054</v>
      </c>
      <c r="K1091">
        <v>2.5143998069653011E-149</v>
      </c>
      <c r="L1091">
        <v>7.1019537723198194E-149</v>
      </c>
      <c r="M1091">
        <v>0.20385268011775651</v>
      </c>
      <c r="N1091">
        <v>4.1554711943716509E-147</v>
      </c>
      <c r="O1091">
        <v>1.190295986184422E-146</v>
      </c>
      <c r="P1091">
        <v>9.0235183149810286E-2</v>
      </c>
      <c r="Q1091">
        <v>0.62957471823503774</v>
      </c>
      <c r="R1091">
        <v>8.4225016016767533</v>
      </c>
      <c r="S1091">
        <v>0.2301865280898869</v>
      </c>
      <c r="T1091">
        <v>0.18202697469538939</v>
      </c>
      <c r="U1091">
        <v>4.4222873134892842</v>
      </c>
      <c r="V1091">
        <v>0.1151559613407446</v>
      </c>
      <c r="W1091">
        <v>11.206661891021151</v>
      </c>
      <c r="X1091">
        <v>0.2413491385050148</v>
      </c>
      <c r="Z1091" t="s">
        <v>392</v>
      </c>
      <c r="AA1091">
        <v>140</v>
      </c>
      <c r="AB1091" t="s">
        <v>1482</v>
      </c>
      <c r="AC1091" t="str">
        <f>HYPERLINK("plots/20251231112652_3FT6Y119H04_05543_B21P_N_UFLEX98_M5358A8BA201511/dpll_52046/txpa_53254.png","plot")</f>
        <v>plot</v>
      </c>
    </row>
    <row r="1092" spans="1:29" x14ac:dyDescent="0.35">
      <c r="A1092" s="3" t="s">
        <v>47</v>
      </c>
      <c r="B1092">
        <v>52046</v>
      </c>
      <c r="C1092" t="s">
        <v>51</v>
      </c>
      <c r="D1092">
        <v>53255</v>
      </c>
      <c r="E1092" t="s">
        <v>130</v>
      </c>
      <c r="F1092">
        <v>7139</v>
      </c>
      <c r="G1092">
        <v>0.3720518221995347</v>
      </c>
      <c r="H1092">
        <v>3.1766157712412169E-233</v>
      </c>
      <c r="I1092">
        <v>4.0773270785298657E-232</v>
      </c>
      <c r="J1092">
        <v>0.37183012808242188</v>
      </c>
      <c r="K1092">
        <v>6.2927066640517158E-233</v>
      </c>
      <c r="L1092">
        <v>5.9633687451854582E-232</v>
      </c>
      <c r="M1092">
        <v>0.25494410021473912</v>
      </c>
      <c r="N1092">
        <v>6.3706608160638663E-229</v>
      </c>
      <c r="O1092">
        <v>5.9813426550821856E-228</v>
      </c>
      <c r="P1092">
        <v>0.13842255840199419</v>
      </c>
      <c r="Q1092">
        <v>0.68288049915342797</v>
      </c>
      <c r="R1092">
        <v>8.3568431769148379</v>
      </c>
      <c r="S1092">
        <v>0.19617535208299669</v>
      </c>
      <c r="T1092">
        <v>0.15094632004466069</v>
      </c>
      <c r="U1092">
        <v>4.4222873134892842</v>
      </c>
      <c r="V1092">
        <v>0.1151559613407446</v>
      </c>
      <c r="W1092">
        <v>11.37673694495027</v>
      </c>
      <c r="X1092">
        <v>0.21136238466986021</v>
      </c>
      <c r="Z1092" t="s">
        <v>392</v>
      </c>
      <c r="AA1092">
        <v>140</v>
      </c>
      <c r="AB1092" t="s">
        <v>1483</v>
      </c>
      <c r="AC1092" t="str">
        <f>HYPERLINK("plots/20251231112652_3FT6Y119H04_05543_B21P_N_UFLEX98_M5358A8BA201511/dpll_52046/txpa_53255.png","plot")</f>
        <v>plot</v>
      </c>
    </row>
    <row r="1093" spans="1:29" x14ac:dyDescent="0.35">
      <c r="A1093" s="3" t="s">
        <v>47</v>
      </c>
      <c r="B1093">
        <v>52046</v>
      </c>
      <c r="C1093" t="s">
        <v>51</v>
      </c>
      <c r="D1093">
        <v>53256</v>
      </c>
      <c r="E1093" t="s">
        <v>131</v>
      </c>
      <c r="F1093">
        <v>7139</v>
      </c>
      <c r="G1093">
        <v>0.33067224900161202</v>
      </c>
      <c r="H1093">
        <v>9.8893015506297274E-182</v>
      </c>
      <c r="I1093">
        <v>3.6201269936240232E-181</v>
      </c>
      <c r="J1093">
        <v>0.34250055814372837</v>
      </c>
      <c r="K1093">
        <v>1.1549063982837849E-195</v>
      </c>
      <c r="L1093">
        <v>5.181748176370611E-195</v>
      </c>
      <c r="M1093">
        <v>0.234410185975758</v>
      </c>
      <c r="N1093">
        <v>7.4249210775316772E-194</v>
      </c>
      <c r="O1093">
        <v>3.5017999872637771E-193</v>
      </c>
      <c r="P1093">
        <v>0.10934413625978411</v>
      </c>
      <c r="Q1093">
        <v>0.66499858526744793</v>
      </c>
      <c r="R1093">
        <v>8.3623563401029415</v>
      </c>
      <c r="S1093">
        <v>0.2185415122860834</v>
      </c>
      <c r="T1093">
        <v>0.16971311701359881</v>
      </c>
      <c r="U1093">
        <v>4.4222873134892842</v>
      </c>
      <c r="V1093">
        <v>0.1151559613407446</v>
      </c>
      <c r="W1093">
        <v>11.3031711472195</v>
      </c>
      <c r="X1093">
        <v>0.23158445139535969</v>
      </c>
      <c r="Z1093" t="s">
        <v>392</v>
      </c>
      <c r="AA1093">
        <v>140</v>
      </c>
      <c r="AB1093" t="s">
        <v>1484</v>
      </c>
      <c r="AC1093" t="str">
        <f>HYPERLINK("plots/20251231112652_3FT6Y119H04_05543_B21P_N_UFLEX98_M5358A8BA201511/dpll_52046/txpa_53256.png","plot")</f>
        <v>plot</v>
      </c>
    </row>
    <row r="1094" spans="1:29" x14ac:dyDescent="0.35">
      <c r="A1094" s="3" t="s">
        <v>47</v>
      </c>
      <c r="B1094">
        <v>52046</v>
      </c>
      <c r="C1094" t="s">
        <v>51</v>
      </c>
      <c r="D1094">
        <v>53257</v>
      </c>
      <c r="E1094" t="s">
        <v>132</v>
      </c>
      <c r="F1094">
        <v>7139</v>
      </c>
      <c r="G1094">
        <v>0.34637090484843419</v>
      </c>
      <c r="H1094">
        <v>2.341483264419454E-200</v>
      </c>
      <c r="I1094">
        <v>1.2562243545615479E-199</v>
      </c>
      <c r="J1094">
        <v>0.34527094800163838</v>
      </c>
      <c r="K1094">
        <v>5.1293487225223313E-199</v>
      </c>
      <c r="L1094">
        <v>2.430448413382077E-198</v>
      </c>
      <c r="M1094">
        <v>0.23647682299994091</v>
      </c>
      <c r="N1094">
        <v>2.9812577851159219E-197</v>
      </c>
      <c r="O1094">
        <v>1.4464092794772939E-196</v>
      </c>
      <c r="P1094">
        <v>0.1199728037255231</v>
      </c>
      <c r="Q1094">
        <v>0.67160063596827824</v>
      </c>
      <c r="R1094">
        <v>8.4293757794720356</v>
      </c>
      <c r="S1094">
        <v>0.20944680871439911</v>
      </c>
      <c r="T1094">
        <v>0.1619802045668606</v>
      </c>
      <c r="U1094">
        <v>4.4222873134892842</v>
      </c>
      <c r="V1094">
        <v>0.1151559613407446</v>
      </c>
      <c r="W1094">
        <v>11.39938675164589</v>
      </c>
      <c r="X1094">
        <v>0.22328323710048531</v>
      </c>
      <c r="Z1094" t="s">
        <v>392</v>
      </c>
      <c r="AA1094">
        <v>140</v>
      </c>
      <c r="AB1094" t="s">
        <v>1485</v>
      </c>
      <c r="AC1094" t="str">
        <f>HYPERLINK("plots/20251231112652_3FT6Y119H04_05543_B21P_N_UFLEX98_M5358A8BA201511/dpll_52046/txpa_53257.png","plot")</f>
        <v>plot</v>
      </c>
    </row>
    <row r="1095" spans="1:29" x14ac:dyDescent="0.35">
      <c r="A1095" s="3" t="s">
        <v>47</v>
      </c>
      <c r="B1095">
        <v>52046</v>
      </c>
      <c r="C1095" t="s">
        <v>51</v>
      </c>
      <c r="D1095">
        <v>53258</v>
      </c>
      <c r="E1095" t="s">
        <v>133</v>
      </c>
      <c r="F1095">
        <v>7139</v>
      </c>
      <c r="G1095">
        <v>0.36539157832845409</v>
      </c>
      <c r="H1095">
        <v>2.0867095858989339E-224</v>
      </c>
      <c r="I1095">
        <v>2.0151652572395422E-223</v>
      </c>
      <c r="J1095">
        <v>0.35604695882498277</v>
      </c>
      <c r="K1095">
        <v>2.1969487716846761E-212</v>
      </c>
      <c r="L1095">
        <v>1.3181692630108059E-211</v>
      </c>
      <c r="M1095">
        <v>0.24384447471982529</v>
      </c>
      <c r="N1095">
        <v>1.3309033920882671E-209</v>
      </c>
      <c r="O1095">
        <v>8.1297351781777254E-209</v>
      </c>
      <c r="P1095">
        <v>0.13351100551335879</v>
      </c>
      <c r="Q1095">
        <v>0.69213010383870965</v>
      </c>
      <c r="R1095">
        <v>8.0263180908949803</v>
      </c>
      <c r="S1095">
        <v>0.20303304931951061</v>
      </c>
      <c r="T1095">
        <v>0.15677652324921801</v>
      </c>
      <c r="U1095">
        <v>4.4222873134892842</v>
      </c>
      <c r="V1095">
        <v>0.1151559613407446</v>
      </c>
      <c r="W1095">
        <v>11.08711626838493</v>
      </c>
      <c r="X1095">
        <v>0.21813011631256121</v>
      </c>
      <c r="Z1095" t="s">
        <v>392</v>
      </c>
      <c r="AA1095">
        <v>140</v>
      </c>
      <c r="AB1095" t="s">
        <v>1486</v>
      </c>
      <c r="AC1095" t="str">
        <f>HYPERLINK("plots/20251231112652_3FT6Y119H04_05543_B21P_N_UFLEX98_M5358A8BA201511/dpll_52046/txpa_53258.png","plot")</f>
        <v>plot</v>
      </c>
    </row>
    <row r="1096" spans="1:29" x14ac:dyDescent="0.35">
      <c r="A1096" s="3" t="s">
        <v>47</v>
      </c>
      <c r="B1096">
        <v>52046</v>
      </c>
      <c r="C1096" t="s">
        <v>51</v>
      </c>
      <c r="D1096">
        <v>53259</v>
      </c>
      <c r="E1096" t="s">
        <v>134</v>
      </c>
      <c r="F1096">
        <v>7139</v>
      </c>
      <c r="G1096">
        <v>0.3360132478542831</v>
      </c>
      <c r="H1096">
        <v>6.0244552592742778E-188</v>
      </c>
      <c r="I1096">
        <v>2.503605587255786E-187</v>
      </c>
      <c r="J1096">
        <v>0.3657796768482956</v>
      </c>
      <c r="K1096">
        <v>6.4771119270101204E-225</v>
      </c>
      <c r="L1096">
        <v>5.3834356508100507E-224</v>
      </c>
      <c r="M1096">
        <v>0.2502851158474344</v>
      </c>
      <c r="N1096">
        <v>1.042412949265064E-220</v>
      </c>
      <c r="O1096">
        <v>8.524247827054639E-220</v>
      </c>
      <c r="P1096">
        <v>0.1129049027335839</v>
      </c>
      <c r="Q1096">
        <v>0.65126087121217291</v>
      </c>
      <c r="R1096">
        <v>8.6359335266226154</v>
      </c>
      <c r="S1096">
        <v>0.2102033731773679</v>
      </c>
      <c r="T1096">
        <v>0.15643199746089831</v>
      </c>
      <c r="U1096">
        <v>4.4222873134892842</v>
      </c>
      <c r="V1096">
        <v>0.1151559613407446</v>
      </c>
      <c r="W1096">
        <v>11.515996215156189</v>
      </c>
      <c r="X1096">
        <v>0.2231952822900958</v>
      </c>
      <c r="Z1096" t="s">
        <v>392</v>
      </c>
      <c r="AA1096">
        <v>140</v>
      </c>
      <c r="AB1096" t="s">
        <v>1487</v>
      </c>
      <c r="AC1096" t="str">
        <f>HYPERLINK("plots/20251231112652_3FT6Y119H04_05543_B21P_N_UFLEX98_M5358A8BA201511/dpll_52046/txpa_53259.png","plot")</f>
        <v>plot</v>
      </c>
    </row>
    <row r="1097" spans="1:29" x14ac:dyDescent="0.35">
      <c r="A1097" s="3" t="s">
        <v>47</v>
      </c>
      <c r="B1097">
        <v>52046</v>
      </c>
      <c r="C1097" t="s">
        <v>51</v>
      </c>
      <c r="D1097">
        <v>53260</v>
      </c>
      <c r="E1097" t="s">
        <v>135</v>
      </c>
      <c r="F1097">
        <v>7139</v>
      </c>
      <c r="G1097">
        <v>0.28853392039268022</v>
      </c>
      <c r="H1097">
        <v>6.3624408533766063E-137</v>
      </c>
      <c r="I1097">
        <v>1.3844452844042661E-136</v>
      </c>
      <c r="J1097">
        <v>0.29376800648710699</v>
      </c>
      <c r="K1097">
        <v>4.3138409812572168E-142</v>
      </c>
      <c r="L1097">
        <v>1.136164871427226E-141</v>
      </c>
      <c r="M1097">
        <v>0.19803534513807561</v>
      </c>
      <c r="N1097">
        <v>6.0397611314226434E-139</v>
      </c>
      <c r="O1097">
        <v>1.59073189279547E-138</v>
      </c>
      <c r="P1097">
        <v>8.3251823217169493E-2</v>
      </c>
      <c r="Q1097">
        <v>0.64619634897314626</v>
      </c>
      <c r="R1097">
        <v>8.7723270016885593</v>
      </c>
      <c r="S1097">
        <v>0.24691567247123261</v>
      </c>
      <c r="T1097">
        <v>0.19499538669066371</v>
      </c>
      <c r="U1097">
        <v>4.4222873134892842</v>
      </c>
      <c r="V1097">
        <v>0.1151559613407446</v>
      </c>
      <c r="W1097">
        <v>11.629992917775599</v>
      </c>
      <c r="X1097">
        <v>0.2579016071303129</v>
      </c>
      <c r="Z1097" t="s">
        <v>392</v>
      </c>
      <c r="AA1097">
        <v>140</v>
      </c>
      <c r="AB1097" t="s">
        <v>1488</v>
      </c>
      <c r="AC1097" t="str">
        <f>HYPERLINK("plots/20251231112652_3FT6Y119H04_05543_B21P_N_UFLEX98_M5358A8BA201511/dpll_52046/txpa_53260.png","plot")</f>
        <v>plot</v>
      </c>
    </row>
    <row r="1098" spans="1:29" x14ac:dyDescent="0.35">
      <c r="A1098" s="3" t="s">
        <v>47</v>
      </c>
      <c r="B1098">
        <v>52046</v>
      </c>
      <c r="C1098" t="s">
        <v>51</v>
      </c>
      <c r="D1098">
        <v>53261</v>
      </c>
      <c r="E1098" t="s">
        <v>136</v>
      </c>
      <c r="F1098">
        <v>7139</v>
      </c>
      <c r="G1098">
        <v>0.36038585640572118</v>
      </c>
      <c r="H1098">
        <v>6.4538265737619663E-218</v>
      </c>
      <c r="I1098">
        <v>5.112640738902058E-217</v>
      </c>
      <c r="J1098">
        <v>0.38392670201458873</v>
      </c>
      <c r="K1098">
        <v>1.8021633140400119E-249</v>
      </c>
      <c r="L1098">
        <v>2.4365248005820961E-248</v>
      </c>
      <c r="M1098">
        <v>0.2636438843666345</v>
      </c>
      <c r="N1098">
        <v>1.152431512275924E-244</v>
      </c>
      <c r="O1098">
        <v>1.5375862545365611E-243</v>
      </c>
      <c r="P1098">
        <v>0.12987796549728511</v>
      </c>
      <c r="Q1098">
        <v>0.67086548249438271</v>
      </c>
      <c r="R1098">
        <v>8.7442383003420474</v>
      </c>
      <c r="S1098">
        <v>0.19994649614650059</v>
      </c>
      <c r="T1098">
        <v>0.15020076337121979</v>
      </c>
      <c r="U1098">
        <v>4.4222873134892842</v>
      </c>
      <c r="V1098">
        <v>0.1151559613407446</v>
      </c>
      <c r="W1098">
        <v>11.71099821263482</v>
      </c>
      <c r="X1098">
        <v>0.21436512613855371</v>
      </c>
      <c r="Z1098" t="s">
        <v>392</v>
      </c>
      <c r="AA1098">
        <v>140</v>
      </c>
      <c r="AB1098" t="s">
        <v>1489</v>
      </c>
      <c r="AC1098" t="str">
        <f>HYPERLINK("plots/20251231112652_3FT6Y119H04_05543_B21P_N_UFLEX98_M5358A8BA201511/dpll_52046/txpa_53261.png","plot")</f>
        <v>plot</v>
      </c>
    </row>
    <row r="1099" spans="1:29" x14ac:dyDescent="0.35">
      <c r="A1099" s="3" t="s">
        <v>47</v>
      </c>
      <c r="B1099">
        <v>52046</v>
      </c>
      <c r="C1099" t="s">
        <v>51</v>
      </c>
      <c r="D1099">
        <v>53262</v>
      </c>
      <c r="E1099" t="s">
        <v>137</v>
      </c>
      <c r="F1099">
        <v>7139</v>
      </c>
      <c r="G1099">
        <v>0.30580964448976122</v>
      </c>
      <c r="H1099">
        <v>2.1025594583715231E-154</v>
      </c>
      <c r="I1099">
        <v>5.6253173899438642E-154</v>
      </c>
      <c r="J1099">
        <v>0.30716836755065807</v>
      </c>
      <c r="K1099">
        <v>7.874956641714536E-156</v>
      </c>
      <c r="L1099">
        <v>2.441959032017902E-155</v>
      </c>
      <c r="M1099">
        <v>0.20833026786345279</v>
      </c>
      <c r="N1099">
        <v>1.4965584224042871E-153</v>
      </c>
      <c r="O1099">
        <v>4.6407040988316442E-153</v>
      </c>
      <c r="P1099">
        <v>9.3519538662954149E-2</v>
      </c>
      <c r="Q1099">
        <v>0.63941667777243805</v>
      </c>
      <c r="R1099">
        <v>8.8469048105527399</v>
      </c>
      <c r="S1099">
        <v>0.22922818285747501</v>
      </c>
      <c r="T1099">
        <v>0.18064511002530029</v>
      </c>
      <c r="U1099">
        <v>4.4222873134892842</v>
      </c>
      <c r="V1099">
        <v>0.1151559613407446</v>
      </c>
      <c r="W1099">
        <v>11.674589072699259</v>
      </c>
      <c r="X1099">
        <v>0.2407793330031994</v>
      </c>
      <c r="Z1099" t="s">
        <v>392</v>
      </c>
      <c r="AA1099">
        <v>140</v>
      </c>
      <c r="AB1099" t="s">
        <v>1490</v>
      </c>
      <c r="AC1099" t="str">
        <f>HYPERLINK("plots/20251231112652_3FT6Y119H04_05543_B21P_N_UFLEX98_M5358A8BA201511/dpll_52046/txpa_53262.png","plot")</f>
        <v>plot</v>
      </c>
    </row>
    <row r="1100" spans="1:29" x14ac:dyDescent="0.35">
      <c r="A1100" s="3" t="s">
        <v>47</v>
      </c>
      <c r="B1100">
        <v>52046</v>
      </c>
      <c r="C1100" t="s">
        <v>51</v>
      </c>
      <c r="D1100">
        <v>53263</v>
      </c>
      <c r="E1100" t="s">
        <v>138</v>
      </c>
      <c r="F1100">
        <v>7139</v>
      </c>
      <c r="G1100">
        <v>0.37404547002436489</v>
      </c>
      <c r="H1100">
        <v>6.6335480726824781E-236</v>
      </c>
      <c r="I1100">
        <v>9.6091682081429042E-235</v>
      </c>
      <c r="J1100">
        <v>0.37579402169653842</v>
      </c>
      <c r="K1100">
        <v>2.8537503921037779E-238</v>
      </c>
      <c r="L1100">
        <v>2.9229322197911419E-237</v>
      </c>
      <c r="M1100">
        <v>0.2581057966901415</v>
      </c>
      <c r="N1100">
        <v>1.3926228769817131E-234</v>
      </c>
      <c r="O1100">
        <v>1.4709579138119349E-233</v>
      </c>
      <c r="P1100">
        <v>0.13991001364574809</v>
      </c>
      <c r="Q1100">
        <v>0.69082625089125049</v>
      </c>
      <c r="R1100">
        <v>8.7794338511070329</v>
      </c>
      <c r="S1100">
        <v>0.19722973190144141</v>
      </c>
      <c r="T1100">
        <v>0.15087817654526051</v>
      </c>
      <c r="U1100">
        <v>4.4222873134892842</v>
      </c>
      <c r="V1100">
        <v>0.1151559613407446</v>
      </c>
      <c r="W1100">
        <v>11.834466016248779</v>
      </c>
      <c r="X1100">
        <v>0.2126820598458857</v>
      </c>
      <c r="Z1100" t="s">
        <v>392</v>
      </c>
      <c r="AA1100">
        <v>140</v>
      </c>
      <c r="AB1100" t="s">
        <v>1491</v>
      </c>
      <c r="AC1100" t="str">
        <f>HYPERLINK("plots/20251231112652_3FT6Y119H04_05543_B21P_N_UFLEX98_M5358A8BA201511/dpll_52046/txpa_53263.png","plot")</f>
        <v>plot</v>
      </c>
    </row>
    <row r="1101" spans="1:29" x14ac:dyDescent="0.35">
      <c r="A1101" s="3" t="s">
        <v>47</v>
      </c>
      <c r="B1101">
        <v>52046</v>
      </c>
      <c r="C1101" t="s">
        <v>51</v>
      </c>
      <c r="D1101">
        <v>53264</v>
      </c>
      <c r="E1101" t="s">
        <v>139</v>
      </c>
      <c r="F1101">
        <v>7139</v>
      </c>
      <c r="G1101">
        <v>0.33552066775779471</v>
      </c>
      <c r="H1101">
        <v>2.282101222638526E-187</v>
      </c>
      <c r="I1101">
        <v>9.368626071884477E-187</v>
      </c>
      <c r="J1101">
        <v>0.34779973412235471</v>
      </c>
      <c r="K1101">
        <v>4.1688236192801288E-202</v>
      </c>
      <c r="L1101">
        <v>2.0620425121707561E-201</v>
      </c>
      <c r="M1101">
        <v>0.2383306244673056</v>
      </c>
      <c r="N1101">
        <v>2.5261810869188411E-200</v>
      </c>
      <c r="O1101">
        <v>1.2937109202705581E-199</v>
      </c>
      <c r="P1101">
        <v>0.1125741184926365</v>
      </c>
      <c r="Q1101">
        <v>0.67340898752989597</v>
      </c>
      <c r="R1101">
        <v>8.7837111568136237</v>
      </c>
      <c r="S1101">
        <v>0.21771165651123769</v>
      </c>
      <c r="T1101">
        <v>0.16855318934926999</v>
      </c>
      <c r="U1101">
        <v>4.4222873134892842</v>
      </c>
      <c r="V1101">
        <v>0.1151559613407446</v>
      </c>
      <c r="W1101">
        <v>11.761719179156749</v>
      </c>
      <c r="X1101">
        <v>0.23112453802840621</v>
      </c>
      <c r="Z1101" t="s">
        <v>392</v>
      </c>
      <c r="AA1101">
        <v>140</v>
      </c>
      <c r="AB1101" t="s">
        <v>1492</v>
      </c>
      <c r="AC1101" t="str">
        <f>HYPERLINK("plots/20251231112652_3FT6Y119H04_05543_B21P_N_UFLEX98_M5358A8BA201511/dpll_52046/txpa_53264.png","plot")</f>
        <v>plot</v>
      </c>
    </row>
    <row r="1102" spans="1:29" x14ac:dyDescent="0.35">
      <c r="A1102" s="3" t="s">
        <v>47</v>
      </c>
      <c r="B1102">
        <v>52046</v>
      </c>
      <c r="C1102" t="s">
        <v>51</v>
      </c>
      <c r="D1102">
        <v>53265</v>
      </c>
      <c r="E1102" t="s">
        <v>140</v>
      </c>
      <c r="F1102">
        <v>7139</v>
      </c>
      <c r="G1102">
        <v>0.35062290833509357</v>
      </c>
      <c r="H1102">
        <v>1.368631267993897E-205</v>
      </c>
      <c r="I1102">
        <v>7.8978236039811663E-205</v>
      </c>
      <c r="J1102">
        <v>0.35058941851715991</v>
      </c>
      <c r="K1102">
        <v>1.505992527770828E-205</v>
      </c>
      <c r="L1102">
        <v>7.8311611444083051E-205</v>
      </c>
      <c r="M1102">
        <v>0.24041034617110141</v>
      </c>
      <c r="N1102">
        <v>8.4648068541058888E-204</v>
      </c>
      <c r="O1102">
        <v>4.5175337631912479E-203</v>
      </c>
      <c r="P1102">
        <v>0.12293642384935941</v>
      </c>
      <c r="Q1102">
        <v>0.67931883853219788</v>
      </c>
      <c r="R1102">
        <v>8.8493226728521108</v>
      </c>
      <c r="S1102">
        <v>0.20893197730301291</v>
      </c>
      <c r="T1102">
        <v>0.16078487504810299</v>
      </c>
      <c r="U1102">
        <v>4.4222873134892842</v>
      </c>
      <c r="V1102">
        <v>0.1151559613407446</v>
      </c>
      <c r="W1102">
        <v>11.853465754307329</v>
      </c>
      <c r="X1102">
        <v>0.2231103902466362</v>
      </c>
      <c r="Z1102" t="s">
        <v>392</v>
      </c>
      <c r="AA1102">
        <v>140</v>
      </c>
      <c r="AB1102" t="s">
        <v>1493</v>
      </c>
      <c r="AC1102" t="str">
        <f>HYPERLINK("plots/20251231112652_3FT6Y119H04_05543_B21P_N_UFLEX98_M5358A8BA201511/dpll_52046/txpa_53265.png","plot")</f>
        <v>plot</v>
      </c>
    </row>
    <row r="1103" spans="1:29" x14ac:dyDescent="0.35">
      <c r="A1103" s="3" t="s">
        <v>47</v>
      </c>
      <c r="B1103">
        <v>52046</v>
      </c>
      <c r="C1103" t="s">
        <v>51</v>
      </c>
      <c r="D1103">
        <v>53266</v>
      </c>
      <c r="E1103" t="s">
        <v>141</v>
      </c>
      <c r="F1103">
        <v>7139</v>
      </c>
      <c r="G1103">
        <v>0.3669815149523753</v>
      </c>
      <c r="H1103">
        <v>1.712047845186162E-226</v>
      </c>
      <c r="I1103">
        <v>1.808350536477884E-225</v>
      </c>
      <c r="J1103">
        <v>0.35853411311061539</v>
      </c>
      <c r="K1103">
        <v>1.518255374831266E-215</v>
      </c>
      <c r="L1103">
        <v>9.9968243511617126E-215</v>
      </c>
      <c r="M1103">
        <v>0.24580510024937641</v>
      </c>
      <c r="N1103">
        <v>5.940703465352462E-213</v>
      </c>
      <c r="O1103">
        <v>3.9630745485969718E-212</v>
      </c>
      <c r="P1103">
        <v>0.13467543231674051</v>
      </c>
      <c r="Q1103">
        <v>0.69684432923912709</v>
      </c>
      <c r="R1103">
        <v>8.4740820734002984</v>
      </c>
      <c r="S1103">
        <v>0.2033935161151762</v>
      </c>
      <c r="T1103">
        <v>0.15656293241663069</v>
      </c>
      <c r="U1103">
        <v>4.4222873134892842</v>
      </c>
      <c r="V1103">
        <v>0.1151559613407446</v>
      </c>
      <c r="W1103">
        <v>11.55572791007144</v>
      </c>
      <c r="X1103">
        <v>0.21866436147006441</v>
      </c>
      <c r="Z1103" t="s">
        <v>392</v>
      </c>
      <c r="AA1103">
        <v>140</v>
      </c>
      <c r="AB1103" t="s">
        <v>1494</v>
      </c>
      <c r="AC1103" t="str">
        <f>HYPERLINK("plots/20251231112652_3FT6Y119H04_05543_B21P_N_UFLEX98_M5358A8BA201511/dpll_52046/txpa_53266.png","plot")</f>
        <v>plot</v>
      </c>
    </row>
    <row r="1104" spans="1:29" x14ac:dyDescent="0.35">
      <c r="A1104" s="3" t="s">
        <v>47</v>
      </c>
      <c r="B1104">
        <v>52046</v>
      </c>
      <c r="C1104" t="s">
        <v>51</v>
      </c>
      <c r="D1104">
        <v>53267</v>
      </c>
      <c r="E1104" t="s">
        <v>142</v>
      </c>
      <c r="F1104">
        <v>7139</v>
      </c>
      <c r="G1104">
        <v>0.33692185026716681</v>
      </c>
      <c r="H1104">
        <v>5.1309000721578139E-189</v>
      </c>
      <c r="I1104">
        <v>2.167805280486676E-188</v>
      </c>
      <c r="J1104">
        <v>0.36999766095864711</v>
      </c>
      <c r="K1104">
        <v>1.753024219576595E-230</v>
      </c>
      <c r="L1104">
        <v>1.573067751018289E-229</v>
      </c>
      <c r="M1104">
        <v>0.25354326678781097</v>
      </c>
      <c r="N1104">
        <v>1.9487609111142521E-226</v>
      </c>
      <c r="O1104">
        <v>1.7643246105980809E-225</v>
      </c>
      <c r="P1104">
        <v>0.11351633318745109</v>
      </c>
      <c r="Q1104">
        <v>0.65767059046767518</v>
      </c>
      <c r="R1104">
        <v>9.0540740137739206</v>
      </c>
      <c r="S1104">
        <v>0.21162677795622281</v>
      </c>
      <c r="T1104">
        <v>0.15653607127005439</v>
      </c>
      <c r="U1104">
        <v>4.4222873134892842</v>
      </c>
      <c r="V1104">
        <v>0.1151559613407446</v>
      </c>
      <c r="W1104">
        <v>11.962482322454131</v>
      </c>
      <c r="X1104">
        <v>0.22478414217061141</v>
      </c>
      <c r="Z1104" t="s">
        <v>392</v>
      </c>
      <c r="AA1104">
        <v>140</v>
      </c>
      <c r="AB1104" t="s">
        <v>1495</v>
      </c>
      <c r="AC1104" t="str">
        <f>HYPERLINK("plots/20251231112652_3FT6Y119H04_05543_B21P_N_UFLEX98_M5358A8BA201511/dpll_52046/txpa_53267.png","plot")</f>
        <v>plot</v>
      </c>
    </row>
    <row r="1105" spans="1:29" x14ac:dyDescent="0.35">
      <c r="A1105" s="3" t="s">
        <v>47</v>
      </c>
      <c r="B1105">
        <v>52046</v>
      </c>
      <c r="C1105" t="s">
        <v>51</v>
      </c>
      <c r="D1105">
        <v>53268</v>
      </c>
      <c r="E1105" t="s">
        <v>143</v>
      </c>
      <c r="F1105">
        <v>7139</v>
      </c>
      <c r="G1105">
        <v>0.29409897663226209</v>
      </c>
      <c r="H1105">
        <v>2.015237436339485E-142</v>
      </c>
      <c r="I1105">
        <v>4.6975879550534202E-142</v>
      </c>
      <c r="J1105">
        <v>0.30084146899276931</v>
      </c>
      <c r="K1105">
        <v>2.979495704159599E-149</v>
      </c>
      <c r="L1105">
        <v>8.3922462333828718E-149</v>
      </c>
      <c r="M1105">
        <v>0.20303639534559309</v>
      </c>
      <c r="N1105">
        <v>5.9982830831234154E-146</v>
      </c>
      <c r="O1105">
        <v>1.694222575567449E-145</v>
      </c>
      <c r="P1105">
        <v>8.649420805614387E-2</v>
      </c>
      <c r="Q1105">
        <v>0.65367467357293874</v>
      </c>
      <c r="R1105">
        <v>9.1869903353869447</v>
      </c>
      <c r="S1105">
        <v>0.2446131521398926</v>
      </c>
      <c r="T1105">
        <v>0.1922406248334094</v>
      </c>
      <c r="U1105">
        <v>4.4222873134892842</v>
      </c>
      <c r="V1105">
        <v>0.1151559613407446</v>
      </c>
      <c r="W1105">
        <v>12.0777275514778</v>
      </c>
      <c r="X1105">
        <v>0.25594966803815711</v>
      </c>
      <c r="Z1105" t="s">
        <v>392</v>
      </c>
      <c r="AA1105">
        <v>140</v>
      </c>
      <c r="AB1105" t="s">
        <v>1496</v>
      </c>
      <c r="AC1105" t="str">
        <f>HYPERLINK("plots/20251231112652_3FT6Y119H04_05543_B21P_N_UFLEX98_M5358A8BA201511/dpll_52046/txpa_53268.png","plot")</f>
        <v>plot</v>
      </c>
    </row>
    <row r="1106" spans="1:29" x14ac:dyDescent="0.35">
      <c r="A1106" s="3" t="s">
        <v>47</v>
      </c>
      <c r="B1106">
        <v>52046</v>
      </c>
      <c r="C1106" t="s">
        <v>51</v>
      </c>
      <c r="D1106">
        <v>53269</v>
      </c>
      <c r="E1106" t="s">
        <v>144</v>
      </c>
      <c r="F1106">
        <v>7139</v>
      </c>
      <c r="G1106">
        <v>0.36230354453186309</v>
      </c>
      <c r="H1106">
        <v>2.1733361382047341E-220</v>
      </c>
      <c r="I1106">
        <v>1.8675956306267801E-219</v>
      </c>
      <c r="J1106">
        <v>0.3894606815913062</v>
      </c>
      <c r="K1106">
        <v>2.8207493473625562E-257</v>
      </c>
      <c r="L1106">
        <v>4.1452751278632337E-256</v>
      </c>
      <c r="M1106">
        <v>0.26817672417214738</v>
      </c>
      <c r="N1106">
        <v>4.4681430623282032E-253</v>
      </c>
      <c r="O1106">
        <v>6.8646925230315119E-252</v>
      </c>
      <c r="P1106">
        <v>0.13126385838035171</v>
      </c>
      <c r="Q1106">
        <v>0.67996216063142334</v>
      </c>
      <c r="R1106">
        <v>9.1403307615378964</v>
      </c>
      <c r="S1106">
        <v>0.20142441603286279</v>
      </c>
      <c r="T1106">
        <v>0.1501427267840959</v>
      </c>
      <c r="U1106">
        <v>4.4222873134892842</v>
      </c>
      <c r="V1106">
        <v>0.1151559613407446</v>
      </c>
      <c r="W1106">
        <v>12.147318798151</v>
      </c>
      <c r="X1106">
        <v>0.21612180577481219</v>
      </c>
      <c r="Z1106" t="s">
        <v>392</v>
      </c>
      <c r="AA1106">
        <v>140</v>
      </c>
      <c r="AB1106" t="s">
        <v>1497</v>
      </c>
      <c r="AC1106" t="str">
        <f>HYPERLINK("plots/20251231112652_3FT6Y119H04_05543_B21P_N_UFLEX98_M5358A8BA201511/dpll_52046/txpa_53269.png","plot")</f>
        <v>plot</v>
      </c>
    </row>
    <row r="1107" spans="1:29" x14ac:dyDescent="0.35">
      <c r="A1107" s="3" t="s">
        <v>47</v>
      </c>
      <c r="B1107">
        <v>52046</v>
      </c>
      <c r="C1107" t="s">
        <v>51</v>
      </c>
      <c r="D1107">
        <v>53270</v>
      </c>
      <c r="E1107" t="s">
        <v>145</v>
      </c>
      <c r="F1107">
        <v>7139</v>
      </c>
      <c r="G1107">
        <v>0.31223350696392049</v>
      </c>
      <c r="H1107">
        <v>3.243965738396688E-161</v>
      </c>
      <c r="I1107">
        <v>9.1882158065202268E-161</v>
      </c>
      <c r="J1107">
        <v>0.31529989514186529</v>
      </c>
      <c r="K1107">
        <v>1.5812414188521231E-164</v>
      </c>
      <c r="L1107">
        <v>5.3445959957201749E-164</v>
      </c>
      <c r="M1107">
        <v>0.21417370186305609</v>
      </c>
      <c r="N1107">
        <v>3.6002842133668218E-162</v>
      </c>
      <c r="O1107">
        <v>1.220965950620053E-161</v>
      </c>
      <c r="P1107">
        <v>9.7489762870988622E-2</v>
      </c>
      <c r="Q1107">
        <v>0.65030148903481244</v>
      </c>
      <c r="R1107">
        <v>9.2452883236063528</v>
      </c>
      <c r="S1107">
        <v>0.22783336045528729</v>
      </c>
      <c r="T1107">
        <v>0.17877085185423289</v>
      </c>
      <c r="U1107">
        <v>4.4222873134892842</v>
      </c>
      <c r="V1107">
        <v>0.1151559613407446</v>
      </c>
      <c r="W1107">
        <v>12.121108348508191</v>
      </c>
      <c r="X1107">
        <v>0.23984002825095521</v>
      </c>
      <c r="Z1107" t="s">
        <v>392</v>
      </c>
      <c r="AA1107">
        <v>140</v>
      </c>
      <c r="AB1107" t="s">
        <v>1498</v>
      </c>
      <c r="AC1107" t="str">
        <f>HYPERLINK("plots/20251231112652_3FT6Y119H04_05543_B21P_N_UFLEX98_M5358A8BA201511/dpll_52046/txpa_53270.png","plot")</f>
        <v>plot</v>
      </c>
    </row>
    <row r="1108" spans="1:29" x14ac:dyDescent="0.35">
      <c r="A1108" s="3" t="s">
        <v>47</v>
      </c>
      <c r="B1108">
        <v>52046</v>
      </c>
      <c r="C1108" t="s">
        <v>51</v>
      </c>
      <c r="D1108">
        <v>53271</v>
      </c>
      <c r="E1108" t="s">
        <v>146</v>
      </c>
      <c r="F1108">
        <v>7139</v>
      </c>
      <c r="G1108">
        <v>0.37627644679720318</v>
      </c>
      <c r="H1108">
        <v>6.3091254315724248E-239</v>
      </c>
      <c r="I1108">
        <v>1.0154687599388001E-237</v>
      </c>
      <c r="J1108">
        <v>0.38068462326049729</v>
      </c>
      <c r="K1108">
        <v>5.7399445877793121E-245</v>
      </c>
      <c r="L1108">
        <v>6.9289331095335978E-244</v>
      </c>
      <c r="M1108">
        <v>0.26211376159583238</v>
      </c>
      <c r="N1108">
        <v>7.3872256134015102E-242</v>
      </c>
      <c r="O1108">
        <v>8.6099388183783116E-241</v>
      </c>
      <c r="P1108">
        <v>0.14158396441432849</v>
      </c>
      <c r="Q1108">
        <v>0.70027776657556173</v>
      </c>
      <c r="R1108">
        <v>9.1738031433725507</v>
      </c>
      <c r="S1108">
        <v>0.1985492361716967</v>
      </c>
      <c r="T1108">
        <v>0.15078045611720811</v>
      </c>
      <c r="U1108">
        <v>4.4222873134892842</v>
      </c>
      <c r="V1108">
        <v>0.1151559613407446</v>
      </c>
      <c r="W1108">
        <v>12.270632626418269</v>
      </c>
      <c r="X1108">
        <v>0.21431359869043429</v>
      </c>
      <c r="Z1108" t="s">
        <v>392</v>
      </c>
      <c r="AA1108">
        <v>140</v>
      </c>
      <c r="AB1108" t="s">
        <v>1499</v>
      </c>
      <c r="AC1108" t="str">
        <f>HYPERLINK("plots/20251231112652_3FT6Y119H04_05543_B21P_N_UFLEX98_M5358A8BA201511/dpll_52046/txpa_53271.png","plot")</f>
        <v>plot</v>
      </c>
    </row>
    <row r="1109" spans="1:29" x14ac:dyDescent="0.35">
      <c r="A1109" s="3" t="s">
        <v>47</v>
      </c>
      <c r="B1109">
        <v>52046</v>
      </c>
      <c r="C1109" t="s">
        <v>51</v>
      </c>
      <c r="D1109">
        <v>53272</v>
      </c>
      <c r="E1109" t="s">
        <v>147</v>
      </c>
      <c r="F1109">
        <v>7139</v>
      </c>
      <c r="G1109">
        <v>0.34091391796226528</v>
      </c>
      <c r="H1109">
        <v>9.272492300455667E-194</v>
      </c>
      <c r="I1109">
        <v>4.2544376437384818E-193</v>
      </c>
      <c r="J1109">
        <v>0.35449886287145072</v>
      </c>
      <c r="K1109">
        <v>1.9711057547696312E-210</v>
      </c>
      <c r="L1109">
        <v>1.122865862548543E-209</v>
      </c>
      <c r="M1109">
        <v>0.24336293371383819</v>
      </c>
      <c r="N1109">
        <v>8.7691382502576757E-209</v>
      </c>
      <c r="O1109">
        <v>5.0810892490064478E-208</v>
      </c>
      <c r="P1109">
        <v>0.11622229946038209</v>
      </c>
      <c r="Q1109">
        <v>0.68291851867295217</v>
      </c>
      <c r="R1109">
        <v>9.1788407335485136</v>
      </c>
      <c r="S1109">
        <v>0.21684613382370571</v>
      </c>
      <c r="T1109">
        <v>0.1671561508505969</v>
      </c>
      <c r="U1109">
        <v>4.4222873134892842</v>
      </c>
      <c r="V1109">
        <v>0.1151559613407446</v>
      </c>
      <c r="W1109">
        <v>12.198902634822799</v>
      </c>
      <c r="X1109">
        <v>0.23068034008481211</v>
      </c>
      <c r="Z1109" t="s">
        <v>392</v>
      </c>
      <c r="AA1109">
        <v>140</v>
      </c>
      <c r="AB1109" t="s">
        <v>1500</v>
      </c>
      <c r="AC1109" t="str">
        <f>HYPERLINK("plots/20251231112652_3FT6Y119H04_05543_B21P_N_UFLEX98_M5358A8BA201511/dpll_52046/txpa_53272.png","plot")</f>
        <v>plot</v>
      </c>
    </row>
    <row r="1110" spans="1:29" x14ac:dyDescent="0.35">
      <c r="A1110" s="3" t="s">
        <v>47</v>
      </c>
      <c r="B1110">
        <v>52046</v>
      </c>
      <c r="C1110" t="s">
        <v>51</v>
      </c>
      <c r="D1110">
        <v>53273</v>
      </c>
      <c r="E1110" t="s">
        <v>148</v>
      </c>
      <c r="F1110">
        <v>7139</v>
      </c>
      <c r="G1110">
        <v>0.3556062002891438</v>
      </c>
      <c r="H1110">
        <v>7.9239661899346495E-212</v>
      </c>
      <c r="I1110">
        <v>5.4289876463471182E-211</v>
      </c>
      <c r="J1110">
        <v>0.35747415712898062</v>
      </c>
      <c r="K1110">
        <v>3.4019150197896811E-214</v>
      </c>
      <c r="L1110">
        <v>2.169523163563985E-213</v>
      </c>
      <c r="M1110">
        <v>0.24562721088113171</v>
      </c>
      <c r="N1110">
        <v>1.1993750426339809E-212</v>
      </c>
      <c r="O1110">
        <v>7.8971837222782901E-212</v>
      </c>
      <c r="P1110">
        <v>0.12645576968408259</v>
      </c>
      <c r="Q1110">
        <v>0.68852490567671598</v>
      </c>
      <c r="R1110">
        <v>9.2410257001584526</v>
      </c>
      <c r="S1110">
        <v>0.20837652230735049</v>
      </c>
      <c r="T1110">
        <v>0.15926838420022529</v>
      </c>
      <c r="U1110">
        <v>4.4222873134892842</v>
      </c>
      <c r="V1110">
        <v>0.1151559613407446</v>
      </c>
      <c r="W1110">
        <v>12.285880655553999</v>
      </c>
      <c r="X1110">
        <v>0.22296503085654529</v>
      </c>
      <c r="Z1110" t="s">
        <v>392</v>
      </c>
      <c r="AA1110">
        <v>140</v>
      </c>
      <c r="AB1110" t="s">
        <v>1501</v>
      </c>
      <c r="AC1110" t="str">
        <f>HYPERLINK("plots/20251231112652_3FT6Y119H04_05543_B21P_N_UFLEX98_M5358A8BA201511/dpll_52046/txpa_53273.png","plot")</f>
        <v>plot</v>
      </c>
    </row>
    <row r="1111" spans="1:29" x14ac:dyDescent="0.35">
      <c r="A1111" s="3" t="s">
        <v>47</v>
      </c>
      <c r="B1111">
        <v>52046</v>
      </c>
      <c r="C1111" t="s">
        <v>51</v>
      </c>
      <c r="D1111">
        <v>53274</v>
      </c>
      <c r="E1111" t="s">
        <v>149</v>
      </c>
      <c r="F1111">
        <v>7139</v>
      </c>
      <c r="G1111">
        <v>0.36834796444252171</v>
      </c>
      <c r="H1111">
        <v>2.6995953707614638E-228</v>
      </c>
      <c r="I1111">
        <v>3.0415441177245828E-227</v>
      </c>
      <c r="J1111">
        <v>0.36105759071087412</v>
      </c>
      <c r="K1111">
        <v>8.8229350527929126E-219</v>
      </c>
      <c r="L1111">
        <v>6.2562630374349739E-218</v>
      </c>
      <c r="M1111">
        <v>0.2477413307022869</v>
      </c>
      <c r="N1111">
        <v>2.7494032591435929E-216</v>
      </c>
      <c r="O1111">
        <v>2.020213699109857E-215</v>
      </c>
      <c r="P1111">
        <v>0.13568022290894921</v>
      </c>
      <c r="Q1111">
        <v>0.70136927038731445</v>
      </c>
      <c r="R1111">
        <v>8.9032057516711589</v>
      </c>
      <c r="S1111">
        <v>0.2038363767469584</v>
      </c>
      <c r="T1111">
        <v>0.1563371244190927</v>
      </c>
      <c r="U1111">
        <v>4.4222873134892842</v>
      </c>
      <c r="V1111">
        <v>0.1151559613407446</v>
      </c>
      <c r="W1111">
        <v>12.004862178176211</v>
      </c>
      <c r="X1111">
        <v>0.2192678129999846</v>
      </c>
      <c r="Z1111" t="s">
        <v>392</v>
      </c>
      <c r="AA1111">
        <v>140</v>
      </c>
      <c r="AB1111" t="s">
        <v>1502</v>
      </c>
      <c r="AC1111" t="str">
        <f>HYPERLINK("plots/20251231112652_3FT6Y119H04_05543_B21P_N_UFLEX98_M5358A8BA201511/dpll_52046/txpa_53274.png","plot")</f>
        <v>plot</v>
      </c>
    </row>
    <row r="1112" spans="1:29" x14ac:dyDescent="0.35">
      <c r="A1112" s="3" t="s">
        <v>47</v>
      </c>
      <c r="B1112">
        <v>52046</v>
      </c>
      <c r="C1112" t="s">
        <v>51</v>
      </c>
      <c r="D1112">
        <v>53275</v>
      </c>
      <c r="E1112" t="s">
        <v>150</v>
      </c>
      <c r="F1112">
        <v>7139</v>
      </c>
      <c r="G1112">
        <v>0.34143967007061049</v>
      </c>
      <c r="H1112">
        <v>2.1742241729456189E-194</v>
      </c>
      <c r="I1112">
        <v>1.025424795984585E-193</v>
      </c>
      <c r="J1112">
        <v>0.39316858569918273</v>
      </c>
      <c r="K1112">
        <v>1.3668418421189831E-262</v>
      </c>
      <c r="L1112">
        <v>2.2354477869494338E-261</v>
      </c>
      <c r="M1112">
        <v>0.27217861754301759</v>
      </c>
      <c r="N1112">
        <v>1.2745995591640531E-260</v>
      </c>
      <c r="O1112">
        <v>2.1905829711734741E-259</v>
      </c>
      <c r="P1112">
        <v>0.1165810482979273</v>
      </c>
      <c r="Q1112">
        <v>0.69258547986804997</v>
      </c>
      <c r="R1112">
        <v>10.30156620349233</v>
      </c>
      <c r="S1112">
        <v>0.21953247121470301</v>
      </c>
      <c r="T1112">
        <v>0.15710818140309921</v>
      </c>
      <c r="U1112">
        <v>4.4222873134892842</v>
      </c>
      <c r="V1112">
        <v>0.1151559613407446</v>
      </c>
      <c r="W1112">
        <v>13.364378184619691</v>
      </c>
      <c r="X1112">
        <v>0.2335854727376952</v>
      </c>
      <c r="Z1112" t="s">
        <v>392</v>
      </c>
      <c r="AA1112">
        <v>140</v>
      </c>
      <c r="AB1112" t="s">
        <v>1503</v>
      </c>
      <c r="AC1112" t="str">
        <f>HYPERLINK("plots/20251231112652_3FT6Y119H04_05543_B21P_N_UFLEX98_M5358A8BA201511/dpll_52046/txpa_53275.png","plot")</f>
        <v>plot</v>
      </c>
    </row>
    <row r="1113" spans="1:29" x14ac:dyDescent="0.35">
      <c r="A1113" s="3" t="s">
        <v>47</v>
      </c>
      <c r="B1113">
        <v>52046</v>
      </c>
      <c r="C1113" t="s">
        <v>51</v>
      </c>
      <c r="D1113">
        <v>53276</v>
      </c>
      <c r="E1113" t="s">
        <v>151</v>
      </c>
      <c r="F1113">
        <v>7139</v>
      </c>
      <c r="G1113">
        <v>0.3322513785142317</v>
      </c>
      <c r="H1113">
        <v>1.48074242242989E-183</v>
      </c>
      <c r="I1113">
        <v>5.6446346479094296E-183</v>
      </c>
      <c r="J1113">
        <v>0.35999309157670661</v>
      </c>
      <c r="K1113">
        <v>2.061357352278418E-217</v>
      </c>
      <c r="L1113">
        <v>1.421915887898174E-216</v>
      </c>
      <c r="M1113">
        <v>0.2464585061786552</v>
      </c>
      <c r="N1113">
        <v>4.4788174608178877E-214</v>
      </c>
      <c r="O1113">
        <v>3.0894700035845838E-213</v>
      </c>
      <c r="P1113">
        <v>0.1103909785246073</v>
      </c>
      <c r="Q1113">
        <v>0.70573430737481946</v>
      </c>
      <c r="R1113">
        <v>10.32491909344472</v>
      </c>
      <c r="S1113">
        <v>0.23069067180672129</v>
      </c>
      <c r="T1113">
        <v>0.17417267966243291</v>
      </c>
      <c r="U1113">
        <v>4.4222873134892842</v>
      </c>
      <c r="V1113">
        <v>0.1151559613407446</v>
      </c>
      <c r="W1113">
        <v>13.44587896764253</v>
      </c>
      <c r="X1113">
        <v>0.2446024843608309</v>
      </c>
      <c r="Z1113" t="s">
        <v>392</v>
      </c>
      <c r="AA1113">
        <v>140</v>
      </c>
      <c r="AB1113" t="s">
        <v>1504</v>
      </c>
      <c r="AC1113" t="str">
        <f>HYPERLINK("plots/20251231112652_3FT6Y119H04_05543_B21P_N_UFLEX98_M5358A8BA201511/dpll_52046/txpa_53276.png","plot")</f>
        <v>plot</v>
      </c>
    </row>
    <row r="1114" spans="1:29" x14ac:dyDescent="0.35">
      <c r="A1114" s="3" t="s">
        <v>47</v>
      </c>
      <c r="B1114">
        <v>52046</v>
      </c>
      <c r="C1114" t="s">
        <v>51</v>
      </c>
      <c r="D1114">
        <v>53277</v>
      </c>
      <c r="E1114" t="s">
        <v>152</v>
      </c>
      <c r="F1114">
        <v>7139</v>
      </c>
      <c r="G1114">
        <v>0.3719176394042909</v>
      </c>
      <c r="H1114">
        <v>4.8048306794215322E-233</v>
      </c>
      <c r="I1114">
        <v>6.0901228861667927E-232</v>
      </c>
      <c r="J1114">
        <v>0.42210770686340959</v>
      </c>
      <c r="K1114">
        <v>1.736706436035793E-306</v>
      </c>
      <c r="L1114">
        <v>1.174013550760196E-304</v>
      </c>
      <c r="M1114">
        <v>0.29643266890406278</v>
      </c>
      <c r="N1114">
        <v>0</v>
      </c>
      <c r="O1114">
        <v>4.9565291170010336E-307</v>
      </c>
      <c r="P1114">
        <v>0.13832273050006019</v>
      </c>
      <c r="Q1114">
        <v>0.73587782028654569</v>
      </c>
      <c r="R1114">
        <v>10.221960606496591</v>
      </c>
      <c r="S1114">
        <v>0.21148874546429491</v>
      </c>
      <c r="T1114">
        <v>0.15036727552095719</v>
      </c>
      <c r="U1114">
        <v>4.4222873134892842</v>
      </c>
      <c r="V1114">
        <v>0.1151559613407446</v>
      </c>
      <c r="W1114">
        <v>13.476223755427929</v>
      </c>
      <c r="X1114">
        <v>0.2278480739987489</v>
      </c>
      <c r="Z1114" t="s">
        <v>392</v>
      </c>
      <c r="AA1114">
        <v>140</v>
      </c>
      <c r="AB1114" t="s">
        <v>1505</v>
      </c>
      <c r="AC1114" t="str">
        <f>HYPERLINK("plots/20251231112652_3FT6Y119H04_05543_B21P_N_UFLEX98_M5358A8BA201511/dpll_52046/txpa_53277.png","plot")</f>
        <v>plot</v>
      </c>
    </row>
    <row r="1115" spans="1:29" x14ac:dyDescent="0.35">
      <c r="A1115" s="3" t="s">
        <v>47</v>
      </c>
      <c r="B1115">
        <v>52046</v>
      </c>
      <c r="C1115" t="s">
        <v>51</v>
      </c>
      <c r="D1115">
        <v>53278</v>
      </c>
      <c r="E1115" t="s">
        <v>153</v>
      </c>
      <c r="F1115">
        <v>7139</v>
      </c>
      <c r="G1115">
        <v>0.35120252209159653</v>
      </c>
      <c r="H1115">
        <v>2.609794002201272E-206</v>
      </c>
      <c r="I1115">
        <v>1.5658764013207631E-205</v>
      </c>
      <c r="J1115">
        <v>0.3730688752007526</v>
      </c>
      <c r="K1115">
        <v>1.370959250735081E-234</v>
      </c>
      <c r="L1115">
        <v>1.3628947845542861E-233</v>
      </c>
      <c r="M1115">
        <v>0.25717690520821662</v>
      </c>
      <c r="N1115">
        <v>6.514516484238241E-233</v>
      </c>
      <c r="O1115">
        <v>6.6057197150175765E-232</v>
      </c>
      <c r="P1115">
        <v>0.12334321152349829</v>
      </c>
      <c r="Q1115">
        <v>0.71971026028077212</v>
      </c>
      <c r="R1115">
        <v>10.294008165580539</v>
      </c>
      <c r="S1115">
        <v>0.2209382319145578</v>
      </c>
      <c r="T1115">
        <v>0.16762147068130201</v>
      </c>
      <c r="U1115">
        <v>4.4222873134892842</v>
      </c>
      <c r="V1115">
        <v>0.1151559613407446</v>
      </c>
      <c r="W1115">
        <v>13.476773719008261</v>
      </c>
      <c r="X1115">
        <v>0.23598613818557471</v>
      </c>
      <c r="Z1115" t="s">
        <v>392</v>
      </c>
      <c r="AA1115">
        <v>140</v>
      </c>
      <c r="AB1115" t="s">
        <v>1506</v>
      </c>
      <c r="AC1115" t="str">
        <f>HYPERLINK("plots/20251231112652_3FT6Y119H04_05543_B21P_N_UFLEX98_M5358A8BA201511/dpll_52046/txpa_53278.png","plot")</f>
        <v>plot</v>
      </c>
    </row>
    <row r="1116" spans="1:29" x14ac:dyDescent="0.35">
      <c r="A1116" s="3" t="s">
        <v>47</v>
      </c>
      <c r="B1116">
        <v>52046</v>
      </c>
      <c r="C1116" t="s">
        <v>51</v>
      </c>
      <c r="D1116">
        <v>53279</v>
      </c>
      <c r="E1116" t="s">
        <v>154</v>
      </c>
      <c r="F1116">
        <v>7139</v>
      </c>
      <c r="G1116">
        <v>0.38877226507126178</v>
      </c>
      <c r="H1116">
        <v>2.688875971828402E-256</v>
      </c>
      <c r="I1116">
        <v>7.1750532511421051E-255</v>
      </c>
      <c r="J1116">
        <v>0.41374855182880638</v>
      </c>
      <c r="K1116">
        <v>2.3374106347869831E-293</v>
      </c>
      <c r="L1116">
        <v>7.9004479455799996E-292</v>
      </c>
      <c r="M1116">
        <v>0.29041175839163619</v>
      </c>
      <c r="N1116">
        <v>2.0757453947022001E-296</v>
      </c>
      <c r="O1116">
        <v>7.0160194340934336E-295</v>
      </c>
      <c r="P1116">
        <v>0.1511438740886395</v>
      </c>
      <c r="Q1116">
        <v>0.75907753632641661</v>
      </c>
      <c r="R1116">
        <v>10.23314540590596</v>
      </c>
      <c r="S1116">
        <v>0.20713997244409579</v>
      </c>
      <c r="T1116">
        <v>0.1505202847013028</v>
      </c>
      <c r="U1116">
        <v>4.4222873134892842</v>
      </c>
      <c r="V1116">
        <v>0.1151559613407446</v>
      </c>
      <c r="W1116">
        <v>13.59000436475697</v>
      </c>
      <c r="X1116">
        <v>0.22484192233159919</v>
      </c>
      <c r="Z1116" t="s">
        <v>392</v>
      </c>
      <c r="AA1116">
        <v>140</v>
      </c>
      <c r="AB1116" t="s">
        <v>1507</v>
      </c>
      <c r="AC1116" t="str">
        <f>HYPERLINK("plots/20251231112652_3FT6Y119H04_05543_B21P_N_UFLEX98_M5358A8BA201511/dpll_52046/txpa_53279.png","plot")</f>
        <v>plot</v>
      </c>
    </row>
    <row r="1117" spans="1:29" x14ac:dyDescent="0.35">
      <c r="A1117" s="3" t="s">
        <v>47</v>
      </c>
      <c r="B1117">
        <v>52046</v>
      </c>
      <c r="C1117" t="s">
        <v>51</v>
      </c>
      <c r="D1117">
        <v>53280</v>
      </c>
      <c r="E1117" t="s">
        <v>155</v>
      </c>
      <c r="F1117">
        <v>7139</v>
      </c>
      <c r="G1117">
        <v>0.37092375841647562</v>
      </c>
      <c r="H1117">
        <v>1.02362346027486E-231</v>
      </c>
      <c r="I1117">
        <v>1.250547215323744E-230</v>
      </c>
      <c r="J1117">
        <v>0.39735542721553829</v>
      </c>
      <c r="K1117">
        <v>1.126825664191657E-268</v>
      </c>
      <c r="L1117">
        <v>2.197310045173732E-267</v>
      </c>
      <c r="M1117">
        <v>0.27724797887575819</v>
      </c>
      <c r="N1117">
        <v>2.437505147245403E-270</v>
      </c>
      <c r="O1117">
        <v>4.9432604386136777E-269</v>
      </c>
      <c r="P1117">
        <v>0.13758443455780389</v>
      </c>
      <c r="Q1117">
        <v>0.74502820015941829</v>
      </c>
      <c r="R1117">
        <v>10.22645625695119</v>
      </c>
      <c r="S1117">
        <v>0.2147842141631435</v>
      </c>
      <c r="T1117">
        <v>0.16040217743348029</v>
      </c>
      <c r="U1117">
        <v>4.4222873134892842</v>
      </c>
      <c r="V1117">
        <v>0.1151559613407446</v>
      </c>
      <c r="W1117">
        <v>13.521185014707941</v>
      </c>
      <c r="X1117">
        <v>0.231299388805912</v>
      </c>
      <c r="Z1117" t="s">
        <v>392</v>
      </c>
      <c r="AA1117">
        <v>140</v>
      </c>
      <c r="AB1117" t="s">
        <v>1508</v>
      </c>
      <c r="AC1117" t="str">
        <f>HYPERLINK("plots/20251231112652_3FT6Y119H04_05543_B21P_N_UFLEX98_M5358A8BA201511/dpll_52046/txpa_53280.png","plot")</f>
        <v>plot</v>
      </c>
    </row>
    <row r="1118" spans="1:29" x14ac:dyDescent="0.35">
      <c r="A1118" s="3" t="s">
        <v>47</v>
      </c>
      <c r="B1118">
        <v>52046</v>
      </c>
      <c r="C1118" t="s">
        <v>51</v>
      </c>
      <c r="D1118">
        <v>53281</v>
      </c>
      <c r="E1118" t="s">
        <v>156</v>
      </c>
      <c r="F1118">
        <v>7139</v>
      </c>
      <c r="G1118">
        <v>0.37940428012170729</v>
      </c>
      <c r="H1118">
        <v>3.3356902787369949E-243</v>
      </c>
      <c r="I1118">
        <v>5.9340174432268662E-242</v>
      </c>
      <c r="J1118">
        <v>0.40187603704414532</v>
      </c>
      <c r="K1118">
        <v>2.4177731684921909E-275</v>
      </c>
      <c r="L1118">
        <v>5.8371952210740033E-274</v>
      </c>
      <c r="M1118">
        <v>0.28087076941302941</v>
      </c>
      <c r="N1118">
        <v>2.15094218795527E-277</v>
      </c>
      <c r="O1118">
        <v>5.3196472648454718E-276</v>
      </c>
      <c r="P1118">
        <v>0.14394760777467089</v>
      </c>
      <c r="Q1118">
        <v>0.74627268173381456</v>
      </c>
      <c r="R1118">
        <v>10.290341451543689</v>
      </c>
      <c r="S1118">
        <v>0.20955667394422911</v>
      </c>
      <c r="T1118">
        <v>0.15308947519561161</v>
      </c>
      <c r="U1118">
        <v>4.4222873134892842</v>
      </c>
      <c r="V1118">
        <v>0.1151559613407446</v>
      </c>
      <c r="W1118">
        <v>13.590573664378759</v>
      </c>
      <c r="X1118">
        <v>0.2265070601202111</v>
      </c>
      <c r="Z1118" t="s">
        <v>392</v>
      </c>
      <c r="AA1118">
        <v>140</v>
      </c>
      <c r="AB1118" t="s">
        <v>1509</v>
      </c>
      <c r="AC1118" t="str">
        <f>HYPERLINK("plots/20251231112652_3FT6Y119H04_05543_B21P_N_UFLEX98_M5358A8BA201511/dpll_52046/txpa_53281.png","plot")</f>
        <v>plot</v>
      </c>
    </row>
    <row r="1119" spans="1:29" x14ac:dyDescent="0.35">
      <c r="A1119" s="3" t="s">
        <v>47</v>
      </c>
      <c r="B1119">
        <v>52046</v>
      </c>
      <c r="C1119" t="s">
        <v>51</v>
      </c>
      <c r="D1119">
        <v>53282</v>
      </c>
      <c r="E1119" t="s">
        <v>157</v>
      </c>
      <c r="F1119">
        <v>7139</v>
      </c>
      <c r="G1119">
        <v>0.3751659795572031</v>
      </c>
      <c r="H1119">
        <v>2.027842047372309E-237</v>
      </c>
      <c r="I1119">
        <v>3.1155027818720022E-236</v>
      </c>
      <c r="J1119">
        <v>0.37995004385467129</v>
      </c>
      <c r="K1119">
        <v>5.9170993859467477E-244</v>
      </c>
      <c r="L1119">
        <v>6.8964813532758647E-243</v>
      </c>
      <c r="M1119">
        <v>0.26269914074304102</v>
      </c>
      <c r="N1119">
        <v>6.2577904538361321E-243</v>
      </c>
      <c r="O1119">
        <v>7.3783715351044629E-242</v>
      </c>
      <c r="P1119">
        <v>0.14074951221711571</v>
      </c>
      <c r="Q1119">
        <v>0.72906053440756191</v>
      </c>
      <c r="R1119">
        <v>10.18663436186125</v>
      </c>
      <c r="S1119">
        <v>0.20742258393673049</v>
      </c>
      <c r="T1119">
        <v>0.15575447777714521</v>
      </c>
      <c r="U1119">
        <v>4.4222873134892842</v>
      </c>
      <c r="V1119">
        <v>0.1151559613407446</v>
      </c>
      <c r="W1119">
        <v>13.41074951393753</v>
      </c>
      <c r="X1119">
        <v>0.22378272895210299</v>
      </c>
      <c r="Z1119" t="s">
        <v>392</v>
      </c>
      <c r="AA1119">
        <v>140</v>
      </c>
      <c r="AB1119" t="s">
        <v>1510</v>
      </c>
      <c r="AC1119" t="str">
        <f>HYPERLINK("plots/20251231112652_3FT6Y119H04_05543_B21P_N_UFLEX98_M5358A8BA201511/dpll_52046/txpa_53282.png","plot")</f>
        <v>plot</v>
      </c>
    </row>
    <row r="1120" spans="1:29" x14ac:dyDescent="0.35">
      <c r="A1120" s="3" t="s">
        <v>47</v>
      </c>
      <c r="B1120">
        <v>52046</v>
      </c>
      <c r="C1120" t="s">
        <v>51</v>
      </c>
      <c r="D1120">
        <v>53283</v>
      </c>
      <c r="E1120" t="s">
        <v>158</v>
      </c>
      <c r="F1120">
        <v>7139</v>
      </c>
      <c r="G1120">
        <v>0.34594847976387882</v>
      </c>
      <c r="H1120">
        <v>7.6729325082815459E-200</v>
      </c>
      <c r="I1120">
        <v>4.0949229281039411E-199</v>
      </c>
      <c r="J1120">
        <v>0.40842182806721328</v>
      </c>
      <c r="K1120">
        <v>3.4824789042589087E-285</v>
      </c>
      <c r="L1120">
        <v>9.292720023469825E-284</v>
      </c>
      <c r="M1120">
        <v>0.2851067249425232</v>
      </c>
      <c r="N1120">
        <v>9.2886770144430254E-286</v>
      </c>
      <c r="O1120">
        <v>2.478610129643481E-284</v>
      </c>
      <c r="P1120">
        <v>0.1196803506509389</v>
      </c>
      <c r="Q1120">
        <v>0.71984387797170746</v>
      </c>
      <c r="R1120">
        <v>10.637930798266449</v>
      </c>
      <c r="S1120">
        <v>0.22480351261945961</v>
      </c>
      <c r="T1120">
        <v>0.15772710287731351</v>
      </c>
      <c r="U1120">
        <v>4.4222873134892842</v>
      </c>
      <c r="V1120">
        <v>0.1151559613407446</v>
      </c>
      <c r="W1120">
        <v>13.821287247513659</v>
      </c>
      <c r="X1120">
        <v>0.2396146207656692</v>
      </c>
      <c r="Z1120" t="s">
        <v>392</v>
      </c>
      <c r="AA1120">
        <v>140</v>
      </c>
      <c r="AB1120" t="s">
        <v>1511</v>
      </c>
      <c r="AC1120" t="str">
        <f>HYPERLINK("plots/20251231112652_3FT6Y119H04_05543_B21P_N_UFLEX98_M5358A8BA201511/dpll_52046/txpa_53283.png","plot")</f>
        <v>plot</v>
      </c>
    </row>
    <row r="1121" spans="1:29" x14ac:dyDescent="0.35">
      <c r="A1121" s="3" t="s">
        <v>47</v>
      </c>
      <c r="B1121">
        <v>52046</v>
      </c>
      <c r="C1121" t="s">
        <v>51</v>
      </c>
      <c r="D1121">
        <v>53284</v>
      </c>
      <c r="E1121" t="s">
        <v>159</v>
      </c>
      <c r="F1121">
        <v>7139</v>
      </c>
      <c r="G1121">
        <v>0.35512272911458459</v>
      </c>
      <c r="H1121">
        <v>3.2287392774902462E-211</v>
      </c>
      <c r="I1121">
        <v>2.182627751583406E-210</v>
      </c>
      <c r="J1121">
        <v>0.40162339598281183</v>
      </c>
      <c r="K1121">
        <v>5.7390395730233312E-275</v>
      </c>
      <c r="L1121">
        <v>1.3225877561467399E-273</v>
      </c>
      <c r="M1121">
        <v>0.27919145411857599</v>
      </c>
      <c r="N1121">
        <v>4.1084182112243219E-274</v>
      </c>
      <c r="O1121">
        <v>9.2576357026254729E-273</v>
      </c>
      <c r="P1121">
        <v>0.12611215273379059</v>
      </c>
      <c r="Q1121">
        <v>0.74598385827402658</v>
      </c>
      <c r="R1121">
        <v>10.572390008966179</v>
      </c>
      <c r="S1121">
        <v>0.22611783399595389</v>
      </c>
      <c r="T1121">
        <v>0.16534682818054169</v>
      </c>
      <c r="U1121">
        <v>4.4222873134892842</v>
      </c>
      <c r="V1121">
        <v>0.1151559613407446</v>
      </c>
      <c r="W1121">
        <v>13.871344961479201</v>
      </c>
      <c r="X1121">
        <v>0.24190084526103431</v>
      </c>
      <c r="Z1121" t="s">
        <v>392</v>
      </c>
      <c r="AA1121">
        <v>140</v>
      </c>
      <c r="AB1121" t="s">
        <v>1512</v>
      </c>
      <c r="AC1121" t="str">
        <f>HYPERLINK("plots/20251231112652_3FT6Y119H04_05543_B21P_N_UFLEX98_M5358A8BA201511/dpll_52046/txpa_53284.png","plot")</f>
        <v>plot</v>
      </c>
    </row>
    <row r="1122" spans="1:29" x14ac:dyDescent="0.35">
      <c r="A1122" s="3" t="s">
        <v>47</v>
      </c>
      <c r="B1122">
        <v>52046</v>
      </c>
      <c r="C1122" t="s">
        <v>51</v>
      </c>
      <c r="D1122">
        <v>53285</v>
      </c>
      <c r="E1122" t="s">
        <v>160</v>
      </c>
      <c r="F1122">
        <v>7139</v>
      </c>
      <c r="G1122">
        <v>0.37746559043666628</v>
      </c>
      <c r="H1122">
        <v>1.512053372838497E-240</v>
      </c>
      <c r="I1122">
        <v>2.5553702000970602E-239</v>
      </c>
      <c r="J1122">
        <v>0.43838212449974129</v>
      </c>
      <c r="K1122">
        <v>0</v>
      </c>
      <c r="L1122">
        <v>0</v>
      </c>
      <c r="M1122">
        <v>0.31176805193433732</v>
      </c>
      <c r="N1122">
        <v>0</v>
      </c>
      <c r="O1122">
        <v>0</v>
      </c>
      <c r="P1122">
        <v>0.14248027196370111</v>
      </c>
      <c r="Q1122">
        <v>0.77481538451130882</v>
      </c>
      <c r="R1122">
        <v>10.46168094206045</v>
      </c>
      <c r="S1122">
        <v>0.2188763983984425</v>
      </c>
      <c r="T1122">
        <v>0.1521290776811971</v>
      </c>
      <c r="U1122">
        <v>4.4222873134892842</v>
      </c>
      <c r="V1122">
        <v>0.1151559613407446</v>
      </c>
      <c r="W1122">
        <v>13.88813718728113</v>
      </c>
      <c r="X1122">
        <v>0.2363781301542747</v>
      </c>
      <c r="Z1122" t="s">
        <v>392</v>
      </c>
      <c r="AA1122">
        <v>140</v>
      </c>
      <c r="AB1122" t="s">
        <v>1513</v>
      </c>
      <c r="AC1122" t="str">
        <f>HYPERLINK("plots/20251231112652_3FT6Y119H04_05543_B21P_N_UFLEX98_M5358A8BA201511/dpll_52046/txpa_53285.png","plot")</f>
        <v>plot</v>
      </c>
    </row>
    <row r="1123" spans="1:29" x14ac:dyDescent="0.35">
      <c r="A1123" s="3" t="s">
        <v>47</v>
      </c>
      <c r="B1123">
        <v>52046</v>
      </c>
      <c r="C1123" t="s">
        <v>51</v>
      </c>
      <c r="D1123">
        <v>53286</v>
      </c>
      <c r="E1123" t="s">
        <v>161</v>
      </c>
      <c r="F1123">
        <v>7139</v>
      </c>
      <c r="G1123">
        <v>0.37336047041492232</v>
      </c>
      <c r="H1123">
        <v>5.5562266160758453E-235</v>
      </c>
      <c r="I1123">
        <v>7.7178271078094618E-234</v>
      </c>
      <c r="J1123">
        <v>0.40924415207884451</v>
      </c>
      <c r="K1123">
        <v>1.949116399656986E-286</v>
      </c>
      <c r="L1123">
        <v>5.646868655006241E-285</v>
      </c>
      <c r="M1123">
        <v>0.28610217859042419</v>
      </c>
      <c r="N1123">
        <v>9.6487211267501228E-288</v>
      </c>
      <c r="O1123">
        <v>2.7177231173679508E-286</v>
      </c>
      <c r="P1123">
        <v>0.13939804086845201</v>
      </c>
      <c r="Q1123">
        <v>0.7679621172754667</v>
      </c>
      <c r="R1123">
        <v>10.49734908416716</v>
      </c>
      <c r="S1123">
        <v>0.21971951590620939</v>
      </c>
      <c r="T1123">
        <v>0.16239686110329651</v>
      </c>
      <c r="U1123">
        <v>4.4222873134892842</v>
      </c>
      <c r="V1123">
        <v>0.1151559613407446</v>
      </c>
      <c r="W1123">
        <v>13.893498212634819</v>
      </c>
      <c r="X1123">
        <v>0.2368633610029742</v>
      </c>
      <c r="Z1123" t="s">
        <v>392</v>
      </c>
      <c r="AA1123">
        <v>140</v>
      </c>
      <c r="AB1123" t="s">
        <v>1514</v>
      </c>
      <c r="AC1123" t="str">
        <f>HYPERLINK("plots/20251231112652_3FT6Y119H04_05543_B21P_N_UFLEX98_M5358A8BA201511/dpll_52046/txpa_53286.png","plot")</f>
        <v>plot</v>
      </c>
    </row>
    <row r="1124" spans="1:29" x14ac:dyDescent="0.35">
      <c r="A1124" s="3" t="s">
        <v>47</v>
      </c>
      <c r="B1124">
        <v>52046</v>
      </c>
      <c r="C1124" t="s">
        <v>51</v>
      </c>
      <c r="D1124">
        <v>53287</v>
      </c>
      <c r="E1124" t="s">
        <v>162</v>
      </c>
      <c r="F1124">
        <v>7139</v>
      </c>
      <c r="G1124">
        <v>0.39564349953920358</v>
      </c>
      <c r="H1124">
        <v>3.5489908840206363E-266</v>
      </c>
      <c r="I1124">
        <v>1.7993383781984619E-264</v>
      </c>
      <c r="J1124">
        <v>0.43126474892653288</v>
      </c>
      <c r="K1124">
        <v>0</v>
      </c>
      <c r="L1124">
        <v>0</v>
      </c>
      <c r="M1124">
        <v>0.30663825805279771</v>
      </c>
      <c r="N1124">
        <v>0</v>
      </c>
      <c r="O1124">
        <v>0</v>
      </c>
      <c r="P1124">
        <v>0.1565337787276278</v>
      </c>
      <c r="Q1124">
        <v>0.79849754339827794</v>
      </c>
      <c r="R1124">
        <v>10.461178436133199</v>
      </c>
      <c r="S1124">
        <v>0.21343193572167651</v>
      </c>
      <c r="T1124">
        <v>0.15179903488401841</v>
      </c>
      <c r="U1124">
        <v>4.4222873134892842</v>
      </c>
      <c r="V1124">
        <v>0.1151559613407446</v>
      </c>
      <c r="W1124">
        <v>13.992363992155759</v>
      </c>
      <c r="X1124">
        <v>0.2324106230617857</v>
      </c>
      <c r="Z1124" t="s">
        <v>392</v>
      </c>
      <c r="AA1124">
        <v>140</v>
      </c>
      <c r="AB1124" t="s">
        <v>1515</v>
      </c>
      <c r="AC1124" t="str">
        <f>HYPERLINK("plots/20251231112652_3FT6Y119H04_05543_B21P_N_UFLEX98_M5358A8BA201511/dpll_52046/txpa_53287.png","plot")</f>
        <v>plot</v>
      </c>
    </row>
    <row r="1125" spans="1:29" x14ac:dyDescent="0.35">
      <c r="A1125" s="3" t="s">
        <v>47</v>
      </c>
      <c r="B1125">
        <v>52046</v>
      </c>
      <c r="C1125" t="s">
        <v>51</v>
      </c>
      <c r="D1125">
        <v>53288</v>
      </c>
      <c r="E1125" t="s">
        <v>163</v>
      </c>
      <c r="F1125">
        <v>7139</v>
      </c>
      <c r="G1125">
        <v>0.38634702553568429</v>
      </c>
      <c r="H1125">
        <v>7.2540779129682115E-253</v>
      </c>
      <c r="I1125">
        <v>1.634585556388837E-251</v>
      </c>
      <c r="J1125">
        <v>0.42181594897397551</v>
      </c>
      <c r="K1125">
        <v>5.0614577392873253E-306</v>
      </c>
      <c r="L1125">
        <v>3.0190106750807931E-304</v>
      </c>
      <c r="M1125">
        <v>0.29821423556839588</v>
      </c>
      <c r="N1125">
        <v>0</v>
      </c>
      <c r="O1125">
        <v>0</v>
      </c>
      <c r="P1125">
        <v>0.14926402414027071</v>
      </c>
      <c r="Q1125">
        <v>0.78838072699031769</v>
      </c>
      <c r="R1125">
        <v>10.436360678484711</v>
      </c>
      <c r="S1125">
        <v>0.2167264070623133</v>
      </c>
      <c r="T1125">
        <v>0.15816236121044219</v>
      </c>
      <c r="U1125">
        <v>4.4222873134892842</v>
      </c>
      <c r="V1125">
        <v>0.1151559613407446</v>
      </c>
      <c r="W1125">
        <v>13.92280676565345</v>
      </c>
      <c r="X1125">
        <v>0.23498754880591111</v>
      </c>
      <c r="Z1125" t="s">
        <v>392</v>
      </c>
      <c r="AA1125">
        <v>140</v>
      </c>
      <c r="AB1125" t="s">
        <v>1516</v>
      </c>
      <c r="AC1125" t="str">
        <f>HYPERLINK("plots/20251231112652_3FT6Y119H04_05543_B21P_N_UFLEX98_M5358A8BA201511/dpll_52046/txpa_53288.png","plot")</f>
        <v>plot</v>
      </c>
    </row>
    <row r="1126" spans="1:29" x14ac:dyDescent="0.35">
      <c r="A1126" s="3" t="s">
        <v>47</v>
      </c>
      <c r="B1126">
        <v>52046</v>
      </c>
      <c r="C1126" t="s">
        <v>51</v>
      </c>
      <c r="D1126">
        <v>53289</v>
      </c>
      <c r="E1126" t="s">
        <v>164</v>
      </c>
      <c r="F1126">
        <v>7139</v>
      </c>
      <c r="G1126">
        <v>0.38939314113023082</v>
      </c>
      <c r="H1126">
        <v>3.5199636888775487E-257</v>
      </c>
      <c r="I1126">
        <v>9.914564390338429E-256</v>
      </c>
      <c r="J1126">
        <v>0.42318858626122319</v>
      </c>
      <c r="K1126">
        <v>3.2710905226105638E-308</v>
      </c>
      <c r="L1126">
        <v>2.7640714916059261E-306</v>
      </c>
      <c r="M1126">
        <v>0.29950248998416201</v>
      </c>
      <c r="N1126">
        <v>0</v>
      </c>
      <c r="O1126">
        <v>0</v>
      </c>
      <c r="P1126">
        <v>0.15162701835926781</v>
      </c>
      <c r="Q1126">
        <v>0.78513380125110777</v>
      </c>
      <c r="R1126">
        <v>10.51332858408529</v>
      </c>
      <c r="S1126">
        <v>0.21384780550276641</v>
      </c>
      <c r="T1126">
        <v>0.1523183564328561</v>
      </c>
      <c r="U1126">
        <v>4.4222873134892842</v>
      </c>
      <c r="V1126">
        <v>0.1151559613407446</v>
      </c>
      <c r="W1126">
        <v>13.98541583274968</v>
      </c>
      <c r="X1126">
        <v>0.23218908633510391</v>
      </c>
      <c r="Z1126" t="s">
        <v>392</v>
      </c>
      <c r="AA1126">
        <v>140</v>
      </c>
      <c r="AB1126" t="s">
        <v>1517</v>
      </c>
      <c r="AC1126" t="str">
        <f>HYPERLINK("plots/20251231112652_3FT6Y119H04_05543_B21P_N_UFLEX98_M5358A8BA201511/dpll_52046/txpa_53289.png","plot")</f>
        <v>plot</v>
      </c>
    </row>
    <row r="1127" spans="1:29" x14ac:dyDescent="0.35">
      <c r="A1127" s="3" t="s">
        <v>47</v>
      </c>
      <c r="B1127">
        <v>52046</v>
      </c>
      <c r="C1127" t="s">
        <v>51</v>
      </c>
      <c r="D1127">
        <v>53290</v>
      </c>
      <c r="E1127" t="s">
        <v>165</v>
      </c>
      <c r="F1127">
        <v>7139</v>
      </c>
      <c r="G1127">
        <v>0.38063810240965079</v>
      </c>
      <c r="H1127">
        <v>6.6550485023246628E-245</v>
      </c>
      <c r="I1127">
        <v>1.226948942064947E-243</v>
      </c>
      <c r="J1127">
        <v>0.39547733360034482</v>
      </c>
      <c r="K1127">
        <v>6.1916601239341609E-266</v>
      </c>
      <c r="L1127">
        <v>1.082472994080903E-264</v>
      </c>
      <c r="M1127">
        <v>0.27547031641984759</v>
      </c>
      <c r="N1127">
        <v>6.5303772145862939E-267</v>
      </c>
      <c r="O1127">
        <v>1.161719736068509E-265</v>
      </c>
      <c r="P1127">
        <v>0.14488536500601981</v>
      </c>
      <c r="Q1127">
        <v>0.75360738032071217</v>
      </c>
      <c r="R1127">
        <v>10.53194291874491</v>
      </c>
      <c r="S1127">
        <v>0.2108147817295111</v>
      </c>
      <c r="T1127">
        <v>0.15573639370070949</v>
      </c>
      <c r="U1127">
        <v>4.4222873134892842</v>
      </c>
      <c r="V1127">
        <v>0.1151559613407446</v>
      </c>
      <c r="W1127">
        <v>13.864611276089089</v>
      </c>
      <c r="X1127">
        <v>0.22799184265823899</v>
      </c>
      <c r="Z1127" t="s">
        <v>392</v>
      </c>
      <c r="AA1127">
        <v>140</v>
      </c>
      <c r="AB1127" t="s">
        <v>1518</v>
      </c>
      <c r="AC1127" t="str">
        <f>HYPERLINK("plots/20251231112652_3FT6Y119H04_05543_B21P_N_UFLEX98_M5358A8BA201511/dpll_52046/txpa_53290.png","plot")</f>
        <v>plot</v>
      </c>
    </row>
    <row r="1128" spans="1:29" hidden="1" x14ac:dyDescent="0.35">
      <c r="A1128" s="3" t="s">
        <v>47</v>
      </c>
      <c r="B1128">
        <v>52046</v>
      </c>
      <c r="C1128" t="s">
        <v>51</v>
      </c>
      <c r="D1128">
        <v>54146</v>
      </c>
      <c r="E1128" t="s">
        <v>166</v>
      </c>
      <c r="F1128">
        <v>7139</v>
      </c>
      <c r="G1128">
        <v>-9.3822496906399815E-3</v>
      </c>
      <c r="H1128">
        <v>0.42800547127316252</v>
      </c>
      <c r="I1128">
        <v>0.42842798407797311</v>
      </c>
      <c r="J1128">
        <v>-4.5610363222207189E-3</v>
      </c>
      <c r="K1128">
        <v>0.70000897293163988</v>
      </c>
      <c r="L1128">
        <v>0.70000897293163988</v>
      </c>
      <c r="M1128">
        <v>-2.9665744838923468E-3</v>
      </c>
      <c r="N1128">
        <v>0.70700596100260626</v>
      </c>
      <c r="O1128">
        <v>0.70700596100260626</v>
      </c>
      <c r="P1128">
        <v>8.8026609257514028E-5</v>
      </c>
      <c r="Q1128">
        <v>-0.37204835744454962</v>
      </c>
      <c r="R1128">
        <v>-9.7881421745975352</v>
      </c>
      <c r="S1128">
        <v>4.5659304863506378</v>
      </c>
      <c r="T1128">
        <v>3.465784982699383</v>
      </c>
      <c r="U1128">
        <v>4.4222873134892842</v>
      </c>
      <c r="V1128">
        <v>0.1151559613407446</v>
      </c>
      <c r="W1128">
        <v>-11.43344690572909</v>
      </c>
      <c r="X1128">
        <v>4.5664512968050834</v>
      </c>
      <c r="Z1128" t="s">
        <v>392</v>
      </c>
      <c r="AA1128">
        <v>140</v>
      </c>
      <c r="AB1128" t="s">
        <v>1519</v>
      </c>
      <c r="AC1128" t="str">
        <f>HYPERLINK("plots/20251231112652_3FT6Y119H04_05543_B21P_N_UFLEX98_M5358A8BA201511/dpll_52046/txpa_54146.png","plot")</f>
        <v>plot</v>
      </c>
    </row>
    <row r="1129" spans="1:29" x14ac:dyDescent="0.35">
      <c r="A1129" s="3" t="s">
        <v>47</v>
      </c>
      <c r="B1129">
        <v>52046</v>
      </c>
      <c r="C1129" t="s">
        <v>51</v>
      </c>
      <c r="D1129">
        <v>54147</v>
      </c>
      <c r="E1129" t="s">
        <v>167</v>
      </c>
      <c r="F1129">
        <v>7139</v>
      </c>
      <c r="G1129">
        <v>0.1240867677056407</v>
      </c>
      <c r="H1129">
        <v>6.7489724383373571E-26</v>
      </c>
      <c r="I1129">
        <v>7.0189313358708511E-26</v>
      </c>
      <c r="J1129">
        <v>0.10825777464624869</v>
      </c>
      <c r="K1129">
        <v>4.6283198990125108E-20</v>
      </c>
      <c r="L1129">
        <v>4.7501177910917878E-20</v>
      </c>
      <c r="M1129">
        <v>7.1767855438643072E-2</v>
      </c>
      <c r="N1129">
        <v>9.9006249767447312E-20</v>
      </c>
      <c r="O1129">
        <v>1.014064012769612E-19</v>
      </c>
      <c r="P1129">
        <v>1.5397525919633641E-2</v>
      </c>
      <c r="Q1129">
        <v>0.93171864736028542</v>
      </c>
      <c r="R1129">
        <v>-23.509948068040391</v>
      </c>
      <c r="S1129">
        <v>0.85791800625011394</v>
      </c>
      <c r="T1129">
        <v>0.65583401776414185</v>
      </c>
      <c r="U1129">
        <v>4.4222873134892842</v>
      </c>
      <c r="V1129">
        <v>0.1151559613407446</v>
      </c>
      <c r="W1129">
        <v>-19.389620514077599</v>
      </c>
      <c r="X1129">
        <v>0.86466074118710867</v>
      </c>
      <c r="Z1129" t="s">
        <v>392</v>
      </c>
      <c r="AA1129">
        <v>140</v>
      </c>
      <c r="AB1129" t="s">
        <v>1520</v>
      </c>
      <c r="AC1129" t="str">
        <f>HYPERLINK("plots/20251231112652_3FT6Y119H04_05543_B21P_N_UFLEX98_M5358A8BA201511/dpll_52046/txpa_54147.png","plot")</f>
        <v>plot</v>
      </c>
    </row>
    <row r="1130" spans="1:29" x14ac:dyDescent="0.35">
      <c r="A1130" s="3" t="s">
        <v>47</v>
      </c>
      <c r="B1130">
        <v>52046</v>
      </c>
      <c r="C1130" t="s">
        <v>51</v>
      </c>
      <c r="D1130">
        <v>54148</v>
      </c>
      <c r="E1130" t="s">
        <v>168</v>
      </c>
      <c r="F1130">
        <v>7131</v>
      </c>
      <c r="G1130">
        <v>0.1313986516993656</v>
      </c>
      <c r="H1130">
        <v>7.8000581366110907E-29</v>
      </c>
      <c r="I1130">
        <v>8.2302382419600903E-29</v>
      </c>
      <c r="J1130">
        <v>0.1259350284200883</v>
      </c>
      <c r="K1130">
        <v>1.3286364398825359E-26</v>
      </c>
      <c r="L1130">
        <v>1.4136803253314701E-26</v>
      </c>
      <c r="M1130">
        <v>8.3594977009656277E-2</v>
      </c>
      <c r="N1130">
        <v>3.6278463579854539E-26</v>
      </c>
      <c r="O1130">
        <v>3.860058979010756E-26</v>
      </c>
      <c r="P1130">
        <v>1.7265605668411201E-2</v>
      </c>
      <c r="Q1130">
        <v>0.78877821705573425</v>
      </c>
      <c r="R1130">
        <v>-22.38509730153897</v>
      </c>
      <c r="S1130">
        <v>0.68523900554271178</v>
      </c>
      <c r="T1130">
        <v>0.52164915243036414</v>
      </c>
      <c r="U1130">
        <v>4.4222487624456601</v>
      </c>
      <c r="V1130">
        <v>0.1151570289929396</v>
      </c>
      <c r="W1130">
        <v>-18.89692380732016</v>
      </c>
      <c r="X1130">
        <v>0.6912807310862602</v>
      </c>
      <c r="Z1130" t="s">
        <v>392</v>
      </c>
      <c r="AA1130">
        <v>140</v>
      </c>
      <c r="AB1130" t="s">
        <v>1521</v>
      </c>
      <c r="AC1130" t="str">
        <f>HYPERLINK("plots/20251231112652_3FT6Y119H04_05543_B21P_N_UFLEX98_M5358A8BA201511/dpll_52046/txpa_54148.png","plot")</f>
        <v>plot</v>
      </c>
    </row>
    <row r="1131" spans="1:29" x14ac:dyDescent="0.35">
      <c r="A1131" s="3" t="s">
        <v>47</v>
      </c>
      <c r="B1131">
        <v>52046</v>
      </c>
      <c r="C1131" t="s">
        <v>51</v>
      </c>
      <c r="D1131">
        <v>54149</v>
      </c>
      <c r="E1131" t="s">
        <v>169</v>
      </c>
      <c r="F1131">
        <v>7134</v>
      </c>
      <c r="G1131">
        <v>0.13797361905720379</v>
      </c>
      <c r="H1131">
        <v>1.164531682747138E-31</v>
      </c>
      <c r="I1131">
        <v>1.245606673318141E-31</v>
      </c>
      <c r="J1131">
        <v>0.13428750132393941</v>
      </c>
      <c r="K1131">
        <v>4.5850144632976402E-30</v>
      </c>
      <c r="L1131">
        <v>4.9991448019180712E-30</v>
      </c>
      <c r="M1131">
        <v>8.9704116099940792E-2</v>
      </c>
      <c r="N1131">
        <v>6.7908652969984313E-30</v>
      </c>
      <c r="O1131">
        <v>7.4281956970403564E-30</v>
      </c>
      <c r="P1131">
        <v>1.903671955574238E-2</v>
      </c>
      <c r="Q1131">
        <v>0.81430505279700061</v>
      </c>
      <c r="R1131">
        <v>-22.114374746416949</v>
      </c>
      <c r="S1131">
        <v>0.67323480900075838</v>
      </c>
      <c r="T1131">
        <v>0.51504181135058702</v>
      </c>
      <c r="U1131">
        <v>4.4222974421082144</v>
      </c>
      <c r="V1131">
        <v>0.1151806576821274</v>
      </c>
      <c r="W1131">
        <v>-18.513275594336982</v>
      </c>
      <c r="X1131">
        <v>0.67978351351465127</v>
      </c>
      <c r="Z1131" t="s">
        <v>392</v>
      </c>
      <c r="AA1131">
        <v>140</v>
      </c>
      <c r="AB1131" t="s">
        <v>1522</v>
      </c>
      <c r="AC1131" t="str">
        <f>HYPERLINK("plots/20251231112652_3FT6Y119H04_05543_B21P_N_UFLEX98_M5358A8BA201511/dpll_52046/txpa_54149.png","plot")</f>
        <v>plot</v>
      </c>
    </row>
    <row r="1132" spans="1:29" x14ac:dyDescent="0.35">
      <c r="A1132" s="3" t="s">
        <v>47</v>
      </c>
      <c r="B1132">
        <v>52046</v>
      </c>
      <c r="C1132" t="s">
        <v>51</v>
      </c>
      <c r="D1132">
        <v>54150</v>
      </c>
      <c r="E1132" t="s">
        <v>170</v>
      </c>
      <c r="F1132">
        <v>7135</v>
      </c>
      <c r="G1132">
        <v>0.1609867577328799</v>
      </c>
      <c r="H1132">
        <v>1.242124781438497E-42</v>
      </c>
      <c r="I1132">
        <v>1.39790735669105E-42</v>
      </c>
      <c r="J1132">
        <v>0.1503792391740584</v>
      </c>
      <c r="K1132">
        <v>2.325080117901663E-37</v>
      </c>
      <c r="L1132">
        <v>2.69135986250261E-37</v>
      </c>
      <c r="M1132">
        <v>9.9935944828070569E-2</v>
      </c>
      <c r="N1132">
        <v>1.06868417916216E-36</v>
      </c>
      <c r="O1132">
        <v>1.2342206807180291E-36</v>
      </c>
      <c r="P1132">
        <v>2.591673616534497E-2</v>
      </c>
      <c r="Q1132">
        <v>0.94053573208770691</v>
      </c>
      <c r="R1132">
        <v>-23.030935109888031</v>
      </c>
      <c r="S1132">
        <v>0.66405782943944214</v>
      </c>
      <c r="T1132">
        <v>0.51193503081902092</v>
      </c>
      <c r="U1132">
        <v>4.4223027545900493</v>
      </c>
      <c r="V1132">
        <v>0.1151736555088148</v>
      </c>
      <c r="W1132">
        <v>-18.871601351086191</v>
      </c>
      <c r="X1132">
        <v>0.67288104889310585</v>
      </c>
      <c r="Z1132" t="s">
        <v>392</v>
      </c>
      <c r="AA1132">
        <v>140</v>
      </c>
      <c r="AB1132" t="s">
        <v>1523</v>
      </c>
      <c r="AC1132" t="str">
        <f>HYPERLINK("plots/20251231112652_3FT6Y119H04_05543_B21P_N_UFLEX98_M5358A8BA201511/dpll_52046/txpa_54150.png","plot")</f>
        <v>plot</v>
      </c>
    </row>
    <row r="1133" spans="1:29" x14ac:dyDescent="0.35">
      <c r="A1133" s="3" t="s">
        <v>47</v>
      </c>
      <c r="B1133">
        <v>52046</v>
      </c>
      <c r="C1133" t="s">
        <v>51</v>
      </c>
      <c r="D1133">
        <v>54151</v>
      </c>
      <c r="E1133" t="s">
        <v>171</v>
      </c>
      <c r="F1133">
        <v>7133</v>
      </c>
      <c r="G1133">
        <v>0.1512975089532049</v>
      </c>
      <c r="H1133">
        <v>8.6074100420724928E-38</v>
      </c>
      <c r="I1133">
        <v>9.570080902041127E-38</v>
      </c>
      <c r="J1133">
        <v>0.14284585297157509</v>
      </c>
      <c r="K1133">
        <v>7.8381557697083862E-34</v>
      </c>
      <c r="L1133">
        <v>8.8506569604502258E-34</v>
      </c>
      <c r="M1133">
        <v>9.484163099891095E-2</v>
      </c>
      <c r="N1133">
        <v>3.2618422390883452E-33</v>
      </c>
      <c r="O1133">
        <v>3.6831937978124519E-33</v>
      </c>
      <c r="P1133">
        <v>2.289093621544511E-2</v>
      </c>
      <c r="Q1133">
        <v>0.8480632746445903</v>
      </c>
      <c r="R1133">
        <v>-22.34163888888034</v>
      </c>
      <c r="S1133">
        <v>0.63807809088089162</v>
      </c>
      <c r="T1133">
        <v>0.49082138299468431</v>
      </c>
      <c r="U1133">
        <v>4.4223542959484083</v>
      </c>
      <c r="V1133">
        <v>0.1151691808320883</v>
      </c>
      <c r="W1133">
        <v>-18.591202623019761</v>
      </c>
      <c r="X1133">
        <v>0.64555426794769377</v>
      </c>
      <c r="Z1133" t="s">
        <v>392</v>
      </c>
      <c r="AA1133">
        <v>140</v>
      </c>
      <c r="AB1133" t="s">
        <v>1524</v>
      </c>
      <c r="AC1133" t="str">
        <f>HYPERLINK("plots/20251231112652_3FT6Y119H04_05543_B21P_N_UFLEX98_M5358A8BA201511/dpll_52046/txpa_54151.png","plot")</f>
        <v>plot</v>
      </c>
    </row>
    <row r="1134" spans="1:29" x14ac:dyDescent="0.35">
      <c r="A1134" s="3" t="s">
        <v>47</v>
      </c>
      <c r="B1134">
        <v>52046</v>
      </c>
      <c r="C1134" t="s">
        <v>51</v>
      </c>
      <c r="D1134">
        <v>54152</v>
      </c>
      <c r="E1134" t="s">
        <v>172</v>
      </c>
      <c r="F1134">
        <v>7135</v>
      </c>
      <c r="G1134">
        <v>0.14925338363872129</v>
      </c>
      <c r="H1134">
        <v>8.01998855015301E-37</v>
      </c>
      <c r="I1134">
        <v>8.8202477113396438E-37</v>
      </c>
      <c r="J1134">
        <v>0.13991034240215161</v>
      </c>
      <c r="K1134">
        <v>1.6068260726002119E-32</v>
      </c>
      <c r="L1134">
        <v>1.7924330446827441E-32</v>
      </c>
      <c r="M1134">
        <v>9.2880980107180933E-2</v>
      </c>
      <c r="N1134">
        <v>6.2626639080754452E-32</v>
      </c>
      <c r="O1134">
        <v>6.9860739304603968E-32</v>
      </c>
      <c r="P1134">
        <v>2.227657252760732E-2</v>
      </c>
      <c r="Q1134">
        <v>0.82542488161161942</v>
      </c>
      <c r="R1134">
        <v>-22.389382528871408</v>
      </c>
      <c r="S1134">
        <v>0.62980874342754678</v>
      </c>
      <c r="T1134">
        <v>0.47961052527860831</v>
      </c>
      <c r="U1134">
        <v>4.422286288016819</v>
      </c>
      <c r="V1134">
        <v>0.11518017668675561</v>
      </c>
      <c r="W1134">
        <v>-18.739117393132439</v>
      </c>
      <c r="X1134">
        <v>0.63698779476786127</v>
      </c>
      <c r="Z1134" t="s">
        <v>392</v>
      </c>
      <c r="AA1134">
        <v>140</v>
      </c>
      <c r="AB1134" t="s">
        <v>1525</v>
      </c>
      <c r="AC1134" t="str">
        <f>HYPERLINK("plots/20251231112652_3FT6Y119H04_05543_B21P_N_UFLEX98_M5358A8BA201511/dpll_52046/txpa_54152.png","plot")</f>
        <v>plot</v>
      </c>
    </row>
    <row r="1135" spans="1:29" x14ac:dyDescent="0.35">
      <c r="A1135" s="3" t="s">
        <v>47</v>
      </c>
      <c r="B1135">
        <v>52046</v>
      </c>
      <c r="C1135" t="s">
        <v>51</v>
      </c>
      <c r="D1135">
        <v>54153</v>
      </c>
      <c r="E1135" t="s">
        <v>173</v>
      </c>
      <c r="F1135">
        <v>7129</v>
      </c>
      <c r="G1135">
        <v>0.13811293462860619</v>
      </c>
      <c r="H1135">
        <v>1.0618306484160071E-31</v>
      </c>
      <c r="I1135">
        <v>1.138156741536819E-31</v>
      </c>
      <c r="J1135">
        <v>0.1218139710071602</v>
      </c>
      <c r="K1135">
        <v>5.6146917184742999E-25</v>
      </c>
      <c r="L1135">
        <v>5.9428991675709189E-25</v>
      </c>
      <c r="M1135">
        <v>8.0953173553581059E-2</v>
      </c>
      <c r="N1135">
        <v>1.237999242651337E-24</v>
      </c>
      <c r="O1135">
        <v>1.3103666305307469E-24</v>
      </c>
      <c r="P1135">
        <v>1.907518271172565E-2</v>
      </c>
      <c r="Q1135">
        <v>0.77398928346595075</v>
      </c>
      <c r="R1135">
        <v>-22.15109099508982</v>
      </c>
      <c r="S1135">
        <v>0.63930682490282453</v>
      </c>
      <c r="T1135">
        <v>0.48699222889386851</v>
      </c>
      <c r="U1135">
        <v>4.4223118587459673</v>
      </c>
      <c r="V1135">
        <v>0.11519174231474839</v>
      </c>
      <c r="W1135">
        <v>-18.728269008276051</v>
      </c>
      <c r="X1135">
        <v>0.64553819187996753</v>
      </c>
      <c r="Z1135" t="s">
        <v>392</v>
      </c>
      <c r="AA1135">
        <v>140</v>
      </c>
      <c r="AB1135" t="s">
        <v>1526</v>
      </c>
      <c r="AC1135" t="str">
        <f>HYPERLINK("plots/20251231112652_3FT6Y119H04_05543_B21P_N_UFLEX98_M5358A8BA201511/dpll_52046/txpa_54153.png","plot")</f>
        <v>plot</v>
      </c>
    </row>
    <row r="1136" spans="1:29" x14ac:dyDescent="0.35">
      <c r="A1136" s="3" t="s">
        <v>47</v>
      </c>
      <c r="B1136">
        <v>52046</v>
      </c>
      <c r="C1136" t="s">
        <v>51</v>
      </c>
      <c r="D1136">
        <v>54154</v>
      </c>
      <c r="E1136" t="s">
        <v>174</v>
      </c>
      <c r="F1136">
        <v>7139</v>
      </c>
      <c r="G1136">
        <v>0.1142849841548093</v>
      </c>
      <c r="H1136">
        <v>3.4481078253092722E-22</v>
      </c>
      <c r="I1136">
        <v>3.5281345457755819E-22</v>
      </c>
      <c r="J1136">
        <v>0.1051357060056729</v>
      </c>
      <c r="K1136">
        <v>5.2751831032584195E-19</v>
      </c>
      <c r="L1136">
        <v>5.3759152429186305E-19</v>
      </c>
      <c r="M1136">
        <v>6.9818382092402501E-2</v>
      </c>
      <c r="N1136">
        <v>9.328846441180907E-19</v>
      </c>
      <c r="O1136">
        <v>9.5069852174446632E-19</v>
      </c>
      <c r="P1136">
        <v>1.306105760326502E-2</v>
      </c>
      <c r="Q1136">
        <v>0.8631833289756301</v>
      </c>
      <c r="R1136">
        <v>-23.517045281666611</v>
      </c>
      <c r="S1136">
        <v>0.86400254253307684</v>
      </c>
      <c r="T1136">
        <v>0.66116892723801757</v>
      </c>
      <c r="U1136">
        <v>4.4222873134892842</v>
      </c>
      <c r="V1136">
        <v>0.1151559613407446</v>
      </c>
      <c r="W1136">
        <v>-19.69980059672223</v>
      </c>
      <c r="X1136">
        <v>0.86976173463738371</v>
      </c>
      <c r="Z1136" t="s">
        <v>392</v>
      </c>
      <c r="AA1136">
        <v>140</v>
      </c>
      <c r="AB1136" t="s">
        <v>1527</v>
      </c>
      <c r="AC1136" t="str">
        <f>HYPERLINK("plots/20251231112652_3FT6Y119H04_05543_B21P_N_UFLEX98_M5358A8BA201511/dpll_52046/txpa_54154.png","plot")</f>
        <v>plot</v>
      </c>
    </row>
    <row r="1137" spans="1:29" x14ac:dyDescent="0.35">
      <c r="A1137" s="3" t="s">
        <v>47</v>
      </c>
      <c r="B1137">
        <v>52046</v>
      </c>
      <c r="C1137" t="s">
        <v>51</v>
      </c>
      <c r="D1137">
        <v>54155</v>
      </c>
      <c r="E1137" t="s">
        <v>175</v>
      </c>
      <c r="F1137">
        <v>7139</v>
      </c>
      <c r="G1137">
        <v>0.14872595293950749</v>
      </c>
      <c r="H1137">
        <v>1.364904736041331E-36</v>
      </c>
      <c r="I1137">
        <v>1.494614905341155E-36</v>
      </c>
      <c r="J1137">
        <v>0.1098890623916981</v>
      </c>
      <c r="K1137">
        <v>1.2616155948941251E-20</v>
      </c>
      <c r="L1137">
        <v>1.300079484982361E-20</v>
      </c>
      <c r="M1137">
        <v>7.2772716762606424E-2</v>
      </c>
      <c r="N1137">
        <v>2.9624479271121283E-20</v>
      </c>
      <c r="O1137">
        <v>3.0496672061844648E-20</v>
      </c>
      <c r="P1137">
        <v>2.211940907776459E-2</v>
      </c>
      <c r="Q1137">
        <v>0.7081464721943781</v>
      </c>
      <c r="R1137">
        <v>-11.959004243842619</v>
      </c>
      <c r="S1137">
        <v>0.54216971520721402</v>
      </c>
      <c r="T1137">
        <v>0.4491223828191403</v>
      </c>
      <c r="U1137">
        <v>4.4222873134892842</v>
      </c>
      <c r="V1137">
        <v>0.1151559613407446</v>
      </c>
      <c r="W1137">
        <v>-8.8273770837652332</v>
      </c>
      <c r="X1137">
        <v>0.54830570027524972</v>
      </c>
      <c r="Z1137" t="s">
        <v>392</v>
      </c>
      <c r="AA1137">
        <v>140</v>
      </c>
      <c r="AB1137" t="s">
        <v>1528</v>
      </c>
      <c r="AC1137" t="str">
        <f>HYPERLINK("plots/20251231112652_3FT6Y119H04_05543_B21P_N_UFLEX98_M5358A8BA201511/dpll_52046/txpa_54155.png","plot")</f>
        <v>plot</v>
      </c>
    </row>
    <row r="1138" spans="1:29" x14ac:dyDescent="0.35">
      <c r="A1138" s="3" t="s">
        <v>47</v>
      </c>
      <c r="B1138">
        <v>52046</v>
      </c>
      <c r="C1138" t="s">
        <v>51</v>
      </c>
      <c r="D1138">
        <v>54156</v>
      </c>
      <c r="E1138" t="s">
        <v>176</v>
      </c>
      <c r="F1138">
        <v>7139</v>
      </c>
      <c r="G1138">
        <v>0.24635518411577839</v>
      </c>
      <c r="H1138">
        <v>3.5476906779725158E-99</v>
      </c>
      <c r="I1138">
        <v>5.6296687753742277E-99</v>
      </c>
      <c r="J1138">
        <v>0.22288963282978921</v>
      </c>
      <c r="K1138">
        <v>4.5174656096386252E-81</v>
      </c>
      <c r="L1138">
        <v>7.0799229183517247E-81</v>
      </c>
      <c r="M1138">
        <v>0.14778688021994801</v>
      </c>
      <c r="N1138">
        <v>3.1415450665583332E-78</v>
      </c>
      <c r="O1138">
        <v>4.8708359288840212E-78</v>
      </c>
      <c r="P1138">
        <v>6.0690876740719081E-2</v>
      </c>
      <c r="Q1138">
        <v>0.74734398306806515</v>
      </c>
      <c r="R1138">
        <v>-11.569830843709889</v>
      </c>
      <c r="S1138">
        <v>0.33854711170497492</v>
      </c>
      <c r="T1138">
        <v>0.26558560548960208</v>
      </c>
      <c r="U1138">
        <v>4.4222873134892842</v>
      </c>
      <c r="V1138">
        <v>0.1151559613407446</v>
      </c>
      <c r="W1138">
        <v>-8.2648610285754316</v>
      </c>
      <c r="X1138">
        <v>0.34933754339822798</v>
      </c>
      <c r="Z1138" t="s">
        <v>392</v>
      </c>
      <c r="AA1138">
        <v>140</v>
      </c>
      <c r="AB1138" t="s">
        <v>1529</v>
      </c>
      <c r="AC1138" t="str">
        <f>HYPERLINK("plots/20251231112652_3FT6Y119H04_05543_B21P_N_UFLEX98_M5358A8BA201511/dpll_52046/txpa_54156.png","plot")</f>
        <v>plot</v>
      </c>
    </row>
    <row r="1139" spans="1:29" x14ac:dyDescent="0.35">
      <c r="A1139" s="3" t="s">
        <v>47</v>
      </c>
      <c r="B1139">
        <v>52046</v>
      </c>
      <c r="C1139" t="s">
        <v>51</v>
      </c>
      <c r="D1139">
        <v>54157</v>
      </c>
      <c r="E1139" t="s">
        <v>177</v>
      </c>
      <c r="F1139">
        <v>7139</v>
      </c>
      <c r="G1139">
        <v>0.1952715287395817</v>
      </c>
      <c r="H1139">
        <v>2.7054826809505038E-62</v>
      </c>
      <c r="I1139">
        <v>3.309239370909302E-62</v>
      </c>
      <c r="J1139">
        <v>0.16392477666082511</v>
      </c>
      <c r="K1139">
        <v>3.4989953075992771E-44</v>
      </c>
      <c r="L1139">
        <v>4.20376924396406E-44</v>
      </c>
      <c r="M1139">
        <v>0.1090830184438909</v>
      </c>
      <c r="N1139">
        <v>1.910712233541813E-43</v>
      </c>
      <c r="O1139">
        <v>2.295571332714926E-43</v>
      </c>
      <c r="P1139">
        <v>3.8130969936293287E-2</v>
      </c>
      <c r="Q1139">
        <v>0.67929505956342384</v>
      </c>
      <c r="R1139">
        <v>-10.898756303067961</v>
      </c>
      <c r="S1139">
        <v>0.39285610516319969</v>
      </c>
      <c r="T1139">
        <v>0.3180632801624943</v>
      </c>
      <c r="U1139">
        <v>4.4222873134892842</v>
      </c>
      <c r="V1139">
        <v>0.1151559613407446</v>
      </c>
      <c r="W1139">
        <v>-7.8947183790446838</v>
      </c>
      <c r="X1139">
        <v>0.40059539720389442</v>
      </c>
      <c r="Z1139" t="s">
        <v>392</v>
      </c>
      <c r="AA1139">
        <v>140</v>
      </c>
      <c r="AB1139" t="s">
        <v>1530</v>
      </c>
      <c r="AC1139" t="str">
        <f>HYPERLINK("plots/20251231112652_3FT6Y119H04_05543_B21P_N_UFLEX98_M5358A8BA201511/dpll_52046/txpa_54157.png","plot")</f>
        <v>plot</v>
      </c>
    </row>
    <row r="1140" spans="1:29" x14ac:dyDescent="0.35">
      <c r="A1140" s="3" t="s">
        <v>47</v>
      </c>
      <c r="B1140">
        <v>52046</v>
      </c>
      <c r="C1140" t="s">
        <v>51</v>
      </c>
      <c r="D1140">
        <v>54158</v>
      </c>
      <c r="E1140" t="s">
        <v>178</v>
      </c>
      <c r="F1140">
        <v>7139</v>
      </c>
      <c r="G1140">
        <v>0.28199007975191182</v>
      </c>
      <c r="H1140">
        <v>1.2946397355189871E-130</v>
      </c>
      <c r="I1140">
        <v>2.7011619173173921E-130</v>
      </c>
      <c r="J1140">
        <v>0.24651816211942781</v>
      </c>
      <c r="K1140">
        <v>2.6128870393709052E-99</v>
      </c>
      <c r="L1140">
        <v>4.8883163430297E-99</v>
      </c>
      <c r="M1140">
        <v>0.1646270105241435</v>
      </c>
      <c r="N1140">
        <v>1.2951560567491761E-96</v>
      </c>
      <c r="O1140">
        <v>2.4097031954929621E-96</v>
      </c>
      <c r="P1140">
        <v>7.9518405078489549E-2</v>
      </c>
      <c r="Q1140">
        <v>0.81563214748861534</v>
      </c>
      <c r="R1140">
        <v>-11.87259651005126</v>
      </c>
      <c r="S1140">
        <v>0.31953914228599728</v>
      </c>
      <c r="T1140">
        <v>0.25470656822154192</v>
      </c>
      <c r="U1140">
        <v>4.4222873134892842</v>
      </c>
      <c r="V1140">
        <v>0.1151559613407446</v>
      </c>
      <c r="W1140">
        <v>-8.2656368117383376</v>
      </c>
      <c r="X1140">
        <v>0.33307875272456527</v>
      </c>
      <c r="Z1140" t="s">
        <v>392</v>
      </c>
      <c r="AA1140">
        <v>140</v>
      </c>
      <c r="AB1140" t="s">
        <v>1531</v>
      </c>
      <c r="AC1140" t="str">
        <f>HYPERLINK("plots/20251231112652_3FT6Y119H04_05543_B21P_N_UFLEX98_M5358A8BA201511/dpll_52046/txpa_54158.png","plot")</f>
        <v>plot</v>
      </c>
    </row>
    <row r="1141" spans="1:29" x14ac:dyDescent="0.35">
      <c r="A1141" s="3" t="s">
        <v>47</v>
      </c>
      <c r="B1141">
        <v>52046</v>
      </c>
      <c r="C1141" t="s">
        <v>51</v>
      </c>
      <c r="D1141">
        <v>54159</v>
      </c>
      <c r="E1141" t="s">
        <v>179</v>
      </c>
      <c r="F1141">
        <v>7139</v>
      </c>
      <c r="G1141">
        <v>0.2200646332459934</v>
      </c>
      <c r="H1141">
        <v>5.0090137770141742E-79</v>
      </c>
      <c r="I1141">
        <v>6.8176375434796944E-79</v>
      </c>
      <c r="J1141">
        <v>0.17813755013695881</v>
      </c>
      <c r="K1141">
        <v>5.5746779151558932E-52</v>
      </c>
      <c r="L1141">
        <v>6.9614820270542801E-52</v>
      </c>
      <c r="M1141">
        <v>0.1181606791302845</v>
      </c>
      <c r="N1141">
        <v>1.1401360067123319E-50</v>
      </c>
      <c r="O1141">
        <v>1.418525043934117E-50</v>
      </c>
      <c r="P1141">
        <v>4.8428442805693583E-2</v>
      </c>
      <c r="Q1141">
        <v>0.69465290751447362</v>
      </c>
      <c r="R1141">
        <v>-11.07447424529246</v>
      </c>
      <c r="S1141">
        <v>0.35456375465219381</v>
      </c>
      <c r="T1141">
        <v>0.28678225941587232</v>
      </c>
      <c r="U1141">
        <v>4.4222873134892842</v>
      </c>
      <c r="V1141">
        <v>0.1151559613407446</v>
      </c>
      <c r="W1141">
        <v>-8.0025195051127618</v>
      </c>
      <c r="X1141">
        <v>0.36349967817661122</v>
      </c>
      <c r="Z1141" t="s">
        <v>392</v>
      </c>
      <c r="AA1141">
        <v>140</v>
      </c>
      <c r="AB1141" t="s">
        <v>1532</v>
      </c>
      <c r="AC1141" t="str">
        <f>HYPERLINK("plots/20251231112652_3FT6Y119H04_05543_B21P_N_UFLEX98_M5358A8BA201511/dpll_52046/txpa_54159.png","plot")</f>
        <v>plot</v>
      </c>
    </row>
    <row r="1142" spans="1:29" x14ac:dyDescent="0.35">
      <c r="A1142" s="3" t="s">
        <v>47</v>
      </c>
      <c r="B1142">
        <v>52046</v>
      </c>
      <c r="C1142" t="s">
        <v>51</v>
      </c>
      <c r="D1142">
        <v>54160</v>
      </c>
      <c r="E1142" t="s">
        <v>180</v>
      </c>
      <c r="F1142">
        <v>7139</v>
      </c>
      <c r="G1142">
        <v>0.28368672777384552</v>
      </c>
      <c r="H1142">
        <v>3.1103390887852729E-132</v>
      </c>
      <c r="I1142">
        <v>6.5297801988162885E-132</v>
      </c>
      <c r="J1142">
        <v>0.2394622420847532</v>
      </c>
      <c r="K1142">
        <v>1.195294744655223E-93</v>
      </c>
      <c r="L1142">
        <v>2.0969357631148718E-93</v>
      </c>
      <c r="M1142">
        <v>0.1591950032649784</v>
      </c>
      <c r="N1142">
        <v>1.816401639878934E-90</v>
      </c>
      <c r="O1142">
        <v>3.1755711428228268E-90</v>
      </c>
      <c r="P1142">
        <v>8.0478159515031927E-2</v>
      </c>
      <c r="Q1142">
        <v>0.73199352870364787</v>
      </c>
      <c r="R1142">
        <v>-11.35507148514878</v>
      </c>
      <c r="S1142">
        <v>0.28490840035223092</v>
      </c>
      <c r="T1142">
        <v>0.22657417218143611</v>
      </c>
      <c r="U1142">
        <v>4.4222873134892842</v>
      </c>
      <c r="V1142">
        <v>0.1151559613407446</v>
      </c>
      <c r="W1142">
        <v>-8.1179857896063883</v>
      </c>
      <c r="X1142">
        <v>0.29713557329432427</v>
      </c>
      <c r="Z1142" t="s">
        <v>392</v>
      </c>
      <c r="AA1142">
        <v>140</v>
      </c>
      <c r="AB1142" t="s">
        <v>1533</v>
      </c>
      <c r="AC1142" t="str">
        <f>HYPERLINK("plots/20251231112652_3FT6Y119H04_05543_B21P_N_UFLEX98_M5358A8BA201511/dpll_52046/txpa_54160.png","plot")</f>
        <v>plot</v>
      </c>
    </row>
    <row r="1143" spans="1:29" x14ac:dyDescent="0.35">
      <c r="A1143" s="3" t="s">
        <v>47</v>
      </c>
      <c r="B1143">
        <v>52046</v>
      </c>
      <c r="C1143" t="s">
        <v>51</v>
      </c>
      <c r="D1143">
        <v>54161</v>
      </c>
      <c r="E1143" t="s">
        <v>181</v>
      </c>
      <c r="F1143">
        <v>7139</v>
      </c>
      <c r="G1143">
        <v>0.20967938648255149</v>
      </c>
      <c r="H1143">
        <v>9.3821665066020171E-72</v>
      </c>
      <c r="I1143">
        <v>1.210371098943314E-71</v>
      </c>
      <c r="J1143">
        <v>0.17821411260386169</v>
      </c>
      <c r="K1143">
        <v>5.0392456454231193E-52</v>
      </c>
      <c r="L1143">
        <v>6.3083889931593107E-52</v>
      </c>
      <c r="M1143">
        <v>0.11852167946244779</v>
      </c>
      <c r="N1143">
        <v>5.7307566454068057E-51</v>
      </c>
      <c r="O1143">
        <v>7.1563882246828824E-51</v>
      </c>
      <c r="P1143">
        <v>4.3965445115699192E-2</v>
      </c>
      <c r="Q1143">
        <v>0.62179866900483627</v>
      </c>
      <c r="R1143">
        <v>-10.83106575125292</v>
      </c>
      <c r="S1143">
        <v>0.33387726847656468</v>
      </c>
      <c r="T1143">
        <v>0.26421987795924778</v>
      </c>
      <c r="U1143">
        <v>4.4222873134892842</v>
      </c>
      <c r="V1143">
        <v>0.1151559613407446</v>
      </c>
      <c r="W1143">
        <v>-8.0812933857683138</v>
      </c>
      <c r="X1143">
        <v>0.34149195441110231</v>
      </c>
      <c r="Z1143" t="s">
        <v>392</v>
      </c>
      <c r="AA1143">
        <v>140</v>
      </c>
      <c r="AB1143" t="s">
        <v>1534</v>
      </c>
      <c r="AC1143" t="str">
        <f>HYPERLINK("plots/20251231112652_3FT6Y119H04_05543_B21P_N_UFLEX98_M5358A8BA201511/dpll_52046/txpa_54161.png","plot")</f>
        <v>plot</v>
      </c>
    </row>
    <row r="1144" spans="1:29" x14ac:dyDescent="0.35">
      <c r="A1144" s="3" t="s">
        <v>47</v>
      </c>
      <c r="B1144">
        <v>52046</v>
      </c>
      <c r="C1144" t="s">
        <v>51</v>
      </c>
      <c r="D1144">
        <v>54162</v>
      </c>
      <c r="E1144" t="s">
        <v>182</v>
      </c>
      <c r="F1144">
        <v>7139</v>
      </c>
      <c r="G1144">
        <v>0.16342064362919481</v>
      </c>
      <c r="H1144">
        <v>6.4277759948414577E-44</v>
      </c>
      <c r="I1144">
        <v>7.3069112766471279E-44</v>
      </c>
      <c r="J1144">
        <v>0.12654856026287781</v>
      </c>
      <c r="K1144">
        <v>7.0690409227108503E-27</v>
      </c>
      <c r="L1144">
        <v>7.5532218078280326E-27</v>
      </c>
      <c r="M1144">
        <v>8.3883528807107324E-2</v>
      </c>
      <c r="N1144">
        <v>2.2089046059990959E-26</v>
      </c>
      <c r="O1144">
        <v>2.3577150215611411E-26</v>
      </c>
      <c r="P1144">
        <v>2.6706306764180291E-2</v>
      </c>
      <c r="Q1144">
        <v>0.74290079286039201</v>
      </c>
      <c r="R1144">
        <v>-12.278637743183181</v>
      </c>
      <c r="S1144">
        <v>0.51641858801651441</v>
      </c>
      <c r="T1144">
        <v>0.42652011987066718</v>
      </c>
      <c r="U1144">
        <v>4.4222873134892842</v>
      </c>
      <c r="V1144">
        <v>0.1151559613407446</v>
      </c>
      <c r="W1144">
        <v>-8.9933169917355382</v>
      </c>
      <c r="X1144">
        <v>0.52349233905083337</v>
      </c>
      <c r="Z1144" t="s">
        <v>392</v>
      </c>
      <c r="AA1144">
        <v>140</v>
      </c>
      <c r="AB1144" t="s">
        <v>1535</v>
      </c>
      <c r="AC1144" t="str">
        <f>HYPERLINK("plots/20251231112652_3FT6Y119H04_05543_B21P_N_UFLEX98_M5358A8BA201511/dpll_52046/txpa_54162.png","plot")</f>
        <v>plot</v>
      </c>
    </row>
    <row r="1145" spans="1:29" x14ac:dyDescent="0.35">
      <c r="A1145" s="3" t="s">
        <v>47</v>
      </c>
      <c r="B1145">
        <v>52046</v>
      </c>
      <c r="C1145" t="s">
        <v>51</v>
      </c>
      <c r="D1145">
        <v>54163</v>
      </c>
      <c r="E1145" t="s">
        <v>183</v>
      </c>
      <c r="F1145">
        <v>7139</v>
      </c>
      <c r="G1145">
        <v>0.14436986441325819</v>
      </c>
      <c r="H1145">
        <v>1.4790070368502291E-34</v>
      </c>
      <c r="I1145">
        <v>1.6039712677712649E-34</v>
      </c>
      <c r="J1145">
        <v>0.1066699949365912</v>
      </c>
      <c r="K1145">
        <v>1.6097083837900421E-19</v>
      </c>
      <c r="L1145">
        <v>1.6437505550484411E-19</v>
      </c>
      <c r="M1145">
        <v>7.0593812788850227E-2</v>
      </c>
      <c r="N1145">
        <v>3.7341656301066449E-19</v>
      </c>
      <c r="O1145">
        <v>3.8131359002297461E-19</v>
      </c>
      <c r="P1145">
        <v>2.084265775070256E-2</v>
      </c>
      <c r="Q1145">
        <v>0.67999667071085546</v>
      </c>
      <c r="R1145">
        <v>-5.9358736153608076</v>
      </c>
      <c r="S1145">
        <v>0.53667638565277809</v>
      </c>
      <c r="T1145">
        <v>0.44681845265457149</v>
      </c>
      <c r="U1145">
        <v>4.4222873134892842</v>
      </c>
      <c r="V1145">
        <v>0.1151559613407446</v>
      </c>
      <c r="W1145">
        <v>-2.9287329652612408</v>
      </c>
      <c r="X1145">
        <v>0.54239623097563205</v>
      </c>
      <c r="Z1145" t="s">
        <v>392</v>
      </c>
      <c r="AA1145">
        <v>140</v>
      </c>
      <c r="AB1145" t="s">
        <v>1536</v>
      </c>
      <c r="AC1145" t="str">
        <f>HYPERLINK("plots/20251231112652_3FT6Y119H04_05543_B21P_N_UFLEX98_M5358A8BA201511/dpll_52046/txpa_54163.png","plot")</f>
        <v>plot</v>
      </c>
    </row>
    <row r="1146" spans="1:29" x14ac:dyDescent="0.35">
      <c r="A1146" s="3" t="s">
        <v>47</v>
      </c>
      <c r="B1146">
        <v>52046</v>
      </c>
      <c r="C1146" t="s">
        <v>51</v>
      </c>
      <c r="D1146">
        <v>54164</v>
      </c>
      <c r="E1146" t="s">
        <v>184</v>
      </c>
      <c r="F1146">
        <v>7139</v>
      </c>
      <c r="G1146">
        <v>0.25820328720342212</v>
      </c>
      <c r="H1146">
        <v>4.3134462130864881E-109</v>
      </c>
      <c r="I1146">
        <v>7.4384939797103722E-109</v>
      </c>
      <c r="J1146">
        <v>0.23548837394629499</v>
      </c>
      <c r="K1146">
        <v>1.5295952087627179E-90</v>
      </c>
      <c r="L1146">
        <v>2.6467739619204721E-90</v>
      </c>
      <c r="M1146">
        <v>0.15631253127361469</v>
      </c>
      <c r="N1146">
        <v>2.6755390275053812E-87</v>
      </c>
      <c r="O1146">
        <v>4.5443828708382857E-87</v>
      </c>
      <c r="P1146">
        <v>6.6668937522652863E-2</v>
      </c>
      <c r="Q1146">
        <v>0.75021024654824331</v>
      </c>
      <c r="R1146">
        <v>-5.7061922798529752</v>
      </c>
      <c r="S1146">
        <v>0.32321766656688261</v>
      </c>
      <c r="T1146">
        <v>0.25362359020099517</v>
      </c>
      <c r="U1146">
        <v>4.4222873134892842</v>
      </c>
      <c r="V1146">
        <v>0.1151559613407446</v>
      </c>
      <c r="W1146">
        <v>-2.3885470240930111</v>
      </c>
      <c r="X1146">
        <v>0.33458591129739501</v>
      </c>
      <c r="Z1146" t="s">
        <v>392</v>
      </c>
      <c r="AA1146">
        <v>140</v>
      </c>
      <c r="AB1146" t="s">
        <v>1537</v>
      </c>
      <c r="AC1146" t="str">
        <f>HYPERLINK("plots/20251231112652_3FT6Y119H04_05543_B21P_N_UFLEX98_M5358A8BA201511/dpll_52046/txpa_54164.png","plot")</f>
        <v>plot</v>
      </c>
    </row>
    <row r="1147" spans="1:29" x14ac:dyDescent="0.35">
      <c r="A1147" s="3" t="s">
        <v>47</v>
      </c>
      <c r="B1147">
        <v>52046</v>
      </c>
      <c r="C1147" t="s">
        <v>51</v>
      </c>
      <c r="D1147">
        <v>54165</v>
      </c>
      <c r="E1147" t="s">
        <v>185</v>
      </c>
      <c r="F1147">
        <v>7139</v>
      </c>
      <c r="G1147">
        <v>0.19971966876359359</v>
      </c>
      <c r="H1147">
        <v>3.8821582502554141E-65</v>
      </c>
      <c r="I1147">
        <v>4.865894271642757E-65</v>
      </c>
      <c r="J1147">
        <v>0.1705680565678265</v>
      </c>
      <c r="K1147">
        <v>9.6361978361486586E-48</v>
      </c>
      <c r="L1147">
        <v>1.1715952764813839E-47</v>
      </c>
      <c r="M1147">
        <v>0.11377049335250521</v>
      </c>
      <c r="N1147">
        <v>4.151288428770269E-47</v>
      </c>
      <c r="O1147">
        <v>5.0412053494288045E-47</v>
      </c>
      <c r="P1147">
        <v>3.9887946091039551E-2</v>
      </c>
      <c r="Q1147">
        <v>0.66970198698522987</v>
      </c>
      <c r="R1147">
        <v>-5.0072246844184676</v>
      </c>
      <c r="S1147">
        <v>0.37833604322361047</v>
      </c>
      <c r="T1147">
        <v>0.30670728578856421</v>
      </c>
      <c r="U1147">
        <v>4.4222873134892842</v>
      </c>
      <c r="V1147">
        <v>0.1151559613407446</v>
      </c>
      <c r="W1147">
        <v>-2.0456100835551201</v>
      </c>
      <c r="X1147">
        <v>0.38614211910383978</v>
      </c>
      <c r="Z1147" t="s">
        <v>392</v>
      </c>
      <c r="AA1147">
        <v>140</v>
      </c>
      <c r="AB1147" t="s">
        <v>1538</v>
      </c>
      <c r="AC1147" t="str">
        <f>HYPERLINK("plots/20251231112652_3FT6Y119H04_05543_B21P_N_UFLEX98_M5358A8BA201511/dpll_52046/txpa_54165.png","plot")</f>
        <v>plot</v>
      </c>
    </row>
    <row r="1148" spans="1:29" x14ac:dyDescent="0.35">
      <c r="A1148" s="3" t="s">
        <v>47</v>
      </c>
      <c r="B1148">
        <v>52046</v>
      </c>
      <c r="C1148" t="s">
        <v>51</v>
      </c>
      <c r="D1148">
        <v>54166</v>
      </c>
      <c r="E1148" t="s">
        <v>186</v>
      </c>
      <c r="F1148">
        <v>7139</v>
      </c>
      <c r="G1148">
        <v>0.2885152064523312</v>
      </c>
      <c r="H1148">
        <v>6.6360156870727587E-137</v>
      </c>
      <c r="I1148">
        <v>1.4408822070003799E-136</v>
      </c>
      <c r="J1148">
        <v>0.25683315947684637</v>
      </c>
      <c r="K1148">
        <v>6.4332169507996603E-108</v>
      </c>
      <c r="L1148">
        <v>1.2765718176342179E-107</v>
      </c>
      <c r="M1148">
        <v>0.17174739741202641</v>
      </c>
      <c r="N1148">
        <v>5.436295541774896E-105</v>
      </c>
      <c r="O1148">
        <v>1.0766413436249499E-104</v>
      </c>
      <c r="P1148">
        <v>8.3241024354231294E-2</v>
      </c>
      <c r="Q1148">
        <v>0.79777370897046573</v>
      </c>
      <c r="R1148">
        <v>-5.9205900241302167</v>
      </c>
      <c r="S1148">
        <v>0.30485589910955152</v>
      </c>
      <c r="T1148">
        <v>0.24302652392141799</v>
      </c>
      <c r="U1148">
        <v>4.4222873134892842</v>
      </c>
      <c r="V1148">
        <v>0.1151559613407446</v>
      </c>
      <c r="W1148">
        <v>-2.392605471914834</v>
      </c>
      <c r="X1148">
        <v>0.31841787307680081</v>
      </c>
      <c r="Z1148" t="s">
        <v>392</v>
      </c>
      <c r="AA1148">
        <v>140</v>
      </c>
      <c r="AB1148" t="s">
        <v>1539</v>
      </c>
      <c r="AC1148" t="str">
        <f>HYPERLINK("plots/20251231112652_3FT6Y119H04_05543_B21P_N_UFLEX98_M5358A8BA201511/dpll_52046/txpa_54166.png","plot")</f>
        <v>plot</v>
      </c>
    </row>
    <row r="1149" spans="1:29" x14ac:dyDescent="0.35">
      <c r="A1149" s="3" t="s">
        <v>47</v>
      </c>
      <c r="B1149">
        <v>52046</v>
      </c>
      <c r="C1149" t="s">
        <v>51</v>
      </c>
      <c r="D1149">
        <v>54167</v>
      </c>
      <c r="E1149" t="s">
        <v>187</v>
      </c>
      <c r="F1149">
        <v>7139</v>
      </c>
      <c r="G1149">
        <v>0.22304520753701729</v>
      </c>
      <c r="H1149">
        <v>3.4789715398236872E-81</v>
      </c>
      <c r="I1149">
        <v>4.7800503270748221E-81</v>
      </c>
      <c r="J1149">
        <v>0.18033212162219059</v>
      </c>
      <c r="K1149">
        <v>3.0289150302033431E-53</v>
      </c>
      <c r="L1149">
        <v>3.8200495530176492E-53</v>
      </c>
      <c r="M1149">
        <v>0.1197452703882599</v>
      </c>
      <c r="N1149">
        <v>5.4035120585477283E-52</v>
      </c>
      <c r="O1149">
        <v>6.7979667833342378E-52</v>
      </c>
      <c r="P1149">
        <v>4.9749164605231107E-2</v>
      </c>
      <c r="Q1149">
        <v>0.68093814139680764</v>
      </c>
      <c r="R1149">
        <v>-5.1576587709262309</v>
      </c>
      <c r="S1149">
        <v>0.34268090162927461</v>
      </c>
      <c r="T1149">
        <v>0.27786410986697402</v>
      </c>
      <c r="U1149">
        <v>4.4222873134892842</v>
      </c>
      <c r="V1149">
        <v>0.1151559613407446</v>
      </c>
      <c r="W1149">
        <v>-2.1463546669561562</v>
      </c>
      <c r="X1149">
        <v>0.35156140386076379</v>
      </c>
      <c r="Z1149" t="s">
        <v>392</v>
      </c>
      <c r="AA1149">
        <v>140</v>
      </c>
      <c r="AB1149" t="s">
        <v>1540</v>
      </c>
      <c r="AC1149" t="str">
        <f>HYPERLINK("plots/20251231112652_3FT6Y119H04_05543_B21P_N_UFLEX98_M5358A8BA201511/dpll_52046/txpa_54167.png","plot")</f>
        <v>plot</v>
      </c>
    </row>
    <row r="1150" spans="1:29" x14ac:dyDescent="0.35">
      <c r="A1150" s="3" t="s">
        <v>47</v>
      </c>
      <c r="B1150">
        <v>52046</v>
      </c>
      <c r="C1150" t="s">
        <v>51</v>
      </c>
      <c r="D1150">
        <v>54168</v>
      </c>
      <c r="E1150" t="s">
        <v>188</v>
      </c>
      <c r="F1150">
        <v>7139</v>
      </c>
      <c r="G1150">
        <v>0.29570825926731492</v>
      </c>
      <c r="H1150">
        <v>4.907357673953753E-144</v>
      </c>
      <c r="I1150">
        <v>1.168089361828429E-143</v>
      </c>
      <c r="J1150">
        <v>0.25324956755355538</v>
      </c>
      <c r="K1150">
        <v>6.990213962056099E-105</v>
      </c>
      <c r="L1150">
        <v>1.350109896671407E-104</v>
      </c>
      <c r="M1150">
        <v>0.1686055079462557</v>
      </c>
      <c r="N1150">
        <v>2.9617887705019768E-101</v>
      </c>
      <c r="O1150">
        <v>5.6879807069867519E-101</v>
      </c>
      <c r="P1150">
        <v>8.7443374598905541E-2</v>
      </c>
      <c r="Q1150">
        <v>0.73179322878751296</v>
      </c>
      <c r="R1150">
        <v>-5.4876541949973259</v>
      </c>
      <c r="S1150">
        <v>0.27221424571770531</v>
      </c>
      <c r="T1150">
        <v>0.2167088765690118</v>
      </c>
      <c r="U1150">
        <v>4.4222873134892842</v>
      </c>
      <c r="V1150">
        <v>0.1151559613407446</v>
      </c>
      <c r="W1150">
        <v>-2.2514542832329458</v>
      </c>
      <c r="X1150">
        <v>0.28497801506279419</v>
      </c>
      <c r="Z1150" t="s">
        <v>392</v>
      </c>
      <c r="AA1150">
        <v>140</v>
      </c>
      <c r="AB1150" t="s">
        <v>1541</v>
      </c>
      <c r="AC1150" t="str">
        <f>HYPERLINK("plots/20251231112652_3FT6Y119H04_05543_B21P_N_UFLEX98_M5358A8BA201511/dpll_52046/txpa_54168.png","plot")</f>
        <v>plot</v>
      </c>
    </row>
    <row r="1151" spans="1:29" x14ac:dyDescent="0.35">
      <c r="A1151" s="3" t="s">
        <v>47</v>
      </c>
      <c r="B1151">
        <v>52046</v>
      </c>
      <c r="C1151" t="s">
        <v>51</v>
      </c>
      <c r="D1151">
        <v>54169</v>
      </c>
      <c r="E1151" t="s">
        <v>189</v>
      </c>
      <c r="F1151">
        <v>7139</v>
      </c>
      <c r="G1151">
        <v>0.21522932870884121</v>
      </c>
      <c r="H1151">
        <v>1.35992065562811E-75</v>
      </c>
      <c r="I1151">
        <v>1.807286428318353E-75</v>
      </c>
      <c r="J1151">
        <v>0.18493831927472601</v>
      </c>
      <c r="K1151">
        <v>5.9280881984756857E-56</v>
      </c>
      <c r="L1151">
        <v>7.6379687843130174E-56</v>
      </c>
      <c r="M1151">
        <v>0.1230863676478319</v>
      </c>
      <c r="N1151">
        <v>7.8118488611003838E-55</v>
      </c>
      <c r="O1151">
        <v>1.002685410779214E-54</v>
      </c>
      <c r="P1151">
        <v>4.6323663936458419E-2</v>
      </c>
      <c r="Q1151">
        <v>0.61796660249682167</v>
      </c>
      <c r="R1151">
        <v>-4.9544472682587841</v>
      </c>
      <c r="S1151">
        <v>0.32286432695377099</v>
      </c>
      <c r="T1151">
        <v>0.25529608465872983</v>
      </c>
      <c r="U1151">
        <v>4.4222873134892842</v>
      </c>
      <c r="V1151">
        <v>0.1151559613407446</v>
      </c>
      <c r="W1151">
        <v>-2.2216214018770142</v>
      </c>
      <c r="X1151">
        <v>0.33063587854823828</v>
      </c>
      <c r="Z1151" t="s">
        <v>392</v>
      </c>
      <c r="AA1151">
        <v>140</v>
      </c>
      <c r="AB1151" t="s">
        <v>1542</v>
      </c>
      <c r="AC1151" t="str">
        <f>HYPERLINK("plots/20251231112652_3FT6Y119H04_05543_B21P_N_UFLEX98_M5358A8BA201511/dpll_52046/txpa_54169.png","plot")</f>
        <v>plot</v>
      </c>
    </row>
    <row r="1152" spans="1:29" x14ac:dyDescent="0.35">
      <c r="A1152" s="3" t="s">
        <v>47</v>
      </c>
      <c r="B1152">
        <v>52046</v>
      </c>
      <c r="C1152" t="s">
        <v>51</v>
      </c>
      <c r="D1152">
        <v>54170</v>
      </c>
      <c r="E1152" t="s">
        <v>190</v>
      </c>
      <c r="F1152">
        <v>7139</v>
      </c>
      <c r="G1152">
        <v>0.16201961284345009</v>
      </c>
      <c r="H1152">
        <v>3.4483042190118151E-43</v>
      </c>
      <c r="I1152">
        <v>3.8980830301872686E-43</v>
      </c>
      <c r="J1152">
        <v>0.1268226933183747</v>
      </c>
      <c r="K1152">
        <v>5.4832362289988069E-27</v>
      </c>
      <c r="L1152">
        <v>5.8835995092114181E-27</v>
      </c>
      <c r="M1152">
        <v>8.4218213323246943E-2</v>
      </c>
      <c r="N1152">
        <v>1.3938720365154461E-26</v>
      </c>
      <c r="O1152">
        <v>1.4956468201340339E-26</v>
      </c>
      <c r="P1152">
        <v>2.6250354945941471E-2</v>
      </c>
      <c r="Q1152">
        <v>0.72978425119346513</v>
      </c>
      <c r="R1152">
        <v>-6.2929649621534569</v>
      </c>
      <c r="S1152">
        <v>0.51180739804499742</v>
      </c>
      <c r="T1152">
        <v>0.42628689522358992</v>
      </c>
      <c r="U1152">
        <v>4.4222873134892842</v>
      </c>
      <c r="V1152">
        <v>0.1151559613407446</v>
      </c>
      <c r="W1152">
        <v>-3.0656493265163189</v>
      </c>
      <c r="X1152">
        <v>0.51869650558121527</v>
      </c>
      <c r="Z1152" t="s">
        <v>392</v>
      </c>
      <c r="AA1152">
        <v>140</v>
      </c>
      <c r="AB1152" t="s">
        <v>1543</v>
      </c>
      <c r="AC1152" t="str">
        <f>HYPERLINK("plots/20251231112652_3FT6Y119H04_05543_B21P_N_UFLEX98_M5358A8BA201511/dpll_52046/txpa_54170.png","plot")</f>
        <v>plot</v>
      </c>
    </row>
    <row r="1153" spans="1:29" x14ac:dyDescent="0.35">
      <c r="A1153" s="3" t="s">
        <v>47</v>
      </c>
      <c r="B1153">
        <v>52046</v>
      </c>
      <c r="C1153" t="s">
        <v>51</v>
      </c>
      <c r="D1153">
        <v>54171</v>
      </c>
      <c r="E1153" t="s">
        <v>191</v>
      </c>
      <c r="F1153">
        <v>7139</v>
      </c>
      <c r="G1153">
        <v>0.14958909553696989</v>
      </c>
      <c r="H1153">
        <v>5.3026058996418699E-37</v>
      </c>
      <c r="I1153">
        <v>5.8507534083099636E-37</v>
      </c>
      <c r="J1153">
        <v>0.11192205632716661</v>
      </c>
      <c r="K1153">
        <v>2.4298262220511108E-21</v>
      </c>
      <c r="L1153">
        <v>2.5296137465706641E-21</v>
      </c>
      <c r="M1153">
        <v>7.4102474092433659E-2</v>
      </c>
      <c r="N1153">
        <v>6.0467776389860163E-21</v>
      </c>
      <c r="O1153">
        <v>6.2886487445454568E-21</v>
      </c>
      <c r="P1153">
        <v>2.2376897503568721E-2</v>
      </c>
      <c r="Q1153">
        <v>0.68006985096556838</v>
      </c>
      <c r="R1153">
        <v>-2.9521805025554668</v>
      </c>
      <c r="S1153">
        <v>0.51760125391375222</v>
      </c>
      <c r="T1153">
        <v>0.43192013252747319</v>
      </c>
      <c r="U1153">
        <v>4.4222873134892842</v>
      </c>
      <c r="V1153">
        <v>0.1151559613407446</v>
      </c>
      <c r="W1153">
        <v>5.5283771656114297E-2</v>
      </c>
      <c r="X1153">
        <v>0.52352811670983157</v>
      </c>
      <c r="Z1153" t="s">
        <v>392</v>
      </c>
      <c r="AA1153">
        <v>140</v>
      </c>
      <c r="AB1153" t="s">
        <v>1544</v>
      </c>
      <c r="AC1153" t="str">
        <f>HYPERLINK("plots/20251231112652_3FT6Y119H04_05543_B21P_N_UFLEX98_M5358A8BA201511/dpll_52046/txpa_54171.png","plot")</f>
        <v>plot</v>
      </c>
    </row>
    <row r="1154" spans="1:29" x14ac:dyDescent="0.35">
      <c r="A1154" s="3" t="s">
        <v>47</v>
      </c>
      <c r="B1154">
        <v>52046</v>
      </c>
      <c r="C1154" t="s">
        <v>51</v>
      </c>
      <c r="D1154">
        <v>54172</v>
      </c>
      <c r="E1154" t="s">
        <v>192</v>
      </c>
      <c r="F1154">
        <v>7139</v>
      </c>
      <c r="G1154">
        <v>0.27299666509782222</v>
      </c>
      <c r="H1154">
        <v>3.2137362228269238E-122</v>
      </c>
      <c r="I1154">
        <v>6.1369652164717533E-122</v>
      </c>
      <c r="J1154">
        <v>0.25213477205624413</v>
      </c>
      <c r="K1154">
        <v>6.0131338790806341E-104</v>
      </c>
      <c r="L1154">
        <v>1.1591858846744799E-103</v>
      </c>
      <c r="M1154">
        <v>0.16774424306454261</v>
      </c>
      <c r="N1154">
        <v>3.0277259514984709E-100</v>
      </c>
      <c r="O1154">
        <v>5.7817591616185486E-100</v>
      </c>
      <c r="P1154">
        <v>7.4527179154532469E-2</v>
      </c>
      <c r="Q1154">
        <v>0.7577544077618793</v>
      </c>
      <c r="R1154">
        <v>-2.7856965898458408</v>
      </c>
      <c r="S1154">
        <v>0.30747440521196229</v>
      </c>
      <c r="T1154">
        <v>0.2412002377478471</v>
      </c>
      <c r="U1154">
        <v>4.4222873134892842</v>
      </c>
      <c r="V1154">
        <v>0.1151559613407446</v>
      </c>
      <c r="W1154">
        <v>0.56531111434010362</v>
      </c>
      <c r="X1154">
        <v>0.31963737452520952</v>
      </c>
      <c r="Z1154" t="s">
        <v>392</v>
      </c>
      <c r="AA1154">
        <v>140</v>
      </c>
      <c r="AB1154" t="s">
        <v>1545</v>
      </c>
      <c r="AC1154" t="str">
        <f>HYPERLINK("plots/20251231112652_3FT6Y119H04_05543_B21P_N_UFLEX98_M5358A8BA201511/dpll_52046/txpa_54172.png","plot")</f>
        <v>plot</v>
      </c>
    </row>
    <row r="1155" spans="1:29" x14ac:dyDescent="0.35">
      <c r="A1155" s="3" t="s">
        <v>47</v>
      </c>
      <c r="B1155">
        <v>52046</v>
      </c>
      <c r="C1155" t="s">
        <v>51</v>
      </c>
      <c r="D1155">
        <v>54173</v>
      </c>
      <c r="E1155" t="s">
        <v>193</v>
      </c>
      <c r="F1155">
        <v>7139</v>
      </c>
      <c r="G1155">
        <v>0.21219735357646391</v>
      </c>
      <c r="H1155">
        <v>1.754680388436296E-73</v>
      </c>
      <c r="I1155">
        <v>2.2958011791927799E-73</v>
      </c>
      <c r="J1155">
        <v>0.1835131961562039</v>
      </c>
      <c r="K1155">
        <v>4.1553588523666802E-55</v>
      </c>
      <c r="L1155">
        <v>5.2933842667083077E-55</v>
      </c>
      <c r="M1155">
        <v>0.12260358005075619</v>
      </c>
      <c r="N1155">
        <v>2.0257283709814549E-54</v>
      </c>
      <c r="O1155">
        <v>2.593546171938378E-54</v>
      </c>
      <c r="P1155">
        <v>4.5027716864854822E-2</v>
      </c>
      <c r="Q1155">
        <v>0.67864056473223011</v>
      </c>
      <c r="R1155">
        <v>-2.1223173808194158</v>
      </c>
      <c r="S1155">
        <v>0.35987463850317719</v>
      </c>
      <c r="T1155">
        <v>0.29165287755694408</v>
      </c>
      <c r="U1155">
        <v>4.4222873134892842</v>
      </c>
      <c r="V1155">
        <v>0.1151559613407446</v>
      </c>
      <c r="W1155">
        <v>0.87882617901512805</v>
      </c>
      <c r="X1155">
        <v>0.36828690518237378</v>
      </c>
      <c r="Z1155" t="s">
        <v>392</v>
      </c>
      <c r="AA1155">
        <v>140</v>
      </c>
      <c r="AB1155" t="s">
        <v>1546</v>
      </c>
      <c r="AC1155" t="str">
        <f>HYPERLINK("plots/20251231112652_3FT6Y119H04_05543_B21P_N_UFLEX98_M5358A8BA201511/dpll_52046/txpa_54173.png","plot")</f>
        <v>plot</v>
      </c>
    </row>
    <row r="1156" spans="1:29" x14ac:dyDescent="0.35">
      <c r="A1156" s="3" t="s">
        <v>47</v>
      </c>
      <c r="B1156">
        <v>52046</v>
      </c>
      <c r="C1156" t="s">
        <v>51</v>
      </c>
      <c r="D1156">
        <v>54174</v>
      </c>
      <c r="E1156" t="s">
        <v>194</v>
      </c>
      <c r="F1156">
        <v>7139</v>
      </c>
      <c r="G1156">
        <v>0.3025565958219566</v>
      </c>
      <c r="H1156">
        <v>5.0956425439794012E-151</v>
      </c>
      <c r="I1156">
        <v>1.314753572416059E-150</v>
      </c>
      <c r="J1156">
        <v>0.27290548221252792</v>
      </c>
      <c r="K1156">
        <v>3.8950054397625438E-122</v>
      </c>
      <c r="L1156">
        <v>8.6802978371850977E-122</v>
      </c>
      <c r="M1156">
        <v>0.18282357657908929</v>
      </c>
      <c r="N1156">
        <v>1.0358891029495901E-118</v>
      </c>
      <c r="O1156">
        <v>2.303490242085272E-118</v>
      </c>
      <c r="P1156">
        <v>9.1540493675370802E-2</v>
      </c>
      <c r="Q1156">
        <v>0.79832877291388926</v>
      </c>
      <c r="R1156">
        <v>-2.9671017524494401</v>
      </c>
      <c r="S1156">
        <v>0.28959025945889039</v>
      </c>
      <c r="T1156">
        <v>0.230649280055816</v>
      </c>
      <c r="U1156">
        <v>4.4222873134892842</v>
      </c>
      <c r="V1156">
        <v>0.1151559613407446</v>
      </c>
      <c r="W1156">
        <v>0.56333745200112062</v>
      </c>
      <c r="X1156">
        <v>0.30385163827323969</v>
      </c>
      <c r="Z1156" t="s">
        <v>392</v>
      </c>
      <c r="AA1156">
        <v>140</v>
      </c>
      <c r="AB1156" t="s">
        <v>1547</v>
      </c>
      <c r="AC1156" t="str">
        <f>HYPERLINK("plots/20251231112652_3FT6Y119H04_05543_B21P_N_UFLEX98_M5358A8BA201511/dpll_52046/txpa_54174.png","plot")</f>
        <v>plot</v>
      </c>
    </row>
    <row r="1157" spans="1:29" x14ac:dyDescent="0.35">
      <c r="A1157" s="3" t="s">
        <v>47</v>
      </c>
      <c r="B1157">
        <v>52046</v>
      </c>
      <c r="C1157" t="s">
        <v>51</v>
      </c>
      <c r="D1157">
        <v>54175</v>
      </c>
      <c r="E1157" t="s">
        <v>195</v>
      </c>
      <c r="F1157">
        <v>7139</v>
      </c>
      <c r="G1157">
        <v>0.23547096440474691</v>
      </c>
      <c r="H1157">
        <v>1.577834213260367E-90</v>
      </c>
      <c r="I1157">
        <v>2.3528292533029591E-90</v>
      </c>
      <c r="J1157">
        <v>0.1940037140147515</v>
      </c>
      <c r="K1157">
        <v>1.698366225688026E-61</v>
      </c>
      <c r="L1157">
        <v>2.2659780958521819E-61</v>
      </c>
      <c r="M1157">
        <v>0.1290532409432994</v>
      </c>
      <c r="N1157">
        <v>4.2302048310684908E-60</v>
      </c>
      <c r="O1157">
        <v>5.6291702082722448E-60</v>
      </c>
      <c r="P1157">
        <v>5.5446575077701572E-2</v>
      </c>
      <c r="Q1157">
        <v>0.6863708636655792</v>
      </c>
      <c r="R1157">
        <v>-2.2450597430648909</v>
      </c>
      <c r="S1157">
        <v>0.32620509995095592</v>
      </c>
      <c r="T1157">
        <v>0.26446024741742108</v>
      </c>
      <c r="U1157">
        <v>4.4222873134892842</v>
      </c>
      <c r="V1157">
        <v>0.1151559613407446</v>
      </c>
      <c r="W1157">
        <v>0.79026941967208297</v>
      </c>
      <c r="X1157">
        <v>0.33566642427228088</v>
      </c>
      <c r="Z1157" t="s">
        <v>392</v>
      </c>
      <c r="AA1157">
        <v>140</v>
      </c>
      <c r="AB1157" t="s">
        <v>1548</v>
      </c>
      <c r="AC1157" t="str">
        <f>HYPERLINK("plots/20251231112652_3FT6Y119H04_05543_B21P_N_UFLEX98_M5358A8BA201511/dpll_52046/txpa_54175.png","plot")</f>
        <v>plot</v>
      </c>
    </row>
    <row r="1158" spans="1:29" x14ac:dyDescent="0.35">
      <c r="A1158" s="3" t="s">
        <v>47</v>
      </c>
      <c r="B1158">
        <v>52046</v>
      </c>
      <c r="C1158" t="s">
        <v>51</v>
      </c>
      <c r="D1158">
        <v>54176</v>
      </c>
      <c r="E1158" t="s">
        <v>196</v>
      </c>
      <c r="F1158">
        <v>7139</v>
      </c>
      <c r="G1158">
        <v>0.31237049843895848</v>
      </c>
      <c r="H1158">
        <v>2.311784797710609E-161</v>
      </c>
      <c r="I1158">
        <v>6.5662458960183683E-161</v>
      </c>
      <c r="J1158">
        <v>0.27224059882168111</v>
      </c>
      <c r="K1158">
        <v>1.578986868777905E-121</v>
      </c>
      <c r="L1158">
        <v>3.4655685821229339E-121</v>
      </c>
      <c r="M1158">
        <v>0.1816894988559051</v>
      </c>
      <c r="N1158">
        <v>2.881581545671675E-117</v>
      </c>
      <c r="O1158">
        <v>6.2301144718786327E-117</v>
      </c>
      <c r="P1158">
        <v>9.75753282950034E-2</v>
      </c>
      <c r="Q1158">
        <v>0.73737276654967088</v>
      </c>
      <c r="R1158">
        <v>-2.5706528241691311</v>
      </c>
      <c r="S1158">
        <v>0.25821327694838619</v>
      </c>
      <c r="T1158">
        <v>0.20538866090970631</v>
      </c>
      <c r="U1158">
        <v>4.4222873134892842</v>
      </c>
      <c r="V1158">
        <v>0.1151559613407446</v>
      </c>
      <c r="W1158">
        <v>0.69022140665597431</v>
      </c>
      <c r="X1158">
        <v>0.27183383265338967</v>
      </c>
      <c r="Z1158" t="s">
        <v>392</v>
      </c>
      <c r="AA1158">
        <v>140</v>
      </c>
      <c r="AB1158" t="s">
        <v>1549</v>
      </c>
      <c r="AC1158" t="str">
        <f>HYPERLINK("plots/20251231112652_3FT6Y119H04_05543_B21P_N_UFLEX98_M5358A8BA201511/dpll_52046/txpa_54176.png","plot")</f>
        <v>plot</v>
      </c>
    </row>
    <row r="1159" spans="1:29" x14ac:dyDescent="0.35">
      <c r="A1159" s="3" t="s">
        <v>47</v>
      </c>
      <c r="B1159">
        <v>52046</v>
      </c>
      <c r="C1159" t="s">
        <v>51</v>
      </c>
      <c r="D1159">
        <v>54177</v>
      </c>
      <c r="E1159" t="s">
        <v>197</v>
      </c>
      <c r="F1159">
        <v>7139</v>
      </c>
      <c r="G1159">
        <v>0.22823658919807979</v>
      </c>
      <c r="H1159">
        <v>5.0806895763397788E-85</v>
      </c>
      <c r="I1159">
        <v>7.1752356969478216E-85</v>
      </c>
      <c r="J1159">
        <v>0.19900511671886981</v>
      </c>
      <c r="K1159">
        <v>1.1231612501509191E-64</v>
      </c>
      <c r="L1159">
        <v>1.5432052949228068E-64</v>
      </c>
      <c r="M1159">
        <v>0.13268000553318049</v>
      </c>
      <c r="N1159">
        <v>2.0205593025430821E-63</v>
      </c>
      <c r="O1159">
        <v>2.7687123415928168E-63</v>
      </c>
      <c r="P1159">
        <v>5.2091940648773059E-2</v>
      </c>
      <c r="Q1159">
        <v>0.62773779360488413</v>
      </c>
      <c r="R1159">
        <v>-2.0602453939981098</v>
      </c>
      <c r="S1159">
        <v>0.30834160025037399</v>
      </c>
      <c r="T1159">
        <v>0.24384300213807</v>
      </c>
      <c r="U1159">
        <v>4.4222873134892842</v>
      </c>
      <c r="V1159">
        <v>0.1151559613407446</v>
      </c>
      <c r="W1159">
        <v>0.71579148685852367</v>
      </c>
      <c r="X1159">
        <v>0.31672287667141708</v>
      </c>
      <c r="Z1159" t="s">
        <v>392</v>
      </c>
      <c r="AA1159">
        <v>140</v>
      </c>
      <c r="AB1159" t="s">
        <v>1550</v>
      </c>
      <c r="AC1159" t="str">
        <f>HYPERLINK("plots/20251231112652_3FT6Y119H04_05543_B21P_N_UFLEX98_M5358A8BA201511/dpll_52046/txpa_54177.png","plot")</f>
        <v>plot</v>
      </c>
    </row>
    <row r="1160" spans="1:29" x14ac:dyDescent="0.35">
      <c r="A1160" s="3" t="s">
        <v>47</v>
      </c>
      <c r="B1160">
        <v>52046</v>
      </c>
      <c r="C1160" t="s">
        <v>51</v>
      </c>
      <c r="D1160">
        <v>54178</v>
      </c>
      <c r="E1160" t="s">
        <v>198</v>
      </c>
      <c r="F1160">
        <v>7139</v>
      </c>
      <c r="G1160">
        <v>0.16781429315869889</v>
      </c>
      <c r="H1160">
        <v>3.0032438608902081E-46</v>
      </c>
      <c r="I1160">
        <v>3.4448973698446499E-46</v>
      </c>
      <c r="J1160">
        <v>0.132289457695245</v>
      </c>
      <c r="K1160">
        <v>3.077785973289446E-29</v>
      </c>
      <c r="L1160">
        <v>3.3378341999096239E-29</v>
      </c>
      <c r="M1160">
        <v>8.7931842057608331E-2</v>
      </c>
      <c r="N1160">
        <v>7.8840045336734733E-29</v>
      </c>
      <c r="O1160">
        <v>8.550139676090804E-29</v>
      </c>
      <c r="P1160">
        <v>2.8161636988353739E-2</v>
      </c>
      <c r="Q1160">
        <v>0.72986952642536251</v>
      </c>
      <c r="R1160">
        <v>-3.295655648364594</v>
      </c>
      <c r="S1160">
        <v>0.49370702712374348</v>
      </c>
      <c r="T1160">
        <v>0.41255889145039248</v>
      </c>
      <c r="U1160">
        <v>4.4222873134892842</v>
      </c>
      <c r="V1160">
        <v>0.1151559613407446</v>
      </c>
      <c r="W1160">
        <v>-6.7962901151281688E-2</v>
      </c>
      <c r="X1160">
        <v>0.50084426890469447</v>
      </c>
      <c r="Z1160" t="s">
        <v>392</v>
      </c>
      <c r="AA1160">
        <v>140</v>
      </c>
      <c r="AB1160" t="s">
        <v>1551</v>
      </c>
      <c r="AC1160" t="str">
        <f>HYPERLINK("plots/20251231112652_3FT6Y119H04_05543_B21P_N_UFLEX98_M5358A8BA201511/dpll_52046/txpa_54178.png","plot")</f>
        <v>plot</v>
      </c>
    </row>
    <row r="1161" spans="1:29" x14ac:dyDescent="0.35">
      <c r="A1161" s="3" t="s">
        <v>47</v>
      </c>
      <c r="B1161">
        <v>52046</v>
      </c>
      <c r="C1161" t="s">
        <v>51</v>
      </c>
      <c r="D1161">
        <v>54179</v>
      </c>
      <c r="E1161" t="s">
        <v>199</v>
      </c>
      <c r="F1161">
        <v>7139</v>
      </c>
      <c r="G1161">
        <v>0.16301209779644391</v>
      </c>
      <c r="H1161">
        <v>1.0506938534109611E-43</v>
      </c>
      <c r="I1161">
        <v>1.1917265854124329E-43</v>
      </c>
      <c r="J1161">
        <v>0.12578925252594031</v>
      </c>
      <c r="K1161">
        <v>1.4245393046798799E-26</v>
      </c>
      <c r="L1161">
        <v>1.5141329716408781E-26</v>
      </c>
      <c r="M1161">
        <v>8.3459356955371461E-2</v>
      </c>
      <c r="N1161">
        <v>3.9005677875847057E-26</v>
      </c>
      <c r="O1161">
        <v>4.145886516363618E-26</v>
      </c>
      <c r="P1161">
        <v>2.657294402799739E-2</v>
      </c>
      <c r="Q1161">
        <v>0.68341383783761023</v>
      </c>
      <c r="R1161">
        <v>0.44242524856820342</v>
      </c>
      <c r="S1161">
        <v>0.47629019862050892</v>
      </c>
      <c r="T1161">
        <v>0.39801432058339498</v>
      </c>
      <c r="U1161">
        <v>4.4222873134892842</v>
      </c>
      <c r="V1161">
        <v>0.1151559613407446</v>
      </c>
      <c r="W1161">
        <v>3.4646775935004901</v>
      </c>
      <c r="X1161">
        <v>0.48278120798145202</v>
      </c>
      <c r="Z1161" t="s">
        <v>392</v>
      </c>
      <c r="AA1161">
        <v>140</v>
      </c>
      <c r="AB1161" t="s">
        <v>1552</v>
      </c>
      <c r="AC1161" t="str">
        <f>HYPERLINK("plots/20251231112652_3FT6Y119H04_05543_B21P_N_UFLEX98_M5358A8BA201511/dpll_52046/txpa_54179.png","plot")</f>
        <v>plot</v>
      </c>
    </row>
    <row r="1162" spans="1:29" x14ac:dyDescent="0.35">
      <c r="A1162" s="3" t="s">
        <v>47</v>
      </c>
      <c r="B1162">
        <v>52046</v>
      </c>
      <c r="C1162" t="s">
        <v>51</v>
      </c>
      <c r="D1162">
        <v>54180</v>
      </c>
      <c r="E1162" t="s">
        <v>200</v>
      </c>
      <c r="F1162">
        <v>7139</v>
      </c>
      <c r="G1162">
        <v>0.29822033057017128</v>
      </c>
      <c r="H1162">
        <v>1.41673382179576E-146</v>
      </c>
      <c r="I1162">
        <v>3.4532886906271661E-146</v>
      </c>
      <c r="J1162">
        <v>0.28033153424984991</v>
      </c>
      <c r="K1162">
        <v>4.8322633165452363E-129</v>
      </c>
      <c r="L1162">
        <v>1.1638752976192091E-128</v>
      </c>
      <c r="M1162">
        <v>0.1871800723862235</v>
      </c>
      <c r="N1162">
        <v>2.4227805346656E-124</v>
      </c>
      <c r="O1162">
        <v>5.6346317939241227E-124</v>
      </c>
      <c r="P1162">
        <v>8.8935365565382271E-2</v>
      </c>
      <c r="Q1162">
        <v>0.76526525521041799</v>
      </c>
      <c r="R1162">
        <v>0.539115053185518</v>
      </c>
      <c r="S1162">
        <v>0.28203652100619048</v>
      </c>
      <c r="T1162">
        <v>0.22097139456093981</v>
      </c>
      <c r="U1162">
        <v>4.4222873134892842</v>
      </c>
      <c r="V1162">
        <v>0.1151559613407446</v>
      </c>
      <c r="W1162">
        <v>3.9233378827566892</v>
      </c>
      <c r="X1162">
        <v>0.29550250975826797</v>
      </c>
      <c r="Z1162" t="s">
        <v>392</v>
      </c>
      <c r="AA1162">
        <v>140</v>
      </c>
      <c r="AB1162" t="s">
        <v>1553</v>
      </c>
      <c r="AC1162" t="str">
        <f>HYPERLINK("plots/20251231112652_3FT6Y119H04_05543_B21P_N_UFLEX98_M5358A8BA201511/dpll_52046/txpa_54180.png","plot")</f>
        <v>plot</v>
      </c>
    </row>
    <row r="1163" spans="1:29" x14ac:dyDescent="0.35">
      <c r="A1163" s="3" t="s">
        <v>47</v>
      </c>
      <c r="B1163">
        <v>52046</v>
      </c>
      <c r="C1163" t="s">
        <v>51</v>
      </c>
      <c r="D1163">
        <v>54181</v>
      </c>
      <c r="E1163" t="s">
        <v>201</v>
      </c>
      <c r="F1163">
        <v>7139</v>
      </c>
      <c r="G1163">
        <v>0.23471599206776439</v>
      </c>
      <c r="H1163">
        <v>6.0502243394488482E-90</v>
      </c>
      <c r="I1163">
        <v>8.969192222516274E-90</v>
      </c>
      <c r="J1163">
        <v>0.20770458910689871</v>
      </c>
      <c r="K1163">
        <v>2.0509714372895911E-70</v>
      </c>
      <c r="L1163">
        <v>2.937408244931702E-70</v>
      </c>
      <c r="M1163">
        <v>0.13921918766725519</v>
      </c>
      <c r="N1163">
        <v>1.2175537532872229E-69</v>
      </c>
      <c r="O1163">
        <v>1.7512049728131121E-69</v>
      </c>
      <c r="P1163">
        <v>5.5091596932354839E-2</v>
      </c>
      <c r="Q1163">
        <v>0.69059152796663126</v>
      </c>
      <c r="R1163">
        <v>1.1396976218283561</v>
      </c>
      <c r="S1163">
        <v>0.32932858425821238</v>
      </c>
      <c r="T1163">
        <v>0.26632432332870359</v>
      </c>
      <c r="U1163">
        <v>4.4222873134892842</v>
      </c>
      <c r="V1163">
        <v>0.1151559613407446</v>
      </c>
      <c r="W1163">
        <v>4.1936917747583697</v>
      </c>
      <c r="X1163">
        <v>0.33881684241528559</v>
      </c>
      <c r="Z1163" t="s">
        <v>392</v>
      </c>
      <c r="AA1163">
        <v>140</v>
      </c>
      <c r="AB1163" t="s">
        <v>1554</v>
      </c>
      <c r="AC1163" t="str">
        <f>HYPERLINK("plots/20251231112652_3FT6Y119H04_05543_B21P_N_UFLEX98_M5358A8BA201511/dpll_52046/txpa_54181.png","plot")</f>
        <v>plot</v>
      </c>
    </row>
    <row r="1164" spans="1:29" x14ac:dyDescent="0.35">
      <c r="A1164" s="3" t="s">
        <v>47</v>
      </c>
      <c r="B1164">
        <v>52046</v>
      </c>
      <c r="C1164" t="s">
        <v>51</v>
      </c>
      <c r="D1164">
        <v>54182</v>
      </c>
      <c r="E1164" t="s">
        <v>202</v>
      </c>
      <c r="F1164">
        <v>7139</v>
      </c>
      <c r="G1164">
        <v>0.32798850068854618</v>
      </c>
      <c r="H1164">
        <v>1.17892655357127E-178</v>
      </c>
      <c r="I1164">
        <v>4.1364412640874332E-178</v>
      </c>
      <c r="J1164">
        <v>0.30237373803486212</v>
      </c>
      <c r="K1164">
        <v>7.8732521653028367E-151</v>
      </c>
      <c r="L1164">
        <v>2.2680334362548511E-150</v>
      </c>
      <c r="M1164">
        <v>0.20329945026830981</v>
      </c>
      <c r="N1164">
        <v>2.5459721721444541E-146</v>
      </c>
      <c r="O1164">
        <v>7.2314167578556764E-146</v>
      </c>
      <c r="P1164">
        <v>0.1075764565839205</v>
      </c>
      <c r="Q1164">
        <v>0.79879600949551532</v>
      </c>
      <c r="R1164">
        <v>0.39099735890370813</v>
      </c>
      <c r="S1164">
        <v>0.26492246336897218</v>
      </c>
      <c r="T1164">
        <v>0.21028081764097589</v>
      </c>
      <c r="U1164">
        <v>4.4222873134892842</v>
      </c>
      <c r="V1164">
        <v>0.1151559613407446</v>
      </c>
      <c r="W1164">
        <v>3.9235028177615909</v>
      </c>
      <c r="X1164">
        <v>0.2804553275358746</v>
      </c>
      <c r="Z1164" t="s">
        <v>392</v>
      </c>
      <c r="AA1164">
        <v>140</v>
      </c>
      <c r="AB1164" t="s">
        <v>1555</v>
      </c>
      <c r="AC1164" t="str">
        <f>HYPERLINK("plots/20251231112652_3FT6Y119H04_05543_B21P_N_UFLEX98_M5358A8BA201511/dpll_52046/txpa_54182.png","plot")</f>
        <v>plot</v>
      </c>
    </row>
    <row r="1165" spans="1:29" x14ac:dyDescent="0.35">
      <c r="A1165" s="3" t="s">
        <v>47</v>
      </c>
      <c r="B1165">
        <v>52046</v>
      </c>
      <c r="C1165" t="s">
        <v>51</v>
      </c>
      <c r="D1165">
        <v>54183</v>
      </c>
      <c r="E1165" t="s">
        <v>203</v>
      </c>
      <c r="F1165">
        <v>7139</v>
      </c>
      <c r="G1165">
        <v>0.26048184183949302</v>
      </c>
      <c r="H1165">
        <v>4.6487448041496328E-111</v>
      </c>
      <c r="I1165">
        <v>8.1132998819410119E-111</v>
      </c>
      <c r="J1165">
        <v>0.22066150298861939</v>
      </c>
      <c r="K1165">
        <v>1.8624999820876231E-79</v>
      </c>
      <c r="L1165">
        <v>2.8442394304771832E-79</v>
      </c>
      <c r="M1165">
        <v>0.14719098495268679</v>
      </c>
      <c r="N1165">
        <v>1.264501636314325E-77</v>
      </c>
      <c r="O1165">
        <v>1.9368650441430889E-77</v>
      </c>
      <c r="P1165">
        <v>6.7850789928094624E-2</v>
      </c>
      <c r="Q1165">
        <v>0.69838521931499997</v>
      </c>
      <c r="R1165">
        <v>1.0350039970046909</v>
      </c>
      <c r="S1165">
        <v>0.29806865596559112</v>
      </c>
      <c r="T1165">
        <v>0.2410323265446595</v>
      </c>
      <c r="U1165">
        <v>4.4222873134892842</v>
      </c>
      <c r="V1165">
        <v>0.1151559613407446</v>
      </c>
      <c r="W1165">
        <v>4.1234640923098471</v>
      </c>
      <c r="X1165">
        <v>0.30874789869591668</v>
      </c>
      <c r="Z1165" t="s">
        <v>392</v>
      </c>
      <c r="AA1165">
        <v>140</v>
      </c>
      <c r="AB1165" t="s">
        <v>1556</v>
      </c>
      <c r="AC1165" t="str">
        <f>HYPERLINK("plots/20251231112652_3FT6Y119H04_05543_B21P_N_UFLEX98_M5358A8BA201511/dpll_52046/txpa_54183.png","plot")</f>
        <v>plot</v>
      </c>
    </row>
    <row r="1166" spans="1:29" x14ac:dyDescent="0.35">
      <c r="A1166" s="3" t="s">
        <v>47</v>
      </c>
      <c r="B1166">
        <v>52046</v>
      </c>
      <c r="C1166" t="s">
        <v>51</v>
      </c>
      <c r="D1166">
        <v>54184</v>
      </c>
      <c r="E1166" t="s">
        <v>204</v>
      </c>
      <c r="F1166">
        <v>7139</v>
      </c>
      <c r="G1166">
        <v>0.34183944283997192</v>
      </c>
      <c r="H1166">
        <v>7.2032023865116291E-195</v>
      </c>
      <c r="I1166">
        <v>3.4291301501984942E-194</v>
      </c>
      <c r="J1166">
        <v>0.30551143770173161</v>
      </c>
      <c r="K1166">
        <v>4.3133219649138298E-154</v>
      </c>
      <c r="L1166">
        <v>1.290179490390155E-153</v>
      </c>
      <c r="M1166">
        <v>0.204944860535243</v>
      </c>
      <c r="N1166">
        <v>1.150800336888404E-148</v>
      </c>
      <c r="O1166">
        <v>3.3531940850713843E-148</v>
      </c>
      <c r="P1166">
        <v>0.1168542046811424</v>
      </c>
      <c r="Q1166">
        <v>0.74580866127132017</v>
      </c>
      <c r="R1166">
        <v>0.73165008651388819</v>
      </c>
      <c r="S1166">
        <v>0.2360899278949051</v>
      </c>
      <c r="T1166">
        <v>0.18730174899511901</v>
      </c>
      <c r="U1166">
        <v>4.4222873134892842</v>
      </c>
      <c r="V1166">
        <v>0.1151559613407446</v>
      </c>
      <c r="W1166">
        <v>4.0298302675444742</v>
      </c>
      <c r="X1166">
        <v>0.25124167255666391</v>
      </c>
      <c r="Z1166" t="s">
        <v>392</v>
      </c>
      <c r="AA1166">
        <v>140</v>
      </c>
      <c r="AB1166" t="s">
        <v>1557</v>
      </c>
      <c r="AC1166" t="str">
        <f>HYPERLINK("plots/20251231112652_3FT6Y119H04_05543_B21P_N_UFLEX98_M5358A8BA201511/dpll_52046/txpa_54184.png","plot")</f>
        <v>plot</v>
      </c>
    </row>
    <row r="1167" spans="1:29" x14ac:dyDescent="0.35">
      <c r="A1167" s="3" t="s">
        <v>47</v>
      </c>
      <c r="B1167">
        <v>52046</v>
      </c>
      <c r="C1167" t="s">
        <v>51</v>
      </c>
      <c r="D1167">
        <v>54185</v>
      </c>
      <c r="E1167" t="s">
        <v>205</v>
      </c>
      <c r="F1167">
        <v>7139</v>
      </c>
      <c r="G1167">
        <v>0.25359877768480882</v>
      </c>
      <c r="H1167">
        <v>3.5543715958784964E-105</v>
      </c>
      <c r="I1167">
        <v>5.8987443506068658E-105</v>
      </c>
      <c r="J1167">
        <v>0.22585612801486529</v>
      </c>
      <c r="K1167">
        <v>2.997376463530102E-83</v>
      </c>
      <c r="L1167">
        <v>4.8474317926946152E-83</v>
      </c>
      <c r="M1167">
        <v>0.15120659011141291</v>
      </c>
      <c r="N1167">
        <v>8.1907403341753732E-82</v>
      </c>
      <c r="O1167">
        <v>1.314147262476872E-81</v>
      </c>
      <c r="P1167">
        <v>6.4312340043229083E-2</v>
      </c>
      <c r="Q1167">
        <v>0.64434440946132243</v>
      </c>
      <c r="R1167">
        <v>1.2026905566200621</v>
      </c>
      <c r="S1167">
        <v>0.28300386442556941</v>
      </c>
      <c r="T1167">
        <v>0.22355355058153559</v>
      </c>
      <c r="U1167">
        <v>4.4222873134892842</v>
      </c>
      <c r="V1167">
        <v>0.1151559613407446</v>
      </c>
      <c r="W1167">
        <v>4.0521666640986131</v>
      </c>
      <c r="X1167">
        <v>0.29258855497432368</v>
      </c>
      <c r="Z1167" t="s">
        <v>392</v>
      </c>
      <c r="AA1167">
        <v>140</v>
      </c>
      <c r="AB1167" t="s">
        <v>1558</v>
      </c>
      <c r="AC1167" t="str">
        <f>HYPERLINK("plots/20251231112652_3FT6Y119H04_05543_B21P_N_UFLEX98_M5358A8BA201511/dpll_52046/txpa_54185.png","plot")</f>
        <v>plot</v>
      </c>
    </row>
    <row r="1168" spans="1:29" x14ac:dyDescent="0.35">
      <c r="A1168" s="3" t="s">
        <v>47</v>
      </c>
      <c r="B1168">
        <v>52046</v>
      </c>
      <c r="C1168" t="s">
        <v>51</v>
      </c>
      <c r="D1168">
        <v>54186</v>
      </c>
      <c r="E1168" t="s">
        <v>206</v>
      </c>
      <c r="F1168">
        <v>7139</v>
      </c>
      <c r="G1168">
        <v>0.1812471181581311</v>
      </c>
      <c r="H1168">
        <v>8.8929834077385158E-54</v>
      </c>
      <c r="I1168">
        <v>1.0534445298419221E-53</v>
      </c>
      <c r="J1168">
        <v>0.1450404542304817</v>
      </c>
      <c r="K1168">
        <v>7.2573224448815212E-35</v>
      </c>
      <c r="L1168">
        <v>8.2684550102358013E-35</v>
      </c>
      <c r="M1168">
        <v>9.651371400990584E-2</v>
      </c>
      <c r="N1168">
        <v>2.1799694693881101E-34</v>
      </c>
      <c r="O1168">
        <v>2.4809080156672771E-34</v>
      </c>
      <c r="P1168">
        <v>3.2850517840627542E-2</v>
      </c>
      <c r="Q1168">
        <v>0.72719483771570759</v>
      </c>
      <c r="R1168">
        <v>0.14360258088144651</v>
      </c>
      <c r="S1168">
        <v>0.45434158117361412</v>
      </c>
      <c r="T1168">
        <v>0.38056413808310202</v>
      </c>
      <c r="U1168">
        <v>4.4222873134892842</v>
      </c>
      <c r="V1168">
        <v>0.1151559613407446</v>
      </c>
      <c r="W1168">
        <v>3.3594670861465188</v>
      </c>
      <c r="X1168">
        <v>0.46202566678118701</v>
      </c>
      <c r="Z1168" t="s">
        <v>392</v>
      </c>
      <c r="AA1168">
        <v>140</v>
      </c>
      <c r="AB1168" t="s">
        <v>1559</v>
      </c>
      <c r="AC1168" t="str">
        <f>HYPERLINK("plots/20251231112652_3FT6Y119H04_05543_B21P_N_UFLEX98_M5358A8BA201511/dpll_52046/txpa_54186.png","plot")</f>
        <v>plot</v>
      </c>
    </row>
    <row r="1169" spans="1:29" x14ac:dyDescent="0.35">
      <c r="A1169" s="3" t="s">
        <v>47</v>
      </c>
      <c r="B1169">
        <v>52046</v>
      </c>
      <c r="C1169" t="s">
        <v>51</v>
      </c>
      <c r="D1169">
        <v>54187</v>
      </c>
      <c r="E1169" t="s">
        <v>207</v>
      </c>
      <c r="F1169">
        <v>7139</v>
      </c>
      <c r="G1169">
        <v>0.1744168942028152</v>
      </c>
      <c r="H1169">
        <v>7.135224941231718E-50</v>
      </c>
      <c r="I1169">
        <v>8.3546398272620809E-50</v>
      </c>
      <c r="J1169">
        <v>0.1367960370037615</v>
      </c>
      <c r="K1169">
        <v>3.6299613128637931E-31</v>
      </c>
      <c r="L1169">
        <v>4.0183196192618839E-31</v>
      </c>
      <c r="M1169">
        <v>9.0812823470292361E-2</v>
      </c>
      <c r="N1169">
        <v>1.2229096675980061E-30</v>
      </c>
      <c r="O1169">
        <v>1.347859133635194E-30</v>
      </c>
      <c r="P1169">
        <v>3.0421252983356031E-2</v>
      </c>
      <c r="Q1169">
        <v>0.68844175586596734</v>
      </c>
      <c r="R1169">
        <v>2.3130109627287618</v>
      </c>
      <c r="S1169">
        <v>0.44753417454012662</v>
      </c>
      <c r="T1169">
        <v>0.3738349916831103</v>
      </c>
      <c r="U1169">
        <v>4.4222873134892842</v>
      </c>
      <c r="V1169">
        <v>0.1151559613407446</v>
      </c>
      <c r="W1169">
        <v>5.3574982057711162</v>
      </c>
      <c r="X1169">
        <v>0.45453264482321037</v>
      </c>
      <c r="Z1169" t="s">
        <v>392</v>
      </c>
      <c r="AA1169">
        <v>140</v>
      </c>
      <c r="AB1169" t="s">
        <v>1560</v>
      </c>
      <c r="AC1169" t="str">
        <f>HYPERLINK("plots/20251231112652_3FT6Y119H04_05543_B21P_N_UFLEX98_M5358A8BA201511/dpll_52046/txpa_54187.png","plot")</f>
        <v>plot</v>
      </c>
    </row>
    <row r="1170" spans="1:29" x14ac:dyDescent="0.35">
      <c r="A1170" s="3" t="s">
        <v>47</v>
      </c>
      <c r="B1170">
        <v>52046</v>
      </c>
      <c r="C1170" t="s">
        <v>51</v>
      </c>
      <c r="D1170">
        <v>54188</v>
      </c>
      <c r="E1170" t="s">
        <v>208</v>
      </c>
      <c r="F1170">
        <v>7139</v>
      </c>
      <c r="G1170">
        <v>0.3141245548065571</v>
      </c>
      <c r="H1170">
        <v>2.972777289731615E-163</v>
      </c>
      <c r="I1170">
        <v>8.662057964907637E-163</v>
      </c>
      <c r="J1170">
        <v>0.29873754731798191</v>
      </c>
      <c r="K1170">
        <v>4.2192384238459032E-147</v>
      </c>
      <c r="L1170">
        <v>1.1625836309184089E-146</v>
      </c>
      <c r="M1170">
        <v>0.20006364540207969</v>
      </c>
      <c r="N1170">
        <v>9.1680914924684755E-142</v>
      </c>
      <c r="O1170">
        <v>2.479051939563476E-141</v>
      </c>
      <c r="P1170">
        <v>9.8674235932417698E-2</v>
      </c>
      <c r="Q1170">
        <v>0.7683674930222264</v>
      </c>
      <c r="R1170">
        <v>2.3857998645580079</v>
      </c>
      <c r="S1170">
        <v>0.26740159643340922</v>
      </c>
      <c r="T1170">
        <v>0.2091373242119261</v>
      </c>
      <c r="U1170">
        <v>4.4222873134892842</v>
      </c>
      <c r="V1170">
        <v>0.1151559613407446</v>
      </c>
      <c r="W1170">
        <v>5.7837416810477658</v>
      </c>
      <c r="X1170">
        <v>0.28167838511204912</v>
      </c>
      <c r="Z1170" t="s">
        <v>392</v>
      </c>
      <c r="AA1170">
        <v>140</v>
      </c>
      <c r="AB1170" t="s">
        <v>1561</v>
      </c>
      <c r="AC1170" t="str">
        <f>HYPERLINK("plots/20251231112652_3FT6Y119H04_05543_B21P_N_UFLEX98_M5358A8BA201511/dpll_52046/txpa_54188.png","plot")</f>
        <v>plot</v>
      </c>
    </row>
    <row r="1171" spans="1:29" x14ac:dyDescent="0.35">
      <c r="A1171" s="3" t="s">
        <v>47</v>
      </c>
      <c r="B1171">
        <v>52046</v>
      </c>
      <c r="C1171" t="s">
        <v>51</v>
      </c>
      <c r="D1171">
        <v>54189</v>
      </c>
      <c r="E1171" t="s">
        <v>209</v>
      </c>
      <c r="F1171">
        <v>7139</v>
      </c>
      <c r="G1171">
        <v>0.25102146475379461</v>
      </c>
      <c r="H1171">
        <v>5.1028084529650575E-103</v>
      </c>
      <c r="I1171">
        <v>8.3590432492836314E-103</v>
      </c>
      <c r="J1171">
        <v>0.22416587805866581</v>
      </c>
      <c r="K1171">
        <v>5.2685846803548733E-82</v>
      </c>
      <c r="L1171">
        <v>8.3474138529372522E-82</v>
      </c>
      <c r="M1171">
        <v>0.1505463015709676</v>
      </c>
      <c r="N1171">
        <v>4.066475340785126E-81</v>
      </c>
      <c r="O1171">
        <v>6.4327706638940983E-81</v>
      </c>
      <c r="P1171">
        <v>6.3011775767140552E-2</v>
      </c>
      <c r="Q1171">
        <v>0.69977592729061522</v>
      </c>
      <c r="R1171">
        <v>2.9346065644533108</v>
      </c>
      <c r="S1171">
        <v>0.31072143324616269</v>
      </c>
      <c r="T1171">
        <v>0.25059116507300022</v>
      </c>
      <c r="U1171">
        <v>4.4222873134892842</v>
      </c>
      <c r="V1171">
        <v>0.1151559613407446</v>
      </c>
      <c r="W1171">
        <v>6.0292167699957986</v>
      </c>
      <c r="X1171">
        <v>0.32102182858863931</v>
      </c>
      <c r="Z1171" t="s">
        <v>392</v>
      </c>
      <c r="AA1171">
        <v>140</v>
      </c>
      <c r="AB1171" t="s">
        <v>1562</v>
      </c>
      <c r="AC1171" t="str">
        <f>HYPERLINK("plots/20251231112652_3FT6Y119H04_05543_B21P_N_UFLEX98_M5358A8BA201511/dpll_52046/txpa_54189.png","plot")</f>
        <v>plot</v>
      </c>
    </row>
    <row r="1172" spans="1:29" x14ac:dyDescent="0.35">
      <c r="A1172" s="3" t="s">
        <v>47</v>
      </c>
      <c r="B1172">
        <v>52046</v>
      </c>
      <c r="C1172" t="s">
        <v>51</v>
      </c>
      <c r="D1172">
        <v>54190</v>
      </c>
      <c r="E1172" t="s">
        <v>210</v>
      </c>
      <c r="F1172">
        <v>7139</v>
      </c>
      <c r="G1172">
        <v>0.34441133123814249</v>
      </c>
      <c r="H1172">
        <v>5.6748625492691357E-198</v>
      </c>
      <c r="I1172">
        <v>2.9209698603852298E-197</v>
      </c>
      <c r="J1172">
        <v>0.32083206638483219</v>
      </c>
      <c r="K1172">
        <v>1.329157921963547E-170</v>
      </c>
      <c r="L1172">
        <v>4.7290039749860923E-170</v>
      </c>
      <c r="M1172">
        <v>0.21627950716067201</v>
      </c>
      <c r="N1172">
        <v>2.4688225347293491E-165</v>
      </c>
      <c r="O1172">
        <v>8.6622354678739096E-165</v>
      </c>
      <c r="P1172">
        <v>0.1186191650852295</v>
      </c>
      <c r="Q1172">
        <v>0.79959575566058594</v>
      </c>
      <c r="R1172">
        <v>2.2489638912533261</v>
      </c>
      <c r="S1172">
        <v>0.2509752272864017</v>
      </c>
      <c r="T1172">
        <v>0.19862291451622049</v>
      </c>
      <c r="U1172">
        <v>4.4222873134892842</v>
      </c>
      <c r="V1172">
        <v>0.1151559613407446</v>
      </c>
      <c r="W1172">
        <v>5.7850060574310129</v>
      </c>
      <c r="X1172">
        <v>0.26734956017868827</v>
      </c>
      <c r="Z1172" t="s">
        <v>392</v>
      </c>
      <c r="AA1172">
        <v>140</v>
      </c>
      <c r="AB1172" t="s">
        <v>1563</v>
      </c>
      <c r="AC1172" t="str">
        <f>HYPERLINK("plots/20251231112652_3FT6Y119H04_05543_B21P_N_UFLEX98_M5358A8BA201511/dpll_52046/txpa_54190.png","plot")</f>
        <v>plot</v>
      </c>
    </row>
    <row r="1173" spans="1:29" x14ac:dyDescent="0.35">
      <c r="A1173" s="3" t="s">
        <v>47</v>
      </c>
      <c r="B1173">
        <v>52046</v>
      </c>
      <c r="C1173" t="s">
        <v>51</v>
      </c>
      <c r="D1173">
        <v>54191</v>
      </c>
      <c r="E1173" t="s">
        <v>211</v>
      </c>
      <c r="F1173">
        <v>7139</v>
      </c>
      <c r="G1173">
        <v>0.27840786187649302</v>
      </c>
      <c r="H1173">
        <v>3.1181579397323762E-127</v>
      </c>
      <c r="I1173">
        <v>6.1996316684090773E-127</v>
      </c>
      <c r="J1173">
        <v>0.23936490629107371</v>
      </c>
      <c r="K1173">
        <v>1.426504879841777E-93</v>
      </c>
      <c r="L1173">
        <v>2.4982313439716089E-93</v>
      </c>
      <c r="M1173">
        <v>0.1600168015022328</v>
      </c>
      <c r="N1173">
        <v>2.135629657930102E-91</v>
      </c>
      <c r="O1173">
        <v>3.7595980436477832E-91</v>
      </c>
      <c r="P1173">
        <v>7.7510937554640391E-2</v>
      </c>
      <c r="Q1173">
        <v>0.70700011269849117</v>
      </c>
      <c r="R1173">
        <v>2.842773048663918</v>
      </c>
      <c r="S1173">
        <v>0.28085011554127548</v>
      </c>
      <c r="T1173">
        <v>0.22659970657370909</v>
      </c>
      <c r="U1173">
        <v>4.4222873134892842</v>
      </c>
      <c r="V1173">
        <v>0.1151559613407446</v>
      </c>
      <c r="W1173">
        <v>5.9693306776859503</v>
      </c>
      <c r="X1173">
        <v>0.29243167594860142</v>
      </c>
      <c r="Z1173" t="s">
        <v>392</v>
      </c>
      <c r="AA1173">
        <v>140</v>
      </c>
      <c r="AB1173" t="s">
        <v>1564</v>
      </c>
      <c r="AC1173" t="str">
        <f>HYPERLINK("plots/20251231112652_3FT6Y119H04_05543_B21P_N_UFLEX98_M5358A8BA201511/dpll_52046/txpa_54191.png","plot")</f>
        <v>plot</v>
      </c>
    </row>
    <row r="1174" spans="1:29" x14ac:dyDescent="0.35">
      <c r="A1174" s="3" t="s">
        <v>47</v>
      </c>
      <c r="B1174">
        <v>52046</v>
      </c>
      <c r="C1174" t="s">
        <v>51</v>
      </c>
      <c r="D1174">
        <v>54192</v>
      </c>
      <c r="E1174" t="s">
        <v>212</v>
      </c>
      <c r="F1174">
        <v>7139</v>
      </c>
      <c r="G1174">
        <v>0.36018708747426009</v>
      </c>
      <c r="H1174">
        <v>1.161819905110194E-217</v>
      </c>
      <c r="I1174">
        <v>9.0621952598595156E-217</v>
      </c>
      <c r="J1174">
        <v>0.32650473456073392</v>
      </c>
      <c r="K1174">
        <v>5.7407530035145316E-177</v>
      </c>
      <c r="L1174">
        <v>2.213354960290394E-176</v>
      </c>
      <c r="M1174">
        <v>0.21980496837410399</v>
      </c>
      <c r="N1174">
        <v>1.061697506638548E-170</v>
      </c>
      <c r="O1174">
        <v>4.0170196706398778E-170</v>
      </c>
      <c r="P1174">
        <v>0.1297347379831903</v>
      </c>
      <c r="Q1174">
        <v>0.7505044317092131</v>
      </c>
      <c r="R1174">
        <v>2.560292675021989</v>
      </c>
      <c r="S1174">
        <v>0.223824154079341</v>
      </c>
      <c r="T1174">
        <v>0.17680576959195859</v>
      </c>
      <c r="U1174">
        <v>4.4222873134892842</v>
      </c>
      <c r="V1174">
        <v>0.1151559613407446</v>
      </c>
      <c r="W1174">
        <v>5.8792389020871267</v>
      </c>
      <c r="X1174">
        <v>0.2399449128784768</v>
      </c>
      <c r="Z1174" t="s">
        <v>392</v>
      </c>
      <c r="AA1174">
        <v>140</v>
      </c>
      <c r="AB1174" t="s">
        <v>1565</v>
      </c>
      <c r="AC1174" t="str">
        <f>HYPERLINK("plots/20251231112652_3FT6Y119H04_05543_B21P_N_UFLEX98_M5358A8BA201511/dpll_52046/txpa_54192.png","plot")</f>
        <v>plot</v>
      </c>
    </row>
    <row r="1175" spans="1:29" x14ac:dyDescent="0.35">
      <c r="A1175" s="3" t="s">
        <v>47</v>
      </c>
      <c r="B1175">
        <v>52046</v>
      </c>
      <c r="C1175" t="s">
        <v>51</v>
      </c>
      <c r="D1175">
        <v>54193</v>
      </c>
      <c r="E1175" t="s">
        <v>213</v>
      </c>
      <c r="F1175">
        <v>7139</v>
      </c>
      <c r="G1175">
        <v>0.27057504237824781</v>
      </c>
      <c r="H1175">
        <v>5.1712308241309313E-120</v>
      </c>
      <c r="I1175">
        <v>9.6942160700941437E-120</v>
      </c>
      <c r="J1175">
        <v>0.24248316045409449</v>
      </c>
      <c r="K1175">
        <v>4.7489714701885583E-96</v>
      </c>
      <c r="L1175">
        <v>8.5532097171779705E-96</v>
      </c>
      <c r="M1175">
        <v>0.16259827170275451</v>
      </c>
      <c r="N1175">
        <v>2.6264582965470239E-94</v>
      </c>
      <c r="O1175">
        <v>4.7557655583905049E-94</v>
      </c>
      <c r="P1175">
        <v>7.3210853557990604E-2</v>
      </c>
      <c r="Q1175">
        <v>0.65398060288597448</v>
      </c>
      <c r="R1175">
        <v>3.009721142172697</v>
      </c>
      <c r="S1175">
        <v>0.26793139657087289</v>
      </c>
      <c r="T1175">
        <v>0.2114926651835165</v>
      </c>
      <c r="U1175">
        <v>4.4222873134892842</v>
      </c>
      <c r="V1175">
        <v>0.1151559613407446</v>
      </c>
      <c r="W1175">
        <v>5.9018112655834152</v>
      </c>
      <c r="X1175">
        <v>0.27833226731331551</v>
      </c>
      <c r="Z1175" t="s">
        <v>392</v>
      </c>
      <c r="AA1175">
        <v>140</v>
      </c>
      <c r="AB1175" t="s">
        <v>1566</v>
      </c>
      <c r="AC1175" t="str">
        <f>HYPERLINK("plots/20251231112652_3FT6Y119H04_05543_B21P_N_UFLEX98_M5358A8BA201511/dpll_52046/txpa_54193.png","plot")</f>
        <v>plot</v>
      </c>
    </row>
    <row r="1176" spans="1:29" x14ac:dyDescent="0.35">
      <c r="A1176" s="3" t="s">
        <v>47</v>
      </c>
      <c r="B1176">
        <v>52046</v>
      </c>
      <c r="C1176" t="s">
        <v>51</v>
      </c>
      <c r="D1176">
        <v>54194</v>
      </c>
      <c r="E1176" t="s">
        <v>214</v>
      </c>
      <c r="F1176">
        <v>7139</v>
      </c>
      <c r="G1176">
        <v>0.1920537427870373</v>
      </c>
      <c r="H1176">
        <v>2.7939332738411631E-60</v>
      </c>
      <c r="I1176">
        <v>3.3646654865498088E-60</v>
      </c>
      <c r="J1176">
        <v>0.15530362372480769</v>
      </c>
      <c r="K1176">
        <v>8.7885991586493785E-40</v>
      </c>
      <c r="L1176">
        <v>1.0338328940684999E-39</v>
      </c>
      <c r="M1176">
        <v>0.10344839090129949</v>
      </c>
      <c r="N1176">
        <v>2.9813596196652617E-39</v>
      </c>
      <c r="O1176">
        <v>3.511148262881041E-39</v>
      </c>
      <c r="P1176">
        <v>3.6884640118509483E-2</v>
      </c>
      <c r="Q1176">
        <v>0.72560535188123387</v>
      </c>
      <c r="R1176">
        <v>2.05399601903077</v>
      </c>
      <c r="S1176">
        <v>0.42694591511076468</v>
      </c>
      <c r="T1176">
        <v>0.3575602377664453</v>
      </c>
      <c r="U1176">
        <v>4.4222873134892842</v>
      </c>
      <c r="V1176">
        <v>0.1151559613407446</v>
      </c>
      <c r="W1176">
        <v>5.2628313612550794</v>
      </c>
      <c r="X1176">
        <v>0.43507499847335712</v>
      </c>
      <c r="Z1176" t="s">
        <v>392</v>
      </c>
      <c r="AA1176">
        <v>140</v>
      </c>
      <c r="AB1176" t="s">
        <v>1567</v>
      </c>
      <c r="AC1176" t="str">
        <f>HYPERLINK("plots/20251231112652_3FT6Y119H04_05543_B21P_N_UFLEX98_M5358A8BA201511/dpll_52046/txpa_54194.png","plot")</f>
        <v>plot</v>
      </c>
    </row>
    <row r="1177" spans="1:29" x14ac:dyDescent="0.35">
      <c r="A1177" s="3" t="s">
        <v>47</v>
      </c>
      <c r="B1177">
        <v>52046</v>
      </c>
      <c r="C1177" t="s">
        <v>51</v>
      </c>
      <c r="D1177">
        <v>54195</v>
      </c>
      <c r="E1177" t="s">
        <v>215</v>
      </c>
      <c r="F1177">
        <v>7139</v>
      </c>
      <c r="G1177">
        <v>0.19245858246346539</v>
      </c>
      <c r="H1177">
        <v>1.5660339550393789E-60</v>
      </c>
      <c r="I1177">
        <v>1.8949384611097021E-60</v>
      </c>
      <c r="J1177">
        <v>0.15304012325189981</v>
      </c>
      <c r="K1177">
        <v>1.143424411342051E-38</v>
      </c>
      <c r="L1177">
        <v>1.337292218109388E-38</v>
      </c>
      <c r="M1177">
        <v>0.10165285097959841</v>
      </c>
      <c r="N1177">
        <v>5.8298993252845888E-38</v>
      </c>
      <c r="O1177">
        <v>6.8105045113347621E-38</v>
      </c>
      <c r="P1177">
        <v>3.7040305963846498E-2</v>
      </c>
      <c r="Q1177">
        <v>0.69852166133546101</v>
      </c>
      <c r="R1177">
        <v>4.5408610688156976</v>
      </c>
      <c r="S1177">
        <v>0.41011216931949879</v>
      </c>
      <c r="T1177">
        <v>0.34163442924347492</v>
      </c>
      <c r="U1177">
        <v>4.4222873134892842</v>
      </c>
      <c r="V1177">
        <v>0.1151559613407446</v>
      </c>
      <c r="W1177">
        <v>7.6299245499369652</v>
      </c>
      <c r="X1177">
        <v>0.41795451467428768</v>
      </c>
      <c r="Z1177" t="s">
        <v>392</v>
      </c>
      <c r="AA1177">
        <v>140</v>
      </c>
      <c r="AB1177" t="s">
        <v>1568</v>
      </c>
      <c r="AC1177" t="str">
        <f>HYPERLINK("plots/20251231112652_3FT6Y119H04_05543_B21P_N_UFLEX98_M5358A8BA201511/dpll_52046/txpa_54195.png","plot")</f>
        <v>plot</v>
      </c>
    </row>
    <row r="1178" spans="1:29" x14ac:dyDescent="0.35">
      <c r="A1178" s="3" t="s">
        <v>47</v>
      </c>
      <c r="B1178">
        <v>52046</v>
      </c>
      <c r="C1178" t="s">
        <v>51</v>
      </c>
      <c r="D1178">
        <v>54196</v>
      </c>
      <c r="E1178" t="s">
        <v>216</v>
      </c>
      <c r="F1178">
        <v>7139</v>
      </c>
      <c r="G1178">
        <v>0.33402822184517278</v>
      </c>
      <c r="H1178">
        <v>1.271681629628702E-185</v>
      </c>
      <c r="I1178">
        <v>5.0370514548574373E-185</v>
      </c>
      <c r="J1178">
        <v>0.32229124349538002</v>
      </c>
      <c r="K1178">
        <v>3.1587981478346149E-172</v>
      </c>
      <c r="L1178">
        <v>1.1689858839066789E-171</v>
      </c>
      <c r="M1178">
        <v>0.2166395077121851</v>
      </c>
      <c r="N1178">
        <v>7.0420206219738864E-166</v>
      </c>
      <c r="O1178">
        <v>2.5231833606648479E-165</v>
      </c>
      <c r="P1178">
        <v>0.111574852989048</v>
      </c>
      <c r="Q1178">
        <v>0.77547179337038274</v>
      </c>
      <c r="R1178">
        <v>4.5810297705853369</v>
      </c>
      <c r="S1178">
        <v>0.25197025265826911</v>
      </c>
      <c r="T1178">
        <v>0.195724989728431</v>
      </c>
      <c r="U1178">
        <v>4.4222873134892842</v>
      </c>
      <c r="V1178">
        <v>0.1151559613407446</v>
      </c>
      <c r="W1178">
        <v>8.0103888443759637</v>
      </c>
      <c r="X1178">
        <v>0.2673432782562597</v>
      </c>
      <c r="Z1178" t="s">
        <v>392</v>
      </c>
      <c r="AA1178">
        <v>140</v>
      </c>
      <c r="AB1178" t="s">
        <v>1569</v>
      </c>
      <c r="AC1178" t="str">
        <f>HYPERLINK("plots/20251231112652_3FT6Y119H04_05543_B21P_N_UFLEX98_M5358A8BA201511/dpll_52046/txpa_54196.png","plot")</f>
        <v>plot</v>
      </c>
    </row>
    <row r="1179" spans="1:29" x14ac:dyDescent="0.35">
      <c r="A1179" s="3" t="s">
        <v>47</v>
      </c>
      <c r="B1179">
        <v>52046</v>
      </c>
      <c r="C1179" t="s">
        <v>51</v>
      </c>
      <c r="D1179">
        <v>54197</v>
      </c>
      <c r="E1179" t="s">
        <v>217</v>
      </c>
      <c r="F1179">
        <v>7139</v>
      </c>
      <c r="G1179">
        <v>0.27441689885018838</v>
      </c>
      <c r="H1179">
        <v>1.5933296236971018E-123</v>
      </c>
      <c r="I1179">
        <v>3.0657234125784839E-123</v>
      </c>
      <c r="J1179">
        <v>0.2481298007873482</v>
      </c>
      <c r="K1179">
        <v>1.2540958154908099E-100</v>
      </c>
      <c r="L1179">
        <v>2.3549132535327439E-100</v>
      </c>
      <c r="M1179">
        <v>0.16704790300189859</v>
      </c>
      <c r="N1179">
        <v>1.9664074342216779E-99</v>
      </c>
      <c r="O1179">
        <v>3.6993267871999663E-99</v>
      </c>
      <c r="P1179">
        <v>7.5304634374554549E-2</v>
      </c>
      <c r="Q1179">
        <v>0.71349889053751914</v>
      </c>
      <c r="R1179">
        <v>5.066858232882586</v>
      </c>
      <c r="S1179">
        <v>0.28789743568245529</v>
      </c>
      <c r="T1179">
        <v>0.23033415232725599</v>
      </c>
      <c r="U1179">
        <v>4.4222873134892842</v>
      </c>
      <c r="V1179">
        <v>0.1151559613407446</v>
      </c>
      <c r="W1179">
        <v>8.2221553246953363</v>
      </c>
      <c r="X1179">
        <v>0.29941177456515922</v>
      </c>
      <c r="Z1179" t="s">
        <v>392</v>
      </c>
      <c r="AA1179">
        <v>140</v>
      </c>
      <c r="AB1179" t="s">
        <v>1570</v>
      </c>
      <c r="AC1179" t="str">
        <f>HYPERLINK("plots/20251231112652_3FT6Y119H04_05543_B21P_N_UFLEX98_M5358A8BA201511/dpll_52046/txpa_54197.png","plot")</f>
        <v>plot</v>
      </c>
    </row>
    <row r="1180" spans="1:29" x14ac:dyDescent="0.35">
      <c r="A1180" s="3" t="s">
        <v>47</v>
      </c>
      <c r="B1180">
        <v>52046</v>
      </c>
      <c r="C1180" t="s">
        <v>51</v>
      </c>
      <c r="D1180">
        <v>54198</v>
      </c>
      <c r="E1180" t="s">
        <v>218</v>
      </c>
      <c r="F1180">
        <v>7139</v>
      </c>
      <c r="G1180">
        <v>0.36495661068975949</v>
      </c>
      <c r="H1180">
        <v>7.7279528138541247E-224</v>
      </c>
      <c r="I1180">
        <v>7.3925888238189449E-223</v>
      </c>
      <c r="J1180">
        <v>0.34420479495892758</v>
      </c>
      <c r="K1180">
        <v>1.009893653868664E-197</v>
      </c>
      <c r="L1180">
        <v>4.6973952523982798E-197</v>
      </c>
      <c r="M1180">
        <v>0.23299113506629221</v>
      </c>
      <c r="N1180">
        <v>1.5320939150565511E-191</v>
      </c>
      <c r="O1180">
        <v>6.8137860959093979E-191</v>
      </c>
      <c r="P1180">
        <v>0.13319332768615669</v>
      </c>
      <c r="Q1180">
        <v>0.80491305025394155</v>
      </c>
      <c r="R1180">
        <v>4.4514628941990244</v>
      </c>
      <c r="S1180">
        <v>0.23644212995395489</v>
      </c>
      <c r="T1180">
        <v>0.18544395960978241</v>
      </c>
      <c r="U1180">
        <v>4.4222873134892842</v>
      </c>
      <c r="V1180">
        <v>0.1151559613407446</v>
      </c>
      <c r="W1180">
        <v>8.011019664798992</v>
      </c>
      <c r="X1180">
        <v>0.25397686569513211</v>
      </c>
      <c r="Z1180" t="s">
        <v>392</v>
      </c>
      <c r="AA1180">
        <v>140</v>
      </c>
      <c r="AB1180" t="s">
        <v>1571</v>
      </c>
      <c r="AC1180" t="str">
        <f>HYPERLINK("plots/20251231112652_3FT6Y119H04_05543_B21P_N_UFLEX98_M5358A8BA201511/dpll_52046/txpa_54198.png","plot")</f>
        <v>plot</v>
      </c>
    </row>
    <row r="1181" spans="1:29" x14ac:dyDescent="0.35">
      <c r="A1181" s="3" t="s">
        <v>47</v>
      </c>
      <c r="B1181">
        <v>52046</v>
      </c>
      <c r="C1181" t="s">
        <v>51</v>
      </c>
      <c r="D1181">
        <v>54199</v>
      </c>
      <c r="E1181" t="s">
        <v>219</v>
      </c>
      <c r="F1181">
        <v>7139</v>
      </c>
      <c r="G1181">
        <v>0.30327322804801998</v>
      </c>
      <c r="H1181">
        <v>9.2331592031821286E-152</v>
      </c>
      <c r="I1181">
        <v>2.4006213928273539E-151</v>
      </c>
      <c r="J1181">
        <v>0.26454333545285957</v>
      </c>
      <c r="K1181">
        <v>1.292119241287737E-114</v>
      </c>
      <c r="L1181">
        <v>2.668449919889543E-114</v>
      </c>
      <c r="M1181">
        <v>0.17726269590417629</v>
      </c>
      <c r="N1181">
        <v>1.0163935989720701E-111</v>
      </c>
      <c r="O1181">
        <v>2.0778691720920951E-111</v>
      </c>
      <c r="P1181">
        <v>9.1974650850666362E-2</v>
      </c>
      <c r="Q1181">
        <v>0.72050831741310628</v>
      </c>
      <c r="R1181">
        <v>4.991446256406304</v>
      </c>
      <c r="S1181">
        <v>0.2606813234119908</v>
      </c>
      <c r="T1181">
        <v>0.20904786787195451</v>
      </c>
      <c r="U1181">
        <v>4.4222873134892842</v>
      </c>
      <c r="V1181">
        <v>0.1151559613407446</v>
      </c>
      <c r="W1181">
        <v>8.1777410477657941</v>
      </c>
      <c r="X1181">
        <v>0.27358441257653998</v>
      </c>
      <c r="Z1181" t="s">
        <v>392</v>
      </c>
      <c r="AA1181">
        <v>140</v>
      </c>
      <c r="AB1181" t="s">
        <v>1572</v>
      </c>
      <c r="AC1181" t="str">
        <f>HYPERLINK("plots/20251231112652_3FT6Y119H04_05543_B21P_N_UFLEX98_M5358A8BA201511/dpll_52046/txpa_54199.png","plot")</f>
        <v>plot</v>
      </c>
    </row>
    <row r="1182" spans="1:29" x14ac:dyDescent="0.35">
      <c r="A1182" s="3" t="s">
        <v>47</v>
      </c>
      <c r="B1182">
        <v>52046</v>
      </c>
      <c r="C1182" t="s">
        <v>51</v>
      </c>
      <c r="D1182">
        <v>54200</v>
      </c>
      <c r="E1182" t="s">
        <v>220</v>
      </c>
      <c r="F1182">
        <v>7139</v>
      </c>
      <c r="G1182">
        <v>0.38256604830160701</v>
      </c>
      <c r="H1182">
        <v>1.418798785988741E-247</v>
      </c>
      <c r="I1182">
        <v>2.877323937985168E-246</v>
      </c>
      <c r="J1182">
        <v>0.35163684148258101</v>
      </c>
      <c r="K1182">
        <v>7.5220248487850945E-207</v>
      </c>
      <c r="L1182">
        <v>4.0356260299831137E-206</v>
      </c>
      <c r="M1182">
        <v>0.23788718827961139</v>
      </c>
      <c r="N1182">
        <v>1.3788139493701859E-199</v>
      </c>
      <c r="O1182">
        <v>6.8872775599082176E-199</v>
      </c>
      <c r="P1182">
        <v>0.1463567813131075</v>
      </c>
      <c r="Q1182">
        <v>0.76065520562587019</v>
      </c>
      <c r="R1182">
        <v>4.7284100412109051</v>
      </c>
      <c r="S1182">
        <v>0.21153177819271049</v>
      </c>
      <c r="T1182">
        <v>0.1653615575800699</v>
      </c>
      <c r="U1182">
        <v>4.4222873134892842</v>
      </c>
      <c r="V1182">
        <v>0.1151559613407446</v>
      </c>
      <c r="W1182">
        <v>8.0922459069897741</v>
      </c>
      <c r="X1182">
        <v>0.22896433659379939</v>
      </c>
      <c r="Z1182" t="s">
        <v>392</v>
      </c>
      <c r="AA1182">
        <v>140</v>
      </c>
      <c r="AB1182" t="s">
        <v>1573</v>
      </c>
      <c r="AC1182" t="str">
        <f>HYPERLINK("plots/20251231112652_3FT6Y119H04_05543_B21P_N_UFLEX98_M5358A8BA201511/dpll_52046/txpa_54200.png","plot")</f>
        <v>plot</v>
      </c>
    </row>
    <row r="1183" spans="1:29" x14ac:dyDescent="0.35">
      <c r="A1183" s="3" t="s">
        <v>47</v>
      </c>
      <c r="B1183">
        <v>52046</v>
      </c>
      <c r="C1183" t="s">
        <v>51</v>
      </c>
      <c r="D1183">
        <v>54201</v>
      </c>
      <c r="E1183" t="s">
        <v>221</v>
      </c>
      <c r="F1183">
        <v>7139</v>
      </c>
      <c r="G1183">
        <v>0.29516075834246208</v>
      </c>
      <c r="H1183">
        <v>1.741604766149639E-143</v>
      </c>
      <c r="I1183">
        <v>4.1069470531993809E-143</v>
      </c>
      <c r="J1183">
        <v>0.26501803104693772</v>
      </c>
      <c r="K1183">
        <v>4.9155274362527002E-115</v>
      </c>
      <c r="L1183">
        <v>1.0172132286449469E-114</v>
      </c>
      <c r="M1183">
        <v>0.1781538433168964</v>
      </c>
      <c r="N1183">
        <v>7.9558901404242408E-113</v>
      </c>
      <c r="O1183">
        <v>1.6497489984438E-112</v>
      </c>
      <c r="P1183">
        <v>8.7119873265297298E-2</v>
      </c>
      <c r="Q1183">
        <v>0.67022035115616241</v>
      </c>
      <c r="R1183">
        <v>5.1537292384048357</v>
      </c>
      <c r="S1183">
        <v>0.2498169351173154</v>
      </c>
      <c r="T1183">
        <v>0.19687959679485861</v>
      </c>
      <c r="U1183">
        <v>4.4222873134892842</v>
      </c>
      <c r="V1183">
        <v>0.1151559613407446</v>
      </c>
      <c r="W1183">
        <v>8.1176361945650655</v>
      </c>
      <c r="X1183">
        <v>0.26148417994634282</v>
      </c>
      <c r="Z1183" t="s">
        <v>392</v>
      </c>
      <c r="AA1183">
        <v>140</v>
      </c>
      <c r="AB1183" t="s">
        <v>1574</v>
      </c>
      <c r="AC1183" t="str">
        <f>HYPERLINK("plots/20251231112652_3FT6Y119H04_05543_B21P_N_UFLEX98_M5358A8BA201511/dpll_52046/txpa_54201.png","plot")</f>
        <v>plot</v>
      </c>
    </row>
    <row r="1184" spans="1:29" x14ac:dyDescent="0.35">
      <c r="A1184" s="3" t="s">
        <v>47</v>
      </c>
      <c r="B1184">
        <v>52046</v>
      </c>
      <c r="C1184" t="s">
        <v>51</v>
      </c>
      <c r="D1184">
        <v>54202</v>
      </c>
      <c r="E1184" t="s">
        <v>222</v>
      </c>
      <c r="F1184">
        <v>7139</v>
      </c>
      <c r="G1184">
        <v>0.20975651607500709</v>
      </c>
      <c r="H1184">
        <v>8.311914487259636E-72</v>
      </c>
      <c r="I1184">
        <v>1.075035878836897E-71</v>
      </c>
      <c r="J1184">
        <v>0.17030033767814531</v>
      </c>
      <c r="K1184">
        <v>1.3497106404544529E-47</v>
      </c>
      <c r="L1184">
        <v>1.6351333206939251E-47</v>
      </c>
      <c r="M1184">
        <v>0.1135474878793543</v>
      </c>
      <c r="N1184">
        <v>6.2297963110018573E-47</v>
      </c>
      <c r="O1184">
        <v>7.5472084341169463E-47</v>
      </c>
      <c r="P1184">
        <v>4.3997796035924693E-2</v>
      </c>
      <c r="Q1184">
        <v>0.72869453720317612</v>
      </c>
      <c r="R1184">
        <v>4.3256002384941681</v>
      </c>
      <c r="S1184">
        <v>0.39112493640420848</v>
      </c>
      <c r="T1184">
        <v>0.32685880914495569</v>
      </c>
      <c r="U1184">
        <v>4.4222873134892842</v>
      </c>
      <c r="V1184">
        <v>0.1151559613407446</v>
      </c>
      <c r="W1184">
        <v>7.548096845776719</v>
      </c>
      <c r="X1184">
        <v>0.4000520294939206</v>
      </c>
      <c r="Z1184" t="s">
        <v>392</v>
      </c>
      <c r="AA1184">
        <v>140</v>
      </c>
      <c r="AB1184" t="s">
        <v>1575</v>
      </c>
      <c r="AC1184" t="str">
        <f>HYPERLINK("plots/20251231112652_3FT6Y119H04_05543_B21P_N_UFLEX98_M5358A8BA201511/dpll_52046/txpa_54202.png","plot")</f>
        <v>plot</v>
      </c>
    </row>
    <row r="1185" spans="1:29" x14ac:dyDescent="0.35">
      <c r="A1185" s="3" t="s">
        <v>47</v>
      </c>
      <c r="B1185">
        <v>52046</v>
      </c>
      <c r="C1185" t="s">
        <v>51</v>
      </c>
      <c r="D1185">
        <v>54203</v>
      </c>
      <c r="E1185" t="s">
        <v>223</v>
      </c>
      <c r="F1185">
        <v>7139</v>
      </c>
      <c r="G1185">
        <v>0.2021972732860009</v>
      </c>
      <c r="H1185">
        <v>9.452555346852565E-67</v>
      </c>
      <c r="I1185">
        <v>1.195123581260412E-66</v>
      </c>
      <c r="J1185">
        <v>0.1615670021079543</v>
      </c>
      <c r="K1185">
        <v>5.9140916784103913E-43</v>
      </c>
      <c r="L1185">
        <v>7.063473453366474E-43</v>
      </c>
      <c r="M1185">
        <v>0.1073164764063342</v>
      </c>
      <c r="N1185">
        <v>4.133717662534841E-42</v>
      </c>
      <c r="O1185">
        <v>4.9254873205761787E-42</v>
      </c>
      <c r="P1185">
        <v>4.088373732429372E-2</v>
      </c>
      <c r="Q1185">
        <v>0.70399741796832316</v>
      </c>
      <c r="R1185">
        <v>5.5147695344371801</v>
      </c>
      <c r="S1185">
        <v>0.39263354859406091</v>
      </c>
      <c r="T1185">
        <v>0.32626195109734329</v>
      </c>
      <c r="U1185">
        <v>4.4222873134892842</v>
      </c>
      <c r="V1185">
        <v>0.1151559613407446</v>
      </c>
      <c r="W1185">
        <v>8.628048384647709</v>
      </c>
      <c r="X1185">
        <v>0.4009425949719625</v>
      </c>
      <c r="Z1185" t="s">
        <v>392</v>
      </c>
      <c r="AA1185">
        <v>140</v>
      </c>
      <c r="AB1185" t="s">
        <v>1576</v>
      </c>
      <c r="AC1185" t="str">
        <f>HYPERLINK("plots/20251231112652_3FT6Y119H04_05543_B21P_N_UFLEX98_M5358A8BA201511/dpll_52046/txpa_54203.png","plot")</f>
        <v>plot</v>
      </c>
    </row>
    <row r="1186" spans="1:29" x14ac:dyDescent="0.35">
      <c r="A1186" s="3" t="s">
        <v>47</v>
      </c>
      <c r="B1186">
        <v>52046</v>
      </c>
      <c r="C1186" t="s">
        <v>51</v>
      </c>
      <c r="D1186">
        <v>54204</v>
      </c>
      <c r="E1186" t="s">
        <v>224</v>
      </c>
      <c r="F1186">
        <v>7139</v>
      </c>
      <c r="G1186">
        <v>0.34299511536382787</v>
      </c>
      <c r="H1186">
        <v>2.9280733112863788E-196</v>
      </c>
      <c r="I1186">
        <v>1.44832504275336E-195</v>
      </c>
      <c r="J1186">
        <v>0.33361784578880138</v>
      </c>
      <c r="K1186">
        <v>3.8263243317736963E-185</v>
      </c>
      <c r="L1186">
        <v>1.5966637335055669E-184</v>
      </c>
      <c r="M1186">
        <v>0.22484181555333349</v>
      </c>
      <c r="N1186">
        <v>1.6120414136526011E-178</v>
      </c>
      <c r="O1186">
        <v>6.5384399737749516E-178</v>
      </c>
      <c r="P1186">
        <v>0.1176456491634456</v>
      </c>
      <c r="Q1186">
        <v>0.78043257981095704</v>
      </c>
      <c r="R1186">
        <v>5.5339989590183958</v>
      </c>
      <c r="S1186">
        <v>0.24610757302367589</v>
      </c>
      <c r="T1186">
        <v>0.190160201393793</v>
      </c>
      <c r="U1186">
        <v>4.4222873134892842</v>
      </c>
      <c r="V1186">
        <v>0.1151559613407446</v>
      </c>
      <c r="W1186">
        <v>8.9852960557501049</v>
      </c>
      <c r="X1186">
        <v>0.26201966140082811</v>
      </c>
      <c r="Z1186" t="s">
        <v>392</v>
      </c>
      <c r="AA1186">
        <v>140</v>
      </c>
      <c r="AB1186" t="s">
        <v>1577</v>
      </c>
      <c r="AC1186" t="str">
        <f>HYPERLINK("plots/20251231112652_3FT6Y119H04_05543_B21P_N_UFLEX98_M5358A8BA201511/dpll_52046/txpa_54204.png","plot")</f>
        <v>plot</v>
      </c>
    </row>
    <row r="1187" spans="1:29" x14ac:dyDescent="0.35">
      <c r="A1187" s="3" t="s">
        <v>47</v>
      </c>
      <c r="B1187">
        <v>52046</v>
      </c>
      <c r="C1187" t="s">
        <v>51</v>
      </c>
      <c r="D1187">
        <v>54205</v>
      </c>
      <c r="E1187" t="s">
        <v>225</v>
      </c>
      <c r="F1187">
        <v>7139</v>
      </c>
      <c r="G1187">
        <v>0.2865591846080065</v>
      </c>
      <c r="H1187">
        <v>5.3119906187308757E-135</v>
      </c>
      <c r="I1187">
        <v>1.14360052810894E-134</v>
      </c>
      <c r="J1187">
        <v>0.26164874605811389</v>
      </c>
      <c r="K1187">
        <v>4.4884433999785794E-112</v>
      </c>
      <c r="L1187">
        <v>9.0843944263039496E-112</v>
      </c>
      <c r="M1187">
        <v>0.17638906122936779</v>
      </c>
      <c r="N1187">
        <v>1.218989990416056E-110</v>
      </c>
      <c r="O1187">
        <v>2.4671773458720191E-110</v>
      </c>
      <c r="P1187">
        <v>8.2116166283205547E-2</v>
      </c>
      <c r="Q1187">
        <v>0.72090189282936123</v>
      </c>
      <c r="R1187">
        <v>5.9919035372596881</v>
      </c>
      <c r="S1187">
        <v>0.2775311272136014</v>
      </c>
      <c r="T1187">
        <v>0.220649670800634</v>
      </c>
      <c r="U1187">
        <v>4.4222873134892842</v>
      </c>
      <c r="V1187">
        <v>0.1151559613407446</v>
      </c>
      <c r="W1187">
        <v>9.179938832189384</v>
      </c>
      <c r="X1187">
        <v>0.28969984198792298</v>
      </c>
      <c r="Z1187" t="s">
        <v>392</v>
      </c>
      <c r="AA1187">
        <v>140</v>
      </c>
      <c r="AB1187" t="s">
        <v>1578</v>
      </c>
      <c r="AC1187" t="str">
        <f>HYPERLINK("plots/20251231112652_3FT6Y119H04_05543_B21P_N_UFLEX98_M5358A8BA201511/dpll_52046/txpa_54205.png","plot")</f>
        <v>plot</v>
      </c>
    </row>
    <row r="1188" spans="1:29" x14ac:dyDescent="0.35">
      <c r="A1188" s="3" t="s">
        <v>47</v>
      </c>
      <c r="B1188">
        <v>52046</v>
      </c>
      <c r="C1188" t="s">
        <v>51</v>
      </c>
      <c r="D1188">
        <v>54206</v>
      </c>
      <c r="E1188" t="s">
        <v>226</v>
      </c>
      <c r="F1188">
        <v>7139</v>
      </c>
      <c r="G1188">
        <v>0.37387924937486178</v>
      </c>
      <c r="H1188">
        <v>1.1115606356813721E-235</v>
      </c>
      <c r="I1188">
        <v>1.5874964571562129E-234</v>
      </c>
      <c r="J1188">
        <v>0.35520835987614718</v>
      </c>
      <c r="K1188">
        <v>2.51798817557089E-211</v>
      </c>
      <c r="L1188">
        <v>1.450704551152774E-210</v>
      </c>
      <c r="M1188">
        <v>0.24108394672900779</v>
      </c>
      <c r="N1188">
        <v>6.2424516091831146E-205</v>
      </c>
      <c r="O1188">
        <v>3.3849443485089202E-204</v>
      </c>
      <c r="P1188">
        <v>0.13978569311311009</v>
      </c>
      <c r="Q1188">
        <v>0.8088289292934383</v>
      </c>
      <c r="R1188">
        <v>5.4085512796664368</v>
      </c>
      <c r="S1188">
        <v>0.2310386567229816</v>
      </c>
      <c r="T1188">
        <v>0.1800187668938496</v>
      </c>
      <c r="U1188">
        <v>4.4222873134892842</v>
      </c>
      <c r="V1188">
        <v>0.1151559613407446</v>
      </c>
      <c r="W1188">
        <v>8.9854251924639303</v>
      </c>
      <c r="X1188">
        <v>0.24912180354680449</v>
      </c>
      <c r="Z1188" t="s">
        <v>392</v>
      </c>
      <c r="AA1188">
        <v>140</v>
      </c>
      <c r="AB1188" t="s">
        <v>1579</v>
      </c>
      <c r="AC1188" t="str">
        <f>HYPERLINK("plots/20251231112652_3FT6Y119H04_05543_B21P_N_UFLEX98_M5358A8BA201511/dpll_52046/txpa_54206.png","plot")</f>
        <v>plot</v>
      </c>
    </row>
    <row r="1189" spans="1:29" x14ac:dyDescent="0.35">
      <c r="A1189" s="3" t="s">
        <v>47</v>
      </c>
      <c r="B1189">
        <v>52046</v>
      </c>
      <c r="C1189" t="s">
        <v>51</v>
      </c>
      <c r="D1189">
        <v>54207</v>
      </c>
      <c r="E1189" t="s">
        <v>227</v>
      </c>
      <c r="F1189">
        <v>7139</v>
      </c>
      <c r="G1189">
        <v>0.31562695515139688</v>
      </c>
      <c r="H1189">
        <v>6.9728125543809738E-165</v>
      </c>
      <c r="I1189">
        <v>2.0553581192274151E-164</v>
      </c>
      <c r="J1189">
        <v>0.27786235988612412</v>
      </c>
      <c r="K1189">
        <v>1.010305131079966E-126</v>
      </c>
      <c r="L1189">
        <v>2.333597728735958E-126</v>
      </c>
      <c r="M1189">
        <v>0.1864124723079536</v>
      </c>
      <c r="N1189">
        <v>2.425616661723809E-123</v>
      </c>
      <c r="O1189">
        <v>5.5520887020043848E-123</v>
      </c>
      <c r="P1189">
        <v>9.9620374818141899E-2</v>
      </c>
      <c r="Q1189">
        <v>0.72780488293240997</v>
      </c>
      <c r="R1189">
        <v>5.9248480743548662</v>
      </c>
      <c r="S1189">
        <v>0.25194730355720552</v>
      </c>
      <c r="T1189">
        <v>0.20098588738696671</v>
      </c>
      <c r="U1189">
        <v>4.4222873134892842</v>
      </c>
      <c r="V1189">
        <v>0.1151559613407446</v>
      </c>
      <c r="W1189">
        <v>9.143410374842416</v>
      </c>
      <c r="X1189">
        <v>0.2655383819242183</v>
      </c>
      <c r="Z1189" t="s">
        <v>392</v>
      </c>
      <c r="AA1189">
        <v>140</v>
      </c>
      <c r="AB1189" t="s">
        <v>1580</v>
      </c>
      <c r="AC1189" t="str">
        <f>HYPERLINK("plots/20251231112652_3FT6Y119H04_05543_B21P_N_UFLEX98_M5358A8BA201511/dpll_52046/txpa_54207.png","plot")</f>
        <v>plot</v>
      </c>
    </row>
    <row r="1190" spans="1:29" x14ac:dyDescent="0.35">
      <c r="A1190" s="3" t="s">
        <v>47</v>
      </c>
      <c r="B1190">
        <v>52046</v>
      </c>
      <c r="C1190" t="s">
        <v>51</v>
      </c>
      <c r="D1190">
        <v>54208</v>
      </c>
      <c r="E1190" t="s">
        <v>228</v>
      </c>
      <c r="F1190">
        <v>7139</v>
      </c>
      <c r="G1190">
        <v>0.39172640586377833</v>
      </c>
      <c r="H1190">
        <v>1.625461605434955E-260</v>
      </c>
      <c r="I1190">
        <v>5.3168324771324011E-259</v>
      </c>
      <c r="J1190">
        <v>0.36306809786570993</v>
      </c>
      <c r="K1190">
        <v>2.2209880123858092E-221</v>
      </c>
      <c r="L1190">
        <v>1.643855360992124E-220</v>
      </c>
      <c r="M1190">
        <v>0.2462648220843183</v>
      </c>
      <c r="N1190">
        <v>9.6369727396250081E-214</v>
      </c>
      <c r="O1190">
        <v>6.5583156764964821E-213</v>
      </c>
      <c r="P1190">
        <v>0.15344957705095361</v>
      </c>
      <c r="Q1190">
        <v>0.76588169962574726</v>
      </c>
      <c r="R1190">
        <v>5.6727334279814583</v>
      </c>
      <c r="S1190">
        <v>0.20713870945061999</v>
      </c>
      <c r="T1190">
        <v>0.16071681942004809</v>
      </c>
      <c r="U1190">
        <v>4.4222873134892842</v>
      </c>
      <c r="V1190">
        <v>0.1151559613407446</v>
      </c>
      <c r="W1190">
        <v>9.0596823518700109</v>
      </c>
      <c r="X1190">
        <v>0.22514653613715321</v>
      </c>
      <c r="Z1190" t="s">
        <v>392</v>
      </c>
      <c r="AA1190">
        <v>140</v>
      </c>
      <c r="AB1190" t="s">
        <v>1581</v>
      </c>
      <c r="AC1190" t="str">
        <f>HYPERLINK("plots/20251231112652_3FT6Y119H04_05543_B21P_N_UFLEX98_M5358A8BA201511/dpll_52046/txpa_54208.png","plot")</f>
        <v>plot</v>
      </c>
    </row>
    <row r="1191" spans="1:29" x14ac:dyDescent="0.35">
      <c r="A1191" s="3" t="s">
        <v>47</v>
      </c>
      <c r="B1191">
        <v>52046</v>
      </c>
      <c r="C1191" t="s">
        <v>51</v>
      </c>
      <c r="D1191">
        <v>54209</v>
      </c>
      <c r="E1191" t="s">
        <v>229</v>
      </c>
      <c r="F1191">
        <v>7139</v>
      </c>
      <c r="G1191">
        <v>0.30744847205782172</v>
      </c>
      <c r="H1191">
        <v>3.9923051675586469E-156</v>
      </c>
      <c r="I1191">
        <v>1.076648255293742E-155</v>
      </c>
      <c r="J1191">
        <v>0.27688456665839561</v>
      </c>
      <c r="K1191">
        <v>8.2544539527640523E-126</v>
      </c>
      <c r="L1191">
        <v>1.8893942004746609E-125</v>
      </c>
      <c r="M1191">
        <v>0.1864330813980816</v>
      </c>
      <c r="N1191">
        <v>2.280296557120025E-123</v>
      </c>
      <c r="O1191">
        <v>5.2312685722165272E-123</v>
      </c>
      <c r="P1191">
        <v>9.4524562970689188E-2</v>
      </c>
      <c r="Q1191">
        <v>0.67890313053325846</v>
      </c>
      <c r="R1191">
        <v>6.0843011317844473</v>
      </c>
      <c r="S1191">
        <v>0.24195233356547599</v>
      </c>
      <c r="T1191">
        <v>0.19022849645170581</v>
      </c>
      <c r="U1191">
        <v>4.4222873134892842</v>
      </c>
      <c r="V1191">
        <v>0.1151559613407446</v>
      </c>
      <c r="W1191">
        <v>9.0866058330298358</v>
      </c>
      <c r="X1191">
        <v>0.25428567632983767</v>
      </c>
      <c r="Z1191" t="s">
        <v>392</v>
      </c>
      <c r="AA1191">
        <v>140</v>
      </c>
      <c r="AB1191" t="s">
        <v>1582</v>
      </c>
      <c r="AC1191" t="str">
        <f>HYPERLINK("plots/20251231112652_3FT6Y119H04_05543_B21P_N_UFLEX98_M5358A8BA201511/dpll_52046/txpa_54209.png","plot")</f>
        <v>plot</v>
      </c>
    </row>
    <row r="1192" spans="1:29" x14ac:dyDescent="0.35">
      <c r="A1192" s="3" t="s">
        <v>47</v>
      </c>
      <c r="B1192">
        <v>52046</v>
      </c>
      <c r="C1192" t="s">
        <v>51</v>
      </c>
      <c r="D1192">
        <v>54210</v>
      </c>
      <c r="E1192" t="s">
        <v>230</v>
      </c>
      <c r="F1192">
        <v>7139</v>
      </c>
      <c r="G1192">
        <v>0.21965017001811399</v>
      </c>
      <c r="H1192">
        <v>9.9392291256173273E-79</v>
      </c>
      <c r="I1192">
        <v>1.347376782536894E-78</v>
      </c>
      <c r="J1192">
        <v>0.17820898375273911</v>
      </c>
      <c r="K1192">
        <v>5.0734561214251053E-52</v>
      </c>
      <c r="L1192">
        <v>6.3433841024969864E-52</v>
      </c>
      <c r="M1192">
        <v>0.1188240645072539</v>
      </c>
      <c r="N1192">
        <v>3.1650660991230988E-51</v>
      </c>
      <c r="O1192">
        <v>3.9621938574207682E-51</v>
      </c>
      <c r="P1192">
        <v>4.8246197188986373E-2</v>
      </c>
      <c r="Q1192">
        <v>0.73205837899085069</v>
      </c>
      <c r="R1192">
        <v>5.314005534524231</v>
      </c>
      <c r="S1192">
        <v>0.37439711068783532</v>
      </c>
      <c r="T1192">
        <v>0.31235745461032022</v>
      </c>
      <c r="U1192">
        <v>4.4222873134892842</v>
      </c>
      <c r="V1192">
        <v>0.1151559613407446</v>
      </c>
      <c r="W1192">
        <v>8.5513780166690001</v>
      </c>
      <c r="X1192">
        <v>0.38379613538786012</v>
      </c>
      <c r="Z1192" t="s">
        <v>392</v>
      </c>
      <c r="AA1192">
        <v>140</v>
      </c>
      <c r="AB1192" t="s">
        <v>1583</v>
      </c>
      <c r="AC1192" t="str">
        <f>HYPERLINK("plots/20251231112652_3FT6Y119H04_05543_B21P_N_UFLEX98_M5358A8BA201511/dpll_52046/txpa_54210.png","plot")</f>
        <v>plot</v>
      </c>
    </row>
    <row r="1193" spans="1:29" x14ac:dyDescent="0.35">
      <c r="A1193" s="3" t="s">
        <v>47</v>
      </c>
      <c r="B1193">
        <v>52046</v>
      </c>
      <c r="C1193" t="s">
        <v>51</v>
      </c>
      <c r="D1193">
        <v>54211</v>
      </c>
      <c r="E1193" t="s">
        <v>231</v>
      </c>
      <c r="F1193">
        <v>7139</v>
      </c>
      <c r="G1193">
        <v>0.2138601495047959</v>
      </c>
      <c r="H1193">
        <v>1.232245074632503E-74</v>
      </c>
      <c r="I1193">
        <v>1.624832907252741E-74</v>
      </c>
      <c r="J1193">
        <v>0.17205358479430441</v>
      </c>
      <c r="K1193">
        <v>1.4707113323347531E-48</v>
      </c>
      <c r="L1193">
        <v>1.8010885156853139E-48</v>
      </c>
      <c r="M1193">
        <v>0.1142994209354788</v>
      </c>
      <c r="N1193">
        <v>1.5641488427216681E-47</v>
      </c>
      <c r="O1193">
        <v>1.9086003929239129E-47</v>
      </c>
      <c r="P1193">
        <v>4.5736163546213647E-2</v>
      </c>
      <c r="Q1193">
        <v>0.71389994590413797</v>
      </c>
      <c r="R1193">
        <v>6.4367109355965582</v>
      </c>
      <c r="S1193">
        <v>0.37548943497624032</v>
      </c>
      <c r="T1193">
        <v>0.31104056404406383</v>
      </c>
      <c r="U1193">
        <v>4.4222873134892842</v>
      </c>
      <c r="V1193">
        <v>0.1151559613407446</v>
      </c>
      <c r="W1193">
        <v>9.5937816094691133</v>
      </c>
      <c r="X1193">
        <v>0.38440931965145281</v>
      </c>
      <c r="Z1193" t="s">
        <v>392</v>
      </c>
      <c r="AA1193">
        <v>140</v>
      </c>
      <c r="AB1193" t="s">
        <v>1584</v>
      </c>
      <c r="AC1193" t="str">
        <f>HYPERLINK("plots/20251231112652_3FT6Y119H04_05543_B21P_N_UFLEX98_M5358A8BA201511/dpll_52046/txpa_54211.png","plot")</f>
        <v>plot</v>
      </c>
    </row>
    <row r="1194" spans="1:29" x14ac:dyDescent="0.35">
      <c r="A1194" s="3" t="s">
        <v>47</v>
      </c>
      <c r="B1194">
        <v>52046</v>
      </c>
      <c r="C1194" t="s">
        <v>51</v>
      </c>
      <c r="D1194">
        <v>54212</v>
      </c>
      <c r="E1194" t="s">
        <v>232</v>
      </c>
      <c r="F1194">
        <v>7139</v>
      </c>
      <c r="G1194">
        <v>0.35288841352682643</v>
      </c>
      <c r="H1194">
        <v>2.063756571057488E-208</v>
      </c>
      <c r="I1194">
        <v>1.316131549089492E-207</v>
      </c>
      <c r="J1194">
        <v>0.34645171576754769</v>
      </c>
      <c r="K1194">
        <v>1.8654745011201959E-200</v>
      </c>
      <c r="L1194">
        <v>8.9648869390326E-200</v>
      </c>
      <c r="M1194">
        <v>0.23423550185422989</v>
      </c>
      <c r="N1194">
        <v>1.4314818497740819E-193</v>
      </c>
      <c r="O1194">
        <v>6.6583605306005469E-193</v>
      </c>
      <c r="P1194">
        <v>0.1245302324014804</v>
      </c>
      <c r="Q1194">
        <v>0.78902421079709129</v>
      </c>
      <c r="R1194">
        <v>6.4370314516890623</v>
      </c>
      <c r="S1194">
        <v>0.24089595795008689</v>
      </c>
      <c r="T1194">
        <v>0.1848500964690751</v>
      </c>
      <c r="U1194">
        <v>4.4222873134892842</v>
      </c>
      <c r="V1194">
        <v>0.1151559613407446</v>
      </c>
      <c r="W1194">
        <v>9.9263232091329332</v>
      </c>
      <c r="X1194">
        <v>0.25747754256758609</v>
      </c>
      <c r="Z1194" t="s">
        <v>392</v>
      </c>
      <c r="AA1194">
        <v>140</v>
      </c>
      <c r="AB1194" t="s">
        <v>1585</v>
      </c>
      <c r="AC1194" t="str">
        <f>HYPERLINK("plots/20251231112652_3FT6Y119H04_05543_B21P_N_UFLEX98_M5358A8BA201511/dpll_52046/txpa_54212.png","plot")</f>
        <v>plot</v>
      </c>
    </row>
    <row r="1195" spans="1:29" x14ac:dyDescent="0.35">
      <c r="A1195" s="3" t="s">
        <v>47</v>
      </c>
      <c r="B1195">
        <v>52046</v>
      </c>
      <c r="C1195" t="s">
        <v>51</v>
      </c>
      <c r="D1195">
        <v>54213</v>
      </c>
      <c r="E1195" t="s">
        <v>233</v>
      </c>
      <c r="F1195">
        <v>7139</v>
      </c>
      <c r="G1195">
        <v>0.30046107437193198</v>
      </c>
      <c r="H1195">
        <v>7.3181559702838086E-149</v>
      </c>
      <c r="I1195">
        <v>1.8232457380510519E-148</v>
      </c>
      <c r="J1195">
        <v>0.27783114451278218</v>
      </c>
      <c r="K1195">
        <v>1.0805201442905051E-126</v>
      </c>
      <c r="L1195">
        <v>2.490107787069483E-126</v>
      </c>
      <c r="M1195">
        <v>0.18762401637551121</v>
      </c>
      <c r="N1195">
        <v>6.3385949709045329E-125</v>
      </c>
      <c r="O1195">
        <v>1.484373048613671E-124</v>
      </c>
      <c r="P1195">
        <v>9.0276857212735678E-2</v>
      </c>
      <c r="Q1195">
        <v>0.73206726192598215</v>
      </c>
      <c r="R1195">
        <v>6.8648124333110001</v>
      </c>
      <c r="S1195">
        <v>0.26759216750797332</v>
      </c>
      <c r="T1195">
        <v>0.21103279611617051</v>
      </c>
      <c r="U1195">
        <v>4.4222873134892842</v>
      </c>
      <c r="V1195">
        <v>0.1151559613407446</v>
      </c>
      <c r="W1195">
        <v>10.102224198347111</v>
      </c>
      <c r="X1195">
        <v>0.28057514434904252</v>
      </c>
      <c r="Z1195" t="s">
        <v>392</v>
      </c>
      <c r="AA1195">
        <v>140</v>
      </c>
      <c r="AB1195" t="s">
        <v>1586</v>
      </c>
      <c r="AC1195" t="str">
        <f>HYPERLINK("plots/20251231112652_3FT6Y119H04_05543_B21P_N_UFLEX98_M5358A8BA201511/dpll_52046/txpa_54213.png","plot")</f>
        <v>plot</v>
      </c>
    </row>
    <row r="1196" spans="1:29" x14ac:dyDescent="0.35">
      <c r="A1196" s="3" t="s">
        <v>47</v>
      </c>
      <c r="B1196">
        <v>52046</v>
      </c>
      <c r="C1196" t="s">
        <v>51</v>
      </c>
      <c r="D1196">
        <v>54214</v>
      </c>
      <c r="E1196" t="s">
        <v>234</v>
      </c>
      <c r="F1196">
        <v>7139</v>
      </c>
      <c r="G1196">
        <v>0.38316212052041532</v>
      </c>
      <c r="H1196">
        <v>2.100786884367777E-248</v>
      </c>
      <c r="I1196">
        <v>4.3473426545896441E-247</v>
      </c>
      <c r="J1196">
        <v>0.36653647866206768</v>
      </c>
      <c r="K1196">
        <v>6.5854155567825508E-226</v>
      </c>
      <c r="L1196">
        <v>5.5646761454812544E-225</v>
      </c>
      <c r="M1196">
        <v>0.24959618769272909</v>
      </c>
      <c r="N1196">
        <v>1.6554625545156199E-219</v>
      </c>
      <c r="O1196">
        <v>1.291260792522183E-218</v>
      </c>
      <c r="P1196">
        <v>0.14681321060170119</v>
      </c>
      <c r="Q1196">
        <v>0.81575955092909225</v>
      </c>
      <c r="R1196">
        <v>6.3183717674439626</v>
      </c>
      <c r="S1196">
        <v>0.22644235679297961</v>
      </c>
      <c r="T1196">
        <v>0.17518651893939141</v>
      </c>
      <c r="U1196">
        <v>4.4222873134892842</v>
      </c>
      <c r="V1196">
        <v>0.1151559613407446</v>
      </c>
      <c r="W1196">
        <v>9.9258948803754041</v>
      </c>
      <c r="X1196">
        <v>0.2451692645988699</v>
      </c>
      <c r="Z1196" t="s">
        <v>392</v>
      </c>
      <c r="AA1196">
        <v>140</v>
      </c>
      <c r="AB1196" t="s">
        <v>1587</v>
      </c>
      <c r="AC1196" t="str">
        <f>HYPERLINK("plots/20251231112652_3FT6Y119H04_05543_B21P_N_UFLEX98_M5358A8BA201511/dpll_52046/txpa_54214.png","plot")</f>
        <v>plot</v>
      </c>
    </row>
    <row r="1197" spans="1:29" x14ac:dyDescent="0.35">
      <c r="A1197" s="3" t="s">
        <v>47</v>
      </c>
      <c r="B1197">
        <v>52046</v>
      </c>
      <c r="C1197" t="s">
        <v>51</v>
      </c>
      <c r="D1197">
        <v>54215</v>
      </c>
      <c r="E1197" t="s">
        <v>235</v>
      </c>
      <c r="F1197">
        <v>7139</v>
      </c>
      <c r="G1197">
        <v>0.32980435112069861</v>
      </c>
      <c r="H1197">
        <v>9.8496721210373228E-181</v>
      </c>
      <c r="I1197">
        <v>3.5669884038328018E-180</v>
      </c>
      <c r="J1197">
        <v>0.29352861763118282</v>
      </c>
      <c r="K1197">
        <v>7.4759319968440804E-142</v>
      </c>
      <c r="L1197">
        <v>1.9588100890955811E-141</v>
      </c>
      <c r="M1197">
        <v>0.19737882059871581</v>
      </c>
      <c r="N1197">
        <v>4.8696365638243348E-138</v>
      </c>
      <c r="O1197">
        <v>1.2759202779632761E-137</v>
      </c>
      <c r="P1197">
        <v>0.10877091001814509</v>
      </c>
      <c r="Q1197">
        <v>0.73912848215539373</v>
      </c>
      <c r="R1197">
        <v>6.8061985156793021</v>
      </c>
      <c r="S1197">
        <v>0.24362072981970789</v>
      </c>
      <c r="T1197">
        <v>0.19292093336528571</v>
      </c>
      <c r="U1197">
        <v>4.4222873134892842</v>
      </c>
      <c r="V1197">
        <v>0.1151559613407446</v>
      </c>
      <c r="W1197">
        <v>10.074837025353689</v>
      </c>
      <c r="X1197">
        <v>0.25807740446025879</v>
      </c>
      <c r="Z1197" t="s">
        <v>392</v>
      </c>
      <c r="AA1197">
        <v>140</v>
      </c>
      <c r="AB1197" t="s">
        <v>1588</v>
      </c>
      <c r="AC1197" t="str">
        <f>HYPERLINK("plots/20251231112652_3FT6Y119H04_05543_B21P_N_UFLEX98_M5358A8BA201511/dpll_52046/txpa_54215.png","plot")</f>
        <v>plot</v>
      </c>
    </row>
    <row r="1198" spans="1:29" x14ac:dyDescent="0.35">
      <c r="A1198" s="3" t="s">
        <v>47</v>
      </c>
      <c r="B1198">
        <v>52046</v>
      </c>
      <c r="C1198" t="s">
        <v>51</v>
      </c>
      <c r="D1198">
        <v>54216</v>
      </c>
      <c r="E1198" t="s">
        <v>236</v>
      </c>
      <c r="F1198">
        <v>7139</v>
      </c>
      <c r="G1198">
        <v>0.40178631509833701</v>
      </c>
      <c r="H1198">
        <v>3.2868464919694612E-275</v>
      </c>
      <c r="I1198">
        <v>3.3328623428570331E-273</v>
      </c>
      <c r="J1198">
        <v>0.37598635673394432</v>
      </c>
      <c r="K1198">
        <v>1.563989355442784E-238</v>
      </c>
      <c r="L1198">
        <v>1.6182502106316149E-237</v>
      </c>
      <c r="M1198">
        <v>0.25602198761037548</v>
      </c>
      <c r="N1198">
        <v>7.6140283979340842E-231</v>
      </c>
      <c r="O1198">
        <v>7.2836082976463786E-230</v>
      </c>
      <c r="P1198">
        <v>0.1614322430003001</v>
      </c>
      <c r="Q1198">
        <v>0.77550305313037982</v>
      </c>
      <c r="R1198">
        <v>6.5638688154389051</v>
      </c>
      <c r="S1198">
        <v>0.2035229820483514</v>
      </c>
      <c r="T1198">
        <v>0.15647366095007231</v>
      </c>
      <c r="U1198">
        <v>4.4222873134892842</v>
      </c>
      <c r="V1198">
        <v>0.1151559613407446</v>
      </c>
      <c r="W1198">
        <v>9.9933661288695905</v>
      </c>
      <c r="X1198">
        <v>0.22226690220659809</v>
      </c>
      <c r="Z1198" t="s">
        <v>392</v>
      </c>
      <c r="AA1198">
        <v>140</v>
      </c>
      <c r="AB1198" t="s">
        <v>1589</v>
      </c>
      <c r="AC1198" t="str">
        <f>HYPERLINK("plots/20251231112652_3FT6Y119H04_05543_B21P_N_UFLEX98_M5358A8BA201511/dpll_52046/txpa_54216.png","plot")</f>
        <v>plot</v>
      </c>
    </row>
    <row r="1199" spans="1:29" x14ac:dyDescent="0.35">
      <c r="A1199" s="3" t="s">
        <v>47</v>
      </c>
      <c r="B1199">
        <v>52046</v>
      </c>
      <c r="C1199" t="s">
        <v>51</v>
      </c>
      <c r="D1199">
        <v>54217</v>
      </c>
      <c r="E1199" t="s">
        <v>237</v>
      </c>
      <c r="F1199">
        <v>7139</v>
      </c>
      <c r="G1199">
        <v>0.32162261107108109</v>
      </c>
      <c r="H1199">
        <v>1.7572307623594929E-171</v>
      </c>
      <c r="I1199">
        <v>5.6746241816322476E-171</v>
      </c>
      <c r="J1199">
        <v>0.29085200087119589</v>
      </c>
      <c r="K1199">
        <v>3.373043797393547E-139</v>
      </c>
      <c r="L1199">
        <v>8.7924586389641571E-139</v>
      </c>
      <c r="M1199">
        <v>0.19620747334937039</v>
      </c>
      <c r="N1199">
        <v>1.983234541957366E-136</v>
      </c>
      <c r="O1199">
        <v>5.1170479021495399E-136</v>
      </c>
      <c r="P1199">
        <v>0.1034411039521799</v>
      </c>
      <c r="Q1199">
        <v>0.69193311829077975</v>
      </c>
      <c r="R1199">
        <v>6.9612268884067774</v>
      </c>
      <c r="S1199">
        <v>0.23456486614537991</v>
      </c>
      <c r="T1199">
        <v>0.18380262221311211</v>
      </c>
      <c r="U1199">
        <v>4.4222873134892842</v>
      </c>
      <c r="V1199">
        <v>0.1151559613407446</v>
      </c>
      <c r="W1199">
        <v>10.021153939207171</v>
      </c>
      <c r="X1199">
        <v>0.24774447031233121</v>
      </c>
      <c r="Z1199" t="s">
        <v>392</v>
      </c>
      <c r="AA1199">
        <v>140</v>
      </c>
      <c r="AB1199" t="s">
        <v>1590</v>
      </c>
      <c r="AC1199" t="str">
        <f>HYPERLINK("plots/20251231112652_3FT6Y119H04_05543_B21P_N_UFLEX98_M5358A8BA201511/dpll_52046/txpa_54217.png","plot")</f>
        <v>plot</v>
      </c>
    </row>
    <row r="1200" spans="1:29" x14ac:dyDescent="0.35">
      <c r="A1200" s="3" t="s">
        <v>47</v>
      </c>
      <c r="B1200">
        <v>52046</v>
      </c>
      <c r="C1200" t="s">
        <v>51</v>
      </c>
      <c r="D1200">
        <v>54218</v>
      </c>
      <c r="E1200" t="s">
        <v>238</v>
      </c>
      <c r="F1200">
        <v>7139</v>
      </c>
      <c r="G1200">
        <v>0.23144241377770419</v>
      </c>
      <c r="H1200">
        <v>1.943932778007276E-87</v>
      </c>
      <c r="I1200">
        <v>2.7959543785806778E-87</v>
      </c>
      <c r="J1200">
        <v>0.18768787246336691</v>
      </c>
      <c r="K1200">
        <v>1.3231749227403141E-57</v>
      </c>
      <c r="L1200">
        <v>1.7357042324174361E-57</v>
      </c>
      <c r="M1200">
        <v>0.1251780649233151</v>
      </c>
      <c r="N1200">
        <v>1.1829639496547399E-56</v>
      </c>
      <c r="O1200">
        <v>1.537853134551162E-56</v>
      </c>
      <c r="P1200">
        <v>5.3565590895250023E-2</v>
      </c>
      <c r="Q1200">
        <v>0.73946950553027802</v>
      </c>
      <c r="R1200">
        <v>6.2517958164531731</v>
      </c>
      <c r="S1200">
        <v>0.3579139171387446</v>
      </c>
      <c r="T1200">
        <v>0.29792437253956011</v>
      </c>
      <c r="U1200">
        <v>4.4222873134892842</v>
      </c>
      <c r="V1200">
        <v>0.1151559613407446</v>
      </c>
      <c r="W1200">
        <v>9.521942429471915</v>
      </c>
      <c r="X1200">
        <v>0.36792876638978222</v>
      </c>
      <c r="Z1200" t="s">
        <v>392</v>
      </c>
      <c r="AA1200">
        <v>140</v>
      </c>
      <c r="AB1200" t="s">
        <v>1591</v>
      </c>
      <c r="AC1200" t="str">
        <f>HYPERLINK("plots/20251231112652_3FT6Y119H04_05543_B21P_N_UFLEX98_M5358A8BA201511/dpll_52046/txpa_54218.png","plot")</f>
        <v>plot</v>
      </c>
    </row>
    <row r="1201" spans="1:29" x14ac:dyDescent="0.35">
      <c r="A1201" s="3" t="s">
        <v>47</v>
      </c>
      <c r="B1201">
        <v>52046</v>
      </c>
      <c r="C1201" t="s">
        <v>51</v>
      </c>
      <c r="D1201">
        <v>54219</v>
      </c>
      <c r="E1201" t="s">
        <v>239</v>
      </c>
      <c r="F1201">
        <v>7139</v>
      </c>
      <c r="G1201">
        <v>0.22571626278548029</v>
      </c>
      <c r="H1201">
        <v>3.8032064796903198E-83</v>
      </c>
      <c r="I1201">
        <v>5.3046098630068559E-83</v>
      </c>
      <c r="J1201">
        <v>0.18318794703543789</v>
      </c>
      <c r="K1201">
        <v>6.4661196079550342E-55</v>
      </c>
      <c r="L1201">
        <v>8.2060641833121453E-55</v>
      </c>
      <c r="M1201">
        <v>0.1217019956697383</v>
      </c>
      <c r="N1201">
        <v>1.193672060712343E-53</v>
      </c>
      <c r="O1201">
        <v>1.514872928113036E-53</v>
      </c>
      <c r="P1201">
        <v>5.0947831285843993E-2</v>
      </c>
      <c r="Q1201">
        <v>0.72095233127145164</v>
      </c>
      <c r="R1201">
        <v>7.3734820065993354</v>
      </c>
      <c r="S1201">
        <v>0.3582983007922092</v>
      </c>
      <c r="T1201">
        <v>0.29565869801232431</v>
      </c>
      <c r="U1201">
        <v>4.4222873134892842</v>
      </c>
      <c r="V1201">
        <v>0.1151559613407446</v>
      </c>
      <c r="W1201">
        <v>10.561740354811599</v>
      </c>
      <c r="X1201">
        <v>0.36781558299730788</v>
      </c>
      <c r="Z1201" t="s">
        <v>392</v>
      </c>
      <c r="AA1201">
        <v>140</v>
      </c>
      <c r="AB1201" t="s">
        <v>1592</v>
      </c>
      <c r="AC1201" t="str">
        <f>HYPERLINK("plots/20251231112652_3FT6Y119H04_05543_B21P_N_UFLEX98_M5358A8BA201511/dpll_52046/txpa_54219.png","plot")</f>
        <v>plot</v>
      </c>
    </row>
    <row r="1202" spans="1:29" x14ac:dyDescent="0.35">
      <c r="A1202" s="3" t="s">
        <v>47</v>
      </c>
      <c r="B1202">
        <v>52046</v>
      </c>
      <c r="C1202" t="s">
        <v>51</v>
      </c>
      <c r="D1202">
        <v>54220</v>
      </c>
      <c r="E1202" t="s">
        <v>240</v>
      </c>
      <c r="F1202">
        <v>7139</v>
      </c>
      <c r="G1202">
        <v>0.36103577820242788</v>
      </c>
      <c r="H1202">
        <v>9.4125708214669195E-219</v>
      </c>
      <c r="I1202">
        <v>7.6970538814253682E-218</v>
      </c>
      <c r="J1202">
        <v>0.35897108681061768</v>
      </c>
      <c r="K1202">
        <v>4.1989225398235697E-216</v>
      </c>
      <c r="L1202">
        <v>2.8384716369207342E-215</v>
      </c>
      <c r="M1202">
        <v>0.243703754625822</v>
      </c>
      <c r="N1202">
        <v>2.3078989581772479E-209</v>
      </c>
      <c r="O1202">
        <v>1.392981871185553E-208</v>
      </c>
      <c r="P1202">
        <v>0.13034683314223269</v>
      </c>
      <c r="Q1202">
        <v>0.79389727215560557</v>
      </c>
      <c r="R1202">
        <v>7.3560249861158464</v>
      </c>
      <c r="S1202">
        <v>0.23612562207228169</v>
      </c>
      <c r="T1202">
        <v>0.1795289674218003</v>
      </c>
      <c r="U1202">
        <v>4.4222873134892842</v>
      </c>
      <c r="V1202">
        <v>0.1151559613407446</v>
      </c>
      <c r="W1202">
        <v>10.866866820983329</v>
      </c>
      <c r="X1202">
        <v>0.2532214508934747</v>
      </c>
      <c r="Z1202" t="s">
        <v>392</v>
      </c>
      <c r="AA1202">
        <v>140</v>
      </c>
      <c r="AB1202" t="s">
        <v>1593</v>
      </c>
      <c r="AC1202" t="str">
        <f>HYPERLINK("plots/20251231112652_3FT6Y119H04_05543_B21P_N_UFLEX98_M5358A8BA201511/dpll_52046/txpa_54220.png","plot")</f>
        <v>plot</v>
      </c>
    </row>
    <row r="1203" spans="1:29" x14ac:dyDescent="0.35">
      <c r="A1203" s="3" t="s">
        <v>47</v>
      </c>
      <c r="B1203">
        <v>52046</v>
      </c>
      <c r="C1203" t="s">
        <v>51</v>
      </c>
      <c r="D1203">
        <v>54221</v>
      </c>
      <c r="E1203" t="s">
        <v>241</v>
      </c>
      <c r="F1203">
        <v>7139</v>
      </c>
      <c r="G1203">
        <v>0.31335306809771718</v>
      </c>
      <c r="H1203">
        <v>2.0247479379142441E-162</v>
      </c>
      <c r="I1203">
        <v>5.8326545711506926E-162</v>
      </c>
      <c r="J1203">
        <v>0.29587091463122012</v>
      </c>
      <c r="K1203">
        <v>3.3665588465175969E-144</v>
      </c>
      <c r="L1203">
        <v>9.1031751209835831E-144</v>
      </c>
      <c r="M1203">
        <v>0.20041239555773779</v>
      </c>
      <c r="N1203">
        <v>2.9808183923099058E-142</v>
      </c>
      <c r="O1203">
        <v>8.1033508037593702E-142</v>
      </c>
      <c r="P1203">
        <v>9.8190145286252584E-2</v>
      </c>
      <c r="Q1203">
        <v>0.73931697805517183</v>
      </c>
      <c r="R1203">
        <v>7.7498758861479553</v>
      </c>
      <c r="S1203">
        <v>0.25799436645645352</v>
      </c>
      <c r="T1203">
        <v>0.20093973715370769</v>
      </c>
      <c r="U1203">
        <v>4.4222873134892842</v>
      </c>
      <c r="V1203">
        <v>0.1151559613407446</v>
      </c>
      <c r="W1203">
        <v>11.019347978848581</v>
      </c>
      <c r="X1203">
        <v>0.27169594304699168</v>
      </c>
      <c r="Z1203" t="s">
        <v>392</v>
      </c>
      <c r="AA1203">
        <v>140</v>
      </c>
      <c r="AB1203" t="s">
        <v>1594</v>
      </c>
      <c r="AC1203" t="str">
        <f>HYPERLINK("plots/20251231112652_3FT6Y119H04_05543_B21P_N_UFLEX98_M5358A8BA201511/dpll_52046/txpa_54221.png","plot")</f>
        <v>plot</v>
      </c>
    </row>
    <row r="1204" spans="1:29" x14ac:dyDescent="0.35">
      <c r="A1204" s="3" t="s">
        <v>47</v>
      </c>
      <c r="B1204">
        <v>52046</v>
      </c>
      <c r="C1204" t="s">
        <v>51</v>
      </c>
      <c r="D1204">
        <v>54222</v>
      </c>
      <c r="E1204" t="s">
        <v>242</v>
      </c>
      <c r="F1204">
        <v>7139</v>
      </c>
      <c r="G1204">
        <v>0.39126481752213638</v>
      </c>
      <c r="H1204">
        <v>7.4644451649365781E-260</v>
      </c>
      <c r="I1204">
        <v>2.3652960616392782E-258</v>
      </c>
      <c r="J1204">
        <v>0.37837026105591037</v>
      </c>
      <c r="K1204">
        <v>8.7548530955031637E-242</v>
      </c>
      <c r="L1204">
        <v>9.7554077349892397E-241</v>
      </c>
      <c r="M1204">
        <v>0.25875856390159752</v>
      </c>
      <c r="N1204">
        <v>9.2593719980088051E-236</v>
      </c>
      <c r="O1204">
        <v>9.9883012829584334E-235</v>
      </c>
      <c r="P1204">
        <v>0.1530881574306307</v>
      </c>
      <c r="Q1204">
        <v>0.82041288425960113</v>
      </c>
      <c r="R1204">
        <v>7.2387903053250264</v>
      </c>
      <c r="S1204">
        <v>0.22219627971030789</v>
      </c>
      <c r="T1204">
        <v>0.17026078505772979</v>
      </c>
      <c r="U1204">
        <v>4.4222873134892842</v>
      </c>
      <c r="V1204">
        <v>0.1151559613407446</v>
      </c>
      <c r="W1204">
        <v>10.86689179520941</v>
      </c>
      <c r="X1204">
        <v>0.2414616141097386</v>
      </c>
      <c r="Z1204" t="s">
        <v>392</v>
      </c>
      <c r="AA1204">
        <v>140</v>
      </c>
      <c r="AB1204" t="s">
        <v>1595</v>
      </c>
      <c r="AC1204" t="str">
        <f>HYPERLINK("plots/20251231112652_3FT6Y119H04_05543_B21P_N_UFLEX98_M5358A8BA201511/dpll_52046/txpa_54222.png","plot")</f>
        <v>plot</v>
      </c>
    </row>
    <row r="1205" spans="1:29" x14ac:dyDescent="0.35">
      <c r="A1205" s="3" t="s">
        <v>47</v>
      </c>
      <c r="B1205">
        <v>52046</v>
      </c>
      <c r="C1205" t="s">
        <v>51</v>
      </c>
      <c r="D1205">
        <v>54223</v>
      </c>
      <c r="E1205" t="s">
        <v>243</v>
      </c>
      <c r="F1205">
        <v>7139</v>
      </c>
      <c r="G1205">
        <v>0.34304738798264262</v>
      </c>
      <c r="H1205">
        <v>2.5323716742766209E-196</v>
      </c>
      <c r="I1205">
        <v>1.258737685155144E-195</v>
      </c>
      <c r="J1205">
        <v>0.31085820518260399</v>
      </c>
      <c r="K1205">
        <v>9.6341960089739815E-160</v>
      </c>
      <c r="L1205">
        <v>3.0624058787146142E-159</v>
      </c>
      <c r="M1205">
        <v>0.20970840032797569</v>
      </c>
      <c r="N1205">
        <v>1.457812456546166E-155</v>
      </c>
      <c r="O1205">
        <v>4.633924234914773E-155</v>
      </c>
      <c r="P1205">
        <v>0.11768151040171369</v>
      </c>
      <c r="Q1205">
        <v>0.74772630447727129</v>
      </c>
      <c r="R1205">
        <v>7.6974332023743566</v>
      </c>
      <c r="S1205">
        <v>0.2357530056879707</v>
      </c>
      <c r="T1205">
        <v>0.184717053560502</v>
      </c>
      <c r="U1205">
        <v>4.4222873134892842</v>
      </c>
      <c r="V1205">
        <v>0.1151559613407446</v>
      </c>
      <c r="W1205">
        <v>11.004093752626421</v>
      </c>
      <c r="X1205">
        <v>0.25100072009934421</v>
      </c>
      <c r="Z1205" t="s">
        <v>392</v>
      </c>
      <c r="AA1205">
        <v>140</v>
      </c>
      <c r="AB1205" t="s">
        <v>1596</v>
      </c>
      <c r="AC1205" t="str">
        <f>HYPERLINK("plots/20251231112652_3FT6Y119H04_05543_B21P_N_UFLEX98_M5358A8BA201511/dpll_52046/txpa_54223.png","plot")</f>
        <v>plot</v>
      </c>
    </row>
    <row r="1206" spans="1:29" x14ac:dyDescent="0.35">
      <c r="A1206" s="3" t="s">
        <v>47</v>
      </c>
      <c r="B1206">
        <v>52046</v>
      </c>
      <c r="C1206" t="s">
        <v>51</v>
      </c>
      <c r="D1206">
        <v>54224</v>
      </c>
      <c r="E1206" t="s">
        <v>244</v>
      </c>
      <c r="F1206">
        <v>7139</v>
      </c>
      <c r="G1206">
        <v>0.40957500743779057</v>
      </c>
      <c r="H1206">
        <v>6.0966363678245583E-287</v>
      </c>
      <c r="I1206">
        <v>1.03033154616235E-284</v>
      </c>
      <c r="J1206">
        <v>0.38886347272522281</v>
      </c>
      <c r="K1206">
        <v>1.9951315148277569E-256</v>
      </c>
      <c r="L1206">
        <v>2.8900905086219228E-255</v>
      </c>
      <c r="M1206">
        <v>0.26624754755747682</v>
      </c>
      <c r="N1206">
        <v>1.7680422709308209E-249</v>
      </c>
      <c r="O1206">
        <v>2.3903931502984709E-248</v>
      </c>
      <c r="P1206">
        <v>0.16775168671766619</v>
      </c>
      <c r="Q1206">
        <v>0.78217348059541292</v>
      </c>
      <c r="R1206">
        <v>7.467600234506282</v>
      </c>
      <c r="S1206">
        <v>0.20060978260763279</v>
      </c>
      <c r="T1206">
        <v>0.15240429923613519</v>
      </c>
      <c r="U1206">
        <v>4.4222873134892842</v>
      </c>
      <c r="V1206">
        <v>0.1151559613407446</v>
      </c>
      <c r="W1206">
        <v>10.92659609469113</v>
      </c>
      <c r="X1206">
        <v>0.21991561364222609</v>
      </c>
      <c r="Z1206" t="s">
        <v>392</v>
      </c>
      <c r="AA1206">
        <v>140</v>
      </c>
      <c r="AB1206" t="s">
        <v>1597</v>
      </c>
      <c r="AC1206" t="str">
        <f>HYPERLINK("plots/20251231112652_3FT6Y119H04_05543_B21P_N_UFLEX98_M5358A8BA201511/dpll_52046/txpa_54224.png","plot")</f>
        <v>plot</v>
      </c>
    </row>
    <row r="1207" spans="1:29" x14ac:dyDescent="0.35">
      <c r="A1207" s="3" t="s">
        <v>47</v>
      </c>
      <c r="B1207">
        <v>52046</v>
      </c>
      <c r="C1207" t="s">
        <v>51</v>
      </c>
      <c r="D1207">
        <v>54225</v>
      </c>
      <c r="E1207" t="s">
        <v>245</v>
      </c>
      <c r="F1207">
        <v>7139</v>
      </c>
      <c r="G1207">
        <v>0.33456578820461308</v>
      </c>
      <c r="H1207">
        <v>2.996327543556292E-186</v>
      </c>
      <c r="I1207">
        <v>1.20089965579687E-185</v>
      </c>
      <c r="J1207">
        <v>0.30560161126888291</v>
      </c>
      <c r="K1207">
        <v>3.4712575702286201E-154</v>
      </c>
      <c r="L1207">
        <v>1.041377271068586E-153</v>
      </c>
      <c r="M1207">
        <v>0.20675062726004501</v>
      </c>
      <c r="N1207">
        <v>2.911179452664759E-151</v>
      </c>
      <c r="O1207">
        <v>8.838131631742711E-151</v>
      </c>
      <c r="P1207">
        <v>0.11193426663697401</v>
      </c>
      <c r="Q1207">
        <v>0.70180782657596885</v>
      </c>
      <c r="R1207">
        <v>7.8486062125382823</v>
      </c>
      <c r="S1207">
        <v>0.22762252704800681</v>
      </c>
      <c r="T1207">
        <v>0.17725556638531659</v>
      </c>
      <c r="U1207">
        <v>4.4222873134892842</v>
      </c>
      <c r="V1207">
        <v>0.1151559613407446</v>
      </c>
      <c r="W1207">
        <v>10.952202060512681</v>
      </c>
      <c r="X1207">
        <v>0.24155893338498841</v>
      </c>
      <c r="Z1207" t="s">
        <v>392</v>
      </c>
      <c r="AA1207">
        <v>140</v>
      </c>
      <c r="AB1207" t="s">
        <v>1598</v>
      </c>
      <c r="AC1207" t="str">
        <f>HYPERLINK("plots/20251231112652_3FT6Y119H04_05543_B21P_N_UFLEX98_M5358A8BA201511/dpll_52046/txpa_54225.png","plot")</f>
        <v>plot</v>
      </c>
    </row>
    <row r="1208" spans="1:29" x14ac:dyDescent="0.35">
      <c r="A1208" s="3" t="s">
        <v>47</v>
      </c>
      <c r="B1208">
        <v>52046</v>
      </c>
      <c r="C1208" t="s">
        <v>51</v>
      </c>
      <c r="D1208">
        <v>54226</v>
      </c>
      <c r="E1208" t="s">
        <v>246</v>
      </c>
      <c r="F1208">
        <v>7139</v>
      </c>
      <c r="G1208">
        <v>0.24375586748300351</v>
      </c>
      <c r="H1208">
        <v>4.518788775443932E-97</v>
      </c>
      <c r="I1208">
        <v>7.0276868378836604E-97</v>
      </c>
      <c r="J1208">
        <v>0.19819153632576489</v>
      </c>
      <c r="K1208">
        <v>3.7461594696782539E-64</v>
      </c>
      <c r="L1208">
        <v>5.1056528256098783E-64</v>
      </c>
      <c r="M1208">
        <v>0.1321932483774704</v>
      </c>
      <c r="N1208">
        <v>5.6918427562738173E-63</v>
      </c>
      <c r="O1208">
        <v>7.7574308533086695E-63</v>
      </c>
      <c r="P1208">
        <v>5.9416922932391571E-2</v>
      </c>
      <c r="Q1208">
        <v>0.74478026699332289</v>
      </c>
      <c r="R1208">
        <v>7.201819150475596</v>
      </c>
      <c r="S1208">
        <v>0.34121465011064311</v>
      </c>
      <c r="T1208">
        <v>0.28326429223572791</v>
      </c>
      <c r="U1208">
        <v>4.4222873134892842</v>
      </c>
      <c r="V1208">
        <v>0.1151559613407446</v>
      </c>
      <c r="W1208">
        <v>10.49545147653733</v>
      </c>
      <c r="X1208">
        <v>0.3518515821540697</v>
      </c>
      <c r="Z1208" t="s">
        <v>392</v>
      </c>
      <c r="AA1208">
        <v>140</v>
      </c>
      <c r="AB1208" t="s">
        <v>1599</v>
      </c>
      <c r="AC1208" t="str">
        <f>HYPERLINK("plots/20251231112652_3FT6Y119H04_05543_B21P_N_UFLEX98_M5358A8BA201511/dpll_52046/txpa_54226.png","plot")</f>
        <v>plot</v>
      </c>
    </row>
    <row r="1209" spans="1:29" x14ac:dyDescent="0.35">
      <c r="A1209" s="3" t="s">
        <v>47</v>
      </c>
      <c r="B1209">
        <v>52046</v>
      </c>
      <c r="C1209" t="s">
        <v>51</v>
      </c>
      <c r="D1209">
        <v>54227</v>
      </c>
      <c r="E1209" t="s">
        <v>247</v>
      </c>
      <c r="F1209">
        <v>7139</v>
      </c>
      <c r="G1209">
        <v>0.2321626586166142</v>
      </c>
      <c r="H1209">
        <v>5.5013381046378014E-88</v>
      </c>
      <c r="I1209">
        <v>7.9463772622546023E-88</v>
      </c>
      <c r="J1209">
        <v>0.1892336759988886</v>
      </c>
      <c r="K1209">
        <v>1.52004192535019E-58</v>
      </c>
      <c r="L1209">
        <v>2.0069303545639229E-58</v>
      </c>
      <c r="M1209">
        <v>0.1257079725534134</v>
      </c>
      <c r="N1209">
        <v>4.0531488660431758E-57</v>
      </c>
      <c r="O1209">
        <v>5.3236955313054151E-57</v>
      </c>
      <c r="P1209">
        <v>5.3899500055934559E-2</v>
      </c>
      <c r="Q1209">
        <v>0.72535621996910171</v>
      </c>
      <c r="R1209">
        <v>7.8279896344017121</v>
      </c>
      <c r="S1209">
        <v>0.34993196306566199</v>
      </c>
      <c r="T1209">
        <v>0.28800401815469218</v>
      </c>
      <c r="U1209">
        <v>4.4222873134892842</v>
      </c>
      <c r="V1209">
        <v>0.1151559613407446</v>
      </c>
      <c r="W1209">
        <v>11.03572324373161</v>
      </c>
      <c r="X1209">
        <v>0.35978694128829608</v>
      </c>
      <c r="Z1209" t="s">
        <v>392</v>
      </c>
      <c r="AA1209">
        <v>140</v>
      </c>
      <c r="AB1209" t="s">
        <v>1600</v>
      </c>
      <c r="AC1209" t="str">
        <f>HYPERLINK("plots/20251231112652_3FT6Y119H04_05543_B21P_N_UFLEX98_M5358A8BA201511/dpll_52046/txpa_54227.png","plot")</f>
        <v>plot</v>
      </c>
    </row>
    <row r="1210" spans="1:29" x14ac:dyDescent="0.35">
      <c r="A1210" s="3" t="s">
        <v>47</v>
      </c>
      <c r="B1210">
        <v>52046</v>
      </c>
      <c r="C1210" t="s">
        <v>51</v>
      </c>
      <c r="D1210">
        <v>54228</v>
      </c>
      <c r="E1210" t="s">
        <v>248</v>
      </c>
      <c r="F1210">
        <v>7139</v>
      </c>
      <c r="G1210">
        <v>0.36426195537114181</v>
      </c>
      <c r="H1210">
        <v>6.2273856646020187E-223</v>
      </c>
      <c r="I1210">
        <v>5.6888009584742768E-222</v>
      </c>
      <c r="J1210">
        <v>0.36530660932709802</v>
      </c>
      <c r="K1210">
        <v>2.6952899174705911E-224</v>
      </c>
      <c r="L1210">
        <v>2.2040515938025639E-223</v>
      </c>
      <c r="M1210">
        <v>0.2486290848723762</v>
      </c>
      <c r="N1210">
        <v>7.9617003637143023E-218</v>
      </c>
      <c r="O1210">
        <v>6.0700482472227841E-217</v>
      </c>
      <c r="P1210">
        <v>0.13268677213080771</v>
      </c>
      <c r="Q1210">
        <v>0.796710431994609</v>
      </c>
      <c r="R1210">
        <v>7.80216769013375</v>
      </c>
      <c r="S1210">
        <v>0.2345474309217053</v>
      </c>
      <c r="T1210">
        <v>0.1771106245661313</v>
      </c>
      <c r="U1210">
        <v>4.4222873134892842</v>
      </c>
      <c r="V1210">
        <v>0.1151559613407446</v>
      </c>
      <c r="W1210">
        <v>11.32545012606808</v>
      </c>
      <c r="X1210">
        <v>0.2518680700899999</v>
      </c>
      <c r="Z1210" t="s">
        <v>392</v>
      </c>
      <c r="AA1210">
        <v>140</v>
      </c>
      <c r="AB1210" t="s">
        <v>1601</v>
      </c>
      <c r="AC1210" t="str">
        <f>HYPERLINK("plots/20251231112652_3FT6Y119H04_05543_B21P_N_UFLEX98_M5358A8BA201511/dpll_52046/txpa_54228.png","plot")</f>
        <v>plot</v>
      </c>
    </row>
    <row r="1211" spans="1:29" x14ac:dyDescent="0.35">
      <c r="A1211" s="3" t="s">
        <v>47</v>
      </c>
      <c r="B1211">
        <v>52046</v>
      </c>
      <c r="C1211" t="s">
        <v>51</v>
      </c>
      <c r="D1211">
        <v>54229</v>
      </c>
      <c r="E1211" t="s">
        <v>249</v>
      </c>
      <c r="F1211">
        <v>7139</v>
      </c>
      <c r="G1211">
        <v>0.31957587235229318</v>
      </c>
      <c r="H1211">
        <v>3.2694393552888338E-169</v>
      </c>
      <c r="I1211">
        <v>1.020065078850116E-168</v>
      </c>
      <c r="J1211">
        <v>0.3062809093575844</v>
      </c>
      <c r="K1211">
        <v>6.7427641907152918E-155</v>
      </c>
      <c r="L1211">
        <v>2.0656081236813611E-154</v>
      </c>
      <c r="M1211">
        <v>0.20784435780630711</v>
      </c>
      <c r="N1211">
        <v>7.6034684792659399E-153</v>
      </c>
      <c r="O1211">
        <v>2.336338496356261E-152</v>
      </c>
      <c r="P1211">
        <v>0.1021287381897292</v>
      </c>
      <c r="Q1211">
        <v>0.74396556871979003</v>
      </c>
      <c r="R1211">
        <v>8.1722479249850863</v>
      </c>
      <c r="S1211">
        <v>0.25400478332202919</v>
      </c>
      <c r="T1211">
        <v>0.1959267388300496</v>
      </c>
      <c r="U1211">
        <v>4.4222873134892842</v>
      </c>
      <c r="V1211">
        <v>0.1151559613407446</v>
      </c>
      <c r="W1211">
        <v>11.46227742120745</v>
      </c>
      <c r="X1211">
        <v>0.26808053323843628</v>
      </c>
      <c r="Z1211" t="s">
        <v>392</v>
      </c>
      <c r="AA1211">
        <v>140</v>
      </c>
      <c r="AB1211" t="s">
        <v>1602</v>
      </c>
      <c r="AC1211" t="str">
        <f>HYPERLINK("plots/20251231112652_3FT6Y119H04_05543_B21P_N_UFLEX98_M5358A8BA201511/dpll_52046/txpa_54229.png","plot")</f>
        <v>plot</v>
      </c>
    </row>
    <row r="1212" spans="1:29" x14ac:dyDescent="0.35">
      <c r="A1212" s="3" t="s">
        <v>47</v>
      </c>
      <c r="B1212">
        <v>52046</v>
      </c>
      <c r="C1212" t="s">
        <v>51</v>
      </c>
      <c r="D1212">
        <v>54230</v>
      </c>
      <c r="E1212" t="s">
        <v>250</v>
      </c>
      <c r="F1212">
        <v>7139</v>
      </c>
      <c r="G1212">
        <v>0.39405386281472582</v>
      </c>
      <c r="H1212">
        <v>7.1891073144505404E-264</v>
      </c>
      <c r="I1212">
        <v>2.9159019267411402E-262</v>
      </c>
      <c r="J1212">
        <v>0.38374000417151422</v>
      </c>
      <c r="K1212">
        <v>3.2847353030580009E-249</v>
      </c>
      <c r="L1212">
        <v>4.3256124640270314E-248</v>
      </c>
      <c r="M1212">
        <v>0.26308296317830898</v>
      </c>
      <c r="N1212">
        <v>1.236327209510905E-243</v>
      </c>
      <c r="O1212">
        <v>1.547698506721059E-242</v>
      </c>
      <c r="P1212">
        <v>0.15527844679920669</v>
      </c>
      <c r="Q1212">
        <v>0.82209993915973512</v>
      </c>
      <c r="R1212">
        <v>7.6902189121971141</v>
      </c>
      <c r="S1212">
        <v>0.22079123092078071</v>
      </c>
      <c r="T1212">
        <v>0.16807625024978529</v>
      </c>
      <c r="U1212">
        <v>4.4222873134892842</v>
      </c>
      <c r="V1212">
        <v>0.1151559613407446</v>
      </c>
      <c r="W1212">
        <v>11.32578104356352</v>
      </c>
      <c r="X1212">
        <v>0.2402456053491811</v>
      </c>
      <c r="Z1212" t="s">
        <v>392</v>
      </c>
      <c r="AA1212">
        <v>140</v>
      </c>
      <c r="AB1212" t="s">
        <v>1603</v>
      </c>
      <c r="AC1212" t="str">
        <f>HYPERLINK("plots/20251231112652_3FT6Y119H04_05543_B21P_N_UFLEX98_M5358A8BA201511/dpll_52046/txpa_54230.png","plot")</f>
        <v>plot</v>
      </c>
    </row>
    <row r="1213" spans="1:29" x14ac:dyDescent="0.35">
      <c r="A1213" s="3" t="s">
        <v>47</v>
      </c>
      <c r="B1213">
        <v>52046</v>
      </c>
      <c r="C1213" t="s">
        <v>51</v>
      </c>
      <c r="D1213">
        <v>54231</v>
      </c>
      <c r="E1213" t="s">
        <v>251</v>
      </c>
      <c r="F1213">
        <v>7139</v>
      </c>
      <c r="G1213">
        <v>0.34911917384141972</v>
      </c>
      <c r="H1213">
        <v>9.9158163945639511E-204</v>
      </c>
      <c r="I1213">
        <v>5.5859099022710264E-203</v>
      </c>
      <c r="J1213">
        <v>0.31985597899430279</v>
      </c>
      <c r="K1213">
        <v>1.6029127642205211E-169</v>
      </c>
      <c r="L1213">
        <v>5.6435886906930863E-169</v>
      </c>
      <c r="M1213">
        <v>0.21612663424084991</v>
      </c>
      <c r="N1213">
        <v>4.193068249895265E-165</v>
      </c>
      <c r="O1213">
        <v>1.456086029244452E-164</v>
      </c>
      <c r="P1213">
        <v>0.12188419754371541</v>
      </c>
      <c r="Q1213">
        <v>0.75205642370522496</v>
      </c>
      <c r="R1213">
        <v>8.1291397726715555</v>
      </c>
      <c r="S1213">
        <v>0.2324388009238883</v>
      </c>
      <c r="T1213">
        <v>0.18076637071374929</v>
      </c>
      <c r="U1213">
        <v>4.4222873134892842</v>
      </c>
      <c r="V1213">
        <v>0.1151559613407446</v>
      </c>
      <c r="W1213">
        <v>11.454949354251291</v>
      </c>
      <c r="X1213">
        <v>0.2480636611886449</v>
      </c>
      <c r="Z1213" t="s">
        <v>392</v>
      </c>
      <c r="AA1213">
        <v>140</v>
      </c>
      <c r="AB1213" t="s">
        <v>1604</v>
      </c>
      <c r="AC1213" t="str">
        <f>HYPERLINK("plots/20251231112652_3FT6Y119H04_05543_B21P_N_UFLEX98_M5358A8BA201511/dpll_52046/txpa_54231.png","plot")</f>
        <v>plot</v>
      </c>
    </row>
    <row r="1214" spans="1:29" x14ac:dyDescent="0.35">
      <c r="A1214" s="3" t="s">
        <v>47</v>
      </c>
      <c r="B1214">
        <v>52046</v>
      </c>
      <c r="C1214" t="s">
        <v>51</v>
      </c>
      <c r="D1214">
        <v>54232</v>
      </c>
      <c r="E1214" t="s">
        <v>252</v>
      </c>
      <c r="F1214">
        <v>7139</v>
      </c>
      <c r="G1214">
        <v>0.41144451966931722</v>
      </c>
      <c r="H1214">
        <v>8.3605626538895458E-290</v>
      </c>
      <c r="I1214">
        <v>4.2388052655220001E-287</v>
      </c>
      <c r="J1214">
        <v>0.39430318298153838</v>
      </c>
      <c r="K1214">
        <v>3.131479755148761E-264</v>
      </c>
      <c r="L1214">
        <v>5.2922007862014072E-263</v>
      </c>
      <c r="M1214">
        <v>0.27083358068119479</v>
      </c>
      <c r="N1214">
        <v>4.5015114686059634E-258</v>
      </c>
      <c r="O1214">
        <v>7.2452898875657891E-257</v>
      </c>
      <c r="P1214">
        <v>0.16928659276591521</v>
      </c>
      <c r="Q1214">
        <v>0.78499668405152412</v>
      </c>
      <c r="R1214">
        <v>7.9081466198360877</v>
      </c>
      <c r="S1214">
        <v>0.20023415352397089</v>
      </c>
      <c r="T1214">
        <v>0.15081046305280491</v>
      </c>
      <c r="U1214">
        <v>4.4222873134892842</v>
      </c>
      <c r="V1214">
        <v>0.1151559613407446</v>
      </c>
      <c r="W1214">
        <v>11.3796274968483</v>
      </c>
      <c r="X1214">
        <v>0.2197065302362107</v>
      </c>
      <c r="Z1214" t="s">
        <v>392</v>
      </c>
      <c r="AA1214">
        <v>140</v>
      </c>
      <c r="AB1214" t="s">
        <v>1605</v>
      </c>
      <c r="AC1214" t="str">
        <f>HYPERLINK("plots/20251231112652_3FT6Y119H04_05543_B21P_N_UFLEX98_M5358A8BA201511/dpll_52046/txpa_54232.png","plot")</f>
        <v>plot</v>
      </c>
    </row>
    <row r="1215" spans="1:29" x14ac:dyDescent="0.35">
      <c r="A1215" s="3" t="s">
        <v>47</v>
      </c>
      <c r="B1215">
        <v>52046</v>
      </c>
      <c r="C1215" t="s">
        <v>51</v>
      </c>
      <c r="D1215">
        <v>54233</v>
      </c>
      <c r="E1215" t="s">
        <v>253</v>
      </c>
      <c r="F1215">
        <v>7139</v>
      </c>
      <c r="G1215">
        <v>0.34037764464489828</v>
      </c>
      <c r="H1215">
        <v>4.0591353387634551E-193</v>
      </c>
      <c r="I1215">
        <v>1.8457234230969251E-192</v>
      </c>
      <c r="J1215">
        <v>0.31324231526442209</v>
      </c>
      <c r="K1215">
        <v>2.6655086108661912E-162</v>
      </c>
      <c r="L1215">
        <v>8.8327638281644379E-162</v>
      </c>
      <c r="M1215">
        <v>0.21224070654090599</v>
      </c>
      <c r="N1215">
        <v>2.714485077752574E-159</v>
      </c>
      <c r="O1215">
        <v>9.0245503896429853E-159</v>
      </c>
      <c r="P1215">
        <v>0.1158569409740087</v>
      </c>
      <c r="Q1215">
        <v>0.70676188858079458</v>
      </c>
      <c r="R1215">
        <v>8.2772393249389982</v>
      </c>
      <c r="S1215">
        <v>0.22481711525334391</v>
      </c>
      <c r="T1215">
        <v>0.17415328360955989</v>
      </c>
      <c r="U1215">
        <v>4.4222873134892842</v>
      </c>
      <c r="V1215">
        <v>0.1151559613407446</v>
      </c>
      <c r="W1215">
        <v>11.402743458467571</v>
      </c>
      <c r="X1215">
        <v>0.23911042925110479</v>
      </c>
      <c r="Z1215" t="s">
        <v>392</v>
      </c>
      <c r="AA1215">
        <v>140</v>
      </c>
      <c r="AB1215" t="s">
        <v>1606</v>
      </c>
      <c r="AC1215" t="str">
        <f>HYPERLINK("plots/20251231112652_3FT6Y119H04_05543_B21P_N_UFLEX98_M5358A8BA201511/dpll_52046/txpa_54233.png","plot")</f>
        <v>plot</v>
      </c>
    </row>
    <row r="1216" spans="1:29" x14ac:dyDescent="0.35">
      <c r="A1216" s="3" t="s">
        <v>47</v>
      </c>
      <c r="B1216">
        <v>52046</v>
      </c>
      <c r="C1216" t="s">
        <v>51</v>
      </c>
      <c r="D1216">
        <v>54234</v>
      </c>
      <c r="E1216" t="s">
        <v>254</v>
      </c>
      <c r="F1216">
        <v>7139</v>
      </c>
      <c r="G1216">
        <v>0.25011561413089528</v>
      </c>
      <c r="H1216">
        <v>2.8842528610263612E-102</v>
      </c>
      <c r="I1216">
        <v>4.7095529808063289E-102</v>
      </c>
      <c r="J1216">
        <v>0.20313785567144671</v>
      </c>
      <c r="K1216">
        <v>2.277106779433682E-67</v>
      </c>
      <c r="L1216">
        <v>3.1892075612510408E-67</v>
      </c>
      <c r="M1216">
        <v>0.13547298712871519</v>
      </c>
      <c r="N1216">
        <v>4.8340745836989798E-66</v>
      </c>
      <c r="O1216">
        <v>6.7517240053316326E-66</v>
      </c>
      <c r="P1216">
        <v>6.2557820432074904E-2</v>
      </c>
      <c r="Q1216">
        <v>0.74712684495083093</v>
      </c>
      <c r="R1216">
        <v>7.667737023966323</v>
      </c>
      <c r="S1216">
        <v>0.33302879655816547</v>
      </c>
      <c r="T1216">
        <v>0.2759514332923157</v>
      </c>
      <c r="U1216">
        <v>4.4222873134892842</v>
      </c>
      <c r="V1216">
        <v>0.1151559613407446</v>
      </c>
      <c r="W1216">
        <v>10.97174659195966</v>
      </c>
      <c r="X1216">
        <v>0.34398536202047869</v>
      </c>
      <c r="Z1216" t="s">
        <v>392</v>
      </c>
      <c r="AA1216">
        <v>140</v>
      </c>
      <c r="AB1216" t="s">
        <v>1607</v>
      </c>
      <c r="AC1216" t="str">
        <f>HYPERLINK("plots/20251231112652_3FT6Y119H04_05543_B21P_N_UFLEX98_M5358A8BA201511/dpll_52046/txpa_54234.png","plot")</f>
        <v>plot</v>
      </c>
    </row>
    <row r="1217" spans="1:29" x14ac:dyDescent="0.35">
      <c r="A1217" s="3" t="s">
        <v>47</v>
      </c>
      <c r="B1217">
        <v>52046</v>
      </c>
      <c r="C1217" t="s">
        <v>51</v>
      </c>
      <c r="D1217">
        <v>54235</v>
      </c>
      <c r="E1217" t="s">
        <v>255</v>
      </c>
      <c r="F1217">
        <v>7139</v>
      </c>
      <c r="G1217">
        <v>0.2383230273977954</v>
      </c>
      <c r="H1217">
        <v>9.42184659114202E-93</v>
      </c>
      <c r="I1217">
        <v>1.42806464027175E-92</v>
      </c>
      <c r="J1217">
        <v>0.19526112527575409</v>
      </c>
      <c r="K1217">
        <v>2.746717012743863E-62</v>
      </c>
      <c r="L1217">
        <v>3.7036849081413251E-62</v>
      </c>
      <c r="M1217">
        <v>0.1296537615839167</v>
      </c>
      <c r="N1217">
        <v>1.207195258408204E-60</v>
      </c>
      <c r="O1217">
        <v>1.6149023641502891E-60</v>
      </c>
      <c r="P1217">
        <v>5.6797865388050352E-2</v>
      </c>
      <c r="Q1217">
        <v>0.72804058788771409</v>
      </c>
      <c r="R1217">
        <v>8.2715651693843295</v>
      </c>
      <c r="S1217">
        <v>0.34162368908579882</v>
      </c>
      <c r="T1217">
        <v>0.28039745590229359</v>
      </c>
      <c r="U1217">
        <v>4.4222873134892842</v>
      </c>
      <c r="V1217">
        <v>0.1151559613407446</v>
      </c>
      <c r="W1217">
        <v>11.49116982490545</v>
      </c>
      <c r="X1217">
        <v>0.35178394093388438</v>
      </c>
      <c r="Z1217" t="s">
        <v>392</v>
      </c>
      <c r="AA1217">
        <v>140</v>
      </c>
      <c r="AB1217" t="s">
        <v>1608</v>
      </c>
      <c r="AC1217" t="str">
        <f>HYPERLINK("plots/20251231112652_3FT6Y119H04_05543_B21P_N_UFLEX98_M5358A8BA201511/dpll_52046/txpa_54235.png","plot")</f>
        <v>plot</v>
      </c>
    </row>
    <row r="1218" spans="1:29" x14ac:dyDescent="0.35">
      <c r="A1218" s="3" t="s">
        <v>47</v>
      </c>
      <c r="B1218">
        <v>52046</v>
      </c>
      <c r="C1218" t="s">
        <v>51</v>
      </c>
      <c r="D1218">
        <v>54236</v>
      </c>
      <c r="E1218" t="s">
        <v>256</v>
      </c>
      <c r="F1218">
        <v>7139</v>
      </c>
      <c r="G1218">
        <v>0.36690178096240311</v>
      </c>
      <c r="H1218">
        <v>2.179749442001886E-226</v>
      </c>
      <c r="I1218">
        <v>2.2786246744225901E-225</v>
      </c>
      <c r="J1218">
        <v>0.37188274316835751</v>
      </c>
      <c r="K1218">
        <v>5.3505844794705403E-233</v>
      </c>
      <c r="L1218">
        <v>5.1183893039463472E-232</v>
      </c>
      <c r="M1218">
        <v>0.25381585582496791</v>
      </c>
      <c r="N1218">
        <v>6.4115219705159527E-227</v>
      </c>
      <c r="O1218">
        <v>5.9102575255483422E-226</v>
      </c>
      <c r="P1218">
        <v>0.1346169168733832</v>
      </c>
      <c r="Q1218">
        <v>0.79898919946249425</v>
      </c>
      <c r="R1218">
        <v>8.2314206590501531</v>
      </c>
      <c r="S1218">
        <v>0.23326592117527151</v>
      </c>
      <c r="T1218">
        <v>0.1747438065580697</v>
      </c>
      <c r="U1218">
        <v>4.4222873134892842</v>
      </c>
      <c r="V1218">
        <v>0.1151559613407446</v>
      </c>
      <c r="W1218">
        <v>11.764780459448099</v>
      </c>
      <c r="X1218">
        <v>0.25077111679216307</v>
      </c>
      <c r="Z1218" t="s">
        <v>392</v>
      </c>
      <c r="AA1218">
        <v>140</v>
      </c>
      <c r="AB1218" t="s">
        <v>1609</v>
      </c>
      <c r="AC1218" t="str">
        <f>HYPERLINK("plots/20251231112652_3FT6Y119H04_05543_B21P_N_UFLEX98_M5358A8BA201511/dpll_52046/txpa_54236.png","plot")</f>
        <v>plot</v>
      </c>
    </row>
    <row r="1219" spans="1:29" x14ac:dyDescent="0.35">
      <c r="A1219" s="3" t="s">
        <v>47</v>
      </c>
      <c r="B1219">
        <v>52046</v>
      </c>
      <c r="C1219" t="s">
        <v>51</v>
      </c>
      <c r="D1219">
        <v>54237</v>
      </c>
      <c r="E1219" t="s">
        <v>257</v>
      </c>
      <c r="F1219">
        <v>7139</v>
      </c>
      <c r="G1219">
        <v>0.32510676330432547</v>
      </c>
      <c r="H1219">
        <v>2.1889112276452609E-175</v>
      </c>
      <c r="I1219">
        <v>7.423264163318712E-175</v>
      </c>
      <c r="J1219">
        <v>0.3178107684995547</v>
      </c>
      <c r="K1219">
        <v>2.8679180156558082E-167</v>
      </c>
      <c r="L1219">
        <v>9.92514971970986E-167</v>
      </c>
      <c r="M1219">
        <v>0.21613259044948821</v>
      </c>
      <c r="N1219">
        <v>4.107609760983851E-165</v>
      </c>
      <c r="O1219">
        <v>1.436246999185388E-164</v>
      </c>
      <c r="P1219">
        <v>0.1056944075462147</v>
      </c>
      <c r="Q1219">
        <v>0.74883770275646278</v>
      </c>
      <c r="R1219">
        <v>8.5708851715855836</v>
      </c>
      <c r="S1219">
        <v>0.25081914166034591</v>
      </c>
      <c r="T1219">
        <v>0.19114115711412599</v>
      </c>
      <c r="U1219">
        <v>4.4222873134892842</v>
      </c>
      <c r="V1219">
        <v>0.1151559613407446</v>
      </c>
      <c r="W1219">
        <v>11.882460644347949</v>
      </c>
      <c r="X1219">
        <v>0.26524556017431788</v>
      </c>
      <c r="Z1219" t="s">
        <v>392</v>
      </c>
      <c r="AA1219">
        <v>140</v>
      </c>
      <c r="AB1219" t="s">
        <v>1610</v>
      </c>
      <c r="AC1219" t="str">
        <f>HYPERLINK("plots/20251231112652_3FT6Y119H04_05543_B21P_N_UFLEX98_M5358A8BA201511/dpll_52046/txpa_54237.png","plot")</f>
        <v>plot</v>
      </c>
    </row>
    <row r="1220" spans="1:29" x14ac:dyDescent="0.35">
      <c r="A1220" s="3" t="s">
        <v>47</v>
      </c>
      <c r="B1220">
        <v>52046</v>
      </c>
      <c r="C1220" t="s">
        <v>51</v>
      </c>
      <c r="D1220">
        <v>54238</v>
      </c>
      <c r="E1220" t="s">
        <v>258</v>
      </c>
      <c r="F1220">
        <v>7139</v>
      </c>
      <c r="G1220">
        <v>0.39647655116671149</v>
      </c>
      <c r="H1220">
        <v>2.1690251908520249E-267</v>
      </c>
      <c r="I1220">
        <v>1.2937597314846791E-265</v>
      </c>
      <c r="J1220">
        <v>0.38956460118349701</v>
      </c>
      <c r="K1220">
        <v>2.0060644198789131E-257</v>
      </c>
      <c r="L1220">
        <v>2.9913960614076728E-256</v>
      </c>
      <c r="M1220">
        <v>0.26791288519635159</v>
      </c>
      <c r="N1220">
        <v>1.3919420360062509E-252</v>
      </c>
      <c r="O1220">
        <v>2.075631212515204E-251</v>
      </c>
      <c r="P1220">
        <v>0.15719365562505</v>
      </c>
      <c r="Q1220">
        <v>0.82348937796919275</v>
      </c>
      <c r="R1220">
        <v>8.1238420178829678</v>
      </c>
      <c r="S1220">
        <v>0.2195636283000485</v>
      </c>
      <c r="T1220">
        <v>0.1658552304637308</v>
      </c>
      <c r="U1220">
        <v>4.4222873134892842</v>
      </c>
      <c r="V1220">
        <v>0.1151559613407446</v>
      </c>
      <c r="W1220">
        <v>11.765548646869309</v>
      </c>
      <c r="X1220">
        <v>0.23918113365060009</v>
      </c>
      <c r="Z1220" t="s">
        <v>392</v>
      </c>
      <c r="AA1220">
        <v>140</v>
      </c>
      <c r="AB1220" t="s">
        <v>1611</v>
      </c>
      <c r="AC1220" t="str">
        <f>HYPERLINK("plots/20251231112652_3FT6Y119H04_05543_B21P_N_UFLEX98_M5358A8BA201511/dpll_52046/txpa_54238.png","plot")</f>
        <v>plot</v>
      </c>
    </row>
    <row r="1221" spans="1:29" x14ac:dyDescent="0.35">
      <c r="A1221" s="3" t="s">
        <v>47</v>
      </c>
      <c r="B1221">
        <v>52046</v>
      </c>
      <c r="C1221" t="s">
        <v>51</v>
      </c>
      <c r="D1221">
        <v>54239</v>
      </c>
      <c r="E1221" t="s">
        <v>259</v>
      </c>
      <c r="F1221">
        <v>7139</v>
      </c>
      <c r="G1221">
        <v>0.35429888432660128</v>
      </c>
      <c r="H1221">
        <v>3.5170668189136132E-210</v>
      </c>
      <c r="I1221">
        <v>2.361791890316824E-209</v>
      </c>
      <c r="J1221">
        <v>0.32967796670376348</v>
      </c>
      <c r="K1221">
        <v>1.3756798826421929E-180</v>
      </c>
      <c r="L1221">
        <v>5.4489820351530607E-180</v>
      </c>
      <c r="M1221">
        <v>0.22332203912222989</v>
      </c>
      <c r="N1221">
        <v>3.8482942223438562E-176</v>
      </c>
      <c r="O1221">
        <v>1.5242852896315109E-175</v>
      </c>
      <c r="P1221">
        <v>0.12552769943507441</v>
      </c>
      <c r="Q1221">
        <v>0.75563364150740486</v>
      </c>
      <c r="R1221">
        <v>8.5432102919696575</v>
      </c>
      <c r="S1221">
        <v>0.22965216020445711</v>
      </c>
      <c r="T1221">
        <v>0.17696816012366379</v>
      </c>
      <c r="U1221">
        <v>4.4222873134892842</v>
      </c>
      <c r="V1221">
        <v>0.1151559613407446</v>
      </c>
      <c r="W1221">
        <v>11.88483935845356</v>
      </c>
      <c r="X1221">
        <v>0.2455997528035668</v>
      </c>
      <c r="Z1221" t="s">
        <v>392</v>
      </c>
      <c r="AA1221">
        <v>140</v>
      </c>
      <c r="AB1221" t="s">
        <v>1612</v>
      </c>
      <c r="AC1221" t="str">
        <f>HYPERLINK("plots/20251231112652_3FT6Y119H04_05543_B21P_N_UFLEX98_M5358A8BA201511/dpll_52046/txpa_54239.png","plot")</f>
        <v>plot</v>
      </c>
    </row>
    <row r="1222" spans="1:29" x14ac:dyDescent="0.35">
      <c r="A1222" s="3" t="s">
        <v>47</v>
      </c>
      <c r="B1222">
        <v>52046</v>
      </c>
      <c r="C1222" t="s">
        <v>51</v>
      </c>
      <c r="D1222">
        <v>54240</v>
      </c>
      <c r="E1222" t="s">
        <v>260</v>
      </c>
      <c r="F1222">
        <v>7139</v>
      </c>
      <c r="G1222">
        <v>0.41202306687600748</v>
      </c>
      <c r="H1222">
        <v>1.0778819137797251E-290</v>
      </c>
      <c r="I1222">
        <v>1.092972260572642E-287</v>
      </c>
      <c r="J1222">
        <v>0.39985616926883888</v>
      </c>
      <c r="K1222">
        <v>2.375828806221928E-272</v>
      </c>
      <c r="L1222">
        <v>4.818180819018071E-271</v>
      </c>
      <c r="M1222">
        <v>0.27572078507525222</v>
      </c>
      <c r="N1222">
        <v>2.1580372724467798E-267</v>
      </c>
      <c r="O1222">
        <v>3.978635989565519E-266</v>
      </c>
      <c r="P1222">
        <v>0.169763007637911</v>
      </c>
      <c r="Q1222">
        <v>0.78713818542678182</v>
      </c>
      <c r="R1222">
        <v>8.3319218800935602</v>
      </c>
      <c r="S1222">
        <v>0.20044097054012061</v>
      </c>
      <c r="T1222">
        <v>0.14940552315703959</v>
      </c>
      <c r="U1222">
        <v>4.4222873134892842</v>
      </c>
      <c r="V1222">
        <v>0.1151559613407446</v>
      </c>
      <c r="W1222">
        <v>11.81287309146939</v>
      </c>
      <c r="X1222">
        <v>0.21999655295539131</v>
      </c>
      <c r="Z1222" t="s">
        <v>392</v>
      </c>
      <c r="AA1222">
        <v>140</v>
      </c>
      <c r="AB1222" t="s">
        <v>1613</v>
      </c>
      <c r="AC1222" t="str">
        <f>HYPERLINK("plots/20251231112652_3FT6Y119H04_05543_B21P_N_UFLEX98_M5358A8BA201511/dpll_52046/txpa_54240.png","plot")</f>
        <v>plot</v>
      </c>
    </row>
    <row r="1223" spans="1:29" x14ac:dyDescent="0.35">
      <c r="A1223" s="3" t="s">
        <v>47</v>
      </c>
      <c r="B1223">
        <v>52046</v>
      </c>
      <c r="C1223" t="s">
        <v>51</v>
      </c>
      <c r="D1223">
        <v>54241</v>
      </c>
      <c r="E1223" t="s">
        <v>261</v>
      </c>
      <c r="F1223">
        <v>7139</v>
      </c>
      <c r="G1223">
        <v>0.34543425991130478</v>
      </c>
      <c r="H1223">
        <v>3.246146113570255E-199</v>
      </c>
      <c r="I1223">
        <v>1.7143709162292909E-198</v>
      </c>
      <c r="J1223">
        <v>0.32190417283385281</v>
      </c>
      <c r="K1223">
        <v>8.5351490693641532E-172</v>
      </c>
      <c r="L1223">
        <v>3.1357395493968298E-171</v>
      </c>
      <c r="M1223">
        <v>0.21853845987407761</v>
      </c>
      <c r="N1223">
        <v>9.1871556998309956E-169</v>
      </c>
      <c r="O1223">
        <v>3.375281115807474E-168</v>
      </c>
      <c r="P1223">
        <v>0.1193248279204709</v>
      </c>
      <c r="Q1223">
        <v>0.71190798247849307</v>
      </c>
      <c r="R1223">
        <v>8.6831225125556024</v>
      </c>
      <c r="S1223">
        <v>0.22270108697845381</v>
      </c>
      <c r="T1223">
        <v>0.1711745556615098</v>
      </c>
      <c r="U1223">
        <v>4.4222873134892842</v>
      </c>
      <c r="V1223">
        <v>0.1151559613407446</v>
      </c>
      <c r="W1223">
        <v>11.83138415184199</v>
      </c>
      <c r="X1223">
        <v>0.23732575955121091</v>
      </c>
      <c r="Z1223" t="s">
        <v>392</v>
      </c>
      <c r="AA1223">
        <v>140</v>
      </c>
      <c r="AB1223" t="s">
        <v>1614</v>
      </c>
      <c r="AC1223" t="str">
        <f>HYPERLINK("plots/20251231112652_3FT6Y119H04_05543_B21P_N_UFLEX98_M5358A8BA201511/dpll_52046/txpa_54241.png","plot")</f>
        <v>plot</v>
      </c>
    </row>
    <row r="1224" spans="1:29" x14ac:dyDescent="0.35">
      <c r="A1224" s="3" t="s">
        <v>47</v>
      </c>
      <c r="B1224">
        <v>52046</v>
      </c>
      <c r="C1224" t="s">
        <v>51</v>
      </c>
      <c r="D1224">
        <v>54242</v>
      </c>
      <c r="E1224" t="s">
        <v>262</v>
      </c>
      <c r="F1224">
        <v>7139</v>
      </c>
      <c r="G1224">
        <v>0.25661490288514732</v>
      </c>
      <c r="H1224">
        <v>9.8792386599118541E-108</v>
      </c>
      <c r="I1224">
        <v>1.6751752510285321E-107</v>
      </c>
      <c r="J1224">
        <v>0.2082842260020846</v>
      </c>
      <c r="K1224">
        <v>8.3209506431028129E-71</v>
      </c>
      <c r="L1224">
        <v>1.1968005605824469E-70</v>
      </c>
      <c r="M1224">
        <v>0.13889295219114639</v>
      </c>
      <c r="N1224">
        <v>2.5256822600104218E-69</v>
      </c>
      <c r="O1224">
        <v>3.6071011431698142E-69</v>
      </c>
      <c r="P1224">
        <v>6.5851208382753587E-2</v>
      </c>
      <c r="Q1224">
        <v>0.74873518006802398</v>
      </c>
      <c r="R1224">
        <v>8.1191180745098066</v>
      </c>
      <c r="S1224">
        <v>0.32472101755576099</v>
      </c>
      <c r="T1224">
        <v>0.26859982529454091</v>
      </c>
      <c r="U1224">
        <v>4.4222873134892842</v>
      </c>
      <c r="V1224">
        <v>0.1151559613407446</v>
      </c>
      <c r="W1224">
        <v>11.43024016248774</v>
      </c>
      <c r="X1224">
        <v>0.33599498112141502</v>
      </c>
      <c r="Z1224" t="s">
        <v>392</v>
      </c>
      <c r="AA1224">
        <v>140</v>
      </c>
      <c r="AB1224" t="s">
        <v>1615</v>
      </c>
      <c r="AC1224" t="str">
        <f>HYPERLINK("plots/20251231112652_3FT6Y119H04_05543_B21P_N_UFLEX98_M5358A8BA201511/dpll_52046/txpa_54242.png","plot")</f>
        <v>plot</v>
      </c>
    </row>
    <row r="1225" spans="1:29" x14ac:dyDescent="0.35">
      <c r="A1225" s="3" t="s">
        <v>47</v>
      </c>
      <c r="B1225">
        <v>52046</v>
      </c>
      <c r="C1225" t="s">
        <v>51</v>
      </c>
      <c r="D1225">
        <v>54243</v>
      </c>
      <c r="E1225" t="s">
        <v>263</v>
      </c>
      <c r="F1225">
        <v>7139</v>
      </c>
      <c r="G1225">
        <v>0.26257907590369622</v>
      </c>
      <c r="H1225">
        <v>6.9018529445443819E-113</v>
      </c>
      <c r="I1225">
        <v>1.2299611398537789E-112</v>
      </c>
      <c r="J1225">
        <v>0.22300588205520341</v>
      </c>
      <c r="K1225">
        <v>3.716507007843404E-81</v>
      </c>
      <c r="L1225">
        <v>5.8336503188130206E-81</v>
      </c>
      <c r="M1225">
        <v>0.1480293868492773</v>
      </c>
      <c r="N1225">
        <v>1.721880092463348E-78</v>
      </c>
      <c r="O1225">
        <v>2.6737923641008191E-78</v>
      </c>
      <c r="P1225">
        <v>6.8947771102439062E-2</v>
      </c>
      <c r="Q1225">
        <v>0.73857150655345871</v>
      </c>
      <c r="R1225">
        <v>9.681452880537373</v>
      </c>
      <c r="S1225">
        <v>0.31251830594924568</v>
      </c>
      <c r="T1225">
        <v>0.25294631228831249</v>
      </c>
      <c r="U1225">
        <v>4.4222873134892842</v>
      </c>
      <c r="V1225">
        <v>0.1151559613407446</v>
      </c>
      <c r="W1225">
        <v>12.947628284073399</v>
      </c>
      <c r="X1225">
        <v>0.32390589982592127</v>
      </c>
      <c r="Z1225" t="s">
        <v>392</v>
      </c>
      <c r="AA1225">
        <v>140</v>
      </c>
      <c r="AB1225" t="s">
        <v>1616</v>
      </c>
      <c r="AC1225" t="str">
        <f>HYPERLINK("plots/20251231112652_3FT6Y119H04_05543_B21P_N_UFLEX98_M5358A8BA201511/dpll_52046/txpa_54243.png","plot")</f>
        <v>plot</v>
      </c>
    </row>
    <row r="1226" spans="1:29" x14ac:dyDescent="0.35">
      <c r="A1226" s="3" t="s">
        <v>47</v>
      </c>
      <c r="B1226">
        <v>52046</v>
      </c>
      <c r="C1226" t="s">
        <v>51</v>
      </c>
      <c r="D1226">
        <v>54244</v>
      </c>
      <c r="E1226" t="s">
        <v>264</v>
      </c>
      <c r="F1226">
        <v>7139</v>
      </c>
      <c r="G1226">
        <v>0.36932489562711529</v>
      </c>
      <c r="H1226">
        <v>1.372242153025059E-229</v>
      </c>
      <c r="I1226">
        <v>1.599371888698172E-228</v>
      </c>
      <c r="J1226">
        <v>0.40017624677399272</v>
      </c>
      <c r="K1226">
        <v>7.9985917798977844E-273</v>
      </c>
      <c r="L1226">
        <v>1.689702513503407E-271</v>
      </c>
      <c r="M1226">
        <v>0.27782349897339381</v>
      </c>
      <c r="N1226">
        <v>1.8714778398585361E-271</v>
      </c>
      <c r="O1226">
        <v>4.1253881078620783E-270</v>
      </c>
      <c r="P1226">
        <v>0.13640087852997959</v>
      </c>
      <c r="Q1226">
        <v>0.81283981683674222</v>
      </c>
      <c r="R1226">
        <v>9.5390301446353689</v>
      </c>
      <c r="S1226">
        <v>0.23550953097661109</v>
      </c>
      <c r="T1226">
        <v>0.16859410761660831</v>
      </c>
      <c r="U1226">
        <v>4.4222873134892842</v>
      </c>
      <c r="V1226">
        <v>0.1151559613407446</v>
      </c>
      <c r="W1226">
        <v>13.13364135453145</v>
      </c>
      <c r="X1226">
        <v>0.25344446483882682</v>
      </c>
      <c r="Z1226" t="s">
        <v>392</v>
      </c>
      <c r="AA1226">
        <v>140</v>
      </c>
      <c r="AB1226" t="s">
        <v>1617</v>
      </c>
      <c r="AC1226" t="str">
        <f>HYPERLINK("plots/20251231112652_3FT6Y119H04_05543_B21P_N_UFLEX98_M5358A8BA201511/dpll_52046/txpa_54244.png","plot")</f>
        <v>plot</v>
      </c>
    </row>
    <row r="1227" spans="1:29" x14ac:dyDescent="0.35">
      <c r="A1227" s="3" t="s">
        <v>47</v>
      </c>
      <c r="B1227">
        <v>52046</v>
      </c>
      <c r="C1227" t="s">
        <v>51</v>
      </c>
      <c r="D1227">
        <v>54245</v>
      </c>
      <c r="E1227" t="s">
        <v>265</v>
      </c>
      <c r="F1227">
        <v>7139</v>
      </c>
      <c r="G1227">
        <v>0.33156231671572223</v>
      </c>
      <c r="H1227">
        <v>9.2901254829074039E-183</v>
      </c>
      <c r="I1227">
        <v>3.488958236914114E-182</v>
      </c>
      <c r="J1227">
        <v>0.35538021712543538</v>
      </c>
      <c r="K1227">
        <v>1.5284203983127389E-211</v>
      </c>
      <c r="L1227">
        <v>8.9584871901105015E-211</v>
      </c>
      <c r="M1227">
        <v>0.24466673998362259</v>
      </c>
      <c r="N1227">
        <v>5.2726338336517798E-211</v>
      </c>
      <c r="O1227">
        <v>3.3415316920768147E-210</v>
      </c>
      <c r="P1227">
        <v>0.1099335698658969</v>
      </c>
      <c r="Q1227">
        <v>0.78752532353599281</v>
      </c>
      <c r="R1227">
        <v>9.659762060141265</v>
      </c>
      <c r="S1227">
        <v>0.25802784726541622</v>
      </c>
      <c r="T1227">
        <v>0.18722352973081019</v>
      </c>
      <c r="U1227">
        <v>4.4222873134892842</v>
      </c>
      <c r="V1227">
        <v>0.1151559613407446</v>
      </c>
      <c r="W1227">
        <v>13.142425307466031</v>
      </c>
      <c r="X1227">
        <v>0.27351792148841592</v>
      </c>
      <c r="Z1227" t="s">
        <v>392</v>
      </c>
      <c r="AA1227">
        <v>140</v>
      </c>
      <c r="AB1227" t="s">
        <v>1618</v>
      </c>
      <c r="AC1227" t="str">
        <f>HYPERLINK("plots/20251231112652_3FT6Y119H04_05543_B21P_N_UFLEX98_M5358A8BA201511/dpll_52046/txpa_54245.png","plot")</f>
        <v>plot</v>
      </c>
    </row>
    <row r="1228" spans="1:29" x14ac:dyDescent="0.35">
      <c r="A1228" s="3" t="s">
        <v>47</v>
      </c>
      <c r="B1228">
        <v>52046</v>
      </c>
      <c r="C1228" t="s">
        <v>51</v>
      </c>
      <c r="D1228">
        <v>54246</v>
      </c>
      <c r="E1228" t="s">
        <v>266</v>
      </c>
      <c r="F1228">
        <v>7139</v>
      </c>
      <c r="G1228">
        <v>0.39787523919386042</v>
      </c>
      <c r="H1228">
        <v>1.951436329273164E-269</v>
      </c>
      <c r="I1228">
        <v>1.3191709585886591E-267</v>
      </c>
      <c r="J1228">
        <v>0.4160208042935814</v>
      </c>
      <c r="K1228">
        <v>6.8672986326017629E-297</v>
      </c>
      <c r="L1228">
        <v>2.5790521531326621E-295</v>
      </c>
      <c r="M1228">
        <v>0.2917844390964367</v>
      </c>
      <c r="N1228">
        <v>3.374645875270428E-299</v>
      </c>
      <c r="O1228">
        <v>1.26736700649045E-297</v>
      </c>
      <c r="P1228">
        <v>0.1583047059635716</v>
      </c>
      <c r="Q1228">
        <v>0.83255179747406227</v>
      </c>
      <c r="R1228">
        <v>9.4546703243388652</v>
      </c>
      <c r="S1228">
        <v>0.22105370871357399</v>
      </c>
      <c r="T1228">
        <v>0.1590974949364013</v>
      </c>
      <c r="U1228">
        <v>4.4222873134892842</v>
      </c>
      <c r="V1228">
        <v>0.1151559613407446</v>
      </c>
      <c r="W1228">
        <v>13.13645357613111</v>
      </c>
      <c r="X1228">
        <v>0.240963229575031</v>
      </c>
      <c r="Z1228" t="s">
        <v>392</v>
      </c>
      <c r="AA1228">
        <v>140</v>
      </c>
      <c r="AB1228" t="s">
        <v>1619</v>
      </c>
      <c r="AC1228" t="str">
        <f>HYPERLINK("plots/20251231112652_3FT6Y119H04_05543_B21P_N_UFLEX98_M5358A8BA201511/dpll_52046/txpa_54246.png","plot")</f>
        <v>plot</v>
      </c>
    </row>
    <row r="1229" spans="1:29" x14ac:dyDescent="0.35">
      <c r="A1229" s="3" t="s">
        <v>47</v>
      </c>
      <c r="B1229">
        <v>52046</v>
      </c>
      <c r="C1229" t="s">
        <v>51</v>
      </c>
      <c r="D1229">
        <v>54247</v>
      </c>
      <c r="E1229" t="s">
        <v>267</v>
      </c>
      <c r="F1229">
        <v>7139</v>
      </c>
      <c r="G1229">
        <v>0.36419702222173062</v>
      </c>
      <c r="H1229">
        <v>7.5666197647633143E-223</v>
      </c>
      <c r="I1229">
        <v>6.8504932513125011E-222</v>
      </c>
      <c r="J1229">
        <v>0.37118892300220308</v>
      </c>
      <c r="K1229">
        <v>4.5307337479494571E-232</v>
      </c>
      <c r="L1229">
        <v>4.1765127458370451E-231</v>
      </c>
      <c r="M1229">
        <v>0.2561538823085317</v>
      </c>
      <c r="N1229">
        <v>4.4286892722313193E-231</v>
      </c>
      <c r="O1229">
        <v>4.3179720404255364E-230</v>
      </c>
      <c r="P1229">
        <v>0.13263947099517581</v>
      </c>
      <c r="Q1229">
        <v>0.7846349135734596</v>
      </c>
      <c r="R1229">
        <v>9.7299913642730047</v>
      </c>
      <c r="S1229">
        <v>0.23103994460536331</v>
      </c>
      <c r="T1229">
        <v>0.16898926463837649</v>
      </c>
      <c r="U1229">
        <v>4.4222873134892842</v>
      </c>
      <c r="V1229">
        <v>0.1151559613407446</v>
      </c>
      <c r="W1229">
        <v>13.19987238828968</v>
      </c>
      <c r="X1229">
        <v>0.2480948010581305</v>
      </c>
      <c r="Z1229" t="s">
        <v>392</v>
      </c>
      <c r="AA1229">
        <v>140</v>
      </c>
      <c r="AB1229" t="s">
        <v>1620</v>
      </c>
      <c r="AC1229" t="str">
        <f>HYPERLINK("plots/20251231112652_3FT6Y119H04_05543_B21P_N_UFLEX98_M5358A8BA201511/dpll_52046/txpa_54247.png","plot")</f>
        <v>plot</v>
      </c>
    </row>
    <row r="1230" spans="1:29" x14ac:dyDescent="0.35">
      <c r="A1230" s="3" t="s">
        <v>47</v>
      </c>
      <c r="B1230">
        <v>52046</v>
      </c>
      <c r="C1230" t="s">
        <v>51</v>
      </c>
      <c r="D1230">
        <v>54248</v>
      </c>
      <c r="E1230" t="s">
        <v>268</v>
      </c>
      <c r="F1230">
        <v>7139</v>
      </c>
      <c r="G1230">
        <v>0.39984691222691282</v>
      </c>
      <c r="H1230">
        <v>2.4517794202915288E-272</v>
      </c>
      <c r="I1230">
        <v>1.912387947827393E-270</v>
      </c>
      <c r="J1230">
        <v>0.41937117492095533</v>
      </c>
      <c r="K1230">
        <v>3.7924481543445182E-302</v>
      </c>
      <c r="L1230">
        <v>1.6023093452105591E-300</v>
      </c>
      <c r="M1230">
        <v>0.2956016573314979</v>
      </c>
      <c r="N1230">
        <v>5.0858683314670752E-307</v>
      </c>
      <c r="O1230">
        <v>2.1487793700448389E-305</v>
      </c>
      <c r="P1230">
        <v>0.1598775532173965</v>
      </c>
      <c r="Q1230">
        <v>0.80359914745116656</v>
      </c>
      <c r="R1230">
        <v>9.5955732158425029</v>
      </c>
      <c r="S1230">
        <v>0.21211580088543391</v>
      </c>
      <c r="T1230">
        <v>0.1505111224310646</v>
      </c>
      <c r="U1230">
        <v>4.4222873134892842</v>
      </c>
      <c r="V1230">
        <v>0.1151559613407446</v>
      </c>
      <c r="W1230">
        <v>13.149319530746601</v>
      </c>
      <c r="X1230">
        <v>0.23143665619912529</v>
      </c>
      <c r="Z1230" t="s">
        <v>392</v>
      </c>
      <c r="AA1230">
        <v>140</v>
      </c>
      <c r="AB1230" t="s">
        <v>1621</v>
      </c>
      <c r="AC1230" t="str">
        <f>HYPERLINK("plots/20251231112652_3FT6Y119H04_05543_B21P_N_UFLEX98_M5358A8BA201511/dpll_52046/txpa_54248.png","plot")</f>
        <v>plot</v>
      </c>
    </row>
    <row r="1231" spans="1:29" x14ac:dyDescent="0.35">
      <c r="A1231" s="3" t="s">
        <v>47</v>
      </c>
      <c r="B1231">
        <v>52046</v>
      </c>
      <c r="C1231" t="s">
        <v>51</v>
      </c>
      <c r="D1231">
        <v>54249</v>
      </c>
      <c r="E1231" t="s">
        <v>269</v>
      </c>
      <c r="F1231">
        <v>7139</v>
      </c>
      <c r="G1231">
        <v>0.35276265940636298</v>
      </c>
      <c r="H1231">
        <v>2.9640959511523038E-208</v>
      </c>
      <c r="I1231">
        <v>1.855304502758294E-207</v>
      </c>
      <c r="J1231">
        <v>0.35774169989174859</v>
      </c>
      <c r="K1231">
        <v>1.553683403245757E-214</v>
      </c>
      <c r="L1231">
        <v>9.9711074107037846E-214</v>
      </c>
      <c r="M1231">
        <v>0.24570531261330189</v>
      </c>
      <c r="N1231">
        <v>8.8071027178731559E-213</v>
      </c>
      <c r="O1231">
        <v>5.8368641541982879E-212</v>
      </c>
      <c r="P1231">
        <v>0.12444149387144959</v>
      </c>
      <c r="Q1231">
        <v>0.75306980697279025</v>
      </c>
      <c r="R1231">
        <v>9.7976857737391416</v>
      </c>
      <c r="S1231">
        <v>0.23001238411583061</v>
      </c>
      <c r="T1231">
        <v>0.16960566096641741</v>
      </c>
      <c r="U1231">
        <v>4.4222873134892842</v>
      </c>
      <c r="V1231">
        <v>0.1151559613407446</v>
      </c>
      <c r="W1231">
        <v>13.127976827286741</v>
      </c>
      <c r="X1231">
        <v>0.2458323614085908</v>
      </c>
      <c r="Z1231" t="s">
        <v>392</v>
      </c>
      <c r="AA1231">
        <v>140</v>
      </c>
      <c r="AB1231" t="s">
        <v>1622</v>
      </c>
      <c r="AC1231" t="str">
        <f>HYPERLINK("plots/20251231112652_3FT6Y119H04_05543_B21P_N_UFLEX98_M5358A8BA201511/dpll_52046/txpa_54249.png","plot")</f>
        <v>plot</v>
      </c>
    </row>
    <row r="1232" spans="1:29" x14ac:dyDescent="0.35">
      <c r="A1232" s="3" t="s">
        <v>47</v>
      </c>
      <c r="B1232">
        <v>52046</v>
      </c>
      <c r="C1232" t="s">
        <v>51</v>
      </c>
      <c r="D1232">
        <v>54250</v>
      </c>
      <c r="E1232" t="s">
        <v>270</v>
      </c>
      <c r="F1232">
        <v>7139</v>
      </c>
      <c r="G1232">
        <v>0.28301325303122882</v>
      </c>
      <c r="H1232">
        <v>1.3707457880539071E-131</v>
      </c>
      <c r="I1232">
        <v>2.8658478950240449E-131</v>
      </c>
      <c r="J1232">
        <v>0.23116756884486689</v>
      </c>
      <c r="K1232">
        <v>3.1432675818271691E-87</v>
      </c>
      <c r="L1232">
        <v>5.2422258683762331E-87</v>
      </c>
      <c r="M1232">
        <v>0.15405615999777711</v>
      </c>
      <c r="N1232">
        <v>7.4447866097320393E-85</v>
      </c>
      <c r="O1232">
        <v>1.215622161395859E-84</v>
      </c>
      <c r="P1232">
        <v>8.0096501391318312E-2</v>
      </c>
      <c r="Q1232">
        <v>0.75312970676163593</v>
      </c>
      <c r="R1232">
        <v>9.5680330550375512</v>
      </c>
      <c r="S1232">
        <v>0.29389361204180148</v>
      </c>
      <c r="T1232">
        <v>0.24142184845769529</v>
      </c>
      <c r="U1232">
        <v>4.4222873134892842</v>
      </c>
      <c r="V1232">
        <v>0.1151559613407446</v>
      </c>
      <c r="W1232">
        <v>12.89858900266144</v>
      </c>
      <c r="X1232">
        <v>0.3064428060082382</v>
      </c>
      <c r="Z1232" t="s">
        <v>392</v>
      </c>
      <c r="AA1232">
        <v>140</v>
      </c>
      <c r="AB1232" t="s">
        <v>1623</v>
      </c>
      <c r="AC1232" t="str">
        <f>HYPERLINK("plots/20251231112652_3FT6Y119H04_05543_B21P_N_UFLEX98_M5358A8BA201511/dpll_52046/txpa_54250.png","plot")</f>
        <v>plot</v>
      </c>
    </row>
    <row r="1233" spans="1:29" x14ac:dyDescent="0.35">
      <c r="A1233" s="3" t="s">
        <v>47</v>
      </c>
      <c r="B1233">
        <v>52046</v>
      </c>
      <c r="C1233" t="s">
        <v>51</v>
      </c>
      <c r="D1233">
        <v>54251</v>
      </c>
      <c r="E1233" t="s">
        <v>271</v>
      </c>
      <c r="F1233">
        <v>7139</v>
      </c>
      <c r="G1233">
        <v>0.274710827062495</v>
      </c>
      <c r="H1233">
        <v>8.5370368500998026E-124</v>
      </c>
      <c r="I1233">
        <v>1.6457329593158169E-123</v>
      </c>
      <c r="J1233">
        <v>0.24151788342072281</v>
      </c>
      <c r="K1233">
        <v>2.8016548471924309E-95</v>
      </c>
      <c r="L1233">
        <v>4.9927557382304492E-95</v>
      </c>
      <c r="M1233">
        <v>0.1607358534377942</v>
      </c>
      <c r="N1233">
        <v>3.3362706908266109E-92</v>
      </c>
      <c r="O1233">
        <v>5.8936907325752317E-92</v>
      </c>
      <c r="P1233">
        <v>7.5466038505360031E-2</v>
      </c>
      <c r="Q1233">
        <v>0.74628201079468226</v>
      </c>
      <c r="R1233">
        <v>10.14307287260166</v>
      </c>
      <c r="S1233">
        <v>0.30077700961813247</v>
      </c>
      <c r="T1233">
        <v>0.24038191549930679</v>
      </c>
      <c r="U1233">
        <v>4.4222873134892842</v>
      </c>
      <c r="V1233">
        <v>0.1151559613407446</v>
      </c>
      <c r="W1233">
        <v>13.44334634122426</v>
      </c>
      <c r="X1233">
        <v>0.31283376524804751</v>
      </c>
      <c r="Z1233" t="s">
        <v>392</v>
      </c>
      <c r="AA1233">
        <v>140</v>
      </c>
      <c r="AB1233" t="s">
        <v>1624</v>
      </c>
      <c r="AC1233" t="str">
        <f>HYPERLINK("plots/20251231112652_3FT6Y119H04_05543_B21P_N_UFLEX98_M5358A8BA201511/dpll_52046/txpa_54251.png","plot")</f>
        <v>plot</v>
      </c>
    </row>
    <row r="1234" spans="1:29" x14ac:dyDescent="0.35">
      <c r="A1234" s="3" t="s">
        <v>47</v>
      </c>
      <c r="B1234">
        <v>52046</v>
      </c>
      <c r="C1234" t="s">
        <v>51</v>
      </c>
      <c r="D1234">
        <v>54252</v>
      </c>
      <c r="E1234" t="s">
        <v>272</v>
      </c>
      <c r="F1234">
        <v>7137</v>
      </c>
      <c r="G1234">
        <v>0.37013553837712621</v>
      </c>
      <c r="H1234">
        <v>1.331771178487229E-230</v>
      </c>
      <c r="I1234">
        <v>1.57025113370471E-229</v>
      </c>
      <c r="J1234">
        <v>0.41172920561300708</v>
      </c>
      <c r="K1234">
        <v>3.6762909663217839E-290</v>
      </c>
      <c r="L1234">
        <v>1.202502916080738E-288</v>
      </c>
      <c r="M1234">
        <v>0.28861594811751928</v>
      </c>
      <c r="N1234">
        <v>1.0603632049954161E-292</v>
      </c>
      <c r="O1234">
        <v>3.4684138382753297E-291</v>
      </c>
      <c r="P1234">
        <v>0.1370003167697251</v>
      </c>
      <c r="Q1234">
        <v>0.83244767032053513</v>
      </c>
      <c r="R1234">
        <v>9.8968169933432755</v>
      </c>
      <c r="S1234">
        <v>0.24057119174023031</v>
      </c>
      <c r="T1234">
        <v>0.16927892472316189</v>
      </c>
      <c r="U1234">
        <v>4.4222524462659374</v>
      </c>
      <c r="V1234">
        <v>0.1151522882781099</v>
      </c>
      <c r="W1234">
        <v>13.57811073980664</v>
      </c>
      <c r="X1234">
        <v>0.258981492372998</v>
      </c>
      <c r="Z1234" t="s">
        <v>392</v>
      </c>
      <c r="AA1234">
        <v>140</v>
      </c>
      <c r="AB1234" t="s">
        <v>1625</v>
      </c>
      <c r="AC1234" t="str">
        <f>HYPERLINK("plots/20251231112652_3FT6Y119H04_05543_B21P_N_UFLEX98_M5358A8BA201511/dpll_52046/txpa_54252.png","plot")</f>
        <v>plot</v>
      </c>
    </row>
    <row r="1235" spans="1:29" x14ac:dyDescent="0.35">
      <c r="A1235" s="3" t="s">
        <v>47</v>
      </c>
      <c r="B1235">
        <v>52046</v>
      </c>
      <c r="C1235" t="s">
        <v>51</v>
      </c>
      <c r="D1235">
        <v>54253</v>
      </c>
      <c r="E1235" t="s">
        <v>273</v>
      </c>
      <c r="F1235">
        <v>7138</v>
      </c>
      <c r="G1235">
        <v>0.32652159616690341</v>
      </c>
      <c r="H1235">
        <v>5.8124164310348612E-177</v>
      </c>
      <c r="I1235">
        <v>2.0115325123103579E-176</v>
      </c>
      <c r="J1235">
        <v>0.35565987608580341</v>
      </c>
      <c r="K1235">
        <v>7.2533871029250317E-212</v>
      </c>
      <c r="L1235">
        <v>4.3264320719799894E-211</v>
      </c>
      <c r="M1235">
        <v>0.24550814818480771</v>
      </c>
      <c r="N1235">
        <v>2.0513100327562429E-212</v>
      </c>
      <c r="O1235">
        <v>1.3333515212915579E-211</v>
      </c>
      <c r="P1235">
        <v>0.1066163527633824</v>
      </c>
      <c r="Q1235">
        <v>0.81648746359090074</v>
      </c>
      <c r="R1235">
        <v>9.915688406994601</v>
      </c>
      <c r="S1235">
        <v>0.27215842136713558</v>
      </c>
      <c r="T1235">
        <v>0.19643917465259009</v>
      </c>
      <c r="U1235">
        <v>4.4222738289436814</v>
      </c>
      <c r="V1235">
        <v>0.11515839176462229</v>
      </c>
      <c r="W1235">
        <v>13.52641954889325</v>
      </c>
      <c r="X1235">
        <v>0.28796068715480061</v>
      </c>
      <c r="Z1235" t="s">
        <v>392</v>
      </c>
      <c r="AA1235">
        <v>140</v>
      </c>
      <c r="AB1235" t="s">
        <v>1626</v>
      </c>
      <c r="AC1235" t="str">
        <f>HYPERLINK("plots/20251231112652_3FT6Y119H04_05543_B21P_N_UFLEX98_M5358A8BA201511/dpll_52046/txpa_54253.png","plot")</f>
        <v>plot</v>
      </c>
    </row>
    <row r="1236" spans="1:29" x14ac:dyDescent="0.35">
      <c r="A1236" s="3" t="s">
        <v>47</v>
      </c>
      <c r="B1236">
        <v>52046</v>
      </c>
      <c r="C1236" t="s">
        <v>51</v>
      </c>
      <c r="D1236">
        <v>54254</v>
      </c>
      <c r="E1236" t="s">
        <v>274</v>
      </c>
      <c r="F1236">
        <v>7138</v>
      </c>
      <c r="G1236">
        <v>0.39599278981748348</v>
      </c>
      <c r="H1236">
        <v>1.198525656186107E-266</v>
      </c>
      <c r="I1236">
        <v>6.7516945298484028E-265</v>
      </c>
      <c r="J1236">
        <v>0.42781905404135318</v>
      </c>
      <c r="K1236">
        <v>0</v>
      </c>
      <c r="L1236">
        <v>0</v>
      </c>
      <c r="M1236">
        <v>0.30327783656184221</v>
      </c>
      <c r="N1236">
        <v>0</v>
      </c>
      <c r="O1236">
        <v>0</v>
      </c>
      <c r="P1236">
        <v>0.15681028958743359</v>
      </c>
      <c r="Q1236">
        <v>0.84652327174575848</v>
      </c>
      <c r="R1236">
        <v>9.839016110839264</v>
      </c>
      <c r="S1236">
        <v>0.22602020583059179</v>
      </c>
      <c r="T1236">
        <v>0.15899849310356731</v>
      </c>
      <c r="U1236">
        <v>4.4222659356962737</v>
      </c>
      <c r="V1236">
        <v>0.1151498607446003</v>
      </c>
      <c r="W1236">
        <v>13.582567139254691</v>
      </c>
      <c r="X1236">
        <v>0.24615861542205231</v>
      </c>
      <c r="Z1236" t="s">
        <v>392</v>
      </c>
      <c r="AA1236">
        <v>140</v>
      </c>
      <c r="AB1236" t="s">
        <v>1627</v>
      </c>
      <c r="AC1236" t="str">
        <f>HYPERLINK("plots/20251231112652_3FT6Y119H04_05543_B21P_N_UFLEX98_M5358A8BA201511/dpll_52046/txpa_54254.png","plot")</f>
        <v>plot</v>
      </c>
    </row>
    <row r="1237" spans="1:29" x14ac:dyDescent="0.35">
      <c r="A1237" s="3" t="s">
        <v>47</v>
      </c>
      <c r="B1237">
        <v>52046</v>
      </c>
      <c r="C1237" t="s">
        <v>51</v>
      </c>
      <c r="D1237">
        <v>54255</v>
      </c>
      <c r="E1237" t="s">
        <v>275</v>
      </c>
      <c r="F1237">
        <v>7139</v>
      </c>
      <c r="G1237">
        <v>0.36148724502611812</v>
      </c>
      <c r="H1237">
        <v>2.4646548556111341E-219</v>
      </c>
      <c r="I1237">
        <v>2.0654215070989169E-218</v>
      </c>
      <c r="J1237">
        <v>0.38339457938123978</v>
      </c>
      <c r="K1237">
        <v>9.9633407395237201E-249</v>
      </c>
      <c r="L1237">
        <v>1.2952342961380841E-247</v>
      </c>
      <c r="M1237">
        <v>0.26699748964696002</v>
      </c>
      <c r="N1237">
        <v>7.1128037436406488E-251</v>
      </c>
      <c r="O1237">
        <v>1.015828590993186E-249</v>
      </c>
      <c r="P1237">
        <v>0.13067302831657279</v>
      </c>
      <c r="Q1237">
        <v>0.80846038772901319</v>
      </c>
      <c r="R1237">
        <v>10.03584152613417</v>
      </c>
      <c r="S1237">
        <v>0.24011171560340319</v>
      </c>
      <c r="T1237">
        <v>0.172432849335869</v>
      </c>
      <c r="U1237">
        <v>4.4222873134892842</v>
      </c>
      <c r="V1237">
        <v>0.1151559613407446</v>
      </c>
      <c r="W1237">
        <v>13.61108564224681</v>
      </c>
      <c r="X1237">
        <v>0.25754444848564167</v>
      </c>
      <c r="Z1237" t="s">
        <v>392</v>
      </c>
      <c r="AA1237">
        <v>140</v>
      </c>
      <c r="AB1237" t="s">
        <v>1628</v>
      </c>
      <c r="AC1237" t="str">
        <f>HYPERLINK("plots/20251231112652_3FT6Y119H04_05543_B21P_N_UFLEX98_M5358A8BA201511/dpll_52046/txpa_54255.png","plot")</f>
        <v>plot</v>
      </c>
    </row>
    <row r="1238" spans="1:29" x14ac:dyDescent="0.35">
      <c r="A1238" s="3" t="s">
        <v>47</v>
      </c>
      <c r="B1238">
        <v>52046</v>
      </c>
      <c r="C1238" t="s">
        <v>51</v>
      </c>
      <c r="D1238">
        <v>54256</v>
      </c>
      <c r="E1238" t="s">
        <v>276</v>
      </c>
      <c r="F1238">
        <v>7139</v>
      </c>
      <c r="G1238">
        <v>0.38818064372259731</v>
      </c>
      <c r="H1238">
        <v>1.8587507959549549E-255</v>
      </c>
      <c r="I1238">
        <v>4.5970080660934727E-254</v>
      </c>
      <c r="J1238">
        <v>0.42206438329002172</v>
      </c>
      <c r="K1238">
        <v>2.0358093644169931E-306</v>
      </c>
      <c r="L1238">
        <v>1.2901941846992691E-304</v>
      </c>
      <c r="M1238">
        <v>0.2998108045746487</v>
      </c>
      <c r="N1238">
        <v>0</v>
      </c>
      <c r="O1238">
        <v>0</v>
      </c>
      <c r="P1238">
        <v>0.15068421216089001</v>
      </c>
      <c r="Q1238">
        <v>0.82108387436471764</v>
      </c>
      <c r="R1238">
        <v>9.941045681506786</v>
      </c>
      <c r="S1238">
        <v>0.22446273569992409</v>
      </c>
      <c r="T1238">
        <v>0.157429931379854</v>
      </c>
      <c r="U1238">
        <v>4.4222873134892842</v>
      </c>
      <c r="V1238">
        <v>0.1151559613407446</v>
      </c>
      <c r="W1238">
        <v>13.57211448242051</v>
      </c>
      <c r="X1238">
        <v>0.24357912848797719</v>
      </c>
      <c r="Z1238" t="s">
        <v>392</v>
      </c>
      <c r="AA1238">
        <v>140</v>
      </c>
      <c r="AB1238" t="s">
        <v>1629</v>
      </c>
      <c r="AC1238" t="str">
        <f>HYPERLINK("plots/20251231112652_3FT6Y119H04_05543_B21P_N_UFLEX98_M5358A8BA201511/dpll_52046/txpa_54256.png","plot")</f>
        <v>plot</v>
      </c>
    </row>
    <row r="1239" spans="1:29" x14ac:dyDescent="0.35">
      <c r="A1239" s="3" t="s">
        <v>47</v>
      </c>
      <c r="B1239">
        <v>52046</v>
      </c>
      <c r="C1239" t="s">
        <v>51</v>
      </c>
      <c r="D1239">
        <v>54257</v>
      </c>
      <c r="E1239" t="s">
        <v>277</v>
      </c>
      <c r="F1239">
        <v>7139</v>
      </c>
      <c r="G1239">
        <v>0.34751236655193202</v>
      </c>
      <c r="H1239">
        <v>9.388714926239285E-202</v>
      </c>
      <c r="I1239">
        <v>5.1183639436594808E-201</v>
      </c>
      <c r="J1239">
        <v>0.36318358444358889</v>
      </c>
      <c r="K1239">
        <v>1.572829835155405E-221</v>
      </c>
      <c r="L1239">
        <v>1.172683421211456E-220</v>
      </c>
      <c r="M1239">
        <v>0.25049579167119213</v>
      </c>
      <c r="N1239">
        <v>4.4625673208307655E-221</v>
      </c>
      <c r="O1239">
        <v>3.6788969620507287E-220</v>
      </c>
      <c r="P1239">
        <v>0.1207648449065243</v>
      </c>
      <c r="Q1239">
        <v>0.78369008839865151</v>
      </c>
      <c r="R1239">
        <v>10.058920142921769</v>
      </c>
      <c r="S1239">
        <v>0.2434908346937841</v>
      </c>
      <c r="T1239">
        <v>0.17749442121696921</v>
      </c>
      <c r="U1239">
        <v>4.4222873134892842</v>
      </c>
      <c r="V1239">
        <v>0.1151559613407446</v>
      </c>
      <c r="W1239">
        <v>13.524622878554419</v>
      </c>
      <c r="X1239">
        <v>0.25969316262957648</v>
      </c>
      <c r="Z1239" t="s">
        <v>392</v>
      </c>
      <c r="AA1239">
        <v>140</v>
      </c>
      <c r="AB1239" t="s">
        <v>1630</v>
      </c>
      <c r="AC1239" t="str">
        <f>HYPERLINK("plots/20251231112652_3FT6Y119H04_05543_B21P_N_UFLEX98_M5358A8BA201511/dpll_52046/txpa_54257.png","plot")</f>
        <v>plot</v>
      </c>
    </row>
    <row r="1240" spans="1:29" x14ac:dyDescent="0.35">
      <c r="A1240" s="3" t="s">
        <v>47</v>
      </c>
      <c r="B1240">
        <v>52046</v>
      </c>
      <c r="C1240" t="s">
        <v>51</v>
      </c>
      <c r="D1240">
        <v>54258</v>
      </c>
      <c r="E1240" t="s">
        <v>278</v>
      </c>
      <c r="F1240">
        <v>7139</v>
      </c>
      <c r="G1240">
        <v>0.2966846408367812</v>
      </c>
      <c r="H1240">
        <v>5.0911919504819517E-145</v>
      </c>
      <c r="I1240">
        <v>1.226239581422494E-144</v>
      </c>
      <c r="J1240">
        <v>0.2464282481130374</v>
      </c>
      <c r="K1240">
        <v>3.0932262433399742E-99</v>
      </c>
      <c r="L1240">
        <v>5.776300940601719E-99</v>
      </c>
      <c r="M1240">
        <v>0.16425902536937531</v>
      </c>
      <c r="N1240">
        <v>3.3265565561193872E-96</v>
      </c>
      <c r="O1240">
        <v>6.1665966140860303E-96</v>
      </c>
      <c r="P1240">
        <v>8.8021776108449856E-2</v>
      </c>
      <c r="Q1240">
        <v>0.75693317012623129</v>
      </c>
      <c r="R1240">
        <v>10.05203655754854</v>
      </c>
      <c r="S1240">
        <v>0.28055028466568582</v>
      </c>
      <c r="T1240">
        <v>0.22858648887333041</v>
      </c>
      <c r="U1240">
        <v>4.4222873134892842</v>
      </c>
      <c r="V1240">
        <v>0.1151559613407446</v>
      </c>
      <c r="W1240">
        <v>13.399412512956999</v>
      </c>
      <c r="X1240">
        <v>0.29379804303565871</v>
      </c>
      <c r="Z1240" t="s">
        <v>392</v>
      </c>
      <c r="AA1240">
        <v>140</v>
      </c>
      <c r="AB1240" t="s">
        <v>1631</v>
      </c>
      <c r="AC1240" t="str">
        <f>HYPERLINK("plots/20251231112652_3FT6Y119H04_05543_B21P_N_UFLEX98_M5358A8BA201511/dpll_52046/txpa_54258.png","plot")</f>
        <v>plot</v>
      </c>
    </row>
    <row r="1241" spans="1:29" hidden="1" x14ac:dyDescent="0.35">
      <c r="A1241" s="3" t="s">
        <v>47</v>
      </c>
      <c r="B1241">
        <v>52046</v>
      </c>
      <c r="C1241" t="s">
        <v>51</v>
      </c>
      <c r="D1241">
        <v>55146</v>
      </c>
      <c r="E1241" t="s">
        <v>279</v>
      </c>
      <c r="F1241">
        <v>7139</v>
      </c>
      <c r="G1241">
        <v>-1.059579263859883E-2</v>
      </c>
      <c r="H1241">
        <v>0.37071521486812098</v>
      </c>
      <c r="I1241">
        <v>0.37218339393690558</v>
      </c>
      <c r="J1241">
        <v>-5.242599155699976E-3</v>
      </c>
      <c r="K1241">
        <v>0.65784795751322767</v>
      </c>
      <c r="L1241">
        <v>0.6598000286037714</v>
      </c>
      <c r="M1241">
        <v>-3.417073187079493E-3</v>
      </c>
      <c r="N1241">
        <v>0.66504350896754072</v>
      </c>
      <c r="O1241">
        <v>0.6670169318428153</v>
      </c>
      <c r="P1241">
        <v>1.122708216401851E-4</v>
      </c>
      <c r="Q1241">
        <v>-0.41740862866749379</v>
      </c>
      <c r="R1241">
        <v>-9.5807866683805791</v>
      </c>
      <c r="S1241">
        <v>4.5358595397667871</v>
      </c>
      <c r="T1241">
        <v>3.4563467489539121</v>
      </c>
      <c r="U1241">
        <v>4.4222873134892842</v>
      </c>
      <c r="V1241">
        <v>0.1151559613407446</v>
      </c>
      <c r="W1241">
        <v>-11.4266875514778</v>
      </c>
      <c r="X1241">
        <v>4.5364319164784517</v>
      </c>
      <c r="Z1241" t="s">
        <v>392</v>
      </c>
      <c r="AA1241">
        <v>140</v>
      </c>
      <c r="AB1241" t="s">
        <v>1632</v>
      </c>
      <c r="AC1241" t="str">
        <f>HYPERLINK("plots/20251231112652_3FT6Y119H04_05543_B21P_N_UFLEX98_M5358A8BA201511/dpll_52046/txpa_55146.png","plot")</f>
        <v>plot</v>
      </c>
    </row>
    <row r="1242" spans="1:29" x14ac:dyDescent="0.35">
      <c r="A1242" s="3" t="s">
        <v>47</v>
      </c>
      <c r="B1242">
        <v>52046</v>
      </c>
      <c r="C1242" t="s">
        <v>51</v>
      </c>
      <c r="D1242">
        <v>55147</v>
      </c>
      <c r="E1242" t="s">
        <v>280</v>
      </c>
      <c r="F1242">
        <v>7138</v>
      </c>
      <c r="G1242">
        <v>0.1212105187307502</v>
      </c>
      <c r="H1242">
        <v>8.9662810611144261E-25</v>
      </c>
      <c r="I1242">
        <v>9.2868324780081996E-25</v>
      </c>
      <c r="J1242">
        <v>0.1115329408816957</v>
      </c>
      <c r="K1242">
        <v>3.3593860661971E-21</v>
      </c>
      <c r="L1242">
        <v>3.4937615088449842E-21</v>
      </c>
      <c r="M1242">
        <v>7.4161058685015838E-2</v>
      </c>
      <c r="N1242">
        <v>5.8554755761978157E-21</v>
      </c>
      <c r="O1242">
        <v>6.0959468524277053E-21</v>
      </c>
      <c r="P1242">
        <v>1.4691989850977539E-2</v>
      </c>
      <c r="Q1242">
        <v>0.85784998746840058</v>
      </c>
      <c r="R1242">
        <v>-22.842781423833991</v>
      </c>
      <c r="S1242">
        <v>0.80899054535582182</v>
      </c>
      <c r="T1242">
        <v>0.62771452013001205</v>
      </c>
      <c r="U1242">
        <v>4.4222877789296717</v>
      </c>
      <c r="V1242">
        <v>0.1151640218753215</v>
      </c>
      <c r="W1242">
        <v>-19.049121908097511</v>
      </c>
      <c r="X1242">
        <v>0.81505677689581602</v>
      </c>
      <c r="Z1242" t="s">
        <v>392</v>
      </c>
      <c r="AA1242">
        <v>140</v>
      </c>
      <c r="AB1242" t="s">
        <v>1633</v>
      </c>
      <c r="AC1242" t="str">
        <f>HYPERLINK("plots/20251231112652_3FT6Y119H04_05543_B21P_N_UFLEX98_M5358A8BA201511/dpll_52046/txpa_55147.png","plot")</f>
        <v>plot</v>
      </c>
    </row>
    <row r="1243" spans="1:29" x14ac:dyDescent="0.35">
      <c r="A1243" s="3" t="s">
        <v>47</v>
      </c>
      <c r="B1243">
        <v>52046</v>
      </c>
      <c r="C1243" t="s">
        <v>51</v>
      </c>
      <c r="D1243">
        <v>55148</v>
      </c>
      <c r="E1243" t="s">
        <v>281</v>
      </c>
      <c r="F1243">
        <v>7139</v>
      </c>
      <c r="G1243">
        <v>0.11691384333565211</v>
      </c>
      <c r="H1243">
        <v>3.7428487770664931E-23</v>
      </c>
      <c r="I1243">
        <v>3.8530443248176888E-23</v>
      </c>
      <c r="J1243">
        <v>0.114145427477182</v>
      </c>
      <c r="K1243">
        <v>3.873995303871294E-22</v>
      </c>
      <c r="L1243">
        <v>4.0664919649332221E-22</v>
      </c>
      <c r="M1243">
        <v>7.6140753977710376E-2</v>
      </c>
      <c r="N1243">
        <v>5.2498527829291936E-22</v>
      </c>
      <c r="O1243">
        <v>5.5107150330126321E-22</v>
      </c>
      <c r="P1243">
        <v>1.36688467635134E-2</v>
      </c>
      <c r="Q1243">
        <v>0.81948324614085033</v>
      </c>
      <c r="R1243">
        <v>-23.215638909040539</v>
      </c>
      <c r="S1243">
        <v>0.80157012612325695</v>
      </c>
      <c r="T1243">
        <v>0.59998483557528848</v>
      </c>
      <c r="U1243">
        <v>4.4222873134892842</v>
      </c>
      <c r="V1243">
        <v>0.1151559613407446</v>
      </c>
      <c r="W1243">
        <v>-19.591648546014849</v>
      </c>
      <c r="X1243">
        <v>0.80716173824735304</v>
      </c>
      <c r="Z1243" t="s">
        <v>392</v>
      </c>
      <c r="AA1243">
        <v>140</v>
      </c>
      <c r="AB1243" t="s">
        <v>1634</v>
      </c>
      <c r="AC1243" t="str">
        <f>HYPERLINK("plots/20251231112652_3FT6Y119H04_05543_B21P_N_UFLEX98_M5358A8BA201511/dpll_52046/txpa_55148.png","plot")</f>
        <v>plot</v>
      </c>
    </row>
    <row r="1244" spans="1:29" x14ac:dyDescent="0.35">
      <c r="A1244" s="3" t="s">
        <v>47</v>
      </c>
      <c r="B1244">
        <v>52046</v>
      </c>
      <c r="C1244" t="s">
        <v>51</v>
      </c>
      <c r="D1244">
        <v>55149</v>
      </c>
      <c r="E1244" t="s">
        <v>282</v>
      </c>
      <c r="F1244">
        <v>7139</v>
      </c>
      <c r="G1244">
        <v>0.12872076172720051</v>
      </c>
      <c r="H1244">
        <v>9.3006141274836693E-28</v>
      </c>
      <c r="I1244">
        <v>9.7425854599880568E-28</v>
      </c>
      <c r="J1244">
        <v>0.1107985467932746</v>
      </c>
      <c r="K1244">
        <v>6.0608291679382633E-21</v>
      </c>
      <c r="L1244">
        <v>6.2839271741200394E-21</v>
      </c>
      <c r="M1244">
        <v>7.3377119747769545E-2</v>
      </c>
      <c r="N1244">
        <v>1.486604042902534E-20</v>
      </c>
      <c r="O1244">
        <v>1.5393982927637041E-20</v>
      </c>
      <c r="P1244">
        <v>1.6569034499630719E-2</v>
      </c>
      <c r="Q1244">
        <v>0.89473508200355811</v>
      </c>
      <c r="R1244">
        <v>-23.054937260573709</v>
      </c>
      <c r="S1244">
        <v>0.79373185539138924</v>
      </c>
      <c r="T1244">
        <v>0.61982043911563023</v>
      </c>
      <c r="U1244">
        <v>4.4222873134892842</v>
      </c>
      <c r="V1244">
        <v>0.1151559613407446</v>
      </c>
      <c r="W1244">
        <v>-19.098161658495581</v>
      </c>
      <c r="X1244">
        <v>0.80044646357649074</v>
      </c>
      <c r="Z1244" t="s">
        <v>392</v>
      </c>
      <c r="AA1244">
        <v>140</v>
      </c>
      <c r="AB1244" t="s">
        <v>1635</v>
      </c>
      <c r="AC1244" t="str">
        <f>HYPERLINK("plots/20251231112652_3FT6Y119H04_05543_B21P_N_UFLEX98_M5358A8BA201511/dpll_52046/txpa_55149.png","plot")</f>
        <v>plot</v>
      </c>
    </row>
    <row r="1245" spans="1:29" x14ac:dyDescent="0.35">
      <c r="A1245" s="3" t="s">
        <v>47</v>
      </c>
      <c r="B1245">
        <v>52046</v>
      </c>
      <c r="C1245" t="s">
        <v>51</v>
      </c>
      <c r="D1245">
        <v>55150</v>
      </c>
      <c r="E1245" t="s">
        <v>283</v>
      </c>
      <c r="F1245">
        <v>7129</v>
      </c>
      <c r="G1245">
        <v>0.151259368506483</v>
      </c>
      <c r="H1245">
        <v>9.4078883560616743E-38</v>
      </c>
      <c r="I1245">
        <v>1.044862956522074E-37</v>
      </c>
      <c r="J1245">
        <v>0.14235737151878769</v>
      </c>
      <c r="K1245">
        <v>1.3607914686126391E-33</v>
      </c>
      <c r="L1245">
        <v>1.534863792183777E-33</v>
      </c>
      <c r="M1245">
        <v>9.4863807843877199E-2</v>
      </c>
      <c r="N1245">
        <v>3.2837395180771063E-33</v>
      </c>
      <c r="O1245">
        <v>3.7037951850168919E-33</v>
      </c>
      <c r="P1245">
        <v>2.2879396560980009E-2</v>
      </c>
      <c r="Q1245">
        <v>0.98442058273976696</v>
      </c>
      <c r="R1245">
        <v>-23.556056870582079</v>
      </c>
      <c r="S1245">
        <v>0.74104325964010831</v>
      </c>
      <c r="T1245">
        <v>0.57067469356123712</v>
      </c>
      <c r="U1245">
        <v>4.4222765762379019</v>
      </c>
      <c r="V1245">
        <v>0.1151970970747206</v>
      </c>
      <c r="W1245">
        <v>-19.202676786365551</v>
      </c>
      <c r="X1245">
        <v>0.74972145231034404</v>
      </c>
      <c r="Z1245" t="s">
        <v>392</v>
      </c>
      <c r="AA1245">
        <v>140</v>
      </c>
      <c r="AB1245" t="s">
        <v>1636</v>
      </c>
      <c r="AC1245" t="str">
        <f>HYPERLINK("plots/20251231112652_3FT6Y119H04_05543_B21P_N_UFLEX98_M5358A8BA201511/dpll_52046/txpa_55150.png","plot")</f>
        <v>plot</v>
      </c>
    </row>
    <row r="1246" spans="1:29" x14ac:dyDescent="0.35">
      <c r="A1246" s="3" t="s">
        <v>47</v>
      </c>
      <c r="B1246">
        <v>52046</v>
      </c>
      <c r="C1246" t="s">
        <v>51</v>
      </c>
      <c r="D1246">
        <v>55151</v>
      </c>
      <c r="E1246" t="s">
        <v>284</v>
      </c>
      <c r="F1246">
        <v>7139</v>
      </c>
      <c r="G1246">
        <v>0.15242611634310629</v>
      </c>
      <c r="H1246">
        <v>2.277979775698011E-38</v>
      </c>
      <c r="I1246">
        <v>2.5411127530888712E-38</v>
      </c>
      <c r="J1246">
        <v>0.13477950232692451</v>
      </c>
      <c r="K1246">
        <v>2.6972723338202452E-30</v>
      </c>
      <c r="L1246">
        <v>2.953600590166013E-30</v>
      </c>
      <c r="M1246">
        <v>8.9838756540499026E-2</v>
      </c>
      <c r="N1246">
        <v>5.3287835851182141E-30</v>
      </c>
      <c r="O1246">
        <v>5.8478209473050527E-30</v>
      </c>
      <c r="P1246">
        <v>2.3233720943442188E-2</v>
      </c>
      <c r="Q1246">
        <v>1.1465241576441749</v>
      </c>
      <c r="R1246">
        <v>-24.364922898536079</v>
      </c>
      <c r="S1246">
        <v>0.85600275132702219</v>
      </c>
      <c r="T1246">
        <v>0.64913197345788087</v>
      </c>
      <c r="U1246">
        <v>4.4222873134892842</v>
      </c>
      <c r="V1246">
        <v>0.1151559613407446</v>
      </c>
      <c r="W1246">
        <v>-19.29466366157725</v>
      </c>
      <c r="X1246">
        <v>0.86618418642058082</v>
      </c>
      <c r="Z1246" t="s">
        <v>392</v>
      </c>
      <c r="AA1246">
        <v>140</v>
      </c>
      <c r="AB1246" t="s">
        <v>1637</v>
      </c>
      <c r="AC1246" t="str">
        <f>HYPERLINK("plots/20251231112652_3FT6Y119H04_05543_B21P_N_UFLEX98_M5358A8BA201511/dpll_52046/txpa_55151.png","plot")</f>
        <v>plot</v>
      </c>
    </row>
    <row r="1247" spans="1:29" x14ac:dyDescent="0.35">
      <c r="A1247" s="3" t="s">
        <v>47</v>
      </c>
      <c r="B1247">
        <v>52046</v>
      </c>
      <c r="C1247" t="s">
        <v>51</v>
      </c>
      <c r="D1247">
        <v>55152</v>
      </c>
      <c r="E1247" t="s">
        <v>285</v>
      </c>
      <c r="F1247">
        <v>7121</v>
      </c>
      <c r="G1247">
        <v>0.15011753429416391</v>
      </c>
      <c r="H1247">
        <v>3.6435195564826371E-37</v>
      </c>
      <c r="I1247">
        <v>4.0377364265282992E-37</v>
      </c>
      <c r="J1247">
        <v>0.1381237232231938</v>
      </c>
      <c r="K1247">
        <v>1.135070362825246E-31</v>
      </c>
      <c r="L1247">
        <v>1.262019021825438E-31</v>
      </c>
      <c r="M1247">
        <v>9.1671902035186437E-2</v>
      </c>
      <c r="N1247">
        <v>4.3268321190090722E-31</v>
      </c>
      <c r="O1247">
        <v>4.8054849602138E-31</v>
      </c>
      <c r="P1247">
        <v>2.2535274102559479E-2</v>
      </c>
      <c r="Q1247">
        <v>0.94823060027300288</v>
      </c>
      <c r="R1247">
        <v>-23.38531397963332</v>
      </c>
      <c r="S1247">
        <v>0.71958350018983519</v>
      </c>
      <c r="T1247">
        <v>0.55052108141216405</v>
      </c>
      <c r="U1247">
        <v>4.422369790759725</v>
      </c>
      <c r="V1247">
        <v>0.1152334599093648</v>
      </c>
      <c r="W1247">
        <v>-19.191887618312041</v>
      </c>
      <c r="X1247">
        <v>0.72788227821058715</v>
      </c>
      <c r="Z1247" t="s">
        <v>392</v>
      </c>
      <c r="AA1247">
        <v>140</v>
      </c>
      <c r="AB1247" t="s">
        <v>1638</v>
      </c>
      <c r="AC1247" t="str">
        <f>HYPERLINK("plots/20251231112652_3FT6Y119H04_05543_B21P_N_UFLEX98_M5358A8BA201511/dpll_52046/txpa_55152.png","plot")</f>
        <v>plot</v>
      </c>
    </row>
    <row r="1248" spans="1:29" x14ac:dyDescent="0.35">
      <c r="A1248" s="3" t="s">
        <v>47</v>
      </c>
      <c r="B1248">
        <v>52046</v>
      </c>
      <c r="C1248" t="s">
        <v>51</v>
      </c>
      <c r="D1248">
        <v>55153</v>
      </c>
      <c r="E1248" t="s">
        <v>286</v>
      </c>
      <c r="F1248">
        <v>7139</v>
      </c>
      <c r="G1248">
        <v>0.13685325186290839</v>
      </c>
      <c r="H1248">
        <v>3.4276422590462478E-31</v>
      </c>
      <c r="I1248">
        <v>3.6508710616311932E-31</v>
      </c>
      <c r="J1248">
        <v>0.1240060636661022</v>
      </c>
      <c r="K1248">
        <v>7.261561975049136E-26</v>
      </c>
      <c r="L1248">
        <v>7.6940688011492415E-26</v>
      </c>
      <c r="M1248">
        <v>8.2520494045497897E-2</v>
      </c>
      <c r="N1248">
        <v>1.4419626241523109E-25</v>
      </c>
      <c r="O1248">
        <v>1.527847545340066E-25</v>
      </c>
      <c r="P1248">
        <v>1.8728812545452649E-2</v>
      </c>
      <c r="Q1248">
        <v>0.93633473056238858</v>
      </c>
      <c r="R1248">
        <v>-23.544546721927219</v>
      </c>
      <c r="S1248">
        <v>0.78041667575699691</v>
      </c>
      <c r="T1248">
        <v>0.59342432001866052</v>
      </c>
      <c r="U1248">
        <v>4.4222873134892842</v>
      </c>
      <c r="V1248">
        <v>0.1151559613407446</v>
      </c>
      <c r="W1248">
        <v>-19.403805521781759</v>
      </c>
      <c r="X1248">
        <v>0.78788428164389746</v>
      </c>
      <c r="Z1248" t="s">
        <v>392</v>
      </c>
      <c r="AA1248">
        <v>140</v>
      </c>
      <c r="AB1248" t="s">
        <v>1639</v>
      </c>
      <c r="AC1248" t="str">
        <f>HYPERLINK("plots/20251231112652_3FT6Y119H04_05543_B21P_N_UFLEX98_M5358A8BA201511/dpll_52046/txpa_55153.png","plot")</f>
        <v>plot</v>
      </c>
    </row>
    <row r="1249" spans="1:29" x14ac:dyDescent="0.35">
      <c r="A1249" s="3" t="s">
        <v>47</v>
      </c>
      <c r="B1249">
        <v>52046</v>
      </c>
      <c r="C1249" t="s">
        <v>51</v>
      </c>
      <c r="D1249">
        <v>55154</v>
      </c>
      <c r="E1249" t="s">
        <v>287</v>
      </c>
      <c r="F1249">
        <v>7136</v>
      </c>
      <c r="G1249">
        <v>0.12530938671778041</v>
      </c>
      <c r="H1249">
        <v>2.2669163664934891E-26</v>
      </c>
      <c r="I1249">
        <v>2.3624390499736869E-26</v>
      </c>
      <c r="J1249">
        <v>0.1170905557662993</v>
      </c>
      <c r="K1249">
        <v>3.2859933919638248E-23</v>
      </c>
      <c r="L1249">
        <v>3.4672188339763978E-23</v>
      </c>
      <c r="M1249">
        <v>7.8329755278198993E-2</v>
      </c>
      <c r="N1249">
        <v>3.4422733466880652E-23</v>
      </c>
      <c r="O1249">
        <v>3.6321177664325681E-23</v>
      </c>
      <c r="P1249">
        <v>1.5702442399586229E-2</v>
      </c>
      <c r="Q1249">
        <v>0.83926590503793153</v>
      </c>
      <c r="R1249">
        <v>-22.69500194600052</v>
      </c>
      <c r="S1249">
        <v>0.76512278574739812</v>
      </c>
      <c r="T1249">
        <v>0.58873887141540349</v>
      </c>
      <c r="U1249">
        <v>4.4222787528026908</v>
      </c>
      <c r="V1249">
        <v>0.1151548908499701</v>
      </c>
      <c r="W1249">
        <v>-18.983534166199551</v>
      </c>
      <c r="X1249">
        <v>0.77125565945357222</v>
      </c>
      <c r="Z1249" t="s">
        <v>392</v>
      </c>
      <c r="AA1249">
        <v>140</v>
      </c>
      <c r="AB1249" t="s">
        <v>1640</v>
      </c>
      <c r="AC1249" t="str">
        <f>HYPERLINK("plots/20251231112652_3FT6Y119H04_05543_B21P_N_UFLEX98_M5358A8BA201511/dpll_52046/txpa_55154.png","plot")</f>
        <v>plot</v>
      </c>
    </row>
    <row r="1250" spans="1:29" x14ac:dyDescent="0.35">
      <c r="A1250" s="3" t="s">
        <v>47</v>
      </c>
      <c r="B1250">
        <v>52046</v>
      </c>
      <c r="C1250" t="s">
        <v>51</v>
      </c>
      <c r="D1250">
        <v>55155</v>
      </c>
      <c r="E1250" t="s">
        <v>288</v>
      </c>
      <c r="F1250">
        <v>7139</v>
      </c>
      <c r="G1250">
        <v>0.1322329984204354</v>
      </c>
      <c r="H1250">
        <v>3.2507128752520161E-29</v>
      </c>
      <c r="I1250">
        <v>3.440733669630004E-29</v>
      </c>
      <c r="J1250">
        <v>0.12670096183934981</v>
      </c>
      <c r="K1250">
        <v>6.1384276902113502E-27</v>
      </c>
      <c r="L1250">
        <v>6.5727198288007478E-27</v>
      </c>
      <c r="M1250">
        <v>8.3946783143868775E-2</v>
      </c>
      <c r="N1250">
        <v>2.024666638361743E-26</v>
      </c>
      <c r="O1250">
        <v>2.163342435509808E-26</v>
      </c>
      <c r="P1250">
        <v>1.7485565871258869E-2</v>
      </c>
      <c r="Q1250">
        <v>0.62929871347443644</v>
      </c>
      <c r="R1250">
        <v>-11.25014315921193</v>
      </c>
      <c r="S1250">
        <v>0.54317837789946599</v>
      </c>
      <c r="T1250">
        <v>0.45139448068189192</v>
      </c>
      <c r="U1250">
        <v>4.4222873134892842</v>
      </c>
      <c r="V1250">
        <v>0.1151559613407446</v>
      </c>
      <c r="W1250">
        <v>-8.4672034422187981</v>
      </c>
      <c r="X1250">
        <v>0.5480288519982871</v>
      </c>
      <c r="Z1250" t="s">
        <v>392</v>
      </c>
      <c r="AA1250">
        <v>140</v>
      </c>
      <c r="AB1250" t="s">
        <v>1641</v>
      </c>
      <c r="AC1250" t="str">
        <f>HYPERLINK("plots/20251231112652_3FT6Y119H04_05543_B21P_N_UFLEX98_M5358A8BA201511/dpll_52046/txpa_55155.png","plot")</f>
        <v>plot</v>
      </c>
    </row>
    <row r="1251" spans="1:29" x14ac:dyDescent="0.35">
      <c r="A1251" s="3" t="s">
        <v>47</v>
      </c>
      <c r="B1251">
        <v>52046</v>
      </c>
      <c r="C1251" t="s">
        <v>51</v>
      </c>
      <c r="D1251">
        <v>55156</v>
      </c>
      <c r="E1251" t="s">
        <v>289</v>
      </c>
      <c r="F1251">
        <v>7139</v>
      </c>
      <c r="G1251">
        <v>0.24164402676658059</v>
      </c>
      <c r="H1251">
        <v>2.222691929928644E-95</v>
      </c>
      <c r="I1251">
        <v>3.4045462491656263E-95</v>
      </c>
      <c r="J1251">
        <v>0.208418737523449</v>
      </c>
      <c r="K1251">
        <v>6.7466010816770858E-71</v>
      </c>
      <c r="L1251">
        <v>9.7174055352564854E-71</v>
      </c>
      <c r="M1251">
        <v>0.13918906919692539</v>
      </c>
      <c r="N1251">
        <v>1.3303384547867581E-69</v>
      </c>
      <c r="O1251">
        <v>1.9107127381781481E-69</v>
      </c>
      <c r="P1251">
        <v>5.8391835671967929E-2</v>
      </c>
      <c r="Q1251">
        <v>0.78455966782096986</v>
      </c>
      <c r="R1251">
        <v>-12.47248788495445</v>
      </c>
      <c r="S1251">
        <v>0.36277807166151821</v>
      </c>
      <c r="T1251">
        <v>0.2950000669099182</v>
      </c>
      <c r="U1251">
        <v>4.4222873134892842</v>
      </c>
      <c r="V1251">
        <v>0.1151559613407446</v>
      </c>
      <c r="W1251">
        <v>-9.0029396192744073</v>
      </c>
      <c r="X1251">
        <v>0.37388353432949012</v>
      </c>
      <c r="Z1251" t="s">
        <v>392</v>
      </c>
      <c r="AA1251">
        <v>140</v>
      </c>
      <c r="AB1251" t="s">
        <v>1642</v>
      </c>
      <c r="AC1251" t="str">
        <f>HYPERLINK("plots/20251231112652_3FT6Y119H04_05543_B21P_N_UFLEX98_M5358A8BA201511/dpll_52046/txpa_55156.png","plot")</f>
        <v>plot</v>
      </c>
    </row>
    <row r="1252" spans="1:29" x14ac:dyDescent="0.35">
      <c r="A1252" s="3" t="s">
        <v>47</v>
      </c>
      <c r="B1252">
        <v>52046</v>
      </c>
      <c r="C1252" t="s">
        <v>51</v>
      </c>
      <c r="D1252">
        <v>55157</v>
      </c>
      <c r="E1252" t="s">
        <v>290</v>
      </c>
      <c r="F1252">
        <v>7139</v>
      </c>
      <c r="G1252">
        <v>0.17090951225312251</v>
      </c>
      <c r="H1252">
        <v>6.2649244683235529E-48</v>
      </c>
      <c r="I1252">
        <v>7.2601524695772369E-48</v>
      </c>
      <c r="J1252">
        <v>0.1444606038615493</v>
      </c>
      <c r="K1252">
        <v>1.3434411504668181E-34</v>
      </c>
      <c r="L1252">
        <v>1.5220662866741379E-34</v>
      </c>
      <c r="M1252">
        <v>9.6084434722786938E-2</v>
      </c>
      <c r="N1252">
        <v>4.2814820756710484E-34</v>
      </c>
      <c r="O1252">
        <v>4.8507517594753536E-34</v>
      </c>
      <c r="P1252">
        <v>2.9210061378600209E-2</v>
      </c>
      <c r="Q1252">
        <v>0.76660434630255625</v>
      </c>
      <c r="R1252">
        <v>-11.978072550172071</v>
      </c>
      <c r="S1252">
        <v>0.50888972460343118</v>
      </c>
      <c r="T1252">
        <v>0.44217126925564371</v>
      </c>
      <c r="U1252">
        <v>4.4222873134892842</v>
      </c>
      <c r="V1252">
        <v>0.1151559613407446</v>
      </c>
      <c r="W1252">
        <v>-8.587927875052527</v>
      </c>
      <c r="X1252">
        <v>0.51652514422789897</v>
      </c>
      <c r="Z1252" t="s">
        <v>392</v>
      </c>
      <c r="AA1252">
        <v>140</v>
      </c>
      <c r="AB1252" t="s">
        <v>1643</v>
      </c>
      <c r="AC1252" t="str">
        <f>HYPERLINK("plots/20251231112652_3FT6Y119H04_05543_B21P_N_UFLEX98_M5358A8BA201511/dpll_52046/txpa_55157.png","plot")</f>
        <v>plot</v>
      </c>
    </row>
    <row r="1253" spans="1:29" x14ac:dyDescent="0.35">
      <c r="A1253" s="3" t="s">
        <v>47</v>
      </c>
      <c r="B1253">
        <v>52046</v>
      </c>
      <c r="C1253" t="s">
        <v>51</v>
      </c>
      <c r="D1253">
        <v>55158</v>
      </c>
      <c r="E1253" t="s">
        <v>291</v>
      </c>
      <c r="F1253">
        <v>7139</v>
      </c>
      <c r="G1253">
        <v>0.21975978395365919</v>
      </c>
      <c r="H1253">
        <v>8.2928821253202028E-79</v>
      </c>
      <c r="I1253">
        <v>1.125700465204108E-78</v>
      </c>
      <c r="J1253">
        <v>0.20529981068917991</v>
      </c>
      <c r="K1253">
        <v>8.4093877567151637E-69</v>
      </c>
      <c r="L1253">
        <v>1.1892774317028141E-68</v>
      </c>
      <c r="M1253">
        <v>0.1360979006548069</v>
      </c>
      <c r="N1253">
        <v>1.254689106431063E-66</v>
      </c>
      <c r="O1253">
        <v>1.7596884563224029E-66</v>
      </c>
      <c r="P1253">
        <v>4.8294362643358991E-2</v>
      </c>
      <c r="Q1253">
        <v>0.82326773824998856</v>
      </c>
      <c r="R1253">
        <v>-12.33938900255311</v>
      </c>
      <c r="S1253">
        <v>0.42082371347129621</v>
      </c>
      <c r="T1253">
        <v>0.3257777738483294</v>
      </c>
      <c r="U1253">
        <v>4.4222873134892842</v>
      </c>
      <c r="V1253">
        <v>0.1151559613407446</v>
      </c>
      <c r="W1253">
        <v>-8.6986625280851655</v>
      </c>
      <c r="X1253">
        <v>0.43139916746090928</v>
      </c>
      <c r="Z1253" t="s">
        <v>392</v>
      </c>
      <c r="AA1253">
        <v>140</v>
      </c>
      <c r="AB1253" t="s">
        <v>1644</v>
      </c>
      <c r="AC1253" t="str">
        <f>HYPERLINK("plots/20251231112652_3FT6Y119H04_05543_B21P_N_UFLEX98_M5358A8BA201511/dpll_52046/txpa_55158.png","plot")</f>
        <v>plot</v>
      </c>
    </row>
    <row r="1254" spans="1:29" x14ac:dyDescent="0.35">
      <c r="A1254" s="3" t="s">
        <v>47</v>
      </c>
      <c r="B1254">
        <v>52046</v>
      </c>
      <c r="C1254" t="s">
        <v>51</v>
      </c>
      <c r="D1254">
        <v>55159</v>
      </c>
      <c r="E1254" t="s">
        <v>292</v>
      </c>
      <c r="F1254">
        <v>7139</v>
      </c>
      <c r="G1254">
        <v>0.16904317162687629</v>
      </c>
      <c r="H1254">
        <v>6.5189761999120127E-47</v>
      </c>
      <c r="I1254">
        <v>7.511638484898615E-47</v>
      </c>
      <c r="J1254">
        <v>0.13390212904245891</v>
      </c>
      <c r="K1254">
        <v>6.3939509456212462E-30</v>
      </c>
      <c r="L1254">
        <v>6.9639809439956431E-30</v>
      </c>
      <c r="M1254">
        <v>8.8657248251440973E-2</v>
      </c>
      <c r="N1254">
        <v>2.8109056207111379E-29</v>
      </c>
      <c r="O1254">
        <v>3.0549392276539062E-29</v>
      </c>
      <c r="P1254">
        <v>2.857559387367356E-2</v>
      </c>
      <c r="Q1254">
        <v>0.81040073672470492</v>
      </c>
      <c r="R1254">
        <v>-12.35810696325589</v>
      </c>
      <c r="S1254">
        <v>0.54407993009305355</v>
      </c>
      <c r="T1254">
        <v>0.4365135444580861</v>
      </c>
      <c r="U1254">
        <v>4.4222873134892842</v>
      </c>
      <c r="V1254">
        <v>0.1151559613407446</v>
      </c>
      <c r="W1254">
        <v>-8.7742820663958536</v>
      </c>
      <c r="X1254">
        <v>0.5520629730893174</v>
      </c>
      <c r="Z1254" t="s">
        <v>392</v>
      </c>
      <c r="AA1254">
        <v>140</v>
      </c>
      <c r="AB1254" t="s">
        <v>1645</v>
      </c>
      <c r="AC1254" t="str">
        <f>HYPERLINK("plots/20251231112652_3FT6Y119H04_05543_B21P_N_UFLEX98_M5358A8BA201511/dpll_52046/txpa_55159.png","plot")</f>
        <v>plot</v>
      </c>
    </row>
    <row r="1255" spans="1:29" x14ac:dyDescent="0.35">
      <c r="A1255" s="3" t="s">
        <v>47</v>
      </c>
      <c r="B1255">
        <v>52046</v>
      </c>
      <c r="C1255" t="s">
        <v>51</v>
      </c>
      <c r="D1255">
        <v>55160</v>
      </c>
      <c r="E1255" t="s">
        <v>293</v>
      </c>
      <c r="F1255">
        <v>7139</v>
      </c>
      <c r="G1255">
        <v>0.23308845693637559</v>
      </c>
      <c r="H1255">
        <v>1.079006089323688E-88</v>
      </c>
      <c r="I1255">
        <v>1.574262121689525E-88</v>
      </c>
      <c r="J1255">
        <v>0.2239471702015689</v>
      </c>
      <c r="K1255">
        <v>7.6213342773219332E-82</v>
      </c>
      <c r="L1255">
        <v>1.201871377481251E-81</v>
      </c>
      <c r="M1255">
        <v>0.14894055541928761</v>
      </c>
      <c r="N1255">
        <v>2.0009480625329761E-79</v>
      </c>
      <c r="O1255">
        <v>3.1311131719266012E-79</v>
      </c>
      <c r="P1255">
        <v>5.4330228756980653E-2</v>
      </c>
      <c r="Q1255">
        <v>0.7933814981704117</v>
      </c>
      <c r="R1255">
        <v>-12.19771577372952</v>
      </c>
      <c r="S1255">
        <v>0.38114222162656208</v>
      </c>
      <c r="T1255">
        <v>0.29382124067494808</v>
      </c>
      <c r="U1255">
        <v>4.4222873134892842</v>
      </c>
      <c r="V1255">
        <v>0.1151559613407446</v>
      </c>
      <c r="W1255">
        <v>-8.6891548396133906</v>
      </c>
      <c r="X1255">
        <v>0.39196539516631868</v>
      </c>
      <c r="Z1255" t="s">
        <v>392</v>
      </c>
      <c r="AA1255">
        <v>140</v>
      </c>
      <c r="AB1255" t="s">
        <v>1646</v>
      </c>
      <c r="AC1255" t="str">
        <f>HYPERLINK("plots/20251231112652_3FT6Y119H04_05543_B21P_N_UFLEX98_M5358A8BA201511/dpll_52046/txpa_55160.png","plot")</f>
        <v>plot</v>
      </c>
    </row>
    <row r="1256" spans="1:29" x14ac:dyDescent="0.35">
      <c r="A1256" s="3" t="s">
        <v>47</v>
      </c>
      <c r="B1256">
        <v>52046</v>
      </c>
      <c r="C1256" t="s">
        <v>51</v>
      </c>
      <c r="D1256">
        <v>55161</v>
      </c>
      <c r="E1256" t="s">
        <v>294</v>
      </c>
      <c r="F1256">
        <v>7139</v>
      </c>
      <c r="G1256">
        <v>0.19539530516794101</v>
      </c>
      <c r="H1256">
        <v>2.2597407974508372E-62</v>
      </c>
      <c r="I1256">
        <v>2.7673637302115321E-62</v>
      </c>
      <c r="J1256">
        <v>0.14920115753452409</v>
      </c>
      <c r="K1256">
        <v>8.1160076005663451E-37</v>
      </c>
      <c r="L1256">
        <v>9.3306481938483834E-37</v>
      </c>
      <c r="M1256">
        <v>9.9237358371054685E-2</v>
      </c>
      <c r="N1256">
        <v>2.9634871690185212E-36</v>
      </c>
      <c r="O1256">
        <v>3.4070022555383E-36</v>
      </c>
      <c r="P1256">
        <v>3.8179325281672782E-2</v>
      </c>
      <c r="Q1256">
        <v>0.7223170008387535</v>
      </c>
      <c r="R1256">
        <v>-12.015216730054149</v>
      </c>
      <c r="S1256">
        <v>0.41746182980269803</v>
      </c>
      <c r="T1256">
        <v>0.34422818640752512</v>
      </c>
      <c r="U1256">
        <v>4.4222873134892842</v>
      </c>
      <c r="V1256">
        <v>0.1151559613407446</v>
      </c>
      <c r="W1256">
        <v>-8.8209234209273006</v>
      </c>
      <c r="X1256">
        <v>0.42569655679729962</v>
      </c>
      <c r="Z1256" t="s">
        <v>392</v>
      </c>
      <c r="AA1256">
        <v>140</v>
      </c>
      <c r="AB1256" t="s">
        <v>1647</v>
      </c>
      <c r="AC1256" t="str">
        <f>HYPERLINK("plots/20251231112652_3FT6Y119H04_05543_B21P_N_UFLEX98_M5358A8BA201511/dpll_52046/txpa_55161.png","plot")</f>
        <v>plot</v>
      </c>
    </row>
    <row r="1257" spans="1:29" x14ac:dyDescent="0.35">
      <c r="A1257" s="3" t="s">
        <v>47</v>
      </c>
      <c r="B1257">
        <v>52046</v>
      </c>
      <c r="C1257" t="s">
        <v>51</v>
      </c>
      <c r="D1257">
        <v>55162</v>
      </c>
      <c r="E1257" t="s">
        <v>295</v>
      </c>
      <c r="F1257">
        <v>7139</v>
      </c>
      <c r="G1257">
        <v>0.1452491345957509</v>
      </c>
      <c r="H1257">
        <v>5.811088963366138E-35</v>
      </c>
      <c r="I1257">
        <v>6.3088267760741579E-35</v>
      </c>
      <c r="J1257">
        <v>0.14412523174788369</v>
      </c>
      <c r="K1257">
        <v>1.9160091257596739E-34</v>
      </c>
      <c r="L1257">
        <v>2.1659233595544142E-34</v>
      </c>
      <c r="M1257">
        <v>9.5870888642948432E-2</v>
      </c>
      <c r="N1257">
        <v>5.9598560282488671E-34</v>
      </c>
      <c r="O1257">
        <v>6.7372285536726319E-34</v>
      </c>
      <c r="P1257">
        <v>2.1097311100814569E-2</v>
      </c>
      <c r="Q1257">
        <v>0.672551796392301</v>
      </c>
      <c r="R1257">
        <v>-11.30791487931543</v>
      </c>
      <c r="S1257">
        <v>0.52751881026024616</v>
      </c>
      <c r="T1257">
        <v>0.41227111984393372</v>
      </c>
      <c r="U1257">
        <v>4.4222873134892842</v>
      </c>
      <c r="V1257">
        <v>0.1151559613407446</v>
      </c>
      <c r="W1257">
        <v>-8.33369760246533</v>
      </c>
      <c r="X1257">
        <v>0.53321039660959069</v>
      </c>
      <c r="Z1257" t="s">
        <v>392</v>
      </c>
      <c r="AA1257">
        <v>140</v>
      </c>
      <c r="AB1257" t="s">
        <v>1648</v>
      </c>
      <c r="AC1257" t="str">
        <f>HYPERLINK("plots/20251231112652_3FT6Y119H04_05543_B21P_N_UFLEX98_M5358A8BA201511/dpll_52046/txpa_55162.png","plot")</f>
        <v>plot</v>
      </c>
    </row>
    <row r="1258" spans="1:29" x14ac:dyDescent="0.35">
      <c r="A1258" s="3" t="s">
        <v>47</v>
      </c>
      <c r="B1258">
        <v>52046</v>
      </c>
      <c r="C1258" t="s">
        <v>51</v>
      </c>
      <c r="D1258">
        <v>55163</v>
      </c>
      <c r="E1258" t="s">
        <v>296</v>
      </c>
      <c r="F1258">
        <v>7139</v>
      </c>
      <c r="G1258">
        <v>0.1274868132475554</v>
      </c>
      <c r="H1258">
        <v>2.9563740822202209E-27</v>
      </c>
      <c r="I1258">
        <v>3.0904776488363959E-27</v>
      </c>
      <c r="J1258">
        <v>0.12853771463086239</v>
      </c>
      <c r="K1258">
        <v>1.10491070230444E-27</v>
      </c>
      <c r="L1258">
        <v>1.193162355843133E-27</v>
      </c>
      <c r="M1258">
        <v>8.5210960458324506E-2</v>
      </c>
      <c r="N1258">
        <v>3.5714819749523691E-27</v>
      </c>
      <c r="O1258">
        <v>3.8567441135268403E-27</v>
      </c>
      <c r="P1258">
        <v>1.6252887552017061E-2</v>
      </c>
      <c r="Q1258">
        <v>0.60579529996727854</v>
      </c>
      <c r="R1258">
        <v>-5.293858907997457</v>
      </c>
      <c r="S1258">
        <v>0.54269819309999012</v>
      </c>
      <c r="T1258">
        <v>0.45336977442277993</v>
      </c>
      <c r="U1258">
        <v>4.4222873134892842</v>
      </c>
      <c r="V1258">
        <v>0.1151559613407446</v>
      </c>
      <c r="W1258">
        <v>-2.6148580383807252</v>
      </c>
      <c r="X1258">
        <v>0.54720122314120523</v>
      </c>
      <c r="Z1258" t="s">
        <v>392</v>
      </c>
      <c r="AA1258">
        <v>140</v>
      </c>
      <c r="AB1258" t="s">
        <v>1649</v>
      </c>
      <c r="AC1258" t="str">
        <f>HYPERLINK("plots/20251231112652_3FT6Y119H04_05543_B21P_N_UFLEX98_M5358A8BA201511/dpll_52046/txpa_55163.png","plot")</f>
        <v>plot</v>
      </c>
    </row>
    <row r="1259" spans="1:29" x14ac:dyDescent="0.35">
      <c r="A1259" s="3" t="s">
        <v>47</v>
      </c>
      <c r="B1259">
        <v>52046</v>
      </c>
      <c r="C1259" t="s">
        <v>51</v>
      </c>
      <c r="D1259">
        <v>55164</v>
      </c>
      <c r="E1259" t="s">
        <v>297</v>
      </c>
      <c r="F1259">
        <v>7139</v>
      </c>
      <c r="G1259">
        <v>0.2439216375545033</v>
      </c>
      <c r="H1259">
        <v>3.3229220336241139E-97</v>
      </c>
      <c r="I1259">
        <v>5.1837583724536182E-97</v>
      </c>
      <c r="J1259">
        <v>0.21226412841962661</v>
      </c>
      <c r="K1259">
        <v>1.577845364130579E-73</v>
      </c>
      <c r="L1259">
        <v>2.3356718236911059E-73</v>
      </c>
      <c r="M1259">
        <v>0.14169477643374051</v>
      </c>
      <c r="N1259">
        <v>4.5260236396618938E-72</v>
      </c>
      <c r="O1259">
        <v>6.6803318349594774E-72</v>
      </c>
      <c r="P1259">
        <v>5.9497765267270492E-2</v>
      </c>
      <c r="Q1259">
        <v>0.77320890253551411</v>
      </c>
      <c r="R1259">
        <v>-6.5715472739106939</v>
      </c>
      <c r="S1259">
        <v>0.35398302866431791</v>
      </c>
      <c r="T1259">
        <v>0.2886153175013087</v>
      </c>
      <c r="U1259">
        <v>4.4222873134892842</v>
      </c>
      <c r="V1259">
        <v>0.1151559613407446</v>
      </c>
      <c r="W1259">
        <v>-3.1521953535509168</v>
      </c>
      <c r="X1259">
        <v>0.36503368615178178</v>
      </c>
      <c r="Z1259" t="s">
        <v>392</v>
      </c>
      <c r="AA1259">
        <v>140</v>
      </c>
      <c r="AB1259" t="s">
        <v>1650</v>
      </c>
      <c r="AC1259" t="str">
        <f>HYPERLINK("plots/20251231112652_3FT6Y119H04_05543_B21P_N_UFLEX98_M5358A8BA201511/dpll_52046/txpa_55164.png","plot")</f>
        <v>plot</v>
      </c>
    </row>
    <row r="1260" spans="1:29" x14ac:dyDescent="0.35">
      <c r="A1260" s="3" t="s">
        <v>47</v>
      </c>
      <c r="B1260">
        <v>52046</v>
      </c>
      <c r="C1260" t="s">
        <v>51</v>
      </c>
      <c r="D1260">
        <v>55165</v>
      </c>
      <c r="E1260" t="s">
        <v>298</v>
      </c>
      <c r="F1260">
        <v>7139</v>
      </c>
      <c r="G1260">
        <v>0.1717293696534101</v>
      </c>
      <c r="H1260">
        <v>2.21991388389839E-48</v>
      </c>
      <c r="I1260">
        <v>2.5903252914533569E-48</v>
      </c>
      <c r="J1260">
        <v>0.14974775968729551</v>
      </c>
      <c r="K1260">
        <v>4.453922629131799E-37</v>
      </c>
      <c r="L1260">
        <v>5.1321335749314139E-37</v>
      </c>
      <c r="M1260">
        <v>9.9745790640540691E-2</v>
      </c>
      <c r="N1260">
        <v>1.2993677908311899E-36</v>
      </c>
      <c r="O1260">
        <v>1.498929396931544E-36</v>
      </c>
      <c r="P1260">
        <v>2.949097640155756E-2</v>
      </c>
      <c r="Q1260">
        <v>0.75082217987513278</v>
      </c>
      <c r="R1260">
        <v>-6.0804588160724444</v>
      </c>
      <c r="S1260">
        <v>0.4959618972258909</v>
      </c>
      <c r="T1260">
        <v>0.43237749807743059</v>
      </c>
      <c r="U1260">
        <v>4.4222873134892842</v>
      </c>
      <c r="V1260">
        <v>0.1151559613407446</v>
      </c>
      <c r="W1260">
        <v>-2.7601074153242751</v>
      </c>
      <c r="X1260">
        <v>0.50347619684375577</v>
      </c>
      <c r="Z1260" t="s">
        <v>392</v>
      </c>
      <c r="AA1260">
        <v>140</v>
      </c>
      <c r="AB1260" t="s">
        <v>1651</v>
      </c>
      <c r="AC1260" t="str">
        <f>HYPERLINK("plots/20251231112652_3FT6Y119H04_05543_B21P_N_UFLEX98_M5358A8BA201511/dpll_52046/txpa_55165.png","plot")</f>
        <v>plot</v>
      </c>
    </row>
    <row r="1261" spans="1:29" x14ac:dyDescent="0.35">
      <c r="A1261" s="3" t="s">
        <v>47</v>
      </c>
      <c r="B1261">
        <v>52046</v>
      </c>
      <c r="C1261" t="s">
        <v>51</v>
      </c>
      <c r="D1261">
        <v>55166</v>
      </c>
      <c r="E1261" t="s">
        <v>299</v>
      </c>
      <c r="F1261">
        <v>7139</v>
      </c>
      <c r="G1261">
        <v>0.2225483097854308</v>
      </c>
      <c r="H1261">
        <v>8.0071960263364616E-81</v>
      </c>
      <c r="I1261">
        <v>1.09720226631151E-80</v>
      </c>
      <c r="J1261">
        <v>0.21107266783266629</v>
      </c>
      <c r="K1261">
        <v>1.044363461109762E-72</v>
      </c>
      <c r="L1261">
        <v>1.5325391455358881E-72</v>
      </c>
      <c r="M1261">
        <v>0.14014745332885001</v>
      </c>
      <c r="N1261">
        <v>1.5152667406884659E-70</v>
      </c>
      <c r="O1261">
        <v>2.2012614255846761E-70</v>
      </c>
      <c r="P1261">
        <v>4.9527750188352072E-2</v>
      </c>
      <c r="Q1261">
        <v>0.80663969909790245</v>
      </c>
      <c r="R1261">
        <v>-6.4335381610501807</v>
      </c>
      <c r="S1261">
        <v>0.40689374981031801</v>
      </c>
      <c r="T1261">
        <v>0.31421447553390769</v>
      </c>
      <c r="U1261">
        <v>4.4222873134892842</v>
      </c>
      <c r="V1261">
        <v>0.1151559613407446</v>
      </c>
      <c r="W1261">
        <v>-2.8663456531727132</v>
      </c>
      <c r="X1261">
        <v>0.41738968988255559</v>
      </c>
      <c r="Z1261" t="s">
        <v>392</v>
      </c>
      <c r="AA1261">
        <v>140</v>
      </c>
      <c r="AB1261" t="s">
        <v>1652</v>
      </c>
      <c r="AC1261" t="str">
        <f>HYPERLINK("plots/20251231112652_3FT6Y119H04_05543_B21P_N_UFLEX98_M5358A8BA201511/dpll_52046/txpa_55166.png","plot")</f>
        <v>plot</v>
      </c>
    </row>
    <row r="1262" spans="1:29" x14ac:dyDescent="0.35">
      <c r="A1262" s="3" t="s">
        <v>47</v>
      </c>
      <c r="B1262">
        <v>52046</v>
      </c>
      <c r="C1262" t="s">
        <v>51</v>
      </c>
      <c r="D1262">
        <v>55167</v>
      </c>
      <c r="E1262" t="s">
        <v>300</v>
      </c>
      <c r="F1262">
        <v>7139</v>
      </c>
      <c r="G1262">
        <v>0.1665955377676927</v>
      </c>
      <c r="H1262">
        <v>1.3505989449303079E-45</v>
      </c>
      <c r="I1262">
        <v>1.538772281077901E-45</v>
      </c>
      <c r="J1262">
        <v>0.13383986282070981</v>
      </c>
      <c r="K1262">
        <v>6.7963628418384358E-30</v>
      </c>
      <c r="L1262">
        <v>7.3943260961632765E-30</v>
      </c>
      <c r="M1262">
        <v>8.8666886043724857E-2</v>
      </c>
      <c r="N1262">
        <v>2.7602597886119552E-29</v>
      </c>
      <c r="O1262">
        <v>3.0031152635756672E-29</v>
      </c>
      <c r="P1262">
        <v>2.7754073204106729E-2</v>
      </c>
      <c r="Q1262">
        <v>0.78338843682912473</v>
      </c>
      <c r="R1262">
        <v>-6.4019104442808601</v>
      </c>
      <c r="S1262">
        <v>0.53389747189493908</v>
      </c>
      <c r="T1262">
        <v>0.43033209162197888</v>
      </c>
      <c r="U1262">
        <v>4.4222873134892842</v>
      </c>
      <c r="V1262">
        <v>0.1151559613407446</v>
      </c>
      <c r="W1262">
        <v>-2.93754169855722</v>
      </c>
      <c r="X1262">
        <v>0.54150219000508848</v>
      </c>
      <c r="Z1262" t="s">
        <v>392</v>
      </c>
      <c r="AA1262">
        <v>140</v>
      </c>
      <c r="AB1262" t="s">
        <v>1653</v>
      </c>
      <c r="AC1262" t="str">
        <f>HYPERLINK("plots/20251231112652_3FT6Y119H04_05543_B21P_N_UFLEX98_M5358A8BA201511/dpll_52046/txpa_55167.png","plot")</f>
        <v>plot</v>
      </c>
    </row>
    <row r="1263" spans="1:29" x14ac:dyDescent="0.35">
      <c r="A1263" s="3" t="s">
        <v>47</v>
      </c>
      <c r="B1263">
        <v>52046</v>
      </c>
      <c r="C1263" t="s">
        <v>51</v>
      </c>
      <c r="D1263">
        <v>55168</v>
      </c>
      <c r="E1263" t="s">
        <v>301</v>
      </c>
      <c r="F1263">
        <v>7139</v>
      </c>
      <c r="G1263">
        <v>0.23474180195433261</v>
      </c>
      <c r="H1263">
        <v>5.7789755842195767E-90</v>
      </c>
      <c r="I1263">
        <v>8.5796211455324317E-90</v>
      </c>
      <c r="J1263">
        <v>0.23157486584820761</v>
      </c>
      <c r="K1263">
        <v>1.5417262981985521E-87</v>
      </c>
      <c r="L1263">
        <v>2.5797202415401509E-87</v>
      </c>
      <c r="M1263">
        <v>0.15410691050402411</v>
      </c>
      <c r="N1263">
        <v>6.6156232025042391E-85</v>
      </c>
      <c r="O1263">
        <v>1.081974504409564E-84</v>
      </c>
      <c r="P1263">
        <v>5.5103713584767122E-2</v>
      </c>
      <c r="Q1263">
        <v>0.77600453488355714</v>
      </c>
      <c r="R1263">
        <v>-6.2969437648334106</v>
      </c>
      <c r="S1263">
        <v>0.37001719140417372</v>
      </c>
      <c r="T1263">
        <v>0.28373488999959823</v>
      </c>
      <c r="U1263">
        <v>4.4222873134892842</v>
      </c>
      <c r="V1263">
        <v>0.1151559613407446</v>
      </c>
      <c r="W1263">
        <v>-2.865228755007704</v>
      </c>
      <c r="X1263">
        <v>0.38068016635860241</v>
      </c>
      <c r="Z1263" t="s">
        <v>392</v>
      </c>
      <c r="AA1263">
        <v>140</v>
      </c>
      <c r="AB1263" t="s">
        <v>1654</v>
      </c>
      <c r="AC1263" t="str">
        <f>HYPERLINK("plots/20251231112652_3FT6Y119H04_05543_B21P_N_UFLEX98_M5358A8BA201511/dpll_52046/txpa_55168.png","plot")</f>
        <v>plot</v>
      </c>
    </row>
    <row r="1264" spans="1:29" x14ac:dyDescent="0.35">
      <c r="A1264" s="3" t="s">
        <v>47</v>
      </c>
      <c r="B1264">
        <v>52046</v>
      </c>
      <c r="C1264" t="s">
        <v>51</v>
      </c>
      <c r="D1264">
        <v>55169</v>
      </c>
      <c r="E1264" t="s">
        <v>302</v>
      </c>
      <c r="F1264">
        <v>7139</v>
      </c>
      <c r="G1264">
        <v>0.19205766188817339</v>
      </c>
      <c r="H1264">
        <v>2.7783367933588502E-60</v>
      </c>
      <c r="I1264">
        <v>3.3498614845016328E-60</v>
      </c>
      <c r="J1264">
        <v>0.1484659248164964</v>
      </c>
      <c r="K1264">
        <v>1.812681174380583E-36</v>
      </c>
      <c r="L1264">
        <v>2.0816066940225501E-36</v>
      </c>
      <c r="M1264">
        <v>9.8903182124809003E-2</v>
      </c>
      <c r="N1264">
        <v>5.0241846983623602E-36</v>
      </c>
      <c r="O1264">
        <v>5.7695620431930172E-36</v>
      </c>
      <c r="P1264">
        <v>3.6886145489951949E-2</v>
      </c>
      <c r="Q1264">
        <v>0.69616062718024774</v>
      </c>
      <c r="R1264">
        <v>-6.0535944908477566</v>
      </c>
      <c r="S1264">
        <v>0.40961197143575728</v>
      </c>
      <c r="T1264">
        <v>0.33934825420006459</v>
      </c>
      <c r="U1264">
        <v>4.4222873134892842</v>
      </c>
      <c r="V1264">
        <v>0.1151559613407446</v>
      </c>
      <c r="W1264">
        <v>-2.974972181117804</v>
      </c>
      <c r="X1264">
        <v>0.41741134137723079</v>
      </c>
      <c r="Z1264" t="s">
        <v>392</v>
      </c>
      <c r="AA1264">
        <v>140</v>
      </c>
      <c r="AB1264" t="s">
        <v>1655</v>
      </c>
      <c r="AC1264" t="str">
        <f>HYPERLINK("plots/20251231112652_3FT6Y119H04_05543_B21P_N_UFLEX98_M5358A8BA201511/dpll_52046/txpa_55169.png","plot")</f>
        <v>plot</v>
      </c>
    </row>
    <row r="1265" spans="1:29" x14ac:dyDescent="0.35">
      <c r="A1265" s="3" t="s">
        <v>47</v>
      </c>
      <c r="B1265">
        <v>52046</v>
      </c>
      <c r="C1265" t="s">
        <v>51</v>
      </c>
      <c r="D1265">
        <v>55170</v>
      </c>
      <c r="E1265" t="s">
        <v>303</v>
      </c>
      <c r="F1265">
        <v>7139</v>
      </c>
      <c r="G1265">
        <v>0.14307473337573021</v>
      </c>
      <c r="H1265">
        <v>5.7936357904635691E-34</v>
      </c>
      <c r="I1265">
        <v>6.2430889389267367E-34</v>
      </c>
      <c r="J1265">
        <v>0.1446495838692215</v>
      </c>
      <c r="K1265">
        <v>1.099454580006475E-34</v>
      </c>
      <c r="L1265">
        <v>1.2470323759804981E-34</v>
      </c>
      <c r="M1265">
        <v>9.6425111220091952E-2</v>
      </c>
      <c r="N1265">
        <v>2.506938235306726E-34</v>
      </c>
      <c r="O1265">
        <v>2.8466241552083098E-34</v>
      </c>
      <c r="P1265">
        <v>2.0470379330536279E-2</v>
      </c>
      <c r="Q1265">
        <v>0.65997071844667532</v>
      </c>
      <c r="R1265">
        <v>-5.397128148768326</v>
      </c>
      <c r="S1265">
        <v>0.52568612546121452</v>
      </c>
      <c r="T1265">
        <v>0.41243434091657472</v>
      </c>
      <c r="U1265">
        <v>4.4222873134892842</v>
      </c>
      <c r="V1265">
        <v>0.1151559613407446</v>
      </c>
      <c r="W1265">
        <v>-2.478548013307186</v>
      </c>
      <c r="X1265">
        <v>0.53118786767112469</v>
      </c>
      <c r="Z1265" t="s">
        <v>392</v>
      </c>
      <c r="AA1265">
        <v>140</v>
      </c>
      <c r="AB1265" t="s">
        <v>1656</v>
      </c>
      <c r="AC1265" t="str">
        <f>HYPERLINK("plots/20251231112652_3FT6Y119H04_05543_B21P_N_UFLEX98_M5358A8BA201511/dpll_52046/txpa_55170.png","plot")</f>
        <v>plot</v>
      </c>
    </row>
    <row r="1266" spans="1:29" x14ac:dyDescent="0.35">
      <c r="A1266" s="3" t="s">
        <v>47</v>
      </c>
      <c r="B1266">
        <v>52046</v>
      </c>
      <c r="C1266" t="s">
        <v>51</v>
      </c>
      <c r="D1266">
        <v>55171</v>
      </c>
      <c r="E1266" t="s">
        <v>304</v>
      </c>
      <c r="F1266">
        <v>7139</v>
      </c>
      <c r="G1266">
        <v>0.1320447064384688</v>
      </c>
      <c r="H1266">
        <v>3.9001163119507141E-29</v>
      </c>
      <c r="I1266">
        <v>4.1237934726986688E-29</v>
      </c>
      <c r="J1266">
        <v>0.1361120836915658</v>
      </c>
      <c r="K1266">
        <v>7.1913767975421564E-31</v>
      </c>
      <c r="L1266">
        <v>7.9261479051171151E-31</v>
      </c>
      <c r="M1266">
        <v>9.0488739489495734E-2</v>
      </c>
      <c r="N1266">
        <v>1.968471049773033E-30</v>
      </c>
      <c r="O1266">
        <v>2.1672417420953912E-30</v>
      </c>
      <c r="P1266">
        <v>1.7435804498421401E-2</v>
      </c>
      <c r="Q1266">
        <v>0.60838993534605978</v>
      </c>
      <c r="R1266">
        <v>-2.365927679658125</v>
      </c>
      <c r="S1266">
        <v>0.5258931316033395</v>
      </c>
      <c r="T1266">
        <v>0.43999348622809897</v>
      </c>
      <c r="U1266">
        <v>4.4222873134892842</v>
      </c>
      <c r="V1266">
        <v>0.1151559613407446</v>
      </c>
      <c r="W1266">
        <v>0.32454741307732171</v>
      </c>
      <c r="X1266">
        <v>0.53057581605860094</v>
      </c>
      <c r="Z1266" t="s">
        <v>392</v>
      </c>
      <c r="AA1266">
        <v>140</v>
      </c>
      <c r="AB1266" t="s">
        <v>1657</v>
      </c>
      <c r="AC1266" t="str">
        <f>HYPERLINK("plots/20251231112652_3FT6Y119H04_05543_B21P_N_UFLEX98_M5358A8BA201511/dpll_52046/txpa_55171.png","plot")</f>
        <v>plot</v>
      </c>
    </row>
    <row r="1267" spans="1:29" x14ac:dyDescent="0.35">
      <c r="A1267" s="3" t="s">
        <v>47</v>
      </c>
      <c r="B1267">
        <v>52046</v>
      </c>
      <c r="C1267" t="s">
        <v>51</v>
      </c>
      <c r="D1267">
        <v>55172</v>
      </c>
      <c r="E1267" t="s">
        <v>305</v>
      </c>
      <c r="F1267">
        <v>7139</v>
      </c>
      <c r="G1267">
        <v>0.25111084435029968</v>
      </c>
      <c r="H1267">
        <v>4.2995335467175758E-103</v>
      </c>
      <c r="I1267">
        <v>7.0660081302619489E-103</v>
      </c>
      <c r="J1267">
        <v>0.2209040577330324</v>
      </c>
      <c r="K1267">
        <v>1.2448838831273591E-79</v>
      </c>
      <c r="L1267">
        <v>1.9068160989292169E-79</v>
      </c>
      <c r="M1267">
        <v>0.14753468192258479</v>
      </c>
      <c r="N1267">
        <v>5.6077261196976277E-78</v>
      </c>
      <c r="O1267">
        <v>8.6416934428167089E-78</v>
      </c>
      <c r="P1267">
        <v>6.3056656150320425E-2</v>
      </c>
      <c r="Q1267">
        <v>0.77210644948099694</v>
      </c>
      <c r="R1267">
        <v>-3.6013215471316289</v>
      </c>
      <c r="S1267">
        <v>0.34270811089879349</v>
      </c>
      <c r="T1267">
        <v>0.2794841841152626</v>
      </c>
      <c r="U1267">
        <v>4.4222873134892842</v>
      </c>
      <c r="V1267">
        <v>0.1151559613407446</v>
      </c>
      <c r="W1267">
        <v>-0.18684499092856141</v>
      </c>
      <c r="X1267">
        <v>0.35407734252743012</v>
      </c>
      <c r="Z1267" t="s">
        <v>392</v>
      </c>
      <c r="AA1267">
        <v>140</v>
      </c>
      <c r="AB1267" t="s">
        <v>1658</v>
      </c>
      <c r="AC1267" t="str">
        <f>HYPERLINK("plots/20251231112652_3FT6Y119H04_05543_B21P_N_UFLEX98_M5358A8BA201511/dpll_52046/txpa_55172.png","plot")</f>
        <v>plot</v>
      </c>
    </row>
    <row r="1268" spans="1:29" x14ac:dyDescent="0.35">
      <c r="A1268" s="3" t="s">
        <v>47</v>
      </c>
      <c r="B1268">
        <v>52046</v>
      </c>
      <c r="C1268" t="s">
        <v>51</v>
      </c>
      <c r="D1268">
        <v>55173</v>
      </c>
      <c r="E1268" t="s">
        <v>306</v>
      </c>
      <c r="F1268">
        <v>7139</v>
      </c>
      <c r="G1268">
        <v>0.1780728057266116</v>
      </c>
      <c r="H1268">
        <v>6.0714052156219573E-52</v>
      </c>
      <c r="I1268">
        <v>7.1669439914326702E-52</v>
      </c>
      <c r="J1268">
        <v>0.15742218361929791</v>
      </c>
      <c r="K1268">
        <v>7.6841084414019142E-41</v>
      </c>
      <c r="L1268">
        <v>9.1130829936626205E-41</v>
      </c>
      <c r="M1268">
        <v>0.1050139764462913</v>
      </c>
      <c r="N1268">
        <v>2.1410834038906402E-40</v>
      </c>
      <c r="O1268">
        <v>2.539249791280829E-40</v>
      </c>
      <c r="P1268">
        <v>3.1709924139347562E-2</v>
      </c>
      <c r="Q1268">
        <v>0.7475675535777121</v>
      </c>
      <c r="R1268">
        <v>-3.122293214702228</v>
      </c>
      <c r="S1268">
        <v>0.47567638185056083</v>
      </c>
      <c r="T1268">
        <v>0.41427708982302219</v>
      </c>
      <c r="U1268">
        <v>4.4222873134892842</v>
      </c>
      <c r="V1268">
        <v>0.1151559613407446</v>
      </c>
      <c r="W1268">
        <v>0.18366529346070881</v>
      </c>
      <c r="X1268">
        <v>0.48343631105333362</v>
      </c>
      <c r="Z1268" t="s">
        <v>392</v>
      </c>
      <c r="AA1268">
        <v>140</v>
      </c>
      <c r="AB1268" t="s">
        <v>1659</v>
      </c>
      <c r="AC1268" t="str">
        <f>HYPERLINK("plots/20251231112652_3FT6Y119H04_05543_B21P_N_UFLEX98_M5358A8BA201511/dpll_52046/txpa_55173.png","plot")</f>
        <v>plot</v>
      </c>
    </row>
    <row r="1269" spans="1:29" x14ac:dyDescent="0.35">
      <c r="A1269" s="3" t="s">
        <v>47</v>
      </c>
      <c r="B1269">
        <v>52046</v>
      </c>
      <c r="C1269" t="s">
        <v>51</v>
      </c>
      <c r="D1269">
        <v>55174</v>
      </c>
      <c r="E1269" t="s">
        <v>307</v>
      </c>
      <c r="F1269">
        <v>7139</v>
      </c>
      <c r="G1269">
        <v>0.23054617904484201</v>
      </c>
      <c r="H1269">
        <v>9.2942352867247342E-87</v>
      </c>
      <c r="I1269">
        <v>1.3292460621634529E-86</v>
      </c>
      <c r="J1269">
        <v>0.22121615585516291</v>
      </c>
      <c r="K1269">
        <v>7.4077429299857092E-80</v>
      </c>
      <c r="L1269">
        <v>1.1415579530403509E-79</v>
      </c>
      <c r="M1269">
        <v>0.14702901467100779</v>
      </c>
      <c r="N1269">
        <v>1.8592687829138151E-77</v>
      </c>
      <c r="O1269">
        <v>2.8393050389677838E-77</v>
      </c>
      <c r="P1269">
        <v>5.3151540672176353E-2</v>
      </c>
      <c r="Q1269">
        <v>0.80216181322341529</v>
      </c>
      <c r="R1269">
        <v>-3.4621529910865658</v>
      </c>
      <c r="S1269">
        <v>0.38985247820240132</v>
      </c>
      <c r="T1269">
        <v>0.30094585261915252</v>
      </c>
      <c r="U1269">
        <v>4.4222873134892842</v>
      </c>
      <c r="V1269">
        <v>0.1151559613407446</v>
      </c>
      <c r="W1269">
        <v>8.5237018896904326E-2</v>
      </c>
      <c r="X1269">
        <v>0.40067337110197881</v>
      </c>
      <c r="Z1269" t="s">
        <v>392</v>
      </c>
      <c r="AA1269">
        <v>140</v>
      </c>
      <c r="AB1269" t="s">
        <v>1660</v>
      </c>
      <c r="AC1269" t="str">
        <f>HYPERLINK("plots/20251231112652_3FT6Y119H04_05543_B21P_N_UFLEX98_M5358A8BA201511/dpll_52046/txpa_55174.png","plot")</f>
        <v>plot</v>
      </c>
    </row>
    <row r="1270" spans="1:29" x14ac:dyDescent="0.35">
      <c r="A1270" s="3" t="s">
        <v>47</v>
      </c>
      <c r="B1270">
        <v>52046</v>
      </c>
      <c r="C1270" t="s">
        <v>51</v>
      </c>
      <c r="D1270">
        <v>55175</v>
      </c>
      <c r="E1270" t="s">
        <v>308</v>
      </c>
      <c r="F1270">
        <v>7139</v>
      </c>
      <c r="G1270">
        <v>0.17163973747896921</v>
      </c>
      <c r="H1270">
        <v>2.487177692798089E-48</v>
      </c>
      <c r="I1270">
        <v>2.8955202990783728E-48</v>
      </c>
      <c r="J1270">
        <v>0.14002575036776749</v>
      </c>
      <c r="K1270">
        <v>1.3716884569672141E-32</v>
      </c>
      <c r="L1270">
        <v>1.5318194882871749E-32</v>
      </c>
      <c r="M1270">
        <v>9.2847967789506783E-2</v>
      </c>
      <c r="N1270">
        <v>5.9591860627017706E-32</v>
      </c>
      <c r="O1270">
        <v>6.6548619686999948E-32</v>
      </c>
      <c r="P1270">
        <v>2.9460199481849449E-2</v>
      </c>
      <c r="Q1270">
        <v>0.77659562245145974</v>
      </c>
      <c r="R1270">
        <v>-3.4152601934097109</v>
      </c>
      <c r="S1270">
        <v>0.51326278670952463</v>
      </c>
      <c r="T1270">
        <v>0.41450492457121652</v>
      </c>
      <c r="U1270">
        <v>4.4222873134892842</v>
      </c>
      <c r="V1270">
        <v>0.1151559613407446</v>
      </c>
      <c r="W1270">
        <v>1.9068775468693101E-2</v>
      </c>
      <c r="X1270">
        <v>0.52103094999996435</v>
      </c>
      <c r="Z1270" t="s">
        <v>392</v>
      </c>
      <c r="AA1270">
        <v>140</v>
      </c>
      <c r="AB1270" t="s">
        <v>1661</v>
      </c>
      <c r="AC1270" t="str">
        <f>HYPERLINK("plots/20251231112652_3FT6Y119H04_05543_B21P_N_UFLEX98_M5358A8BA201511/dpll_52046/txpa_55175.png","plot")</f>
        <v>plot</v>
      </c>
    </row>
    <row r="1271" spans="1:29" x14ac:dyDescent="0.35">
      <c r="A1271" s="3" t="s">
        <v>47</v>
      </c>
      <c r="B1271">
        <v>52046</v>
      </c>
      <c r="C1271" t="s">
        <v>51</v>
      </c>
      <c r="D1271">
        <v>55176</v>
      </c>
      <c r="E1271" t="s">
        <v>309</v>
      </c>
      <c r="F1271">
        <v>7139</v>
      </c>
      <c r="G1271">
        <v>0.24398698174927561</v>
      </c>
      <c r="H1271">
        <v>2.943524364074562E-97</v>
      </c>
      <c r="I1271">
        <v>4.5989733515741221E-97</v>
      </c>
      <c r="J1271">
        <v>0.24443986478254609</v>
      </c>
      <c r="K1271">
        <v>1.2691479596937361E-97</v>
      </c>
      <c r="L1271">
        <v>2.3271537633443911E-97</v>
      </c>
      <c r="M1271">
        <v>0.1629702100487708</v>
      </c>
      <c r="N1271">
        <v>9.9479934903203578E-95</v>
      </c>
      <c r="O1271">
        <v>1.810999174000869E-94</v>
      </c>
      <c r="P1271">
        <v>5.9529647263121342E-2</v>
      </c>
      <c r="Q1271">
        <v>0.77521472291090321</v>
      </c>
      <c r="R1271">
        <v>-3.35124973938085</v>
      </c>
      <c r="S1271">
        <v>0.35480025105455498</v>
      </c>
      <c r="T1271">
        <v>0.27155479700125212</v>
      </c>
      <c r="U1271">
        <v>4.4222873134892842</v>
      </c>
      <c r="V1271">
        <v>0.1151559613407446</v>
      </c>
      <c r="W1271">
        <v>7.697249497814819E-2</v>
      </c>
      <c r="X1271">
        <v>0.3658826221885878</v>
      </c>
      <c r="Z1271" t="s">
        <v>392</v>
      </c>
      <c r="AA1271">
        <v>140</v>
      </c>
      <c r="AB1271" t="s">
        <v>1662</v>
      </c>
      <c r="AC1271" t="str">
        <f>HYPERLINK("plots/20251231112652_3FT6Y119H04_05543_B21P_N_UFLEX98_M5358A8BA201511/dpll_52046/txpa_55176.png","plot")</f>
        <v>plot</v>
      </c>
    </row>
    <row r="1272" spans="1:29" x14ac:dyDescent="0.35">
      <c r="A1272" s="3" t="s">
        <v>47</v>
      </c>
      <c r="B1272">
        <v>52046</v>
      </c>
      <c r="C1272" t="s">
        <v>51</v>
      </c>
      <c r="D1272">
        <v>55177</v>
      </c>
      <c r="E1272" t="s">
        <v>310</v>
      </c>
      <c r="F1272">
        <v>7139</v>
      </c>
      <c r="G1272">
        <v>0.19878717392947531</v>
      </c>
      <c r="H1272">
        <v>1.5517026121194449E-64</v>
      </c>
      <c r="I1272">
        <v>1.9353338852264659E-64</v>
      </c>
      <c r="J1272">
        <v>0.155957612113585</v>
      </c>
      <c r="K1272">
        <v>4.157280362845962E-40</v>
      </c>
      <c r="L1272">
        <v>4.9131495197270459E-40</v>
      </c>
      <c r="M1272">
        <v>0.1039709603539684</v>
      </c>
      <c r="N1272">
        <v>1.2442486800992871E-39</v>
      </c>
      <c r="O1272">
        <v>1.4704757128446119E-39</v>
      </c>
      <c r="P1272">
        <v>3.9516340518867467E-2</v>
      </c>
      <c r="Q1272">
        <v>0.69692129913107848</v>
      </c>
      <c r="R1272">
        <v>-3.099673913552027</v>
      </c>
      <c r="S1272">
        <v>0.39563652107569991</v>
      </c>
      <c r="T1272">
        <v>0.32805329471318229</v>
      </c>
      <c r="U1272">
        <v>4.4222873134892842</v>
      </c>
      <c r="V1272">
        <v>0.1151559613407446</v>
      </c>
      <c r="W1272">
        <v>-1.768769390418826E-2</v>
      </c>
      <c r="X1272">
        <v>0.40372143028077001</v>
      </c>
      <c r="Z1272" t="s">
        <v>392</v>
      </c>
      <c r="AA1272">
        <v>140</v>
      </c>
      <c r="AB1272" t="s">
        <v>1663</v>
      </c>
      <c r="AC1272" t="str">
        <f>HYPERLINK("plots/20251231112652_3FT6Y119H04_05543_B21P_N_UFLEX98_M5358A8BA201511/dpll_52046/txpa_55177.png","plot")</f>
        <v>plot</v>
      </c>
    </row>
    <row r="1273" spans="1:29" x14ac:dyDescent="0.35">
      <c r="A1273" s="3" t="s">
        <v>47</v>
      </c>
      <c r="B1273">
        <v>52046</v>
      </c>
      <c r="C1273" t="s">
        <v>51</v>
      </c>
      <c r="D1273">
        <v>55178</v>
      </c>
      <c r="E1273" t="s">
        <v>311</v>
      </c>
      <c r="F1273">
        <v>7139</v>
      </c>
      <c r="G1273">
        <v>0.14859619467953711</v>
      </c>
      <c r="H1273">
        <v>1.5726008431715259E-36</v>
      </c>
      <c r="I1273">
        <v>1.7164878955607399E-36</v>
      </c>
      <c r="J1273">
        <v>0.15134611041907731</v>
      </c>
      <c r="K1273">
        <v>7.6041992421625787E-38</v>
      </c>
      <c r="L1273">
        <v>8.852649864010166E-38</v>
      </c>
      <c r="M1273">
        <v>0.101088329071853</v>
      </c>
      <c r="N1273">
        <v>1.470669393996689E-37</v>
      </c>
      <c r="O1273">
        <v>1.712122578085698E-37</v>
      </c>
      <c r="P1273">
        <v>2.208082907323889E-2</v>
      </c>
      <c r="Q1273">
        <v>0.66302464023898944</v>
      </c>
      <c r="R1273">
        <v>-2.4729118335273919</v>
      </c>
      <c r="S1273">
        <v>0.50807691962192258</v>
      </c>
      <c r="T1273">
        <v>0.4000944943941413</v>
      </c>
      <c r="U1273">
        <v>4.4222873134892842</v>
      </c>
      <c r="V1273">
        <v>0.1151559613407446</v>
      </c>
      <c r="W1273">
        <v>0.45917362153228752</v>
      </c>
      <c r="X1273">
        <v>0.51381692515061661</v>
      </c>
      <c r="Z1273" t="s">
        <v>392</v>
      </c>
      <c r="AA1273">
        <v>140</v>
      </c>
      <c r="AB1273" t="s">
        <v>1664</v>
      </c>
      <c r="AC1273" t="str">
        <f>HYPERLINK("plots/20251231112652_3FT6Y119H04_05543_B21P_N_UFLEX98_M5358A8BA201511/dpll_52046/txpa_55178.png","plot")</f>
        <v>plot</v>
      </c>
    </row>
    <row r="1274" spans="1:29" x14ac:dyDescent="0.35">
      <c r="A1274" s="3" t="s">
        <v>47</v>
      </c>
      <c r="B1274">
        <v>52046</v>
      </c>
      <c r="C1274" t="s">
        <v>51</v>
      </c>
      <c r="D1274">
        <v>55179</v>
      </c>
      <c r="E1274" t="s">
        <v>312</v>
      </c>
      <c r="F1274">
        <v>7139</v>
      </c>
      <c r="G1274">
        <v>0.14337309614523641</v>
      </c>
      <c r="H1274">
        <v>4.2347913122124322E-34</v>
      </c>
      <c r="I1274">
        <v>4.5730334298012849E-34</v>
      </c>
      <c r="J1274">
        <v>0.15038504805104111</v>
      </c>
      <c r="K1274">
        <v>2.2062924617211821E-37</v>
      </c>
      <c r="L1274">
        <v>2.559703153530067E-37</v>
      </c>
      <c r="M1274">
        <v>0.10053439554407601</v>
      </c>
      <c r="N1274">
        <v>3.622121096049541E-37</v>
      </c>
      <c r="O1274">
        <v>4.207137218091907E-37</v>
      </c>
      <c r="P1274">
        <v>2.0555844698271201E-2</v>
      </c>
      <c r="Q1274">
        <v>0.61606217067122404</v>
      </c>
      <c r="R1274">
        <v>0.95031884467380623</v>
      </c>
      <c r="S1274">
        <v>0.48966912720208172</v>
      </c>
      <c r="T1274">
        <v>0.40990480966535958</v>
      </c>
      <c r="U1274">
        <v>4.4222873134892842</v>
      </c>
      <c r="V1274">
        <v>0.1151559613407446</v>
      </c>
      <c r="W1274">
        <v>3.6747227663538311</v>
      </c>
      <c r="X1274">
        <v>0.49481550874402158</v>
      </c>
      <c r="Z1274" t="s">
        <v>392</v>
      </c>
      <c r="AA1274">
        <v>140</v>
      </c>
      <c r="AB1274" t="s">
        <v>1665</v>
      </c>
      <c r="AC1274" t="str">
        <f>HYPERLINK("plots/20251231112652_3FT6Y119H04_05543_B21P_N_UFLEX98_M5358A8BA201511/dpll_52046/txpa_55179.png","plot")</f>
        <v>plot</v>
      </c>
    </row>
    <row r="1275" spans="1:29" x14ac:dyDescent="0.35">
      <c r="A1275" s="3" t="s">
        <v>47</v>
      </c>
      <c r="B1275">
        <v>52046</v>
      </c>
      <c r="C1275" t="s">
        <v>51</v>
      </c>
      <c r="D1275">
        <v>55180</v>
      </c>
      <c r="E1275" t="s">
        <v>313</v>
      </c>
      <c r="F1275">
        <v>7139</v>
      </c>
      <c r="G1275">
        <v>0.26737980364584418</v>
      </c>
      <c r="H1275">
        <v>3.8941397231987333E-117</v>
      </c>
      <c r="I1275">
        <v>7.1924547892960207E-117</v>
      </c>
      <c r="J1275">
        <v>0.24031140270546211</v>
      </c>
      <c r="K1275">
        <v>2.5468589297406279E-94</v>
      </c>
      <c r="L1275">
        <v>4.4991549734442459E-94</v>
      </c>
      <c r="M1275">
        <v>0.1607898399250734</v>
      </c>
      <c r="N1275">
        <v>2.9053493423629921E-92</v>
      </c>
      <c r="O1275">
        <v>5.1503920160071233E-92</v>
      </c>
      <c r="P1275">
        <v>7.1491959397690222E-2</v>
      </c>
      <c r="Q1275">
        <v>0.77179907691078198</v>
      </c>
      <c r="R1275">
        <v>-0.19977327703103989</v>
      </c>
      <c r="S1275">
        <v>0.32027607335299457</v>
      </c>
      <c r="T1275">
        <v>0.26079766756918371</v>
      </c>
      <c r="U1275">
        <v>4.4222873134892842</v>
      </c>
      <c r="V1275">
        <v>0.1151559613407446</v>
      </c>
      <c r="W1275">
        <v>3.213343989354251</v>
      </c>
      <c r="X1275">
        <v>0.33240081506411029</v>
      </c>
      <c r="Z1275" t="s">
        <v>392</v>
      </c>
      <c r="AA1275">
        <v>140</v>
      </c>
      <c r="AB1275" t="s">
        <v>1666</v>
      </c>
      <c r="AC1275" t="str">
        <f>HYPERLINK("plots/20251231112652_3FT6Y119H04_05543_B21P_N_UFLEX98_M5358A8BA201511/dpll_52046/txpa_55180.png","plot")</f>
        <v>plot</v>
      </c>
    </row>
    <row r="1276" spans="1:29" x14ac:dyDescent="0.35">
      <c r="A1276" s="3" t="s">
        <v>47</v>
      </c>
      <c r="B1276">
        <v>52046</v>
      </c>
      <c r="C1276" t="s">
        <v>51</v>
      </c>
      <c r="D1276">
        <v>55181</v>
      </c>
      <c r="E1276" t="s">
        <v>314</v>
      </c>
      <c r="F1276">
        <v>7139</v>
      </c>
      <c r="G1276">
        <v>0.19314554593866809</v>
      </c>
      <c r="H1276">
        <v>5.846353586824264E-61</v>
      </c>
      <c r="I1276">
        <v>7.0996437569338958E-61</v>
      </c>
      <c r="J1276">
        <v>0.17333291810781751</v>
      </c>
      <c r="K1276">
        <v>2.8740637598755611E-49</v>
      </c>
      <c r="L1276">
        <v>3.5410700516571317E-49</v>
      </c>
      <c r="M1276">
        <v>0.1159356599197099</v>
      </c>
      <c r="N1276">
        <v>7.5025556389014098E-49</v>
      </c>
      <c r="O1276">
        <v>9.2437319779417131E-49</v>
      </c>
      <c r="P1276">
        <v>3.7305201915946169E-2</v>
      </c>
      <c r="Q1276">
        <v>0.74718055001395789</v>
      </c>
      <c r="R1276">
        <v>0.24486453707364311</v>
      </c>
      <c r="S1276">
        <v>0.43706011865678751</v>
      </c>
      <c r="T1276">
        <v>0.3796475180380533</v>
      </c>
      <c r="U1276">
        <v>4.4222873134892842</v>
      </c>
      <c r="V1276">
        <v>0.1151559613407446</v>
      </c>
      <c r="W1276">
        <v>3.5491116042863151</v>
      </c>
      <c r="X1276">
        <v>0.44547905111560621</v>
      </c>
      <c r="Z1276" t="s">
        <v>392</v>
      </c>
      <c r="AA1276">
        <v>140</v>
      </c>
      <c r="AB1276" t="s">
        <v>1667</v>
      </c>
      <c r="AC1276" t="str">
        <f>HYPERLINK("plots/20251231112652_3FT6Y119H04_05543_B21P_N_UFLEX98_M5358A8BA201511/dpll_52046/txpa_55181.png","plot")</f>
        <v>plot</v>
      </c>
    </row>
    <row r="1277" spans="1:29" x14ac:dyDescent="0.35">
      <c r="A1277" s="3" t="s">
        <v>47</v>
      </c>
      <c r="B1277">
        <v>52046</v>
      </c>
      <c r="C1277" t="s">
        <v>51</v>
      </c>
      <c r="D1277">
        <v>55182</v>
      </c>
      <c r="E1277" t="s">
        <v>315</v>
      </c>
      <c r="F1277">
        <v>7139</v>
      </c>
      <c r="G1277">
        <v>0.24863010579345329</v>
      </c>
      <c r="H1277">
        <v>4.8636952860188437E-101</v>
      </c>
      <c r="I1277">
        <v>7.8406788871591551E-101</v>
      </c>
      <c r="J1277">
        <v>0.2413709774574406</v>
      </c>
      <c r="K1277">
        <v>3.6679516459235413E-95</v>
      </c>
      <c r="L1277">
        <v>6.5250929280113514E-95</v>
      </c>
      <c r="M1277">
        <v>0.16082212394383619</v>
      </c>
      <c r="N1277">
        <v>2.6720918539500761E-92</v>
      </c>
      <c r="O1277">
        <v>4.745185884247595E-92</v>
      </c>
      <c r="P1277">
        <v>6.1816929506863787E-2</v>
      </c>
      <c r="Q1277">
        <v>0.79917176755268249</v>
      </c>
      <c r="R1277">
        <v>-7.1069025229427929E-2</v>
      </c>
      <c r="S1277">
        <v>0.35849757337931509</v>
      </c>
      <c r="T1277">
        <v>0.27696087630729688</v>
      </c>
      <c r="U1277">
        <v>4.4222873134892842</v>
      </c>
      <c r="V1277">
        <v>0.1151559613407446</v>
      </c>
      <c r="W1277">
        <v>3.4630981437176072</v>
      </c>
      <c r="X1277">
        <v>0.37014581510641209</v>
      </c>
      <c r="Z1277" t="s">
        <v>392</v>
      </c>
      <c r="AA1277">
        <v>140</v>
      </c>
      <c r="AB1277" t="s">
        <v>1668</v>
      </c>
      <c r="AC1277" t="str">
        <f>HYPERLINK("plots/20251231112652_3FT6Y119H04_05543_B21P_N_UFLEX98_M5358A8BA201511/dpll_52046/txpa_55182.png","plot")</f>
        <v>plot</v>
      </c>
    </row>
    <row r="1278" spans="1:29" x14ac:dyDescent="0.35">
      <c r="A1278" s="3" t="s">
        <v>47</v>
      </c>
      <c r="B1278">
        <v>52046</v>
      </c>
      <c r="C1278" t="s">
        <v>51</v>
      </c>
      <c r="D1278">
        <v>55183</v>
      </c>
      <c r="E1278" t="s">
        <v>316</v>
      </c>
      <c r="F1278">
        <v>7139</v>
      </c>
      <c r="G1278">
        <v>0.18542276583752151</v>
      </c>
      <c r="H1278">
        <v>3.0468565871583281E-56</v>
      </c>
      <c r="I1278">
        <v>3.6176962287804968E-56</v>
      </c>
      <c r="J1278">
        <v>0.15495323882814371</v>
      </c>
      <c r="K1278">
        <v>1.310748306859667E-39</v>
      </c>
      <c r="L1278">
        <v>1.5400912898675579E-39</v>
      </c>
      <c r="M1278">
        <v>0.102880335565405</v>
      </c>
      <c r="N1278">
        <v>7.6816580619569802E-39</v>
      </c>
      <c r="O1278">
        <v>9.0152792532689564E-39</v>
      </c>
      <c r="P1278">
        <v>3.4381602090836343E-2</v>
      </c>
      <c r="Q1278">
        <v>0.77530564218159082</v>
      </c>
      <c r="R1278">
        <v>-2.499482783837648E-2</v>
      </c>
      <c r="S1278">
        <v>0.47311711787397492</v>
      </c>
      <c r="T1278">
        <v>0.38244806267612508</v>
      </c>
      <c r="U1278">
        <v>4.4222873134892842</v>
      </c>
      <c r="V1278">
        <v>0.1151559613407446</v>
      </c>
      <c r="W1278">
        <v>3.403629477657935</v>
      </c>
      <c r="X1278">
        <v>0.48150002592754881</v>
      </c>
      <c r="Z1278" t="s">
        <v>392</v>
      </c>
      <c r="AA1278">
        <v>140</v>
      </c>
      <c r="AB1278" t="s">
        <v>1669</v>
      </c>
      <c r="AC1278" t="str">
        <f>HYPERLINK("plots/20251231112652_3FT6Y119H04_05543_B21P_N_UFLEX98_M5358A8BA201511/dpll_52046/txpa_55183.png","plot")</f>
        <v>plot</v>
      </c>
    </row>
    <row r="1279" spans="1:29" x14ac:dyDescent="0.35">
      <c r="A1279" s="3" t="s">
        <v>47</v>
      </c>
      <c r="B1279">
        <v>52046</v>
      </c>
      <c r="C1279" t="s">
        <v>51</v>
      </c>
      <c r="D1279">
        <v>55184</v>
      </c>
      <c r="E1279" t="s">
        <v>317</v>
      </c>
      <c r="F1279">
        <v>7139</v>
      </c>
      <c r="G1279">
        <v>0.26374794027009307</v>
      </c>
      <c r="H1279">
        <v>6.4963401992450052E-114</v>
      </c>
      <c r="I1279">
        <v>1.170033563416418E-113</v>
      </c>
      <c r="J1279">
        <v>0.2672599468642024</v>
      </c>
      <c r="K1279">
        <v>4.9837764778479577E-117</v>
      </c>
      <c r="L1279">
        <v>1.046283509014043E-116</v>
      </c>
      <c r="M1279">
        <v>0.17891407319992689</v>
      </c>
      <c r="N1279">
        <v>8.9841664388802409E-114</v>
      </c>
      <c r="O1279">
        <v>1.886116929404672E-113</v>
      </c>
      <c r="P1279">
        <v>6.9562975996716583E-2</v>
      </c>
      <c r="Q1279">
        <v>0.77558859411213898</v>
      </c>
      <c r="R1279">
        <v>1.318236377145832E-2</v>
      </c>
      <c r="S1279">
        <v>0.32661929329972073</v>
      </c>
      <c r="T1279">
        <v>0.24984037077898211</v>
      </c>
      <c r="U1279">
        <v>4.4222873134892842</v>
      </c>
      <c r="V1279">
        <v>0.1151559613407446</v>
      </c>
      <c r="W1279">
        <v>3.4430579640005599</v>
      </c>
      <c r="X1279">
        <v>0.33863259773114279</v>
      </c>
      <c r="Z1279" t="s">
        <v>392</v>
      </c>
      <c r="AA1279">
        <v>140</v>
      </c>
      <c r="AB1279" t="s">
        <v>1670</v>
      </c>
      <c r="AC1279" t="str">
        <f>HYPERLINK("plots/20251231112652_3FT6Y119H04_05543_B21P_N_UFLEX98_M5358A8BA201511/dpll_52046/txpa_55184.png","plot")</f>
        <v>plot</v>
      </c>
    </row>
    <row r="1280" spans="1:29" x14ac:dyDescent="0.35">
      <c r="A1280" s="3" t="s">
        <v>47</v>
      </c>
      <c r="B1280">
        <v>52046</v>
      </c>
      <c r="C1280" t="s">
        <v>51</v>
      </c>
      <c r="D1280">
        <v>55185</v>
      </c>
      <c r="E1280" t="s">
        <v>318</v>
      </c>
      <c r="F1280">
        <v>7139</v>
      </c>
      <c r="G1280">
        <v>0.21508590292587651</v>
      </c>
      <c r="H1280">
        <v>1.7143281236539359E-75</v>
      </c>
      <c r="I1280">
        <v>2.2752993683050942E-75</v>
      </c>
      <c r="J1280">
        <v>0.17260484943658841</v>
      </c>
      <c r="K1280">
        <v>7.2892643286680027E-49</v>
      </c>
      <c r="L1280">
        <v>8.9483220693333591E-49</v>
      </c>
      <c r="M1280">
        <v>0.11521353628732831</v>
      </c>
      <c r="N1280">
        <v>2.8831869696288638E-48</v>
      </c>
      <c r="O1280">
        <v>3.5351288841640493E-48</v>
      </c>
      <c r="P1280">
        <v>4.6261945637439551E-2</v>
      </c>
      <c r="Q1280">
        <v>0.70086303856309207</v>
      </c>
      <c r="R1280">
        <v>0.26915046811259019</v>
      </c>
      <c r="S1280">
        <v>0.36643063231080619</v>
      </c>
      <c r="T1280">
        <v>0.30390747837276672</v>
      </c>
      <c r="U1280">
        <v>4.4222873134892842</v>
      </c>
      <c r="V1280">
        <v>0.1151559613407446</v>
      </c>
      <c r="W1280">
        <v>3.3685681920437029</v>
      </c>
      <c r="X1280">
        <v>0.37523871102673911</v>
      </c>
      <c r="Z1280" t="s">
        <v>392</v>
      </c>
      <c r="AA1280">
        <v>140</v>
      </c>
      <c r="AB1280" t="s">
        <v>1671</v>
      </c>
      <c r="AC1280" t="str">
        <f>HYPERLINK("plots/20251231112652_3FT6Y119H04_05543_B21P_N_UFLEX98_M5358A8BA201511/dpll_52046/txpa_55185.png","plot")</f>
        <v>plot</v>
      </c>
    </row>
    <row r="1281" spans="1:29" x14ac:dyDescent="0.35">
      <c r="A1281" s="3" t="s">
        <v>47</v>
      </c>
      <c r="B1281">
        <v>52046</v>
      </c>
      <c r="C1281" t="s">
        <v>51</v>
      </c>
      <c r="D1281">
        <v>55186</v>
      </c>
      <c r="E1281" t="s">
        <v>319</v>
      </c>
      <c r="F1281">
        <v>7139</v>
      </c>
      <c r="G1281">
        <v>0.16170028450539259</v>
      </c>
      <c r="H1281">
        <v>5.0462507449925291E-43</v>
      </c>
      <c r="I1281">
        <v>5.6854425060249161E-43</v>
      </c>
      <c r="J1281">
        <v>0.16547763414098049</v>
      </c>
      <c r="K1281">
        <v>5.3094560386898803E-45</v>
      </c>
      <c r="L1281">
        <v>6.3864631355059761E-45</v>
      </c>
      <c r="M1281">
        <v>0.1108756267618039</v>
      </c>
      <c r="N1281">
        <v>7.8580796120979695E-45</v>
      </c>
      <c r="O1281">
        <v>9.4632930245455357E-45</v>
      </c>
      <c r="P1281">
        <v>2.6146982009124929E-2</v>
      </c>
      <c r="Q1281">
        <v>0.66987120560202307</v>
      </c>
      <c r="R1281">
        <v>0.84113425503659212</v>
      </c>
      <c r="S1281">
        <v>0.47074231561406249</v>
      </c>
      <c r="T1281">
        <v>0.37201111424709182</v>
      </c>
      <c r="U1281">
        <v>4.4222873134892842</v>
      </c>
      <c r="V1281">
        <v>0.1151559613407446</v>
      </c>
      <c r="W1281">
        <v>3.80349718924219</v>
      </c>
      <c r="X1281">
        <v>0.47705335146155542</v>
      </c>
      <c r="Z1281" t="s">
        <v>392</v>
      </c>
      <c r="AA1281">
        <v>140</v>
      </c>
      <c r="AB1281" t="s">
        <v>1672</v>
      </c>
      <c r="AC1281" t="str">
        <f>HYPERLINK("plots/20251231112652_3FT6Y119H04_05543_B21P_N_UFLEX98_M5358A8BA201511/dpll_52046/txpa_55186.png","plot")</f>
        <v>plot</v>
      </c>
    </row>
    <row r="1282" spans="1:29" x14ac:dyDescent="0.35">
      <c r="A1282" s="3" t="s">
        <v>47</v>
      </c>
      <c r="B1282">
        <v>52046</v>
      </c>
      <c r="C1282" t="s">
        <v>51</v>
      </c>
      <c r="D1282">
        <v>55187</v>
      </c>
      <c r="E1282" t="s">
        <v>320</v>
      </c>
      <c r="F1282">
        <v>7139</v>
      </c>
      <c r="G1282">
        <v>0.15294181949603611</v>
      </c>
      <c r="H1282">
        <v>1.2770756503437751E-38</v>
      </c>
      <c r="I1282">
        <v>1.427733968521045E-38</v>
      </c>
      <c r="J1282">
        <v>0.15957942104029149</v>
      </c>
      <c r="K1282">
        <v>6.2032696989242057E-42</v>
      </c>
      <c r="L1282">
        <v>7.3827646416773997E-42</v>
      </c>
      <c r="M1282">
        <v>0.1069911563896616</v>
      </c>
      <c r="N1282">
        <v>7.2585791000999462E-42</v>
      </c>
      <c r="O1282">
        <v>8.6387314642034567E-42</v>
      </c>
      <c r="P1282">
        <v>2.339120015075807E-2</v>
      </c>
      <c r="Q1282">
        <v>0.62314461322754111</v>
      </c>
      <c r="R1282">
        <v>2.7833624370701511</v>
      </c>
      <c r="S1282">
        <v>0.46363788419356822</v>
      </c>
      <c r="T1282">
        <v>0.38772159779310927</v>
      </c>
      <c r="U1282">
        <v>4.4222873134892842</v>
      </c>
      <c r="V1282">
        <v>0.1151559613407446</v>
      </c>
      <c r="W1282">
        <v>5.5390869546154926</v>
      </c>
      <c r="X1282">
        <v>0.46919029227570969</v>
      </c>
      <c r="Z1282" t="s">
        <v>392</v>
      </c>
      <c r="AA1282">
        <v>140</v>
      </c>
      <c r="AB1282" t="s">
        <v>1673</v>
      </c>
      <c r="AC1282" t="str">
        <f>HYPERLINK("plots/20251231112652_3FT6Y119H04_05543_B21P_N_UFLEX98_M5358A8BA201511/dpll_52046/txpa_55187.png","plot")</f>
        <v>plot</v>
      </c>
    </row>
    <row r="1283" spans="1:29" x14ac:dyDescent="0.35">
      <c r="A1283" s="3" t="s">
        <v>47</v>
      </c>
      <c r="B1283">
        <v>52046</v>
      </c>
      <c r="C1283" t="s">
        <v>51</v>
      </c>
      <c r="D1283">
        <v>55188</v>
      </c>
      <c r="E1283" t="s">
        <v>321</v>
      </c>
      <c r="F1283">
        <v>7139</v>
      </c>
      <c r="G1283">
        <v>0.27972890952988289</v>
      </c>
      <c r="H1283">
        <v>1.7891602567537781E-128</v>
      </c>
      <c r="I1283">
        <v>3.6139611560723732E-128</v>
      </c>
      <c r="J1283">
        <v>0.25393816939970237</v>
      </c>
      <c r="K1283">
        <v>1.840153873005349E-105</v>
      </c>
      <c r="L1283">
        <v>3.5745517762977463E-105</v>
      </c>
      <c r="M1283">
        <v>0.17015006687874121</v>
      </c>
      <c r="N1283">
        <v>4.3597078570644472E-103</v>
      </c>
      <c r="O1283">
        <v>8.4851127966666975E-103</v>
      </c>
      <c r="P1283">
        <v>7.8248262826777437E-2</v>
      </c>
      <c r="Q1283">
        <v>0.7718841404835336</v>
      </c>
      <c r="R1283">
        <v>1.695665721104135</v>
      </c>
      <c r="S1283">
        <v>0.30505472341522971</v>
      </c>
      <c r="T1283">
        <v>0.24797733325099261</v>
      </c>
      <c r="U1283">
        <v>4.4222873134892842</v>
      </c>
      <c r="V1283">
        <v>0.1151559613407446</v>
      </c>
      <c r="W1283">
        <v>5.1091591630480462</v>
      </c>
      <c r="X1283">
        <v>0.31776143692277192</v>
      </c>
      <c r="Z1283" t="s">
        <v>392</v>
      </c>
      <c r="AA1283">
        <v>140</v>
      </c>
      <c r="AB1283" t="s">
        <v>1674</v>
      </c>
      <c r="AC1283" t="str">
        <f>HYPERLINK("plots/20251231112652_3FT6Y119H04_05543_B21P_N_UFLEX98_M5358A8BA201511/dpll_52046/txpa_55188.png","plot")</f>
        <v>plot</v>
      </c>
    </row>
    <row r="1284" spans="1:29" x14ac:dyDescent="0.35">
      <c r="A1284" s="3" t="s">
        <v>47</v>
      </c>
      <c r="B1284">
        <v>52046</v>
      </c>
      <c r="C1284" t="s">
        <v>51</v>
      </c>
      <c r="D1284">
        <v>55189</v>
      </c>
      <c r="E1284" t="s">
        <v>322</v>
      </c>
      <c r="F1284">
        <v>7139</v>
      </c>
      <c r="G1284">
        <v>0.2054773742400241</v>
      </c>
      <c r="H1284">
        <v>6.4028505763027519E-69</v>
      </c>
      <c r="I1284">
        <v>8.1461612100012422E-69</v>
      </c>
      <c r="J1284">
        <v>0.18452055849804549</v>
      </c>
      <c r="K1284">
        <v>1.0508518111174561E-55</v>
      </c>
      <c r="L1284">
        <v>1.350524380827757E-55</v>
      </c>
      <c r="M1284">
        <v>0.1236553760017596</v>
      </c>
      <c r="N1284">
        <v>2.5078842098223668E-55</v>
      </c>
      <c r="O1284">
        <v>3.2312510657685901E-55</v>
      </c>
      <c r="P1284">
        <v>4.2220951324574908E-2</v>
      </c>
      <c r="Q1284">
        <v>0.75118245606467227</v>
      </c>
      <c r="R1284">
        <v>2.1001742418086642</v>
      </c>
      <c r="S1284">
        <v>0.41197427816922921</v>
      </c>
      <c r="T1284">
        <v>0.35697831477513531</v>
      </c>
      <c r="U1284">
        <v>4.4222873134892842</v>
      </c>
      <c r="V1284">
        <v>0.1151559613407446</v>
      </c>
      <c r="W1284">
        <v>5.4221188873791846</v>
      </c>
      <c r="X1284">
        <v>0.42098619466191028</v>
      </c>
      <c r="Z1284" t="s">
        <v>392</v>
      </c>
      <c r="AA1284">
        <v>140</v>
      </c>
      <c r="AB1284" t="s">
        <v>1675</v>
      </c>
      <c r="AC1284" t="str">
        <f>HYPERLINK("plots/20251231112652_3FT6Y119H04_05543_B21P_N_UFLEX98_M5358A8BA201511/dpll_52046/txpa_55189.png","plot")</f>
        <v>plot</v>
      </c>
    </row>
    <row r="1285" spans="1:29" x14ac:dyDescent="0.35">
      <c r="A1285" s="3" t="s">
        <v>47</v>
      </c>
      <c r="B1285">
        <v>52046</v>
      </c>
      <c r="C1285" t="s">
        <v>51</v>
      </c>
      <c r="D1285">
        <v>55190</v>
      </c>
      <c r="E1285" t="s">
        <v>323</v>
      </c>
      <c r="F1285">
        <v>7139</v>
      </c>
      <c r="G1285">
        <v>0.26141806522113442</v>
      </c>
      <c r="H1285">
        <v>7.1319088735475149E-112</v>
      </c>
      <c r="I1285">
        <v>1.257696625700379E-111</v>
      </c>
      <c r="J1285">
        <v>0.25442174948257901</v>
      </c>
      <c r="K1285">
        <v>7.1900199068007277E-106</v>
      </c>
      <c r="L1285">
        <v>1.4101895910050169E-105</v>
      </c>
      <c r="M1285">
        <v>0.16982726822709521</v>
      </c>
      <c r="N1285">
        <v>1.053664274907017E-102</v>
      </c>
      <c r="O1285">
        <v>2.0428596075635102E-102</v>
      </c>
      <c r="P1285">
        <v>6.8339404823961267E-2</v>
      </c>
      <c r="Q1285">
        <v>0.79716777821628459</v>
      </c>
      <c r="R1285">
        <v>1.819553905074683</v>
      </c>
      <c r="S1285">
        <v>0.33892141403761639</v>
      </c>
      <c r="T1285">
        <v>0.26203992836388762</v>
      </c>
      <c r="U1285">
        <v>4.4222873134892842</v>
      </c>
      <c r="V1285">
        <v>0.1151559613407446</v>
      </c>
      <c r="W1285">
        <v>5.3448588574029978</v>
      </c>
      <c r="X1285">
        <v>0.35115638153281042</v>
      </c>
      <c r="Z1285" t="s">
        <v>392</v>
      </c>
      <c r="AA1285">
        <v>140</v>
      </c>
      <c r="AB1285" t="s">
        <v>1676</v>
      </c>
      <c r="AC1285" t="str">
        <f>HYPERLINK("plots/20251231112652_3FT6Y119H04_05543_B21P_N_UFLEX98_M5358A8BA201511/dpll_52046/txpa_55190.png","plot")</f>
        <v>plot</v>
      </c>
    </row>
    <row r="1286" spans="1:29" x14ac:dyDescent="0.35">
      <c r="A1286" s="3" t="s">
        <v>47</v>
      </c>
      <c r="B1286">
        <v>52046</v>
      </c>
      <c r="C1286" t="s">
        <v>51</v>
      </c>
      <c r="D1286">
        <v>55191</v>
      </c>
      <c r="E1286" t="s">
        <v>324</v>
      </c>
      <c r="F1286">
        <v>7139</v>
      </c>
      <c r="G1286">
        <v>0.19674458329607941</v>
      </c>
      <c r="H1286">
        <v>3.1499934037428821E-63</v>
      </c>
      <c r="I1286">
        <v>3.8857582863689559E-63</v>
      </c>
      <c r="J1286">
        <v>0.16607745514951491</v>
      </c>
      <c r="K1286">
        <v>2.550199336871999E-45</v>
      </c>
      <c r="L1286">
        <v>3.0747944442190318E-45</v>
      </c>
      <c r="M1286">
        <v>0.1103923311460225</v>
      </c>
      <c r="N1286">
        <v>1.8613299248525019E-44</v>
      </c>
      <c r="O1286">
        <v>2.238895069751408E-44</v>
      </c>
      <c r="P1286">
        <v>3.8708431056347907E-2</v>
      </c>
      <c r="Q1286">
        <v>0.77660474015428327</v>
      </c>
      <c r="R1286">
        <v>1.854424828524063</v>
      </c>
      <c r="S1286">
        <v>0.44563657259651768</v>
      </c>
      <c r="T1286">
        <v>0.36019883724582302</v>
      </c>
      <c r="U1286">
        <v>4.4222873134892842</v>
      </c>
      <c r="V1286">
        <v>0.1151559613407446</v>
      </c>
      <c r="W1286">
        <v>5.2887941185039917</v>
      </c>
      <c r="X1286">
        <v>0.45455210982689243</v>
      </c>
      <c r="Z1286" t="s">
        <v>392</v>
      </c>
      <c r="AA1286">
        <v>140</v>
      </c>
      <c r="AB1286" t="s">
        <v>1677</v>
      </c>
      <c r="AC1286" t="str">
        <f>HYPERLINK("plots/20251231112652_3FT6Y119H04_05543_B21P_N_UFLEX98_M5358A8BA201511/dpll_52046/txpa_55191.png","plot")</f>
        <v>plot</v>
      </c>
    </row>
    <row r="1287" spans="1:29" x14ac:dyDescent="0.35">
      <c r="A1287" s="3" t="s">
        <v>47</v>
      </c>
      <c r="B1287">
        <v>52046</v>
      </c>
      <c r="C1287" t="s">
        <v>51</v>
      </c>
      <c r="D1287">
        <v>55192</v>
      </c>
      <c r="E1287" t="s">
        <v>325</v>
      </c>
      <c r="F1287">
        <v>7139</v>
      </c>
      <c r="G1287">
        <v>0.27774988913759963</v>
      </c>
      <c r="H1287">
        <v>1.286983464552894E-126</v>
      </c>
      <c r="I1287">
        <v>2.5241803347323678E-126</v>
      </c>
      <c r="J1287">
        <v>0.2815766741799301</v>
      </c>
      <c r="K1287">
        <v>3.1988696623830752E-130</v>
      </c>
      <c r="L1287">
        <v>7.8349126513440531E-130</v>
      </c>
      <c r="M1287">
        <v>0.1890774098766641</v>
      </c>
      <c r="N1287">
        <v>7.7776673239537202E-127</v>
      </c>
      <c r="O1287">
        <v>1.8912601118678829E-126</v>
      </c>
      <c r="P1287">
        <v>7.714500091594885E-2</v>
      </c>
      <c r="Q1287">
        <v>0.77543674835837728</v>
      </c>
      <c r="R1287">
        <v>1.888990282965294</v>
      </c>
      <c r="S1287">
        <v>0.30882697321049579</v>
      </c>
      <c r="T1287">
        <v>0.23643197068349739</v>
      </c>
      <c r="U1287">
        <v>4.4222873134892842</v>
      </c>
      <c r="V1287">
        <v>0.1151559613407446</v>
      </c>
      <c r="W1287">
        <v>5.3181943776439278</v>
      </c>
      <c r="X1287">
        <v>0.32149846933660509</v>
      </c>
      <c r="Z1287" t="s">
        <v>392</v>
      </c>
      <c r="AA1287">
        <v>140</v>
      </c>
      <c r="AB1287" t="s">
        <v>1678</v>
      </c>
      <c r="AC1287" t="str">
        <f>HYPERLINK("plots/20251231112652_3FT6Y119H04_05543_B21P_N_UFLEX98_M5358A8BA201511/dpll_52046/txpa_55192.png","plot")</f>
        <v>plot</v>
      </c>
    </row>
    <row r="1288" spans="1:29" x14ac:dyDescent="0.35">
      <c r="A1288" s="3" t="s">
        <v>47</v>
      </c>
      <c r="B1288">
        <v>52046</v>
      </c>
      <c r="C1288" t="s">
        <v>51</v>
      </c>
      <c r="D1288">
        <v>55193</v>
      </c>
      <c r="E1288" t="s">
        <v>326</v>
      </c>
      <c r="F1288">
        <v>7139</v>
      </c>
      <c r="G1288">
        <v>0.22723757810034079</v>
      </c>
      <c r="H1288">
        <v>2.828648803016795E-84</v>
      </c>
      <c r="I1288">
        <v>3.9892209822795959E-84</v>
      </c>
      <c r="J1288">
        <v>0.1844332377294261</v>
      </c>
      <c r="K1288">
        <v>1.184224973266539E-55</v>
      </c>
      <c r="L1288">
        <v>1.5200052188509749E-55</v>
      </c>
      <c r="M1288">
        <v>0.12321782564544061</v>
      </c>
      <c r="N1288">
        <v>5.9910509778486362E-55</v>
      </c>
      <c r="O1288">
        <v>7.7092965628661383E-55</v>
      </c>
      <c r="P1288">
        <v>5.1636916900908492E-2</v>
      </c>
      <c r="Q1288">
        <v>0.70219435498770588</v>
      </c>
      <c r="R1288">
        <v>2.149611923834287</v>
      </c>
      <c r="S1288">
        <v>0.34651377822748808</v>
      </c>
      <c r="T1288">
        <v>0.28708408422206022</v>
      </c>
      <c r="U1288">
        <v>4.4222873134892842</v>
      </c>
      <c r="V1288">
        <v>0.1151559613407446</v>
      </c>
      <c r="W1288">
        <v>5.2549171115002098</v>
      </c>
      <c r="X1288">
        <v>0.35584724442428001</v>
      </c>
      <c r="Z1288" t="s">
        <v>392</v>
      </c>
      <c r="AA1288">
        <v>140</v>
      </c>
      <c r="AB1288" t="s">
        <v>1679</v>
      </c>
      <c r="AC1288" t="str">
        <f>HYPERLINK("plots/20251231112652_3FT6Y119H04_05543_B21P_N_UFLEX98_M5358A8BA201511/dpll_52046/txpa_55193.png","plot")</f>
        <v>plot</v>
      </c>
    </row>
    <row r="1289" spans="1:29" x14ac:dyDescent="0.35">
      <c r="A1289" s="3" t="s">
        <v>47</v>
      </c>
      <c r="B1289">
        <v>52046</v>
      </c>
      <c r="C1289" t="s">
        <v>51</v>
      </c>
      <c r="D1289">
        <v>55194</v>
      </c>
      <c r="E1289" t="s">
        <v>327</v>
      </c>
      <c r="F1289">
        <v>7139</v>
      </c>
      <c r="G1289">
        <v>0.1716613294146761</v>
      </c>
      <c r="H1289">
        <v>2.420004336047746E-48</v>
      </c>
      <c r="I1289">
        <v>2.8205567778763387E-48</v>
      </c>
      <c r="J1289">
        <v>0.17477311313943511</v>
      </c>
      <c r="K1289">
        <v>4.5049939799125726E-50</v>
      </c>
      <c r="L1289">
        <v>5.5776115941774705E-50</v>
      </c>
      <c r="M1289">
        <v>0.11724095975864619</v>
      </c>
      <c r="N1289">
        <v>6.4442645108201563E-50</v>
      </c>
      <c r="O1289">
        <v>7.9786132038725746E-50</v>
      </c>
      <c r="P1289">
        <v>2.946761201641394E-2</v>
      </c>
      <c r="Q1289">
        <v>0.67268701628998884</v>
      </c>
      <c r="R1289">
        <v>2.6866415560314461</v>
      </c>
      <c r="S1289">
        <v>0.44453053307171242</v>
      </c>
      <c r="T1289">
        <v>0.3517630765813296</v>
      </c>
      <c r="U1289">
        <v>4.4222873134892842</v>
      </c>
      <c r="V1289">
        <v>0.1151559613407446</v>
      </c>
      <c r="W1289">
        <v>5.6614568141196244</v>
      </c>
      <c r="X1289">
        <v>0.45126016620309389</v>
      </c>
      <c r="Z1289" t="s">
        <v>392</v>
      </c>
      <c r="AA1289">
        <v>140</v>
      </c>
      <c r="AB1289" t="s">
        <v>1680</v>
      </c>
      <c r="AC1289" t="str">
        <f>HYPERLINK("plots/20251231112652_3FT6Y119H04_05543_B21P_N_UFLEX98_M5358A8BA201511/dpll_52046/txpa_55194.png","plot")</f>
        <v>plot</v>
      </c>
    </row>
    <row r="1290" spans="1:29" x14ac:dyDescent="0.35">
      <c r="A1290" s="3" t="s">
        <v>47</v>
      </c>
      <c r="B1290">
        <v>52046</v>
      </c>
      <c r="C1290" t="s">
        <v>51</v>
      </c>
      <c r="D1290">
        <v>55195</v>
      </c>
      <c r="E1290" t="s">
        <v>328</v>
      </c>
      <c r="F1290">
        <v>7139</v>
      </c>
      <c r="G1290">
        <v>0.16824958398883599</v>
      </c>
      <c r="H1290">
        <v>1.7505680122925991E-46</v>
      </c>
      <c r="I1290">
        <v>2.0102785554526569E-46</v>
      </c>
      <c r="J1290">
        <v>0.1713335865085894</v>
      </c>
      <c r="K1290">
        <v>3.6655133817186262E-48</v>
      </c>
      <c r="L1290">
        <v>4.4727202997144238E-48</v>
      </c>
      <c r="M1290">
        <v>0.1153304963824046</v>
      </c>
      <c r="N1290">
        <v>2.3178481536166379E-48</v>
      </c>
      <c r="O1290">
        <v>2.8453971280475428E-48</v>
      </c>
      <c r="P1290">
        <v>2.830792251241639E-2</v>
      </c>
      <c r="Q1290">
        <v>0.63332907779861947</v>
      </c>
      <c r="R1290">
        <v>4.9811106190804484</v>
      </c>
      <c r="S1290">
        <v>0.42726347267323578</v>
      </c>
      <c r="T1290">
        <v>0.35626206173838593</v>
      </c>
      <c r="U1290">
        <v>4.4222873134892842</v>
      </c>
      <c r="V1290">
        <v>0.1151559613407446</v>
      </c>
      <c r="W1290">
        <v>7.7818737650931507</v>
      </c>
      <c r="X1290">
        <v>0.4334728031409964</v>
      </c>
      <c r="Z1290" t="s">
        <v>392</v>
      </c>
      <c r="AA1290">
        <v>140</v>
      </c>
      <c r="AB1290" t="s">
        <v>1681</v>
      </c>
      <c r="AC1290" t="str">
        <f>HYPERLINK("plots/20251231112652_3FT6Y119H04_05543_B21P_N_UFLEX98_M5358A8BA201511/dpll_52046/txpa_55195.png","plot")</f>
        <v>plot</v>
      </c>
    </row>
    <row r="1291" spans="1:29" x14ac:dyDescent="0.35">
      <c r="A1291" s="3" t="s">
        <v>47</v>
      </c>
      <c r="B1291">
        <v>52046</v>
      </c>
      <c r="C1291" t="s">
        <v>51</v>
      </c>
      <c r="D1291">
        <v>55196</v>
      </c>
      <c r="E1291" t="s">
        <v>329</v>
      </c>
      <c r="F1291">
        <v>7139</v>
      </c>
      <c r="G1291">
        <v>0.29640560134354149</v>
      </c>
      <c r="H1291">
        <v>9.737288192637477E-145</v>
      </c>
      <c r="I1291">
        <v>2.334186814972672E-144</v>
      </c>
      <c r="J1291">
        <v>0.27132709302916969</v>
      </c>
      <c r="K1291">
        <v>1.0733887473959789E-120</v>
      </c>
      <c r="L1291">
        <v>2.315779127360686E-120</v>
      </c>
      <c r="M1291">
        <v>0.1820252388390321</v>
      </c>
      <c r="N1291">
        <v>1.072375999698932E-117</v>
      </c>
      <c r="O1291">
        <v>2.3384715348273481E-117</v>
      </c>
      <c r="P1291">
        <v>8.7856280507826442E-2</v>
      </c>
      <c r="Q1291">
        <v>0.7723930314623737</v>
      </c>
      <c r="R1291">
        <v>3.9735436384493732</v>
      </c>
      <c r="S1291">
        <v>0.28657584561522148</v>
      </c>
      <c r="T1291">
        <v>0.23203595350909101</v>
      </c>
      <c r="U1291">
        <v>4.4222873134892842</v>
      </c>
      <c r="V1291">
        <v>0.1151559613407446</v>
      </c>
      <c r="W1291">
        <v>7.3892875425129576</v>
      </c>
      <c r="X1291">
        <v>0.30008090828166029</v>
      </c>
      <c r="Z1291" t="s">
        <v>392</v>
      </c>
      <c r="AA1291">
        <v>140</v>
      </c>
      <c r="AB1291" t="s">
        <v>1682</v>
      </c>
      <c r="AC1291" t="str">
        <f>HYPERLINK("plots/20251231112652_3FT6Y119H04_05543_B21P_N_UFLEX98_M5358A8BA201511/dpll_52046/txpa_55196.png","plot")</f>
        <v>plot</v>
      </c>
    </row>
    <row r="1292" spans="1:29" x14ac:dyDescent="0.35">
      <c r="A1292" s="3" t="s">
        <v>47</v>
      </c>
      <c r="B1292">
        <v>52046</v>
      </c>
      <c r="C1292" t="s">
        <v>51</v>
      </c>
      <c r="D1292">
        <v>55197</v>
      </c>
      <c r="E1292" t="s">
        <v>330</v>
      </c>
      <c r="F1292">
        <v>7139</v>
      </c>
      <c r="G1292">
        <v>0.22358727100078879</v>
      </c>
      <c r="H1292">
        <v>1.3979839666451779E-81</v>
      </c>
      <c r="I1292">
        <v>1.9234134900654149E-81</v>
      </c>
      <c r="J1292">
        <v>0.19866435204857291</v>
      </c>
      <c r="K1292">
        <v>1.861397990892167E-64</v>
      </c>
      <c r="L1292">
        <v>2.550618328060348E-64</v>
      </c>
      <c r="M1292">
        <v>0.1335106706064165</v>
      </c>
      <c r="N1292">
        <v>3.3930951658673963E-64</v>
      </c>
      <c r="O1292">
        <v>4.6683833082626041E-64</v>
      </c>
      <c r="P1292">
        <v>4.9991267753580183E-2</v>
      </c>
      <c r="Q1292">
        <v>0.75639093933011581</v>
      </c>
      <c r="R1292">
        <v>4.3248747348487253</v>
      </c>
      <c r="S1292">
        <v>0.3796811596808336</v>
      </c>
      <c r="T1292">
        <v>0.32736307518378571</v>
      </c>
      <c r="U1292">
        <v>4.4222873134892842</v>
      </c>
      <c r="V1292">
        <v>0.1151559613407446</v>
      </c>
      <c r="W1292">
        <v>7.669852789886539</v>
      </c>
      <c r="X1292">
        <v>0.38957014582319849</v>
      </c>
      <c r="Z1292" t="s">
        <v>392</v>
      </c>
      <c r="AA1292">
        <v>140</v>
      </c>
      <c r="AB1292" t="s">
        <v>1683</v>
      </c>
      <c r="AC1292" t="str">
        <f>HYPERLINK("plots/20251231112652_3FT6Y119H04_05543_B21P_N_UFLEX98_M5358A8BA201511/dpll_52046/txpa_55197.png","plot")</f>
        <v>plot</v>
      </c>
    </row>
    <row r="1293" spans="1:29" x14ac:dyDescent="0.35">
      <c r="A1293" s="3" t="s">
        <v>47</v>
      </c>
      <c r="B1293">
        <v>52046</v>
      </c>
      <c r="C1293" t="s">
        <v>51</v>
      </c>
      <c r="D1293">
        <v>55198</v>
      </c>
      <c r="E1293" t="s">
        <v>331</v>
      </c>
      <c r="F1293">
        <v>7139</v>
      </c>
      <c r="G1293">
        <v>0.28040525912969622</v>
      </c>
      <c r="H1293">
        <v>4.1162588149179838E-129</v>
      </c>
      <c r="I1293">
        <v>8.4150936256589429E-129</v>
      </c>
      <c r="J1293">
        <v>0.27159204624135458</v>
      </c>
      <c r="K1293">
        <v>6.1612220461484671E-121</v>
      </c>
      <c r="L1293">
        <v>1.334931443332168E-120</v>
      </c>
      <c r="M1293">
        <v>0.1818700504392739</v>
      </c>
      <c r="N1293">
        <v>1.6888385713609689E-117</v>
      </c>
      <c r="O1293">
        <v>3.6669856774304547E-117</v>
      </c>
      <c r="P1293">
        <v>7.8627109347592053E-2</v>
      </c>
      <c r="Q1293">
        <v>0.79875287520200677</v>
      </c>
      <c r="R1293">
        <v>4.0715060867695048</v>
      </c>
      <c r="S1293">
        <v>0.31484731987885001</v>
      </c>
      <c r="T1293">
        <v>0.24387622526321581</v>
      </c>
      <c r="U1293">
        <v>4.4222873134892842</v>
      </c>
      <c r="V1293">
        <v>0.1151559613407446</v>
      </c>
      <c r="W1293">
        <v>7.6038207933884294</v>
      </c>
      <c r="X1293">
        <v>0.32802935117214321</v>
      </c>
      <c r="Z1293" t="s">
        <v>392</v>
      </c>
      <c r="AA1293">
        <v>140</v>
      </c>
      <c r="AB1293" t="s">
        <v>1684</v>
      </c>
      <c r="AC1293" t="str">
        <f>HYPERLINK("plots/20251231112652_3FT6Y119H04_05543_B21P_N_UFLEX98_M5358A8BA201511/dpll_52046/txpa_55198.png","plot")</f>
        <v>plot</v>
      </c>
    </row>
    <row r="1294" spans="1:29" x14ac:dyDescent="0.35">
      <c r="A1294" s="3" t="s">
        <v>47</v>
      </c>
      <c r="B1294">
        <v>52046</v>
      </c>
      <c r="C1294" t="s">
        <v>51</v>
      </c>
      <c r="D1294">
        <v>55199</v>
      </c>
      <c r="E1294" t="s">
        <v>332</v>
      </c>
      <c r="F1294">
        <v>7139</v>
      </c>
      <c r="G1294">
        <v>0.21433688482249519</v>
      </c>
      <c r="H1294">
        <v>5.7302112915760856E-75</v>
      </c>
      <c r="I1294">
        <v>7.5755335719141474E-75</v>
      </c>
      <c r="J1294">
        <v>0.1818690327227222</v>
      </c>
      <c r="K1294">
        <v>3.8517657760075272E-54</v>
      </c>
      <c r="L1294">
        <v>4.8760180984664568E-54</v>
      </c>
      <c r="M1294">
        <v>0.120999303342384</v>
      </c>
      <c r="N1294">
        <v>4.7203027407832737E-53</v>
      </c>
      <c r="O1294">
        <v>5.975514331029013E-53</v>
      </c>
      <c r="P1294">
        <v>4.5940300195411579E-2</v>
      </c>
      <c r="Q1294">
        <v>0.78117274087616884</v>
      </c>
      <c r="R1294">
        <v>4.0990553777465264</v>
      </c>
      <c r="S1294">
        <v>0.40991512906726812</v>
      </c>
      <c r="T1294">
        <v>0.33098941496348039</v>
      </c>
      <c r="U1294">
        <v>4.4222873134892842</v>
      </c>
      <c r="V1294">
        <v>0.1151559613407446</v>
      </c>
      <c r="W1294">
        <v>7.553625679366859</v>
      </c>
      <c r="X1294">
        <v>0.41969770169645759</v>
      </c>
      <c r="Z1294" t="s">
        <v>392</v>
      </c>
      <c r="AA1294">
        <v>140</v>
      </c>
      <c r="AB1294" t="s">
        <v>1685</v>
      </c>
      <c r="AC1294" t="str">
        <f>HYPERLINK("plots/20251231112652_3FT6Y119H04_05543_B21P_N_UFLEX98_M5358A8BA201511/dpll_52046/txpa_55199.png","plot")</f>
        <v>plot</v>
      </c>
    </row>
    <row r="1295" spans="1:29" x14ac:dyDescent="0.35">
      <c r="A1295" s="3" t="s">
        <v>47</v>
      </c>
      <c r="B1295">
        <v>52046</v>
      </c>
      <c r="C1295" t="s">
        <v>51</v>
      </c>
      <c r="D1295">
        <v>55200</v>
      </c>
      <c r="E1295" t="s">
        <v>333</v>
      </c>
      <c r="F1295">
        <v>7139</v>
      </c>
      <c r="G1295">
        <v>0.29784123909930149</v>
      </c>
      <c r="H1295">
        <v>3.4369009968516271E-146</v>
      </c>
      <c r="I1295">
        <v>8.3373627052812185E-146</v>
      </c>
      <c r="J1295">
        <v>0.29772561602606851</v>
      </c>
      <c r="K1295">
        <v>4.5023486694509516E-146</v>
      </c>
      <c r="L1295">
        <v>1.230561064911931E-145</v>
      </c>
      <c r="M1295">
        <v>0.20077723776279949</v>
      </c>
      <c r="N1295">
        <v>9.1899626222334027E-143</v>
      </c>
      <c r="O1295">
        <v>2.5185465132282891E-142</v>
      </c>
      <c r="P1295">
        <v>8.8709403708207277E-2</v>
      </c>
      <c r="Q1295">
        <v>0.77721089541419619</v>
      </c>
      <c r="R1295">
        <v>4.1354639433302083</v>
      </c>
      <c r="S1295">
        <v>0.28683919871489222</v>
      </c>
      <c r="T1295">
        <v>0.22023904625739829</v>
      </c>
      <c r="U1295">
        <v>4.4222873134892842</v>
      </c>
      <c r="V1295">
        <v>0.1151559613407446</v>
      </c>
      <c r="W1295">
        <v>7.5725138260260536</v>
      </c>
      <c r="X1295">
        <v>0.3004972316680527</v>
      </c>
      <c r="Z1295" t="s">
        <v>392</v>
      </c>
      <c r="AA1295">
        <v>140</v>
      </c>
      <c r="AB1295" t="s">
        <v>1686</v>
      </c>
      <c r="AC1295" t="str">
        <f>HYPERLINK("plots/20251231112652_3FT6Y119H04_05543_B21P_N_UFLEX98_M5358A8BA201511/dpll_52046/txpa_55200.png","plot")</f>
        <v>plot</v>
      </c>
    </row>
    <row r="1296" spans="1:29" x14ac:dyDescent="0.35">
      <c r="A1296" s="3" t="s">
        <v>47</v>
      </c>
      <c r="B1296">
        <v>52046</v>
      </c>
      <c r="C1296" t="s">
        <v>51</v>
      </c>
      <c r="D1296">
        <v>55201</v>
      </c>
      <c r="E1296" t="s">
        <v>334</v>
      </c>
      <c r="F1296">
        <v>7139</v>
      </c>
      <c r="G1296">
        <v>0.24649789515750389</v>
      </c>
      <c r="H1296">
        <v>2.7142093621462102E-99</v>
      </c>
      <c r="I1296">
        <v>4.3138061022198379E-99</v>
      </c>
      <c r="J1296">
        <v>0.2013156454851833</v>
      </c>
      <c r="K1296">
        <v>3.5658270970857479E-66</v>
      </c>
      <c r="L1296">
        <v>4.9598747276336751E-66</v>
      </c>
      <c r="M1296">
        <v>0.13455186295542459</v>
      </c>
      <c r="N1296">
        <v>3.5836067438550061E-65</v>
      </c>
      <c r="O1296">
        <v>4.9641765550122622E-65</v>
      </c>
      <c r="P1296">
        <v>6.0761212317079788E-2</v>
      </c>
      <c r="Q1296">
        <v>0.70884481855769843</v>
      </c>
      <c r="R1296">
        <v>4.3894054989912359</v>
      </c>
      <c r="S1296">
        <v>0.32090905355210969</v>
      </c>
      <c r="T1296">
        <v>0.26505938347354557</v>
      </c>
      <c r="U1296">
        <v>4.4222873134892842</v>
      </c>
      <c r="V1296">
        <v>0.1151559613407446</v>
      </c>
      <c r="W1296">
        <v>7.5241209473315598</v>
      </c>
      <c r="X1296">
        <v>0.33114971010304189</v>
      </c>
      <c r="Z1296" t="s">
        <v>392</v>
      </c>
      <c r="AA1296">
        <v>140</v>
      </c>
      <c r="AB1296" t="s">
        <v>1687</v>
      </c>
      <c r="AC1296" t="str">
        <f>HYPERLINK("plots/20251231112652_3FT6Y119H04_05543_B21P_N_UFLEX98_M5358A8BA201511/dpll_52046/txpa_55201.png","plot")</f>
        <v>plot</v>
      </c>
    </row>
    <row r="1297" spans="1:29" x14ac:dyDescent="0.35">
      <c r="A1297" s="3" t="s">
        <v>47</v>
      </c>
      <c r="B1297">
        <v>52046</v>
      </c>
      <c r="C1297" t="s">
        <v>51</v>
      </c>
      <c r="D1297">
        <v>55202</v>
      </c>
      <c r="E1297" t="s">
        <v>335</v>
      </c>
      <c r="F1297">
        <v>7139</v>
      </c>
      <c r="G1297">
        <v>0.18790534878650381</v>
      </c>
      <c r="H1297">
        <v>9.7701316643945252E-58</v>
      </c>
      <c r="I1297">
        <v>1.169647403506027E-57</v>
      </c>
      <c r="J1297">
        <v>0.18760044618532981</v>
      </c>
      <c r="K1297">
        <v>1.494590186474442E-57</v>
      </c>
      <c r="L1297">
        <v>1.9580290039858981E-57</v>
      </c>
      <c r="M1297">
        <v>0.1260093656888574</v>
      </c>
      <c r="N1297">
        <v>2.1991162474707281E-57</v>
      </c>
      <c r="O1297">
        <v>2.8959790583575559E-57</v>
      </c>
      <c r="P1297">
        <v>3.5308420102577648E-2</v>
      </c>
      <c r="Q1297">
        <v>0.67995039112241118</v>
      </c>
      <c r="R1297">
        <v>4.8864139703550462</v>
      </c>
      <c r="S1297">
        <v>0.40924966759570058</v>
      </c>
      <c r="T1297">
        <v>0.32426560724153441</v>
      </c>
      <c r="U1297">
        <v>4.4222873134892842</v>
      </c>
      <c r="V1297">
        <v>0.1151559613407446</v>
      </c>
      <c r="W1297">
        <v>7.8933499588177618</v>
      </c>
      <c r="X1297">
        <v>0.41670096918146088</v>
      </c>
      <c r="Z1297" t="s">
        <v>392</v>
      </c>
      <c r="AA1297">
        <v>140</v>
      </c>
      <c r="AB1297" t="s">
        <v>1688</v>
      </c>
      <c r="AC1297" t="str">
        <f>HYPERLINK("plots/20251231112652_3FT6Y119H04_05543_B21P_N_UFLEX98_M5358A8BA201511/dpll_52046/txpa_55202.png","plot")</f>
        <v>plot</v>
      </c>
    </row>
    <row r="1298" spans="1:29" x14ac:dyDescent="0.35">
      <c r="A1298" s="3" t="s">
        <v>47</v>
      </c>
      <c r="B1298">
        <v>52046</v>
      </c>
      <c r="C1298" t="s">
        <v>51</v>
      </c>
      <c r="D1298">
        <v>55203</v>
      </c>
      <c r="E1298" t="s">
        <v>336</v>
      </c>
      <c r="F1298">
        <v>7139</v>
      </c>
      <c r="G1298">
        <v>0.17697002839221071</v>
      </c>
      <c r="H1298">
        <v>2.5852265013533569E-51</v>
      </c>
      <c r="I1298">
        <v>3.0410901071604451E-51</v>
      </c>
      <c r="J1298">
        <v>0.17750085657282971</v>
      </c>
      <c r="K1298">
        <v>1.2886663047731861E-51</v>
      </c>
      <c r="L1298">
        <v>1.6033222491288471E-51</v>
      </c>
      <c r="M1298">
        <v>0.1197240847607132</v>
      </c>
      <c r="N1298">
        <v>5.6057938484892346E-52</v>
      </c>
      <c r="O1298">
        <v>7.0437112297002296E-52</v>
      </c>
      <c r="P1298">
        <v>3.1318390949139872E-2</v>
      </c>
      <c r="Q1298">
        <v>0.63853536894000973</v>
      </c>
      <c r="R1298">
        <v>5.9436932928055999</v>
      </c>
      <c r="S1298">
        <v>0.40891380335150729</v>
      </c>
      <c r="T1298">
        <v>0.34019770901517771</v>
      </c>
      <c r="U1298">
        <v>4.4222873134892842</v>
      </c>
      <c r="V1298">
        <v>0.1151559613407446</v>
      </c>
      <c r="W1298">
        <v>8.7674801540832039</v>
      </c>
      <c r="X1298">
        <v>0.41550060724062299</v>
      </c>
      <c r="Z1298" t="s">
        <v>392</v>
      </c>
      <c r="AA1298">
        <v>140</v>
      </c>
      <c r="AB1298" t="s">
        <v>1689</v>
      </c>
      <c r="AC1298" t="str">
        <f>HYPERLINK("plots/20251231112652_3FT6Y119H04_05543_B21P_N_UFLEX98_M5358A8BA201511/dpll_52046/txpa_55203.png","plot")</f>
        <v>plot</v>
      </c>
    </row>
    <row r="1299" spans="1:29" x14ac:dyDescent="0.35">
      <c r="A1299" s="3" t="s">
        <v>47</v>
      </c>
      <c r="B1299">
        <v>52046</v>
      </c>
      <c r="C1299" t="s">
        <v>51</v>
      </c>
      <c r="D1299">
        <v>55204</v>
      </c>
      <c r="E1299" t="s">
        <v>337</v>
      </c>
      <c r="F1299">
        <v>7139</v>
      </c>
      <c r="G1299">
        <v>0.30488191954937027</v>
      </c>
      <c r="H1299">
        <v>1.9605579936778479E-153</v>
      </c>
      <c r="I1299">
        <v>5.177098452055566E-153</v>
      </c>
      <c r="J1299">
        <v>0.2801540909908225</v>
      </c>
      <c r="K1299">
        <v>7.1071204272403929E-129</v>
      </c>
      <c r="L1299">
        <v>1.703692698161172E-128</v>
      </c>
      <c r="M1299">
        <v>0.18810396334861529</v>
      </c>
      <c r="N1299">
        <v>1.4871431867979849E-125</v>
      </c>
      <c r="O1299">
        <v>3.531529722279056E-125</v>
      </c>
      <c r="P1299">
        <v>9.2952984868108726E-2</v>
      </c>
      <c r="Q1299">
        <v>0.77447078987583429</v>
      </c>
      <c r="R1299">
        <v>4.9672898885522088</v>
      </c>
      <c r="S1299">
        <v>0.27857637171183519</v>
      </c>
      <c r="T1299">
        <v>0.22481762237663999</v>
      </c>
      <c r="U1299">
        <v>4.4222873134892842</v>
      </c>
      <c r="V1299">
        <v>0.1151559613407446</v>
      </c>
      <c r="W1299">
        <v>8.3922222372881361</v>
      </c>
      <c r="X1299">
        <v>0.29252285104442072</v>
      </c>
      <c r="Z1299" t="s">
        <v>392</v>
      </c>
      <c r="AA1299">
        <v>140</v>
      </c>
      <c r="AB1299" t="s">
        <v>1690</v>
      </c>
      <c r="AC1299" t="str">
        <f>HYPERLINK("plots/20251231112652_3FT6Y119H04_05543_B21P_N_UFLEX98_M5358A8BA201511/dpll_52046/txpa_55204.png","plot")</f>
        <v>plot</v>
      </c>
    </row>
    <row r="1300" spans="1:29" x14ac:dyDescent="0.35">
      <c r="A1300" s="3" t="s">
        <v>47</v>
      </c>
      <c r="B1300">
        <v>52046</v>
      </c>
      <c r="C1300" t="s">
        <v>51</v>
      </c>
      <c r="D1300">
        <v>55205</v>
      </c>
      <c r="E1300" t="s">
        <v>338</v>
      </c>
      <c r="F1300">
        <v>7139</v>
      </c>
      <c r="G1300">
        <v>0.23363040358815279</v>
      </c>
      <c r="H1300">
        <v>4.1442690168623662E-89</v>
      </c>
      <c r="I1300">
        <v>6.0814598887097533E-89</v>
      </c>
      <c r="J1300">
        <v>0.2059991745410126</v>
      </c>
      <c r="K1300">
        <v>2.869595629678956E-69</v>
      </c>
      <c r="L1300">
        <v>4.0753080791238961E-69</v>
      </c>
      <c r="M1300">
        <v>0.1386700110488914</v>
      </c>
      <c r="N1300">
        <v>4.1559777485447999E-69</v>
      </c>
      <c r="O1300">
        <v>5.9187660632365551E-69</v>
      </c>
      <c r="P1300">
        <v>5.4583165480763182E-2</v>
      </c>
      <c r="Q1300">
        <v>0.76048545136042822</v>
      </c>
      <c r="R1300">
        <v>5.2929505017149001</v>
      </c>
      <c r="S1300">
        <v>0.36444267240876949</v>
      </c>
      <c r="T1300">
        <v>0.31314882511863501</v>
      </c>
      <c r="U1300">
        <v>4.4222873134892842</v>
      </c>
      <c r="V1300">
        <v>0.1151559613407446</v>
      </c>
      <c r="W1300">
        <v>8.656035665359294</v>
      </c>
      <c r="X1300">
        <v>0.37484176670532021</v>
      </c>
      <c r="Z1300" t="s">
        <v>392</v>
      </c>
      <c r="AA1300">
        <v>140</v>
      </c>
      <c r="AB1300" t="s">
        <v>1691</v>
      </c>
      <c r="AC1300" t="str">
        <f>HYPERLINK("plots/20251231112652_3FT6Y119H04_05543_B21P_N_UFLEX98_M5358A8BA201511/dpll_52046/txpa_55205.png","plot")</f>
        <v>plot</v>
      </c>
    </row>
    <row r="1301" spans="1:29" x14ac:dyDescent="0.35">
      <c r="A1301" s="3" t="s">
        <v>47</v>
      </c>
      <c r="B1301">
        <v>52046</v>
      </c>
      <c r="C1301" t="s">
        <v>51</v>
      </c>
      <c r="D1301">
        <v>55206</v>
      </c>
      <c r="E1301" t="s">
        <v>339</v>
      </c>
      <c r="F1301">
        <v>7139</v>
      </c>
      <c r="G1301">
        <v>0.28996202023743339</v>
      </c>
      <c r="H1301">
        <v>2.5365012078619839E-138</v>
      </c>
      <c r="I1301">
        <v>5.6035124722702648E-138</v>
      </c>
      <c r="J1301">
        <v>0.27992188766540649</v>
      </c>
      <c r="K1301">
        <v>1.1769407847855551E-128</v>
      </c>
      <c r="L1301">
        <v>2.813365870936588E-128</v>
      </c>
      <c r="M1301">
        <v>0.18774760238853169</v>
      </c>
      <c r="N1301">
        <v>4.3664326172785749E-125</v>
      </c>
      <c r="O1301">
        <v>1.0272767224873489E-124</v>
      </c>
      <c r="P1301">
        <v>8.4077973180173737E-2</v>
      </c>
      <c r="Q1301">
        <v>0.80047491889042044</v>
      </c>
      <c r="R1301">
        <v>5.0558221668370544</v>
      </c>
      <c r="S1301">
        <v>0.30422287739538612</v>
      </c>
      <c r="T1301">
        <v>0.23587816820029461</v>
      </c>
      <c r="U1301">
        <v>4.4222873134892842</v>
      </c>
      <c r="V1301">
        <v>0.1151559613407446</v>
      </c>
      <c r="W1301">
        <v>8.5957522454125233</v>
      </c>
      <c r="X1301">
        <v>0.31790183672503181</v>
      </c>
      <c r="Z1301" t="s">
        <v>392</v>
      </c>
      <c r="AA1301">
        <v>140</v>
      </c>
      <c r="AB1301" t="s">
        <v>1692</v>
      </c>
      <c r="AC1301" t="str">
        <f>HYPERLINK("plots/20251231112652_3FT6Y119H04_05543_B21P_N_UFLEX98_M5358A8BA201511/dpll_52046/txpa_55206.png","plot")</f>
        <v>plot</v>
      </c>
    </row>
    <row r="1302" spans="1:29" x14ac:dyDescent="0.35">
      <c r="A1302" s="3" t="s">
        <v>47</v>
      </c>
      <c r="B1302">
        <v>52046</v>
      </c>
      <c r="C1302" t="s">
        <v>51</v>
      </c>
      <c r="D1302">
        <v>55207</v>
      </c>
      <c r="E1302" t="s">
        <v>340</v>
      </c>
      <c r="F1302">
        <v>7139</v>
      </c>
      <c r="G1302">
        <v>0.22403754098543899</v>
      </c>
      <c r="H1302">
        <v>6.5433493385169323E-82</v>
      </c>
      <c r="I1302">
        <v>9.0394499036187605E-82</v>
      </c>
      <c r="J1302">
        <v>0.19031542691257761</v>
      </c>
      <c r="K1302">
        <v>3.3061423436070812E-59</v>
      </c>
      <c r="L1302">
        <v>4.3765382981952746E-59</v>
      </c>
      <c r="M1302">
        <v>0.12666406960375329</v>
      </c>
      <c r="N1302">
        <v>5.7975020109277517E-58</v>
      </c>
      <c r="O1302">
        <v>7.6745000510192443E-58</v>
      </c>
      <c r="P1302">
        <v>5.0192819770802283E-2</v>
      </c>
      <c r="Q1302">
        <v>0.78476129523614768</v>
      </c>
      <c r="R1302">
        <v>5.0774740785590087</v>
      </c>
      <c r="S1302">
        <v>0.39308865370501239</v>
      </c>
      <c r="T1302">
        <v>0.317100357488805</v>
      </c>
      <c r="U1302">
        <v>4.4222873134892842</v>
      </c>
      <c r="V1302">
        <v>0.1151559613407446</v>
      </c>
      <c r="W1302">
        <v>8.5479139985992436</v>
      </c>
      <c r="X1302">
        <v>0.40336963608165971</v>
      </c>
      <c r="Z1302" t="s">
        <v>392</v>
      </c>
      <c r="AA1302">
        <v>140</v>
      </c>
      <c r="AB1302" t="s">
        <v>1693</v>
      </c>
      <c r="AC1302" t="str">
        <f>HYPERLINK("plots/20251231112652_3FT6Y119H04_05543_B21P_N_UFLEX98_M5358A8BA201511/dpll_52046/txpa_55207.png","plot")</f>
        <v>plot</v>
      </c>
    </row>
    <row r="1303" spans="1:29" x14ac:dyDescent="0.35">
      <c r="A1303" s="3" t="s">
        <v>47</v>
      </c>
      <c r="B1303">
        <v>52046</v>
      </c>
      <c r="C1303" t="s">
        <v>51</v>
      </c>
      <c r="D1303">
        <v>55208</v>
      </c>
      <c r="E1303" t="s">
        <v>341</v>
      </c>
      <c r="F1303">
        <v>7139</v>
      </c>
      <c r="G1303">
        <v>0.30812246883125222</v>
      </c>
      <c r="H1303">
        <v>7.7624141140566301E-157</v>
      </c>
      <c r="I1303">
        <v>2.1045689603351401E-156</v>
      </c>
      <c r="J1303">
        <v>0.3050612922031764</v>
      </c>
      <c r="K1303">
        <v>1.2740333649579599E-153</v>
      </c>
      <c r="L1303">
        <v>3.7554355583353822E-153</v>
      </c>
      <c r="M1303">
        <v>0.20618624839690719</v>
      </c>
      <c r="N1303">
        <v>1.8943115342371511E-150</v>
      </c>
      <c r="O1303">
        <v>5.6661707838244002E-150</v>
      </c>
      <c r="P1303">
        <v>9.4939455798665959E-2</v>
      </c>
      <c r="Q1303">
        <v>0.7789601075676974</v>
      </c>
      <c r="R1303">
        <v>5.1174751696775109</v>
      </c>
      <c r="S1303">
        <v>0.27694062644268341</v>
      </c>
      <c r="T1303">
        <v>0.21302587432938419</v>
      </c>
      <c r="U1303">
        <v>4.4222873134892842</v>
      </c>
      <c r="V1303">
        <v>0.1151559613407446</v>
      </c>
      <c r="W1303">
        <v>8.5622605710883875</v>
      </c>
      <c r="X1303">
        <v>0.29112417660840761</v>
      </c>
      <c r="Z1303" t="s">
        <v>392</v>
      </c>
      <c r="AA1303">
        <v>140</v>
      </c>
      <c r="AB1303" t="s">
        <v>1694</v>
      </c>
      <c r="AC1303" t="str">
        <f>HYPERLINK("plots/20251231112652_3FT6Y119H04_05543_B21P_N_UFLEX98_M5358A8BA201511/dpll_52046/txpa_55208.png","plot")</f>
        <v>plot</v>
      </c>
    </row>
    <row r="1304" spans="1:29" x14ac:dyDescent="0.35">
      <c r="A1304" s="3" t="s">
        <v>47</v>
      </c>
      <c r="B1304">
        <v>52046</v>
      </c>
      <c r="C1304" t="s">
        <v>51</v>
      </c>
      <c r="D1304">
        <v>55209</v>
      </c>
      <c r="E1304" t="s">
        <v>342</v>
      </c>
      <c r="F1304">
        <v>7139</v>
      </c>
      <c r="G1304">
        <v>0.25657298216700752</v>
      </c>
      <c r="H1304">
        <v>1.072715974948537E-107</v>
      </c>
      <c r="I1304">
        <v>1.8159165252050352E-107</v>
      </c>
      <c r="J1304">
        <v>0.20976570942310629</v>
      </c>
      <c r="K1304">
        <v>8.1927525789109921E-72</v>
      </c>
      <c r="L1304">
        <v>1.193599298134446E-71</v>
      </c>
      <c r="M1304">
        <v>0.14021778455785761</v>
      </c>
      <c r="N1304">
        <v>1.285488356537468E-70</v>
      </c>
      <c r="O1304">
        <v>1.870136576081769E-70</v>
      </c>
      <c r="P1304">
        <v>6.5829695178071565E-2</v>
      </c>
      <c r="Q1304">
        <v>0.71225672699866516</v>
      </c>
      <c r="R1304">
        <v>5.3711434191521317</v>
      </c>
      <c r="S1304">
        <v>0.30895460489512411</v>
      </c>
      <c r="T1304">
        <v>0.25460170720025271</v>
      </c>
      <c r="U1304">
        <v>4.4222873134892842</v>
      </c>
      <c r="V1304">
        <v>0.1151559613407446</v>
      </c>
      <c r="W1304">
        <v>8.5209473069057289</v>
      </c>
      <c r="X1304">
        <v>0.31967749459120759</v>
      </c>
      <c r="Z1304" t="s">
        <v>392</v>
      </c>
      <c r="AA1304">
        <v>140</v>
      </c>
      <c r="AB1304" t="s">
        <v>1695</v>
      </c>
      <c r="AC1304" t="str">
        <f>HYPERLINK("plots/20251231112652_3FT6Y119H04_05543_B21P_N_UFLEX98_M5358A8BA201511/dpll_52046/txpa_55209.png","plot")</f>
        <v>plot</v>
      </c>
    </row>
    <row r="1305" spans="1:29" x14ac:dyDescent="0.35">
      <c r="A1305" s="3" t="s">
        <v>47</v>
      </c>
      <c r="B1305">
        <v>52046</v>
      </c>
      <c r="C1305" t="s">
        <v>51</v>
      </c>
      <c r="D1305">
        <v>55210</v>
      </c>
      <c r="E1305" t="s">
        <v>343</v>
      </c>
      <c r="F1305">
        <v>7139</v>
      </c>
      <c r="G1305">
        <v>0.1972087405013922</v>
      </c>
      <c r="H1305">
        <v>1.5939230387604281E-63</v>
      </c>
      <c r="I1305">
        <v>1.9710219040281391E-63</v>
      </c>
      <c r="J1305">
        <v>0.1943436021271448</v>
      </c>
      <c r="K1305">
        <v>1.0392000480992149E-61</v>
      </c>
      <c r="L1305">
        <v>1.392006405247826E-61</v>
      </c>
      <c r="M1305">
        <v>0.13058715926752379</v>
      </c>
      <c r="N1305">
        <v>1.705095251702948E-61</v>
      </c>
      <c r="O1305">
        <v>2.2961043628509821E-61</v>
      </c>
      <c r="P1305">
        <v>3.8891287330145442E-2</v>
      </c>
      <c r="Q1305">
        <v>0.68458830397169912</v>
      </c>
      <c r="R1305">
        <v>5.8448697988268492</v>
      </c>
      <c r="S1305">
        <v>0.39187321397694502</v>
      </c>
      <c r="T1305">
        <v>0.3108134175300768</v>
      </c>
      <c r="U1305">
        <v>4.4222873134892842</v>
      </c>
      <c r="V1305">
        <v>0.1151559613407446</v>
      </c>
      <c r="W1305">
        <v>8.8723159704440402</v>
      </c>
      <c r="X1305">
        <v>0.3997511675499717</v>
      </c>
      <c r="Z1305" t="s">
        <v>392</v>
      </c>
      <c r="AA1305">
        <v>140</v>
      </c>
      <c r="AB1305" t="s">
        <v>1696</v>
      </c>
      <c r="AC1305" t="str">
        <f>HYPERLINK("plots/20251231112652_3FT6Y119H04_05543_B21P_N_UFLEX98_M5358A8BA201511/dpll_52046/txpa_55210.png","plot")</f>
        <v>plot</v>
      </c>
    </row>
    <row r="1306" spans="1:29" x14ac:dyDescent="0.35">
      <c r="A1306" s="3" t="s">
        <v>47</v>
      </c>
      <c r="B1306">
        <v>52046</v>
      </c>
      <c r="C1306" t="s">
        <v>51</v>
      </c>
      <c r="D1306">
        <v>55211</v>
      </c>
      <c r="E1306" t="s">
        <v>344</v>
      </c>
      <c r="F1306">
        <v>7139</v>
      </c>
      <c r="G1306">
        <v>0.18779488189706819</v>
      </c>
      <c r="H1306">
        <v>1.139793479762682E-57</v>
      </c>
      <c r="I1306">
        <v>1.3629134298105651E-57</v>
      </c>
      <c r="J1306">
        <v>0.1853262210846012</v>
      </c>
      <c r="K1306">
        <v>3.4795500511235999E-56</v>
      </c>
      <c r="L1306">
        <v>4.4946035055278092E-56</v>
      </c>
      <c r="M1306">
        <v>0.12522105908332909</v>
      </c>
      <c r="N1306">
        <v>1.084694375895819E-56</v>
      </c>
      <c r="O1306">
        <v>1.4155471005899109E-56</v>
      </c>
      <c r="P1306">
        <v>3.5266917666733781E-2</v>
      </c>
      <c r="Q1306">
        <v>0.64796797248524418</v>
      </c>
      <c r="R1306">
        <v>6.8543073432503903</v>
      </c>
      <c r="S1306">
        <v>0.39023784088075458</v>
      </c>
      <c r="T1306">
        <v>0.32357240654579539</v>
      </c>
      <c r="U1306">
        <v>4.4222873134892842</v>
      </c>
      <c r="V1306">
        <v>0.1151559613407446</v>
      </c>
      <c r="W1306">
        <v>9.7198078875192593</v>
      </c>
      <c r="X1306">
        <v>0.39733444296128267</v>
      </c>
      <c r="Z1306" t="s">
        <v>392</v>
      </c>
      <c r="AA1306">
        <v>140</v>
      </c>
      <c r="AB1306" t="s">
        <v>1697</v>
      </c>
      <c r="AC1306" t="str">
        <f>HYPERLINK("plots/20251231112652_3FT6Y119H04_05543_B21P_N_UFLEX98_M5358A8BA201511/dpll_52046/txpa_55211.png","plot")</f>
        <v>plot</v>
      </c>
    </row>
    <row r="1307" spans="1:29" x14ac:dyDescent="0.35">
      <c r="A1307" s="3" t="s">
        <v>47</v>
      </c>
      <c r="B1307">
        <v>52046</v>
      </c>
      <c r="C1307" t="s">
        <v>51</v>
      </c>
      <c r="D1307">
        <v>55212</v>
      </c>
      <c r="E1307" t="s">
        <v>345</v>
      </c>
      <c r="F1307">
        <v>7139</v>
      </c>
      <c r="G1307">
        <v>0.31451369798962509</v>
      </c>
      <c r="H1307">
        <v>1.127043939834191E-163</v>
      </c>
      <c r="I1307">
        <v>3.293436757901641E-163</v>
      </c>
      <c r="J1307">
        <v>0.29000740764495858</v>
      </c>
      <c r="K1307">
        <v>2.288898328013073E-138</v>
      </c>
      <c r="L1307">
        <v>5.8413353290127375E-138</v>
      </c>
      <c r="M1307">
        <v>0.19491221531339531</v>
      </c>
      <c r="N1307">
        <v>1.1645294032887481E-134</v>
      </c>
      <c r="O1307">
        <v>2.9447202367451141E-134</v>
      </c>
      <c r="P1307">
        <v>9.8918866223109136E-2</v>
      </c>
      <c r="Q1307">
        <v>0.77973390785980667</v>
      </c>
      <c r="R1307">
        <v>5.9143081261213171</v>
      </c>
      <c r="S1307">
        <v>0.27098472438356042</v>
      </c>
      <c r="T1307">
        <v>0.21777554248806649</v>
      </c>
      <c r="U1307">
        <v>4.4222873134892842</v>
      </c>
      <c r="V1307">
        <v>0.1151559613407446</v>
      </c>
      <c r="W1307">
        <v>9.3625154947471625</v>
      </c>
      <c r="X1307">
        <v>0.28549156467116282</v>
      </c>
      <c r="Z1307" t="s">
        <v>392</v>
      </c>
      <c r="AA1307">
        <v>140</v>
      </c>
      <c r="AB1307" t="s">
        <v>1698</v>
      </c>
      <c r="AC1307" t="str">
        <f>HYPERLINK("plots/20251231112652_3FT6Y119H04_05543_B21P_N_UFLEX98_M5358A8BA201511/dpll_52046/txpa_55212.png","plot")</f>
        <v>plot</v>
      </c>
    </row>
    <row r="1308" spans="1:29" x14ac:dyDescent="0.35">
      <c r="A1308" s="3" t="s">
        <v>47</v>
      </c>
      <c r="B1308">
        <v>52046</v>
      </c>
      <c r="C1308" t="s">
        <v>51</v>
      </c>
      <c r="D1308">
        <v>55213</v>
      </c>
      <c r="E1308" t="s">
        <v>346</v>
      </c>
      <c r="F1308">
        <v>7139</v>
      </c>
      <c r="G1308">
        <v>0.24549720074324979</v>
      </c>
      <c r="H1308">
        <v>1.7683307735119721E-98</v>
      </c>
      <c r="I1308">
        <v>2.7973282439019339E-98</v>
      </c>
      <c r="J1308">
        <v>0.214764444680244</v>
      </c>
      <c r="K1308">
        <v>2.8791062800255002E-75</v>
      </c>
      <c r="L1308">
        <v>4.3059200117195538E-75</v>
      </c>
      <c r="M1308">
        <v>0.144753905343942</v>
      </c>
      <c r="N1308">
        <v>3.8804777257928871E-75</v>
      </c>
      <c r="O1308">
        <v>5.8121187798434077E-75</v>
      </c>
      <c r="P1308">
        <v>6.0268875572771517E-2</v>
      </c>
      <c r="Q1308">
        <v>0.7678015064910344</v>
      </c>
      <c r="R1308">
        <v>6.2129870162807048</v>
      </c>
      <c r="S1308">
        <v>0.34910834247972822</v>
      </c>
      <c r="T1308">
        <v>0.29865665589875767</v>
      </c>
      <c r="U1308">
        <v>4.4222873134892842</v>
      </c>
      <c r="V1308">
        <v>0.1151559613407446</v>
      </c>
      <c r="W1308">
        <v>9.6084258777139659</v>
      </c>
      <c r="X1308">
        <v>0.36015449598269239</v>
      </c>
      <c r="Z1308" t="s">
        <v>392</v>
      </c>
      <c r="AA1308">
        <v>140</v>
      </c>
      <c r="AB1308" t="s">
        <v>1699</v>
      </c>
      <c r="AC1308" t="str">
        <f>HYPERLINK("plots/20251231112652_3FT6Y119H04_05543_B21P_N_UFLEX98_M5358A8BA201511/dpll_52046/txpa_55213.png","plot")</f>
        <v>plot</v>
      </c>
    </row>
    <row r="1309" spans="1:29" x14ac:dyDescent="0.35">
      <c r="A1309" s="3" t="s">
        <v>47</v>
      </c>
      <c r="B1309">
        <v>52046</v>
      </c>
      <c r="C1309" t="s">
        <v>51</v>
      </c>
      <c r="D1309">
        <v>55214</v>
      </c>
      <c r="E1309" t="s">
        <v>347</v>
      </c>
      <c r="F1309">
        <v>7139</v>
      </c>
      <c r="G1309">
        <v>0.30115843532332132</v>
      </c>
      <c r="H1309">
        <v>1.407686311009973E-149</v>
      </c>
      <c r="I1309">
        <v>3.5595858338257179E-149</v>
      </c>
      <c r="J1309">
        <v>0.28932252856956592</v>
      </c>
      <c r="K1309">
        <v>1.0761617205793661E-137</v>
      </c>
      <c r="L1309">
        <v>2.7144974742972071E-137</v>
      </c>
      <c r="M1309">
        <v>0.19446571161744941</v>
      </c>
      <c r="N1309">
        <v>4.7093396636032391E-134</v>
      </c>
      <c r="O1309">
        <v>1.1849306250356541E-133</v>
      </c>
      <c r="P1309">
        <v>9.0696403166391104E-2</v>
      </c>
      <c r="Q1309">
        <v>0.80611176262244366</v>
      </c>
      <c r="R1309">
        <v>5.9891623748661029</v>
      </c>
      <c r="S1309">
        <v>0.29390751229688322</v>
      </c>
      <c r="T1309">
        <v>0.22810432831300331</v>
      </c>
      <c r="U1309">
        <v>4.4222873134892842</v>
      </c>
      <c r="V1309">
        <v>0.1151559613407446</v>
      </c>
      <c r="W1309">
        <v>9.5540201959658209</v>
      </c>
      <c r="X1309">
        <v>0.308238335988197</v>
      </c>
      <c r="Z1309" t="s">
        <v>392</v>
      </c>
      <c r="AA1309">
        <v>140</v>
      </c>
      <c r="AB1309" t="s">
        <v>1700</v>
      </c>
      <c r="AC1309" t="str">
        <f>HYPERLINK("plots/20251231112652_3FT6Y119H04_05543_B21P_N_UFLEX98_M5358A8BA201511/dpll_52046/txpa_55214.png","plot")</f>
        <v>plot</v>
      </c>
    </row>
    <row r="1310" spans="1:29" x14ac:dyDescent="0.35">
      <c r="A1310" s="3" t="s">
        <v>47</v>
      </c>
      <c r="B1310">
        <v>52046</v>
      </c>
      <c r="C1310" t="s">
        <v>51</v>
      </c>
      <c r="D1310">
        <v>55215</v>
      </c>
      <c r="E1310" t="s">
        <v>348</v>
      </c>
      <c r="F1310">
        <v>7139</v>
      </c>
      <c r="G1310">
        <v>0.23553748153191231</v>
      </c>
      <c r="H1310">
        <v>1.40130744243375E-90</v>
      </c>
      <c r="I1310">
        <v>2.0926741482000328E-90</v>
      </c>
      <c r="J1310">
        <v>0.20033604139524849</v>
      </c>
      <c r="K1310">
        <v>1.5476282558645699E-65</v>
      </c>
      <c r="L1310">
        <v>2.1467784561514001E-65</v>
      </c>
      <c r="M1310">
        <v>0.13343801914146181</v>
      </c>
      <c r="N1310">
        <v>3.9657940877547237E-64</v>
      </c>
      <c r="O1310">
        <v>5.4489365921182802E-64</v>
      </c>
      <c r="P1310">
        <v>5.5477905206395908E-2</v>
      </c>
      <c r="Q1310">
        <v>0.79115454751041159</v>
      </c>
      <c r="R1310">
        <v>6.0102524363189342</v>
      </c>
      <c r="S1310">
        <v>0.37589224726696818</v>
      </c>
      <c r="T1310">
        <v>0.30281146693648953</v>
      </c>
      <c r="U1310">
        <v>4.4222873134892842</v>
      </c>
      <c r="V1310">
        <v>0.1151559613407446</v>
      </c>
      <c r="W1310">
        <v>9.5089651547835832</v>
      </c>
      <c r="X1310">
        <v>0.38680112352020529</v>
      </c>
      <c r="Z1310" t="s">
        <v>392</v>
      </c>
      <c r="AA1310">
        <v>140</v>
      </c>
      <c r="AB1310" t="s">
        <v>1701</v>
      </c>
      <c r="AC1310" t="str">
        <f>HYPERLINK("plots/20251231112652_3FT6Y119H04_05543_B21P_N_UFLEX98_M5358A8BA201511/dpll_52046/txpa_55215.png","plot")</f>
        <v>plot</v>
      </c>
    </row>
    <row r="1311" spans="1:29" x14ac:dyDescent="0.35">
      <c r="A1311" s="3" t="s">
        <v>47</v>
      </c>
      <c r="B1311">
        <v>52046</v>
      </c>
      <c r="C1311" t="s">
        <v>51</v>
      </c>
      <c r="D1311">
        <v>55216</v>
      </c>
      <c r="E1311" t="s">
        <v>349</v>
      </c>
      <c r="F1311">
        <v>7139</v>
      </c>
      <c r="G1311">
        <v>0.32002443793174529</v>
      </c>
      <c r="H1311">
        <v>1.043699178453884E-169</v>
      </c>
      <c r="I1311">
        <v>3.2765045416477961E-169</v>
      </c>
      <c r="J1311">
        <v>0.31351298168912151</v>
      </c>
      <c r="K1311">
        <v>1.361031746844642E-162</v>
      </c>
      <c r="L1311">
        <v>4.5397572082252201E-162</v>
      </c>
      <c r="M1311">
        <v>0.2125112878459805</v>
      </c>
      <c r="N1311">
        <v>1.076054838924906E-159</v>
      </c>
      <c r="O1311">
        <v>3.5892092324666271E-159</v>
      </c>
      <c r="P1311">
        <v>0.1024156408735295</v>
      </c>
      <c r="Q1311">
        <v>0.78458868855098529</v>
      </c>
      <c r="R1311">
        <v>6.0492704891839306</v>
      </c>
      <c r="S1311">
        <v>0.26745612202023011</v>
      </c>
      <c r="T1311">
        <v>0.2060682633985462</v>
      </c>
      <c r="U1311">
        <v>4.4222873134892842</v>
      </c>
      <c r="V1311">
        <v>0.1151559613407446</v>
      </c>
      <c r="W1311">
        <v>9.5189470928701478</v>
      </c>
      <c r="X1311">
        <v>0.28232239159945832</v>
      </c>
      <c r="Z1311" t="s">
        <v>392</v>
      </c>
      <c r="AA1311">
        <v>140</v>
      </c>
      <c r="AB1311" t="s">
        <v>1702</v>
      </c>
      <c r="AC1311" t="str">
        <f>HYPERLINK("plots/20251231112652_3FT6Y119H04_05543_B21P_N_UFLEX98_M5358A8BA201511/dpll_52046/txpa_55216.png","plot")</f>
        <v>plot</v>
      </c>
    </row>
    <row r="1312" spans="1:29" x14ac:dyDescent="0.35">
      <c r="A1312" s="3" t="s">
        <v>47</v>
      </c>
      <c r="B1312">
        <v>52046</v>
      </c>
      <c r="C1312" t="s">
        <v>51</v>
      </c>
      <c r="D1312">
        <v>55217</v>
      </c>
      <c r="E1312" t="s">
        <v>350</v>
      </c>
      <c r="F1312">
        <v>7139</v>
      </c>
      <c r="G1312">
        <v>0.26875798040282362</v>
      </c>
      <c r="H1312">
        <v>2.2615441830755392E-118</v>
      </c>
      <c r="I1312">
        <v>4.2000106257117146E-118</v>
      </c>
      <c r="J1312">
        <v>0.2204173386776743</v>
      </c>
      <c r="K1312">
        <v>2.7926202036581707E-79</v>
      </c>
      <c r="L1312">
        <v>4.258220881969001E-79</v>
      </c>
      <c r="M1312">
        <v>0.14732323706543929</v>
      </c>
      <c r="N1312">
        <v>9.228338527307658E-78</v>
      </c>
      <c r="O1312">
        <v>1.4178083737409041E-77</v>
      </c>
      <c r="P1312">
        <v>7.223085203020449E-2</v>
      </c>
      <c r="Q1312">
        <v>0.72022830564596263</v>
      </c>
      <c r="R1312">
        <v>6.3003306891074873</v>
      </c>
      <c r="S1312">
        <v>0.29722462371967878</v>
      </c>
      <c r="T1312">
        <v>0.24419400122753901</v>
      </c>
      <c r="U1312">
        <v>4.4222873134892842</v>
      </c>
      <c r="V1312">
        <v>0.1151559613407446</v>
      </c>
      <c r="W1312">
        <v>9.4853871879815106</v>
      </c>
      <c r="X1312">
        <v>0.30859951692286602</v>
      </c>
      <c r="Z1312" t="s">
        <v>392</v>
      </c>
      <c r="AA1312">
        <v>140</v>
      </c>
      <c r="AB1312" t="s">
        <v>1703</v>
      </c>
      <c r="AC1312" t="str">
        <f>HYPERLINK("plots/20251231112652_3FT6Y119H04_05543_B21P_N_UFLEX98_M5358A8BA201511/dpll_52046/txpa_55217.png","plot")</f>
        <v>plot</v>
      </c>
    </row>
    <row r="1313" spans="1:29" x14ac:dyDescent="0.35">
      <c r="A1313" s="3" t="s">
        <v>47</v>
      </c>
      <c r="B1313">
        <v>52046</v>
      </c>
      <c r="C1313" t="s">
        <v>51</v>
      </c>
      <c r="D1313">
        <v>55218</v>
      </c>
      <c r="E1313" t="s">
        <v>351</v>
      </c>
      <c r="F1313">
        <v>7139</v>
      </c>
      <c r="G1313">
        <v>0.20845837203868439</v>
      </c>
      <c r="H1313">
        <v>6.3421037565593283E-71</v>
      </c>
      <c r="I1313">
        <v>8.1610319913085768E-71</v>
      </c>
      <c r="J1313">
        <v>0.20252837702836421</v>
      </c>
      <c r="K1313">
        <v>5.7318597300504752E-67</v>
      </c>
      <c r="L1313">
        <v>7.9946434199053391E-67</v>
      </c>
      <c r="M1313">
        <v>0.13618797491209639</v>
      </c>
      <c r="N1313">
        <v>1.01101550518336E-66</v>
      </c>
      <c r="O1313">
        <v>1.4218720142245869E-66</v>
      </c>
      <c r="P1313">
        <v>4.3454892873018583E-2</v>
      </c>
      <c r="Q1313">
        <v>0.69301515435969685</v>
      </c>
      <c r="R1313">
        <v>6.7533074061262006</v>
      </c>
      <c r="S1313">
        <v>0.37439679566262379</v>
      </c>
      <c r="T1313">
        <v>0.29729314544577679</v>
      </c>
      <c r="U1313">
        <v>4.4222873134892842</v>
      </c>
      <c r="V1313">
        <v>0.1151559613407446</v>
      </c>
      <c r="W1313">
        <v>9.8180195313069056</v>
      </c>
      <c r="X1313">
        <v>0.38283339519309728</v>
      </c>
      <c r="Z1313" t="s">
        <v>392</v>
      </c>
      <c r="AA1313">
        <v>140</v>
      </c>
      <c r="AB1313" t="s">
        <v>1704</v>
      </c>
      <c r="AC1313" t="str">
        <f>HYPERLINK("plots/20251231112652_3FT6Y119H04_05543_B21P_N_UFLEX98_M5358A8BA201511/dpll_52046/txpa_55218.png","plot")</f>
        <v>plot</v>
      </c>
    </row>
    <row r="1314" spans="1:29" x14ac:dyDescent="0.35">
      <c r="A1314" s="3" t="s">
        <v>47</v>
      </c>
      <c r="B1314">
        <v>52046</v>
      </c>
      <c r="C1314" t="s">
        <v>51</v>
      </c>
      <c r="D1314">
        <v>55219</v>
      </c>
      <c r="E1314" t="s">
        <v>352</v>
      </c>
      <c r="F1314">
        <v>7139</v>
      </c>
      <c r="G1314">
        <v>0.19927290600057621</v>
      </c>
      <c r="H1314">
        <v>7.5464988212725136E-65</v>
      </c>
      <c r="I1314">
        <v>9.4238298088304541E-65</v>
      </c>
      <c r="J1314">
        <v>0.1942477313151717</v>
      </c>
      <c r="K1314">
        <v>1.193749959486248E-61</v>
      </c>
      <c r="L1314">
        <v>1.5948121988393348E-61</v>
      </c>
      <c r="M1314">
        <v>0.13160984929557351</v>
      </c>
      <c r="N1314">
        <v>1.96660802358898E-62</v>
      </c>
      <c r="O1314">
        <v>2.6695321765986952E-62</v>
      </c>
      <c r="P1314">
        <v>3.9709691065914467E-2</v>
      </c>
      <c r="Q1314">
        <v>0.65520986434838713</v>
      </c>
      <c r="R1314">
        <v>7.7714405013160262</v>
      </c>
      <c r="S1314">
        <v>0.37101327758442099</v>
      </c>
      <c r="T1314">
        <v>0.30650307475947791</v>
      </c>
      <c r="U1314">
        <v>4.4222873134892842</v>
      </c>
      <c r="V1314">
        <v>0.1151559613407446</v>
      </c>
      <c r="W1314">
        <v>10.66896677209693</v>
      </c>
      <c r="X1314">
        <v>0.37863311838669739</v>
      </c>
      <c r="Z1314" t="s">
        <v>392</v>
      </c>
      <c r="AA1314">
        <v>140</v>
      </c>
      <c r="AB1314" t="s">
        <v>1705</v>
      </c>
      <c r="AC1314" t="str">
        <f>HYPERLINK("plots/20251231112652_3FT6Y119H04_05543_B21P_N_UFLEX98_M5358A8BA201511/dpll_52046/txpa_55219.png","plot")</f>
        <v>plot</v>
      </c>
    </row>
    <row r="1315" spans="1:29" x14ac:dyDescent="0.35">
      <c r="A1315" s="3" t="s">
        <v>47</v>
      </c>
      <c r="B1315">
        <v>52046</v>
      </c>
      <c r="C1315" t="s">
        <v>51</v>
      </c>
      <c r="D1315">
        <v>55220</v>
      </c>
      <c r="E1315" t="s">
        <v>353</v>
      </c>
      <c r="F1315">
        <v>7139</v>
      </c>
      <c r="G1315">
        <v>0.32311140158854629</v>
      </c>
      <c r="H1315">
        <v>3.8257300079124653E-173</v>
      </c>
      <c r="I1315">
        <v>1.267741904582758E-172</v>
      </c>
      <c r="J1315">
        <v>0.30025434410990581</v>
      </c>
      <c r="K1315">
        <v>1.1919148732592851E-148</v>
      </c>
      <c r="L1315">
        <v>3.3294812162118867E-148</v>
      </c>
      <c r="M1315">
        <v>0.2021064280527925</v>
      </c>
      <c r="N1315">
        <v>1.2393647195221039E-144</v>
      </c>
      <c r="O1315">
        <v>3.4430570564257891E-144</v>
      </c>
      <c r="P1315">
        <v>0.10440097783651479</v>
      </c>
      <c r="Q1315">
        <v>0.78114305342697909</v>
      </c>
      <c r="R1315">
        <v>6.8800902372258932</v>
      </c>
      <c r="S1315">
        <v>0.26344569327897771</v>
      </c>
      <c r="T1315">
        <v>0.2105249714613949</v>
      </c>
      <c r="U1315">
        <v>4.4222873134892842</v>
      </c>
      <c r="V1315">
        <v>0.1151559613407446</v>
      </c>
      <c r="W1315">
        <v>10.334529252416299</v>
      </c>
      <c r="X1315">
        <v>0.27839710644620308</v>
      </c>
      <c r="Z1315" t="s">
        <v>392</v>
      </c>
      <c r="AA1315">
        <v>140</v>
      </c>
      <c r="AB1315" t="s">
        <v>1706</v>
      </c>
      <c r="AC1315" t="str">
        <f>HYPERLINK("plots/20251231112652_3FT6Y119H04_05543_B21P_N_UFLEX98_M5358A8BA201511/dpll_52046/txpa_55220.png","plot")</f>
        <v>plot</v>
      </c>
    </row>
    <row r="1316" spans="1:29" x14ac:dyDescent="0.35">
      <c r="A1316" s="3" t="s">
        <v>47</v>
      </c>
      <c r="B1316">
        <v>52046</v>
      </c>
      <c r="C1316" t="s">
        <v>51</v>
      </c>
      <c r="D1316">
        <v>55221</v>
      </c>
      <c r="E1316" t="s">
        <v>354</v>
      </c>
      <c r="F1316">
        <v>7139</v>
      </c>
      <c r="G1316">
        <v>0.25780676093291022</v>
      </c>
      <c r="H1316">
        <v>9.4450814311401979E-109</v>
      </c>
      <c r="I1316">
        <v>1.6205266617895369E-108</v>
      </c>
      <c r="J1316">
        <v>0.22415541956540899</v>
      </c>
      <c r="K1316">
        <v>5.3624729840592301E-82</v>
      </c>
      <c r="L1316">
        <v>8.4762044165500566E-82</v>
      </c>
      <c r="M1316">
        <v>0.15119354478608141</v>
      </c>
      <c r="N1316">
        <v>8.4369445140100126E-82</v>
      </c>
      <c r="O1316">
        <v>1.3515105430025519E-81</v>
      </c>
      <c r="P1316">
        <v>6.6464325982718689E-2</v>
      </c>
      <c r="Q1316">
        <v>0.77106764857485477</v>
      </c>
      <c r="R1316">
        <v>7.150114981442659</v>
      </c>
      <c r="S1316">
        <v>0.33275121116128281</v>
      </c>
      <c r="T1316">
        <v>0.2827802397028174</v>
      </c>
      <c r="U1316">
        <v>4.4222873134892842</v>
      </c>
      <c r="V1316">
        <v>0.1151559613407446</v>
      </c>
      <c r="W1316">
        <v>10.559997661577251</v>
      </c>
      <c r="X1316">
        <v>0.34441701997680241</v>
      </c>
      <c r="Z1316" t="s">
        <v>392</v>
      </c>
      <c r="AA1316">
        <v>140</v>
      </c>
      <c r="AB1316" t="s">
        <v>1707</v>
      </c>
      <c r="AC1316" t="str">
        <f>HYPERLINK("plots/20251231112652_3FT6Y119H04_05543_B21P_N_UFLEX98_M5358A8BA201511/dpll_52046/txpa_55221.png","plot")</f>
        <v>plot</v>
      </c>
    </row>
    <row r="1317" spans="1:29" x14ac:dyDescent="0.35">
      <c r="A1317" s="3" t="s">
        <v>47</v>
      </c>
      <c r="B1317">
        <v>52046</v>
      </c>
      <c r="C1317" t="s">
        <v>51</v>
      </c>
      <c r="D1317">
        <v>55222</v>
      </c>
      <c r="E1317" t="s">
        <v>355</v>
      </c>
      <c r="F1317">
        <v>7139</v>
      </c>
      <c r="G1317">
        <v>0.31192870419983038</v>
      </c>
      <c r="H1317">
        <v>6.8889587871975289E-161</v>
      </c>
      <c r="I1317">
        <v>1.9403900583939709E-160</v>
      </c>
      <c r="J1317">
        <v>0.29869200433011722</v>
      </c>
      <c r="K1317">
        <v>4.6946030648557907E-147</v>
      </c>
      <c r="L1317">
        <v>1.2900616552205339E-146</v>
      </c>
      <c r="M1317">
        <v>0.20129419409951649</v>
      </c>
      <c r="N1317">
        <v>1.727167431947642E-143</v>
      </c>
      <c r="O1317">
        <v>4.7590972173774688E-143</v>
      </c>
      <c r="P1317">
        <v>9.729951650378528E-2</v>
      </c>
      <c r="Q1317">
        <v>0.80793621086369494</v>
      </c>
      <c r="R1317">
        <v>6.9397679106905734</v>
      </c>
      <c r="S1317">
        <v>0.28336719794231779</v>
      </c>
      <c r="T1317">
        <v>0.2198957436159186</v>
      </c>
      <c r="U1317">
        <v>4.4222873134892842</v>
      </c>
      <c r="V1317">
        <v>0.1151559613407446</v>
      </c>
      <c r="W1317">
        <v>10.5126939661017</v>
      </c>
      <c r="X1317">
        <v>0.29826902690046803</v>
      </c>
      <c r="Z1317" t="s">
        <v>392</v>
      </c>
      <c r="AA1317">
        <v>140</v>
      </c>
      <c r="AB1317" t="s">
        <v>1708</v>
      </c>
      <c r="AC1317" t="str">
        <f>HYPERLINK("plots/20251231112652_3FT6Y119H04_05543_B21P_N_UFLEX98_M5358A8BA201511/dpll_52046/txpa_55222.png","plot")</f>
        <v>plot</v>
      </c>
    </row>
    <row r="1318" spans="1:29" x14ac:dyDescent="0.35">
      <c r="A1318" s="3" t="s">
        <v>47</v>
      </c>
      <c r="B1318">
        <v>52046</v>
      </c>
      <c r="C1318" t="s">
        <v>51</v>
      </c>
      <c r="D1318">
        <v>55223</v>
      </c>
      <c r="E1318" t="s">
        <v>356</v>
      </c>
      <c r="F1318">
        <v>7139</v>
      </c>
      <c r="G1318">
        <v>0.248071919659336</v>
      </c>
      <c r="H1318">
        <v>1.3991423278048859E-100</v>
      </c>
      <c r="I1318">
        <v>2.2377449848488239E-100</v>
      </c>
      <c r="J1318">
        <v>0.2117676855300657</v>
      </c>
      <c r="K1318">
        <v>3.4727258918869917E-73</v>
      </c>
      <c r="L1318">
        <v>5.1256827574576573E-73</v>
      </c>
      <c r="M1318">
        <v>0.14115487566341581</v>
      </c>
      <c r="N1318">
        <v>1.538229213120529E-71</v>
      </c>
      <c r="O1318">
        <v>2.2605281479771248E-71</v>
      </c>
      <c r="P1318">
        <v>6.1539677323468038E-2</v>
      </c>
      <c r="Q1318">
        <v>0.79490472949342317</v>
      </c>
      <c r="R1318">
        <v>6.9548022758519226</v>
      </c>
      <c r="S1318">
        <v>0.3574385893769863</v>
      </c>
      <c r="T1318">
        <v>0.28765972091331038</v>
      </c>
      <c r="U1318">
        <v>4.4222873134892842</v>
      </c>
      <c r="V1318">
        <v>0.1151559613407446</v>
      </c>
      <c r="W1318">
        <v>10.47009937652332</v>
      </c>
      <c r="X1318">
        <v>0.36899790361127538</v>
      </c>
      <c r="Z1318" t="s">
        <v>392</v>
      </c>
      <c r="AA1318">
        <v>140</v>
      </c>
      <c r="AB1318" t="s">
        <v>1709</v>
      </c>
      <c r="AC1318" t="str">
        <f>HYPERLINK("plots/20251231112652_3FT6Y119H04_05543_B21P_N_UFLEX98_M5358A8BA201511/dpll_52046/txpa_55223.png","plot")</f>
        <v>plot</v>
      </c>
    </row>
    <row r="1319" spans="1:29" x14ac:dyDescent="0.35">
      <c r="A1319" s="3" t="s">
        <v>47</v>
      </c>
      <c r="B1319">
        <v>52046</v>
      </c>
      <c r="C1319" t="s">
        <v>51</v>
      </c>
      <c r="D1319">
        <v>55224</v>
      </c>
      <c r="E1319" t="s">
        <v>357</v>
      </c>
      <c r="F1319">
        <v>7139</v>
      </c>
      <c r="G1319">
        <v>0.33149071942087832</v>
      </c>
      <c r="H1319">
        <v>1.1240156862039811E-182</v>
      </c>
      <c r="I1319">
        <v>4.1902643595986649E-182</v>
      </c>
      <c r="J1319">
        <v>0.32184003303174741</v>
      </c>
      <c r="K1319">
        <v>1.006196738320904E-171</v>
      </c>
      <c r="L1319">
        <v>3.6833339085104572E-171</v>
      </c>
      <c r="M1319">
        <v>0.21890823330914511</v>
      </c>
      <c r="N1319">
        <v>2.5032311170405021E-169</v>
      </c>
      <c r="O1319">
        <v>9.263782309047695E-169</v>
      </c>
      <c r="P1319">
        <v>0.10988609706217151</v>
      </c>
      <c r="Q1319">
        <v>0.78661639068467049</v>
      </c>
      <c r="R1319">
        <v>6.9973288753350902</v>
      </c>
      <c r="S1319">
        <v>0.25779258158925622</v>
      </c>
      <c r="T1319">
        <v>0.19889768088857229</v>
      </c>
      <c r="U1319">
        <v>4.4222873134892842</v>
      </c>
      <c r="V1319">
        <v>0.1151559613407446</v>
      </c>
      <c r="W1319">
        <v>10.47597256044264</v>
      </c>
      <c r="X1319">
        <v>0.27326124494203491</v>
      </c>
      <c r="Z1319" t="s">
        <v>392</v>
      </c>
      <c r="AA1319">
        <v>140</v>
      </c>
      <c r="AB1319" t="s">
        <v>1710</v>
      </c>
      <c r="AC1319" t="str">
        <f>HYPERLINK("plots/20251231112652_3FT6Y119H04_05543_B21P_N_UFLEX98_M5358A8BA201511/dpll_52046/txpa_55224.png","plot")</f>
        <v>plot</v>
      </c>
    </row>
    <row r="1320" spans="1:29" x14ac:dyDescent="0.35">
      <c r="A1320" s="3" t="s">
        <v>47</v>
      </c>
      <c r="B1320">
        <v>52046</v>
      </c>
      <c r="C1320" t="s">
        <v>51</v>
      </c>
      <c r="D1320">
        <v>55225</v>
      </c>
      <c r="E1320" t="s">
        <v>358</v>
      </c>
      <c r="F1320">
        <v>7139</v>
      </c>
      <c r="G1320">
        <v>0.28120822804731038</v>
      </c>
      <c r="H1320">
        <v>7.1540643172734024E-130</v>
      </c>
      <c r="I1320">
        <v>1.471444466067998E-129</v>
      </c>
      <c r="J1320">
        <v>0.2317815884982927</v>
      </c>
      <c r="K1320">
        <v>1.0733819656812911E-87</v>
      </c>
      <c r="L1320">
        <v>1.802002174173559E-87</v>
      </c>
      <c r="M1320">
        <v>0.15493524637610639</v>
      </c>
      <c r="N1320">
        <v>8.3662094263778214E-86</v>
      </c>
      <c r="O1320">
        <v>1.3884347558669569E-85</v>
      </c>
      <c r="P1320">
        <v>7.9078067521508116E-2</v>
      </c>
      <c r="Q1320">
        <v>0.72562746196578198</v>
      </c>
      <c r="R1320">
        <v>7.2421520019347998</v>
      </c>
      <c r="S1320">
        <v>0.2851366881031368</v>
      </c>
      <c r="T1320">
        <v>0.2334887690185147</v>
      </c>
      <c r="U1320">
        <v>4.4222873134892842</v>
      </c>
      <c r="V1320">
        <v>0.1151559613407446</v>
      </c>
      <c r="W1320">
        <v>10.45108512130551</v>
      </c>
      <c r="X1320">
        <v>0.29714752138709127</v>
      </c>
      <c r="Z1320" t="s">
        <v>392</v>
      </c>
      <c r="AA1320">
        <v>140</v>
      </c>
      <c r="AB1320" t="s">
        <v>1711</v>
      </c>
      <c r="AC1320" t="str">
        <f>HYPERLINK("plots/20251231112652_3FT6Y119H04_05543_B21P_N_UFLEX98_M5358A8BA201511/dpll_52046/txpa_55225.png","plot")</f>
        <v>plot</v>
      </c>
    </row>
    <row r="1321" spans="1:29" x14ac:dyDescent="0.35">
      <c r="A1321" s="3" t="s">
        <v>47</v>
      </c>
      <c r="B1321">
        <v>52046</v>
      </c>
      <c r="C1321" t="s">
        <v>51</v>
      </c>
      <c r="D1321">
        <v>55226</v>
      </c>
      <c r="E1321" t="s">
        <v>359</v>
      </c>
      <c r="F1321">
        <v>7139</v>
      </c>
      <c r="G1321">
        <v>0.21990502002055221</v>
      </c>
      <c r="H1321">
        <v>6.5227905200134413E-79</v>
      </c>
      <c r="I1321">
        <v>8.8660986424847585E-79</v>
      </c>
      <c r="J1321">
        <v>0.2103639499468325</v>
      </c>
      <c r="K1321">
        <v>3.1966811770757701E-72</v>
      </c>
      <c r="L1321">
        <v>4.6706552068513412E-72</v>
      </c>
      <c r="M1321">
        <v>0.1415580771616845</v>
      </c>
      <c r="N1321">
        <v>6.1433042755058904E-72</v>
      </c>
      <c r="O1321">
        <v>9.0542304293066468E-72</v>
      </c>
      <c r="P1321">
        <v>4.8358217830239462E-2</v>
      </c>
      <c r="Q1321">
        <v>0.697797477865714</v>
      </c>
      <c r="R1321">
        <v>7.6761145485300659</v>
      </c>
      <c r="S1321">
        <v>0.35644047083732011</v>
      </c>
      <c r="T1321">
        <v>0.2838060657399708</v>
      </c>
      <c r="U1321">
        <v>4.4222873134892842</v>
      </c>
      <c r="V1321">
        <v>0.1151559613407446</v>
      </c>
      <c r="W1321">
        <v>10.76197548228043</v>
      </c>
      <c r="X1321">
        <v>0.36541020926790702</v>
      </c>
      <c r="Z1321" t="s">
        <v>392</v>
      </c>
      <c r="AA1321">
        <v>140</v>
      </c>
      <c r="AB1321" t="s">
        <v>1712</v>
      </c>
      <c r="AC1321" t="str">
        <f>HYPERLINK("plots/20251231112652_3FT6Y119H04_05543_B21P_N_UFLEX98_M5358A8BA201511/dpll_52046/txpa_55226.png","plot")</f>
        <v>plot</v>
      </c>
    </row>
    <row r="1322" spans="1:29" x14ac:dyDescent="0.35">
      <c r="A1322" s="3" t="s">
        <v>47</v>
      </c>
      <c r="B1322">
        <v>52046</v>
      </c>
      <c r="C1322" t="s">
        <v>51</v>
      </c>
      <c r="D1322">
        <v>55227</v>
      </c>
      <c r="E1322" t="s">
        <v>360</v>
      </c>
      <c r="F1322">
        <v>7139</v>
      </c>
      <c r="G1322">
        <v>0.20542883376888729</v>
      </c>
      <c r="H1322">
        <v>6.8984077515511773E-69</v>
      </c>
      <c r="I1322">
        <v>8.765645939940969E-69</v>
      </c>
      <c r="J1322">
        <v>0.19882573470778769</v>
      </c>
      <c r="K1322">
        <v>1.46549859942893E-64</v>
      </c>
      <c r="L1322">
        <v>2.010846522085162E-64</v>
      </c>
      <c r="M1322">
        <v>0.13484387111022611</v>
      </c>
      <c r="N1322">
        <v>1.9017021794609892E-65</v>
      </c>
      <c r="O1322">
        <v>2.6415424794156759E-65</v>
      </c>
      <c r="P1322">
        <v>4.2201005743645117E-2</v>
      </c>
      <c r="Q1322">
        <v>0.6590469056441548</v>
      </c>
      <c r="R1322">
        <v>8.2144423080575422</v>
      </c>
      <c r="S1322">
        <v>0.36153314491056682</v>
      </c>
      <c r="T1322">
        <v>0.29815944030551328</v>
      </c>
      <c r="U1322">
        <v>4.4222873134892842</v>
      </c>
      <c r="V1322">
        <v>0.1151559613407446</v>
      </c>
      <c r="W1322">
        <v>11.12893707788206</v>
      </c>
      <c r="X1322">
        <v>0.36943781744619869</v>
      </c>
      <c r="Z1322" t="s">
        <v>392</v>
      </c>
      <c r="AA1322">
        <v>140</v>
      </c>
      <c r="AB1322" t="s">
        <v>1713</v>
      </c>
      <c r="AC1322" t="str">
        <f>HYPERLINK("plots/20251231112652_3FT6Y119H04_05543_B21P_N_UFLEX98_M5358A8BA201511/dpll_52046/txpa_55227.png","plot")</f>
        <v>plot</v>
      </c>
    </row>
    <row r="1323" spans="1:29" x14ac:dyDescent="0.35">
      <c r="A1323" s="3" t="s">
        <v>47</v>
      </c>
      <c r="B1323">
        <v>52046</v>
      </c>
      <c r="C1323" t="s">
        <v>51</v>
      </c>
      <c r="D1323">
        <v>55228</v>
      </c>
      <c r="E1323" t="s">
        <v>361</v>
      </c>
      <c r="F1323">
        <v>7139</v>
      </c>
      <c r="G1323">
        <v>0.32731303532659661</v>
      </c>
      <c r="H1323">
        <v>6.932104057890485E-178</v>
      </c>
      <c r="I1323">
        <v>2.4155166717185402E-177</v>
      </c>
      <c r="J1323">
        <v>0.30547474685535281</v>
      </c>
      <c r="K1323">
        <v>4.7117510539095312E-154</v>
      </c>
      <c r="L1323">
        <v>1.4052104613718429E-153</v>
      </c>
      <c r="M1323">
        <v>0.20579672785090619</v>
      </c>
      <c r="N1323">
        <v>6.8824885243017416E-150</v>
      </c>
      <c r="O1323">
        <v>2.028733535942432E-149</v>
      </c>
      <c r="P1323">
        <v>0.1071338230947099</v>
      </c>
      <c r="Q1323">
        <v>0.78250244436157557</v>
      </c>
      <c r="R1323">
        <v>7.3494988652142021</v>
      </c>
      <c r="S1323">
        <v>0.26011871096320238</v>
      </c>
      <c r="T1323">
        <v>0.2071131809391884</v>
      </c>
      <c r="U1323">
        <v>4.4222873134892842</v>
      </c>
      <c r="V1323">
        <v>0.1151559613407446</v>
      </c>
      <c r="W1323">
        <v>10.80994949768875</v>
      </c>
      <c r="X1323">
        <v>0.27530165776021459</v>
      </c>
      <c r="Z1323" t="s">
        <v>392</v>
      </c>
      <c r="AA1323">
        <v>140</v>
      </c>
      <c r="AB1323" t="s">
        <v>1714</v>
      </c>
      <c r="AC1323" t="str">
        <f>HYPERLINK("plots/20251231112652_3FT6Y119H04_05543_B21P_N_UFLEX98_M5358A8BA201511/dpll_52046/txpa_55228.png","plot")</f>
        <v>plot</v>
      </c>
    </row>
    <row r="1324" spans="1:29" x14ac:dyDescent="0.35">
      <c r="A1324" s="3" t="s">
        <v>47</v>
      </c>
      <c r="B1324">
        <v>52046</v>
      </c>
      <c r="C1324" t="s">
        <v>51</v>
      </c>
      <c r="D1324">
        <v>55229</v>
      </c>
      <c r="E1324" t="s">
        <v>362</v>
      </c>
      <c r="F1324">
        <v>7139</v>
      </c>
      <c r="G1324">
        <v>0.26428743848712871</v>
      </c>
      <c r="H1324">
        <v>2.1737638457522921E-114</v>
      </c>
      <c r="I1324">
        <v>3.9643822654547187E-114</v>
      </c>
      <c r="J1324">
        <v>0.22907924729815529</v>
      </c>
      <c r="K1324">
        <v>1.1861995065173921E-85</v>
      </c>
      <c r="L1324">
        <v>1.949442949122587E-85</v>
      </c>
      <c r="M1324">
        <v>0.154516936297521</v>
      </c>
      <c r="N1324">
        <v>2.370752852617126E-85</v>
      </c>
      <c r="O1324">
        <v>3.9152172517162312E-85</v>
      </c>
      <c r="P1324">
        <v>6.9847850142087817E-2</v>
      </c>
      <c r="Q1324">
        <v>0.77166620214350756</v>
      </c>
      <c r="R1324">
        <v>7.6103460931368376</v>
      </c>
      <c r="S1324">
        <v>0.32425446170778172</v>
      </c>
      <c r="T1324">
        <v>0.27420387194644891</v>
      </c>
      <c r="U1324">
        <v>4.4222873134892842</v>
      </c>
      <c r="V1324">
        <v>0.1151559613407446</v>
      </c>
      <c r="W1324">
        <v>11.02287574912453</v>
      </c>
      <c r="X1324">
        <v>0.33623226230755859</v>
      </c>
      <c r="Z1324" t="s">
        <v>392</v>
      </c>
      <c r="AA1324">
        <v>140</v>
      </c>
      <c r="AB1324" t="s">
        <v>1715</v>
      </c>
      <c r="AC1324" t="str">
        <f>HYPERLINK("plots/20251231112652_3FT6Y119H04_05543_B21P_N_UFLEX98_M5358A8BA201511/dpll_52046/txpa_55229.png","plot")</f>
        <v>plot</v>
      </c>
    </row>
    <row r="1325" spans="1:29" x14ac:dyDescent="0.35">
      <c r="A1325" s="3" t="s">
        <v>47</v>
      </c>
      <c r="B1325">
        <v>52046</v>
      </c>
      <c r="C1325" t="s">
        <v>51</v>
      </c>
      <c r="D1325">
        <v>55230</v>
      </c>
      <c r="E1325" t="s">
        <v>363</v>
      </c>
      <c r="F1325">
        <v>7139</v>
      </c>
      <c r="G1325">
        <v>0.31738771670043431</v>
      </c>
      <c r="H1325">
        <v>8.3430348517623579E-167</v>
      </c>
      <c r="I1325">
        <v>2.5103374895213739E-166</v>
      </c>
      <c r="J1325">
        <v>0.30338832726225279</v>
      </c>
      <c r="K1325">
        <v>7.0146317852474931E-152</v>
      </c>
      <c r="L1325">
        <v>2.0264491824048309E-151</v>
      </c>
      <c r="M1325">
        <v>0.20477028038260661</v>
      </c>
      <c r="N1325">
        <v>2.0377558467963389E-148</v>
      </c>
      <c r="O1325">
        <v>5.9036697961471079E-148</v>
      </c>
      <c r="P1325">
        <v>0.10073496271231509</v>
      </c>
      <c r="Q1325">
        <v>0.80845147342569368</v>
      </c>
      <c r="R1325">
        <v>7.4046940697505308</v>
      </c>
      <c r="S1325">
        <v>0.2781401613855784</v>
      </c>
      <c r="T1325">
        <v>0.21571628877524959</v>
      </c>
      <c r="U1325">
        <v>4.4222873134892842</v>
      </c>
      <c r="V1325">
        <v>0.1151559613407446</v>
      </c>
      <c r="W1325">
        <v>10.979898764252701</v>
      </c>
      <c r="X1325">
        <v>0.29332580223180971</v>
      </c>
      <c r="Z1325" t="s">
        <v>392</v>
      </c>
      <c r="AA1325">
        <v>140</v>
      </c>
      <c r="AB1325" t="s">
        <v>1716</v>
      </c>
      <c r="AC1325" t="str">
        <f>HYPERLINK("plots/20251231112652_3FT6Y119H04_05543_B21P_N_UFLEX98_M5358A8BA201511/dpll_52046/txpa_55230.png","plot")</f>
        <v>plot</v>
      </c>
    </row>
    <row r="1326" spans="1:29" x14ac:dyDescent="0.35">
      <c r="A1326" s="3" t="s">
        <v>47</v>
      </c>
      <c r="B1326">
        <v>52046</v>
      </c>
      <c r="C1326" t="s">
        <v>51</v>
      </c>
      <c r="D1326">
        <v>55231</v>
      </c>
      <c r="E1326" t="s">
        <v>364</v>
      </c>
      <c r="F1326">
        <v>7139</v>
      </c>
      <c r="G1326">
        <v>0.25484433465046152</v>
      </c>
      <c r="H1326">
        <v>3.1576389148598801E-106</v>
      </c>
      <c r="I1326">
        <v>5.2748696205402274E-106</v>
      </c>
      <c r="J1326">
        <v>0.21782758283957879</v>
      </c>
      <c r="K1326">
        <v>1.9895306232468138E-77</v>
      </c>
      <c r="L1326">
        <v>3.0155217518270101E-77</v>
      </c>
      <c r="M1326">
        <v>0.14523395743286269</v>
      </c>
      <c r="N1326">
        <v>1.265063708112345E-75</v>
      </c>
      <c r="O1326">
        <v>1.9060543833966101E-75</v>
      </c>
      <c r="P1326">
        <v>6.4945634903436397E-2</v>
      </c>
      <c r="Q1326">
        <v>0.79581545088705496</v>
      </c>
      <c r="R1326">
        <v>7.4191503623881747</v>
      </c>
      <c r="S1326">
        <v>0.34770570820212532</v>
      </c>
      <c r="T1326">
        <v>0.27977693428857198</v>
      </c>
      <c r="U1326">
        <v>4.4222873134892842</v>
      </c>
      <c r="V1326">
        <v>0.1151559613407446</v>
      </c>
      <c r="W1326">
        <v>10.93847493472475</v>
      </c>
      <c r="X1326">
        <v>0.35960341603203472</v>
      </c>
      <c r="Z1326" t="s">
        <v>392</v>
      </c>
      <c r="AA1326">
        <v>140</v>
      </c>
      <c r="AB1326" t="s">
        <v>1717</v>
      </c>
      <c r="AC1326" t="str">
        <f>HYPERLINK("plots/20251231112652_3FT6Y119H04_05543_B21P_N_UFLEX98_M5358A8BA201511/dpll_52046/txpa_55231.png","plot")</f>
        <v>plot</v>
      </c>
    </row>
    <row r="1327" spans="1:29" x14ac:dyDescent="0.35">
      <c r="A1327" s="3" t="s">
        <v>47</v>
      </c>
      <c r="B1327">
        <v>52046</v>
      </c>
      <c r="C1327" t="s">
        <v>51</v>
      </c>
      <c r="D1327">
        <v>55232</v>
      </c>
      <c r="E1327" t="s">
        <v>365</v>
      </c>
      <c r="F1327">
        <v>7139</v>
      </c>
      <c r="G1327">
        <v>0.3370760374243566</v>
      </c>
      <c r="H1327">
        <v>3.3752438596489698E-189</v>
      </c>
      <c r="I1327">
        <v>1.4380240645731321E-188</v>
      </c>
      <c r="J1327">
        <v>0.32568591825682458</v>
      </c>
      <c r="K1327">
        <v>4.854635628148644E-176</v>
      </c>
      <c r="L1327">
        <v>1.8646214117207289E-175</v>
      </c>
      <c r="M1327">
        <v>0.2219374745543238</v>
      </c>
      <c r="N1327">
        <v>5.4572359591274851E-174</v>
      </c>
      <c r="O1327">
        <v>2.1120752910516299E-173</v>
      </c>
      <c r="P1327">
        <v>0.1136202550057063</v>
      </c>
      <c r="Q1327">
        <v>0.7868860329396048</v>
      </c>
      <c r="R1327">
        <v>7.4612507839777606</v>
      </c>
      <c r="S1327">
        <v>0.25307536659134228</v>
      </c>
      <c r="T1327">
        <v>0.19522813875828821</v>
      </c>
      <c r="U1327">
        <v>4.4222873134892842</v>
      </c>
      <c r="V1327">
        <v>0.1151559613407446</v>
      </c>
      <c r="W1327">
        <v>10.94108690460849</v>
      </c>
      <c r="X1327">
        <v>0.26882545042704148</v>
      </c>
      <c r="Z1327" t="s">
        <v>392</v>
      </c>
      <c r="AA1327">
        <v>140</v>
      </c>
      <c r="AB1327" t="s">
        <v>1718</v>
      </c>
      <c r="AC1327" t="str">
        <f>HYPERLINK("plots/20251231112652_3FT6Y119H04_05543_B21P_N_UFLEX98_M5358A8BA201511/dpll_52046/txpa_55232.png","plot")</f>
        <v>plot</v>
      </c>
    </row>
    <row r="1328" spans="1:29" x14ac:dyDescent="0.35">
      <c r="A1328" s="3" t="s">
        <v>47</v>
      </c>
      <c r="B1328">
        <v>52046</v>
      </c>
      <c r="C1328" t="s">
        <v>51</v>
      </c>
      <c r="D1328">
        <v>55233</v>
      </c>
      <c r="E1328" t="s">
        <v>366</v>
      </c>
      <c r="F1328">
        <v>7139</v>
      </c>
      <c r="G1328">
        <v>0.2873662731935076</v>
      </c>
      <c r="H1328">
        <v>8.7447720792351787E-136</v>
      </c>
      <c r="I1328">
        <v>1.8866380613498869E-135</v>
      </c>
      <c r="J1328">
        <v>0.23748479136562109</v>
      </c>
      <c r="K1328">
        <v>4.2742004667855732E-92</v>
      </c>
      <c r="L1328">
        <v>7.4596200917737891E-92</v>
      </c>
      <c r="M1328">
        <v>0.1587112503450826</v>
      </c>
      <c r="N1328">
        <v>6.0708012836574931E-90</v>
      </c>
      <c r="O1328">
        <v>1.055882075751063E-89</v>
      </c>
      <c r="P1328">
        <v>8.2579374969125652E-2</v>
      </c>
      <c r="Q1328">
        <v>0.72774080598547464</v>
      </c>
      <c r="R1328">
        <v>7.7035948190885399</v>
      </c>
      <c r="S1328">
        <v>0.27930659315369982</v>
      </c>
      <c r="T1328">
        <v>0.228144654492584</v>
      </c>
      <c r="U1328">
        <v>4.4222873134892842</v>
      </c>
      <c r="V1328">
        <v>0.1151559613407446</v>
      </c>
      <c r="W1328">
        <v>10.921873752906571</v>
      </c>
      <c r="X1328">
        <v>0.29162674933572907</v>
      </c>
      <c r="Z1328" t="s">
        <v>392</v>
      </c>
      <c r="AA1328">
        <v>140</v>
      </c>
      <c r="AB1328" t="s">
        <v>1719</v>
      </c>
      <c r="AC1328" t="str">
        <f>HYPERLINK("plots/20251231112652_3FT6Y119H04_05543_B21P_N_UFLEX98_M5358A8BA201511/dpll_52046/txpa_55233.png","plot")</f>
        <v>plot</v>
      </c>
    </row>
    <row r="1329" spans="1:29" x14ac:dyDescent="0.35">
      <c r="A1329" s="3" t="s">
        <v>47</v>
      </c>
      <c r="B1329">
        <v>52046</v>
      </c>
      <c r="C1329" t="s">
        <v>51</v>
      </c>
      <c r="D1329">
        <v>55234</v>
      </c>
      <c r="E1329" t="s">
        <v>367</v>
      </c>
      <c r="F1329">
        <v>7139</v>
      </c>
      <c r="G1329">
        <v>0.22620457899691351</v>
      </c>
      <c r="H1329">
        <v>1.6550413547821279E-83</v>
      </c>
      <c r="I1329">
        <v>2.3179722841838099E-83</v>
      </c>
      <c r="J1329">
        <v>0.21391127046539291</v>
      </c>
      <c r="K1329">
        <v>1.1352159090977911E-74</v>
      </c>
      <c r="L1329">
        <v>1.6903214857931871E-74</v>
      </c>
      <c r="M1329">
        <v>0.1439740542949868</v>
      </c>
      <c r="N1329">
        <v>2.3781347781257859E-74</v>
      </c>
      <c r="O1329">
        <v>3.5410112555353107E-74</v>
      </c>
      <c r="P1329">
        <v>5.1168511559170883E-2</v>
      </c>
      <c r="Q1329">
        <v>0.70090927658041935</v>
      </c>
      <c r="R1329">
        <v>8.1200519066900068</v>
      </c>
      <c r="S1329">
        <v>0.34754493731123243</v>
      </c>
      <c r="T1329">
        <v>0.27732028924223079</v>
      </c>
      <c r="U1329">
        <v>4.4222873134892842</v>
      </c>
      <c r="V1329">
        <v>0.1151559613407446</v>
      </c>
      <c r="W1329">
        <v>11.21967410841855</v>
      </c>
      <c r="X1329">
        <v>0.35681807112474651</v>
      </c>
      <c r="Z1329" t="s">
        <v>392</v>
      </c>
      <c r="AA1329">
        <v>140</v>
      </c>
      <c r="AB1329" t="s">
        <v>1720</v>
      </c>
      <c r="AC1329" t="str">
        <f>HYPERLINK("plots/20251231112652_3FT6Y119H04_05543_B21P_N_UFLEX98_M5358A8BA201511/dpll_52046/txpa_55234.png","plot")</f>
        <v>plot</v>
      </c>
    </row>
    <row r="1330" spans="1:29" x14ac:dyDescent="0.35">
      <c r="A1330" s="3" t="s">
        <v>47</v>
      </c>
      <c r="B1330">
        <v>52046</v>
      </c>
      <c r="C1330" t="s">
        <v>51</v>
      </c>
      <c r="D1330">
        <v>55235</v>
      </c>
      <c r="E1330" t="s">
        <v>368</v>
      </c>
      <c r="F1330">
        <v>7139</v>
      </c>
      <c r="G1330">
        <v>0.21173240761998599</v>
      </c>
      <c r="H1330">
        <v>3.6726821911995252E-73</v>
      </c>
      <c r="I1330">
        <v>4.7990976055107193E-73</v>
      </c>
      <c r="J1330">
        <v>0.2036784276847606</v>
      </c>
      <c r="K1330">
        <v>1.0016349704194209E-67</v>
      </c>
      <c r="L1330">
        <v>1.410635916674018E-67</v>
      </c>
      <c r="M1330">
        <v>0.13829965146370629</v>
      </c>
      <c r="N1330">
        <v>9.4959067467420494E-69</v>
      </c>
      <c r="O1330">
        <v>1.3466922295379631E-68</v>
      </c>
      <c r="P1330">
        <v>4.4830612436555888E-2</v>
      </c>
      <c r="Q1330">
        <v>0.66349996765989594</v>
      </c>
      <c r="R1330">
        <v>8.6308249842529108</v>
      </c>
      <c r="S1330">
        <v>0.35265477917557092</v>
      </c>
      <c r="T1330">
        <v>0.29041160750362682</v>
      </c>
      <c r="U1330">
        <v>4.4222873134892842</v>
      </c>
      <c r="V1330">
        <v>0.1151559613407446</v>
      </c>
      <c r="W1330">
        <v>11.56501247373582</v>
      </c>
      <c r="X1330">
        <v>0.36086103910252848</v>
      </c>
      <c r="Z1330" t="s">
        <v>392</v>
      </c>
      <c r="AA1330">
        <v>140</v>
      </c>
      <c r="AB1330" t="s">
        <v>1721</v>
      </c>
      <c r="AC1330" t="str">
        <f>HYPERLINK("plots/20251231112652_3FT6Y119H04_05543_B21P_N_UFLEX98_M5358A8BA201511/dpll_52046/txpa_55235.png","plot")</f>
        <v>plot</v>
      </c>
    </row>
    <row r="1331" spans="1:29" x14ac:dyDescent="0.35">
      <c r="A1331" s="3" t="s">
        <v>47</v>
      </c>
      <c r="B1331">
        <v>52046</v>
      </c>
      <c r="C1331" t="s">
        <v>51</v>
      </c>
      <c r="D1331">
        <v>55236</v>
      </c>
      <c r="E1331" t="s">
        <v>369</v>
      </c>
      <c r="F1331">
        <v>7139</v>
      </c>
      <c r="G1331">
        <v>0.330717886213309</v>
      </c>
      <c r="H1331">
        <v>8.7616010743794328E-182</v>
      </c>
      <c r="I1331">
        <v>3.218936046891574E-181</v>
      </c>
      <c r="J1331">
        <v>0.31049634315646318</v>
      </c>
      <c r="K1331">
        <v>2.3442618234424191E-159</v>
      </c>
      <c r="L1331">
        <v>7.405238283397549E-159</v>
      </c>
      <c r="M1331">
        <v>0.20939622250159709</v>
      </c>
      <c r="N1331">
        <v>4.1720714965781874E-155</v>
      </c>
      <c r="O1331">
        <v>1.313813819108783E-154</v>
      </c>
      <c r="P1331">
        <v>0.1093743202613992</v>
      </c>
      <c r="Q1331">
        <v>0.78185864539934935</v>
      </c>
      <c r="R1331">
        <v>7.8094920331334201</v>
      </c>
      <c r="S1331">
        <v>0.25690595540980521</v>
      </c>
      <c r="T1331">
        <v>0.20362007240921309</v>
      </c>
      <c r="U1331">
        <v>4.4222873134892842</v>
      </c>
      <c r="V1331">
        <v>0.1151559613407446</v>
      </c>
      <c r="W1331">
        <v>11.267095601624881</v>
      </c>
      <c r="X1331">
        <v>0.27224316463326242</v>
      </c>
      <c r="Z1331" t="s">
        <v>392</v>
      </c>
      <c r="AA1331">
        <v>140</v>
      </c>
      <c r="AB1331" t="s">
        <v>1722</v>
      </c>
      <c r="AC1331" t="str">
        <f>HYPERLINK("plots/20251231112652_3FT6Y119H04_05543_B21P_N_UFLEX98_M5358A8BA201511/dpll_52046/txpa_55236.png","plot")</f>
        <v>plot</v>
      </c>
    </row>
    <row r="1332" spans="1:29" x14ac:dyDescent="0.35">
      <c r="A1332" s="3" t="s">
        <v>47</v>
      </c>
      <c r="B1332">
        <v>52046</v>
      </c>
      <c r="C1332" t="s">
        <v>51</v>
      </c>
      <c r="D1332">
        <v>55237</v>
      </c>
      <c r="E1332" t="s">
        <v>370</v>
      </c>
      <c r="F1332">
        <v>7139</v>
      </c>
      <c r="G1332">
        <v>0.27092245921959179</v>
      </c>
      <c r="H1332">
        <v>2.5027818483962299E-120</v>
      </c>
      <c r="I1332">
        <v>4.7347402878242122E-120</v>
      </c>
      <c r="J1332">
        <v>0.23435273310923441</v>
      </c>
      <c r="K1332">
        <v>1.153145784587587E-89</v>
      </c>
      <c r="L1332">
        <v>1.9718209537467342E-89</v>
      </c>
      <c r="M1332">
        <v>0.1580600480779186</v>
      </c>
      <c r="N1332">
        <v>3.1930847039734987E-89</v>
      </c>
      <c r="O1332">
        <v>5.5158226402540517E-89</v>
      </c>
      <c r="P1332">
        <v>7.3398978909591406E-2</v>
      </c>
      <c r="Q1332">
        <v>0.77109583943154858</v>
      </c>
      <c r="R1332">
        <v>8.0554907607763404</v>
      </c>
      <c r="S1332">
        <v>0.3154755774677066</v>
      </c>
      <c r="T1332">
        <v>0.2650259319271161</v>
      </c>
      <c r="U1332">
        <v>4.4222873134892842</v>
      </c>
      <c r="V1332">
        <v>0.1151559613407446</v>
      </c>
      <c r="W1332">
        <v>11.465498108978849</v>
      </c>
      <c r="X1332">
        <v>0.32775533978013988</v>
      </c>
      <c r="Z1332" t="s">
        <v>392</v>
      </c>
      <c r="AA1332">
        <v>140</v>
      </c>
      <c r="AB1332" t="s">
        <v>1723</v>
      </c>
      <c r="AC1332" t="str">
        <f>HYPERLINK("plots/20251231112652_3FT6Y119H04_05543_B21P_N_UFLEX98_M5358A8BA201511/dpll_52046/txpa_55237.png","plot")</f>
        <v>plot</v>
      </c>
    </row>
    <row r="1333" spans="1:29" x14ac:dyDescent="0.35">
      <c r="A1333" s="3" t="s">
        <v>47</v>
      </c>
      <c r="B1333">
        <v>52046</v>
      </c>
      <c r="C1333" t="s">
        <v>51</v>
      </c>
      <c r="D1333">
        <v>55238</v>
      </c>
      <c r="E1333" t="s">
        <v>371</v>
      </c>
      <c r="F1333">
        <v>7139</v>
      </c>
      <c r="G1333">
        <v>0.32297264714726093</v>
      </c>
      <c r="H1333">
        <v>5.4704285946782957E-173</v>
      </c>
      <c r="I1333">
        <v>1.8068451449523751E-172</v>
      </c>
      <c r="J1333">
        <v>0.3085600938170957</v>
      </c>
      <c r="K1333">
        <v>2.6741873372083931E-157</v>
      </c>
      <c r="L1333">
        <v>8.3692159257077477E-157</v>
      </c>
      <c r="M1333">
        <v>0.2086753948652352</v>
      </c>
      <c r="N1333">
        <v>4.7012504340149111E-154</v>
      </c>
      <c r="O1333">
        <v>1.471317265460222E-153</v>
      </c>
      <c r="P1333">
        <v>0.1043113308053091</v>
      </c>
      <c r="Q1333">
        <v>0.8082656786920791</v>
      </c>
      <c r="R1333">
        <v>7.8529779349267503</v>
      </c>
      <c r="S1333">
        <v>0.27272373807399752</v>
      </c>
      <c r="T1333">
        <v>0.21130879538526351</v>
      </c>
      <c r="U1333">
        <v>4.4222873134892842</v>
      </c>
      <c r="V1333">
        <v>0.1151559613407446</v>
      </c>
      <c r="W1333">
        <v>11.42736099173554</v>
      </c>
      <c r="X1333">
        <v>0.28818728790391052</v>
      </c>
      <c r="Z1333" t="s">
        <v>392</v>
      </c>
      <c r="AA1333">
        <v>140</v>
      </c>
      <c r="AB1333" t="s">
        <v>1724</v>
      </c>
      <c r="AC1333" t="str">
        <f>HYPERLINK("plots/20251231112652_3FT6Y119H04_05543_B21P_N_UFLEX98_M5358A8BA201511/dpll_52046/txpa_55238.png","plot")</f>
        <v>plot</v>
      </c>
    </row>
    <row r="1334" spans="1:29" x14ac:dyDescent="0.35">
      <c r="A1334" s="3" t="s">
        <v>47</v>
      </c>
      <c r="B1334">
        <v>52046</v>
      </c>
      <c r="C1334" t="s">
        <v>51</v>
      </c>
      <c r="D1334">
        <v>55239</v>
      </c>
      <c r="E1334" t="s">
        <v>372</v>
      </c>
      <c r="F1334">
        <v>7139</v>
      </c>
      <c r="G1334">
        <v>0.26215263195510152</v>
      </c>
      <c r="H1334">
        <v>1.62966136419555E-112</v>
      </c>
      <c r="I1334">
        <v>2.894004594210662E-112</v>
      </c>
      <c r="J1334">
        <v>0.2245581020692016</v>
      </c>
      <c r="K1334">
        <v>2.7146821507263699E-82</v>
      </c>
      <c r="L1334">
        <v>4.3349412611599051E-82</v>
      </c>
      <c r="M1334">
        <v>0.14978480010984691</v>
      </c>
      <c r="N1334">
        <v>2.5605357288424231E-80</v>
      </c>
      <c r="O1334">
        <v>4.0316509767798387E-80</v>
      </c>
      <c r="P1334">
        <v>6.872400244098692E-2</v>
      </c>
      <c r="Q1334">
        <v>0.79588759493373817</v>
      </c>
      <c r="R1334">
        <v>7.8675900209239096</v>
      </c>
      <c r="S1334">
        <v>0.33735932905614319</v>
      </c>
      <c r="T1334">
        <v>0.27140062679989913</v>
      </c>
      <c r="U1334">
        <v>4.4222873134892842</v>
      </c>
      <c r="V1334">
        <v>0.1151559613407446</v>
      </c>
      <c r="W1334">
        <v>11.387233634962881</v>
      </c>
      <c r="X1334">
        <v>0.3496100742160953</v>
      </c>
      <c r="Z1334" t="s">
        <v>392</v>
      </c>
      <c r="AA1334">
        <v>140</v>
      </c>
      <c r="AB1334" t="s">
        <v>1725</v>
      </c>
      <c r="AC1334" t="str">
        <f>HYPERLINK("plots/20251231112652_3FT6Y119H04_05543_B21P_N_UFLEX98_M5358A8BA201511/dpll_52046/txpa_55239.png","plot")</f>
        <v>plot</v>
      </c>
    </row>
    <row r="1335" spans="1:29" x14ac:dyDescent="0.35">
      <c r="A1335" s="3" t="s">
        <v>47</v>
      </c>
      <c r="B1335">
        <v>52046</v>
      </c>
      <c r="C1335" t="s">
        <v>51</v>
      </c>
      <c r="D1335">
        <v>55240</v>
      </c>
      <c r="E1335" t="s">
        <v>373</v>
      </c>
      <c r="F1335">
        <v>7139</v>
      </c>
      <c r="G1335">
        <v>0.34257064931503922</v>
      </c>
      <c r="H1335">
        <v>9.5093252644292941E-196</v>
      </c>
      <c r="I1335">
        <v>4.5698842739958784E-195</v>
      </c>
      <c r="J1335">
        <v>0.32969112408297951</v>
      </c>
      <c r="K1335">
        <v>1.3286643378462171E-180</v>
      </c>
      <c r="L1335">
        <v>5.2833946610826038E-180</v>
      </c>
      <c r="M1335">
        <v>0.2251800118247424</v>
      </c>
      <c r="N1335">
        <v>4.7512852799558437E-179</v>
      </c>
      <c r="O1335">
        <v>1.9348607525603319E-178</v>
      </c>
      <c r="P1335">
        <v>0.11735464977212751</v>
      </c>
      <c r="Q1335">
        <v>0.78626233785197475</v>
      </c>
      <c r="R1335">
        <v>7.9089374297542019</v>
      </c>
      <c r="S1335">
        <v>0.2482941271664767</v>
      </c>
      <c r="T1335">
        <v>0.19143379803376459</v>
      </c>
      <c r="U1335">
        <v>4.4222873134892842</v>
      </c>
      <c r="V1335">
        <v>0.1151559613407446</v>
      </c>
      <c r="W1335">
        <v>11.386015391511419</v>
      </c>
      <c r="X1335">
        <v>0.26430400725340403</v>
      </c>
      <c r="Z1335" t="s">
        <v>392</v>
      </c>
      <c r="AA1335">
        <v>140</v>
      </c>
      <c r="AB1335" t="s">
        <v>1726</v>
      </c>
      <c r="AC1335" t="str">
        <f>HYPERLINK("plots/20251231112652_3FT6Y119H04_05543_B21P_N_UFLEX98_M5358A8BA201511/dpll_52046/txpa_55240.png","plot")</f>
        <v>plot</v>
      </c>
    </row>
    <row r="1336" spans="1:29" x14ac:dyDescent="0.35">
      <c r="A1336" s="3" t="s">
        <v>47</v>
      </c>
      <c r="B1336">
        <v>52046</v>
      </c>
      <c r="C1336" t="s">
        <v>51</v>
      </c>
      <c r="D1336">
        <v>55241</v>
      </c>
      <c r="E1336" t="s">
        <v>374</v>
      </c>
      <c r="F1336">
        <v>7139</v>
      </c>
      <c r="G1336">
        <v>0.29317346880740569</v>
      </c>
      <c r="H1336">
        <v>1.6885631327497509E-141</v>
      </c>
      <c r="I1336">
        <v>3.882546522921197E-141</v>
      </c>
      <c r="J1336">
        <v>0.2433160775105952</v>
      </c>
      <c r="K1336">
        <v>1.020260148934965E-96</v>
      </c>
      <c r="L1336">
        <v>1.8540211308603119E-96</v>
      </c>
      <c r="M1336">
        <v>0.16257611325987281</v>
      </c>
      <c r="N1336">
        <v>2.7802092835804921E-94</v>
      </c>
      <c r="O1336">
        <v>5.0251911114984279E-94</v>
      </c>
      <c r="P1336">
        <v>8.5950682812566903E-2</v>
      </c>
      <c r="Q1336">
        <v>0.7283774521669476</v>
      </c>
      <c r="R1336">
        <v>8.1525540664040381</v>
      </c>
      <c r="S1336">
        <v>0.27350964634514768</v>
      </c>
      <c r="T1336">
        <v>0.2227769819893182</v>
      </c>
      <c r="U1336">
        <v>4.4222873134892842</v>
      </c>
      <c r="V1336">
        <v>0.1151559613407446</v>
      </c>
      <c r="W1336">
        <v>11.37364843255358</v>
      </c>
      <c r="X1336">
        <v>0.28610026024663349</v>
      </c>
      <c r="Z1336" t="s">
        <v>392</v>
      </c>
      <c r="AA1336">
        <v>140</v>
      </c>
      <c r="AB1336" t="s">
        <v>1727</v>
      </c>
      <c r="AC1336" t="str">
        <f>HYPERLINK("plots/20251231112652_3FT6Y119H04_05543_B21P_N_UFLEX98_M5358A8BA201511/dpll_52046/txpa_55241.png","plot")</f>
        <v>plot</v>
      </c>
    </row>
    <row r="1337" spans="1:29" x14ac:dyDescent="0.35">
      <c r="A1337" s="3" t="s">
        <v>47</v>
      </c>
      <c r="B1337">
        <v>52046</v>
      </c>
      <c r="C1337" t="s">
        <v>51</v>
      </c>
      <c r="D1337">
        <v>55242</v>
      </c>
      <c r="E1337" t="s">
        <v>375</v>
      </c>
      <c r="F1337">
        <v>7139</v>
      </c>
      <c r="G1337">
        <v>0.23247263786475561</v>
      </c>
      <c r="H1337">
        <v>3.1911478087370399E-88</v>
      </c>
      <c r="I1337">
        <v>4.622605540084799E-88</v>
      </c>
      <c r="J1337">
        <v>0.21677843860925161</v>
      </c>
      <c r="K1337">
        <v>1.102812678724568E-76</v>
      </c>
      <c r="L1337">
        <v>1.6640655598611781E-76</v>
      </c>
      <c r="M1337">
        <v>0.14600627331136579</v>
      </c>
      <c r="N1337">
        <v>2.0693008333993779E-76</v>
      </c>
      <c r="O1337">
        <v>3.1317478284581633E-76</v>
      </c>
      <c r="P1337">
        <v>5.4043527355797823E-2</v>
      </c>
      <c r="Q1337">
        <v>0.70359267869508535</v>
      </c>
      <c r="R1337">
        <v>8.5437446987275951</v>
      </c>
      <c r="S1337">
        <v>0.33895422431405092</v>
      </c>
      <c r="T1337">
        <v>0.27133970255672479</v>
      </c>
      <c r="U1337">
        <v>4.4222873134892842</v>
      </c>
      <c r="V1337">
        <v>0.1151559613407446</v>
      </c>
      <c r="W1337">
        <v>11.65523367558481</v>
      </c>
      <c r="X1337">
        <v>0.34852657091876088</v>
      </c>
      <c r="Z1337" t="s">
        <v>392</v>
      </c>
      <c r="AA1337">
        <v>140</v>
      </c>
      <c r="AB1337" t="s">
        <v>1728</v>
      </c>
      <c r="AC1337" t="str">
        <f>HYPERLINK("plots/20251231112652_3FT6Y119H04_05543_B21P_N_UFLEX98_M5358A8BA201511/dpll_52046/txpa_55242.png","plot")</f>
        <v>plot</v>
      </c>
    </row>
    <row r="1338" spans="1:29" x14ac:dyDescent="0.35">
      <c r="A1338" s="3" t="s">
        <v>47</v>
      </c>
      <c r="B1338">
        <v>52046</v>
      </c>
      <c r="C1338" t="s">
        <v>51</v>
      </c>
      <c r="D1338">
        <v>55243</v>
      </c>
      <c r="E1338" t="s">
        <v>376</v>
      </c>
      <c r="F1338">
        <v>7139</v>
      </c>
      <c r="G1338">
        <v>0.23248543948705949</v>
      </c>
      <c r="H1338">
        <v>3.1201211499957511E-88</v>
      </c>
      <c r="I1338">
        <v>4.5261843291783857E-88</v>
      </c>
      <c r="J1338">
        <v>0.22143257526339191</v>
      </c>
      <c r="K1338">
        <v>5.1659603824802439E-80</v>
      </c>
      <c r="L1338">
        <v>7.9973798898243771E-80</v>
      </c>
      <c r="M1338">
        <v>0.15093298947699979</v>
      </c>
      <c r="N1338">
        <v>1.589937798271948E-81</v>
      </c>
      <c r="O1338">
        <v>2.5388927991303229E-81</v>
      </c>
      <c r="P1338">
        <v>5.4049479573491203E-2</v>
      </c>
      <c r="Q1338">
        <v>0.69797265315823442</v>
      </c>
      <c r="R1338">
        <v>9.7945952074168723</v>
      </c>
      <c r="S1338">
        <v>0.33622721640278169</v>
      </c>
      <c r="T1338">
        <v>0.27514737368692072</v>
      </c>
      <c r="U1338">
        <v>4.4222873134892842</v>
      </c>
      <c r="V1338">
        <v>0.1151559613407446</v>
      </c>
      <c r="W1338">
        <v>12.88123081664099</v>
      </c>
      <c r="X1338">
        <v>0.34572363775263631</v>
      </c>
      <c r="Z1338" t="s">
        <v>392</v>
      </c>
      <c r="AA1338">
        <v>140</v>
      </c>
      <c r="AB1338" t="s">
        <v>1729</v>
      </c>
      <c r="AC1338" t="str">
        <f>HYPERLINK("plots/20251231112652_3FT6Y119H04_05543_B21P_N_UFLEX98_M5358A8BA201511/dpll_52046/txpa_55243.png","plot")</f>
        <v>plot</v>
      </c>
    </row>
    <row r="1339" spans="1:29" x14ac:dyDescent="0.35">
      <c r="A1339" s="3" t="s">
        <v>47</v>
      </c>
      <c r="B1339">
        <v>52046</v>
      </c>
      <c r="C1339" t="s">
        <v>51</v>
      </c>
      <c r="D1339">
        <v>55244</v>
      </c>
      <c r="E1339" t="s">
        <v>377</v>
      </c>
      <c r="F1339">
        <v>7139</v>
      </c>
      <c r="G1339">
        <v>0.33939958697707923</v>
      </c>
      <c r="H1339">
        <v>5.9518469212455078E-192</v>
      </c>
      <c r="I1339">
        <v>2.6586664220894029E-191</v>
      </c>
      <c r="J1339">
        <v>0.33380470423549102</v>
      </c>
      <c r="K1339">
        <v>2.3176036647204659E-185</v>
      </c>
      <c r="L1339">
        <v>9.710950892671704E-185</v>
      </c>
      <c r="M1339">
        <v>0.2265664912328193</v>
      </c>
      <c r="N1339">
        <v>3.0920576546220829E-181</v>
      </c>
      <c r="O1339">
        <v>1.279733249708895E-180</v>
      </c>
      <c r="P1339">
        <v>0.115192079640212</v>
      </c>
      <c r="Q1339">
        <v>0.77894881479850497</v>
      </c>
      <c r="R1339">
        <v>9.2659069771759661</v>
      </c>
      <c r="S1339">
        <v>0.2485868311487448</v>
      </c>
      <c r="T1339">
        <v>0.19151000435426491</v>
      </c>
      <c r="U1339">
        <v>4.4222873134892842</v>
      </c>
      <c r="V1339">
        <v>0.1151559613407446</v>
      </c>
      <c r="W1339">
        <v>12.71064243871691</v>
      </c>
      <c r="X1339">
        <v>0.26429201167358302</v>
      </c>
      <c r="Z1339" t="s">
        <v>392</v>
      </c>
      <c r="AA1339">
        <v>140</v>
      </c>
      <c r="AB1339" t="s">
        <v>1730</v>
      </c>
      <c r="AC1339" t="str">
        <f>HYPERLINK("plots/20251231112652_3FT6Y119H04_05543_B21P_N_UFLEX98_M5358A8BA201511/dpll_52046/txpa_55244.png","plot")</f>
        <v>plot</v>
      </c>
    </row>
    <row r="1340" spans="1:29" x14ac:dyDescent="0.35">
      <c r="A1340" s="3" t="s">
        <v>47</v>
      </c>
      <c r="B1340">
        <v>52046</v>
      </c>
      <c r="C1340" t="s">
        <v>51</v>
      </c>
      <c r="D1340">
        <v>55245</v>
      </c>
      <c r="E1340" t="s">
        <v>378</v>
      </c>
      <c r="F1340">
        <v>7139</v>
      </c>
      <c r="G1340">
        <v>0.29087532902943991</v>
      </c>
      <c r="H1340">
        <v>3.1989837626642848E-139</v>
      </c>
      <c r="I1340">
        <v>7.1135296827666353E-139</v>
      </c>
      <c r="J1340">
        <v>0.26380046582008532</v>
      </c>
      <c r="K1340">
        <v>5.8401934660776603E-114</v>
      </c>
      <c r="L1340">
        <v>1.1939427771376511E-113</v>
      </c>
      <c r="M1340">
        <v>0.1777691963285683</v>
      </c>
      <c r="N1340">
        <v>2.3921274988109652E-112</v>
      </c>
      <c r="O1340">
        <v>4.9301164304762564E-112</v>
      </c>
      <c r="P1340">
        <v>8.4608457037984933E-2</v>
      </c>
      <c r="Q1340">
        <v>0.76972560549462965</v>
      </c>
      <c r="R1340">
        <v>9.4301262149105192</v>
      </c>
      <c r="S1340">
        <v>0.29153352266610838</v>
      </c>
      <c r="T1340">
        <v>0.2347178100422847</v>
      </c>
      <c r="U1340">
        <v>4.4222873134892842</v>
      </c>
      <c r="V1340">
        <v>0.1151559613407446</v>
      </c>
      <c r="W1340">
        <v>12.834073994957279</v>
      </c>
      <c r="X1340">
        <v>0.30473018239491051</v>
      </c>
      <c r="Z1340" t="s">
        <v>392</v>
      </c>
      <c r="AA1340">
        <v>140</v>
      </c>
      <c r="AB1340" t="s">
        <v>1731</v>
      </c>
      <c r="AC1340" t="str">
        <f>HYPERLINK("plots/20251231112652_3FT6Y119H04_05543_B21P_N_UFLEX98_M5358A8BA201511/dpll_52046/txpa_55245.png","plot")</f>
        <v>plot</v>
      </c>
    </row>
    <row r="1341" spans="1:29" x14ac:dyDescent="0.35">
      <c r="A1341" s="3" t="s">
        <v>47</v>
      </c>
      <c r="B1341">
        <v>52046</v>
      </c>
      <c r="C1341" t="s">
        <v>51</v>
      </c>
      <c r="D1341">
        <v>55246</v>
      </c>
      <c r="E1341" t="s">
        <v>379</v>
      </c>
      <c r="F1341">
        <v>7139</v>
      </c>
      <c r="G1341">
        <v>0.34441769615086981</v>
      </c>
      <c r="H1341">
        <v>5.5749131129167457E-198</v>
      </c>
      <c r="I1341">
        <v>2.8841642329069291E-197</v>
      </c>
      <c r="J1341">
        <v>0.33511615445405241</v>
      </c>
      <c r="K1341">
        <v>6.8005624535657131E-187</v>
      </c>
      <c r="L1341">
        <v>2.9219365796252679E-186</v>
      </c>
      <c r="M1341">
        <v>0.22953465854548971</v>
      </c>
      <c r="N1341">
        <v>5.8206086392804067E-186</v>
      </c>
      <c r="O1341">
        <v>2.555020415684127E-185</v>
      </c>
      <c r="P1341">
        <v>0.11862354942187291</v>
      </c>
      <c r="Q1341">
        <v>0.80903670270981953</v>
      </c>
      <c r="R1341">
        <v>9.2390797285957369</v>
      </c>
      <c r="S1341">
        <v>0.25393320502562189</v>
      </c>
      <c r="T1341">
        <v>0.1933293807580681</v>
      </c>
      <c r="U1341">
        <v>4.4222873134892842</v>
      </c>
      <c r="V1341">
        <v>0.1151559613407446</v>
      </c>
      <c r="W1341">
        <v>12.81687247513657</v>
      </c>
      <c r="X1341">
        <v>0.27050119753337237</v>
      </c>
      <c r="Z1341" t="s">
        <v>392</v>
      </c>
      <c r="AA1341">
        <v>140</v>
      </c>
      <c r="AB1341" t="s">
        <v>1732</v>
      </c>
      <c r="AC1341" t="str">
        <f>HYPERLINK("plots/20251231112652_3FT6Y119H04_05543_B21P_N_UFLEX98_M5358A8BA201511/dpll_52046/txpa_55246.png","plot")</f>
        <v>plot</v>
      </c>
    </row>
    <row r="1342" spans="1:29" x14ac:dyDescent="0.35">
      <c r="A1342" s="3" t="s">
        <v>47</v>
      </c>
      <c r="B1342">
        <v>52046</v>
      </c>
      <c r="C1342" t="s">
        <v>51</v>
      </c>
      <c r="D1342">
        <v>55247</v>
      </c>
      <c r="E1342" t="s">
        <v>380</v>
      </c>
      <c r="F1342">
        <v>7139</v>
      </c>
      <c r="G1342">
        <v>0.2926115598984807</v>
      </c>
      <c r="H1342">
        <v>6.1141733538229946E-141</v>
      </c>
      <c r="I1342">
        <v>1.3963449956703869E-140</v>
      </c>
      <c r="J1342">
        <v>0.25746950499195481</v>
      </c>
      <c r="K1342">
        <v>1.837555021632202E-108</v>
      </c>
      <c r="L1342">
        <v>3.6534917488922614E-108</v>
      </c>
      <c r="M1342">
        <v>0.1726881056683523</v>
      </c>
      <c r="N1342">
        <v>3.9727676153870129E-106</v>
      </c>
      <c r="O1342">
        <v>7.8987967882400619E-106</v>
      </c>
      <c r="P1342">
        <v>8.5621524986222164E-2</v>
      </c>
      <c r="Q1342">
        <v>0.79334637429530319</v>
      </c>
      <c r="R1342">
        <v>9.2801130406204706</v>
      </c>
      <c r="S1342">
        <v>0.29853163877301547</v>
      </c>
      <c r="T1342">
        <v>0.2385673752722107</v>
      </c>
      <c r="U1342">
        <v>4.4222873134892842</v>
      </c>
      <c r="V1342">
        <v>0.1151559613407446</v>
      </c>
      <c r="W1342">
        <v>12.78851864686931</v>
      </c>
      <c r="X1342">
        <v>0.31221789200626932</v>
      </c>
      <c r="Z1342" t="s">
        <v>392</v>
      </c>
      <c r="AA1342">
        <v>140</v>
      </c>
      <c r="AB1342" t="s">
        <v>1733</v>
      </c>
      <c r="AC1342" t="str">
        <f>HYPERLINK("plots/20251231112652_3FT6Y119H04_05543_B21P_N_UFLEX98_M5358A8BA201511/dpll_52046/txpa_55247.png","plot")</f>
        <v>plot</v>
      </c>
    </row>
    <row r="1343" spans="1:29" x14ac:dyDescent="0.35">
      <c r="A1343" s="3" t="s">
        <v>47</v>
      </c>
      <c r="B1343">
        <v>52046</v>
      </c>
      <c r="C1343" t="s">
        <v>51</v>
      </c>
      <c r="D1343">
        <v>55248</v>
      </c>
      <c r="E1343" t="s">
        <v>381</v>
      </c>
      <c r="F1343">
        <v>7139</v>
      </c>
      <c r="G1343">
        <v>0.36064595951821787</v>
      </c>
      <c r="H1343">
        <v>2.9883762873611369E-218</v>
      </c>
      <c r="I1343">
        <v>2.385994925499365E-217</v>
      </c>
      <c r="J1343">
        <v>0.35065971323834921</v>
      </c>
      <c r="K1343">
        <v>1.2320622597793031E-205</v>
      </c>
      <c r="L1343">
        <v>6.4731146705503268E-205</v>
      </c>
      <c r="M1343">
        <v>0.24203912927589069</v>
      </c>
      <c r="N1343">
        <v>1.5310793377115909E-206</v>
      </c>
      <c r="O1343">
        <v>8.4836855105986517E-206</v>
      </c>
      <c r="P1343">
        <v>0.13006550811681611</v>
      </c>
      <c r="Q1343">
        <v>0.78871791469024033</v>
      </c>
      <c r="R1343">
        <v>9.2705929680495238</v>
      </c>
      <c r="S1343">
        <v>0.23487668876931869</v>
      </c>
      <c r="T1343">
        <v>0.17869465945589219</v>
      </c>
      <c r="U1343">
        <v>4.4222873134892842</v>
      </c>
      <c r="V1343">
        <v>0.1151559613407446</v>
      </c>
      <c r="W1343">
        <v>12.7585301961059</v>
      </c>
      <c r="X1343">
        <v>0.25184136213297581</v>
      </c>
      <c r="Z1343" t="s">
        <v>392</v>
      </c>
      <c r="AA1343">
        <v>140</v>
      </c>
      <c r="AB1343" t="s">
        <v>1734</v>
      </c>
      <c r="AC1343" t="str">
        <f>HYPERLINK("plots/20251231112652_3FT6Y119H04_05543_B21P_N_UFLEX98_M5358A8BA201511/dpll_52046/txpa_55248.png","plot")</f>
        <v>plot</v>
      </c>
    </row>
    <row r="1344" spans="1:29" x14ac:dyDescent="0.35">
      <c r="A1344" s="3" t="s">
        <v>47</v>
      </c>
      <c r="B1344">
        <v>52046</v>
      </c>
      <c r="C1344" t="s">
        <v>51</v>
      </c>
      <c r="D1344">
        <v>55249</v>
      </c>
      <c r="E1344" t="s">
        <v>382</v>
      </c>
      <c r="F1344">
        <v>7139</v>
      </c>
      <c r="G1344">
        <v>0.3124829702013871</v>
      </c>
      <c r="H1344">
        <v>1.7502261960048201E-161</v>
      </c>
      <c r="I1344">
        <v>4.9851948391822683E-161</v>
      </c>
      <c r="J1344">
        <v>0.27146452077922839</v>
      </c>
      <c r="K1344">
        <v>8.0489766286973615E-121</v>
      </c>
      <c r="L1344">
        <v>1.740226503517937E-120</v>
      </c>
      <c r="M1344">
        <v>0.1814288406458027</v>
      </c>
      <c r="N1344">
        <v>6.1300995638668917E-117</v>
      </c>
      <c r="O1344">
        <v>1.3169324063053019E-116</v>
      </c>
      <c r="P1344">
        <v>9.7645606665880985E-2</v>
      </c>
      <c r="Q1344">
        <v>0.73506057069176334</v>
      </c>
      <c r="R1344">
        <v>9.5356059993029092</v>
      </c>
      <c r="S1344">
        <v>0.25730092533203908</v>
      </c>
      <c r="T1344">
        <v>0.20479118135035401</v>
      </c>
      <c r="U1344">
        <v>4.4222873134892842</v>
      </c>
      <c r="V1344">
        <v>0.1151559613407446</v>
      </c>
      <c r="W1344">
        <v>12.786255035719289</v>
      </c>
      <c r="X1344">
        <v>0.27088390323201877</v>
      </c>
      <c r="Z1344" t="s">
        <v>392</v>
      </c>
      <c r="AA1344">
        <v>140</v>
      </c>
      <c r="AB1344" t="s">
        <v>1735</v>
      </c>
      <c r="AC1344" t="str">
        <f>HYPERLINK("plots/20251231112652_3FT6Y119H04_05543_B21P_N_UFLEX98_M5358A8BA201511/dpll_52046/txpa_55249.png","plot")</f>
        <v>plot</v>
      </c>
    </row>
    <row r="1345" spans="1:29" x14ac:dyDescent="0.35">
      <c r="A1345" s="3" t="s">
        <v>47</v>
      </c>
      <c r="B1345">
        <v>52046</v>
      </c>
      <c r="C1345" t="s">
        <v>51</v>
      </c>
      <c r="D1345">
        <v>55250</v>
      </c>
      <c r="E1345" t="s">
        <v>383</v>
      </c>
      <c r="F1345">
        <v>7139</v>
      </c>
      <c r="G1345">
        <v>0.25416329666654253</v>
      </c>
      <c r="H1345">
        <v>1.188404858166444E-105</v>
      </c>
      <c r="I1345">
        <v>1.9754795511160229E-105</v>
      </c>
      <c r="J1345">
        <v>0.2244115817653384</v>
      </c>
      <c r="K1345">
        <v>3.4782481019872582E-82</v>
      </c>
      <c r="L1345">
        <v>5.5368031011225729E-82</v>
      </c>
      <c r="M1345">
        <v>0.15157741676365949</v>
      </c>
      <c r="N1345">
        <v>3.3114247415565618E-82</v>
      </c>
      <c r="O1345">
        <v>5.3382904418733771E-82</v>
      </c>
      <c r="P1345">
        <v>6.4598981372404912E-2</v>
      </c>
      <c r="Q1345">
        <v>0.73086985005875338</v>
      </c>
      <c r="R1345">
        <v>9.7531323548364632</v>
      </c>
      <c r="S1345">
        <v>0.32024483722067781</v>
      </c>
      <c r="T1345">
        <v>0.2624087664200962</v>
      </c>
      <c r="U1345">
        <v>4.4222873134892842</v>
      </c>
      <c r="V1345">
        <v>0.1151559613407446</v>
      </c>
      <c r="W1345">
        <v>12.9852488205631</v>
      </c>
      <c r="X1345">
        <v>0.33114151926075802</v>
      </c>
      <c r="Z1345" t="s">
        <v>392</v>
      </c>
      <c r="AA1345">
        <v>140</v>
      </c>
      <c r="AB1345" t="s">
        <v>1736</v>
      </c>
      <c r="AC1345" t="str">
        <f>HYPERLINK("plots/20251231112652_3FT6Y119H04_05543_B21P_N_UFLEX98_M5358A8BA201511/dpll_52046/txpa_55250.png","plot")</f>
        <v>plot</v>
      </c>
    </row>
    <row r="1346" spans="1:29" x14ac:dyDescent="0.35">
      <c r="A1346" s="3" t="s">
        <v>47</v>
      </c>
      <c r="B1346">
        <v>52046</v>
      </c>
      <c r="C1346" t="s">
        <v>51</v>
      </c>
      <c r="D1346">
        <v>55251</v>
      </c>
      <c r="E1346" t="s">
        <v>384</v>
      </c>
      <c r="F1346">
        <v>7139</v>
      </c>
      <c r="G1346">
        <v>0.23789425405531031</v>
      </c>
      <c r="H1346">
        <v>2.0435360824337789E-92</v>
      </c>
      <c r="I1346">
        <v>3.0881454360474692E-92</v>
      </c>
      <c r="J1346">
        <v>0.22835595807384759</v>
      </c>
      <c r="K1346">
        <v>4.1360405181799449E-85</v>
      </c>
      <c r="L1346">
        <v>6.764427557152362E-85</v>
      </c>
      <c r="M1346">
        <v>0.15582416158852699</v>
      </c>
      <c r="N1346">
        <v>9.0558833405131011E-87</v>
      </c>
      <c r="O1346">
        <v>1.5278977882329931E-86</v>
      </c>
      <c r="P1346">
        <v>5.6593676112532527E-2</v>
      </c>
      <c r="Q1346">
        <v>0.72518382715492136</v>
      </c>
      <c r="R1346">
        <v>10.07395293267777</v>
      </c>
      <c r="S1346">
        <v>0.34093340438651532</v>
      </c>
      <c r="T1346">
        <v>0.27714842013422891</v>
      </c>
      <c r="U1346">
        <v>4.4222873134892842</v>
      </c>
      <c r="V1346">
        <v>0.1151559613407446</v>
      </c>
      <c r="W1346">
        <v>13.28092417145259</v>
      </c>
      <c r="X1346">
        <v>0.35103513153945048</v>
      </c>
      <c r="Z1346" t="s">
        <v>392</v>
      </c>
      <c r="AA1346">
        <v>140</v>
      </c>
      <c r="AB1346" t="s">
        <v>1737</v>
      </c>
      <c r="AC1346" t="str">
        <f>HYPERLINK("plots/20251231112652_3FT6Y119H04_05543_B21P_N_UFLEX98_M5358A8BA201511/dpll_52046/txpa_55251.png","plot")</f>
        <v>plot</v>
      </c>
    </row>
    <row r="1347" spans="1:29" x14ac:dyDescent="0.35">
      <c r="A1347" s="3" t="s">
        <v>47</v>
      </c>
      <c r="B1347">
        <v>52046</v>
      </c>
      <c r="C1347" t="s">
        <v>51</v>
      </c>
      <c r="D1347">
        <v>55252</v>
      </c>
      <c r="E1347" t="s">
        <v>385</v>
      </c>
      <c r="F1347">
        <v>7139</v>
      </c>
      <c r="G1347">
        <v>0.34102056579411483</v>
      </c>
      <c r="H1347">
        <v>6.9107151236043908E-194</v>
      </c>
      <c r="I1347">
        <v>3.199755769559293E-193</v>
      </c>
      <c r="J1347">
        <v>0.34804295474310187</v>
      </c>
      <c r="K1347">
        <v>2.0955506513171769E-202</v>
      </c>
      <c r="L1347">
        <v>1.0416119413900091E-201</v>
      </c>
      <c r="M1347">
        <v>0.23760121357880359</v>
      </c>
      <c r="N1347">
        <v>4.1033563859647808E-199</v>
      </c>
      <c r="O1347">
        <v>2.0296601831064822E-198</v>
      </c>
      <c r="P1347">
        <v>0.1162950262945382</v>
      </c>
      <c r="Q1347">
        <v>0.78251373212698183</v>
      </c>
      <c r="R1347">
        <v>9.7318067897472744</v>
      </c>
      <c r="S1347">
        <v>0.2483825335864015</v>
      </c>
      <c r="T1347">
        <v>0.18730046150922819</v>
      </c>
      <c r="U1347">
        <v>4.4222873134892842</v>
      </c>
      <c r="V1347">
        <v>0.1151559613407446</v>
      </c>
      <c r="W1347">
        <v>13.19230733996358</v>
      </c>
      <c r="X1347">
        <v>0.26423955070152422</v>
      </c>
      <c r="Z1347" t="s">
        <v>392</v>
      </c>
      <c r="AA1347">
        <v>140</v>
      </c>
      <c r="AB1347" t="s">
        <v>1738</v>
      </c>
      <c r="AC1347" t="str">
        <f>HYPERLINK("plots/20251231112652_3FT6Y119H04_05543_B21P_N_UFLEX98_M5358A8BA201511/dpll_52046/txpa_55252.png","plot")</f>
        <v>plot</v>
      </c>
    </row>
    <row r="1348" spans="1:29" x14ac:dyDescent="0.35">
      <c r="A1348" s="3" t="s">
        <v>47</v>
      </c>
      <c r="B1348">
        <v>52046</v>
      </c>
      <c r="C1348" t="s">
        <v>51</v>
      </c>
      <c r="D1348">
        <v>55253</v>
      </c>
      <c r="E1348" t="s">
        <v>386</v>
      </c>
      <c r="F1348">
        <v>7139</v>
      </c>
      <c r="G1348">
        <v>0.29040235570183581</v>
      </c>
      <c r="H1348">
        <v>9.3563768443582995E-139</v>
      </c>
      <c r="I1348">
        <v>2.0714773188164441E-138</v>
      </c>
      <c r="J1348">
        <v>0.27543632867475959</v>
      </c>
      <c r="K1348">
        <v>1.823738158973383E-124</v>
      </c>
      <c r="L1348">
        <v>4.1370704545839156E-124</v>
      </c>
      <c r="M1348">
        <v>0.18570051120039949</v>
      </c>
      <c r="N1348">
        <v>2.041619161049673E-122</v>
      </c>
      <c r="O1348">
        <v>4.6313240029180498E-122</v>
      </c>
      <c r="P1348">
        <v>8.4333528197175545E-2</v>
      </c>
      <c r="Q1348">
        <v>0.77445018783719977</v>
      </c>
      <c r="R1348">
        <v>9.8500172381766991</v>
      </c>
      <c r="S1348">
        <v>0.29384480474145902</v>
      </c>
      <c r="T1348">
        <v>0.23010045639842891</v>
      </c>
      <c r="U1348">
        <v>4.4222873134892842</v>
      </c>
      <c r="V1348">
        <v>0.1151559613407446</v>
      </c>
      <c r="W1348">
        <v>13.27485847877854</v>
      </c>
      <c r="X1348">
        <v>0.3070999740183899</v>
      </c>
      <c r="Z1348" t="s">
        <v>392</v>
      </c>
      <c r="AA1348">
        <v>140</v>
      </c>
      <c r="AB1348" t="s">
        <v>1739</v>
      </c>
      <c r="AC1348" t="str">
        <f>HYPERLINK("plots/20251231112652_3FT6Y119H04_05543_B21P_N_UFLEX98_M5358A8BA201511/dpll_52046/txpa_55253.png","plot")</f>
        <v>plot</v>
      </c>
    </row>
    <row r="1349" spans="1:29" x14ac:dyDescent="0.35">
      <c r="A1349" s="3" t="s">
        <v>47</v>
      </c>
      <c r="B1349">
        <v>52046</v>
      </c>
      <c r="C1349" t="s">
        <v>51</v>
      </c>
      <c r="D1349">
        <v>55254</v>
      </c>
      <c r="E1349" t="s">
        <v>387</v>
      </c>
      <c r="F1349">
        <v>7139</v>
      </c>
      <c r="G1349">
        <v>0.35237472695626681</v>
      </c>
      <c r="H1349">
        <v>9.0465329340145113E-208</v>
      </c>
      <c r="I1349">
        <v>5.6277204877857137E-207</v>
      </c>
      <c r="J1349">
        <v>0.35106185597874828</v>
      </c>
      <c r="K1349">
        <v>3.9030550493588609E-206</v>
      </c>
      <c r="L1349">
        <v>2.0720930995025578E-205</v>
      </c>
      <c r="M1349">
        <v>0.24204660098061531</v>
      </c>
      <c r="N1349">
        <v>1.4863959608344869E-206</v>
      </c>
      <c r="O1349">
        <v>8.2813489246492833E-206</v>
      </c>
      <c r="P1349">
        <v>0.1241679481975036</v>
      </c>
      <c r="Q1349">
        <v>0.81658615484661601</v>
      </c>
      <c r="R1349">
        <v>9.6552873672693345</v>
      </c>
      <c r="S1349">
        <v>0.24972595532142661</v>
      </c>
      <c r="T1349">
        <v>0.1869168738908249</v>
      </c>
      <c r="U1349">
        <v>4.4222873134892842</v>
      </c>
      <c r="V1349">
        <v>0.1151559613407446</v>
      </c>
      <c r="W1349">
        <v>13.26646596021852</v>
      </c>
      <c r="X1349">
        <v>0.26686012499010708</v>
      </c>
      <c r="Z1349" t="s">
        <v>392</v>
      </c>
      <c r="AA1349">
        <v>140</v>
      </c>
      <c r="AB1349" t="s">
        <v>1740</v>
      </c>
      <c r="AC1349" t="str">
        <f>HYPERLINK("plots/20251231112652_3FT6Y119H04_05543_B21P_N_UFLEX98_M5358A8BA201511/dpll_52046/txpa_55254.png","plot")</f>
        <v>plot</v>
      </c>
    </row>
    <row r="1350" spans="1:29" x14ac:dyDescent="0.35">
      <c r="A1350" s="3" t="s">
        <v>47</v>
      </c>
      <c r="B1350">
        <v>52046</v>
      </c>
      <c r="C1350" t="s">
        <v>51</v>
      </c>
      <c r="D1350">
        <v>55255</v>
      </c>
      <c r="E1350" t="s">
        <v>388</v>
      </c>
      <c r="F1350">
        <v>7139</v>
      </c>
      <c r="G1350">
        <v>0.30510755966553171</v>
      </c>
      <c r="H1350">
        <v>1.139916818335358E-153</v>
      </c>
      <c r="I1350">
        <v>3.0258524968378342E-153</v>
      </c>
      <c r="J1350">
        <v>0.2738356033255494</v>
      </c>
      <c r="K1350">
        <v>5.4608915903371167E-123</v>
      </c>
      <c r="L1350">
        <v>1.2277924772953081E-122</v>
      </c>
      <c r="M1350">
        <v>0.18414068581506651</v>
      </c>
      <c r="N1350">
        <v>2.112208483496609E-120</v>
      </c>
      <c r="O1350">
        <v>4.7384500050123032E-120</v>
      </c>
      <c r="P1350">
        <v>9.3090622965055991E-2</v>
      </c>
      <c r="Q1350">
        <v>0.7972664356560959</v>
      </c>
      <c r="R1350">
        <v>9.7205678232234582</v>
      </c>
      <c r="S1350">
        <v>0.28654211682918912</v>
      </c>
      <c r="T1350">
        <v>0.22731244642218421</v>
      </c>
      <c r="U1350">
        <v>4.4222873134892842</v>
      </c>
      <c r="V1350">
        <v>0.1151559613407446</v>
      </c>
      <c r="W1350">
        <v>13.246309067096229</v>
      </c>
      <c r="X1350">
        <v>0.30091021980357208</v>
      </c>
      <c r="Z1350" t="s">
        <v>392</v>
      </c>
      <c r="AA1350">
        <v>140</v>
      </c>
      <c r="AB1350" t="s">
        <v>1741</v>
      </c>
      <c r="AC1350" t="str">
        <f>HYPERLINK("plots/20251231112652_3FT6Y119H04_05543_B21P_N_UFLEX98_M5358A8BA201511/dpll_52046/txpa_55255.png","plot")</f>
        <v>plot</v>
      </c>
    </row>
    <row r="1351" spans="1:29" x14ac:dyDescent="0.35">
      <c r="A1351" s="3" t="s">
        <v>47</v>
      </c>
      <c r="B1351">
        <v>52046</v>
      </c>
      <c r="C1351" t="s">
        <v>51</v>
      </c>
      <c r="D1351">
        <v>55256</v>
      </c>
      <c r="E1351" t="s">
        <v>389</v>
      </c>
      <c r="F1351">
        <v>7139</v>
      </c>
      <c r="G1351">
        <v>0.36443259082090962</v>
      </c>
      <c r="H1351">
        <v>3.7316842795899177E-223</v>
      </c>
      <c r="I1351">
        <v>3.4399344177310699E-222</v>
      </c>
      <c r="J1351">
        <v>0.3632718525836805</v>
      </c>
      <c r="K1351">
        <v>1.208081450112517E-221</v>
      </c>
      <c r="L1351">
        <v>9.0740340030673527E-221</v>
      </c>
      <c r="M1351">
        <v>0.25188037038319128</v>
      </c>
      <c r="N1351">
        <v>1.6687012737179039E-223</v>
      </c>
      <c r="O1351">
        <v>1.4339517724999619E-222</v>
      </c>
      <c r="P1351">
        <v>0.13281111325244049</v>
      </c>
      <c r="Q1351">
        <v>0.80040562948339022</v>
      </c>
      <c r="R1351">
        <v>9.6533347590369694</v>
      </c>
      <c r="S1351">
        <v>0.23550806481699629</v>
      </c>
      <c r="T1351">
        <v>0.17659313216548439</v>
      </c>
      <c r="U1351">
        <v>4.4222873134892842</v>
      </c>
      <c r="V1351">
        <v>0.1151559613407446</v>
      </c>
      <c r="W1351">
        <v>13.19295841994677</v>
      </c>
      <c r="X1351">
        <v>0.25291777422562828</v>
      </c>
      <c r="Z1351" t="s">
        <v>392</v>
      </c>
      <c r="AA1351">
        <v>140</v>
      </c>
      <c r="AB1351" t="s">
        <v>1742</v>
      </c>
      <c r="AC1351" t="str">
        <f>HYPERLINK("plots/20251231112652_3FT6Y119H04_05543_B21P_N_UFLEX98_M5358A8BA201511/dpll_52046/txpa_55256.png","plot")</f>
        <v>plot</v>
      </c>
    </row>
    <row r="1352" spans="1:29" x14ac:dyDescent="0.35">
      <c r="A1352" s="3" t="s">
        <v>47</v>
      </c>
      <c r="B1352">
        <v>52046</v>
      </c>
      <c r="C1352" t="s">
        <v>51</v>
      </c>
      <c r="D1352">
        <v>55257</v>
      </c>
      <c r="E1352" t="s">
        <v>390</v>
      </c>
      <c r="F1352">
        <v>7139</v>
      </c>
      <c r="G1352">
        <v>0.31633301162725552</v>
      </c>
      <c r="H1352">
        <v>1.18639259646531E-165</v>
      </c>
      <c r="I1352">
        <v>3.5072947312414701E-165</v>
      </c>
      <c r="J1352">
        <v>0.28691215778715801</v>
      </c>
      <c r="K1352">
        <v>2.414990332878993E-135</v>
      </c>
      <c r="L1352">
        <v>6.01670810206216E-135</v>
      </c>
      <c r="M1352">
        <v>0.19252161367653811</v>
      </c>
      <c r="N1352">
        <v>1.9976464900949571E-131</v>
      </c>
      <c r="O1352">
        <v>4.9769374470670436E-131</v>
      </c>
      <c r="P1352">
        <v>0.10006657424516931</v>
      </c>
      <c r="Q1352">
        <v>0.7449784946237703</v>
      </c>
      <c r="R1352">
        <v>9.9511521245808492</v>
      </c>
      <c r="S1352">
        <v>0.25725298194252122</v>
      </c>
      <c r="T1352">
        <v>0.2011060603178349</v>
      </c>
      <c r="U1352">
        <v>4.4222873134892842</v>
      </c>
      <c r="V1352">
        <v>0.1151559613407446</v>
      </c>
      <c r="W1352">
        <v>13.24566107017789</v>
      </c>
      <c r="X1352">
        <v>0.27119747725750598</v>
      </c>
      <c r="Z1352" t="s">
        <v>392</v>
      </c>
      <c r="AA1352">
        <v>140</v>
      </c>
      <c r="AB1352" t="s">
        <v>1743</v>
      </c>
      <c r="AC1352" t="str">
        <f>HYPERLINK("plots/20251231112652_3FT6Y119H04_05543_B21P_N_UFLEX98_M5358A8BA201511/dpll_52046/txpa_55257.png","plot")</f>
        <v>plot</v>
      </c>
    </row>
    <row r="1353" spans="1:29" x14ac:dyDescent="0.35">
      <c r="A1353" s="3" t="s">
        <v>47</v>
      </c>
      <c r="B1353">
        <v>52046</v>
      </c>
      <c r="C1353" t="s">
        <v>51</v>
      </c>
      <c r="D1353">
        <v>55258</v>
      </c>
      <c r="E1353" t="s">
        <v>391</v>
      </c>
      <c r="F1353">
        <v>7139</v>
      </c>
      <c r="G1353">
        <v>0.25954449333125451</v>
      </c>
      <c r="H1353">
        <v>3.0137324309519638E-110</v>
      </c>
      <c r="I1353">
        <v>5.2327477482624849E-110</v>
      </c>
      <c r="J1353">
        <v>0.22807805854506821</v>
      </c>
      <c r="K1353">
        <v>6.6755979588262156E-85</v>
      </c>
      <c r="L1353">
        <v>1.0847846683092599E-84</v>
      </c>
      <c r="M1353">
        <v>0.15422655236907179</v>
      </c>
      <c r="N1353">
        <v>4.8777902513491548E-85</v>
      </c>
      <c r="O1353">
        <v>8.0163360046483682E-85</v>
      </c>
      <c r="P1353">
        <v>6.7363344018577617E-2</v>
      </c>
      <c r="Q1353">
        <v>0.75551518227358716</v>
      </c>
      <c r="R1353">
        <v>10.0567316635924</v>
      </c>
      <c r="S1353">
        <v>0.32370068874145291</v>
      </c>
      <c r="T1353">
        <v>0.26664351194473562</v>
      </c>
      <c r="U1353">
        <v>4.4222873134892842</v>
      </c>
      <c r="V1353">
        <v>0.1151559613407446</v>
      </c>
      <c r="W1353">
        <v>13.39783686930943</v>
      </c>
      <c r="X1353">
        <v>0.33521064541023687</v>
      </c>
      <c r="Z1353" t="s">
        <v>392</v>
      </c>
      <c r="AA1353">
        <v>140</v>
      </c>
      <c r="AB1353" t="s">
        <v>1744</v>
      </c>
      <c r="AC1353" t="str">
        <f>HYPERLINK("plots/20251231112652_3FT6Y119H04_05543_B21P_N_UFLEX98_M5358A8BA201511/dpll_52046/txpa_55258.png","plot")</f>
        <v>plot</v>
      </c>
    </row>
    <row r="1354" spans="1:29" hidden="1" x14ac:dyDescent="0.35">
      <c r="A1354" t="s">
        <v>47</v>
      </c>
      <c r="B1354">
        <v>52084</v>
      </c>
      <c r="C1354" t="s">
        <v>52</v>
      </c>
      <c r="D1354">
        <v>53179</v>
      </c>
      <c r="E1354" t="s">
        <v>54</v>
      </c>
      <c r="F1354">
        <v>7128</v>
      </c>
      <c r="G1354">
        <v>0.1008597968569043</v>
      </c>
      <c r="H1354">
        <v>1.3940821588481101E-17</v>
      </c>
      <c r="I1354">
        <v>1.410777753564854E-17</v>
      </c>
      <c r="J1354">
        <v>9.878316399799611E-2</v>
      </c>
      <c r="K1354">
        <v>6.3251087957338184E-17</v>
      </c>
      <c r="L1354">
        <v>6.4008586016707514E-17</v>
      </c>
      <c r="M1354">
        <v>6.5660523290291761E-2</v>
      </c>
      <c r="N1354">
        <v>9.6252300705757827E-17</v>
      </c>
      <c r="O1354">
        <v>9.7307909188074211E-17</v>
      </c>
      <c r="P1354">
        <v>1.0172698622016E-2</v>
      </c>
      <c r="Q1354">
        <v>0.62697097554328352</v>
      </c>
      <c r="R1354">
        <v>-21.91228662704766</v>
      </c>
      <c r="S1354">
        <v>0.68184428188648161</v>
      </c>
      <c r="T1354">
        <v>0.52116701878238958</v>
      </c>
      <c r="U1354">
        <v>4.2625754009539838</v>
      </c>
      <c r="V1354">
        <v>0.1102571106517251</v>
      </c>
      <c r="W1354">
        <v>-19.23977556958474</v>
      </c>
      <c r="X1354">
        <v>0.68538714512752552</v>
      </c>
      <c r="Z1354" t="s">
        <v>392</v>
      </c>
      <c r="AA1354">
        <v>140</v>
      </c>
      <c r="AB1354" t="s">
        <v>1745</v>
      </c>
      <c r="AC1354" t="str">
        <f>HYPERLINK("plots/20251231112652_3FT6Y119H04_05543_B21P_N_UFLEX98_M5358A8BA201511/dpll_52084/txpa_53179.png","plot")</f>
        <v>plot</v>
      </c>
    </row>
    <row r="1355" spans="1:29" hidden="1" x14ac:dyDescent="0.35">
      <c r="A1355" t="s">
        <v>47</v>
      </c>
      <c r="B1355">
        <v>52084</v>
      </c>
      <c r="C1355" t="s">
        <v>52</v>
      </c>
      <c r="D1355">
        <v>53180</v>
      </c>
      <c r="E1355" t="s">
        <v>55</v>
      </c>
      <c r="F1355">
        <v>7127</v>
      </c>
      <c r="G1355">
        <v>8.7639907489913793E-2</v>
      </c>
      <c r="H1355">
        <v>1.2472440464132209E-13</v>
      </c>
      <c r="I1355">
        <v>1.2571624881342009E-13</v>
      </c>
      <c r="J1355">
        <v>8.2836379151568357E-2</v>
      </c>
      <c r="K1355">
        <v>2.4877527882322602E-12</v>
      </c>
      <c r="L1355">
        <v>2.5075361106038882E-12</v>
      </c>
      <c r="M1355">
        <v>5.541385655804934E-2</v>
      </c>
      <c r="N1355">
        <v>2.344000214048757E-12</v>
      </c>
      <c r="O1355">
        <v>2.3626403747966601E-12</v>
      </c>
      <c r="P1355">
        <v>7.6807533848406474E-3</v>
      </c>
      <c r="Q1355">
        <v>0.55044814317684576</v>
      </c>
      <c r="R1355">
        <v>-21.440819277899841</v>
      </c>
      <c r="S1355">
        <v>0.6897727471295706</v>
      </c>
      <c r="T1355">
        <v>0.52722393361617925</v>
      </c>
      <c r="U1355">
        <v>4.2626250176792473</v>
      </c>
      <c r="V1355">
        <v>0.1102544923126495</v>
      </c>
      <c r="W1355">
        <v>-19.09446525185913</v>
      </c>
      <c r="X1355">
        <v>0.69248567585934895</v>
      </c>
      <c r="Z1355" t="s">
        <v>392</v>
      </c>
      <c r="AA1355">
        <v>140</v>
      </c>
      <c r="AB1355" t="s">
        <v>1746</v>
      </c>
      <c r="AC1355" t="str">
        <f>HYPERLINK("plots/20251231112652_3FT6Y119H04_05543_B21P_N_UFLEX98_M5358A8BA201511/dpll_52084/txpa_53180.png","plot")</f>
        <v>plot</v>
      </c>
    </row>
    <row r="1356" spans="1:29" hidden="1" x14ac:dyDescent="0.35">
      <c r="A1356" t="s">
        <v>47</v>
      </c>
      <c r="B1356">
        <v>52084</v>
      </c>
      <c r="C1356" t="s">
        <v>52</v>
      </c>
      <c r="D1356">
        <v>53181</v>
      </c>
      <c r="E1356" t="s">
        <v>56</v>
      </c>
      <c r="F1356">
        <v>7134</v>
      </c>
      <c r="G1356">
        <v>0.115355457851152</v>
      </c>
      <c r="H1356">
        <v>1.452929756041048E-22</v>
      </c>
      <c r="I1356">
        <v>1.4881522955814371E-22</v>
      </c>
      <c r="J1356">
        <v>0.112958344470723</v>
      </c>
      <c r="K1356">
        <v>1.0714249484186141E-21</v>
      </c>
      <c r="L1356">
        <v>1.121181524970562E-21</v>
      </c>
      <c r="M1356">
        <v>7.5415291707052814E-2</v>
      </c>
      <c r="N1356">
        <v>1.322994553957282E-21</v>
      </c>
      <c r="O1356">
        <v>1.387297288224079E-21</v>
      </c>
      <c r="P1356">
        <v>1.3306881656048909E-2</v>
      </c>
      <c r="Q1356">
        <v>0.66667935195252548</v>
      </c>
      <c r="R1356">
        <v>-21.72720259332975</v>
      </c>
      <c r="S1356">
        <v>0.63299088677988613</v>
      </c>
      <c r="T1356">
        <v>0.48415952273968238</v>
      </c>
      <c r="U1356">
        <v>4.2626187462853942</v>
      </c>
      <c r="V1356">
        <v>0.1102701565226088</v>
      </c>
      <c r="W1356">
        <v>-18.885402689935521</v>
      </c>
      <c r="X1356">
        <v>0.63728962512597975</v>
      </c>
      <c r="Z1356" t="s">
        <v>392</v>
      </c>
      <c r="AA1356">
        <v>140</v>
      </c>
      <c r="AB1356" t="s">
        <v>1747</v>
      </c>
      <c r="AC1356" t="str">
        <f>HYPERLINK("plots/20251231112652_3FT6Y119H04_05543_B21P_N_UFLEX98_M5358A8BA201511/dpll_52084/txpa_53181.png","plot")</f>
        <v>plot</v>
      </c>
    </row>
    <row r="1357" spans="1:29" hidden="1" x14ac:dyDescent="0.35">
      <c r="A1357" t="s">
        <v>47</v>
      </c>
      <c r="B1357">
        <v>52084</v>
      </c>
      <c r="C1357" t="s">
        <v>52</v>
      </c>
      <c r="D1357">
        <v>53182</v>
      </c>
      <c r="E1357" t="s">
        <v>57</v>
      </c>
      <c r="F1357">
        <v>7134</v>
      </c>
      <c r="G1357">
        <v>0.10670029380182749</v>
      </c>
      <c r="H1357">
        <v>1.6183515960341281E-19</v>
      </c>
      <c r="I1357">
        <v>1.644297112603814E-19</v>
      </c>
      <c r="J1357">
        <v>0.10313395203467141</v>
      </c>
      <c r="K1357">
        <v>2.4850560491775001E-18</v>
      </c>
      <c r="L1357">
        <v>2.5248966271202261E-18</v>
      </c>
      <c r="M1357">
        <v>6.8789719864844695E-2</v>
      </c>
      <c r="N1357">
        <v>3.0618502091848239E-18</v>
      </c>
      <c r="O1357">
        <v>3.1109379880895909E-18</v>
      </c>
      <c r="P1357">
        <v>1.1384952697396309E-2</v>
      </c>
      <c r="Q1357">
        <v>0.62514206774432235</v>
      </c>
      <c r="R1357">
        <v>-21.530548058985321</v>
      </c>
      <c r="S1357">
        <v>0.64201698200410517</v>
      </c>
      <c r="T1357">
        <v>0.4909882797574045</v>
      </c>
      <c r="U1357">
        <v>4.2625527238575831</v>
      </c>
      <c r="V1357">
        <v>0.1102174194126132</v>
      </c>
      <c r="W1357">
        <v>-18.865847035323799</v>
      </c>
      <c r="X1357">
        <v>0.64574841378613057</v>
      </c>
      <c r="Z1357" t="s">
        <v>392</v>
      </c>
      <c r="AA1357">
        <v>140</v>
      </c>
      <c r="AB1357" t="s">
        <v>1748</v>
      </c>
      <c r="AC1357" t="str">
        <f>HYPERLINK("plots/20251231112652_3FT6Y119H04_05543_B21P_N_UFLEX98_M5358A8BA201511/dpll_52084/txpa_53182.png","plot")</f>
        <v>plot</v>
      </c>
    </row>
    <row r="1358" spans="1:29" hidden="1" x14ac:dyDescent="0.35">
      <c r="A1358" t="s">
        <v>47</v>
      </c>
      <c r="B1358">
        <v>52084</v>
      </c>
      <c r="C1358" t="s">
        <v>52</v>
      </c>
      <c r="D1358">
        <v>53183</v>
      </c>
      <c r="E1358" t="s">
        <v>58</v>
      </c>
      <c r="F1358">
        <v>7133</v>
      </c>
      <c r="G1358">
        <v>0.11956871157115601</v>
      </c>
      <c r="H1358">
        <v>3.9425861531756527E-24</v>
      </c>
      <c r="I1358">
        <v>4.0710614657027633E-24</v>
      </c>
      <c r="J1358">
        <v>0.11028187832865489</v>
      </c>
      <c r="K1358">
        <v>9.5467018385902369E-21</v>
      </c>
      <c r="L1358">
        <v>9.8678447138944964E-21</v>
      </c>
      <c r="M1358">
        <v>7.3392001211110947E-2</v>
      </c>
      <c r="N1358">
        <v>1.5258757233653969E-20</v>
      </c>
      <c r="O1358">
        <v>1.5772048761391569E-20</v>
      </c>
      <c r="P1358">
        <v>1.4296676786786301E-2</v>
      </c>
      <c r="Q1358">
        <v>0.64535036964623049</v>
      </c>
      <c r="R1358">
        <v>-21.31592645192935</v>
      </c>
      <c r="S1358">
        <v>0.5906856680978978</v>
      </c>
      <c r="T1358">
        <v>0.45246328456688012</v>
      </c>
      <c r="U1358">
        <v>4.2625430922473013</v>
      </c>
      <c r="V1358">
        <v>0.1102391242086893</v>
      </c>
      <c r="W1358">
        <v>-18.565092691714561</v>
      </c>
      <c r="X1358">
        <v>0.59499561902711351</v>
      </c>
      <c r="Z1358" t="s">
        <v>392</v>
      </c>
      <c r="AA1358">
        <v>140</v>
      </c>
      <c r="AB1358" t="s">
        <v>1749</v>
      </c>
      <c r="AC1358" t="str">
        <f>HYPERLINK("plots/20251231112652_3FT6Y119H04_05543_B21P_N_UFLEX98_M5358A8BA201511/dpll_52084/txpa_53183.png","plot")</f>
        <v>plot</v>
      </c>
    </row>
    <row r="1359" spans="1:29" hidden="1" x14ac:dyDescent="0.35">
      <c r="A1359" t="s">
        <v>47</v>
      </c>
      <c r="B1359">
        <v>52084</v>
      </c>
      <c r="C1359" t="s">
        <v>52</v>
      </c>
      <c r="D1359">
        <v>53184</v>
      </c>
      <c r="E1359" t="s">
        <v>59</v>
      </c>
      <c r="F1359">
        <v>7130</v>
      </c>
      <c r="G1359">
        <v>9.00685637844343E-2</v>
      </c>
      <c r="H1359">
        <v>2.5468905603939321E-14</v>
      </c>
      <c r="I1359">
        <v>2.572257996254429E-14</v>
      </c>
      <c r="J1359">
        <v>9.80293938183837E-2</v>
      </c>
      <c r="K1359">
        <v>1.076103468269702E-16</v>
      </c>
      <c r="L1359">
        <v>1.0868216303042609E-16</v>
      </c>
      <c r="M1359">
        <v>6.5559038773813E-2</v>
      </c>
      <c r="N1359">
        <v>1.0599789110138701E-16</v>
      </c>
      <c r="O1359">
        <v>1.07053646988851E-16</v>
      </c>
      <c r="P1359">
        <v>8.1123461821907099E-3</v>
      </c>
      <c r="Q1359">
        <v>0.51344344001941555</v>
      </c>
      <c r="R1359">
        <v>-20.940579575725032</v>
      </c>
      <c r="S1359">
        <v>0.62584630747504655</v>
      </c>
      <c r="T1359">
        <v>0.48279275616092671</v>
      </c>
      <c r="U1359">
        <v>4.2626125085553994</v>
      </c>
      <c r="V1359">
        <v>0.1102421152626919</v>
      </c>
      <c r="W1359">
        <v>-18.751969145862549</v>
      </c>
      <c r="X1359">
        <v>0.62844447071416099</v>
      </c>
      <c r="Z1359" t="s">
        <v>392</v>
      </c>
      <c r="AA1359">
        <v>140</v>
      </c>
      <c r="AB1359" t="s">
        <v>1750</v>
      </c>
      <c r="AC1359" t="str">
        <f>HYPERLINK("plots/20251231112652_3FT6Y119H04_05543_B21P_N_UFLEX98_M5358A8BA201511/dpll_52084/txpa_53184.png","plot")</f>
        <v>plot</v>
      </c>
    </row>
    <row r="1360" spans="1:29" hidden="1" x14ac:dyDescent="0.35">
      <c r="A1360" t="s">
        <v>47</v>
      </c>
      <c r="B1360">
        <v>52084</v>
      </c>
      <c r="C1360" t="s">
        <v>52</v>
      </c>
      <c r="D1360">
        <v>53185</v>
      </c>
      <c r="E1360" t="s">
        <v>60</v>
      </c>
      <c r="F1360">
        <v>7130</v>
      </c>
      <c r="G1360">
        <v>0.1133711027381788</v>
      </c>
      <c r="H1360">
        <v>7.8200852299515788E-22</v>
      </c>
      <c r="I1360">
        <v>7.9854646759022157E-22</v>
      </c>
      <c r="J1360">
        <v>0.1080837991299482</v>
      </c>
      <c r="K1360">
        <v>5.6022226286270898E-20</v>
      </c>
      <c r="L1360">
        <v>5.738034086290776E-20</v>
      </c>
      <c r="M1360">
        <v>7.2351695893804663E-2</v>
      </c>
      <c r="N1360">
        <v>5.3046987902849652E-20</v>
      </c>
      <c r="O1360">
        <v>5.4442961268714109E-20</v>
      </c>
      <c r="P1360">
        <v>1.2853006936070679E-2</v>
      </c>
      <c r="Q1360">
        <v>0.64891793269964138</v>
      </c>
      <c r="R1360">
        <v>-21.476359111617491</v>
      </c>
      <c r="S1360">
        <v>0.62696322897499845</v>
      </c>
      <c r="T1360">
        <v>0.48052764588531932</v>
      </c>
      <c r="U1360">
        <v>4.2625698431977561</v>
      </c>
      <c r="V1360">
        <v>0.11025396318413321</v>
      </c>
      <c r="W1360">
        <v>-18.71030110098177</v>
      </c>
      <c r="X1360">
        <v>0.63107592793393918</v>
      </c>
      <c r="Z1360" t="s">
        <v>392</v>
      </c>
      <c r="AA1360">
        <v>140</v>
      </c>
      <c r="AB1360" t="s">
        <v>1751</v>
      </c>
      <c r="AC1360" t="str">
        <f>HYPERLINK("plots/20251231112652_3FT6Y119H04_05543_B21P_N_UFLEX98_M5358A8BA201511/dpll_52084/txpa_53185.png","plot")</f>
        <v>plot</v>
      </c>
    </row>
    <row r="1361" spans="1:29" hidden="1" x14ac:dyDescent="0.35">
      <c r="A1361" t="s">
        <v>47</v>
      </c>
      <c r="B1361">
        <v>52084</v>
      </c>
      <c r="C1361" t="s">
        <v>52</v>
      </c>
      <c r="D1361">
        <v>53186</v>
      </c>
      <c r="E1361" t="s">
        <v>61</v>
      </c>
      <c r="F1361">
        <v>7129</v>
      </c>
      <c r="G1361">
        <v>0.13789352926498091</v>
      </c>
      <c r="H1361">
        <v>1.325178573884339E-31</v>
      </c>
      <c r="I1361">
        <v>1.4159442296298419E-31</v>
      </c>
      <c r="J1361">
        <v>0.13651005316591339</v>
      </c>
      <c r="K1361">
        <v>5.3135235770603618E-31</v>
      </c>
      <c r="L1361">
        <v>5.8627996813266671E-31</v>
      </c>
      <c r="M1361">
        <v>9.1348268982743591E-2</v>
      </c>
      <c r="N1361">
        <v>6.4915268821112376E-31</v>
      </c>
      <c r="O1361">
        <v>7.1781987551371818E-31</v>
      </c>
      <c r="P1361">
        <v>1.9014625413152131E-2</v>
      </c>
      <c r="Q1361">
        <v>0.8710363072828089</v>
      </c>
      <c r="R1361">
        <v>-22.946343215456739</v>
      </c>
      <c r="S1361">
        <v>0.68960366792155736</v>
      </c>
      <c r="T1361">
        <v>0.52149667462685545</v>
      </c>
      <c r="U1361">
        <v>4.2625780535839528</v>
      </c>
      <c r="V1361">
        <v>0.11023167011737391</v>
      </c>
      <c r="W1361">
        <v>-19.233482968158231</v>
      </c>
      <c r="X1361">
        <v>0.69630378884673372</v>
      </c>
      <c r="Z1361" t="s">
        <v>392</v>
      </c>
      <c r="AA1361">
        <v>140</v>
      </c>
      <c r="AB1361" t="s">
        <v>1752</v>
      </c>
      <c r="AC1361" t="str">
        <f>HYPERLINK("plots/20251231112652_3FT6Y119H04_05543_B21P_N_UFLEX98_M5358A8BA201511/dpll_52084/txpa_53186.png","plot")</f>
        <v>plot</v>
      </c>
    </row>
    <row r="1362" spans="1:29" hidden="1" x14ac:dyDescent="0.35">
      <c r="A1362" t="s">
        <v>47</v>
      </c>
      <c r="B1362">
        <v>52084</v>
      </c>
      <c r="C1362" t="s">
        <v>52</v>
      </c>
      <c r="D1362">
        <v>53187</v>
      </c>
      <c r="E1362" t="s">
        <v>62</v>
      </c>
      <c r="F1362">
        <v>7139</v>
      </c>
      <c r="G1362">
        <v>0.24797181242457511</v>
      </c>
      <c r="H1362">
        <v>1.6905930335178651E-100</v>
      </c>
      <c r="I1362">
        <v>2.699624151160811E-100</v>
      </c>
      <c r="J1362">
        <v>0.23357594679400681</v>
      </c>
      <c r="K1362">
        <v>4.563047241514636E-89</v>
      </c>
      <c r="L1362">
        <v>7.750301344884156E-89</v>
      </c>
      <c r="M1362">
        <v>0.1561000203957974</v>
      </c>
      <c r="N1362">
        <v>4.7073063848333406E-87</v>
      </c>
      <c r="O1362">
        <v>7.9819543047174047E-87</v>
      </c>
      <c r="P1362">
        <v>6.1490019757128651E-2</v>
      </c>
      <c r="Q1362">
        <v>0.59031846503584073</v>
      </c>
      <c r="R1362">
        <v>-10.999281698423809</v>
      </c>
      <c r="S1362">
        <v>0.25421942892062582</v>
      </c>
      <c r="T1362">
        <v>0.19834833299448401</v>
      </c>
      <c r="U1362">
        <v>4.2625965936405663</v>
      </c>
      <c r="V1362">
        <v>0.11023909988438001</v>
      </c>
      <c r="W1362">
        <v>-8.4829922201989074</v>
      </c>
      <c r="X1362">
        <v>0.26243376452504658</v>
      </c>
      <c r="Z1362" t="s">
        <v>392</v>
      </c>
      <c r="AA1362">
        <v>140</v>
      </c>
      <c r="AB1362" t="s">
        <v>1753</v>
      </c>
      <c r="AC1362" t="str">
        <f>HYPERLINK("plots/20251231112652_3FT6Y119H04_05543_B21P_N_UFLEX98_M5358A8BA201511/dpll_52084/txpa_53187.png","plot")</f>
        <v>plot</v>
      </c>
    </row>
    <row r="1363" spans="1:29" hidden="1" x14ac:dyDescent="0.35">
      <c r="A1363" t="s">
        <v>47</v>
      </c>
      <c r="B1363">
        <v>52084</v>
      </c>
      <c r="C1363" t="s">
        <v>52</v>
      </c>
      <c r="D1363">
        <v>53188</v>
      </c>
      <c r="E1363" t="s">
        <v>63</v>
      </c>
      <c r="F1363">
        <v>7139</v>
      </c>
      <c r="G1363">
        <v>0.19558757617503639</v>
      </c>
      <c r="H1363">
        <v>1.70805173363705E-62</v>
      </c>
      <c r="I1363">
        <v>2.094273830602139E-62</v>
      </c>
      <c r="J1363">
        <v>0.18646937051704451</v>
      </c>
      <c r="K1363">
        <v>7.1880591457572444E-57</v>
      </c>
      <c r="L1363">
        <v>9.3684986809740956E-57</v>
      </c>
      <c r="M1363">
        <v>0.1243837607596084</v>
      </c>
      <c r="N1363">
        <v>5.9524956830389672E-56</v>
      </c>
      <c r="O1363">
        <v>7.7184534815876116E-56</v>
      </c>
      <c r="P1363">
        <v>3.8254499954025648E-2</v>
      </c>
      <c r="Q1363">
        <v>0.57732299775500218</v>
      </c>
      <c r="R1363">
        <v>-10.88466500387935</v>
      </c>
      <c r="S1363">
        <v>0.31908979437241269</v>
      </c>
      <c r="T1363">
        <v>0.25671129128876491</v>
      </c>
      <c r="U1363">
        <v>4.2625965936405663</v>
      </c>
      <c r="V1363">
        <v>0.11023909988438001</v>
      </c>
      <c r="W1363">
        <v>-8.4237699602185181</v>
      </c>
      <c r="X1363">
        <v>0.3253967806120116</v>
      </c>
      <c r="Z1363" t="s">
        <v>392</v>
      </c>
      <c r="AA1363">
        <v>140</v>
      </c>
      <c r="AB1363" t="s">
        <v>1754</v>
      </c>
      <c r="AC1363" t="str">
        <f>HYPERLINK("plots/20251231112652_3FT6Y119H04_05543_B21P_N_UFLEX98_M5358A8BA201511/dpll_52084/txpa_53188.png","plot")</f>
        <v>plot</v>
      </c>
    </row>
    <row r="1364" spans="1:29" hidden="1" x14ac:dyDescent="0.35">
      <c r="A1364" t="s">
        <v>47</v>
      </c>
      <c r="B1364">
        <v>52084</v>
      </c>
      <c r="C1364" t="s">
        <v>52</v>
      </c>
      <c r="D1364">
        <v>53189</v>
      </c>
      <c r="E1364" t="s">
        <v>64</v>
      </c>
      <c r="F1364">
        <v>7139</v>
      </c>
      <c r="G1364">
        <v>0.2453217573581894</v>
      </c>
      <c r="H1364">
        <v>2.454019132452663E-98</v>
      </c>
      <c r="I1364">
        <v>3.8699461902130637E-98</v>
      </c>
      <c r="J1364">
        <v>0.23433221829136641</v>
      </c>
      <c r="K1364">
        <v>1.195883905272776E-89</v>
      </c>
      <c r="L1364">
        <v>2.0414583837484769E-89</v>
      </c>
      <c r="M1364">
        <v>0.15686402176943581</v>
      </c>
      <c r="N1364">
        <v>6.8550704006644017E-88</v>
      </c>
      <c r="O1364">
        <v>1.174162396330018E-87</v>
      </c>
      <c r="P1364">
        <v>6.0182764633310362E-2</v>
      </c>
      <c r="Q1364">
        <v>0.56433387341868935</v>
      </c>
      <c r="R1364">
        <v>-10.57131209125065</v>
      </c>
      <c r="S1364">
        <v>0.24582553552403019</v>
      </c>
      <c r="T1364">
        <v>0.19483243296059499</v>
      </c>
      <c r="U1364">
        <v>4.2625965936405663</v>
      </c>
      <c r="V1364">
        <v>0.11023909988438001</v>
      </c>
      <c r="W1364">
        <v>-8.1657844447401597</v>
      </c>
      <c r="X1364">
        <v>0.25359209435756652</v>
      </c>
      <c r="Z1364" t="s">
        <v>392</v>
      </c>
      <c r="AA1364">
        <v>140</v>
      </c>
      <c r="AB1364" t="s">
        <v>1755</v>
      </c>
      <c r="AC1364" t="str">
        <f>HYPERLINK("plots/20251231112652_3FT6Y119H04_05543_B21P_N_UFLEX98_M5358A8BA201511/dpll_52084/txpa_53189.png","plot")</f>
        <v>plot</v>
      </c>
    </row>
    <row r="1365" spans="1:29" hidden="1" x14ac:dyDescent="0.35">
      <c r="A1365" t="s">
        <v>47</v>
      </c>
      <c r="B1365">
        <v>52084</v>
      </c>
      <c r="C1365" t="s">
        <v>52</v>
      </c>
      <c r="D1365">
        <v>53190</v>
      </c>
      <c r="E1365" t="s">
        <v>65</v>
      </c>
      <c r="F1365">
        <v>7139</v>
      </c>
      <c r="G1365">
        <v>0.1995144404139671</v>
      </c>
      <c r="H1365">
        <v>5.2694623521630323E-65</v>
      </c>
      <c r="I1365">
        <v>6.5965862038189053E-65</v>
      </c>
      <c r="J1365">
        <v>0.18671446648399551</v>
      </c>
      <c r="K1365">
        <v>5.1189442665622518E-57</v>
      </c>
      <c r="L1365">
        <v>6.6803210891816264E-57</v>
      </c>
      <c r="M1365">
        <v>0.12523027153267691</v>
      </c>
      <c r="N1365">
        <v>1.0861380750596091E-56</v>
      </c>
      <c r="O1365">
        <v>1.4156092649234489E-56</v>
      </c>
      <c r="P1365">
        <v>3.980601193369844E-2</v>
      </c>
      <c r="Q1365">
        <v>0.54153867902558084</v>
      </c>
      <c r="R1365">
        <v>-10.6418952163945</v>
      </c>
      <c r="S1365">
        <v>0.2931837378155307</v>
      </c>
      <c r="T1365">
        <v>0.2349963674396354</v>
      </c>
      <c r="U1365">
        <v>4.2625965936405663</v>
      </c>
      <c r="V1365">
        <v>0.11023909988438001</v>
      </c>
      <c r="W1365">
        <v>-8.3335342878554428</v>
      </c>
      <c r="X1365">
        <v>0.29922012865078312</v>
      </c>
      <c r="Z1365" t="s">
        <v>392</v>
      </c>
      <c r="AA1365">
        <v>140</v>
      </c>
      <c r="AB1365" t="s">
        <v>1756</v>
      </c>
      <c r="AC1365" t="str">
        <f>HYPERLINK("plots/20251231112652_3FT6Y119H04_05543_B21P_N_UFLEX98_M5358A8BA201511/dpll_52084/txpa_53190.png","plot")</f>
        <v>plot</v>
      </c>
    </row>
    <row r="1366" spans="1:29" hidden="1" x14ac:dyDescent="0.35">
      <c r="A1366" t="s">
        <v>47</v>
      </c>
      <c r="B1366">
        <v>52084</v>
      </c>
      <c r="C1366" t="s">
        <v>52</v>
      </c>
      <c r="D1366">
        <v>53191</v>
      </c>
      <c r="E1366" t="s">
        <v>66</v>
      </c>
      <c r="F1366">
        <v>7139</v>
      </c>
      <c r="G1366">
        <v>0.26385017533266147</v>
      </c>
      <c r="H1366">
        <v>5.2802577939334992E-114</v>
      </c>
      <c r="I1366">
        <v>9.5610382197295862E-114</v>
      </c>
      <c r="J1366">
        <v>0.2443461271782385</v>
      </c>
      <c r="K1366">
        <v>1.510761172971307E-97</v>
      </c>
      <c r="L1366">
        <v>2.7651838075684221E-97</v>
      </c>
      <c r="M1366">
        <v>0.16383975577650389</v>
      </c>
      <c r="N1366">
        <v>1.045444835198991E-95</v>
      </c>
      <c r="O1366">
        <v>1.923922074213752E-95</v>
      </c>
      <c r="P1366">
        <v>6.9616915023076195E-2</v>
      </c>
      <c r="Q1366">
        <v>0.59406245077981534</v>
      </c>
      <c r="R1366">
        <v>-10.51850843930832</v>
      </c>
      <c r="S1366">
        <v>0.2393926751013298</v>
      </c>
      <c r="T1366">
        <v>0.18878931144451691</v>
      </c>
      <c r="U1366">
        <v>4.2625965936405663</v>
      </c>
      <c r="V1366">
        <v>0.11023909988438001</v>
      </c>
      <c r="W1366">
        <v>-7.9862598602045107</v>
      </c>
      <c r="X1366">
        <v>0.2482049131349163</v>
      </c>
      <c r="Z1366" t="s">
        <v>392</v>
      </c>
      <c r="AA1366">
        <v>140</v>
      </c>
      <c r="AB1366" t="s">
        <v>1757</v>
      </c>
      <c r="AC1366" t="str">
        <f>HYPERLINK("plots/20251231112652_3FT6Y119H04_05543_B21P_N_UFLEX98_M5358A8BA201511/dpll_52084/txpa_53191.png","plot")</f>
        <v>plot</v>
      </c>
    </row>
    <row r="1367" spans="1:29" hidden="1" x14ac:dyDescent="0.35">
      <c r="A1367" t="s">
        <v>47</v>
      </c>
      <c r="B1367">
        <v>52084</v>
      </c>
      <c r="C1367" t="s">
        <v>52</v>
      </c>
      <c r="D1367">
        <v>53192</v>
      </c>
      <c r="E1367" t="s">
        <v>67</v>
      </c>
      <c r="F1367">
        <v>7139</v>
      </c>
      <c r="G1367">
        <v>0.21618014512656419</v>
      </c>
      <c r="H1367">
        <v>2.9166375555356688E-76</v>
      </c>
      <c r="I1367">
        <v>3.8862949820146768E-76</v>
      </c>
      <c r="J1367">
        <v>0.21465945070508641</v>
      </c>
      <c r="K1367">
        <v>3.4097347462062001E-75</v>
      </c>
      <c r="L1367">
        <v>5.0920044663521168E-75</v>
      </c>
      <c r="M1367">
        <v>0.14439766276656821</v>
      </c>
      <c r="N1367">
        <v>9.1308817594016077E-75</v>
      </c>
      <c r="O1367">
        <v>1.3635808695188849E-74</v>
      </c>
      <c r="P1367">
        <v>4.6733855146942359E-2</v>
      </c>
      <c r="Q1367">
        <v>0.57437443186197401</v>
      </c>
      <c r="R1367">
        <v>-10.56033319528631</v>
      </c>
      <c r="S1367">
        <v>0.28595099964692122</v>
      </c>
      <c r="T1367">
        <v>0.22526030907296171</v>
      </c>
      <c r="U1367">
        <v>4.2625965936405663</v>
      </c>
      <c r="V1367">
        <v>0.11023909988438001</v>
      </c>
      <c r="W1367">
        <v>-8.1120066985572201</v>
      </c>
      <c r="X1367">
        <v>0.29289702034382448</v>
      </c>
      <c r="Z1367" t="s">
        <v>392</v>
      </c>
      <c r="AA1367">
        <v>140</v>
      </c>
      <c r="AB1367" t="s">
        <v>1758</v>
      </c>
      <c r="AC1367" t="str">
        <f>HYPERLINK("plots/20251231112652_3FT6Y119H04_05543_B21P_N_UFLEX98_M5358A8BA201511/dpll_52084/txpa_53192.png","plot")</f>
        <v>plot</v>
      </c>
    </row>
    <row r="1368" spans="1:29" hidden="1" x14ac:dyDescent="0.35">
      <c r="A1368" t="s">
        <v>47</v>
      </c>
      <c r="B1368">
        <v>52084</v>
      </c>
      <c r="C1368" t="s">
        <v>52</v>
      </c>
      <c r="D1368">
        <v>53193</v>
      </c>
      <c r="E1368" t="s">
        <v>68</v>
      </c>
      <c r="F1368">
        <v>7139</v>
      </c>
      <c r="G1368">
        <v>0.23378561322537941</v>
      </c>
      <c r="H1368">
        <v>3.1494343973272563E-89</v>
      </c>
      <c r="I1368">
        <v>4.6282992447678812E-89</v>
      </c>
      <c r="J1368">
        <v>0.22207465758660169</v>
      </c>
      <c r="K1368">
        <v>1.7690825635162099E-80</v>
      </c>
      <c r="L1368">
        <v>2.764021139299594E-80</v>
      </c>
      <c r="M1368">
        <v>0.14970851176566111</v>
      </c>
      <c r="N1368">
        <v>3.1634286637105291E-80</v>
      </c>
      <c r="O1368">
        <v>4.9732041317867852E-80</v>
      </c>
      <c r="P1368">
        <v>5.4655712951166682E-2</v>
      </c>
      <c r="Q1368">
        <v>0.59930810202339846</v>
      </c>
      <c r="R1368">
        <v>-10.518285412564831</v>
      </c>
      <c r="S1368">
        <v>0.27474677819519461</v>
      </c>
      <c r="T1368">
        <v>0.21892232689766691</v>
      </c>
      <c r="U1368">
        <v>4.2625965936405663</v>
      </c>
      <c r="V1368">
        <v>0.11023909988438001</v>
      </c>
      <c r="W1368">
        <v>-7.9636767383387026</v>
      </c>
      <c r="X1368">
        <v>0.28259731131010202</v>
      </c>
      <c r="Z1368" t="s">
        <v>392</v>
      </c>
      <c r="AA1368">
        <v>140</v>
      </c>
      <c r="AB1368" t="s">
        <v>1759</v>
      </c>
      <c r="AC1368" t="str">
        <f>HYPERLINK("plots/20251231112652_3FT6Y119H04_05543_B21P_N_UFLEX98_M5358A8BA201511/dpll_52084/txpa_53193.png","plot")</f>
        <v>plot</v>
      </c>
    </row>
    <row r="1369" spans="1:29" hidden="1" x14ac:dyDescent="0.35">
      <c r="A1369" t="s">
        <v>47</v>
      </c>
      <c r="B1369">
        <v>52084</v>
      </c>
      <c r="C1369" t="s">
        <v>52</v>
      </c>
      <c r="D1369">
        <v>53194</v>
      </c>
      <c r="E1369" t="s">
        <v>69</v>
      </c>
      <c r="F1369">
        <v>7139</v>
      </c>
      <c r="G1369">
        <v>0.28490534315531052</v>
      </c>
      <c r="H1369">
        <v>2.1022950325081579E-133</v>
      </c>
      <c r="I1369">
        <v>4.4596802572453399E-133</v>
      </c>
      <c r="J1369">
        <v>0.2575522285526517</v>
      </c>
      <c r="K1369">
        <v>1.5609340924070999E-108</v>
      </c>
      <c r="L1369">
        <v>3.109601512182318E-108</v>
      </c>
      <c r="M1369">
        <v>0.17324647760092929</v>
      </c>
      <c r="N1369">
        <v>8.786097246614748E-107</v>
      </c>
      <c r="O1369">
        <v>1.7537603559187711E-106</v>
      </c>
      <c r="P1369">
        <v>8.1171054558445241E-2</v>
      </c>
      <c r="Q1369">
        <v>0.69194836037972496</v>
      </c>
      <c r="R1369">
        <v>-11.443506306924609</v>
      </c>
      <c r="S1369">
        <v>0.25662305089613158</v>
      </c>
      <c r="T1369">
        <v>0.20157618007974221</v>
      </c>
      <c r="U1369">
        <v>4.2625965936405663</v>
      </c>
      <c r="V1369">
        <v>0.11023909988438001</v>
      </c>
      <c r="W1369">
        <v>-8.494009582994817</v>
      </c>
      <c r="X1369">
        <v>0.26773721956190588</v>
      </c>
      <c r="Z1369" t="s">
        <v>392</v>
      </c>
      <c r="AA1369">
        <v>140</v>
      </c>
      <c r="AB1369" t="s">
        <v>1760</v>
      </c>
      <c r="AC1369" t="str">
        <f>HYPERLINK("plots/20251231112652_3FT6Y119H04_05543_B21P_N_UFLEX98_M5358A8BA201511/dpll_52084/txpa_53194.png","plot")</f>
        <v>plot</v>
      </c>
    </row>
    <row r="1370" spans="1:29" hidden="1" x14ac:dyDescent="0.35">
      <c r="A1370" t="s">
        <v>47</v>
      </c>
      <c r="B1370">
        <v>52084</v>
      </c>
      <c r="C1370" t="s">
        <v>52</v>
      </c>
      <c r="D1370">
        <v>53195</v>
      </c>
      <c r="E1370" t="s">
        <v>70</v>
      </c>
      <c r="F1370">
        <v>7139</v>
      </c>
      <c r="G1370">
        <v>0.25977473892014707</v>
      </c>
      <c r="H1370">
        <v>1.905527079586018E-110</v>
      </c>
      <c r="I1370">
        <v>3.3142443545458348E-110</v>
      </c>
      <c r="J1370">
        <v>0.24984355020107249</v>
      </c>
      <c r="K1370">
        <v>4.8457089685917517E-102</v>
      </c>
      <c r="L1370">
        <v>9.2014024235056852E-102</v>
      </c>
      <c r="M1370">
        <v>0.16737130997470029</v>
      </c>
      <c r="N1370">
        <v>8.3408030668952866E-100</v>
      </c>
      <c r="O1370">
        <v>1.5867869249215419E-99</v>
      </c>
      <c r="P1370">
        <v>6.7482914981030609E-2</v>
      </c>
      <c r="Q1370">
        <v>0.59003978633510346</v>
      </c>
      <c r="R1370">
        <v>-5.0033678410835991</v>
      </c>
      <c r="S1370">
        <v>0.24177868885641471</v>
      </c>
      <c r="T1370">
        <v>0.18827215425882199</v>
      </c>
      <c r="U1370">
        <v>4.2625965936405663</v>
      </c>
      <c r="V1370">
        <v>0.11023909988438001</v>
      </c>
      <c r="W1370">
        <v>-2.4882662577391801</v>
      </c>
      <c r="X1370">
        <v>0.25039176330978141</v>
      </c>
      <c r="Z1370" t="s">
        <v>392</v>
      </c>
      <c r="AA1370">
        <v>140</v>
      </c>
      <c r="AB1370" t="s">
        <v>1761</v>
      </c>
      <c r="AC1370" t="str">
        <f>HYPERLINK("plots/20251231112652_3FT6Y119H04_05543_B21P_N_UFLEX98_M5358A8BA201511/dpll_52084/txpa_53195.png","plot")</f>
        <v>plot</v>
      </c>
    </row>
    <row r="1371" spans="1:29" hidden="1" x14ac:dyDescent="0.35">
      <c r="A1371" t="s">
        <v>47</v>
      </c>
      <c r="B1371">
        <v>52084</v>
      </c>
      <c r="C1371" t="s">
        <v>52</v>
      </c>
      <c r="D1371">
        <v>53196</v>
      </c>
      <c r="E1371" t="s">
        <v>71</v>
      </c>
      <c r="F1371">
        <v>7139</v>
      </c>
      <c r="G1371">
        <v>0.20087031602561661</v>
      </c>
      <c r="H1371">
        <v>6.95643761664736E-66</v>
      </c>
      <c r="I1371">
        <v>8.7625189357520783E-66</v>
      </c>
      <c r="J1371">
        <v>0.19433638459404401</v>
      </c>
      <c r="K1371">
        <v>1.0501067001734109E-61</v>
      </c>
      <c r="L1371">
        <v>1.4047601503639039E-61</v>
      </c>
      <c r="M1371">
        <v>0.1297365476460752</v>
      </c>
      <c r="N1371">
        <v>1.020773864617264E-60</v>
      </c>
      <c r="O1371">
        <v>1.3673245689853451E-60</v>
      </c>
      <c r="P1371">
        <v>4.034888386023109E-2</v>
      </c>
      <c r="Q1371">
        <v>0.57433919893642638</v>
      </c>
      <c r="R1371">
        <v>-4.8894468229960708</v>
      </c>
      <c r="S1371">
        <v>0.30875544196629601</v>
      </c>
      <c r="T1371">
        <v>0.2489142483057884</v>
      </c>
      <c r="U1371">
        <v>4.2625965936405663</v>
      </c>
      <c r="V1371">
        <v>0.11023909988438001</v>
      </c>
      <c r="W1371">
        <v>-2.441270510015408</v>
      </c>
      <c r="X1371">
        <v>0.31520155676458012</v>
      </c>
      <c r="Z1371" t="s">
        <v>392</v>
      </c>
      <c r="AA1371">
        <v>140</v>
      </c>
      <c r="AB1371" t="s">
        <v>1762</v>
      </c>
      <c r="AC1371" t="str">
        <f>HYPERLINK("plots/20251231112652_3FT6Y119H04_05543_B21P_N_UFLEX98_M5358A8BA201511/dpll_52084/txpa_53196.png","plot")</f>
        <v>plot</v>
      </c>
    </row>
    <row r="1372" spans="1:29" hidden="1" x14ac:dyDescent="0.35">
      <c r="A1372" t="s">
        <v>47</v>
      </c>
      <c r="B1372">
        <v>52084</v>
      </c>
      <c r="C1372" t="s">
        <v>52</v>
      </c>
      <c r="D1372">
        <v>53197</v>
      </c>
      <c r="E1372" t="s">
        <v>72</v>
      </c>
      <c r="F1372">
        <v>7139</v>
      </c>
      <c r="G1372">
        <v>0.26193741614417487</v>
      </c>
      <c r="H1372">
        <v>2.5127220484361942E-112</v>
      </c>
      <c r="I1372">
        <v>4.4543709040459797E-112</v>
      </c>
      <c r="J1372">
        <v>0.25428225198218368</v>
      </c>
      <c r="K1372">
        <v>9.4308595934971663E-106</v>
      </c>
      <c r="L1372">
        <v>1.8425610072844181E-105</v>
      </c>
      <c r="M1372">
        <v>0.17048128166053941</v>
      </c>
      <c r="N1372">
        <v>1.7768113987866389E-103</v>
      </c>
      <c r="O1372">
        <v>3.4916410045923479E-103</v>
      </c>
      <c r="P1372">
        <v>6.8611209976286669E-2</v>
      </c>
      <c r="Q1372">
        <v>0.57480453072286575</v>
      </c>
      <c r="R1372">
        <v>-4.6325950901664203</v>
      </c>
      <c r="S1372">
        <v>0.23344973546774239</v>
      </c>
      <c r="T1372">
        <v>0.18501182539250829</v>
      </c>
      <c r="U1372">
        <v>4.2625965936405663</v>
      </c>
      <c r="V1372">
        <v>0.11023909988438001</v>
      </c>
      <c r="W1372">
        <v>-2.1824352554979689</v>
      </c>
      <c r="X1372">
        <v>0.2419124957752293</v>
      </c>
      <c r="Z1372" t="s">
        <v>392</v>
      </c>
      <c r="AA1372">
        <v>140</v>
      </c>
      <c r="AB1372" t="s">
        <v>1763</v>
      </c>
      <c r="AC1372" t="str">
        <f>HYPERLINK("plots/20251231112652_3FT6Y119H04_05543_B21P_N_UFLEX98_M5358A8BA201511/dpll_52084/txpa_53197.png","plot")</f>
        <v>plot</v>
      </c>
    </row>
    <row r="1373" spans="1:29" hidden="1" x14ac:dyDescent="0.35">
      <c r="A1373" t="s">
        <v>47</v>
      </c>
      <c r="B1373">
        <v>52084</v>
      </c>
      <c r="C1373" t="s">
        <v>52</v>
      </c>
      <c r="D1373">
        <v>53198</v>
      </c>
      <c r="E1373" t="s">
        <v>73</v>
      </c>
      <c r="F1373">
        <v>7139</v>
      </c>
      <c r="G1373">
        <v>0.2061127272769932</v>
      </c>
      <c r="H1373">
        <v>2.4090338721159349E-69</v>
      </c>
      <c r="I1373">
        <v>3.0726545236799471E-69</v>
      </c>
      <c r="J1373">
        <v>0.19567728689732811</v>
      </c>
      <c r="K1373">
        <v>1.498788076374811E-62</v>
      </c>
      <c r="L1373">
        <v>2.0290669017944699E-62</v>
      </c>
      <c r="M1373">
        <v>0.13121761766676049</v>
      </c>
      <c r="N1373">
        <v>4.5394216969538801E-62</v>
      </c>
      <c r="O1373">
        <v>6.1291259663265454E-62</v>
      </c>
      <c r="P1373">
        <v>4.2482456345560193E-2</v>
      </c>
      <c r="Q1373">
        <v>0.53953489371523966</v>
      </c>
      <c r="R1373">
        <v>-4.6795948838940546</v>
      </c>
      <c r="S1373">
        <v>0.28235360479567018</v>
      </c>
      <c r="T1373">
        <v>0.22692068181121519</v>
      </c>
      <c r="U1373">
        <v>4.2625965936405663</v>
      </c>
      <c r="V1373">
        <v>0.11023909988438001</v>
      </c>
      <c r="W1373">
        <v>-2.379775283793248</v>
      </c>
      <c r="X1373">
        <v>0.28856947275968498</v>
      </c>
      <c r="Z1373" t="s">
        <v>392</v>
      </c>
      <c r="AA1373">
        <v>140</v>
      </c>
      <c r="AB1373" t="s">
        <v>1764</v>
      </c>
      <c r="AC1373" t="str">
        <f>HYPERLINK("plots/20251231112652_3FT6Y119H04_05543_B21P_N_UFLEX98_M5358A8BA201511/dpll_52084/txpa_53198.png","plot")</f>
        <v>plot</v>
      </c>
    </row>
    <row r="1374" spans="1:29" hidden="1" x14ac:dyDescent="0.35">
      <c r="A1374" t="s">
        <v>47</v>
      </c>
      <c r="B1374">
        <v>52084</v>
      </c>
      <c r="C1374" t="s">
        <v>52</v>
      </c>
      <c r="D1374">
        <v>53199</v>
      </c>
      <c r="E1374" t="s">
        <v>74</v>
      </c>
      <c r="F1374">
        <v>7139</v>
      </c>
      <c r="G1374">
        <v>0.27835280567724319</v>
      </c>
      <c r="H1374">
        <v>3.5113977851703831E-127</v>
      </c>
      <c r="I1374">
        <v>6.9678226108860438E-127</v>
      </c>
      <c r="J1374">
        <v>0.26391109897413462</v>
      </c>
      <c r="K1374">
        <v>4.666544814946714E-114</v>
      </c>
      <c r="L1374">
        <v>9.5593463481938736E-114</v>
      </c>
      <c r="M1374">
        <v>0.17730211343569899</v>
      </c>
      <c r="N1374">
        <v>9.1950262866506092E-112</v>
      </c>
      <c r="O1374">
        <v>1.883587202962367E-111</v>
      </c>
      <c r="P1374">
        <v>7.7480284428393109E-2</v>
      </c>
      <c r="Q1374">
        <v>0.59698345520717833</v>
      </c>
      <c r="R1374">
        <v>-4.5798855251024317</v>
      </c>
      <c r="S1374">
        <v>0.22706999984012249</v>
      </c>
      <c r="T1374">
        <v>0.17897604874902459</v>
      </c>
      <c r="U1374">
        <v>4.2625965936405663</v>
      </c>
      <c r="V1374">
        <v>0.11023909988438001</v>
      </c>
      <c r="W1374">
        <v>-2.035185882476537</v>
      </c>
      <c r="X1374">
        <v>0.23642987390691439</v>
      </c>
      <c r="Z1374" t="s">
        <v>392</v>
      </c>
      <c r="AA1374">
        <v>140</v>
      </c>
      <c r="AB1374" t="s">
        <v>1765</v>
      </c>
      <c r="AC1374" t="str">
        <f>HYPERLINK("plots/20251231112652_3FT6Y119H04_05543_B21P_N_UFLEX98_M5358A8BA201511/dpll_52084/txpa_53199.png","plot")</f>
        <v>plot</v>
      </c>
    </row>
    <row r="1375" spans="1:29" hidden="1" x14ac:dyDescent="0.35">
      <c r="A1375" t="s">
        <v>47</v>
      </c>
      <c r="B1375">
        <v>52084</v>
      </c>
      <c r="C1375" t="s">
        <v>52</v>
      </c>
      <c r="D1375">
        <v>53200</v>
      </c>
      <c r="E1375" t="s">
        <v>75</v>
      </c>
      <c r="F1375">
        <v>7139</v>
      </c>
      <c r="G1375">
        <v>0.22686476121040669</v>
      </c>
      <c r="H1375">
        <v>5.3570111593358469E-84</v>
      </c>
      <c r="I1375">
        <v>7.5444573827313178E-84</v>
      </c>
      <c r="J1375">
        <v>0.23004276839867849</v>
      </c>
      <c r="K1375">
        <v>2.2316368924729841E-86</v>
      </c>
      <c r="L1375">
        <v>3.6914841908117554E-86</v>
      </c>
      <c r="M1375">
        <v>0.15519800434482581</v>
      </c>
      <c r="N1375">
        <v>4.3783851913125371E-86</v>
      </c>
      <c r="O1375">
        <v>7.3021095131429486E-86</v>
      </c>
      <c r="P1375">
        <v>5.1467619879054849E-2</v>
      </c>
      <c r="Q1375">
        <v>0.58383066027664854</v>
      </c>
      <c r="R1375">
        <v>-4.6322433841503763</v>
      </c>
      <c r="S1375">
        <v>0.27628109970891002</v>
      </c>
      <c r="T1375">
        <v>0.2171968278570445</v>
      </c>
      <c r="U1375">
        <v>4.2625965936405663</v>
      </c>
      <c r="V1375">
        <v>0.11023909988438001</v>
      </c>
      <c r="W1375">
        <v>-2.143608800392212</v>
      </c>
      <c r="X1375">
        <v>0.28369750388033682</v>
      </c>
      <c r="Z1375" t="s">
        <v>392</v>
      </c>
      <c r="AA1375">
        <v>140</v>
      </c>
      <c r="AB1375" t="s">
        <v>1766</v>
      </c>
      <c r="AC1375" t="str">
        <f>HYPERLINK("plots/20251231112652_3FT6Y119H04_05543_B21P_N_UFLEX98_M5358A8BA201511/dpll_52084/txpa_53200.png","plot")</f>
        <v>plot</v>
      </c>
    </row>
    <row r="1376" spans="1:29" hidden="1" x14ac:dyDescent="0.35">
      <c r="A1376" t="s">
        <v>47</v>
      </c>
      <c r="B1376">
        <v>52084</v>
      </c>
      <c r="C1376" t="s">
        <v>52</v>
      </c>
      <c r="D1376">
        <v>53201</v>
      </c>
      <c r="E1376" t="s">
        <v>76</v>
      </c>
      <c r="F1376">
        <v>7139</v>
      </c>
      <c r="G1376">
        <v>0.24321816410841821</v>
      </c>
      <c r="H1376">
        <v>1.222806083961973E-96</v>
      </c>
      <c r="I1376">
        <v>1.8901301358802449E-96</v>
      </c>
      <c r="J1376">
        <v>0.23481672787250971</v>
      </c>
      <c r="K1376">
        <v>5.0583357184201412E-90</v>
      </c>
      <c r="L1376">
        <v>8.6787688975939487E-90</v>
      </c>
      <c r="M1376">
        <v>0.15842253730615119</v>
      </c>
      <c r="N1376">
        <v>1.2796546775753709E-89</v>
      </c>
      <c r="O1376">
        <v>2.2218661696257309E-89</v>
      </c>
      <c r="P1376">
        <v>5.9155075352269451E-2</v>
      </c>
      <c r="Q1376">
        <v>0.59874239789464412</v>
      </c>
      <c r="R1376">
        <v>-4.5355925482048276</v>
      </c>
      <c r="S1376">
        <v>0.26321356595379503</v>
      </c>
      <c r="T1376">
        <v>0.21000834170703181</v>
      </c>
      <c r="U1376">
        <v>4.2625965936405663</v>
      </c>
      <c r="V1376">
        <v>0.11023909988438001</v>
      </c>
      <c r="W1376">
        <v>-1.983395242470934</v>
      </c>
      <c r="X1376">
        <v>0.27138114148866871</v>
      </c>
      <c r="Z1376" t="s">
        <v>392</v>
      </c>
      <c r="AA1376">
        <v>140</v>
      </c>
      <c r="AB1376" t="s">
        <v>1767</v>
      </c>
      <c r="AC1376" t="str">
        <f>HYPERLINK("plots/20251231112652_3FT6Y119H04_05543_B21P_N_UFLEX98_M5358A8BA201511/dpll_52084/txpa_53201.png","plot")</f>
        <v>plot</v>
      </c>
    </row>
    <row r="1377" spans="1:29" hidden="1" x14ac:dyDescent="0.35">
      <c r="A1377" t="s">
        <v>47</v>
      </c>
      <c r="B1377">
        <v>52084</v>
      </c>
      <c r="C1377" t="s">
        <v>52</v>
      </c>
      <c r="D1377">
        <v>53202</v>
      </c>
      <c r="E1377" t="s">
        <v>77</v>
      </c>
      <c r="F1377">
        <v>7139</v>
      </c>
      <c r="G1377">
        <v>0.29241192746985212</v>
      </c>
      <c r="H1377">
        <v>9.6508886828709839E-141</v>
      </c>
      <c r="I1377">
        <v>2.1892619965170419E-140</v>
      </c>
      <c r="J1377">
        <v>0.26796371861986468</v>
      </c>
      <c r="K1377">
        <v>1.168490246882894E-117</v>
      </c>
      <c r="L1377">
        <v>2.4581931749777059E-117</v>
      </c>
      <c r="M1377">
        <v>0.1805356561359614</v>
      </c>
      <c r="N1377">
        <v>8.3639760732225193E-116</v>
      </c>
      <c r="O1377">
        <v>1.7742827904283749E-115</v>
      </c>
      <c r="P1377">
        <v>8.5504735326634052E-2</v>
      </c>
      <c r="Q1377">
        <v>0.67986274631272259</v>
      </c>
      <c r="R1377">
        <v>-5.393674178333681</v>
      </c>
      <c r="S1377">
        <v>0.24508804671176121</v>
      </c>
      <c r="T1377">
        <v>0.19290187346885079</v>
      </c>
      <c r="U1377">
        <v>4.2625965936405663</v>
      </c>
      <c r="V1377">
        <v>0.11023909988438001</v>
      </c>
      <c r="W1377">
        <v>-2.4956935517579488</v>
      </c>
      <c r="X1377">
        <v>0.25630779786219321</v>
      </c>
      <c r="Z1377" t="s">
        <v>392</v>
      </c>
      <c r="AA1377">
        <v>140</v>
      </c>
      <c r="AB1377" t="s">
        <v>1768</v>
      </c>
      <c r="AC1377" t="str">
        <f>HYPERLINK("plots/20251231112652_3FT6Y119H04_05543_B21P_N_UFLEX98_M5358A8BA201511/dpll_52084/txpa_53202.png","plot")</f>
        <v>plot</v>
      </c>
    </row>
    <row r="1378" spans="1:29" hidden="1" x14ac:dyDescent="0.35">
      <c r="A1378" t="s">
        <v>47</v>
      </c>
      <c r="B1378">
        <v>52084</v>
      </c>
      <c r="C1378" t="s">
        <v>52</v>
      </c>
      <c r="D1378">
        <v>53203</v>
      </c>
      <c r="E1378" t="s">
        <v>78</v>
      </c>
      <c r="F1378">
        <v>7139</v>
      </c>
      <c r="G1378">
        <v>0.27058568910834452</v>
      </c>
      <c r="H1378">
        <v>5.0575748202751427E-120</v>
      </c>
      <c r="I1378">
        <v>9.514621275990714E-120</v>
      </c>
      <c r="J1378">
        <v>0.26444346754185533</v>
      </c>
      <c r="K1378">
        <v>1.583059864972628E-114</v>
      </c>
      <c r="L1378">
        <v>3.2626477704923678E-114</v>
      </c>
      <c r="M1378">
        <v>0.17767303531913239</v>
      </c>
      <c r="N1378">
        <v>3.1720212337017102E-112</v>
      </c>
      <c r="O1378">
        <v>6.5109909533877207E-112</v>
      </c>
      <c r="P1378">
        <v>7.3216615150237668E-2</v>
      </c>
      <c r="Q1378">
        <v>0.59523318158882765</v>
      </c>
      <c r="R1378">
        <v>-2.0026893388890721</v>
      </c>
      <c r="S1378">
        <v>0.23344074927531841</v>
      </c>
      <c r="T1378">
        <v>0.18154909951414691</v>
      </c>
      <c r="U1378">
        <v>4.2625965936405663</v>
      </c>
      <c r="V1378">
        <v>0.11023909988438001</v>
      </c>
      <c r="W1378">
        <v>0.53454959337330155</v>
      </c>
      <c r="X1378">
        <v>0.24250347598166669</v>
      </c>
      <c r="Z1378" t="s">
        <v>392</v>
      </c>
      <c r="AA1378">
        <v>140</v>
      </c>
      <c r="AB1378" t="s">
        <v>1769</v>
      </c>
      <c r="AC1378" t="str">
        <f>HYPERLINK("plots/20251231112652_3FT6Y119H04_05543_B21P_N_UFLEX98_M5358A8BA201511/dpll_52084/txpa_53203.png","plot")</f>
        <v>plot</v>
      </c>
    </row>
    <row r="1379" spans="1:29" hidden="1" x14ac:dyDescent="0.35">
      <c r="A1379" t="s">
        <v>47</v>
      </c>
      <c r="B1379">
        <v>52084</v>
      </c>
      <c r="C1379" t="s">
        <v>52</v>
      </c>
      <c r="D1379">
        <v>53204</v>
      </c>
      <c r="E1379" t="s">
        <v>79</v>
      </c>
      <c r="F1379">
        <v>7139</v>
      </c>
      <c r="G1379">
        <v>0.2116383812118271</v>
      </c>
      <c r="H1379">
        <v>4.2634677902448628E-73</v>
      </c>
      <c r="I1379">
        <v>5.563907772597544E-73</v>
      </c>
      <c r="J1379">
        <v>0.20729594018294409</v>
      </c>
      <c r="K1379">
        <v>3.8677765358530043E-70</v>
      </c>
      <c r="L1379">
        <v>5.5316296295556347E-70</v>
      </c>
      <c r="M1379">
        <v>0.13844085164556549</v>
      </c>
      <c r="N1379">
        <v>6.9519914465501357E-69</v>
      </c>
      <c r="O1379">
        <v>9.8729962560249828E-69</v>
      </c>
      <c r="P1379">
        <v>4.4790804401962661E-2</v>
      </c>
      <c r="Q1379">
        <v>0.58523619176421904</v>
      </c>
      <c r="R1379">
        <v>-1.9125480963068191</v>
      </c>
      <c r="S1379">
        <v>0.2979142185423323</v>
      </c>
      <c r="T1379">
        <v>0.24019383181355841</v>
      </c>
      <c r="U1379">
        <v>4.2625965936405663</v>
      </c>
      <c r="V1379">
        <v>0.11023909988438001</v>
      </c>
      <c r="W1379">
        <v>0.58207770118251845</v>
      </c>
      <c r="X1379">
        <v>0.30484031596932548</v>
      </c>
      <c r="Z1379" t="s">
        <v>392</v>
      </c>
      <c r="AA1379">
        <v>140</v>
      </c>
      <c r="AB1379" t="s">
        <v>1770</v>
      </c>
      <c r="AC1379" t="str">
        <f>HYPERLINK("plots/20251231112652_3FT6Y119H04_05543_B21P_N_UFLEX98_M5358A8BA201511/dpll_52084/txpa_53204.png","plot")</f>
        <v>plot</v>
      </c>
    </row>
    <row r="1380" spans="1:29" hidden="1" x14ac:dyDescent="0.35">
      <c r="A1380" t="s">
        <v>47</v>
      </c>
      <c r="B1380">
        <v>52084</v>
      </c>
      <c r="C1380" t="s">
        <v>52</v>
      </c>
      <c r="D1380">
        <v>53205</v>
      </c>
      <c r="E1380" t="s">
        <v>80</v>
      </c>
      <c r="F1380">
        <v>7139</v>
      </c>
      <c r="G1380">
        <v>0.27713219536649791</v>
      </c>
      <c r="H1380">
        <v>4.8530621798193143E-126</v>
      </c>
      <c r="I1380">
        <v>9.4634712506476632E-126</v>
      </c>
      <c r="J1380">
        <v>0.27214185288205012</v>
      </c>
      <c r="K1380">
        <v>1.9431702947273338E-121</v>
      </c>
      <c r="L1380">
        <v>4.2464971527015453E-121</v>
      </c>
      <c r="M1380">
        <v>0.18282852521295551</v>
      </c>
      <c r="N1380">
        <v>1.0227017174286049E-118</v>
      </c>
      <c r="O1380">
        <v>2.279163827412319E-118</v>
      </c>
      <c r="P1380">
        <v>7.6802253708654733E-2</v>
      </c>
      <c r="Q1380">
        <v>0.58676768691258652</v>
      </c>
      <c r="R1380">
        <v>-1.673779156372321</v>
      </c>
      <c r="S1380">
        <v>0.22424967091494891</v>
      </c>
      <c r="T1380">
        <v>0.17734144639256599</v>
      </c>
      <c r="U1380">
        <v>4.2625965936405663</v>
      </c>
      <c r="V1380">
        <v>0.11023909988438001</v>
      </c>
      <c r="W1380">
        <v>0.82737478711962464</v>
      </c>
      <c r="X1380">
        <v>0.23340753159675259</v>
      </c>
      <c r="Z1380" t="s">
        <v>392</v>
      </c>
      <c r="AA1380">
        <v>140</v>
      </c>
      <c r="AB1380" t="s">
        <v>1771</v>
      </c>
      <c r="AC1380" t="str">
        <f>HYPERLINK("plots/20251231112652_3FT6Y119H04_05543_B21P_N_UFLEX98_M5358A8BA201511/dpll_52084/txpa_53205.png","plot")</f>
        <v>plot</v>
      </c>
    </row>
    <row r="1381" spans="1:29" hidden="1" x14ac:dyDescent="0.35">
      <c r="A1381" t="s">
        <v>47</v>
      </c>
      <c r="B1381">
        <v>52084</v>
      </c>
      <c r="C1381" t="s">
        <v>52</v>
      </c>
      <c r="D1381">
        <v>53206</v>
      </c>
      <c r="E1381" t="s">
        <v>81</v>
      </c>
      <c r="F1381">
        <v>7139</v>
      </c>
      <c r="G1381">
        <v>0.21732089783439179</v>
      </c>
      <c r="H1381">
        <v>4.5544501603853116E-77</v>
      </c>
      <c r="I1381">
        <v>6.0926285786684791E-77</v>
      </c>
      <c r="J1381">
        <v>0.20937450510210659</v>
      </c>
      <c r="K1381">
        <v>1.513649849736285E-71</v>
      </c>
      <c r="L1381">
        <v>2.1989125324249189E-71</v>
      </c>
      <c r="M1381">
        <v>0.14052165930025501</v>
      </c>
      <c r="N1381">
        <v>6.4923232518711019E-71</v>
      </c>
      <c r="O1381">
        <v>9.4722529171184121E-71</v>
      </c>
      <c r="P1381">
        <v>4.7228372635546183E-2</v>
      </c>
      <c r="Q1381">
        <v>0.55144975294078469</v>
      </c>
      <c r="R1381">
        <v>-1.7153448754753751</v>
      </c>
      <c r="S1381">
        <v>0.27302606077497849</v>
      </c>
      <c r="T1381">
        <v>0.21949058548410261</v>
      </c>
      <c r="U1381">
        <v>4.2625965936405663</v>
      </c>
      <c r="V1381">
        <v>0.11023909988438001</v>
      </c>
      <c r="W1381">
        <v>0.63526296297394591</v>
      </c>
      <c r="X1381">
        <v>0.27973068858744338</v>
      </c>
      <c r="Z1381" t="s">
        <v>392</v>
      </c>
      <c r="AA1381">
        <v>140</v>
      </c>
      <c r="AB1381" t="s">
        <v>1772</v>
      </c>
      <c r="AC1381" t="str">
        <f>HYPERLINK("plots/20251231112652_3FT6Y119H04_05543_B21P_N_UFLEX98_M5358A8BA201511/dpll_52084/txpa_53206.png","plot")</f>
        <v>plot</v>
      </c>
    </row>
    <row r="1382" spans="1:29" hidden="1" x14ac:dyDescent="0.35">
      <c r="A1382" t="s">
        <v>47</v>
      </c>
      <c r="B1382">
        <v>52084</v>
      </c>
      <c r="C1382" t="s">
        <v>52</v>
      </c>
      <c r="D1382">
        <v>53207</v>
      </c>
      <c r="E1382" t="s">
        <v>82</v>
      </c>
      <c r="F1382">
        <v>7139</v>
      </c>
      <c r="G1382">
        <v>0.29506859573475058</v>
      </c>
      <c r="H1382">
        <v>2.154919084135263E-143</v>
      </c>
      <c r="I1382">
        <v>5.0580739613730478E-143</v>
      </c>
      <c r="J1382">
        <v>0.2836375793787273</v>
      </c>
      <c r="K1382">
        <v>3.4663841749247011E-132</v>
      </c>
      <c r="L1382">
        <v>8.5939206683952253E-132</v>
      </c>
      <c r="M1382">
        <v>0.19109406975541371</v>
      </c>
      <c r="N1382">
        <v>1.6447939239046921E-129</v>
      </c>
      <c r="O1382">
        <v>4.0778020509519738E-129</v>
      </c>
      <c r="P1382">
        <v>8.7065476188877666E-2</v>
      </c>
      <c r="Q1382">
        <v>0.61236868779682085</v>
      </c>
      <c r="R1382">
        <v>-1.647313924044423</v>
      </c>
      <c r="S1382">
        <v>0.21858232481786</v>
      </c>
      <c r="T1382">
        <v>0.1722573731658005</v>
      </c>
      <c r="U1382">
        <v>4.2625965936405663</v>
      </c>
      <c r="V1382">
        <v>0.11023909988438001</v>
      </c>
      <c r="W1382">
        <v>0.96296675861044956</v>
      </c>
      <c r="X1382">
        <v>0.22878399774127539</v>
      </c>
      <c r="Z1382" t="s">
        <v>392</v>
      </c>
      <c r="AA1382">
        <v>140</v>
      </c>
      <c r="AB1382" t="s">
        <v>1773</v>
      </c>
      <c r="AC1382" t="str">
        <f>HYPERLINK("plots/20251231112652_3FT6Y119H04_05543_B21P_N_UFLEX98_M5358A8BA201511/dpll_52084/txpa_53207.png","plot")</f>
        <v>plot</v>
      </c>
    </row>
    <row r="1383" spans="1:29" hidden="1" x14ac:dyDescent="0.35">
      <c r="A1383" t="s">
        <v>47</v>
      </c>
      <c r="B1383">
        <v>52084</v>
      </c>
      <c r="C1383" t="s">
        <v>52</v>
      </c>
      <c r="D1383">
        <v>53208</v>
      </c>
      <c r="E1383" t="s">
        <v>83</v>
      </c>
      <c r="F1383">
        <v>7139</v>
      </c>
      <c r="G1383">
        <v>0.2391386982380331</v>
      </c>
      <c r="H1383">
        <v>2.1508864018218698E-93</v>
      </c>
      <c r="I1383">
        <v>3.2698632855283001E-93</v>
      </c>
      <c r="J1383">
        <v>0.24533971188462031</v>
      </c>
      <c r="K1383">
        <v>2.3731162798605119E-98</v>
      </c>
      <c r="L1383">
        <v>4.3751634686882892E-98</v>
      </c>
      <c r="M1383">
        <v>0.16574003386796429</v>
      </c>
      <c r="N1383">
        <v>6.5539238569803619E-98</v>
      </c>
      <c r="O1383">
        <v>1.2238819136239571E-97</v>
      </c>
      <c r="P1383">
        <v>5.7187316994981072E-2</v>
      </c>
      <c r="Q1383">
        <v>0.59396634718237895</v>
      </c>
      <c r="R1383">
        <v>-1.6711375787809319</v>
      </c>
      <c r="S1383">
        <v>0.26584587509258178</v>
      </c>
      <c r="T1383">
        <v>0.20901808094496571</v>
      </c>
      <c r="U1383">
        <v>4.2625965936405663</v>
      </c>
      <c r="V1383">
        <v>0.11023909988438001</v>
      </c>
      <c r="W1383">
        <v>0.86070134945580612</v>
      </c>
      <c r="X1383">
        <v>0.27380894835273811</v>
      </c>
      <c r="Z1383" t="s">
        <v>392</v>
      </c>
      <c r="AA1383">
        <v>140</v>
      </c>
      <c r="AB1383" t="s">
        <v>1774</v>
      </c>
      <c r="AC1383" t="str">
        <f>HYPERLINK("plots/20251231112652_3FT6Y119H04_05543_B21P_N_UFLEX98_M5358A8BA201511/dpll_52084/txpa_53208.png","plot")</f>
        <v>plot</v>
      </c>
    </row>
    <row r="1384" spans="1:29" hidden="1" x14ac:dyDescent="0.35">
      <c r="A1384" t="s">
        <v>47</v>
      </c>
      <c r="B1384">
        <v>52084</v>
      </c>
      <c r="C1384" t="s">
        <v>52</v>
      </c>
      <c r="D1384">
        <v>53209</v>
      </c>
      <c r="E1384" t="s">
        <v>84</v>
      </c>
      <c r="F1384">
        <v>7139</v>
      </c>
      <c r="G1384">
        <v>0.25768045952068319</v>
      </c>
      <c r="H1384">
        <v>1.2119893663599049E-108</v>
      </c>
      <c r="I1384">
        <v>2.0724405016676951E-108</v>
      </c>
      <c r="J1384">
        <v>0.25128969803390022</v>
      </c>
      <c r="K1384">
        <v>3.051244259743825E-103</v>
      </c>
      <c r="L1384">
        <v>5.8486988268057448E-103</v>
      </c>
      <c r="M1384">
        <v>0.16973748736815369</v>
      </c>
      <c r="N1384">
        <v>1.3525149627338589E-102</v>
      </c>
      <c r="O1384">
        <v>2.6172713210155199E-102</v>
      </c>
      <c r="P1384">
        <v>6.6399219218790453E-2</v>
      </c>
      <c r="Q1384">
        <v>0.60971510891700542</v>
      </c>
      <c r="R1384">
        <v>-1.5811237459265799</v>
      </c>
      <c r="S1384">
        <v>0.25201785641523627</v>
      </c>
      <c r="T1384">
        <v>0.20063811477922611</v>
      </c>
      <c r="U1384">
        <v>4.2625965936405663</v>
      </c>
      <c r="V1384">
        <v>0.11023909988438001</v>
      </c>
      <c r="W1384">
        <v>1.017845800434235</v>
      </c>
      <c r="X1384">
        <v>0.26084416691100459</v>
      </c>
      <c r="Z1384" t="s">
        <v>392</v>
      </c>
      <c r="AA1384">
        <v>140</v>
      </c>
      <c r="AB1384" t="s">
        <v>1775</v>
      </c>
      <c r="AC1384" t="str">
        <f>HYPERLINK("plots/20251231112652_3FT6Y119H04_05543_B21P_N_UFLEX98_M5358A8BA201511/dpll_52084/txpa_53209.png","plot")</f>
        <v>plot</v>
      </c>
    </row>
    <row r="1385" spans="1:29" hidden="1" x14ac:dyDescent="0.35">
      <c r="A1385" t="s">
        <v>47</v>
      </c>
      <c r="B1385">
        <v>52084</v>
      </c>
      <c r="C1385" t="s">
        <v>52</v>
      </c>
      <c r="D1385">
        <v>53210</v>
      </c>
      <c r="E1385" t="s">
        <v>85</v>
      </c>
      <c r="F1385">
        <v>7139</v>
      </c>
      <c r="G1385">
        <v>0.301702512329935</v>
      </c>
      <c r="H1385">
        <v>3.8778322627826501E-150</v>
      </c>
      <c r="I1385">
        <v>9.8549421415077851E-150</v>
      </c>
      <c r="J1385">
        <v>0.28026491017699301</v>
      </c>
      <c r="K1385">
        <v>5.5856277630948973E-129</v>
      </c>
      <c r="L1385">
        <v>1.3421389933123761E-128</v>
      </c>
      <c r="M1385">
        <v>0.18909632032214499</v>
      </c>
      <c r="N1385">
        <v>7.3885461894116027E-127</v>
      </c>
      <c r="O1385">
        <v>1.8009581336690779E-126</v>
      </c>
      <c r="P1385">
        <v>9.1024405946194584E-2</v>
      </c>
      <c r="Q1385">
        <v>0.67889981640138786</v>
      </c>
      <c r="R1385">
        <v>-2.3631155141153841</v>
      </c>
      <c r="S1385">
        <v>0.23648745916799391</v>
      </c>
      <c r="T1385">
        <v>0.18601009880672509</v>
      </c>
      <c r="U1385">
        <v>4.2625965936405663</v>
      </c>
      <c r="V1385">
        <v>0.11023909988438001</v>
      </c>
      <c r="W1385">
        <v>0.53076053070037821</v>
      </c>
      <c r="X1385">
        <v>0.24806324645356331</v>
      </c>
      <c r="Z1385" t="s">
        <v>392</v>
      </c>
      <c r="AA1385">
        <v>140</v>
      </c>
      <c r="AB1385" t="s">
        <v>1776</v>
      </c>
      <c r="AC1385" t="str">
        <f>HYPERLINK("plots/20251231112652_3FT6Y119H04_05543_B21P_N_UFLEX98_M5358A8BA201511/dpll_52084/txpa_53210.png","plot")</f>
        <v>plot</v>
      </c>
    </row>
    <row r="1386" spans="1:29" hidden="1" x14ac:dyDescent="0.35">
      <c r="A1386" t="s">
        <v>47</v>
      </c>
      <c r="B1386">
        <v>52084</v>
      </c>
      <c r="C1386" t="s">
        <v>52</v>
      </c>
      <c r="D1386">
        <v>53211</v>
      </c>
      <c r="E1386" t="s">
        <v>86</v>
      </c>
      <c r="F1386">
        <v>7139</v>
      </c>
      <c r="G1386">
        <v>0.29180323319672569</v>
      </c>
      <c r="H1386">
        <v>3.872539509667825E-140</v>
      </c>
      <c r="I1386">
        <v>8.7261223617848324E-140</v>
      </c>
      <c r="J1386">
        <v>0.29373464085267492</v>
      </c>
      <c r="K1386">
        <v>4.6575948067370383E-142</v>
      </c>
      <c r="L1386">
        <v>1.223523609852683E-141</v>
      </c>
      <c r="M1386">
        <v>0.198122676295621</v>
      </c>
      <c r="N1386">
        <v>4.5921226409722929E-139</v>
      </c>
      <c r="O1386">
        <v>1.2126073848817459E-138</v>
      </c>
      <c r="P1386">
        <v>8.5149126904062677E-2</v>
      </c>
      <c r="Q1386">
        <v>0.60704330463622969</v>
      </c>
      <c r="R1386">
        <v>1.38671086017996</v>
      </c>
      <c r="S1386">
        <v>0.2193360240355848</v>
      </c>
      <c r="T1386">
        <v>0.16990990289642449</v>
      </c>
      <c r="U1386">
        <v>4.2625965936405663</v>
      </c>
      <c r="V1386">
        <v>0.11023909988438001</v>
      </c>
      <c r="W1386">
        <v>3.9742915827146659</v>
      </c>
      <c r="X1386">
        <v>0.2293323030071498</v>
      </c>
      <c r="Z1386" t="s">
        <v>392</v>
      </c>
      <c r="AA1386">
        <v>140</v>
      </c>
      <c r="AB1386" t="s">
        <v>1777</v>
      </c>
      <c r="AC1386" t="str">
        <f>HYPERLINK("plots/20251231112652_3FT6Y119H04_05543_B21P_N_UFLEX98_M5358A8BA201511/dpll_52084/txpa_53211.png","plot")</f>
        <v>plot</v>
      </c>
    </row>
    <row r="1387" spans="1:29" hidden="1" x14ac:dyDescent="0.35">
      <c r="A1387" t="s">
        <v>47</v>
      </c>
      <c r="B1387">
        <v>52084</v>
      </c>
      <c r="C1387" t="s">
        <v>52</v>
      </c>
      <c r="D1387">
        <v>53212</v>
      </c>
      <c r="E1387" t="s">
        <v>87</v>
      </c>
      <c r="F1387">
        <v>7139</v>
      </c>
      <c r="G1387">
        <v>0.2300043610637624</v>
      </c>
      <c r="H1387">
        <v>2.3856615636499939E-86</v>
      </c>
      <c r="I1387">
        <v>3.3927921816845631E-86</v>
      </c>
      <c r="J1387">
        <v>0.2292196463193141</v>
      </c>
      <c r="K1387">
        <v>9.3035021530502646E-86</v>
      </c>
      <c r="L1387">
        <v>1.5339432818199951E-85</v>
      </c>
      <c r="M1387">
        <v>0.1531938821872291</v>
      </c>
      <c r="N1387">
        <v>6.2876085231762546E-84</v>
      </c>
      <c r="O1387">
        <v>1.025021711012978E-83</v>
      </c>
      <c r="P1387">
        <v>5.2902006108349581E-2</v>
      </c>
      <c r="Q1387">
        <v>0.59867464807753834</v>
      </c>
      <c r="R1387">
        <v>1.477541517323496</v>
      </c>
      <c r="S1387">
        <v>0.27922705419934329</v>
      </c>
      <c r="T1387">
        <v>0.2247573773117276</v>
      </c>
      <c r="U1387">
        <v>4.2625965936405663</v>
      </c>
      <c r="V1387">
        <v>0.11023909988438001</v>
      </c>
      <c r="W1387">
        <v>4.0294500329177758</v>
      </c>
      <c r="X1387">
        <v>0.28693957811247722</v>
      </c>
      <c r="Z1387" t="s">
        <v>392</v>
      </c>
      <c r="AA1387">
        <v>140</v>
      </c>
      <c r="AB1387" t="s">
        <v>1778</v>
      </c>
      <c r="AC1387" t="str">
        <f>HYPERLINK("plots/20251231112652_3FT6Y119H04_05543_B21P_N_UFLEX98_M5358A8BA201511/dpll_52084/txpa_53212.png","plot")</f>
        <v>plot</v>
      </c>
    </row>
    <row r="1388" spans="1:29" hidden="1" x14ac:dyDescent="0.35">
      <c r="A1388" t="s">
        <v>47</v>
      </c>
      <c r="B1388">
        <v>52084</v>
      </c>
      <c r="C1388" t="s">
        <v>52</v>
      </c>
      <c r="D1388">
        <v>53213</v>
      </c>
      <c r="E1388" t="s">
        <v>88</v>
      </c>
      <c r="F1388">
        <v>7139</v>
      </c>
      <c r="G1388">
        <v>0.30241229607241082</v>
      </c>
      <c r="H1388">
        <v>7.1832633649763789E-151</v>
      </c>
      <c r="I1388">
        <v>1.848687576671586E-150</v>
      </c>
      <c r="J1388">
        <v>0.30380220835593541</v>
      </c>
      <c r="K1388">
        <v>2.608590321105281E-152</v>
      </c>
      <c r="L1388">
        <v>7.5791134257901303E-152</v>
      </c>
      <c r="M1388">
        <v>0.20479627125400041</v>
      </c>
      <c r="N1388">
        <v>1.876969711410896E-148</v>
      </c>
      <c r="O1388">
        <v>5.4534306228385331E-148</v>
      </c>
      <c r="P1388">
        <v>9.1453196815787466E-2</v>
      </c>
      <c r="Q1388">
        <v>0.60452494727427319</v>
      </c>
      <c r="R1388">
        <v>1.667718958745414</v>
      </c>
      <c r="S1388">
        <v>0.2100359685981126</v>
      </c>
      <c r="T1388">
        <v>0.16513900342970639</v>
      </c>
      <c r="U1388">
        <v>4.2625965936405663</v>
      </c>
      <c r="V1388">
        <v>0.11023909988438001</v>
      </c>
      <c r="W1388">
        <v>4.2445649397674741</v>
      </c>
      <c r="X1388">
        <v>0.220368969485325</v>
      </c>
      <c r="Z1388" t="s">
        <v>392</v>
      </c>
      <c r="AA1388">
        <v>140</v>
      </c>
      <c r="AB1388" t="s">
        <v>1779</v>
      </c>
      <c r="AC1388" t="str">
        <f>HYPERLINK("plots/20251231112652_3FT6Y119H04_05543_B21P_N_UFLEX98_M5358A8BA201511/dpll_52084/txpa_53213.png","plot")</f>
        <v>plot</v>
      </c>
    </row>
    <row r="1389" spans="1:29" hidden="1" x14ac:dyDescent="0.35">
      <c r="A1389" t="s">
        <v>47</v>
      </c>
      <c r="B1389">
        <v>52084</v>
      </c>
      <c r="C1389" t="s">
        <v>52</v>
      </c>
      <c r="D1389">
        <v>53214</v>
      </c>
      <c r="E1389" t="s">
        <v>89</v>
      </c>
      <c r="F1389">
        <v>7139</v>
      </c>
      <c r="G1389">
        <v>0.2374758229407099</v>
      </c>
      <c r="H1389">
        <v>4.3437746099918308E-92</v>
      </c>
      <c r="I1389">
        <v>6.5349962233408258E-92</v>
      </c>
      <c r="J1389">
        <v>0.23298847878843079</v>
      </c>
      <c r="K1389">
        <v>1.2869811416561961E-88</v>
      </c>
      <c r="L1389">
        <v>2.1677722219923289E-88</v>
      </c>
      <c r="M1389">
        <v>0.15650626459863851</v>
      </c>
      <c r="N1389">
        <v>1.633990271887192E-87</v>
      </c>
      <c r="O1389">
        <v>2.779976737740961E-87</v>
      </c>
      <c r="P1389">
        <v>5.639476648136741E-2</v>
      </c>
      <c r="Q1389">
        <v>0.56910384358771005</v>
      </c>
      <c r="R1389">
        <v>1.650641068729144</v>
      </c>
      <c r="S1389">
        <v>0.25660937991283239</v>
      </c>
      <c r="T1389">
        <v>0.206193263087461</v>
      </c>
      <c r="U1389">
        <v>4.2625965936405663</v>
      </c>
      <c r="V1389">
        <v>0.11023909988438001</v>
      </c>
      <c r="W1389">
        <v>4.0765011738338703</v>
      </c>
      <c r="X1389">
        <v>0.26418476913127159</v>
      </c>
      <c r="Z1389" t="s">
        <v>392</v>
      </c>
      <c r="AA1389">
        <v>140</v>
      </c>
      <c r="AB1389" t="s">
        <v>1780</v>
      </c>
      <c r="AC1389" t="str">
        <f>HYPERLINK("plots/20251231112652_3FT6Y119H04_05543_B21P_N_UFLEX98_M5358A8BA201511/dpll_52084/txpa_53214.png","plot")</f>
        <v>plot</v>
      </c>
    </row>
    <row r="1390" spans="1:29" hidden="1" x14ac:dyDescent="0.35">
      <c r="A1390" t="s">
        <v>47</v>
      </c>
      <c r="B1390">
        <v>52084</v>
      </c>
      <c r="C1390" t="s">
        <v>52</v>
      </c>
      <c r="D1390">
        <v>53215</v>
      </c>
      <c r="E1390" t="s">
        <v>90</v>
      </c>
      <c r="F1390">
        <v>7139</v>
      </c>
      <c r="G1390">
        <v>0.32045606784901709</v>
      </c>
      <c r="H1390">
        <v>3.4721241152524274E-170</v>
      </c>
      <c r="I1390">
        <v>1.103678323782433E-169</v>
      </c>
      <c r="J1390">
        <v>0.31350046525590242</v>
      </c>
      <c r="K1390">
        <v>1.404021946410169E-162</v>
      </c>
      <c r="L1390">
        <v>4.6677975529833164E-162</v>
      </c>
      <c r="M1390">
        <v>0.2120331946878701</v>
      </c>
      <c r="N1390">
        <v>5.5224901993852339E-159</v>
      </c>
      <c r="O1390">
        <v>1.824040736865351E-158</v>
      </c>
      <c r="P1390">
        <v>0.10269209142125391</v>
      </c>
      <c r="Q1390">
        <v>0.63154054306374907</v>
      </c>
      <c r="R1390">
        <v>1.6765504171223049</v>
      </c>
      <c r="S1390">
        <v>0.20578263498624541</v>
      </c>
      <c r="T1390">
        <v>0.16219685597595579</v>
      </c>
      <c r="U1390">
        <v>4.2625965936405663</v>
      </c>
      <c r="V1390">
        <v>0.11023909988438001</v>
      </c>
      <c r="W1390">
        <v>4.368552984731755</v>
      </c>
      <c r="X1390">
        <v>0.21725430719770891</v>
      </c>
      <c r="Z1390" t="s">
        <v>392</v>
      </c>
      <c r="AA1390">
        <v>140</v>
      </c>
      <c r="AB1390" t="s">
        <v>1781</v>
      </c>
      <c r="AC1390" t="str">
        <f>HYPERLINK("plots/20251231112652_3FT6Y119H04_05543_B21P_N_UFLEX98_M5358A8BA201511/dpll_52084/txpa_53215.png","plot")</f>
        <v>plot</v>
      </c>
    </row>
    <row r="1391" spans="1:29" hidden="1" x14ac:dyDescent="0.35">
      <c r="A1391" t="s">
        <v>47</v>
      </c>
      <c r="B1391">
        <v>52084</v>
      </c>
      <c r="C1391" t="s">
        <v>52</v>
      </c>
      <c r="D1391">
        <v>53216</v>
      </c>
      <c r="E1391" t="s">
        <v>91</v>
      </c>
      <c r="F1391">
        <v>7139</v>
      </c>
      <c r="G1391">
        <v>0.26377985005873622</v>
      </c>
      <c r="H1391">
        <v>6.0894467264558792E-114</v>
      </c>
      <c r="I1391">
        <v>1.098700886232431E-113</v>
      </c>
      <c r="J1391">
        <v>0.27359532818469162</v>
      </c>
      <c r="K1391">
        <v>9.0782357173950858E-123</v>
      </c>
      <c r="L1391">
        <v>2.0276059509776691E-122</v>
      </c>
      <c r="M1391">
        <v>0.18525844707093839</v>
      </c>
      <c r="N1391">
        <v>7.6524462072318939E-122</v>
      </c>
      <c r="O1391">
        <v>1.724351212029587E-121</v>
      </c>
      <c r="P1391">
        <v>6.9579809297009368E-2</v>
      </c>
      <c r="Q1391">
        <v>0.6147683912354539</v>
      </c>
      <c r="R1391">
        <v>1.6547149176485869</v>
      </c>
      <c r="S1391">
        <v>0.24780765344417061</v>
      </c>
      <c r="T1391">
        <v>0.194686029636224</v>
      </c>
      <c r="U1391">
        <v>4.2625965936405663</v>
      </c>
      <c r="V1391">
        <v>0.11023909988438001</v>
      </c>
      <c r="W1391">
        <v>4.275224568006724</v>
      </c>
      <c r="X1391">
        <v>0.25692453033116092</v>
      </c>
      <c r="Z1391" t="s">
        <v>392</v>
      </c>
      <c r="AA1391">
        <v>140</v>
      </c>
      <c r="AB1391" t="s">
        <v>1782</v>
      </c>
      <c r="AC1391" t="str">
        <f>HYPERLINK("plots/20251231112652_3FT6Y119H04_05543_B21P_N_UFLEX98_M5358A8BA201511/dpll_52084/txpa_53216.png","plot")</f>
        <v>plot</v>
      </c>
    </row>
    <row r="1392" spans="1:29" hidden="1" x14ac:dyDescent="0.35">
      <c r="A1392" t="s">
        <v>47</v>
      </c>
      <c r="B1392">
        <v>52084</v>
      </c>
      <c r="C1392" t="s">
        <v>52</v>
      </c>
      <c r="D1392">
        <v>53217</v>
      </c>
      <c r="E1392" t="s">
        <v>92</v>
      </c>
      <c r="F1392">
        <v>7139</v>
      </c>
      <c r="G1392">
        <v>0.28169928285501977</v>
      </c>
      <c r="H1392">
        <v>2.4465566024888651E-130</v>
      </c>
      <c r="I1392">
        <v>5.083623760089568E-130</v>
      </c>
      <c r="J1392">
        <v>0.27836913541010477</v>
      </c>
      <c r="K1392">
        <v>3.3898619477021969E-127</v>
      </c>
      <c r="L1392">
        <v>7.8837615022248344E-127</v>
      </c>
      <c r="M1392">
        <v>0.18846856410795881</v>
      </c>
      <c r="N1392">
        <v>4.9411313077305421E-126</v>
      </c>
      <c r="O1392">
        <v>1.1872765748907041E-125</v>
      </c>
      <c r="P1392">
        <v>7.9354485961032464E-2</v>
      </c>
      <c r="Q1392">
        <v>0.62426077431546423</v>
      </c>
      <c r="R1392">
        <v>1.7590834228669039</v>
      </c>
      <c r="S1392">
        <v>0.23438605282519029</v>
      </c>
      <c r="T1392">
        <v>0.18599293714745371</v>
      </c>
      <c r="U1392">
        <v>4.2625965936405663</v>
      </c>
      <c r="V1392">
        <v>0.11023909988438001</v>
      </c>
      <c r="W1392">
        <v>4.4200552730074243</v>
      </c>
      <c r="X1392">
        <v>0.24429577937222149</v>
      </c>
      <c r="Z1392" t="s">
        <v>392</v>
      </c>
      <c r="AA1392">
        <v>140</v>
      </c>
      <c r="AB1392" t="s">
        <v>1783</v>
      </c>
      <c r="AC1392" t="str">
        <f>HYPERLINK("plots/20251231112652_3FT6Y119H04_05543_B21P_N_UFLEX98_M5358A8BA201511/dpll_52084/txpa_53217.png","plot")</f>
        <v>plot</v>
      </c>
    </row>
    <row r="1393" spans="1:29" hidden="1" x14ac:dyDescent="0.35">
      <c r="A1393" t="s">
        <v>47</v>
      </c>
      <c r="B1393">
        <v>52084</v>
      </c>
      <c r="C1393" t="s">
        <v>52</v>
      </c>
      <c r="D1393">
        <v>53218</v>
      </c>
      <c r="E1393" t="s">
        <v>93</v>
      </c>
      <c r="F1393">
        <v>7139</v>
      </c>
      <c r="G1393">
        <v>0.32147834516285562</v>
      </c>
      <c r="H1393">
        <v>2.5432488704752891E-171</v>
      </c>
      <c r="I1393">
        <v>8.1868392211490254E-171</v>
      </c>
      <c r="J1393">
        <v>0.30509025955422231</v>
      </c>
      <c r="K1393">
        <v>1.1883302628584471E-153</v>
      </c>
      <c r="L1393">
        <v>3.5130229928235132E-153</v>
      </c>
      <c r="M1393">
        <v>0.2066302955899709</v>
      </c>
      <c r="N1393">
        <v>4.356657723661709E-151</v>
      </c>
      <c r="O1393">
        <v>1.3187017706844689E-150</v>
      </c>
      <c r="P1393">
        <v>0.10334832640864811</v>
      </c>
      <c r="Q1393">
        <v>0.68066678167925421</v>
      </c>
      <c r="R1393">
        <v>1.075690352888979</v>
      </c>
      <c r="S1393">
        <v>0.2210039080084519</v>
      </c>
      <c r="T1393">
        <v>0.17378825886905419</v>
      </c>
      <c r="U1393">
        <v>4.2625965936405663</v>
      </c>
      <c r="V1393">
        <v>0.11023909988438001</v>
      </c>
      <c r="W1393">
        <v>3.9770982578792551</v>
      </c>
      <c r="X1393">
        <v>0.23340947986871949</v>
      </c>
      <c r="Z1393" t="s">
        <v>392</v>
      </c>
      <c r="AA1393">
        <v>140</v>
      </c>
      <c r="AB1393" t="s">
        <v>1784</v>
      </c>
      <c r="AC1393" t="str">
        <f>HYPERLINK("plots/20251231112652_3FT6Y119H04_05543_B21P_N_UFLEX98_M5358A8BA201511/dpll_52084/txpa_53218.png","plot")</f>
        <v>plot</v>
      </c>
    </row>
    <row r="1394" spans="1:29" hidden="1" x14ac:dyDescent="0.35">
      <c r="A1394" t="s">
        <v>47</v>
      </c>
      <c r="B1394">
        <v>52084</v>
      </c>
      <c r="C1394" t="s">
        <v>52</v>
      </c>
      <c r="D1394">
        <v>53219</v>
      </c>
      <c r="E1394" t="s">
        <v>94</v>
      </c>
      <c r="F1394">
        <v>7139</v>
      </c>
      <c r="G1394">
        <v>0.30469653683802889</v>
      </c>
      <c r="H1394">
        <v>3.0599322544099743E-153</v>
      </c>
      <c r="I1394">
        <v>8.0591462492771778E-153</v>
      </c>
      <c r="J1394">
        <v>0.3117393950695429</v>
      </c>
      <c r="K1394">
        <v>1.099264358371899E-160</v>
      </c>
      <c r="L1394">
        <v>3.5611950779204648E-160</v>
      </c>
      <c r="M1394">
        <v>0.21079291070285691</v>
      </c>
      <c r="N1394">
        <v>3.7363458697655617E-157</v>
      </c>
      <c r="O1394">
        <v>1.198941364538696E-156</v>
      </c>
      <c r="P1394">
        <v>9.283997956108829E-2</v>
      </c>
      <c r="Q1394">
        <v>0.6165295664570184</v>
      </c>
      <c r="R1394">
        <v>3.248063207401739</v>
      </c>
      <c r="S1394">
        <v>0.21243867346943049</v>
      </c>
      <c r="T1394">
        <v>0.1639711782300107</v>
      </c>
      <c r="U1394">
        <v>4.2625965936405663</v>
      </c>
      <c r="V1394">
        <v>0.11023909988438001</v>
      </c>
      <c r="W1394">
        <v>5.8760800372601203</v>
      </c>
      <c r="X1394">
        <v>0.2230601803474323</v>
      </c>
      <c r="Z1394" t="s">
        <v>392</v>
      </c>
      <c r="AA1394">
        <v>140</v>
      </c>
      <c r="AB1394" t="s">
        <v>1785</v>
      </c>
      <c r="AC1394" t="str">
        <f>HYPERLINK("plots/20251231112652_3FT6Y119H04_05543_B21P_N_UFLEX98_M5358A8BA201511/dpll_52084/txpa_53219.png","plot")</f>
        <v>plot</v>
      </c>
    </row>
    <row r="1395" spans="1:29" hidden="1" x14ac:dyDescent="0.35">
      <c r="A1395" t="s">
        <v>47</v>
      </c>
      <c r="B1395">
        <v>52084</v>
      </c>
      <c r="C1395" t="s">
        <v>52</v>
      </c>
      <c r="D1395">
        <v>53220</v>
      </c>
      <c r="E1395" t="s">
        <v>95</v>
      </c>
      <c r="F1395">
        <v>7139</v>
      </c>
      <c r="G1395">
        <v>0.24242207444146471</v>
      </c>
      <c r="H1395">
        <v>5.314732561222075E-96</v>
      </c>
      <c r="I1395">
        <v>8.1777523779653775E-96</v>
      </c>
      <c r="J1395">
        <v>0.24374747146087941</v>
      </c>
      <c r="K1395">
        <v>4.5896653057063978E-97</v>
      </c>
      <c r="L1395">
        <v>8.385442558533852E-97</v>
      </c>
      <c r="M1395">
        <v>0.16308492959141541</v>
      </c>
      <c r="N1395">
        <v>7.3353259607303968E-95</v>
      </c>
      <c r="O1395">
        <v>1.3377734755720541E-94</v>
      </c>
      <c r="P1395">
        <v>5.8768462176503063E-2</v>
      </c>
      <c r="Q1395">
        <v>0.60930049118675123</v>
      </c>
      <c r="R1395">
        <v>3.3446698601753728</v>
      </c>
      <c r="S1395">
        <v>0.26878983436003762</v>
      </c>
      <c r="T1395">
        <v>0.21610392579656551</v>
      </c>
      <c r="U1395">
        <v>4.2625965936405663</v>
      </c>
      <c r="V1395">
        <v>0.11023909988438001</v>
      </c>
      <c r="W1395">
        <v>5.9418720584115423</v>
      </c>
      <c r="X1395">
        <v>0.27707352089240811</v>
      </c>
      <c r="Z1395" t="s">
        <v>392</v>
      </c>
      <c r="AA1395">
        <v>140</v>
      </c>
      <c r="AB1395" t="s">
        <v>1786</v>
      </c>
      <c r="AC1395" t="str">
        <f>HYPERLINK("plots/20251231112652_3FT6Y119H04_05543_B21P_N_UFLEX98_M5358A8BA201511/dpll_52084/txpa_53220.png","plot")</f>
        <v>plot</v>
      </c>
    </row>
    <row r="1396" spans="1:29" hidden="1" x14ac:dyDescent="0.35">
      <c r="A1396" t="s">
        <v>47</v>
      </c>
      <c r="B1396">
        <v>52084</v>
      </c>
      <c r="C1396" t="s">
        <v>52</v>
      </c>
      <c r="D1396">
        <v>53221</v>
      </c>
      <c r="E1396" t="s">
        <v>96</v>
      </c>
      <c r="F1396">
        <v>7139</v>
      </c>
      <c r="G1396">
        <v>0.31817472825842719</v>
      </c>
      <c r="H1396">
        <v>1.142833843111153E-167</v>
      </c>
      <c r="I1396">
        <v>3.4799805312754038E-167</v>
      </c>
      <c r="J1396">
        <v>0.32325072878851319</v>
      </c>
      <c r="K1396">
        <v>2.6710597318213831E-173</v>
      </c>
      <c r="L1396">
        <v>1.0031313215062531E-172</v>
      </c>
      <c r="M1396">
        <v>0.21844263935849129</v>
      </c>
      <c r="N1396">
        <v>1.2890716981235879E-168</v>
      </c>
      <c r="O1396">
        <v>4.7188400790516905E-168</v>
      </c>
      <c r="P1396">
        <v>0.101235157702324</v>
      </c>
      <c r="Q1396">
        <v>0.61849198015309048</v>
      </c>
      <c r="R1396">
        <v>3.4973799701855381</v>
      </c>
      <c r="S1396">
        <v>0.20314057050196019</v>
      </c>
      <c r="T1396">
        <v>0.15885635767470629</v>
      </c>
      <c r="U1396">
        <v>4.2625965936405663</v>
      </c>
      <c r="V1396">
        <v>0.11023909988438001</v>
      </c>
      <c r="W1396">
        <v>6.1337617779801104</v>
      </c>
      <c r="X1396">
        <v>0.21429105809561941</v>
      </c>
      <c r="Z1396" t="s">
        <v>392</v>
      </c>
      <c r="AA1396">
        <v>140</v>
      </c>
      <c r="AB1396" t="s">
        <v>1787</v>
      </c>
      <c r="AC1396" t="str">
        <f>HYPERLINK("plots/20251231112652_3FT6Y119H04_05543_B21P_N_UFLEX98_M5358A8BA201511/dpll_52084/txpa_53221.png","plot")</f>
        <v>plot</v>
      </c>
    </row>
    <row r="1397" spans="1:29" hidden="1" x14ac:dyDescent="0.35">
      <c r="A1397" t="s">
        <v>47</v>
      </c>
      <c r="B1397">
        <v>52084</v>
      </c>
      <c r="C1397" t="s">
        <v>52</v>
      </c>
      <c r="D1397">
        <v>53222</v>
      </c>
      <c r="E1397" t="s">
        <v>97</v>
      </c>
      <c r="F1397">
        <v>7139</v>
      </c>
      <c r="G1397">
        <v>0.25131610337354182</v>
      </c>
      <c r="H1397">
        <v>2.9005288441353781E-103</v>
      </c>
      <c r="I1397">
        <v>4.774571831092975E-103</v>
      </c>
      <c r="J1397">
        <v>0.24864584818074359</v>
      </c>
      <c r="K1397">
        <v>4.7207106724530392E-101</v>
      </c>
      <c r="L1397">
        <v>8.9472908819951049E-101</v>
      </c>
      <c r="M1397">
        <v>0.1672014173567741</v>
      </c>
      <c r="N1397">
        <v>1.3020833298507301E-99</v>
      </c>
      <c r="O1397">
        <v>2.4632695829638821E-99</v>
      </c>
      <c r="P1397">
        <v>6.3159783814860759E-2</v>
      </c>
      <c r="Q1397">
        <v>0.58263158316372343</v>
      </c>
      <c r="R1397">
        <v>3.5046656075038949</v>
      </c>
      <c r="S1397">
        <v>0.2473498821689839</v>
      </c>
      <c r="T1397">
        <v>0.19846649169409381</v>
      </c>
      <c r="U1397">
        <v>4.2625965936405663</v>
      </c>
      <c r="V1397">
        <v>0.11023909988438001</v>
      </c>
      <c r="W1397">
        <v>5.9881890092449934</v>
      </c>
      <c r="X1397">
        <v>0.25556970058824369</v>
      </c>
      <c r="Z1397" t="s">
        <v>392</v>
      </c>
      <c r="AA1397">
        <v>140</v>
      </c>
      <c r="AB1397" t="s">
        <v>1788</v>
      </c>
      <c r="AC1397" t="str">
        <f>HYPERLINK("plots/20251231112652_3FT6Y119H04_05543_B21P_N_UFLEX98_M5358A8BA201511/dpll_52084/txpa_53222.png","plot")</f>
        <v>plot</v>
      </c>
    </row>
    <row r="1398" spans="1:29" hidden="1" x14ac:dyDescent="0.35">
      <c r="A1398" t="s">
        <v>47</v>
      </c>
      <c r="B1398">
        <v>52084</v>
      </c>
      <c r="C1398" t="s">
        <v>52</v>
      </c>
      <c r="D1398">
        <v>53223</v>
      </c>
      <c r="E1398" t="s">
        <v>98</v>
      </c>
      <c r="F1398">
        <v>7139</v>
      </c>
      <c r="G1398">
        <v>0.33496499770262211</v>
      </c>
      <c r="H1398">
        <v>1.022261252723034E-186</v>
      </c>
      <c r="I1398">
        <v>4.1297725508412596E-186</v>
      </c>
      <c r="J1398">
        <v>0.33004393622173989</v>
      </c>
      <c r="K1398">
        <v>5.2260866117864956E-181</v>
      </c>
      <c r="L1398">
        <v>2.0863196158864199E-180</v>
      </c>
      <c r="M1398">
        <v>0.22378298495902529</v>
      </c>
      <c r="N1398">
        <v>7.3542526861013843E-177</v>
      </c>
      <c r="O1398">
        <v>2.935910324294017E-176</v>
      </c>
      <c r="P1398">
        <v>0.1122015496859176</v>
      </c>
      <c r="Q1398">
        <v>0.64435641001873289</v>
      </c>
      <c r="R1398">
        <v>3.5067642157169279</v>
      </c>
      <c r="S1398">
        <v>0.1997970889361379</v>
      </c>
      <c r="T1398">
        <v>0.1573712894138197</v>
      </c>
      <c r="U1398">
        <v>4.2625965936405663</v>
      </c>
      <c r="V1398">
        <v>0.11023909988438001</v>
      </c>
      <c r="W1398">
        <v>6.2533956541532429</v>
      </c>
      <c r="X1398">
        <v>0.21206177102796309</v>
      </c>
      <c r="Z1398" t="s">
        <v>392</v>
      </c>
      <c r="AA1398">
        <v>140</v>
      </c>
      <c r="AB1398" t="s">
        <v>1789</v>
      </c>
      <c r="AC1398" t="str">
        <f>HYPERLINK("plots/20251231112652_3FT6Y119H04_05543_B21P_N_UFLEX98_M5358A8BA201511/dpll_52084/txpa_53223.png","plot")</f>
        <v>plot</v>
      </c>
    </row>
    <row r="1399" spans="1:29" hidden="1" x14ac:dyDescent="0.35">
      <c r="A1399" t="s">
        <v>47</v>
      </c>
      <c r="B1399">
        <v>52084</v>
      </c>
      <c r="C1399" t="s">
        <v>52</v>
      </c>
      <c r="D1399">
        <v>53224</v>
      </c>
      <c r="E1399" t="s">
        <v>99</v>
      </c>
      <c r="F1399">
        <v>7139</v>
      </c>
      <c r="G1399">
        <v>0.27920116001155698</v>
      </c>
      <c r="H1399">
        <v>5.6148878381978858E-128</v>
      </c>
      <c r="I1399">
        <v>1.1296619579231459E-127</v>
      </c>
      <c r="J1399">
        <v>0.28990262285577911</v>
      </c>
      <c r="K1399">
        <v>2.9013542799116152E-138</v>
      </c>
      <c r="L1399">
        <v>7.3365916205246324E-138</v>
      </c>
      <c r="M1399">
        <v>0.19663009855931629</v>
      </c>
      <c r="N1399">
        <v>5.2256462249846048E-137</v>
      </c>
      <c r="O1399">
        <v>1.362160738337889E-136</v>
      </c>
      <c r="P1399">
        <v>7.795328775179905E-2</v>
      </c>
      <c r="Q1399">
        <v>0.62658827806582007</v>
      </c>
      <c r="R1399">
        <v>3.4941792092467572</v>
      </c>
      <c r="S1399">
        <v>0.23754546782101951</v>
      </c>
      <c r="T1399">
        <v>0.18656349262135999</v>
      </c>
      <c r="U1399">
        <v>4.2625965936405663</v>
      </c>
      <c r="V1399">
        <v>0.11023909988438001</v>
      </c>
      <c r="W1399">
        <v>6.16507226894523</v>
      </c>
      <c r="X1399">
        <v>0.24740057587590411</v>
      </c>
      <c r="Z1399" t="s">
        <v>392</v>
      </c>
      <c r="AA1399">
        <v>140</v>
      </c>
      <c r="AB1399" t="s">
        <v>1790</v>
      </c>
      <c r="AC1399" t="str">
        <f>HYPERLINK("plots/20251231112652_3FT6Y119H04_05543_B21P_N_UFLEX98_M5358A8BA201511/dpll_52084/txpa_53224.png","plot")</f>
        <v>plot</v>
      </c>
    </row>
    <row r="1400" spans="1:29" hidden="1" x14ac:dyDescent="0.35">
      <c r="A1400" t="s">
        <v>47</v>
      </c>
      <c r="B1400">
        <v>52084</v>
      </c>
      <c r="C1400" t="s">
        <v>52</v>
      </c>
      <c r="D1400">
        <v>53225</v>
      </c>
      <c r="E1400" t="s">
        <v>100</v>
      </c>
      <c r="F1400">
        <v>7139</v>
      </c>
      <c r="G1400">
        <v>0.29749821462951598</v>
      </c>
      <c r="H1400">
        <v>7.6546527692091546E-146</v>
      </c>
      <c r="I1400">
        <v>1.8524625078706639E-145</v>
      </c>
      <c r="J1400">
        <v>0.29504746603848209</v>
      </c>
      <c r="K1400">
        <v>2.2627100716415051E-143</v>
      </c>
      <c r="L1400">
        <v>6.0698095572605448E-143</v>
      </c>
      <c r="M1400">
        <v>0.20008921578710889</v>
      </c>
      <c r="N1400">
        <v>8.442494691164144E-142</v>
      </c>
      <c r="O1400">
        <v>2.288954443005466E-141</v>
      </c>
      <c r="P1400">
        <v>8.8505187707749594E-2</v>
      </c>
      <c r="Q1400">
        <v>0.63570775883122166</v>
      </c>
      <c r="R1400">
        <v>3.5898581458867009</v>
      </c>
      <c r="S1400">
        <v>0.22488241073502871</v>
      </c>
      <c r="T1400">
        <v>0.1778553546147949</v>
      </c>
      <c r="U1400">
        <v>4.2625965936405663</v>
      </c>
      <c r="V1400">
        <v>0.11023909988438001</v>
      </c>
      <c r="W1400">
        <v>6.2996238732315453</v>
      </c>
      <c r="X1400">
        <v>0.23556393846041421</v>
      </c>
      <c r="Z1400" t="s">
        <v>392</v>
      </c>
      <c r="AA1400">
        <v>140</v>
      </c>
      <c r="AB1400" t="s">
        <v>1791</v>
      </c>
      <c r="AC1400" t="str">
        <f>HYPERLINK("plots/20251231112652_3FT6Y119H04_05543_B21P_N_UFLEX98_M5358A8BA201511/dpll_52084/txpa_53225.png","plot")</f>
        <v>plot</v>
      </c>
    </row>
    <row r="1401" spans="1:29" hidden="1" x14ac:dyDescent="0.35">
      <c r="A1401" t="s">
        <v>47</v>
      </c>
      <c r="B1401">
        <v>52084</v>
      </c>
      <c r="C1401" t="s">
        <v>52</v>
      </c>
      <c r="D1401">
        <v>53226</v>
      </c>
      <c r="E1401" t="s">
        <v>101</v>
      </c>
      <c r="F1401">
        <v>7139</v>
      </c>
      <c r="G1401">
        <v>0.33333830452209728</v>
      </c>
      <c r="H1401">
        <v>8.0954665718587641E-185</v>
      </c>
      <c r="I1401">
        <v>3.1572319630249182E-184</v>
      </c>
      <c r="J1401">
        <v>0.31950108005709488</v>
      </c>
      <c r="K1401">
        <v>3.9543467273151512E-169</v>
      </c>
      <c r="L1401">
        <v>1.382657786723298E-168</v>
      </c>
      <c r="M1401">
        <v>0.21687462872107391</v>
      </c>
      <c r="N1401">
        <v>3.1091056406398997E-166</v>
      </c>
      <c r="O1401">
        <v>1.1219334945227261E-165</v>
      </c>
      <c r="P1401">
        <v>0.1111144252616665</v>
      </c>
      <c r="Q1401">
        <v>0.68343313087425073</v>
      </c>
      <c r="R1401">
        <v>2.971964340555461</v>
      </c>
      <c r="S1401">
        <v>0.2130781780831402</v>
      </c>
      <c r="T1401">
        <v>0.16742477802302769</v>
      </c>
      <c r="U1401">
        <v>4.2625965936405663</v>
      </c>
      <c r="V1401">
        <v>0.11023909988438001</v>
      </c>
      <c r="W1401">
        <v>5.885164076201149</v>
      </c>
      <c r="X1401">
        <v>0.22601978877512011</v>
      </c>
      <c r="Z1401" t="s">
        <v>392</v>
      </c>
      <c r="AA1401">
        <v>140</v>
      </c>
      <c r="AB1401" t="s">
        <v>1792</v>
      </c>
      <c r="AC1401" t="str">
        <f>HYPERLINK("plots/20251231112652_3FT6Y119H04_05543_B21P_N_UFLEX98_M5358A8BA201511/dpll_52084/txpa_53226.png","plot")</f>
        <v>plot</v>
      </c>
    </row>
    <row r="1402" spans="1:29" hidden="1" x14ac:dyDescent="0.35">
      <c r="A1402" t="s">
        <v>47</v>
      </c>
      <c r="B1402">
        <v>52084</v>
      </c>
      <c r="C1402" t="s">
        <v>52</v>
      </c>
      <c r="D1402">
        <v>53227</v>
      </c>
      <c r="E1402" t="s">
        <v>102</v>
      </c>
      <c r="F1402">
        <v>7139</v>
      </c>
      <c r="G1402">
        <v>0.31877799405742768</v>
      </c>
      <c r="H1402">
        <v>2.479925913333232E-168</v>
      </c>
      <c r="I1402">
        <v>7.6201359882421132E-168</v>
      </c>
      <c r="J1402">
        <v>0.33349055312558312</v>
      </c>
      <c r="K1402">
        <v>5.3830247970736013E-185</v>
      </c>
      <c r="L1402">
        <v>2.237043911570751E-184</v>
      </c>
      <c r="M1402">
        <v>0.22628615274732369</v>
      </c>
      <c r="N1402">
        <v>8.5778970838598981E-181</v>
      </c>
      <c r="O1402">
        <v>3.521452487058274E-180</v>
      </c>
      <c r="P1402">
        <v>0.1016194094952774</v>
      </c>
      <c r="Q1402">
        <v>0.63388832968358899</v>
      </c>
      <c r="R1402">
        <v>5.4450033832960294</v>
      </c>
      <c r="S1402">
        <v>0.20775899810301071</v>
      </c>
      <c r="T1402">
        <v>0.15888298203577089</v>
      </c>
      <c r="U1402">
        <v>4.2625965936405663</v>
      </c>
      <c r="V1402">
        <v>0.11023909988438001</v>
      </c>
      <c r="W1402">
        <v>8.1470136181538031</v>
      </c>
      <c r="X1402">
        <v>0.21920985825308659</v>
      </c>
      <c r="Z1402" t="s">
        <v>392</v>
      </c>
      <c r="AA1402">
        <v>140</v>
      </c>
      <c r="AB1402" t="s">
        <v>1793</v>
      </c>
      <c r="AC1402" t="str">
        <f>HYPERLINK("plots/20251231112652_3FT6Y119H04_05543_B21P_N_UFLEX98_M5358A8BA201511/dpll_52084/txpa_53227.png","plot")</f>
        <v>plot</v>
      </c>
    </row>
    <row r="1403" spans="1:29" hidden="1" x14ac:dyDescent="0.35">
      <c r="A1403" t="s">
        <v>47</v>
      </c>
      <c r="B1403">
        <v>52084</v>
      </c>
      <c r="C1403" t="s">
        <v>52</v>
      </c>
      <c r="D1403">
        <v>53228</v>
      </c>
      <c r="E1403" t="s">
        <v>103</v>
      </c>
      <c r="F1403">
        <v>7139</v>
      </c>
      <c r="G1403">
        <v>0.25887430188643712</v>
      </c>
      <c r="H1403">
        <v>1.1414653494631999E-109</v>
      </c>
      <c r="I1403">
        <v>1.971798746772888E-109</v>
      </c>
      <c r="J1403">
        <v>0.26141457574669558</v>
      </c>
      <c r="K1403">
        <v>7.1820163660533524E-112</v>
      </c>
      <c r="L1403">
        <v>1.4507100787207371E-111</v>
      </c>
      <c r="M1403">
        <v>0.1752811215787054</v>
      </c>
      <c r="N1403">
        <v>2.799285142608294E-109</v>
      </c>
      <c r="O1403">
        <v>5.6543329374597807E-109</v>
      </c>
      <c r="P1403">
        <v>6.701590417719018E-2</v>
      </c>
      <c r="Q1403">
        <v>0.62739329295213875</v>
      </c>
      <c r="R1403">
        <v>5.5565515368764302</v>
      </c>
      <c r="S1403">
        <v>0.25804371786455621</v>
      </c>
      <c r="T1403">
        <v>0.20658954458066731</v>
      </c>
      <c r="U1403">
        <v>4.2625965936405663</v>
      </c>
      <c r="V1403">
        <v>0.11023909988438001</v>
      </c>
      <c r="W1403">
        <v>8.2308760502871543</v>
      </c>
      <c r="X1403">
        <v>0.2671693226579186</v>
      </c>
      <c r="Z1403" t="s">
        <v>392</v>
      </c>
      <c r="AA1403">
        <v>140</v>
      </c>
      <c r="AB1403" t="s">
        <v>1794</v>
      </c>
      <c r="AC1403" t="str">
        <f>HYPERLINK("plots/20251231112652_3FT6Y119H04_05543_B21P_N_UFLEX98_M5358A8BA201511/dpll_52084/txpa_53228.png","plot")</f>
        <v>plot</v>
      </c>
    </row>
    <row r="1404" spans="1:29" hidden="1" x14ac:dyDescent="0.35">
      <c r="A1404" t="s">
        <v>47</v>
      </c>
      <c r="B1404">
        <v>52084</v>
      </c>
      <c r="C1404" t="s">
        <v>52</v>
      </c>
      <c r="D1404">
        <v>53229</v>
      </c>
      <c r="E1404" t="s">
        <v>104</v>
      </c>
      <c r="F1404">
        <v>7139</v>
      </c>
      <c r="G1404">
        <v>0.33646888345129727</v>
      </c>
      <c r="H1404">
        <v>1.753626272932739E-188</v>
      </c>
      <c r="I1404">
        <v>7.3478390113793282E-188</v>
      </c>
      <c r="J1404">
        <v>0.34708197584752198</v>
      </c>
      <c r="K1404">
        <v>3.1622123698461921E-201</v>
      </c>
      <c r="L1404">
        <v>1.5342025564708319E-200</v>
      </c>
      <c r="M1404">
        <v>0.2356010268264466</v>
      </c>
      <c r="N1404">
        <v>8.259304536611543E-196</v>
      </c>
      <c r="O1404">
        <v>3.9691634123810916E-195</v>
      </c>
      <c r="P1404">
        <v>0.1132113095309627</v>
      </c>
      <c r="Q1404">
        <v>0.64204403477920557</v>
      </c>
      <c r="R1404">
        <v>5.6486284582167832</v>
      </c>
      <c r="S1404">
        <v>0.1980775339977206</v>
      </c>
      <c r="T1404">
        <v>0.153257946775708</v>
      </c>
      <c r="U1404">
        <v>4.2625965936405663</v>
      </c>
      <c r="V1404">
        <v>0.11023909988438001</v>
      </c>
      <c r="W1404">
        <v>8.3854031738338701</v>
      </c>
      <c r="X1404">
        <v>0.21035632107846949</v>
      </c>
      <c r="Z1404" t="s">
        <v>392</v>
      </c>
      <c r="AA1404">
        <v>140</v>
      </c>
      <c r="AB1404" t="s">
        <v>1795</v>
      </c>
      <c r="AC1404" t="str">
        <f>HYPERLINK("plots/20251231112652_3FT6Y119H04_05543_B21P_N_UFLEX98_M5358A8BA201511/dpll_52084/txpa_53229.png","plot")</f>
        <v>plot</v>
      </c>
    </row>
    <row r="1405" spans="1:29" hidden="1" x14ac:dyDescent="0.35">
      <c r="A1405" t="s">
        <v>47</v>
      </c>
      <c r="B1405">
        <v>52084</v>
      </c>
      <c r="C1405" t="s">
        <v>52</v>
      </c>
      <c r="D1405">
        <v>53230</v>
      </c>
      <c r="E1405" t="s">
        <v>105</v>
      </c>
      <c r="F1405">
        <v>7139</v>
      </c>
      <c r="G1405">
        <v>0.27117341652374111</v>
      </c>
      <c r="H1405">
        <v>1.4807035010337711E-120</v>
      </c>
      <c r="I1405">
        <v>2.8064174767256899E-120</v>
      </c>
      <c r="J1405">
        <v>0.26928757322511993</v>
      </c>
      <c r="K1405">
        <v>7.5421913063283088E-119</v>
      </c>
      <c r="L1405">
        <v>1.616867227191735E-118</v>
      </c>
      <c r="M1405">
        <v>0.18157366768064001</v>
      </c>
      <c r="N1405">
        <v>4.0146415496439383E-117</v>
      </c>
      <c r="O1405">
        <v>8.6613755985935159E-117</v>
      </c>
      <c r="P1405">
        <v>7.3535021829158359E-2</v>
      </c>
      <c r="Q1405">
        <v>0.60748990213059428</v>
      </c>
      <c r="R1405">
        <v>5.6869716291760897</v>
      </c>
      <c r="S1405">
        <v>0.237690428371438</v>
      </c>
      <c r="T1405">
        <v>0.18988719887748329</v>
      </c>
      <c r="U1405">
        <v>4.2625965936405663</v>
      </c>
      <c r="V1405">
        <v>0.11023909988438001</v>
      </c>
      <c r="W1405">
        <v>8.2764560166690018</v>
      </c>
      <c r="X1405">
        <v>0.24696056441750719</v>
      </c>
      <c r="Z1405" t="s">
        <v>392</v>
      </c>
      <c r="AA1405">
        <v>140</v>
      </c>
      <c r="AB1405" t="s">
        <v>1796</v>
      </c>
      <c r="AC1405" t="str">
        <f>HYPERLINK("plots/20251231112652_3FT6Y119H04_05543_B21P_N_UFLEX98_M5358A8BA201511/dpll_52084/txpa_53230.png","plot")</f>
        <v>plot</v>
      </c>
    </row>
    <row r="1406" spans="1:29" hidden="1" x14ac:dyDescent="0.35">
      <c r="A1406" t="s">
        <v>47</v>
      </c>
      <c r="B1406">
        <v>52084</v>
      </c>
      <c r="C1406" t="s">
        <v>52</v>
      </c>
      <c r="D1406">
        <v>53231</v>
      </c>
      <c r="E1406" t="s">
        <v>106</v>
      </c>
      <c r="F1406">
        <v>7139</v>
      </c>
      <c r="G1406">
        <v>0.35295689053775942</v>
      </c>
      <c r="H1406">
        <v>1.694375198230313E-208</v>
      </c>
      <c r="I1406">
        <v>1.0874028170921121E-207</v>
      </c>
      <c r="J1406">
        <v>0.34939304211098982</v>
      </c>
      <c r="K1406">
        <v>4.5533122195720261E-204</v>
      </c>
      <c r="L1406">
        <v>2.3318477730535531E-203</v>
      </c>
      <c r="M1406">
        <v>0.23790638301152051</v>
      </c>
      <c r="N1406">
        <v>1.279145127387733E-199</v>
      </c>
      <c r="O1406">
        <v>6.4210552434215914E-199</v>
      </c>
      <c r="P1406">
        <v>0.1245785665780839</v>
      </c>
      <c r="Q1406">
        <v>0.66817283995689203</v>
      </c>
      <c r="R1406">
        <v>5.6557700475289181</v>
      </c>
      <c r="S1406">
        <v>0.19524547644339821</v>
      </c>
      <c r="T1406">
        <v>0.15280855256088521</v>
      </c>
      <c r="U1406">
        <v>4.2625965936405663</v>
      </c>
      <c r="V1406">
        <v>0.11023909988438001</v>
      </c>
      <c r="W1406">
        <v>8.50392131909231</v>
      </c>
      <c r="X1406">
        <v>0.20869056368842209</v>
      </c>
      <c r="Z1406" t="s">
        <v>392</v>
      </c>
      <c r="AA1406">
        <v>140</v>
      </c>
      <c r="AB1406" t="s">
        <v>1797</v>
      </c>
      <c r="AC1406" t="str">
        <f>HYPERLINK("plots/20251231112652_3FT6Y119H04_05543_B21P_N_UFLEX98_M5358A8BA201511/dpll_52084/txpa_53231.png","plot")</f>
        <v>plot</v>
      </c>
    </row>
    <row r="1407" spans="1:29" hidden="1" x14ac:dyDescent="0.35">
      <c r="A1407" t="s">
        <v>47</v>
      </c>
      <c r="B1407">
        <v>52084</v>
      </c>
      <c r="C1407" t="s">
        <v>52</v>
      </c>
      <c r="D1407">
        <v>53232</v>
      </c>
      <c r="E1407" t="s">
        <v>107</v>
      </c>
      <c r="F1407">
        <v>7139</v>
      </c>
      <c r="G1407">
        <v>0.30069202785660021</v>
      </c>
      <c r="H1407">
        <v>4.2415986568046246E-149</v>
      </c>
      <c r="I1407">
        <v>1.064599266831656E-148</v>
      </c>
      <c r="J1407">
        <v>0.31139028138437419</v>
      </c>
      <c r="K1407">
        <v>2.600023381661063E-160</v>
      </c>
      <c r="L1407">
        <v>8.3431130031782192E-160</v>
      </c>
      <c r="M1407">
        <v>0.21194771206734539</v>
      </c>
      <c r="N1407">
        <v>7.362644632611137E-159</v>
      </c>
      <c r="O1407">
        <v>2.4239356030739261E-158</v>
      </c>
      <c r="P1407">
        <v>9.0415695616514441E-2</v>
      </c>
      <c r="Q1407">
        <v>0.64901464115523233</v>
      </c>
      <c r="R1407">
        <v>5.6558547660057457</v>
      </c>
      <c r="S1407">
        <v>0.2269129586014553</v>
      </c>
      <c r="T1407">
        <v>0.17780934313249711</v>
      </c>
      <c r="U1407">
        <v>4.2625965936405663</v>
      </c>
      <c r="V1407">
        <v>0.11023909988438001</v>
      </c>
      <c r="W1407">
        <v>8.4223423646168936</v>
      </c>
      <c r="X1407">
        <v>0.23794042816079369</v>
      </c>
      <c r="Z1407" t="s">
        <v>392</v>
      </c>
      <c r="AA1407">
        <v>140</v>
      </c>
      <c r="AB1407" t="s">
        <v>1798</v>
      </c>
      <c r="AC1407" t="str">
        <f>HYPERLINK("plots/20251231112652_3FT6Y119H04_05543_B21P_N_UFLEX98_M5358A8BA201511/dpll_52084/txpa_53232.png","plot")</f>
        <v>plot</v>
      </c>
    </row>
    <row r="1408" spans="1:29" hidden="1" x14ac:dyDescent="0.35">
      <c r="A1408" t="s">
        <v>47</v>
      </c>
      <c r="B1408">
        <v>52084</v>
      </c>
      <c r="C1408" t="s">
        <v>52</v>
      </c>
      <c r="D1408">
        <v>53233</v>
      </c>
      <c r="E1408" t="s">
        <v>108</v>
      </c>
      <c r="F1408">
        <v>7139</v>
      </c>
      <c r="G1408">
        <v>0.31814949317194607</v>
      </c>
      <c r="H1408">
        <v>1.218165208446407E-167</v>
      </c>
      <c r="I1408">
        <v>3.6982620400139421E-167</v>
      </c>
      <c r="J1408">
        <v>0.31578694756443271</v>
      </c>
      <c r="K1408">
        <v>4.6697696333721985E-165</v>
      </c>
      <c r="L1408">
        <v>1.599711624405206E-164</v>
      </c>
      <c r="M1408">
        <v>0.21484621690224859</v>
      </c>
      <c r="N1408">
        <v>3.5362543044788917E-163</v>
      </c>
      <c r="O1408">
        <v>1.2114060353856749E-162</v>
      </c>
      <c r="P1408">
        <v>0.10121910000556621</v>
      </c>
      <c r="Q1408">
        <v>0.65727558739192071</v>
      </c>
      <c r="R1408">
        <v>5.7406915795201829</v>
      </c>
      <c r="S1408">
        <v>0.21589790241453999</v>
      </c>
      <c r="T1408">
        <v>0.1696586151949469</v>
      </c>
      <c r="U1408">
        <v>4.2625965936405663</v>
      </c>
      <c r="V1408">
        <v>0.11023909988438001</v>
      </c>
      <c r="W1408">
        <v>8.5423922594200867</v>
      </c>
      <c r="X1408">
        <v>0.22774661184483599</v>
      </c>
      <c r="Z1408" t="s">
        <v>392</v>
      </c>
      <c r="AA1408">
        <v>140</v>
      </c>
      <c r="AB1408" t="s">
        <v>1799</v>
      </c>
      <c r="AC1408" t="str">
        <f>HYPERLINK("plots/20251231112652_3FT6Y119H04_05543_B21P_N_UFLEX98_M5358A8BA201511/dpll_52084/txpa_53233.png","plot")</f>
        <v>plot</v>
      </c>
    </row>
    <row r="1409" spans="1:29" hidden="1" x14ac:dyDescent="0.35">
      <c r="A1409" t="s">
        <v>47</v>
      </c>
      <c r="B1409">
        <v>52084</v>
      </c>
      <c r="C1409" t="s">
        <v>52</v>
      </c>
      <c r="D1409">
        <v>53234</v>
      </c>
      <c r="E1409" t="s">
        <v>109</v>
      </c>
      <c r="F1409">
        <v>7139</v>
      </c>
      <c r="G1409">
        <v>0.34793448175092689</v>
      </c>
      <c r="H1409">
        <v>2.848091093903118E-202</v>
      </c>
      <c r="I1409">
        <v>1.5867936094603089E-201</v>
      </c>
      <c r="J1409">
        <v>0.33616521864029641</v>
      </c>
      <c r="K1409">
        <v>3.9925477174585957E-188</v>
      </c>
      <c r="L1409">
        <v>1.7601927763056591E-187</v>
      </c>
      <c r="M1409">
        <v>0.22902801492588951</v>
      </c>
      <c r="N1409">
        <v>3.7665690123069842E-185</v>
      </c>
      <c r="O1409">
        <v>1.6321799053330261E-184</v>
      </c>
      <c r="P1409">
        <v>0.1210584035912861</v>
      </c>
      <c r="Q1409">
        <v>0.69313309215901486</v>
      </c>
      <c r="R1409">
        <v>5.2123675623561958</v>
      </c>
      <c r="S1409">
        <v>0.20587537866620151</v>
      </c>
      <c r="T1409">
        <v>0.16092564390287981</v>
      </c>
      <c r="U1409">
        <v>4.2625965936405663</v>
      </c>
      <c r="V1409">
        <v>0.11023909988438001</v>
      </c>
      <c r="W1409">
        <v>8.166914319932765</v>
      </c>
      <c r="X1409">
        <v>0.21961136991988661</v>
      </c>
      <c r="Z1409" t="s">
        <v>392</v>
      </c>
      <c r="AA1409">
        <v>140</v>
      </c>
      <c r="AB1409" t="s">
        <v>1800</v>
      </c>
      <c r="AC1409" t="str">
        <f>HYPERLINK("plots/20251231112652_3FT6Y119H04_05543_B21P_N_UFLEX98_M5358A8BA201511/dpll_52084/txpa_53234.png","plot")</f>
        <v>plot</v>
      </c>
    </row>
    <row r="1410" spans="1:29" hidden="1" x14ac:dyDescent="0.35">
      <c r="A1410" t="s">
        <v>47</v>
      </c>
      <c r="B1410">
        <v>52084</v>
      </c>
      <c r="C1410" t="s">
        <v>52</v>
      </c>
      <c r="D1410">
        <v>53235</v>
      </c>
      <c r="E1410" t="s">
        <v>110</v>
      </c>
      <c r="F1410">
        <v>7139</v>
      </c>
      <c r="G1410">
        <v>0.32409283165432229</v>
      </c>
      <c r="H1410">
        <v>3.0329157861515629E-174</v>
      </c>
      <c r="I1410">
        <v>1.018336624886651E-173</v>
      </c>
      <c r="J1410">
        <v>0.3430249719848053</v>
      </c>
      <c r="K1410">
        <v>2.6950604583305428E-196</v>
      </c>
      <c r="L1410">
        <v>1.219996118190701E-195</v>
      </c>
      <c r="M1410">
        <v>0.23321085467278119</v>
      </c>
      <c r="N1410">
        <v>6.7205350937829902E-192</v>
      </c>
      <c r="O1410">
        <v>3.0287211489315352E-191</v>
      </c>
      <c r="P1410">
        <v>0.1050361635297169</v>
      </c>
      <c r="Q1410">
        <v>0.64408290454787154</v>
      </c>
      <c r="R1410">
        <v>6.3934275678200141</v>
      </c>
      <c r="S1410">
        <v>0.207243219091548</v>
      </c>
      <c r="T1410">
        <v>0.15739587669569829</v>
      </c>
      <c r="U1410">
        <v>4.2625965936405663</v>
      </c>
      <c r="V1410">
        <v>0.11023909988438001</v>
      </c>
      <c r="W1410">
        <v>9.1388931627678929</v>
      </c>
      <c r="X1410">
        <v>0.21908266000775489</v>
      </c>
      <c r="Z1410" t="s">
        <v>392</v>
      </c>
      <c r="AA1410">
        <v>140</v>
      </c>
      <c r="AB1410" t="s">
        <v>1801</v>
      </c>
      <c r="AC1410" t="str">
        <f>HYPERLINK("plots/20251231112652_3FT6Y119H04_05543_B21P_N_UFLEX98_M5358A8BA201511/dpll_52084/txpa_53235.png","plot")</f>
        <v>plot</v>
      </c>
    </row>
    <row r="1411" spans="1:29" hidden="1" x14ac:dyDescent="0.35">
      <c r="A1411" t="s">
        <v>47</v>
      </c>
      <c r="B1411">
        <v>52084</v>
      </c>
      <c r="C1411" t="s">
        <v>52</v>
      </c>
      <c r="D1411">
        <v>53236</v>
      </c>
      <c r="E1411" t="s">
        <v>111</v>
      </c>
      <c r="F1411">
        <v>7139</v>
      </c>
      <c r="G1411">
        <v>0.26672120260206178</v>
      </c>
      <c r="H1411">
        <v>1.5083136710547681E-116</v>
      </c>
      <c r="I1411">
        <v>2.7757351405617678E-116</v>
      </c>
      <c r="J1411">
        <v>0.26983962969172942</v>
      </c>
      <c r="K1411">
        <v>2.394468135837099E-119</v>
      </c>
      <c r="L1411">
        <v>5.144048071480547E-119</v>
      </c>
      <c r="M1411">
        <v>0.18113884530518759</v>
      </c>
      <c r="N1411">
        <v>1.426994544799193E-116</v>
      </c>
      <c r="O1411">
        <v>3.0526845325451092E-116</v>
      </c>
      <c r="P1411">
        <v>7.1140199917490113E-2</v>
      </c>
      <c r="Q1411">
        <v>0.63824939882196696</v>
      </c>
      <c r="R1411">
        <v>6.5124649324370498</v>
      </c>
      <c r="S1411">
        <v>0.25422203852870862</v>
      </c>
      <c r="T1411">
        <v>0.20293424717040659</v>
      </c>
      <c r="U1411">
        <v>4.2625965936405663</v>
      </c>
      <c r="V1411">
        <v>0.11023909988438001</v>
      </c>
      <c r="W1411">
        <v>9.2330646457487049</v>
      </c>
      <c r="X1411">
        <v>0.26379619820796518</v>
      </c>
      <c r="Z1411" t="s">
        <v>392</v>
      </c>
      <c r="AA1411">
        <v>140</v>
      </c>
      <c r="AB1411" t="s">
        <v>1802</v>
      </c>
      <c r="AC1411" t="str">
        <f>HYPERLINK("plots/20251231112652_3FT6Y119H04_05543_B21P_N_UFLEX98_M5358A8BA201511/dpll_52084/txpa_53236.png","plot")</f>
        <v>plot</v>
      </c>
    </row>
    <row r="1412" spans="1:29" hidden="1" x14ac:dyDescent="0.35">
      <c r="A1412" t="s">
        <v>47</v>
      </c>
      <c r="B1412">
        <v>52084</v>
      </c>
      <c r="C1412" t="s">
        <v>52</v>
      </c>
      <c r="D1412">
        <v>53237</v>
      </c>
      <c r="E1412" t="s">
        <v>112</v>
      </c>
      <c r="F1412">
        <v>7139</v>
      </c>
      <c r="G1412">
        <v>0.34437551586261189</v>
      </c>
      <c r="H1412">
        <v>6.2715793791463117E-198</v>
      </c>
      <c r="I1412">
        <v>3.2118088335628092E-197</v>
      </c>
      <c r="J1412">
        <v>0.35808441085681669</v>
      </c>
      <c r="K1412">
        <v>5.6871423390411813E-215</v>
      </c>
      <c r="L1412">
        <v>3.6966425203767681E-214</v>
      </c>
      <c r="M1412">
        <v>0.24366035755999541</v>
      </c>
      <c r="N1412">
        <v>2.7326247288990272E-209</v>
      </c>
      <c r="O1412">
        <v>1.639574837339416E-208</v>
      </c>
      <c r="P1412">
        <v>0.1185944959256401</v>
      </c>
      <c r="Q1412">
        <v>0.65668118545021503</v>
      </c>
      <c r="R1412">
        <v>6.5681626898360488</v>
      </c>
      <c r="S1412">
        <v>0.1973401369227083</v>
      </c>
      <c r="T1412">
        <v>0.15155738986150311</v>
      </c>
      <c r="U1412">
        <v>4.2625965936405663</v>
      </c>
      <c r="V1412">
        <v>0.11023909988438001</v>
      </c>
      <c r="W1412">
        <v>9.3673296740439849</v>
      </c>
      <c r="X1412">
        <v>0.21021222317070881</v>
      </c>
      <c r="Z1412" t="s">
        <v>392</v>
      </c>
      <c r="AA1412">
        <v>140</v>
      </c>
      <c r="AB1412" t="s">
        <v>1803</v>
      </c>
      <c r="AC1412" t="str">
        <f>HYPERLINK("plots/20251231112652_3FT6Y119H04_05543_B21P_N_UFLEX98_M5358A8BA201511/dpll_52084/txpa_53237.png","plot")</f>
        <v>plot</v>
      </c>
    </row>
    <row r="1413" spans="1:29" hidden="1" x14ac:dyDescent="0.35">
      <c r="A1413" t="s">
        <v>47</v>
      </c>
      <c r="B1413">
        <v>52084</v>
      </c>
      <c r="C1413" t="s">
        <v>52</v>
      </c>
      <c r="D1413">
        <v>53238</v>
      </c>
      <c r="E1413" t="s">
        <v>113</v>
      </c>
      <c r="F1413">
        <v>7139</v>
      </c>
      <c r="G1413">
        <v>0.28071696923505107</v>
      </c>
      <c r="H1413">
        <v>2.0883041671844112E-129</v>
      </c>
      <c r="I1413">
        <v>4.2865190800101063E-129</v>
      </c>
      <c r="J1413">
        <v>0.27931226786477348</v>
      </c>
      <c r="K1413">
        <v>4.41430888508339E-128</v>
      </c>
      <c r="L1413">
        <v>1.045819908755738E-127</v>
      </c>
      <c r="M1413">
        <v>0.18859449911470971</v>
      </c>
      <c r="N1413">
        <v>3.3638873882012107E-126</v>
      </c>
      <c r="O1413">
        <v>8.1213852658000667E-126</v>
      </c>
      <c r="P1413">
        <v>7.880201681651261E-2</v>
      </c>
      <c r="Q1413">
        <v>0.62172746082487262</v>
      </c>
      <c r="R1413">
        <v>6.6282705898062044</v>
      </c>
      <c r="S1413">
        <v>0.23432202518177059</v>
      </c>
      <c r="T1413">
        <v>0.186666877816871</v>
      </c>
      <c r="U1413">
        <v>4.2625965936405663</v>
      </c>
      <c r="V1413">
        <v>0.11023909988438001</v>
      </c>
      <c r="W1413">
        <v>9.2784439464911053</v>
      </c>
      <c r="X1413">
        <v>0.2441557980677185</v>
      </c>
      <c r="Z1413" t="s">
        <v>392</v>
      </c>
      <c r="AA1413">
        <v>140</v>
      </c>
      <c r="AB1413" t="s">
        <v>1804</v>
      </c>
      <c r="AC1413" t="str">
        <f>HYPERLINK("plots/20251231112652_3FT6Y119H04_05543_B21P_N_UFLEX98_M5358A8BA201511/dpll_52084/txpa_53238.png","plot")</f>
        <v>plot</v>
      </c>
    </row>
    <row r="1414" spans="1:29" hidden="1" x14ac:dyDescent="0.35">
      <c r="A1414" t="s">
        <v>47</v>
      </c>
      <c r="B1414">
        <v>52084</v>
      </c>
      <c r="C1414" t="s">
        <v>52</v>
      </c>
      <c r="D1414">
        <v>53239</v>
      </c>
      <c r="E1414" t="s">
        <v>114</v>
      </c>
      <c r="F1414">
        <v>7139</v>
      </c>
      <c r="G1414">
        <v>0.35963335092615462</v>
      </c>
      <c r="H1414">
        <v>5.962919659900487E-217</v>
      </c>
      <c r="I1414">
        <v>4.5461658158940549E-216</v>
      </c>
      <c r="J1414">
        <v>0.35712266080531951</v>
      </c>
      <c r="K1414">
        <v>9.5145536059313205E-214</v>
      </c>
      <c r="L1414">
        <v>5.9554057755644194E-213</v>
      </c>
      <c r="M1414">
        <v>0.243656643303514</v>
      </c>
      <c r="N1414">
        <v>2.7728157943208108E-209</v>
      </c>
      <c r="O1414">
        <v>1.6539030679066491E-208</v>
      </c>
      <c r="P1414">
        <v>0.1293361470983746</v>
      </c>
      <c r="Q1414">
        <v>0.68050062995377214</v>
      </c>
      <c r="R1414">
        <v>6.5860370079533812</v>
      </c>
      <c r="S1414">
        <v>0.19462519847953749</v>
      </c>
      <c r="T1414">
        <v>0.1516297112283165</v>
      </c>
      <c r="U1414">
        <v>4.2625965936405663</v>
      </c>
      <c r="V1414">
        <v>0.11023909988438001</v>
      </c>
      <c r="W1414">
        <v>9.4867366751645896</v>
      </c>
      <c r="X1414">
        <v>0.20859516149897139</v>
      </c>
      <c r="Z1414" t="s">
        <v>392</v>
      </c>
      <c r="AA1414">
        <v>140</v>
      </c>
      <c r="AB1414" t="s">
        <v>1805</v>
      </c>
      <c r="AC1414" t="str">
        <f>HYPERLINK("plots/20251231112652_3FT6Y119H04_05543_B21P_N_UFLEX98_M5358A8BA201511/dpll_52084/txpa_53239.png","plot")</f>
        <v>plot</v>
      </c>
    </row>
    <row r="1415" spans="1:29" hidden="1" x14ac:dyDescent="0.35">
      <c r="A1415" t="s">
        <v>47</v>
      </c>
      <c r="B1415">
        <v>52084</v>
      </c>
      <c r="C1415" t="s">
        <v>52</v>
      </c>
      <c r="D1415">
        <v>53240</v>
      </c>
      <c r="E1415" t="s">
        <v>115</v>
      </c>
      <c r="F1415">
        <v>7139</v>
      </c>
      <c r="G1415">
        <v>0.31066741278670862</v>
      </c>
      <c r="H1415">
        <v>1.5399373516492031E-159</v>
      </c>
      <c r="I1415">
        <v>4.2547587863005222E-159</v>
      </c>
      <c r="J1415">
        <v>0.32139555893260108</v>
      </c>
      <c r="K1415">
        <v>3.1440211934209122E-171</v>
      </c>
      <c r="L1415">
        <v>1.134532914636585E-170</v>
      </c>
      <c r="M1415">
        <v>0.21916761845774191</v>
      </c>
      <c r="N1415">
        <v>1.003001329063594E-169</v>
      </c>
      <c r="O1415">
        <v>3.739129954670899E-169</v>
      </c>
      <c r="P1415">
        <v>9.651424136758717E-2</v>
      </c>
      <c r="Q1415">
        <v>0.66207462984296916</v>
      </c>
      <c r="R1415">
        <v>6.585616131399906</v>
      </c>
      <c r="S1415">
        <v>0.22329404481190859</v>
      </c>
      <c r="T1415">
        <v>0.17454372221245679</v>
      </c>
      <c r="U1415">
        <v>4.2625965936405663</v>
      </c>
      <c r="V1415">
        <v>0.11023909988438001</v>
      </c>
      <c r="W1415">
        <v>9.4077731933043847</v>
      </c>
      <c r="X1415">
        <v>0.23493455781370459</v>
      </c>
      <c r="Z1415" t="s">
        <v>392</v>
      </c>
      <c r="AA1415">
        <v>140</v>
      </c>
      <c r="AB1415" t="s">
        <v>1806</v>
      </c>
      <c r="AC1415" t="str">
        <f>HYPERLINK("plots/20251231112652_3FT6Y119H04_05543_B21P_N_UFLEX98_M5358A8BA201511/dpll_52084/txpa_53240.png","plot")</f>
        <v>plot</v>
      </c>
    </row>
    <row r="1416" spans="1:29" hidden="1" x14ac:dyDescent="0.35">
      <c r="A1416" t="s">
        <v>47</v>
      </c>
      <c r="B1416">
        <v>52084</v>
      </c>
      <c r="C1416" t="s">
        <v>52</v>
      </c>
      <c r="D1416">
        <v>53241</v>
      </c>
      <c r="E1416" t="s">
        <v>116</v>
      </c>
      <c r="F1416">
        <v>7139</v>
      </c>
      <c r="G1416">
        <v>0.32764209821705231</v>
      </c>
      <c r="H1416">
        <v>2.9261485896599593E-178</v>
      </c>
      <c r="I1416">
        <v>1.0231429896259299E-177</v>
      </c>
      <c r="J1416">
        <v>0.32534735986150259</v>
      </c>
      <c r="K1416">
        <v>1.1713419392460901E-175</v>
      </c>
      <c r="L1416">
        <v>4.4651907007350928E-175</v>
      </c>
      <c r="M1416">
        <v>0.22179354658248729</v>
      </c>
      <c r="N1416">
        <v>9.1089376694861391E-174</v>
      </c>
      <c r="O1416">
        <v>3.5119630406307783E-173</v>
      </c>
      <c r="P1416">
        <v>0.10734934452407251</v>
      </c>
      <c r="Q1416">
        <v>0.66993011864384822</v>
      </c>
      <c r="R1416">
        <v>6.6646084261161374</v>
      </c>
      <c r="S1416">
        <v>0.21294909962307451</v>
      </c>
      <c r="T1416">
        <v>0.16658622376554719</v>
      </c>
      <c r="U1416">
        <v>4.2625965936405663</v>
      </c>
      <c r="V1416">
        <v>0.11023909988438001</v>
      </c>
      <c r="W1416">
        <v>9.5202502678246255</v>
      </c>
      <c r="X1416">
        <v>0.22540599534254249</v>
      </c>
      <c r="Z1416" t="s">
        <v>392</v>
      </c>
      <c r="AA1416">
        <v>140</v>
      </c>
      <c r="AB1416" t="s">
        <v>1807</v>
      </c>
      <c r="AC1416" t="str">
        <f>HYPERLINK("plots/20251231112652_3FT6Y119H04_05543_B21P_N_UFLEX98_M5358A8BA201511/dpll_52084/txpa_53241.png","plot")</f>
        <v>plot</v>
      </c>
    </row>
    <row r="1417" spans="1:29" hidden="1" x14ac:dyDescent="0.35">
      <c r="A1417" t="s">
        <v>47</v>
      </c>
      <c r="B1417">
        <v>52084</v>
      </c>
      <c r="C1417" t="s">
        <v>52</v>
      </c>
      <c r="D1417">
        <v>53242</v>
      </c>
      <c r="E1417" t="s">
        <v>117</v>
      </c>
      <c r="F1417">
        <v>7139</v>
      </c>
      <c r="G1417">
        <v>0.3541891177302563</v>
      </c>
      <c r="H1417">
        <v>4.8320713171373542E-210</v>
      </c>
      <c r="I1417">
        <v>3.2235002076166288E-209</v>
      </c>
      <c r="J1417">
        <v>0.34331418847103079</v>
      </c>
      <c r="K1417">
        <v>1.2064428080770831E-196</v>
      </c>
      <c r="L1417">
        <v>5.5105090422980277E-196</v>
      </c>
      <c r="M1417">
        <v>0.23431733665638119</v>
      </c>
      <c r="N1417">
        <v>1.052340732231839E-193</v>
      </c>
      <c r="O1417">
        <v>4.917389412364448E-193</v>
      </c>
      <c r="P1417">
        <v>0.12544993111853739</v>
      </c>
      <c r="Q1417">
        <v>0.7008856248029891</v>
      </c>
      <c r="R1417">
        <v>6.1767731143303566</v>
      </c>
      <c r="S1417">
        <v>0.20399030043525751</v>
      </c>
      <c r="T1417">
        <v>0.1588318793364836</v>
      </c>
      <c r="U1417">
        <v>4.2625965936405663</v>
      </c>
      <c r="V1417">
        <v>0.11023909988438001</v>
      </c>
      <c r="W1417">
        <v>9.1643657911472189</v>
      </c>
      <c r="X1417">
        <v>0.21814617257390281</v>
      </c>
      <c r="Z1417" t="s">
        <v>392</v>
      </c>
      <c r="AA1417">
        <v>140</v>
      </c>
      <c r="AB1417" t="s">
        <v>1808</v>
      </c>
      <c r="AC1417" t="str">
        <f>HYPERLINK("plots/20251231112652_3FT6Y119H04_05543_B21P_N_UFLEX98_M5358A8BA201511/dpll_52084/txpa_53242.png","plot")</f>
        <v>plot</v>
      </c>
    </row>
    <row r="1418" spans="1:29" hidden="1" x14ac:dyDescent="0.35">
      <c r="A1418" t="s">
        <v>47</v>
      </c>
      <c r="B1418">
        <v>52084</v>
      </c>
      <c r="C1418" t="s">
        <v>52</v>
      </c>
      <c r="D1418">
        <v>53243</v>
      </c>
      <c r="E1418" t="s">
        <v>118</v>
      </c>
      <c r="F1418">
        <v>7139</v>
      </c>
      <c r="G1418">
        <v>0.33006056751359247</v>
      </c>
      <c r="H1418">
        <v>5.0010440605268382E-181</v>
      </c>
      <c r="I1418">
        <v>1.817583755331259E-180</v>
      </c>
      <c r="J1418">
        <v>0.35284125351125722</v>
      </c>
      <c r="K1418">
        <v>2.3639176138945498E-208</v>
      </c>
      <c r="L1418">
        <v>1.2956824110751751E-207</v>
      </c>
      <c r="M1418">
        <v>0.24045621950003179</v>
      </c>
      <c r="N1418">
        <v>7.0852683893836211E-204</v>
      </c>
      <c r="O1418">
        <v>3.8013027231931169E-203</v>
      </c>
      <c r="P1418">
        <v>0.1089399782273948</v>
      </c>
      <c r="Q1418">
        <v>0.65930742737799797</v>
      </c>
      <c r="R1418">
        <v>7.2848623179291208</v>
      </c>
      <c r="S1418">
        <v>0.2078514435610658</v>
      </c>
      <c r="T1418">
        <v>0.1567638634245139</v>
      </c>
      <c r="U1418">
        <v>4.2625965936405663</v>
      </c>
      <c r="V1418">
        <v>0.11023909988438001</v>
      </c>
      <c r="W1418">
        <v>10.0952239120325</v>
      </c>
      <c r="X1418">
        <v>0.22020642419892711</v>
      </c>
      <c r="Z1418" t="s">
        <v>392</v>
      </c>
      <c r="AA1418">
        <v>140</v>
      </c>
      <c r="AB1418" t="s">
        <v>1809</v>
      </c>
      <c r="AC1418" t="str">
        <f>HYPERLINK("plots/20251231112652_3FT6Y119H04_05543_B21P_N_UFLEX98_M5358A8BA201511/dpll_52084/txpa_53243.png","plot")</f>
        <v>plot</v>
      </c>
    </row>
    <row r="1419" spans="1:29" hidden="1" x14ac:dyDescent="0.35">
      <c r="A1419" t="s">
        <v>47</v>
      </c>
      <c r="B1419">
        <v>52084</v>
      </c>
      <c r="C1419" t="s">
        <v>52</v>
      </c>
      <c r="D1419">
        <v>53244</v>
      </c>
      <c r="E1419" t="s">
        <v>119</v>
      </c>
      <c r="F1419">
        <v>7139</v>
      </c>
      <c r="G1419">
        <v>0.27587429353610521</v>
      </c>
      <c r="H1419">
        <v>7.1664006764594317E-125</v>
      </c>
      <c r="I1419">
        <v>1.389432177042039E-124</v>
      </c>
      <c r="J1419">
        <v>0.27965358538738622</v>
      </c>
      <c r="K1419">
        <v>2.1067234174061489E-128</v>
      </c>
      <c r="L1419">
        <v>5.0145951766428059E-128</v>
      </c>
      <c r="M1419">
        <v>0.1880020127370475</v>
      </c>
      <c r="N1419">
        <v>2.023382998478334E-125</v>
      </c>
      <c r="O1419">
        <v>4.7937157954603527E-125</v>
      </c>
      <c r="P1419">
        <v>7.6106625834045108E-2</v>
      </c>
      <c r="Q1419">
        <v>0.65462375340036194</v>
      </c>
      <c r="R1419">
        <v>7.4085537468926699</v>
      </c>
      <c r="S1419">
        <v>0.25141818765623769</v>
      </c>
      <c r="T1419">
        <v>0.20005317232137801</v>
      </c>
      <c r="U1419">
        <v>4.2625965936405663</v>
      </c>
      <c r="V1419">
        <v>0.11023909988438001</v>
      </c>
      <c r="W1419">
        <v>10.19895072825325</v>
      </c>
      <c r="X1419">
        <v>0.26158701636455889</v>
      </c>
      <c r="Z1419" t="s">
        <v>392</v>
      </c>
      <c r="AA1419">
        <v>140</v>
      </c>
      <c r="AB1419" t="s">
        <v>1810</v>
      </c>
      <c r="AC1419" t="str">
        <f>HYPERLINK("plots/20251231112652_3FT6Y119H04_05543_B21P_N_UFLEX98_M5358A8BA201511/dpll_52084/txpa_53244.png","plot")</f>
        <v>plot</v>
      </c>
    </row>
    <row r="1420" spans="1:29" hidden="1" x14ac:dyDescent="0.35">
      <c r="A1420" t="s">
        <v>47</v>
      </c>
      <c r="B1420">
        <v>52084</v>
      </c>
      <c r="C1420" t="s">
        <v>52</v>
      </c>
      <c r="D1420">
        <v>53245</v>
      </c>
      <c r="E1420" t="s">
        <v>120</v>
      </c>
      <c r="F1420">
        <v>7139</v>
      </c>
      <c r="G1420">
        <v>0.35222729299928113</v>
      </c>
      <c r="H1420">
        <v>1.3818843078340429E-207</v>
      </c>
      <c r="I1420">
        <v>8.5440895618519462E-207</v>
      </c>
      <c r="J1420">
        <v>0.36856106634215802</v>
      </c>
      <c r="K1420">
        <v>1.41073582779866E-228</v>
      </c>
      <c r="L1420">
        <v>1.2331776977481391E-227</v>
      </c>
      <c r="M1420">
        <v>0.25158943667454042</v>
      </c>
      <c r="N1420">
        <v>5.4160729042958932E-223</v>
      </c>
      <c r="O1420">
        <v>4.6150402730722991E-222</v>
      </c>
      <c r="P1420">
        <v>0.12406406593360141</v>
      </c>
      <c r="Q1420">
        <v>0.6749762960328709</v>
      </c>
      <c r="R1420">
        <v>7.4353930129456884</v>
      </c>
      <c r="S1420">
        <v>0.19770011741584831</v>
      </c>
      <c r="T1420">
        <v>0.15073092450350639</v>
      </c>
      <c r="U1420">
        <v>4.2625965936405663</v>
      </c>
      <c r="V1420">
        <v>0.11023909988438001</v>
      </c>
      <c r="W1420">
        <v>10.312544673203529</v>
      </c>
      <c r="X1420">
        <v>0.21125216812232769</v>
      </c>
      <c r="Z1420" t="s">
        <v>392</v>
      </c>
      <c r="AA1420">
        <v>140</v>
      </c>
      <c r="AB1420" t="s">
        <v>1811</v>
      </c>
      <c r="AC1420" t="str">
        <f>HYPERLINK("plots/20251231112652_3FT6Y119H04_05543_B21P_N_UFLEX98_M5358A8BA201511/dpll_52084/txpa_53245.png","plot")</f>
        <v>plot</v>
      </c>
    </row>
    <row r="1421" spans="1:29" hidden="1" x14ac:dyDescent="0.35">
      <c r="A1421" t="s">
        <v>47</v>
      </c>
      <c r="B1421">
        <v>52084</v>
      </c>
      <c r="C1421" t="s">
        <v>52</v>
      </c>
      <c r="D1421">
        <v>53246</v>
      </c>
      <c r="E1421" t="s">
        <v>121</v>
      </c>
      <c r="F1421">
        <v>7139</v>
      </c>
      <c r="G1421">
        <v>0.29137029710972889</v>
      </c>
      <c r="H1421">
        <v>1.038201327010054E-139</v>
      </c>
      <c r="I1421">
        <v>2.3290622690004301E-139</v>
      </c>
      <c r="J1421">
        <v>0.2902063955627624</v>
      </c>
      <c r="K1421">
        <v>1.4586660852831769E-138</v>
      </c>
      <c r="L1421">
        <v>3.7540289606018809E-138</v>
      </c>
      <c r="M1421">
        <v>0.19630390751434279</v>
      </c>
      <c r="N1421">
        <v>1.462688453589388E-136</v>
      </c>
      <c r="O1421">
        <v>3.7835869692337726E-136</v>
      </c>
      <c r="P1421">
        <v>8.4896650037811716E-2</v>
      </c>
      <c r="Q1421">
        <v>0.640997834176252</v>
      </c>
      <c r="R1421">
        <v>7.5117631040651487</v>
      </c>
      <c r="S1421">
        <v>0.23198056254030111</v>
      </c>
      <c r="T1421">
        <v>0.184230761825776</v>
      </c>
      <c r="U1421">
        <v>4.2625965936405663</v>
      </c>
      <c r="V1421">
        <v>0.11023909988438001</v>
      </c>
      <c r="W1421">
        <v>10.244078288555819</v>
      </c>
      <c r="X1421">
        <v>0.2425196561501797</v>
      </c>
      <c r="Z1421" t="s">
        <v>392</v>
      </c>
      <c r="AA1421">
        <v>140</v>
      </c>
      <c r="AB1421" t="s">
        <v>1812</v>
      </c>
      <c r="AC1421" t="str">
        <f>HYPERLINK("plots/20251231112652_3FT6Y119H04_05543_B21P_N_UFLEX98_M5358A8BA201511/dpll_52084/txpa_53246.png","plot")</f>
        <v>plot</v>
      </c>
    </row>
    <row r="1422" spans="1:29" hidden="1" x14ac:dyDescent="0.35">
      <c r="A1422" t="s">
        <v>47</v>
      </c>
      <c r="B1422">
        <v>52084</v>
      </c>
      <c r="C1422" t="s">
        <v>52</v>
      </c>
      <c r="D1422">
        <v>53247</v>
      </c>
      <c r="E1422" t="s">
        <v>122</v>
      </c>
      <c r="F1422">
        <v>7139</v>
      </c>
      <c r="G1422">
        <v>0.3671282824436789</v>
      </c>
      <c r="H1422">
        <v>1.097397866515246E-226</v>
      </c>
      <c r="I1422">
        <v>1.183788762389851E-225</v>
      </c>
      <c r="J1422">
        <v>0.3654964872730132</v>
      </c>
      <c r="K1422">
        <v>1.5212113947714451E-224</v>
      </c>
      <c r="L1422">
        <v>1.2540718327628009E-223</v>
      </c>
      <c r="M1422">
        <v>0.25002963261833983</v>
      </c>
      <c r="N1422">
        <v>2.911151053975043E-220</v>
      </c>
      <c r="O1422">
        <v>2.3427834672465819E-219</v>
      </c>
      <c r="P1422">
        <v>0.1347831757700457</v>
      </c>
      <c r="Q1422">
        <v>0.69827519336751731</v>
      </c>
      <c r="R1422">
        <v>7.4569471838159362</v>
      </c>
      <c r="S1422">
        <v>0.1950188038910054</v>
      </c>
      <c r="T1422">
        <v>0.15105358639178831</v>
      </c>
      <c r="U1422">
        <v>4.2625965936405663</v>
      </c>
      <c r="V1422">
        <v>0.11023909988438001</v>
      </c>
      <c r="W1422">
        <v>10.433412644488021</v>
      </c>
      <c r="X1422">
        <v>0.20967392726065881</v>
      </c>
      <c r="Z1422" t="s">
        <v>392</v>
      </c>
      <c r="AA1422">
        <v>140</v>
      </c>
      <c r="AB1422" t="s">
        <v>1813</v>
      </c>
      <c r="AC1422" t="str">
        <f>HYPERLINK("plots/20251231112652_3FT6Y119H04_05543_B21P_N_UFLEX98_M5358A8BA201511/dpll_52084/txpa_53247.png","plot")</f>
        <v>plot</v>
      </c>
    </row>
    <row r="1423" spans="1:29" hidden="1" x14ac:dyDescent="0.35">
      <c r="A1423" t="s">
        <v>47</v>
      </c>
      <c r="B1423">
        <v>52084</v>
      </c>
      <c r="C1423" t="s">
        <v>52</v>
      </c>
      <c r="D1423">
        <v>53248</v>
      </c>
      <c r="E1423" t="s">
        <v>123</v>
      </c>
      <c r="F1423">
        <v>7139</v>
      </c>
      <c r="G1423">
        <v>0.32167630731421509</v>
      </c>
      <c r="H1423">
        <v>1.531246911292951E-171</v>
      </c>
      <c r="I1423">
        <v>4.960652933070454E-171</v>
      </c>
      <c r="J1423">
        <v>0.33215529659285409</v>
      </c>
      <c r="K1423">
        <v>1.9134252563299089E-183</v>
      </c>
      <c r="L1423">
        <v>7.7920209233675827E-183</v>
      </c>
      <c r="M1423">
        <v>0.2269678532975124</v>
      </c>
      <c r="N1423">
        <v>7.1577402396148449E-182</v>
      </c>
      <c r="O1423">
        <v>3.0241452512372722E-181</v>
      </c>
      <c r="P1423">
        <v>0.10347564668730939</v>
      </c>
      <c r="Q1423">
        <v>0.67972291909275306</v>
      </c>
      <c r="R1423">
        <v>7.4595520097848453</v>
      </c>
      <c r="S1423">
        <v>0.22054596887859079</v>
      </c>
      <c r="T1423">
        <v>0.17191217157731989</v>
      </c>
      <c r="U1423">
        <v>4.2625965936405663</v>
      </c>
      <c r="V1423">
        <v>0.11023909988438001</v>
      </c>
      <c r="W1423">
        <v>10.35693660932904</v>
      </c>
      <c r="X1423">
        <v>0.23294237426810041</v>
      </c>
      <c r="Z1423" t="s">
        <v>392</v>
      </c>
      <c r="AA1423">
        <v>140</v>
      </c>
      <c r="AB1423" t="s">
        <v>1814</v>
      </c>
      <c r="AC1423" t="str">
        <f>HYPERLINK("plots/20251231112652_3FT6Y119H04_05543_B21P_N_UFLEX98_M5358A8BA201511/dpll_52084/txpa_53248.png","plot")</f>
        <v>plot</v>
      </c>
    </row>
    <row r="1424" spans="1:29" hidden="1" x14ac:dyDescent="0.35">
      <c r="A1424" t="s">
        <v>47</v>
      </c>
      <c r="B1424">
        <v>52084</v>
      </c>
      <c r="C1424" t="s">
        <v>52</v>
      </c>
      <c r="D1424">
        <v>53249</v>
      </c>
      <c r="E1424" t="s">
        <v>124</v>
      </c>
      <c r="F1424">
        <v>7139</v>
      </c>
      <c r="G1424">
        <v>0.33796159236131079</v>
      </c>
      <c r="H1424">
        <v>3.0313050379779432E-190</v>
      </c>
      <c r="I1424">
        <v>1.3248893571162219E-189</v>
      </c>
      <c r="J1424">
        <v>0.33554670579471202</v>
      </c>
      <c r="K1424">
        <v>2.1270909563896719E-187</v>
      </c>
      <c r="L1424">
        <v>9.1781711905494792E-187</v>
      </c>
      <c r="M1424">
        <v>0.22924600617179891</v>
      </c>
      <c r="N1424">
        <v>1.68689014220196E-185</v>
      </c>
      <c r="O1424">
        <v>7.3412300609132496E-185</v>
      </c>
      <c r="P1424">
        <v>0.1142180379113928</v>
      </c>
      <c r="Q1424">
        <v>0.6874040269353503</v>
      </c>
      <c r="R1424">
        <v>7.5318055445390009</v>
      </c>
      <c r="S1424">
        <v>0.21101502501576189</v>
      </c>
      <c r="T1424">
        <v>0.16428672553336629</v>
      </c>
      <c r="U1424">
        <v>4.2625965936405663</v>
      </c>
      <c r="V1424">
        <v>0.11023909988438001</v>
      </c>
      <c r="W1424">
        <v>10.461931608208429</v>
      </c>
      <c r="X1424">
        <v>0.22422311558183489</v>
      </c>
      <c r="Z1424" t="s">
        <v>392</v>
      </c>
      <c r="AA1424">
        <v>140</v>
      </c>
      <c r="AB1424" t="s">
        <v>1815</v>
      </c>
      <c r="AC1424" t="str">
        <f>HYPERLINK("plots/20251231112652_3FT6Y119H04_05543_B21P_N_UFLEX98_M5358A8BA201511/dpll_52084/txpa_53249.png","plot")</f>
        <v>plot</v>
      </c>
    </row>
    <row r="1425" spans="1:29" hidden="1" x14ac:dyDescent="0.35">
      <c r="A1425" t="s">
        <v>47</v>
      </c>
      <c r="B1425">
        <v>52084</v>
      </c>
      <c r="C1425" t="s">
        <v>52</v>
      </c>
      <c r="D1425">
        <v>53250</v>
      </c>
      <c r="E1425" t="s">
        <v>125</v>
      </c>
      <c r="F1425">
        <v>7139</v>
      </c>
      <c r="G1425">
        <v>0.36078079883797509</v>
      </c>
      <c r="H1425">
        <v>2.0043156117604001E-218</v>
      </c>
      <c r="I1425">
        <v>1.625900824260036E-217</v>
      </c>
      <c r="J1425">
        <v>0.35070384875482302</v>
      </c>
      <c r="K1425">
        <v>1.086119679956657E-205</v>
      </c>
      <c r="L1425">
        <v>5.7360695597710959E-205</v>
      </c>
      <c r="M1425">
        <v>0.23984057430882369</v>
      </c>
      <c r="N1425">
        <v>7.6250881862507021E-203</v>
      </c>
      <c r="O1425">
        <v>4.026999698363652E-202</v>
      </c>
      <c r="P1425">
        <v>0.13016278481016741</v>
      </c>
      <c r="Q1425">
        <v>0.71301887868131375</v>
      </c>
      <c r="R1425">
        <v>7.0869867441489287</v>
      </c>
      <c r="S1425">
        <v>0.20318041576411991</v>
      </c>
      <c r="T1425">
        <v>0.15754590998339801</v>
      </c>
      <c r="U1425">
        <v>4.2625965936405663</v>
      </c>
      <c r="V1425">
        <v>0.11023909988438001</v>
      </c>
      <c r="W1425">
        <v>10.12629858761731</v>
      </c>
      <c r="X1425">
        <v>0.2178679121493326</v>
      </c>
      <c r="Z1425" t="s">
        <v>392</v>
      </c>
      <c r="AA1425">
        <v>140</v>
      </c>
      <c r="AB1425" t="s">
        <v>1816</v>
      </c>
      <c r="AC1425" t="str">
        <f>HYPERLINK("plots/20251231112652_3FT6Y119H04_05543_B21P_N_UFLEX98_M5358A8BA201511/dpll_52084/txpa_53250.png","plot")</f>
        <v>plot</v>
      </c>
    </row>
    <row r="1426" spans="1:29" hidden="1" x14ac:dyDescent="0.35">
      <c r="A1426" t="s">
        <v>47</v>
      </c>
      <c r="B1426">
        <v>52084</v>
      </c>
      <c r="C1426" t="s">
        <v>52</v>
      </c>
      <c r="D1426">
        <v>53251</v>
      </c>
      <c r="E1426" t="s">
        <v>126</v>
      </c>
      <c r="F1426">
        <v>7139</v>
      </c>
      <c r="G1426">
        <v>0.33377757121386642</v>
      </c>
      <c r="H1426">
        <v>2.492678168203076E-185</v>
      </c>
      <c r="I1426">
        <v>9.8349247570347031E-185</v>
      </c>
      <c r="J1426">
        <v>0.36104900857382421</v>
      </c>
      <c r="K1426">
        <v>9.0503921786017909E-219</v>
      </c>
      <c r="L1426">
        <v>6.3729844924320951E-218</v>
      </c>
      <c r="M1426">
        <v>0.24664760643104069</v>
      </c>
      <c r="N1426">
        <v>2.1165341038508612E-214</v>
      </c>
      <c r="O1426">
        <v>1.4801141940032919E-213</v>
      </c>
      <c r="P1426">
        <v>0.1114074670454277</v>
      </c>
      <c r="Q1426">
        <v>0.67158708461610395</v>
      </c>
      <c r="R1426">
        <v>8.1871216951401511</v>
      </c>
      <c r="S1426">
        <v>0.2090748310500172</v>
      </c>
      <c r="T1426">
        <v>0.15647645236467961</v>
      </c>
      <c r="U1426">
        <v>4.2625965936405663</v>
      </c>
      <c r="V1426">
        <v>0.11023909988438001</v>
      </c>
      <c r="W1426">
        <v>11.049826514357751</v>
      </c>
      <c r="X1426">
        <v>0.2218098580824551</v>
      </c>
      <c r="Z1426" t="s">
        <v>392</v>
      </c>
      <c r="AA1426">
        <v>140</v>
      </c>
      <c r="AB1426" t="s">
        <v>1817</v>
      </c>
      <c r="AC1426" t="str">
        <f>HYPERLINK("plots/20251231112652_3FT6Y119H04_05543_B21P_N_UFLEX98_M5358A8BA201511/dpll_52084/txpa_53251.png","plot")</f>
        <v>plot</v>
      </c>
    </row>
    <row r="1427" spans="1:29" hidden="1" x14ac:dyDescent="0.35">
      <c r="A1427" t="s">
        <v>47</v>
      </c>
      <c r="B1427">
        <v>52084</v>
      </c>
      <c r="C1427" t="s">
        <v>52</v>
      </c>
      <c r="D1427">
        <v>53252</v>
      </c>
      <c r="E1427" t="s">
        <v>127</v>
      </c>
      <c r="F1427">
        <v>7139</v>
      </c>
      <c r="G1427">
        <v>0.28413817289942889</v>
      </c>
      <c r="H1427">
        <v>1.148195738775277E-132</v>
      </c>
      <c r="I1427">
        <v>2.4205207466073401E-132</v>
      </c>
      <c r="J1427">
        <v>0.28922624908707018</v>
      </c>
      <c r="K1427">
        <v>1.3373081143260629E-137</v>
      </c>
      <c r="L1427">
        <v>3.364839771530093E-137</v>
      </c>
      <c r="M1427">
        <v>0.19481665484013511</v>
      </c>
      <c r="N1427">
        <v>1.5715085707995021E-134</v>
      </c>
      <c r="O1427">
        <v>3.9639544547032222E-134</v>
      </c>
      <c r="P1427">
        <v>8.0734501298625777E-2</v>
      </c>
      <c r="Q1427">
        <v>0.66825613859086319</v>
      </c>
      <c r="R1427">
        <v>8.3130284476085166</v>
      </c>
      <c r="S1427">
        <v>0.24856449447283319</v>
      </c>
      <c r="T1427">
        <v>0.1969670208901487</v>
      </c>
      <c r="U1427">
        <v>4.2625965936405663</v>
      </c>
      <c r="V1427">
        <v>0.11023909988438001</v>
      </c>
      <c r="W1427">
        <v>11.16153478764533</v>
      </c>
      <c r="X1427">
        <v>0.25926806827375198</v>
      </c>
      <c r="Z1427" t="s">
        <v>392</v>
      </c>
      <c r="AA1427">
        <v>140</v>
      </c>
      <c r="AB1427" t="s">
        <v>1818</v>
      </c>
      <c r="AC1427" t="str">
        <f>HYPERLINK("plots/20251231112652_3FT6Y119H04_05543_B21P_N_UFLEX98_M5358A8BA201511/dpll_52084/txpa_53252.png","plot")</f>
        <v>plot</v>
      </c>
    </row>
    <row r="1428" spans="1:29" hidden="1" x14ac:dyDescent="0.35">
      <c r="A1428" t="s">
        <v>47</v>
      </c>
      <c r="B1428">
        <v>52084</v>
      </c>
      <c r="C1428" t="s">
        <v>52</v>
      </c>
      <c r="D1428">
        <v>53253</v>
      </c>
      <c r="E1428" t="s">
        <v>128</v>
      </c>
      <c r="F1428">
        <v>7139</v>
      </c>
      <c r="G1428">
        <v>0.35733442822428929</v>
      </c>
      <c r="H1428">
        <v>5.1209704830149803E-214</v>
      </c>
      <c r="I1428">
        <v>3.5566192258747882E-213</v>
      </c>
      <c r="J1428">
        <v>0.37789538118480809</v>
      </c>
      <c r="K1428">
        <v>3.9105141142130529E-241</v>
      </c>
      <c r="L1428">
        <v>4.3100666432739521E-240</v>
      </c>
      <c r="M1428">
        <v>0.25890849864282278</v>
      </c>
      <c r="N1428">
        <v>4.9574858895348319E-236</v>
      </c>
      <c r="O1428">
        <v>5.5240557054816698E-235</v>
      </c>
      <c r="P1428">
        <v>0.12768789359437979</v>
      </c>
      <c r="Q1428">
        <v>0.6900529966300456</v>
      </c>
      <c r="R1428">
        <v>8.3124630732714166</v>
      </c>
      <c r="S1428">
        <v>0.1988148290652508</v>
      </c>
      <c r="T1428">
        <v>0.15030025724191171</v>
      </c>
      <c r="U1428">
        <v>4.2625965936405663</v>
      </c>
      <c r="V1428">
        <v>0.11023909988438001</v>
      </c>
      <c r="W1428">
        <v>11.253880626138111</v>
      </c>
      <c r="X1428">
        <v>0.21288410858991669</v>
      </c>
      <c r="Z1428" t="s">
        <v>392</v>
      </c>
      <c r="AA1428">
        <v>140</v>
      </c>
      <c r="AB1428" t="s">
        <v>1819</v>
      </c>
      <c r="AC1428" t="str">
        <f>HYPERLINK("plots/20251231112652_3FT6Y119H04_05543_B21P_N_UFLEX98_M5358A8BA201511/dpll_52084/txpa_53253.png","plot")</f>
        <v>plot</v>
      </c>
    </row>
    <row r="1429" spans="1:29" hidden="1" x14ac:dyDescent="0.35">
      <c r="A1429" t="s">
        <v>47</v>
      </c>
      <c r="B1429">
        <v>52084</v>
      </c>
      <c r="C1429" t="s">
        <v>52</v>
      </c>
      <c r="D1429">
        <v>53254</v>
      </c>
      <c r="E1429" t="s">
        <v>129</v>
      </c>
      <c r="F1429">
        <v>7139</v>
      </c>
      <c r="G1429">
        <v>0.30092021790254281</v>
      </c>
      <c r="H1429">
        <v>2.4733067757190492E-149</v>
      </c>
      <c r="I1429">
        <v>6.2231589840672838E-149</v>
      </c>
      <c r="J1429">
        <v>0.3012114178891328</v>
      </c>
      <c r="K1429">
        <v>1.241749451838242E-149</v>
      </c>
      <c r="L1429">
        <v>3.526985837994335E-149</v>
      </c>
      <c r="M1429">
        <v>0.2041276358635058</v>
      </c>
      <c r="N1429">
        <v>1.685467024436826E-147</v>
      </c>
      <c r="O1429">
        <v>4.855294212440176E-147</v>
      </c>
      <c r="P1429">
        <v>9.0552977542513818E-2</v>
      </c>
      <c r="Q1429">
        <v>0.65881194082400707</v>
      </c>
      <c r="R1429">
        <v>8.3984123562150081</v>
      </c>
      <c r="S1429">
        <v>0.2301463207879923</v>
      </c>
      <c r="T1429">
        <v>0.18205129873727641</v>
      </c>
      <c r="U1429">
        <v>4.2625965936405663</v>
      </c>
      <c r="V1429">
        <v>0.11023909988438001</v>
      </c>
      <c r="W1429">
        <v>11.206661891021151</v>
      </c>
      <c r="X1429">
        <v>0.2413491385050148</v>
      </c>
      <c r="Z1429" t="s">
        <v>392</v>
      </c>
      <c r="AA1429">
        <v>140</v>
      </c>
      <c r="AB1429" t="s">
        <v>1820</v>
      </c>
      <c r="AC1429" t="str">
        <f>HYPERLINK("plots/20251231112652_3FT6Y119H04_05543_B21P_N_UFLEX98_M5358A8BA201511/dpll_52084/txpa_53254.png","plot")</f>
        <v>plot</v>
      </c>
    </row>
    <row r="1430" spans="1:29" hidden="1" x14ac:dyDescent="0.35">
      <c r="A1430" t="s">
        <v>47</v>
      </c>
      <c r="B1430">
        <v>52084</v>
      </c>
      <c r="C1430" t="s">
        <v>52</v>
      </c>
      <c r="D1430">
        <v>53255</v>
      </c>
      <c r="E1430" t="s">
        <v>130</v>
      </c>
      <c r="F1430">
        <v>7139</v>
      </c>
      <c r="G1430">
        <v>0.37274643763450632</v>
      </c>
      <c r="H1430">
        <v>3.7177989484419311E-234</v>
      </c>
      <c r="I1430">
        <v>5.0264641782934904E-233</v>
      </c>
      <c r="J1430">
        <v>0.37324061114068607</v>
      </c>
      <c r="K1430">
        <v>8.0548945207113173E-235</v>
      </c>
      <c r="L1430">
        <v>8.0867950930705704E-234</v>
      </c>
      <c r="M1430">
        <v>0.25618303290437111</v>
      </c>
      <c r="N1430">
        <v>3.9270862333265019E-231</v>
      </c>
      <c r="O1430">
        <v>3.8660829520321102E-230</v>
      </c>
      <c r="P1430">
        <v>0.13893990676921489</v>
      </c>
      <c r="Q1430">
        <v>0.71466998567889883</v>
      </c>
      <c r="R1430">
        <v>8.330387098418246</v>
      </c>
      <c r="S1430">
        <v>0.1961164448778811</v>
      </c>
      <c r="T1430">
        <v>0.15091384438794209</v>
      </c>
      <c r="U1430">
        <v>4.2625965936405663</v>
      </c>
      <c r="V1430">
        <v>0.11023909988438001</v>
      </c>
      <c r="W1430">
        <v>11.37673694495027</v>
      </c>
      <c r="X1430">
        <v>0.21136238466986021</v>
      </c>
      <c r="Z1430" t="s">
        <v>392</v>
      </c>
      <c r="AA1430">
        <v>140</v>
      </c>
      <c r="AB1430" t="s">
        <v>1821</v>
      </c>
      <c r="AC1430" t="str">
        <f>HYPERLINK("plots/20251231112652_3FT6Y119H04_05543_B21P_N_UFLEX98_M5358A8BA201511/dpll_52084/txpa_53255.png","plot")</f>
        <v>plot</v>
      </c>
    </row>
    <row r="1431" spans="1:29" hidden="1" x14ac:dyDescent="0.35">
      <c r="A1431" t="s">
        <v>47</v>
      </c>
      <c r="B1431">
        <v>52084</v>
      </c>
      <c r="C1431" t="s">
        <v>52</v>
      </c>
      <c r="D1431">
        <v>53256</v>
      </c>
      <c r="E1431" t="s">
        <v>131</v>
      </c>
      <c r="F1431">
        <v>7139</v>
      </c>
      <c r="G1431">
        <v>0.33115200527008759</v>
      </c>
      <c r="H1431">
        <v>2.766625373193721E-182</v>
      </c>
      <c r="I1431">
        <v>1.027603710043382E-181</v>
      </c>
      <c r="J1431">
        <v>0.34222420388446911</v>
      </c>
      <c r="K1431">
        <v>2.4836682543927601E-195</v>
      </c>
      <c r="L1431">
        <v>1.1045787762957279E-194</v>
      </c>
      <c r="M1431">
        <v>0.23439514764925271</v>
      </c>
      <c r="N1431">
        <v>7.8517472763022931E-194</v>
      </c>
      <c r="O1431">
        <v>3.6859591380419101E-193</v>
      </c>
      <c r="P1431">
        <v>0.1096616505944001</v>
      </c>
      <c r="Q1431">
        <v>0.69566656067928179</v>
      </c>
      <c r="R1431">
        <v>8.3378252353583449</v>
      </c>
      <c r="S1431">
        <v>0.21850255433886201</v>
      </c>
      <c r="T1431">
        <v>0.1697338051780749</v>
      </c>
      <c r="U1431">
        <v>4.2625965936405663</v>
      </c>
      <c r="V1431">
        <v>0.11023909988438001</v>
      </c>
      <c r="W1431">
        <v>11.3031711472195</v>
      </c>
      <c r="X1431">
        <v>0.23158445139535969</v>
      </c>
      <c r="Z1431" t="s">
        <v>392</v>
      </c>
      <c r="AA1431">
        <v>140</v>
      </c>
      <c r="AB1431" t="s">
        <v>1822</v>
      </c>
      <c r="AC1431" t="str">
        <f>HYPERLINK("plots/20251231112652_3FT6Y119H04_05543_B21P_N_UFLEX98_M5358A8BA201511/dpll_52084/txpa_53256.png","plot")</f>
        <v>plot</v>
      </c>
    </row>
    <row r="1432" spans="1:29" hidden="1" x14ac:dyDescent="0.35">
      <c r="A1432" t="s">
        <v>47</v>
      </c>
      <c r="B1432">
        <v>52084</v>
      </c>
      <c r="C1432" t="s">
        <v>52</v>
      </c>
      <c r="D1432">
        <v>53257</v>
      </c>
      <c r="E1432" t="s">
        <v>132</v>
      </c>
      <c r="F1432">
        <v>7139</v>
      </c>
      <c r="G1432">
        <v>0.3464959808651864</v>
      </c>
      <c r="H1432">
        <v>1.6470694745989119E-200</v>
      </c>
      <c r="I1432">
        <v>8.8836619534217888E-200</v>
      </c>
      <c r="J1432">
        <v>0.34513623097001112</v>
      </c>
      <c r="K1432">
        <v>7.4795695514383299E-199</v>
      </c>
      <c r="L1432">
        <v>3.5275737326318447E-198</v>
      </c>
      <c r="M1432">
        <v>0.2363263756449456</v>
      </c>
      <c r="N1432">
        <v>5.2761399670224161E-197</v>
      </c>
      <c r="O1432">
        <v>2.5476218697908232E-196</v>
      </c>
      <c r="P1432">
        <v>0.1200594647557276</v>
      </c>
      <c r="Q1432">
        <v>0.70180856276066905</v>
      </c>
      <c r="R1432">
        <v>8.407859962634479</v>
      </c>
      <c r="S1432">
        <v>0.209436495781362</v>
      </c>
      <c r="T1432">
        <v>0.16199982599416771</v>
      </c>
      <c r="U1432">
        <v>4.2625965936405663</v>
      </c>
      <c r="V1432">
        <v>0.11023909988438001</v>
      </c>
      <c r="W1432">
        <v>11.39938675164589</v>
      </c>
      <c r="X1432">
        <v>0.22328323710048531</v>
      </c>
      <c r="Z1432" t="s">
        <v>392</v>
      </c>
      <c r="AA1432">
        <v>140</v>
      </c>
      <c r="AB1432" t="s">
        <v>1823</v>
      </c>
      <c r="AC1432" t="str">
        <f>HYPERLINK("plots/20251231112652_3FT6Y119H04_05543_B21P_N_UFLEX98_M5358A8BA201511/dpll_52084/txpa_53257.png","plot")</f>
        <v>plot</v>
      </c>
    </row>
    <row r="1433" spans="1:29" hidden="1" x14ac:dyDescent="0.35">
      <c r="A1433" t="s">
        <v>47</v>
      </c>
      <c r="B1433">
        <v>52084</v>
      </c>
      <c r="C1433" t="s">
        <v>52</v>
      </c>
      <c r="D1433">
        <v>53258</v>
      </c>
      <c r="E1433" t="s">
        <v>133</v>
      </c>
      <c r="F1433">
        <v>7139</v>
      </c>
      <c r="G1433">
        <v>0.36540797185166501</v>
      </c>
      <c r="H1433">
        <v>1.9861617859888351E-224</v>
      </c>
      <c r="I1433">
        <v>1.9365077413391142E-223</v>
      </c>
      <c r="J1433">
        <v>0.35653629038119472</v>
      </c>
      <c r="K1433">
        <v>5.2754437548614702E-213</v>
      </c>
      <c r="L1433">
        <v>3.2817791211224112E-212</v>
      </c>
      <c r="M1433">
        <v>0.24431846425120879</v>
      </c>
      <c r="N1433">
        <v>2.071589427495968E-210</v>
      </c>
      <c r="O1433">
        <v>1.2808485850493361E-209</v>
      </c>
      <c r="P1433">
        <v>0.13352298589274719</v>
      </c>
      <c r="Q1433">
        <v>0.72303278496593126</v>
      </c>
      <c r="R1433">
        <v>8.0051191820986958</v>
      </c>
      <c r="S1433">
        <v>0.20303164571174251</v>
      </c>
      <c r="T1433">
        <v>0.15677862376379861</v>
      </c>
      <c r="U1433">
        <v>4.2625965936405663</v>
      </c>
      <c r="V1433">
        <v>0.11023909988438001</v>
      </c>
      <c r="W1433">
        <v>11.08711626838493</v>
      </c>
      <c r="X1433">
        <v>0.21813011631256121</v>
      </c>
      <c r="Z1433" t="s">
        <v>392</v>
      </c>
      <c r="AA1433">
        <v>140</v>
      </c>
      <c r="AB1433" t="s">
        <v>1824</v>
      </c>
      <c r="AC1433" t="str">
        <f>HYPERLINK("plots/20251231112652_3FT6Y119H04_05543_B21P_N_UFLEX98_M5358A8BA201511/dpll_52084/txpa_53258.png","plot")</f>
        <v>plot</v>
      </c>
    </row>
    <row r="1434" spans="1:29" hidden="1" x14ac:dyDescent="0.35">
      <c r="A1434" t="s">
        <v>47</v>
      </c>
      <c r="B1434">
        <v>52084</v>
      </c>
      <c r="C1434" t="s">
        <v>52</v>
      </c>
      <c r="D1434">
        <v>53259</v>
      </c>
      <c r="E1434" t="s">
        <v>134</v>
      </c>
      <c r="F1434">
        <v>7139</v>
      </c>
      <c r="G1434">
        <v>0.3350508484079498</v>
      </c>
      <c r="H1434">
        <v>8.1102804201710284E-187</v>
      </c>
      <c r="I1434">
        <v>3.289529738421369E-186</v>
      </c>
      <c r="J1434">
        <v>0.3651934690951919</v>
      </c>
      <c r="K1434">
        <v>3.7891855248307122E-224</v>
      </c>
      <c r="L1434">
        <v>3.0737872977426741E-223</v>
      </c>
      <c r="M1434">
        <v>0.24982545715012849</v>
      </c>
      <c r="N1434">
        <v>6.6047996693842946E-220</v>
      </c>
      <c r="O1434">
        <v>5.2734384761855698E-219</v>
      </c>
      <c r="P1434">
        <v>0.11225907101888689</v>
      </c>
      <c r="Q1434">
        <v>0.67835975411973037</v>
      </c>
      <c r="R1434">
        <v>8.6244222379825715</v>
      </c>
      <c r="S1434">
        <v>0.21027987642134741</v>
      </c>
      <c r="T1434">
        <v>0.15647015049110211</v>
      </c>
      <c r="U1434">
        <v>4.2625965936405663</v>
      </c>
      <c r="V1434">
        <v>0.11023909988438001</v>
      </c>
      <c r="W1434">
        <v>11.515996215156189</v>
      </c>
      <c r="X1434">
        <v>0.2231952822900958</v>
      </c>
      <c r="Z1434" t="s">
        <v>392</v>
      </c>
      <c r="AA1434">
        <v>140</v>
      </c>
      <c r="AB1434" t="s">
        <v>1825</v>
      </c>
      <c r="AC1434" t="str">
        <f>HYPERLINK("plots/20251231112652_3FT6Y119H04_05543_B21P_N_UFLEX98_M5358A8BA201511/dpll_52084/txpa_53259.png","plot")</f>
        <v>plot</v>
      </c>
    </row>
    <row r="1435" spans="1:29" hidden="1" x14ac:dyDescent="0.35">
      <c r="A1435" t="s">
        <v>47</v>
      </c>
      <c r="B1435">
        <v>52084</v>
      </c>
      <c r="C1435" t="s">
        <v>52</v>
      </c>
      <c r="D1435">
        <v>53260</v>
      </c>
      <c r="E1435" t="s">
        <v>135</v>
      </c>
      <c r="F1435">
        <v>7139</v>
      </c>
      <c r="G1435">
        <v>0.28874770795664678</v>
      </c>
      <c r="H1435">
        <v>3.9323547733672899E-137</v>
      </c>
      <c r="I1435">
        <v>8.5935511642121382E-137</v>
      </c>
      <c r="J1435">
        <v>0.2948033825758174</v>
      </c>
      <c r="K1435">
        <v>3.9753014210752129E-143</v>
      </c>
      <c r="L1435">
        <v>1.060777800255333E-142</v>
      </c>
      <c r="M1435">
        <v>0.19883843186795239</v>
      </c>
      <c r="N1435">
        <v>4.6548152943551349E-140</v>
      </c>
      <c r="O1435">
        <v>1.2421007127568699E-139</v>
      </c>
      <c r="P1435">
        <v>8.3375238850216984E-2</v>
      </c>
      <c r="Q1435">
        <v>0.67551801507193721</v>
      </c>
      <c r="R1435">
        <v>8.7505321277871229</v>
      </c>
      <c r="S1435">
        <v>0.24689905161478021</v>
      </c>
      <c r="T1435">
        <v>0.1949488212454521</v>
      </c>
      <c r="U1435">
        <v>4.2625965936405663</v>
      </c>
      <c r="V1435">
        <v>0.11023909988438001</v>
      </c>
      <c r="W1435">
        <v>11.629992917775599</v>
      </c>
      <c r="X1435">
        <v>0.2579016071303129</v>
      </c>
      <c r="Z1435" t="s">
        <v>392</v>
      </c>
      <c r="AA1435">
        <v>140</v>
      </c>
      <c r="AB1435" t="s">
        <v>1826</v>
      </c>
      <c r="AC1435" t="str">
        <f>HYPERLINK("plots/20251231112652_3FT6Y119H04_05543_B21P_N_UFLEX98_M5358A8BA201511/dpll_52084/txpa_53260.png","plot")</f>
        <v>plot</v>
      </c>
    </row>
    <row r="1436" spans="1:29" hidden="1" x14ac:dyDescent="0.35">
      <c r="A1436" t="s">
        <v>47</v>
      </c>
      <c r="B1436">
        <v>52084</v>
      </c>
      <c r="C1436" t="s">
        <v>52</v>
      </c>
      <c r="D1436">
        <v>53261</v>
      </c>
      <c r="E1436" t="s">
        <v>136</v>
      </c>
      <c r="F1436">
        <v>7139</v>
      </c>
      <c r="G1436">
        <v>0.35938688655930218</v>
      </c>
      <c r="H1436">
        <v>1.233566280737523E-216</v>
      </c>
      <c r="I1436">
        <v>9.2654533975396142E-216</v>
      </c>
      <c r="J1436">
        <v>0.38280635344210001</v>
      </c>
      <c r="K1436">
        <v>6.5720763378763527E-248</v>
      </c>
      <c r="L1436">
        <v>8.3301067582582769E-247</v>
      </c>
      <c r="M1436">
        <v>0.26284392957414571</v>
      </c>
      <c r="N1436">
        <v>3.3944446935372871E-243</v>
      </c>
      <c r="O1436">
        <v>4.1469480954780826E-242</v>
      </c>
      <c r="P1436">
        <v>0.12915893423078881</v>
      </c>
      <c r="Q1436">
        <v>0.69884474157197618</v>
      </c>
      <c r="R1436">
        <v>8.7321049977264966</v>
      </c>
      <c r="S1436">
        <v>0.2000290926605815</v>
      </c>
      <c r="T1436">
        <v>0.1503071395998142</v>
      </c>
      <c r="U1436">
        <v>4.2625965936405663</v>
      </c>
      <c r="V1436">
        <v>0.11023909988438001</v>
      </c>
      <c r="W1436">
        <v>11.71099821263482</v>
      </c>
      <c r="X1436">
        <v>0.21436512613855371</v>
      </c>
      <c r="Z1436" t="s">
        <v>392</v>
      </c>
      <c r="AA1436">
        <v>140</v>
      </c>
      <c r="AB1436" t="s">
        <v>1827</v>
      </c>
      <c r="AC1436" t="str">
        <f>HYPERLINK("plots/20251231112652_3FT6Y119H04_05543_B21P_N_UFLEX98_M5358A8BA201511/dpll_52084/txpa_53261.png","plot")</f>
        <v>plot</v>
      </c>
    </row>
    <row r="1437" spans="1:29" hidden="1" x14ac:dyDescent="0.35">
      <c r="A1437" t="s">
        <v>47</v>
      </c>
      <c r="B1437">
        <v>52084</v>
      </c>
      <c r="C1437" t="s">
        <v>52</v>
      </c>
      <c r="D1437">
        <v>53262</v>
      </c>
      <c r="E1437" t="s">
        <v>137</v>
      </c>
      <c r="F1437">
        <v>7139</v>
      </c>
      <c r="G1437">
        <v>0.30622022115515551</v>
      </c>
      <c r="H1437">
        <v>7.8071721266142743E-155</v>
      </c>
      <c r="I1437">
        <v>2.0998600892272879E-154</v>
      </c>
      <c r="J1437">
        <v>0.30751721697990009</v>
      </c>
      <c r="K1437">
        <v>3.3788391301409198E-156</v>
      </c>
      <c r="L1437">
        <v>1.0541978086039671E-155</v>
      </c>
      <c r="M1437">
        <v>0.2086549866801837</v>
      </c>
      <c r="N1437">
        <v>5.0363998275184163E-154</v>
      </c>
      <c r="O1437">
        <v>1.5713567461857459E-153</v>
      </c>
      <c r="P1437">
        <v>9.3770823844312359E-2</v>
      </c>
      <c r="Q1437">
        <v>0.66883257101301552</v>
      </c>
      <c r="R1437">
        <v>8.8236256337833154</v>
      </c>
      <c r="S1437">
        <v>0.2291964085167992</v>
      </c>
      <c r="T1437">
        <v>0.18068393524489901</v>
      </c>
      <c r="U1437">
        <v>4.2625965936405663</v>
      </c>
      <c r="V1437">
        <v>0.11023909988438001</v>
      </c>
      <c r="W1437">
        <v>11.674589072699259</v>
      </c>
      <c r="X1437">
        <v>0.2407793330031994</v>
      </c>
      <c r="Z1437" t="s">
        <v>392</v>
      </c>
      <c r="AA1437">
        <v>140</v>
      </c>
      <c r="AB1437" t="s">
        <v>1828</v>
      </c>
      <c r="AC1437" t="str">
        <f>HYPERLINK("plots/20251231112652_3FT6Y119H04_05543_B21P_N_UFLEX98_M5358A8BA201511/dpll_52084/txpa_53262.png","plot")</f>
        <v>plot</v>
      </c>
    </row>
    <row r="1438" spans="1:29" hidden="1" x14ac:dyDescent="0.35">
      <c r="A1438" t="s">
        <v>47</v>
      </c>
      <c r="B1438">
        <v>52084</v>
      </c>
      <c r="C1438" t="s">
        <v>52</v>
      </c>
      <c r="D1438">
        <v>53263</v>
      </c>
      <c r="E1438" t="s">
        <v>138</v>
      </c>
      <c r="F1438">
        <v>7139</v>
      </c>
      <c r="G1438">
        <v>0.37455884175971288</v>
      </c>
      <c r="H1438">
        <v>1.3443477047176379E-236</v>
      </c>
      <c r="I1438">
        <v>2.0345799590801272E-235</v>
      </c>
      <c r="J1438">
        <v>0.37719846089468168</v>
      </c>
      <c r="K1438">
        <v>3.5007946993067159E-240</v>
      </c>
      <c r="L1438">
        <v>3.74876399273728E-239</v>
      </c>
      <c r="M1438">
        <v>0.25937361330276087</v>
      </c>
      <c r="N1438">
        <v>7.147313322330297E-237</v>
      </c>
      <c r="O1438">
        <v>8.1431187739808103E-236</v>
      </c>
      <c r="P1438">
        <v>0.14029432594037761</v>
      </c>
      <c r="Q1438">
        <v>0.72262877765235012</v>
      </c>
      <c r="R1438">
        <v>8.7541910501612215</v>
      </c>
      <c r="S1438">
        <v>0.1971856630940623</v>
      </c>
      <c r="T1438">
        <v>0.1508636600960935</v>
      </c>
      <c r="U1438">
        <v>4.2625965936405663</v>
      </c>
      <c r="V1438">
        <v>0.11023909988438001</v>
      </c>
      <c r="W1438">
        <v>11.834466016248779</v>
      </c>
      <c r="X1438">
        <v>0.2126820598458857</v>
      </c>
      <c r="Z1438" t="s">
        <v>392</v>
      </c>
      <c r="AA1438">
        <v>140</v>
      </c>
      <c r="AB1438" t="s">
        <v>1829</v>
      </c>
      <c r="AC1438" t="str">
        <f>HYPERLINK("plots/20251231112652_3FT6Y119H04_05543_B21P_N_UFLEX98_M5358A8BA201511/dpll_52084/txpa_53263.png","plot")</f>
        <v>plot</v>
      </c>
    </row>
    <row r="1439" spans="1:29" hidden="1" x14ac:dyDescent="0.35">
      <c r="A1439" t="s">
        <v>47</v>
      </c>
      <c r="B1439">
        <v>52084</v>
      </c>
      <c r="C1439" t="s">
        <v>52</v>
      </c>
      <c r="D1439">
        <v>53264</v>
      </c>
      <c r="E1439" t="s">
        <v>139</v>
      </c>
      <c r="F1439">
        <v>7139</v>
      </c>
      <c r="G1439">
        <v>0.33583781660783651</v>
      </c>
      <c r="H1439">
        <v>9.6837030647990656E-188</v>
      </c>
      <c r="I1439">
        <v>3.9915751657342489E-187</v>
      </c>
      <c r="J1439">
        <v>0.34747850774850803</v>
      </c>
      <c r="K1439">
        <v>1.0330601581922589E-201</v>
      </c>
      <c r="L1439">
        <v>5.0361682711872612E-201</v>
      </c>
      <c r="M1439">
        <v>0.23829909839600369</v>
      </c>
      <c r="N1439">
        <v>2.8481556825577168E-200</v>
      </c>
      <c r="O1439">
        <v>1.4440149310567629E-199</v>
      </c>
      <c r="P1439">
        <v>0.11278703906391881</v>
      </c>
      <c r="Q1439">
        <v>0.70410916178891048</v>
      </c>
      <c r="R1439">
        <v>8.7603858645642205</v>
      </c>
      <c r="S1439">
        <v>0.21768553710673791</v>
      </c>
      <c r="T1439">
        <v>0.1685866649840517</v>
      </c>
      <c r="U1439">
        <v>4.2625965936405663</v>
      </c>
      <c r="V1439">
        <v>0.11023909988438001</v>
      </c>
      <c r="W1439">
        <v>11.761719179156749</v>
      </c>
      <c r="X1439">
        <v>0.23112453802840621</v>
      </c>
      <c r="Z1439" t="s">
        <v>392</v>
      </c>
      <c r="AA1439">
        <v>140</v>
      </c>
      <c r="AB1439" t="s">
        <v>1830</v>
      </c>
      <c r="AC1439" t="str">
        <f>HYPERLINK("plots/20251231112652_3FT6Y119H04_05543_B21P_N_UFLEX98_M5358A8BA201511/dpll_52084/txpa_53264.png","plot")</f>
        <v>plot</v>
      </c>
    </row>
    <row r="1440" spans="1:29" hidden="1" x14ac:dyDescent="0.35">
      <c r="A1440" t="s">
        <v>47</v>
      </c>
      <c r="B1440">
        <v>52084</v>
      </c>
      <c r="C1440" t="s">
        <v>52</v>
      </c>
      <c r="D1440">
        <v>53265</v>
      </c>
      <c r="E1440" t="s">
        <v>140</v>
      </c>
      <c r="F1440">
        <v>7139</v>
      </c>
      <c r="G1440">
        <v>0.35062234745405513</v>
      </c>
      <c r="H1440">
        <v>1.3708253987186239E-205</v>
      </c>
      <c r="I1440">
        <v>7.8978236039811663E-205</v>
      </c>
      <c r="J1440">
        <v>0.35050146273771488</v>
      </c>
      <c r="K1440">
        <v>1.9359201344329959E-205</v>
      </c>
      <c r="L1440">
        <v>1.001542355262785E-204</v>
      </c>
      <c r="M1440">
        <v>0.2403153142989343</v>
      </c>
      <c r="N1440">
        <v>1.2209650611115331E-203</v>
      </c>
      <c r="O1440">
        <v>6.4819820521837394E-203</v>
      </c>
      <c r="P1440">
        <v>0.1229360305341921</v>
      </c>
      <c r="Q1440">
        <v>0.70961654124273243</v>
      </c>
      <c r="R1440">
        <v>8.8286567028150547</v>
      </c>
      <c r="S1440">
        <v>0.20893202415030471</v>
      </c>
      <c r="T1440">
        <v>0.16083739935679439</v>
      </c>
      <c r="U1440">
        <v>4.2625965936405663</v>
      </c>
      <c r="V1440">
        <v>0.11023909988438001</v>
      </c>
      <c r="W1440">
        <v>11.853465754307329</v>
      </c>
      <c r="X1440">
        <v>0.2231103902466362</v>
      </c>
      <c r="Z1440" t="s">
        <v>392</v>
      </c>
      <c r="AA1440">
        <v>140</v>
      </c>
      <c r="AB1440" t="s">
        <v>1831</v>
      </c>
      <c r="AC1440" t="str">
        <f>HYPERLINK("plots/20251231112652_3FT6Y119H04_05543_B21P_N_UFLEX98_M5358A8BA201511/dpll_52084/txpa_53265.png","plot")</f>
        <v>plot</v>
      </c>
    </row>
    <row r="1441" spans="1:29" hidden="1" x14ac:dyDescent="0.35">
      <c r="A1441" t="s">
        <v>47</v>
      </c>
      <c r="B1441">
        <v>52084</v>
      </c>
      <c r="C1441" t="s">
        <v>52</v>
      </c>
      <c r="D1441">
        <v>53266</v>
      </c>
      <c r="E1441" t="s">
        <v>141</v>
      </c>
      <c r="F1441">
        <v>7139</v>
      </c>
      <c r="G1441">
        <v>0.366870282089512</v>
      </c>
      <c r="H1441">
        <v>2.397923718928516E-226</v>
      </c>
      <c r="I1441">
        <v>2.4811169908097089E-225</v>
      </c>
      <c r="J1441">
        <v>0.3589800278576743</v>
      </c>
      <c r="K1441">
        <v>4.0898468447087047E-216</v>
      </c>
      <c r="L1441">
        <v>2.7832917453252533E-215</v>
      </c>
      <c r="M1441">
        <v>0.2462572658732009</v>
      </c>
      <c r="N1441">
        <v>9.9317927660101324E-214</v>
      </c>
      <c r="O1441">
        <v>6.7138919098228497E-213</v>
      </c>
      <c r="P1441">
        <v>0.1345938038804381</v>
      </c>
      <c r="Q1441">
        <v>0.7277041998672219</v>
      </c>
      <c r="R1441">
        <v>8.4538184665394862</v>
      </c>
      <c r="S1441">
        <v>0.20340310922264629</v>
      </c>
      <c r="T1441">
        <v>0.15657506944304361</v>
      </c>
      <c r="U1441">
        <v>4.2625965936405663</v>
      </c>
      <c r="V1441">
        <v>0.11023909988438001</v>
      </c>
      <c r="W1441">
        <v>11.55572791007144</v>
      </c>
      <c r="X1441">
        <v>0.21866436147006441</v>
      </c>
      <c r="Z1441" t="s">
        <v>392</v>
      </c>
      <c r="AA1441">
        <v>140</v>
      </c>
      <c r="AB1441" t="s">
        <v>1832</v>
      </c>
      <c r="AC1441" t="str">
        <f>HYPERLINK("plots/20251231112652_3FT6Y119H04_05543_B21P_N_UFLEX98_M5358A8BA201511/dpll_52084/txpa_53266.png","plot")</f>
        <v>plot</v>
      </c>
    </row>
    <row r="1442" spans="1:29" hidden="1" x14ac:dyDescent="0.35">
      <c r="A1442" t="s">
        <v>47</v>
      </c>
      <c r="B1442">
        <v>52084</v>
      </c>
      <c r="C1442" t="s">
        <v>52</v>
      </c>
      <c r="D1442">
        <v>53267</v>
      </c>
      <c r="E1442" t="s">
        <v>142</v>
      </c>
      <c r="F1442">
        <v>7139</v>
      </c>
      <c r="G1442">
        <v>0.33584435756040321</v>
      </c>
      <c r="H1442">
        <v>9.5138995741779743E-188</v>
      </c>
      <c r="I1442">
        <v>3.937589456414884E-187</v>
      </c>
      <c r="J1442">
        <v>0.36940709397775923</v>
      </c>
      <c r="K1442">
        <v>1.067481247322946E-229</v>
      </c>
      <c r="L1442">
        <v>9.4123998676997112E-229</v>
      </c>
      <c r="M1442">
        <v>0.25308391923792328</v>
      </c>
      <c r="N1442">
        <v>1.26313764186455E-225</v>
      </c>
      <c r="O1442">
        <v>1.1137578859570899E-224</v>
      </c>
      <c r="P1442">
        <v>0.11279143250515999</v>
      </c>
      <c r="Q1442">
        <v>0.68480680535520211</v>
      </c>
      <c r="R1442">
        <v>9.0434271666451647</v>
      </c>
      <c r="S1442">
        <v>0.2117132866268186</v>
      </c>
      <c r="T1442">
        <v>0.15659357594048831</v>
      </c>
      <c r="U1442">
        <v>4.2625965936405663</v>
      </c>
      <c r="V1442">
        <v>0.11023909988438001</v>
      </c>
      <c r="W1442">
        <v>11.962482322454131</v>
      </c>
      <c r="X1442">
        <v>0.22478414217061141</v>
      </c>
      <c r="Z1442" t="s">
        <v>392</v>
      </c>
      <c r="AA1442">
        <v>140</v>
      </c>
      <c r="AB1442" t="s">
        <v>1833</v>
      </c>
      <c r="AC1442" t="str">
        <f>HYPERLINK("plots/20251231112652_3FT6Y119H04_05543_B21P_N_UFLEX98_M5358A8BA201511/dpll_52084/txpa_53267.png","plot")</f>
        <v>plot</v>
      </c>
    </row>
    <row r="1443" spans="1:29" hidden="1" x14ac:dyDescent="0.35">
      <c r="A1443" t="s">
        <v>47</v>
      </c>
      <c r="B1443">
        <v>52084</v>
      </c>
      <c r="C1443" t="s">
        <v>52</v>
      </c>
      <c r="D1443">
        <v>53268</v>
      </c>
      <c r="E1443" t="s">
        <v>143</v>
      </c>
      <c r="F1443">
        <v>7139</v>
      </c>
      <c r="G1443">
        <v>0.29415136565538319</v>
      </c>
      <c r="H1443">
        <v>1.7863442215502501E-142</v>
      </c>
      <c r="I1443">
        <v>4.1736245176312289E-142</v>
      </c>
      <c r="J1443">
        <v>0.30186359797547929</v>
      </c>
      <c r="K1443">
        <v>2.6459492473772388E-150</v>
      </c>
      <c r="L1443">
        <v>7.557725455888791E-150</v>
      </c>
      <c r="M1443">
        <v>0.20384670030554269</v>
      </c>
      <c r="N1443">
        <v>4.2331679970418552E-147</v>
      </c>
      <c r="O1443">
        <v>1.2091358729578711E-146</v>
      </c>
      <c r="P1443">
        <v>8.6525025916926984E-2</v>
      </c>
      <c r="Q1443">
        <v>0.68295137089679347</v>
      </c>
      <c r="R1443">
        <v>9.1665813642709733</v>
      </c>
      <c r="S1443">
        <v>0.2446090259932853</v>
      </c>
      <c r="T1443">
        <v>0.19220166535823849</v>
      </c>
      <c r="U1443">
        <v>4.2625965936405663</v>
      </c>
      <c r="V1443">
        <v>0.11023909988438001</v>
      </c>
      <c r="W1443">
        <v>12.0777275514778</v>
      </c>
      <c r="X1443">
        <v>0.25594966803815711</v>
      </c>
      <c r="Z1443" t="s">
        <v>392</v>
      </c>
      <c r="AA1443">
        <v>140</v>
      </c>
      <c r="AB1443" t="s">
        <v>1834</v>
      </c>
      <c r="AC1443" t="str">
        <f>HYPERLINK("plots/20251231112652_3FT6Y119H04_05543_B21P_N_UFLEX98_M5358A8BA201511/dpll_52084/txpa_53268.png","plot")</f>
        <v>plot</v>
      </c>
    </row>
    <row r="1444" spans="1:29" hidden="1" x14ac:dyDescent="0.35">
      <c r="A1444" t="s">
        <v>47</v>
      </c>
      <c r="B1444">
        <v>52084</v>
      </c>
      <c r="C1444" t="s">
        <v>52</v>
      </c>
      <c r="D1444">
        <v>53269</v>
      </c>
      <c r="E1444" t="s">
        <v>144</v>
      </c>
      <c r="F1444">
        <v>7139</v>
      </c>
      <c r="G1444">
        <v>0.36118112131777969</v>
      </c>
      <c r="H1444">
        <v>6.1158994842225594E-219</v>
      </c>
      <c r="I1444">
        <v>5.0418878674810365E-218</v>
      </c>
      <c r="J1444">
        <v>0.3884073407620276</v>
      </c>
      <c r="K1444">
        <v>8.8652110422469743E-256</v>
      </c>
      <c r="L1444">
        <v>1.266101971385695E-254</v>
      </c>
      <c r="M1444">
        <v>0.2674328910483168</v>
      </c>
      <c r="N1444">
        <v>1.095975614222636E-251</v>
      </c>
      <c r="O1444">
        <v>1.6106076417706571E-250</v>
      </c>
      <c r="P1444">
        <v>0.13045180239636869</v>
      </c>
      <c r="Q1444">
        <v>0.70808920095355732</v>
      </c>
      <c r="R1444">
        <v>9.1290201821726971</v>
      </c>
      <c r="S1444">
        <v>0.2015185353450315</v>
      </c>
      <c r="T1444">
        <v>0.15026410940737359</v>
      </c>
      <c r="U1444">
        <v>4.2625965936405663</v>
      </c>
      <c r="V1444">
        <v>0.11023909988438001</v>
      </c>
      <c r="W1444">
        <v>12.147318798151</v>
      </c>
      <c r="X1444">
        <v>0.21612180577481219</v>
      </c>
      <c r="Z1444" t="s">
        <v>392</v>
      </c>
      <c r="AA1444">
        <v>140</v>
      </c>
      <c r="AB1444" t="s">
        <v>1835</v>
      </c>
      <c r="AC1444" t="str">
        <f>HYPERLINK("plots/20251231112652_3FT6Y119H04_05543_B21P_N_UFLEX98_M5358A8BA201511/dpll_52084/txpa_53269.png","plot")</f>
        <v>plot</v>
      </c>
    </row>
    <row r="1445" spans="1:29" hidden="1" x14ac:dyDescent="0.35">
      <c r="A1445" t="s">
        <v>47</v>
      </c>
      <c r="B1445">
        <v>52084</v>
      </c>
      <c r="C1445" t="s">
        <v>52</v>
      </c>
      <c r="D1445">
        <v>53270</v>
      </c>
      <c r="E1445" t="s">
        <v>145</v>
      </c>
      <c r="F1445">
        <v>7139</v>
      </c>
      <c r="G1445">
        <v>0.31250331755078797</v>
      </c>
      <c r="H1445">
        <v>1.6642742518265881E-161</v>
      </c>
      <c r="I1445">
        <v>4.7537298347948193E-161</v>
      </c>
      <c r="J1445">
        <v>0.31569511392073801</v>
      </c>
      <c r="K1445">
        <v>5.8782360163657801E-165</v>
      </c>
      <c r="L1445">
        <v>2.0069129025572051E-164</v>
      </c>
      <c r="M1445">
        <v>0.21456458867362591</v>
      </c>
      <c r="N1445">
        <v>9.3547162733961968E-163</v>
      </c>
      <c r="O1445">
        <v>3.1938324246544589E-162</v>
      </c>
      <c r="P1445">
        <v>9.7658323480248665E-2</v>
      </c>
      <c r="Q1445">
        <v>0.67989311041642631</v>
      </c>
      <c r="R1445">
        <v>9.2229982920074463</v>
      </c>
      <c r="S1445">
        <v>0.2278120833983695</v>
      </c>
      <c r="T1445">
        <v>0.17881157894413671</v>
      </c>
      <c r="U1445">
        <v>4.2625965936405663</v>
      </c>
      <c r="V1445">
        <v>0.11023909988438001</v>
      </c>
      <c r="W1445">
        <v>12.121108348508191</v>
      </c>
      <c r="X1445">
        <v>0.23984002825095521</v>
      </c>
      <c r="Z1445" t="s">
        <v>392</v>
      </c>
      <c r="AA1445">
        <v>140</v>
      </c>
      <c r="AB1445" t="s">
        <v>1836</v>
      </c>
      <c r="AC1445" t="str">
        <f>HYPERLINK("plots/20251231112652_3FT6Y119H04_05543_B21P_N_UFLEX98_M5358A8BA201511/dpll_52084/txpa_53270.png","plot")</f>
        <v>plot</v>
      </c>
    </row>
    <row r="1446" spans="1:29" hidden="1" x14ac:dyDescent="0.35">
      <c r="A1446" t="s">
        <v>47</v>
      </c>
      <c r="B1446">
        <v>52084</v>
      </c>
      <c r="C1446" t="s">
        <v>52</v>
      </c>
      <c r="D1446">
        <v>53271</v>
      </c>
      <c r="E1446" t="s">
        <v>146</v>
      </c>
      <c r="F1446">
        <v>7139</v>
      </c>
      <c r="G1446">
        <v>0.37655901794322799</v>
      </c>
      <c r="H1446">
        <v>2.6033664787389862E-239</v>
      </c>
      <c r="I1446">
        <v>4.2577638861956973E-238</v>
      </c>
      <c r="J1446">
        <v>0.38202726094946732</v>
      </c>
      <c r="K1446">
        <v>7.9478161318940493E-247</v>
      </c>
      <c r="L1446">
        <v>9.8281531191958114E-246</v>
      </c>
      <c r="M1446">
        <v>0.26338086839964608</v>
      </c>
      <c r="N1446">
        <v>3.5049880489234143E-244</v>
      </c>
      <c r="O1446">
        <v>4.5564844636004379E-243</v>
      </c>
      <c r="P1446">
        <v>0.14179669399436831</v>
      </c>
      <c r="Q1446">
        <v>0.7320607510347038</v>
      </c>
      <c r="R1446">
        <v>9.1501529627197833</v>
      </c>
      <c r="S1446">
        <v>0.19852463276788379</v>
      </c>
      <c r="T1446">
        <v>0.15077722070995619</v>
      </c>
      <c r="U1446">
        <v>4.2625965936405663</v>
      </c>
      <c r="V1446">
        <v>0.11023909988438001</v>
      </c>
      <c r="W1446">
        <v>12.270632626418269</v>
      </c>
      <c r="X1446">
        <v>0.21431359869043429</v>
      </c>
      <c r="Z1446" t="s">
        <v>392</v>
      </c>
      <c r="AA1446">
        <v>140</v>
      </c>
      <c r="AB1446" t="s">
        <v>1837</v>
      </c>
      <c r="AC1446" t="str">
        <f>HYPERLINK("plots/20251231112652_3FT6Y119H04_05543_B21P_N_UFLEX98_M5358A8BA201511/dpll_52084/txpa_53271.png","plot")</f>
        <v>plot</v>
      </c>
    </row>
    <row r="1447" spans="1:29" hidden="1" x14ac:dyDescent="0.35">
      <c r="A1447" t="s">
        <v>47</v>
      </c>
      <c r="B1447">
        <v>52084</v>
      </c>
      <c r="C1447" t="s">
        <v>52</v>
      </c>
      <c r="D1447">
        <v>53272</v>
      </c>
      <c r="E1447" t="s">
        <v>147</v>
      </c>
      <c r="F1447">
        <v>7139</v>
      </c>
      <c r="G1447">
        <v>0.34107350002600878</v>
      </c>
      <c r="H1447">
        <v>5.9721960864290199E-194</v>
      </c>
      <c r="I1447">
        <v>2.7778930420362499E-193</v>
      </c>
      <c r="J1447">
        <v>0.35415369973133443</v>
      </c>
      <c r="K1447">
        <v>5.353457157325014E-210</v>
      </c>
      <c r="L1447">
        <v>3.0157808652930922E-209</v>
      </c>
      <c r="M1447">
        <v>0.2433113080666057</v>
      </c>
      <c r="N1447">
        <v>1.0722142534407611E-208</v>
      </c>
      <c r="O1447">
        <v>6.1774162101643866E-208</v>
      </c>
      <c r="P1447">
        <v>0.11633113241999191</v>
      </c>
      <c r="Q1447">
        <v>0.71371184146492717</v>
      </c>
      <c r="R1447">
        <v>9.1566369705534694</v>
      </c>
      <c r="S1447">
        <v>0.2168327816350778</v>
      </c>
      <c r="T1447">
        <v>0.16722015837125609</v>
      </c>
      <c r="U1447">
        <v>4.2625965936405663</v>
      </c>
      <c r="V1447">
        <v>0.11023909988438001</v>
      </c>
      <c r="W1447">
        <v>12.198902634822799</v>
      </c>
      <c r="X1447">
        <v>0.23068034008481211</v>
      </c>
      <c r="Z1447" t="s">
        <v>392</v>
      </c>
      <c r="AA1447">
        <v>140</v>
      </c>
      <c r="AB1447" t="s">
        <v>1838</v>
      </c>
      <c r="AC1447" t="str">
        <f>HYPERLINK("plots/20251231112652_3FT6Y119H04_05543_B21P_N_UFLEX98_M5358A8BA201511/dpll_52084/txpa_53272.png","plot")</f>
        <v>plot</v>
      </c>
    </row>
    <row r="1448" spans="1:29" hidden="1" x14ac:dyDescent="0.35">
      <c r="A1448" t="s">
        <v>47</v>
      </c>
      <c r="B1448">
        <v>52084</v>
      </c>
      <c r="C1448" t="s">
        <v>52</v>
      </c>
      <c r="D1448">
        <v>53273</v>
      </c>
      <c r="E1448" t="s">
        <v>148</v>
      </c>
      <c r="F1448">
        <v>7139</v>
      </c>
      <c r="G1448">
        <v>0.35543516030782202</v>
      </c>
      <c r="H1448">
        <v>1.302864927482346E-211</v>
      </c>
      <c r="I1448">
        <v>8.8664767548127423E-211</v>
      </c>
      <c r="J1448">
        <v>0.35742321271326072</v>
      </c>
      <c r="K1448">
        <v>3.9490839274687393E-214</v>
      </c>
      <c r="L1448">
        <v>2.502731939033314E-213</v>
      </c>
      <c r="M1448">
        <v>0.245586651358567</v>
      </c>
      <c r="N1448">
        <v>1.4064343788169911E-212</v>
      </c>
      <c r="O1448">
        <v>9.2008029685188985E-212</v>
      </c>
      <c r="P1448">
        <v>0.12633415318304711</v>
      </c>
      <c r="Q1448">
        <v>0.71888841226617861</v>
      </c>
      <c r="R1448">
        <v>9.2215493582205106</v>
      </c>
      <c r="S1448">
        <v>0.20839102709181451</v>
      </c>
      <c r="T1448">
        <v>0.15933907086559029</v>
      </c>
      <c r="U1448">
        <v>4.2625965936405663</v>
      </c>
      <c r="V1448">
        <v>0.11023909988438001</v>
      </c>
      <c r="W1448">
        <v>12.285880655553999</v>
      </c>
      <c r="X1448">
        <v>0.22296503085654529</v>
      </c>
      <c r="Z1448" t="s">
        <v>392</v>
      </c>
      <c r="AA1448">
        <v>140</v>
      </c>
      <c r="AB1448" t="s">
        <v>1839</v>
      </c>
      <c r="AC1448" t="str">
        <f>HYPERLINK("plots/20251231112652_3FT6Y119H04_05543_B21P_N_UFLEX98_M5358A8BA201511/dpll_52084/txpa_53273.png","plot")</f>
        <v>plot</v>
      </c>
    </row>
    <row r="1449" spans="1:29" hidden="1" x14ac:dyDescent="0.35">
      <c r="A1449" t="s">
        <v>47</v>
      </c>
      <c r="B1449">
        <v>52084</v>
      </c>
      <c r="C1449" t="s">
        <v>52</v>
      </c>
      <c r="D1449">
        <v>53274</v>
      </c>
      <c r="E1449" t="s">
        <v>149</v>
      </c>
      <c r="F1449">
        <v>7139</v>
      </c>
      <c r="G1449">
        <v>0.36811375442316729</v>
      </c>
      <c r="H1449">
        <v>5.505832974831971E-228</v>
      </c>
      <c r="I1449">
        <v>6.1350710290984819E-227</v>
      </c>
      <c r="J1449">
        <v>0.36150660678074309</v>
      </c>
      <c r="K1449">
        <v>2.3268972377399308E-219</v>
      </c>
      <c r="L1449">
        <v>1.6733856730980779E-218</v>
      </c>
      <c r="M1449">
        <v>0.24822340226307049</v>
      </c>
      <c r="N1449">
        <v>4.022704920326812E-217</v>
      </c>
      <c r="O1449">
        <v>3.0214983623788047E-216</v>
      </c>
      <c r="P1449">
        <v>0.13550773619552001</v>
      </c>
      <c r="Q1449">
        <v>0.73218574854327168</v>
      </c>
      <c r="R1449">
        <v>8.8838497005234967</v>
      </c>
      <c r="S1449">
        <v>0.20385671488666801</v>
      </c>
      <c r="T1449">
        <v>0.1563516089644619</v>
      </c>
      <c r="U1449">
        <v>4.2625965936405663</v>
      </c>
      <c r="V1449">
        <v>0.11023909988438001</v>
      </c>
      <c r="W1449">
        <v>12.004862178176211</v>
      </c>
      <c r="X1449">
        <v>0.2192678129999846</v>
      </c>
      <c r="Z1449" t="s">
        <v>392</v>
      </c>
      <c r="AA1449">
        <v>140</v>
      </c>
      <c r="AB1449" t="s">
        <v>1840</v>
      </c>
      <c r="AC1449" t="str">
        <f>HYPERLINK("plots/20251231112652_3FT6Y119H04_05543_B21P_N_UFLEX98_M5358A8BA201511/dpll_52084/txpa_53274.png","plot")</f>
        <v>plot</v>
      </c>
    </row>
    <row r="1450" spans="1:29" hidden="1" x14ac:dyDescent="0.35">
      <c r="A1450" t="s">
        <v>47</v>
      </c>
      <c r="B1450">
        <v>52084</v>
      </c>
      <c r="C1450" t="s">
        <v>52</v>
      </c>
      <c r="D1450">
        <v>53275</v>
      </c>
      <c r="E1450" t="s">
        <v>150</v>
      </c>
      <c r="F1450">
        <v>7139</v>
      </c>
      <c r="G1450">
        <v>0.33983568886147858</v>
      </c>
      <c r="H1450">
        <v>1.7995902304697061E-192</v>
      </c>
      <c r="I1450">
        <v>8.1101533053168066E-192</v>
      </c>
      <c r="J1450">
        <v>0.39251036889839802</v>
      </c>
      <c r="K1450">
        <v>1.213845996427952E-261</v>
      </c>
      <c r="L1450">
        <v>1.9537140323459411E-260</v>
      </c>
      <c r="M1450">
        <v>0.27165535708204741</v>
      </c>
      <c r="N1450">
        <v>1.2525866573566439E-259</v>
      </c>
      <c r="O1450">
        <v>2.116871450932728E-258</v>
      </c>
      <c r="P1450">
        <v>0.11548829542395569</v>
      </c>
      <c r="Q1450">
        <v>0.72007736020254243</v>
      </c>
      <c r="R1450">
        <v>10.294978881862651</v>
      </c>
      <c r="S1450">
        <v>0.2196682055677274</v>
      </c>
      <c r="T1450">
        <v>0.15717787059551019</v>
      </c>
      <c r="U1450">
        <v>4.2625965936405663</v>
      </c>
      <c r="V1450">
        <v>0.11023909988438001</v>
      </c>
      <c r="W1450">
        <v>13.364378184619691</v>
      </c>
      <c r="X1450">
        <v>0.2335854727376952</v>
      </c>
      <c r="Z1450" t="s">
        <v>392</v>
      </c>
      <c r="AA1450">
        <v>140</v>
      </c>
      <c r="AB1450" t="s">
        <v>1841</v>
      </c>
      <c r="AC1450" t="str">
        <f>HYPERLINK("plots/20251231112652_3FT6Y119H04_05543_B21P_N_UFLEX98_M5358A8BA201511/dpll_52084/txpa_53275.png","plot")</f>
        <v>plot</v>
      </c>
    </row>
    <row r="1451" spans="1:29" hidden="1" x14ac:dyDescent="0.35">
      <c r="A1451" t="s">
        <v>47</v>
      </c>
      <c r="B1451">
        <v>52084</v>
      </c>
      <c r="C1451" t="s">
        <v>52</v>
      </c>
      <c r="D1451">
        <v>53276</v>
      </c>
      <c r="E1451" t="s">
        <v>151</v>
      </c>
      <c r="F1451">
        <v>7139</v>
      </c>
      <c r="G1451">
        <v>0.33154131778803853</v>
      </c>
      <c r="H1451">
        <v>9.8241287673254737E-183</v>
      </c>
      <c r="I1451">
        <v>3.6758917232723361E-182</v>
      </c>
      <c r="J1451">
        <v>0.36076455985395711</v>
      </c>
      <c r="K1451">
        <v>2.103109197509271E-218</v>
      </c>
      <c r="L1451">
        <v>1.470726018120276E-217</v>
      </c>
      <c r="M1451">
        <v>0.24720526988981761</v>
      </c>
      <c r="N1451">
        <v>2.3137128682054389E-215</v>
      </c>
      <c r="O1451">
        <v>1.6757891774002249E-214</v>
      </c>
      <c r="P1451">
        <v>0.1099196454006291</v>
      </c>
      <c r="Q1451">
        <v>0.73563581419180779</v>
      </c>
      <c r="R1451">
        <v>10.31016025190852</v>
      </c>
      <c r="S1451">
        <v>0.23075177604131919</v>
      </c>
      <c r="T1451">
        <v>0.17415444048925779</v>
      </c>
      <c r="U1451">
        <v>4.2625965936405663</v>
      </c>
      <c r="V1451">
        <v>0.11023909988438001</v>
      </c>
      <c r="W1451">
        <v>13.44587896764253</v>
      </c>
      <c r="X1451">
        <v>0.2446024843608309</v>
      </c>
      <c r="Z1451" t="s">
        <v>392</v>
      </c>
      <c r="AA1451">
        <v>140</v>
      </c>
      <c r="AB1451" t="s">
        <v>1842</v>
      </c>
      <c r="AC1451" t="str">
        <f>HYPERLINK("plots/20251231112652_3FT6Y119H04_05543_B21P_N_UFLEX98_M5358A8BA201511/dpll_52084/txpa_53276.png","plot")</f>
        <v>plot</v>
      </c>
    </row>
    <row r="1452" spans="1:29" hidden="1" x14ac:dyDescent="0.35">
      <c r="A1452" t="s">
        <v>47</v>
      </c>
      <c r="B1452">
        <v>52084</v>
      </c>
      <c r="C1452" t="s">
        <v>52</v>
      </c>
      <c r="D1452">
        <v>53277</v>
      </c>
      <c r="E1452" t="s">
        <v>152</v>
      </c>
      <c r="F1452">
        <v>7139</v>
      </c>
      <c r="G1452">
        <v>0.37038973031526562</v>
      </c>
      <c r="H1452">
        <v>5.2724270698718353E-231</v>
      </c>
      <c r="I1452">
        <v>6.2896953515882841E-230</v>
      </c>
      <c r="J1452">
        <v>0.42159402049952732</v>
      </c>
      <c r="K1452">
        <v>1.1411208702063099E-305</v>
      </c>
      <c r="L1452">
        <v>6.0899819073115729E-304</v>
      </c>
      <c r="M1452">
        <v>0.29622298303670702</v>
      </c>
      <c r="N1452">
        <v>2.6495877404130672E-308</v>
      </c>
      <c r="O1452">
        <v>1.279372366085167E-306</v>
      </c>
      <c r="P1452">
        <v>0.13718855232301519</v>
      </c>
      <c r="Q1452">
        <v>0.76554132580691459</v>
      </c>
      <c r="R1452">
        <v>10.21302990775229</v>
      </c>
      <c r="S1452">
        <v>0.21162788516869641</v>
      </c>
      <c r="T1452">
        <v>0.150436227210694</v>
      </c>
      <c r="U1452">
        <v>4.2625965936405663</v>
      </c>
      <c r="V1452">
        <v>0.11023909988438001</v>
      </c>
      <c r="W1452">
        <v>13.476223755427929</v>
      </c>
      <c r="X1452">
        <v>0.2278480739987489</v>
      </c>
      <c r="Z1452" t="s">
        <v>392</v>
      </c>
      <c r="AA1452">
        <v>140</v>
      </c>
      <c r="AB1452" t="s">
        <v>1843</v>
      </c>
      <c r="AC1452" t="str">
        <f>HYPERLINK("plots/20251231112652_3FT6Y119H04_05543_B21P_N_UFLEX98_M5358A8BA201511/dpll_52084/txpa_53277.png","plot")</f>
        <v>plot</v>
      </c>
    </row>
    <row r="1453" spans="1:29" hidden="1" x14ac:dyDescent="0.35">
      <c r="A1453" t="s">
        <v>47</v>
      </c>
      <c r="B1453">
        <v>52084</v>
      </c>
      <c r="C1453" t="s">
        <v>52</v>
      </c>
      <c r="D1453">
        <v>53278</v>
      </c>
      <c r="E1453" t="s">
        <v>153</v>
      </c>
      <c r="F1453">
        <v>7139</v>
      </c>
      <c r="G1453">
        <v>0.35083068992700089</v>
      </c>
      <c r="H1453">
        <v>7.5590669937029062E-206</v>
      </c>
      <c r="I1453">
        <v>4.4562686839348308E-205</v>
      </c>
      <c r="J1453">
        <v>0.37366858571514833</v>
      </c>
      <c r="K1453">
        <v>2.137335950644497E-235</v>
      </c>
      <c r="L1453">
        <v>2.1672586539535199E-234</v>
      </c>
      <c r="M1453">
        <v>0.25794116456356408</v>
      </c>
      <c r="N1453">
        <v>2.7526417733848528E-234</v>
      </c>
      <c r="O1453">
        <v>2.8775038744456089E-233</v>
      </c>
      <c r="P1453">
        <v>0.1230821729946555</v>
      </c>
      <c r="Q1453">
        <v>0.75101465595860295</v>
      </c>
      <c r="R1453">
        <v>10.27550120474498</v>
      </c>
      <c r="S1453">
        <v>0.22097112340591929</v>
      </c>
      <c r="T1453">
        <v>0.16763147266132511</v>
      </c>
      <c r="U1453">
        <v>4.2625965936405663</v>
      </c>
      <c r="V1453">
        <v>0.11023909988438001</v>
      </c>
      <c r="W1453">
        <v>13.476773719008261</v>
      </c>
      <c r="X1453">
        <v>0.23598613818557471</v>
      </c>
      <c r="Z1453" t="s">
        <v>392</v>
      </c>
      <c r="AA1453">
        <v>140</v>
      </c>
      <c r="AB1453" t="s">
        <v>1844</v>
      </c>
      <c r="AC1453" t="str">
        <f>HYPERLINK("plots/20251231112652_3FT6Y119H04_05543_B21P_N_UFLEX98_M5358A8BA201511/dpll_52084/txpa_53278.png","plot")</f>
        <v>plot</v>
      </c>
    </row>
    <row r="1454" spans="1:29" hidden="1" x14ac:dyDescent="0.35">
      <c r="A1454" t="s">
        <v>47</v>
      </c>
      <c r="B1454">
        <v>52084</v>
      </c>
      <c r="C1454" t="s">
        <v>52</v>
      </c>
      <c r="D1454">
        <v>53279</v>
      </c>
      <c r="E1454" t="s">
        <v>154</v>
      </c>
      <c r="F1454">
        <v>7139</v>
      </c>
      <c r="G1454">
        <v>0.38818473507754248</v>
      </c>
      <c r="H1454">
        <v>1.834089442441789E-255</v>
      </c>
      <c r="I1454">
        <v>4.5970080660934727E-254</v>
      </c>
      <c r="J1454">
        <v>0.41484451493851759</v>
      </c>
      <c r="K1454">
        <v>4.6623457078114349E-295</v>
      </c>
      <c r="L1454">
        <v>1.68843519561457E-293</v>
      </c>
      <c r="M1454">
        <v>0.29173897059098047</v>
      </c>
      <c r="N1454">
        <v>4.1797610056847743E-299</v>
      </c>
      <c r="O1454">
        <v>1.513670592772986E-297</v>
      </c>
      <c r="P1454">
        <v>0.15068738854722191</v>
      </c>
      <c r="Q1454">
        <v>0.79173543820801906</v>
      </c>
      <c r="R1454">
        <v>10.21515558278695</v>
      </c>
      <c r="S1454">
        <v>0.2071956613239356</v>
      </c>
      <c r="T1454">
        <v>0.15059170131055541</v>
      </c>
      <c r="U1454">
        <v>4.2625965936405663</v>
      </c>
      <c r="V1454">
        <v>0.11023909988438001</v>
      </c>
      <c r="W1454">
        <v>13.59000436475697</v>
      </c>
      <c r="X1454">
        <v>0.22484192233159919</v>
      </c>
      <c r="Z1454" t="s">
        <v>392</v>
      </c>
      <c r="AA1454">
        <v>140</v>
      </c>
      <c r="AB1454" t="s">
        <v>1845</v>
      </c>
      <c r="AC1454" t="str">
        <f>HYPERLINK("plots/20251231112652_3FT6Y119H04_05543_B21P_N_UFLEX98_M5358A8BA201511/dpll_52084/txpa_53279.png","plot")</f>
        <v>plot</v>
      </c>
    </row>
    <row r="1455" spans="1:29" hidden="1" x14ac:dyDescent="0.35">
      <c r="A1455" t="s">
        <v>47</v>
      </c>
      <c r="B1455">
        <v>52084</v>
      </c>
      <c r="C1455" t="s">
        <v>52</v>
      </c>
      <c r="D1455">
        <v>53280</v>
      </c>
      <c r="E1455" t="s">
        <v>155</v>
      </c>
      <c r="F1455">
        <v>7139</v>
      </c>
      <c r="G1455">
        <v>0.37040059393840657</v>
      </c>
      <c r="H1455">
        <v>5.0996762000456043E-231</v>
      </c>
      <c r="I1455">
        <v>6.1560376986264795E-230</v>
      </c>
      <c r="J1455">
        <v>0.39714376987966671</v>
      </c>
      <c r="K1455">
        <v>2.298973810246283E-268</v>
      </c>
      <c r="L1455">
        <v>4.3984140445089274E-267</v>
      </c>
      <c r="M1455">
        <v>0.27729091277385182</v>
      </c>
      <c r="N1455">
        <v>2.0110137711805698E-270</v>
      </c>
      <c r="O1455">
        <v>4.1615672734226487E-269</v>
      </c>
      <c r="P1455">
        <v>0.13719659998992439</v>
      </c>
      <c r="Q1455">
        <v>0.77716010998960849</v>
      </c>
      <c r="R1455">
        <v>10.208464977152911</v>
      </c>
      <c r="S1455">
        <v>0.214832503748288</v>
      </c>
      <c r="T1455">
        <v>0.16054508354480221</v>
      </c>
      <c r="U1455">
        <v>4.2625965936405663</v>
      </c>
      <c r="V1455">
        <v>0.11023909988438001</v>
      </c>
      <c r="W1455">
        <v>13.521185014707941</v>
      </c>
      <c r="X1455">
        <v>0.231299388805912</v>
      </c>
      <c r="Z1455" t="s">
        <v>392</v>
      </c>
      <c r="AA1455">
        <v>140</v>
      </c>
      <c r="AB1455" t="s">
        <v>1846</v>
      </c>
      <c r="AC1455" t="str">
        <f>HYPERLINK("plots/20251231112652_3FT6Y119H04_05543_B21P_N_UFLEX98_M5358A8BA201511/dpll_52084/txpa_53280.png","plot")</f>
        <v>plot</v>
      </c>
    </row>
    <row r="1456" spans="1:29" hidden="1" x14ac:dyDescent="0.35">
      <c r="A1456" t="s">
        <v>47</v>
      </c>
      <c r="B1456">
        <v>52084</v>
      </c>
      <c r="C1456" t="s">
        <v>52</v>
      </c>
      <c r="D1456">
        <v>53281</v>
      </c>
      <c r="E1456" t="s">
        <v>156</v>
      </c>
      <c r="F1456">
        <v>7139</v>
      </c>
      <c r="G1456">
        <v>0.37862633495571979</v>
      </c>
      <c r="H1456">
        <v>3.9021150463393929E-242</v>
      </c>
      <c r="I1456">
        <v>6.7063468762510913E-241</v>
      </c>
      <c r="J1456">
        <v>0.40208699277850968</v>
      </c>
      <c r="K1456">
        <v>1.174048057600733E-275</v>
      </c>
      <c r="L1456">
        <v>2.903621293675959E-274</v>
      </c>
      <c r="M1456">
        <v>0.28124903902627602</v>
      </c>
      <c r="N1456">
        <v>3.8931079093960439E-278</v>
      </c>
      <c r="O1456">
        <v>9.8690285503189719E-277</v>
      </c>
      <c r="P1456">
        <v>0.14335790152200101</v>
      </c>
      <c r="Q1456">
        <v>0.7779593456845898</v>
      </c>
      <c r="R1456">
        <v>10.27444680747279</v>
      </c>
      <c r="S1456">
        <v>0.20962883985799419</v>
      </c>
      <c r="T1456">
        <v>0.1532242306515374</v>
      </c>
      <c r="U1456">
        <v>4.2625965936405663</v>
      </c>
      <c r="V1456">
        <v>0.11023909988438001</v>
      </c>
      <c r="W1456">
        <v>13.590573664378759</v>
      </c>
      <c r="X1456">
        <v>0.2265070601202111</v>
      </c>
      <c r="Z1456" t="s">
        <v>392</v>
      </c>
      <c r="AA1456">
        <v>140</v>
      </c>
      <c r="AB1456" t="s">
        <v>1847</v>
      </c>
      <c r="AC1456" t="str">
        <f>HYPERLINK("plots/20251231112652_3FT6Y119H04_05543_B21P_N_UFLEX98_M5358A8BA201511/dpll_52084/txpa_53281.png","plot")</f>
        <v>plot</v>
      </c>
    </row>
    <row r="1457" spans="1:29" hidden="1" x14ac:dyDescent="0.35">
      <c r="A1457" t="s">
        <v>47</v>
      </c>
      <c r="B1457">
        <v>52084</v>
      </c>
      <c r="C1457" t="s">
        <v>52</v>
      </c>
      <c r="D1457">
        <v>53282</v>
      </c>
      <c r="E1457" t="s">
        <v>157</v>
      </c>
      <c r="F1457">
        <v>7139</v>
      </c>
      <c r="G1457">
        <v>0.37435865757717951</v>
      </c>
      <c r="H1457">
        <v>2.506000291979335E-236</v>
      </c>
      <c r="I1457">
        <v>3.6827308638652833E-235</v>
      </c>
      <c r="J1457">
        <v>0.38035660261212112</v>
      </c>
      <c r="K1457">
        <v>1.6280504447152281E-244</v>
      </c>
      <c r="L1457">
        <v>1.9421684128720489E-243</v>
      </c>
      <c r="M1457">
        <v>0.26324117068060221</v>
      </c>
      <c r="N1457">
        <v>6.3283652885586839E-244</v>
      </c>
      <c r="O1457">
        <v>8.1227372184791199E-243</v>
      </c>
      <c r="P1457">
        <v>0.1401444045029879</v>
      </c>
      <c r="Q1457">
        <v>0.75993909681166838</v>
      </c>
      <c r="R1457">
        <v>10.171435708493821</v>
      </c>
      <c r="S1457">
        <v>0.207495607413448</v>
      </c>
      <c r="T1457">
        <v>0.15579368562501439</v>
      </c>
      <c r="U1457">
        <v>4.2625965936405663</v>
      </c>
      <c r="V1457">
        <v>0.11023909988438001</v>
      </c>
      <c r="W1457">
        <v>13.41074951393753</v>
      </c>
      <c r="X1457">
        <v>0.22378272895210299</v>
      </c>
      <c r="Z1457" t="s">
        <v>392</v>
      </c>
      <c r="AA1457">
        <v>140</v>
      </c>
      <c r="AB1457" t="s">
        <v>1848</v>
      </c>
      <c r="AC1457" t="str">
        <f>HYPERLINK("plots/20251231112652_3FT6Y119H04_05543_B21P_N_UFLEX98_M5358A8BA201511/dpll_52084/txpa_53282.png","plot")</f>
        <v>plot</v>
      </c>
    </row>
    <row r="1458" spans="1:29" hidden="1" x14ac:dyDescent="0.35">
      <c r="A1458" t="s">
        <v>47</v>
      </c>
      <c r="B1458">
        <v>52084</v>
      </c>
      <c r="C1458" t="s">
        <v>52</v>
      </c>
      <c r="D1458">
        <v>53283</v>
      </c>
      <c r="E1458" t="s">
        <v>158</v>
      </c>
      <c r="F1458">
        <v>7139</v>
      </c>
      <c r="G1458">
        <v>0.34414864934011002</v>
      </c>
      <c r="H1458">
        <v>1.18111124078334E-197</v>
      </c>
      <c r="I1458">
        <v>6.0183256188658613E-197</v>
      </c>
      <c r="J1458">
        <v>0.40777357890850519</v>
      </c>
      <c r="K1458">
        <v>3.360583618905237E-284</v>
      </c>
      <c r="L1458">
        <v>8.7375174091536166E-283</v>
      </c>
      <c r="M1458">
        <v>0.28463588996346839</v>
      </c>
      <c r="N1458">
        <v>8.0050311917744536E-285</v>
      </c>
      <c r="O1458">
        <v>2.0813081098613581E-283</v>
      </c>
      <c r="P1458">
        <v>0.118438292842622</v>
      </c>
      <c r="Q1458">
        <v>0.7480381115696324</v>
      </c>
      <c r="R1458">
        <v>10.632702541223621</v>
      </c>
      <c r="S1458">
        <v>0.2249620462493343</v>
      </c>
      <c r="T1458">
        <v>0.15782976523788461</v>
      </c>
      <c r="U1458">
        <v>4.2625965936405663</v>
      </c>
      <c r="V1458">
        <v>0.11023909988438001</v>
      </c>
      <c r="W1458">
        <v>13.821287247513659</v>
      </c>
      <c r="X1458">
        <v>0.2396146207656692</v>
      </c>
      <c r="Z1458" t="s">
        <v>392</v>
      </c>
      <c r="AA1458">
        <v>140</v>
      </c>
      <c r="AB1458" t="s">
        <v>1849</v>
      </c>
      <c r="AC1458" t="str">
        <f>HYPERLINK("plots/20251231112652_3FT6Y119H04_05543_B21P_N_UFLEX98_M5358A8BA201511/dpll_52084/txpa_53283.png","plot")</f>
        <v>plot</v>
      </c>
    </row>
    <row r="1459" spans="1:29" hidden="1" x14ac:dyDescent="0.35">
      <c r="A1459" t="s">
        <v>47</v>
      </c>
      <c r="B1459">
        <v>52084</v>
      </c>
      <c r="C1459" t="s">
        <v>52</v>
      </c>
      <c r="D1459">
        <v>53284</v>
      </c>
      <c r="E1459" t="s">
        <v>159</v>
      </c>
      <c r="F1459">
        <v>7139</v>
      </c>
      <c r="G1459">
        <v>0.35406560008540439</v>
      </c>
      <c r="H1459">
        <v>6.9072068945099423E-210</v>
      </c>
      <c r="I1459">
        <v>4.5777175104791379E-209</v>
      </c>
      <c r="J1459">
        <v>0.40220125758526831</v>
      </c>
      <c r="K1459">
        <v>7.9370316749039817E-276</v>
      </c>
      <c r="L1459">
        <v>2.0120375295881589E-274</v>
      </c>
      <c r="M1459">
        <v>0.279875548715736</v>
      </c>
      <c r="N1459">
        <v>1.9003831163480921E-275</v>
      </c>
      <c r="O1459">
        <v>4.481368558085966E-274</v>
      </c>
      <c r="P1459">
        <v>0.12536244916383751</v>
      </c>
      <c r="Q1459">
        <v>0.77693638671164744</v>
      </c>
      <c r="R1459">
        <v>10.559578566006721</v>
      </c>
      <c r="S1459">
        <v>0.22621480582456829</v>
      </c>
      <c r="T1459">
        <v>0.16535782888692829</v>
      </c>
      <c r="U1459">
        <v>4.2625965936405663</v>
      </c>
      <c r="V1459">
        <v>0.11023909988438001</v>
      </c>
      <c r="W1459">
        <v>13.871344961479201</v>
      </c>
      <c r="X1459">
        <v>0.24190084526103431</v>
      </c>
      <c r="Z1459" t="s">
        <v>392</v>
      </c>
      <c r="AA1459">
        <v>140</v>
      </c>
      <c r="AB1459" t="s">
        <v>1850</v>
      </c>
      <c r="AC1459" t="str">
        <f>HYPERLINK("plots/20251231112652_3FT6Y119H04_05543_B21P_N_UFLEX98_M5358A8BA201511/dpll_52084/txpa_53284.png","plot")</f>
        <v>plot</v>
      </c>
    </row>
    <row r="1460" spans="1:29" hidden="1" x14ac:dyDescent="0.35">
      <c r="A1460" t="s">
        <v>47</v>
      </c>
      <c r="B1460">
        <v>52084</v>
      </c>
      <c r="C1460" t="s">
        <v>52</v>
      </c>
      <c r="D1460">
        <v>53285</v>
      </c>
      <c r="E1460" t="s">
        <v>160</v>
      </c>
      <c r="F1460">
        <v>7139</v>
      </c>
      <c r="G1460">
        <v>0.3758059055834746</v>
      </c>
      <c r="H1460">
        <v>2.749687561598466E-238</v>
      </c>
      <c r="I1460">
        <v>4.3565362304075702E-237</v>
      </c>
      <c r="J1460">
        <v>0.43809262618290112</v>
      </c>
      <c r="K1460">
        <v>0</v>
      </c>
      <c r="L1460">
        <v>0</v>
      </c>
      <c r="M1460">
        <v>0.31183874399206712</v>
      </c>
      <c r="N1460">
        <v>0</v>
      </c>
      <c r="O1460">
        <v>0</v>
      </c>
      <c r="P1460">
        <v>0.1412300786714154</v>
      </c>
      <c r="Q1460">
        <v>0.80581479126665512</v>
      </c>
      <c r="R1460">
        <v>10.453273802922711</v>
      </c>
      <c r="S1460">
        <v>0.2190358921881787</v>
      </c>
      <c r="T1460">
        <v>0.15220235891722739</v>
      </c>
      <c r="U1460">
        <v>4.2625965936405663</v>
      </c>
      <c r="V1460">
        <v>0.11023909988438001</v>
      </c>
      <c r="W1460">
        <v>13.88813718728113</v>
      </c>
      <c r="X1460">
        <v>0.2363781301542747</v>
      </c>
      <c r="Z1460" t="s">
        <v>392</v>
      </c>
      <c r="AA1460">
        <v>140</v>
      </c>
      <c r="AB1460" t="s">
        <v>1851</v>
      </c>
      <c r="AC1460" t="str">
        <f>HYPERLINK("plots/20251231112652_3FT6Y119H04_05543_B21P_N_UFLEX98_M5358A8BA201511/dpll_52084/txpa_53285.png","plot")</f>
        <v>plot</v>
      </c>
    </row>
    <row r="1461" spans="1:29" hidden="1" x14ac:dyDescent="0.35">
      <c r="A1461" t="s">
        <v>47</v>
      </c>
      <c r="B1461">
        <v>52084</v>
      </c>
      <c r="C1461" t="s">
        <v>52</v>
      </c>
      <c r="D1461">
        <v>53286</v>
      </c>
      <c r="E1461" t="s">
        <v>161</v>
      </c>
      <c r="F1461">
        <v>7139</v>
      </c>
      <c r="G1461">
        <v>0.37271602479379401</v>
      </c>
      <c r="H1461">
        <v>4.0843813609889972E-234</v>
      </c>
      <c r="I1461">
        <v>5.4494246053195301E-233</v>
      </c>
      <c r="J1461">
        <v>0.40993868269973183</v>
      </c>
      <c r="K1461">
        <v>1.6967335551077209E-287</v>
      </c>
      <c r="L1461">
        <v>5.0602583084683203E-286</v>
      </c>
      <c r="M1461">
        <v>0.28707835476441129</v>
      </c>
      <c r="N1461">
        <v>1.0762212816313411E-289</v>
      </c>
      <c r="O1461">
        <v>3.209671704629942E-288</v>
      </c>
      <c r="P1461">
        <v>0.13891723513808801</v>
      </c>
      <c r="Q1461">
        <v>0.80082992717572843</v>
      </c>
      <c r="R1461">
        <v>10.47988329297014</v>
      </c>
      <c r="S1461">
        <v>0.21978088437632709</v>
      </c>
      <c r="T1461">
        <v>0.16241799621344921</v>
      </c>
      <c r="U1461">
        <v>4.2625965936405663</v>
      </c>
      <c r="V1461">
        <v>0.11023909988438001</v>
      </c>
      <c r="W1461">
        <v>13.893498212634819</v>
      </c>
      <c r="X1461">
        <v>0.2368633610029742</v>
      </c>
      <c r="Z1461" t="s">
        <v>392</v>
      </c>
      <c r="AA1461">
        <v>140</v>
      </c>
      <c r="AB1461" t="s">
        <v>1852</v>
      </c>
      <c r="AC1461" t="str">
        <f>HYPERLINK("plots/20251231112652_3FT6Y119H04_05543_B21P_N_UFLEX98_M5358A8BA201511/dpll_52084/txpa_53286.png","plot")</f>
        <v>plot</v>
      </c>
    </row>
    <row r="1462" spans="1:29" hidden="1" x14ac:dyDescent="0.35">
      <c r="A1462" t="s">
        <v>47</v>
      </c>
      <c r="B1462">
        <v>52084</v>
      </c>
      <c r="C1462" t="s">
        <v>52</v>
      </c>
      <c r="D1462">
        <v>53287</v>
      </c>
      <c r="E1462" t="s">
        <v>162</v>
      </c>
      <c r="F1462">
        <v>7139</v>
      </c>
      <c r="G1462">
        <v>0.39474286820660809</v>
      </c>
      <c r="H1462">
        <v>7.2191193759510458E-265</v>
      </c>
      <c r="I1462">
        <v>3.3273577487338002E-263</v>
      </c>
      <c r="J1462">
        <v>0.43226096041423773</v>
      </c>
      <c r="K1462">
        <v>0</v>
      </c>
      <c r="L1462">
        <v>0</v>
      </c>
      <c r="M1462">
        <v>0.30797793716072253</v>
      </c>
      <c r="N1462">
        <v>0</v>
      </c>
      <c r="O1462">
        <v>0</v>
      </c>
      <c r="P1462">
        <v>0.1558219319999796</v>
      </c>
      <c r="Q1462">
        <v>0.8322132169558224</v>
      </c>
      <c r="R1462">
        <v>10.44497476837722</v>
      </c>
      <c r="S1462">
        <v>0.2135219800998919</v>
      </c>
      <c r="T1462">
        <v>0.151841376432824</v>
      </c>
      <c r="U1462">
        <v>4.2625965936405663</v>
      </c>
      <c r="V1462">
        <v>0.11023909988438001</v>
      </c>
      <c r="W1462">
        <v>13.992363992155759</v>
      </c>
      <c r="X1462">
        <v>0.2324106230617857</v>
      </c>
      <c r="Z1462" t="s">
        <v>392</v>
      </c>
      <c r="AA1462">
        <v>140</v>
      </c>
      <c r="AB1462" t="s">
        <v>1853</v>
      </c>
      <c r="AC1462" t="str">
        <f>HYPERLINK("plots/20251231112652_3FT6Y119H04_05543_B21P_N_UFLEX98_M5358A8BA201511/dpll_52084/txpa_53287.png","plot")</f>
        <v>plot</v>
      </c>
    </row>
    <row r="1463" spans="1:29" hidden="1" x14ac:dyDescent="0.35">
      <c r="A1463" t="s">
        <v>47</v>
      </c>
      <c r="B1463">
        <v>52084</v>
      </c>
      <c r="C1463" t="s">
        <v>52</v>
      </c>
      <c r="D1463">
        <v>53288</v>
      </c>
      <c r="E1463" t="s">
        <v>163</v>
      </c>
      <c r="F1463">
        <v>7139</v>
      </c>
      <c r="G1463">
        <v>0.38555186410299852</v>
      </c>
      <c r="H1463">
        <v>9.5323206279610162E-252</v>
      </c>
      <c r="I1463">
        <v>2.1012550253809719E-250</v>
      </c>
      <c r="J1463">
        <v>0.42177355504423247</v>
      </c>
      <c r="K1463">
        <v>5.9120589762517471E-306</v>
      </c>
      <c r="L1463">
        <v>3.3304598899551511E-304</v>
      </c>
      <c r="M1463">
        <v>0.29849342697561992</v>
      </c>
      <c r="N1463">
        <v>0</v>
      </c>
      <c r="O1463">
        <v>0</v>
      </c>
      <c r="P1463">
        <v>0.14865023991329701</v>
      </c>
      <c r="Q1463">
        <v>0.82184894087610905</v>
      </c>
      <c r="R1463">
        <v>10.419596269787849</v>
      </c>
      <c r="S1463">
        <v>0.21680457424310229</v>
      </c>
      <c r="T1463">
        <v>0.15827135261982431</v>
      </c>
      <c r="U1463">
        <v>4.2625965936405663</v>
      </c>
      <c r="V1463">
        <v>0.11023909988438001</v>
      </c>
      <c r="W1463">
        <v>13.92280676565345</v>
      </c>
      <c r="X1463">
        <v>0.23498754880591111</v>
      </c>
      <c r="Z1463" t="s">
        <v>392</v>
      </c>
      <c r="AA1463">
        <v>140</v>
      </c>
      <c r="AB1463" t="s">
        <v>1854</v>
      </c>
      <c r="AC1463" t="str">
        <f>HYPERLINK("plots/20251231112652_3FT6Y119H04_05543_B21P_N_UFLEX98_M5358A8BA201511/dpll_52084/txpa_53288.png","plot")</f>
        <v>plot</v>
      </c>
    </row>
    <row r="1464" spans="1:29" hidden="1" x14ac:dyDescent="0.35">
      <c r="A1464" t="s">
        <v>47</v>
      </c>
      <c r="B1464">
        <v>52084</v>
      </c>
      <c r="C1464" t="s">
        <v>52</v>
      </c>
      <c r="D1464">
        <v>53289</v>
      </c>
      <c r="E1464" t="s">
        <v>164</v>
      </c>
      <c r="F1464">
        <v>7139</v>
      </c>
      <c r="G1464">
        <v>0.38839052956949732</v>
      </c>
      <c r="H1464">
        <v>9.365731080135161E-256</v>
      </c>
      <c r="I1464">
        <v>2.4350900808351421E-254</v>
      </c>
      <c r="J1464">
        <v>0.4235993797067365</v>
      </c>
      <c r="K1464">
        <v>0</v>
      </c>
      <c r="L1464">
        <v>7.3023601179843926E-307</v>
      </c>
      <c r="M1464">
        <v>0.30016537339735411</v>
      </c>
      <c r="N1464">
        <v>0</v>
      </c>
      <c r="O1464">
        <v>0</v>
      </c>
      <c r="P1464">
        <v>0.15084720345927449</v>
      </c>
      <c r="Q1464">
        <v>0.81804044387636077</v>
      </c>
      <c r="R1464">
        <v>10.49843942322209</v>
      </c>
      <c r="S1464">
        <v>0.21394606617637421</v>
      </c>
      <c r="T1464">
        <v>0.15241375292250589</v>
      </c>
      <c r="U1464">
        <v>4.2625965936405663</v>
      </c>
      <c r="V1464">
        <v>0.11023909988438001</v>
      </c>
      <c r="W1464">
        <v>13.98541583274968</v>
      </c>
      <c r="X1464">
        <v>0.23218908633510391</v>
      </c>
      <c r="Z1464" t="s">
        <v>392</v>
      </c>
      <c r="AA1464">
        <v>140</v>
      </c>
      <c r="AB1464" t="s">
        <v>1855</v>
      </c>
      <c r="AC1464" t="str">
        <f>HYPERLINK("plots/20251231112652_3FT6Y119H04_05543_B21P_N_UFLEX98_M5358A8BA201511/dpll_52084/txpa_53289.png","plot")</f>
        <v>plot</v>
      </c>
    </row>
    <row r="1465" spans="1:29" hidden="1" x14ac:dyDescent="0.35">
      <c r="A1465" t="s">
        <v>47</v>
      </c>
      <c r="B1465">
        <v>52084</v>
      </c>
      <c r="C1465" t="s">
        <v>52</v>
      </c>
      <c r="D1465">
        <v>53290</v>
      </c>
      <c r="E1465" t="s">
        <v>165</v>
      </c>
      <c r="F1465">
        <v>7139</v>
      </c>
      <c r="G1465">
        <v>0.37957020645675499</v>
      </c>
      <c r="H1465">
        <v>1.972383374984433E-243</v>
      </c>
      <c r="I1465">
        <v>3.571422753989669E-242</v>
      </c>
      <c r="J1465">
        <v>0.39585781634833561</v>
      </c>
      <c r="K1465">
        <v>1.730445254365845E-266</v>
      </c>
      <c r="L1465">
        <v>3.1903117962308479E-265</v>
      </c>
      <c r="M1465">
        <v>0.27604875755186947</v>
      </c>
      <c r="N1465">
        <v>5.0281588907802964E-268</v>
      </c>
      <c r="O1465">
        <v>9.6199115382098495E-267</v>
      </c>
      <c r="P1465">
        <v>0.1440735416296236</v>
      </c>
      <c r="Q1465">
        <v>0.78501104307824232</v>
      </c>
      <c r="R1465">
        <v>10.51842587789354</v>
      </c>
      <c r="S1465">
        <v>0.21091482899813099</v>
      </c>
      <c r="T1465">
        <v>0.15580580825757959</v>
      </c>
      <c r="U1465">
        <v>4.2625965936405663</v>
      </c>
      <c r="V1465">
        <v>0.11023909988438001</v>
      </c>
      <c r="W1465">
        <v>13.864611276089089</v>
      </c>
      <c r="X1465">
        <v>0.22799184265823899</v>
      </c>
      <c r="Z1465" t="s">
        <v>392</v>
      </c>
      <c r="AA1465">
        <v>140</v>
      </c>
      <c r="AB1465" t="s">
        <v>1856</v>
      </c>
      <c r="AC1465" t="str">
        <f>HYPERLINK("plots/20251231112652_3FT6Y119H04_05543_B21P_N_UFLEX98_M5358A8BA201511/dpll_52084/txpa_53290.png","plot")</f>
        <v>plot</v>
      </c>
    </row>
    <row r="1466" spans="1:29" hidden="1" x14ac:dyDescent="0.35">
      <c r="A1466" t="s">
        <v>47</v>
      </c>
      <c r="B1466">
        <v>52084</v>
      </c>
      <c r="C1466" t="s">
        <v>52</v>
      </c>
      <c r="D1466">
        <v>54146</v>
      </c>
      <c r="E1466" t="s">
        <v>166</v>
      </c>
      <c r="F1466">
        <v>7139</v>
      </c>
      <c r="G1466">
        <v>-9.479306834108206E-3</v>
      </c>
      <c r="H1466">
        <v>0.4232421981121478</v>
      </c>
      <c r="I1466">
        <v>0.42407864514399002</v>
      </c>
      <c r="J1466">
        <v>-4.7198536360010864E-3</v>
      </c>
      <c r="K1466">
        <v>0.69009576446490195</v>
      </c>
      <c r="L1466">
        <v>0.6907770041139295</v>
      </c>
      <c r="M1466">
        <v>-3.1343207633246421E-3</v>
      </c>
      <c r="N1466">
        <v>0.69126801714420538</v>
      </c>
      <c r="O1466">
        <v>0.69263415947057727</v>
      </c>
      <c r="P1466">
        <v>8.9857258055170538E-5</v>
      </c>
      <c r="Q1466">
        <v>-0.39266279415222288</v>
      </c>
      <c r="R1466">
        <v>-9.7596838169264402</v>
      </c>
      <c r="S1466">
        <v>4.5659263066732256</v>
      </c>
      <c r="T1466">
        <v>3.4657922764966891</v>
      </c>
      <c r="U1466">
        <v>4.2625965936405663</v>
      </c>
      <c r="V1466">
        <v>0.11023909988438001</v>
      </c>
      <c r="W1466">
        <v>-11.43344690572909</v>
      </c>
      <c r="X1466">
        <v>4.5664512968050834</v>
      </c>
      <c r="Z1466" t="s">
        <v>392</v>
      </c>
      <c r="AA1466">
        <v>140</v>
      </c>
      <c r="AB1466" t="s">
        <v>1857</v>
      </c>
      <c r="AC1466" t="str">
        <f>HYPERLINK("plots/20251231112652_3FT6Y119H04_05543_B21P_N_UFLEX98_M5358A8BA201511/dpll_52084/txpa_54146.png","plot")</f>
        <v>plot</v>
      </c>
    </row>
    <row r="1467" spans="1:29" hidden="1" x14ac:dyDescent="0.35">
      <c r="A1467" t="s">
        <v>47</v>
      </c>
      <c r="B1467">
        <v>52084</v>
      </c>
      <c r="C1467" t="s">
        <v>52</v>
      </c>
      <c r="D1467">
        <v>54147</v>
      </c>
      <c r="E1467" t="s">
        <v>167</v>
      </c>
      <c r="F1467">
        <v>7139</v>
      </c>
      <c r="G1467">
        <v>0.12385078161320461</v>
      </c>
      <c r="H1467">
        <v>8.3587738215004146E-26</v>
      </c>
      <c r="I1467">
        <v>8.6753292272276568E-26</v>
      </c>
      <c r="J1467">
        <v>0.10951552566033999</v>
      </c>
      <c r="K1467">
        <v>1.701898496681002E-20</v>
      </c>
      <c r="L1467">
        <v>1.7502282714346209E-20</v>
      </c>
      <c r="M1467">
        <v>7.2733114329001092E-2</v>
      </c>
      <c r="N1467">
        <v>3.1920282790978852E-20</v>
      </c>
      <c r="O1467">
        <v>3.2826741125813952E-20</v>
      </c>
      <c r="P1467">
        <v>1.5339016106201701E-2</v>
      </c>
      <c r="Q1467">
        <v>0.97142401143144497</v>
      </c>
      <c r="R1467">
        <v>-23.530409196185939</v>
      </c>
      <c r="S1467">
        <v>0.85794349667802672</v>
      </c>
      <c r="T1467">
        <v>0.65591063468767841</v>
      </c>
      <c r="U1467">
        <v>4.2625965936405663</v>
      </c>
      <c r="V1467">
        <v>0.11023909988438001</v>
      </c>
      <c r="W1467">
        <v>-19.389620514077599</v>
      </c>
      <c r="X1467">
        <v>0.86466074118710867</v>
      </c>
      <c r="Z1467" t="s">
        <v>392</v>
      </c>
      <c r="AA1467">
        <v>140</v>
      </c>
      <c r="AB1467" t="s">
        <v>1858</v>
      </c>
      <c r="AC1467" t="str">
        <f>HYPERLINK("plots/20251231112652_3FT6Y119H04_05543_B21P_N_UFLEX98_M5358A8BA201511/dpll_52084/txpa_54147.png","plot")</f>
        <v>plot</v>
      </c>
    </row>
    <row r="1468" spans="1:29" hidden="1" x14ac:dyDescent="0.35">
      <c r="A1468" t="s">
        <v>47</v>
      </c>
      <c r="B1468">
        <v>52084</v>
      </c>
      <c r="C1468" t="s">
        <v>52</v>
      </c>
      <c r="D1468">
        <v>54148</v>
      </c>
      <c r="E1468" t="s">
        <v>168</v>
      </c>
      <c r="F1468">
        <v>7131</v>
      </c>
      <c r="G1468">
        <v>0.129147291178447</v>
      </c>
      <c r="H1468">
        <v>6.6560619268604604E-28</v>
      </c>
      <c r="I1468">
        <v>6.9795726926954577E-28</v>
      </c>
      <c r="J1468">
        <v>0.12480214546744781</v>
      </c>
      <c r="K1468">
        <v>3.7498681844545921E-26</v>
      </c>
      <c r="L1468">
        <v>3.981535433546551E-26</v>
      </c>
      <c r="M1468">
        <v>8.2815909071478941E-2</v>
      </c>
      <c r="N1468">
        <v>1.0343843369147311E-25</v>
      </c>
      <c r="O1468">
        <v>1.098288709561819E-25</v>
      </c>
      <c r="P1468">
        <v>1.6679022818730571E-2</v>
      </c>
      <c r="Q1468">
        <v>0.80978979030808529</v>
      </c>
      <c r="R1468">
        <v>-22.348701500583658</v>
      </c>
      <c r="S1468">
        <v>0.68544348067304472</v>
      </c>
      <c r="T1468">
        <v>0.52185746439102698</v>
      </c>
      <c r="U1468">
        <v>4.2625601539756</v>
      </c>
      <c r="V1468">
        <v>0.1102471714661671</v>
      </c>
      <c r="W1468">
        <v>-18.89692380732016</v>
      </c>
      <c r="X1468">
        <v>0.6912807310862602</v>
      </c>
      <c r="Z1468" t="s">
        <v>392</v>
      </c>
      <c r="AA1468">
        <v>140</v>
      </c>
      <c r="AB1468" t="s">
        <v>1859</v>
      </c>
      <c r="AC1468" t="str">
        <f>HYPERLINK("plots/20251231112652_3FT6Y119H04_05543_B21P_N_UFLEX98_M5358A8BA201511/dpll_52084/txpa_54148.png","plot")</f>
        <v>plot</v>
      </c>
    </row>
    <row r="1469" spans="1:29" hidden="1" x14ac:dyDescent="0.35">
      <c r="A1469" t="s">
        <v>47</v>
      </c>
      <c r="B1469">
        <v>52084</v>
      </c>
      <c r="C1469" t="s">
        <v>52</v>
      </c>
      <c r="D1469">
        <v>54149</v>
      </c>
      <c r="E1469" t="s">
        <v>169</v>
      </c>
      <c r="F1469">
        <v>7134</v>
      </c>
      <c r="G1469">
        <v>0.13633396956908461</v>
      </c>
      <c r="H1469">
        <v>6.0419453786524201E-31</v>
      </c>
      <c r="I1469">
        <v>6.4219419433475412E-31</v>
      </c>
      <c r="J1469">
        <v>0.13358463661835879</v>
      </c>
      <c r="K1469">
        <v>9.1305425819181968E-30</v>
      </c>
      <c r="L1469">
        <v>9.9232263430493593E-30</v>
      </c>
      <c r="M1469">
        <v>8.9120236286359636E-2</v>
      </c>
      <c r="N1469">
        <v>1.5780968025695959E-29</v>
      </c>
      <c r="O1469">
        <v>1.7187864208437921E-29</v>
      </c>
      <c r="P1469">
        <v>1.8586951258464081E-2</v>
      </c>
      <c r="Q1469">
        <v>0.84052607819648406</v>
      </c>
      <c r="R1469">
        <v>-22.09610651438129</v>
      </c>
      <c r="S1469">
        <v>0.67338912923860528</v>
      </c>
      <c r="T1469">
        <v>0.51520758063001015</v>
      </c>
      <c r="U1469">
        <v>4.2626053051583961</v>
      </c>
      <c r="V1469">
        <v>0.1102614032439423</v>
      </c>
      <c r="W1469">
        <v>-18.513275594336982</v>
      </c>
      <c r="X1469">
        <v>0.67978351351465127</v>
      </c>
      <c r="Z1469" t="s">
        <v>392</v>
      </c>
      <c r="AA1469">
        <v>140</v>
      </c>
      <c r="AB1469" t="s">
        <v>1860</v>
      </c>
      <c r="AC1469" t="str">
        <f>HYPERLINK("plots/20251231112652_3FT6Y119H04_05543_B21P_N_UFLEX98_M5358A8BA201511/dpll_52084/txpa_54149.png","plot")</f>
        <v>plot</v>
      </c>
    </row>
    <row r="1470" spans="1:29" hidden="1" x14ac:dyDescent="0.35">
      <c r="A1470" t="s">
        <v>47</v>
      </c>
      <c r="B1470">
        <v>52084</v>
      </c>
      <c r="C1470" t="s">
        <v>52</v>
      </c>
      <c r="D1470">
        <v>54150</v>
      </c>
      <c r="E1470" t="s">
        <v>170</v>
      </c>
      <c r="F1470">
        <v>7135</v>
      </c>
      <c r="G1470">
        <v>0.15933687250457301</v>
      </c>
      <c r="H1470">
        <v>8.6843766008844231E-42</v>
      </c>
      <c r="I1470">
        <v>9.7303401914881815E-42</v>
      </c>
      <c r="J1470">
        <v>0.15025895843895701</v>
      </c>
      <c r="K1470">
        <v>2.6551328442159791E-37</v>
      </c>
      <c r="L1470">
        <v>3.0664062688325769E-37</v>
      </c>
      <c r="M1470">
        <v>9.9809012121198387E-2</v>
      </c>
      <c r="N1470">
        <v>1.3109980112104039E-36</v>
      </c>
      <c r="O1470">
        <v>1.5106272538265341E-36</v>
      </c>
      <c r="P1470">
        <v>2.5388238939538541E-2</v>
      </c>
      <c r="Q1470">
        <v>0.97243168887846276</v>
      </c>
      <c r="R1470">
        <v>-23.016701159110639</v>
      </c>
      <c r="S1470">
        <v>0.66423795014547904</v>
      </c>
      <c r="T1470">
        <v>0.51212333899093732</v>
      </c>
      <c r="U1470">
        <v>4.2626128451296426</v>
      </c>
      <c r="V1470">
        <v>0.11025428636728039</v>
      </c>
      <c r="W1470">
        <v>-18.871601351086191</v>
      </c>
      <c r="X1470">
        <v>0.67288104889310585</v>
      </c>
      <c r="Z1470" t="s">
        <v>392</v>
      </c>
      <c r="AA1470">
        <v>140</v>
      </c>
      <c r="AB1470" t="s">
        <v>1861</v>
      </c>
      <c r="AC1470" t="str">
        <f>HYPERLINK("plots/20251231112652_3FT6Y119H04_05543_B21P_N_UFLEX98_M5358A8BA201511/dpll_52084/txpa_54150.png","plot")</f>
        <v>plot</v>
      </c>
    </row>
    <row r="1471" spans="1:29" hidden="1" x14ac:dyDescent="0.35">
      <c r="A1471" t="s">
        <v>47</v>
      </c>
      <c r="B1471">
        <v>52084</v>
      </c>
      <c r="C1471" t="s">
        <v>52</v>
      </c>
      <c r="D1471">
        <v>54151</v>
      </c>
      <c r="E1471" t="s">
        <v>171</v>
      </c>
      <c r="F1471">
        <v>7133</v>
      </c>
      <c r="G1471">
        <v>0.14892009053874269</v>
      </c>
      <c r="H1471">
        <v>1.1813032736809621E-36</v>
      </c>
      <c r="I1471">
        <v>1.294963804878374E-36</v>
      </c>
      <c r="J1471">
        <v>0.14175842011592421</v>
      </c>
      <c r="K1471">
        <v>2.435726283979826E-33</v>
      </c>
      <c r="L1471">
        <v>2.7351344982896379E-33</v>
      </c>
      <c r="M1471">
        <v>9.4213831129014339E-2</v>
      </c>
      <c r="N1471">
        <v>8.4984303910368378E-33</v>
      </c>
      <c r="O1471">
        <v>9.5430879474101365E-33</v>
      </c>
      <c r="P1471">
        <v>2.217719336606732E-2</v>
      </c>
      <c r="Q1471">
        <v>0.87196517999733725</v>
      </c>
      <c r="R1471">
        <v>-22.308093841264689</v>
      </c>
      <c r="S1471">
        <v>0.63831109482810511</v>
      </c>
      <c r="T1471">
        <v>0.49100269458526419</v>
      </c>
      <c r="U1471">
        <v>4.2626601422963697</v>
      </c>
      <c r="V1471">
        <v>0.1102521089554699</v>
      </c>
      <c r="W1471">
        <v>-18.591202623019761</v>
      </c>
      <c r="X1471">
        <v>0.64555426794769377</v>
      </c>
      <c r="Z1471" t="s">
        <v>392</v>
      </c>
      <c r="AA1471">
        <v>140</v>
      </c>
      <c r="AB1471" t="s">
        <v>1862</v>
      </c>
      <c r="AC1471" t="str">
        <f>HYPERLINK("plots/20251231112652_3FT6Y119H04_05543_B21P_N_UFLEX98_M5358A8BA201511/dpll_52084/txpa_54151.png","plot")</f>
        <v>plot</v>
      </c>
    </row>
    <row r="1472" spans="1:29" hidden="1" x14ac:dyDescent="0.35">
      <c r="A1472" t="s">
        <v>47</v>
      </c>
      <c r="B1472">
        <v>52084</v>
      </c>
      <c r="C1472" t="s">
        <v>52</v>
      </c>
      <c r="D1472">
        <v>54152</v>
      </c>
      <c r="E1472" t="s">
        <v>172</v>
      </c>
      <c r="F1472">
        <v>7135</v>
      </c>
      <c r="G1472">
        <v>0.1498018724219185</v>
      </c>
      <c r="H1472">
        <v>4.3926246893792857E-37</v>
      </c>
      <c r="I1472">
        <v>4.8572752835666251E-37</v>
      </c>
      <c r="J1472">
        <v>0.1414868349128344</v>
      </c>
      <c r="K1472">
        <v>3.1634632678736033E-33</v>
      </c>
      <c r="L1472">
        <v>3.5444770758274397E-33</v>
      </c>
      <c r="M1472">
        <v>9.3912305321055892E-2</v>
      </c>
      <c r="N1472">
        <v>1.3223494032157581E-32</v>
      </c>
      <c r="O1472">
        <v>1.481615795426274E-32</v>
      </c>
      <c r="P1472">
        <v>2.2440600981112741E-2</v>
      </c>
      <c r="Q1472">
        <v>0.8654122196569014</v>
      </c>
      <c r="R1472">
        <v>-22.428017266264781</v>
      </c>
      <c r="S1472">
        <v>0.62975591105978646</v>
      </c>
      <c r="T1472">
        <v>0.4796682265355145</v>
      </c>
      <c r="U1472">
        <v>4.2625927729502449</v>
      </c>
      <c r="V1472">
        <v>0.1102618638825842</v>
      </c>
      <c r="W1472">
        <v>-18.739117393132439</v>
      </c>
      <c r="X1472">
        <v>0.63698779476786127</v>
      </c>
      <c r="Z1472" t="s">
        <v>392</v>
      </c>
      <c r="AA1472">
        <v>140</v>
      </c>
      <c r="AB1472" t="s">
        <v>1863</v>
      </c>
      <c r="AC1472" t="str">
        <f>HYPERLINK("plots/20251231112652_3FT6Y119H04_05543_B21P_N_UFLEX98_M5358A8BA201511/dpll_52084/txpa_54152.png","plot")</f>
        <v>plot</v>
      </c>
    </row>
    <row r="1473" spans="1:29" hidden="1" x14ac:dyDescent="0.35">
      <c r="A1473" t="s">
        <v>47</v>
      </c>
      <c r="B1473">
        <v>52084</v>
      </c>
      <c r="C1473" t="s">
        <v>52</v>
      </c>
      <c r="D1473">
        <v>54153</v>
      </c>
      <c r="E1473" t="s">
        <v>173</v>
      </c>
      <c r="F1473">
        <v>7129</v>
      </c>
      <c r="G1473">
        <v>0.13588283119523481</v>
      </c>
      <c r="H1473">
        <v>9.9256967811948133E-31</v>
      </c>
      <c r="I1473">
        <v>1.051688248289607E-30</v>
      </c>
      <c r="J1473">
        <v>0.1202611483463665</v>
      </c>
      <c r="K1473">
        <v>2.2140680201186438E-24</v>
      </c>
      <c r="L1473">
        <v>2.3386093462503169E-24</v>
      </c>
      <c r="M1473">
        <v>7.9891418893033514E-2</v>
      </c>
      <c r="N1473">
        <v>4.924046142264133E-24</v>
      </c>
      <c r="O1473">
        <v>5.2010237377664898E-24</v>
      </c>
      <c r="P1473">
        <v>1.846414381363266E-2</v>
      </c>
      <c r="Q1473">
        <v>0.79545803350548205</v>
      </c>
      <c r="R1473">
        <v>-22.119003875919962</v>
      </c>
      <c r="S1473">
        <v>0.63950591280191338</v>
      </c>
      <c r="T1473">
        <v>0.48711294576426789</v>
      </c>
      <c r="U1473">
        <v>4.2626194278299909</v>
      </c>
      <c r="V1473">
        <v>0.1102730168815351</v>
      </c>
      <c r="W1473">
        <v>-18.728269008276051</v>
      </c>
      <c r="X1473">
        <v>0.64553819187996753</v>
      </c>
      <c r="Z1473" t="s">
        <v>392</v>
      </c>
      <c r="AA1473">
        <v>140</v>
      </c>
      <c r="AB1473" t="s">
        <v>1864</v>
      </c>
      <c r="AC1473" t="str">
        <f>HYPERLINK("plots/20251231112652_3FT6Y119H04_05543_B21P_N_UFLEX98_M5358A8BA201511/dpll_52084/txpa_54153.png","plot")</f>
        <v>plot</v>
      </c>
    </row>
    <row r="1474" spans="1:29" hidden="1" x14ac:dyDescent="0.35">
      <c r="A1474" t="s">
        <v>47</v>
      </c>
      <c r="B1474">
        <v>52084</v>
      </c>
      <c r="C1474" t="s">
        <v>52</v>
      </c>
      <c r="D1474">
        <v>54154</v>
      </c>
      <c r="E1474" t="s">
        <v>174</v>
      </c>
      <c r="F1474">
        <v>7139</v>
      </c>
      <c r="G1474">
        <v>0.1127090296797968</v>
      </c>
      <c r="H1474">
        <v>1.2738786334698751E-21</v>
      </c>
      <c r="I1474">
        <v>1.298203954108998E-21</v>
      </c>
      <c r="J1474">
        <v>0.10490671166140191</v>
      </c>
      <c r="K1474">
        <v>6.2883294528910519E-19</v>
      </c>
      <c r="L1474">
        <v>6.4019739610758302E-19</v>
      </c>
      <c r="M1474">
        <v>6.9726286706201179E-2</v>
      </c>
      <c r="N1474">
        <v>1.0354382908187851E-18</v>
      </c>
      <c r="O1474">
        <v>1.053093708014291E-18</v>
      </c>
      <c r="P1474">
        <v>1.270332537136132E-2</v>
      </c>
      <c r="Q1474">
        <v>0.88924892589300264</v>
      </c>
      <c r="R1474">
        <v>-23.490310039132279</v>
      </c>
      <c r="S1474">
        <v>0.86415911430352144</v>
      </c>
      <c r="T1474">
        <v>0.66129631238422659</v>
      </c>
      <c r="U1474">
        <v>4.2625965936405663</v>
      </c>
      <c r="V1474">
        <v>0.11023909988438001</v>
      </c>
      <c r="W1474">
        <v>-19.69980059672223</v>
      </c>
      <c r="X1474">
        <v>0.86976173463738371</v>
      </c>
      <c r="Z1474" t="s">
        <v>392</v>
      </c>
      <c r="AA1474">
        <v>140</v>
      </c>
      <c r="AB1474" t="s">
        <v>1865</v>
      </c>
      <c r="AC1474" t="str">
        <f>HYPERLINK("plots/20251231112652_3FT6Y119H04_05543_B21P_N_UFLEX98_M5358A8BA201511/dpll_52084/txpa_54154.png","plot")</f>
        <v>plot</v>
      </c>
    </row>
    <row r="1475" spans="1:29" hidden="1" x14ac:dyDescent="0.35">
      <c r="A1475" t="s">
        <v>47</v>
      </c>
      <c r="B1475">
        <v>52084</v>
      </c>
      <c r="C1475" t="s">
        <v>52</v>
      </c>
      <c r="D1475">
        <v>54155</v>
      </c>
      <c r="E1475" t="s">
        <v>175</v>
      </c>
      <c r="F1475">
        <v>7139</v>
      </c>
      <c r="G1475">
        <v>0.1478583037873209</v>
      </c>
      <c r="H1475">
        <v>3.5106355551492759E-36</v>
      </c>
      <c r="I1475">
        <v>3.8236138055009297E-36</v>
      </c>
      <c r="J1475">
        <v>0.11071242790496939</v>
      </c>
      <c r="K1475">
        <v>6.4982080884213218E-21</v>
      </c>
      <c r="L1475">
        <v>6.7305240057806117E-21</v>
      </c>
      <c r="M1475">
        <v>7.3353243481378838E-2</v>
      </c>
      <c r="N1475">
        <v>1.4877813874836589E-20</v>
      </c>
      <c r="O1475">
        <v>1.5393982927637041E-20</v>
      </c>
      <c r="P1475">
        <v>2.1862077998863669E-2</v>
      </c>
      <c r="Q1475">
        <v>0.73541557291964765</v>
      </c>
      <c r="R1475">
        <v>-11.962156999802749</v>
      </c>
      <c r="S1475">
        <v>0.54224104699440645</v>
      </c>
      <c r="T1475">
        <v>0.44919014037180571</v>
      </c>
      <c r="U1475">
        <v>4.2625965936405663</v>
      </c>
      <c r="V1475">
        <v>0.11023909988438001</v>
      </c>
      <c r="W1475">
        <v>-8.8273770837652332</v>
      </c>
      <c r="X1475">
        <v>0.54830570027524972</v>
      </c>
      <c r="Z1475" t="s">
        <v>392</v>
      </c>
      <c r="AA1475">
        <v>140</v>
      </c>
      <c r="AB1475" t="s">
        <v>1866</v>
      </c>
      <c r="AC1475" t="str">
        <f>HYPERLINK("plots/20251231112652_3FT6Y119H04_05543_B21P_N_UFLEX98_M5358A8BA201511/dpll_52084/txpa_54155.png","plot")</f>
        <v>plot</v>
      </c>
    </row>
    <row r="1476" spans="1:29" hidden="1" x14ac:dyDescent="0.35">
      <c r="A1476" t="s">
        <v>47</v>
      </c>
      <c r="B1476">
        <v>52084</v>
      </c>
      <c r="C1476" t="s">
        <v>52</v>
      </c>
      <c r="D1476">
        <v>54156</v>
      </c>
      <c r="E1476" t="s">
        <v>176</v>
      </c>
      <c r="F1476">
        <v>7139</v>
      </c>
      <c r="G1476">
        <v>0.24337559945448131</v>
      </c>
      <c r="H1476">
        <v>9.1386902759773155E-97</v>
      </c>
      <c r="I1476">
        <v>1.4169161987524459E-96</v>
      </c>
      <c r="J1476">
        <v>0.22092276335659791</v>
      </c>
      <c r="K1476">
        <v>1.206776215283888E-79</v>
      </c>
      <c r="L1476">
        <v>1.8512421819937411E-79</v>
      </c>
      <c r="M1476">
        <v>0.14641877579431711</v>
      </c>
      <c r="N1476">
        <v>8.0175334163680719E-77</v>
      </c>
      <c r="O1476">
        <v>1.217032767095393E-76</v>
      </c>
      <c r="P1476">
        <v>5.9231682409828117E-2</v>
      </c>
      <c r="Q1476">
        <v>0.77123483524148662</v>
      </c>
      <c r="R1476">
        <v>-11.55232401017274</v>
      </c>
      <c r="S1476">
        <v>0.33880997209147767</v>
      </c>
      <c r="T1476">
        <v>0.26580688089925281</v>
      </c>
      <c r="U1476">
        <v>4.2625965936405663</v>
      </c>
      <c r="V1476">
        <v>0.11023909988438001</v>
      </c>
      <c r="W1476">
        <v>-8.2648610285754316</v>
      </c>
      <c r="X1476">
        <v>0.34933754339822798</v>
      </c>
      <c r="Z1476" t="s">
        <v>392</v>
      </c>
      <c r="AA1476">
        <v>140</v>
      </c>
      <c r="AB1476" t="s">
        <v>1867</v>
      </c>
      <c r="AC1476" t="str">
        <f>HYPERLINK("plots/20251231112652_3FT6Y119H04_05543_B21P_N_UFLEX98_M5358A8BA201511/dpll_52084/txpa_54156.png","plot")</f>
        <v>plot</v>
      </c>
    </row>
    <row r="1477" spans="1:29" hidden="1" x14ac:dyDescent="0.35">
      <c r="A1477" t="s">
        <v>47</v>
      </c>
      <c r="B1477">
        <v>52084</v>
      </c>
      <c r="C1477" t="s">
        <v>52</v>
      </c>
      <c r="D1477">
        <v>54157</v>
      </c>
      <c r="E1477" t="s">
        <v>177</v>
      </c>
      <c r="F1477">
        <v>7139</v>
      </c>
      <c r="G1477">
        <v>0.1932353914895466</v>
      </c>
      <c r="H1477">
        <v>5.1380555073210459E-61</v>
      </c>
      <c r="I1477">
        <v>6.2544877364028097E-61</v>
      </c>
      <c r="J1477">
        <v>0.16383767535086699</v>
      </c>
      <c r="K1477">
        <v>3.8871996015354829E-44</v>
      </c>
      <c r="L1477">
        <v>4.6646395218425791E-44</v>
      </c>
      <c r="M1477">
        <v>0.1090435560398432</v>
      </c>
      <c r="N1477">
        <v>2.0477834765584302E-43</v>
      </c>
      <c r="O1477">
        <v>2.4573401718701161E-43</v>
      </c>
      <c r="P1477">
        <v>3.7339916524118333E-2</v>
      </c>
      <c r="Q1477">
        <v>0.70219376327267313</v>
      </c>
      <c r="R1477">
        <v>-10.887887122446431</v>
      </c>
      <c r="S1477">
        <v>0.39301761690944159</v>
      </c>
      <c r="T1477">
        <v>0.3181567782965401</v>
      </c>
      <c r="U1477">
        <v>4.2625965936405663</v>
      </c>
      <c r="V1477">
        <v>0.11023909988438001</v>
      </c>
      <c r="W1477">
        <v>-7.8947183790446838</v>
      </c>
      <c r="X1477">
        <v>0.40059539720389442</v>
      </c>
      <c r="Z1477" t="s">
        <v>392</v>
      </c>
      <c r="AA1477">
        <v>140</v>
      </c>
      <c r="AB1477" t="s">
        <v>1868</v>
      </c>
      <c r="AC1477" t="str">
        <f>HYPERLINK("plots/20251231112652_3FT6Y119H04_05543_B21P_N_UFLEX98_M5358A8BA201511/dpll_52084/txpa_54157.png","plot")</f>
        <v>plot</v>
      </c>
    </row>
    <row r="1478" spans="1:29" hidden="1" x14ac:dyDescent="0.35">
      <c r="A1478" t="s">
        <v>47</v>
      </c>
      <c r="B1478">
        <v>52084</v>
      </c>
      <c r="C1478" t="s">
        <v>52</v>
      </c>
      <c r="D1478">
        <v>54158</v>
      </c>
      <c r="E1478" t="s">
        <v>178</v>
      </c>
      <c r="F1478">
        <v>7139</v>
      </c>
      <c r="G1478">
        <v>0.27895396305544001</v>
      </c>
      <c r="H1478">
        <v>9.5854988963609859E-128</v>
      </c>
      <c r="I1478">
        <v>1.920888514013842E-127</v>
      </c>
      <c r="J1478">
        <v>0.24566030786758891</v>
      </c>
      <c r="K1478">
        <v>1.3036269209742199E-98</v>
      </c>
      <c r="L1478">
        <v>2.4077917993950069E-98</v>
      </c>
      <c r="M1478">
        <v>0.16399555344481551</v>
      </c>
      <c r="N1478">
        <v>6.8729081976480044E-96</v>
      </c>
      <c r="O1478">
        <v>1.267114347711832E-95</v>
      </c>
      <c r="P1478">
        <v>7.7815313504335765E-2</v>
      </c>
      <c r="Q1478">
        <v>0.84283741593980066</v>
      </c>
      <c r="R1478">
        <v>-11.85831270991615</v>
      </c>
      <c r="S1478">
        <v>0.3198346142064824</v>
      </c>
      <c r="T1478">
        <v>0.25494858990366082</v>
      </c>
      <c r="U1478">
        <v>4.2625965936405663</v>
      </c>
      <c r="V1478">
        <v>0.11023909988438001</v>
      </c>
      <c r="W1478">
        <v>-8.2656368117383376</v>
      </c>
      <c r="X1478">
        <v>0.33307875272456527</v>
      </c>
      <c r="Z1478" t="s">
        <v>392</v>
      </c>
      <c r="AA1478">
        <v>140</v>
      </c>
      <c r="AB1478" t="s">
        <v>1869</v>
      </c>
      <c r="AC1478" t="str">
        <f>HYPERLINK("plots/20251231112652_3FT6Y119H04_05543_B21P_N_UFLEX98_M5358A8BA201511/dpll_52084/txpa_54158.png","plot")</f>
        <v>plot</v>
      </c>
    </row>
    <row r="1479" spans="1:29" hidden="1" x14ac:dyDescent="0.35">
      <c r="A1479" t="s">
        <v>47</v>
      </c>
      <c r="B1479">
        <v>52084</v>
      </c>
      <c r="C1479" t="s">
        <v>52</v>
      </c>
      <c r="D1479">
        <v>54159</v>
      </c>
      <c r="E1479" t="s">
        <v>179</v>
      </c>
      <c r="F1479">
        <v>7139</v>
      </c>
      <c r="G1479">
        <v>0.2181876709103075</v>
      </c>
      <c r="H1479">
        <v>1.1029974695702311E-77</v>
      </c>
      <c r="I1479">
        <v>1.4833414245944491E-77</v>
      </c>
      <c r="J1479">
        <v>0.17892335225437181</v>
      </c>
      <c r="K1479">
        <v>1.9732073469850431E-52</v>
      </c>
      <c r="L1479">
        <v>2.4855059004258799E-52</v>
      </c>
      <c r="M1479">
        <v>0.11866306571120661</v>
      </c>
      <c r="N1479">
        <v>4.3683854498864947E-51</v>
      </c>
      <c r="O1479">
        <v>5.4618284169974185E-51</v>
      </c>
      <c r="P1479">
        <v>4.7605859737264659E-2</v>
      </c>
      <c r="Q1479">
        <v>0.71944662321429964</v>
      </c>
      <c r="R1479">
        <v>-11.06923023053224</v>
      </c>
      <c r="S1479">
        <v>0.35471697231382759</v>
      </c>
      <c r="T1479">
        <v>0.28694012973990729</v>
      </c>
      <c r="U1479">
        <v>4.2625965936405663</v>
      </c>
      <c r="V1479">
        <v>0.11023909988438001</v>
      </c>
      <c r="W1479">
        <v>-8.0025195051127618</v>
      </c>
      <c r="X1479">
        <v>0.36349967817661122</v>
      </c>
      <c r="Z1479" t="s">
        <v>392</v>
      </c>
      <c r="AA1479">
        <v>140</v>
      </c>
      <c r="AB1479" t="s">
        <v>1870</v>
      </c>
      <c r="AC1479" t="str">
        <f>HYPERLINK("plots/20251231112652_3FT6Y119H04_05543_B21P_N_UFLEX98_M5358A8BA201511/dpll_52084/txpa_54159.png","plot")</f>
        <v>plot</v>
      </c>
    </row>
    <row r="1480" spans="1:29" hidden="1" x14ac:dyDescent="0.35">
      <c r="A1480" t="s">
        <v>47</v>
      </c>
      <c r="B1480">
        <v>52084</v>
      </c>
      <c r="C1480" t="s">
        <v>52</v>
      </c>
      <c r="D1480">
        <v>54160</v>
      </c>
      <c r="E1480" t="s">
        <v>180</v>
      </c>
      <c r="F1480">
        <v>7139</v>
      </c>
      <c r="G1480">
        <v>0.28136036283132398</v>
      </c>
      <c r="H1480">
        <v>5.1319529330951063E-130</v>
      </c>
      <c r="I1480">
        <v>1.0598371230465251E-129</v>
      </c>
      <c r="J1480">
        <v>0.23984974296562361</v>
      </c>
      <c r="K1480">
        <v>5.9073102003092112E-94</v>
      </c>
      <c r="L1480">
        <v>1.039932733179434E-93</v>
      </c>
      <c r="M1480">
        <v>0.15928639994554011</v>
      </c>
      <c r="N1480">
        <v>1.4366469712795871E-90</v>
      </c>
      <c r="O1480">
        <v>2.520346070722321E-90</v>
      </c>
      <c r="P1480">
        <v>7.9163653772574311E-2</v>
      </c>
      <c r="Q1480">
        <v>0.75837132922771877</v>
      </c>
      <c r="R1480">
        <v>-11.350616834287131</v>
      </c>
      <c r="S1480">
        <v>0.28511197353591122</v>
      </c>
      <c r="T1480">
        <v>0.22681881569459619</v>
      </c>
      <c r="U1480">
        <v>4.2625965936405663</v>
      </c>
      <c r="V1480">
        <v>0.11023909988438001</v>
      </c>
      <c r="W1480">
        <v>-8.1179857896063883</v>
      </c>
      <c r="X1480">
        <v>0.29713557329432427</v>
      </c>
      <c r="Z1480" t="s">
        <v>392</v>
      </c>
      <c r="AA1480">
        <v>140</v>
      </c>
      <c r="AB1480" t="s">
        <v>1871</v>
      </c>
      <c r="AC1480" t="str">
        <f>HYPERLINK("plots/20251231112652_3FT6Y119H04_05543_B21P_N_UFLEX98_M5358A8BA201511/dpll_52084/txpa_54160.png","plot")</f>
        <v>plot</v>
      </c>
    </row>
    <row r="1481" spans="1:29" hidden="1" x14ac:dyDescent="0.35">
      <c r="A1481" t="s">
        <v>47</v>
      </c>
      <c r="B1481">
        <v>52084</v>
      </c>
      <c r="C1481" t="s">
        <v>52</v>
      </c>
      <c r="D1481">
        <v>54161</v>
      </c>
      <c r="E1481" t="s">
        <v>181</v>
      </c>
      <c r="F1481">
        <v>7139</v>
      </c>
      <c r="G1481">
        <v>0.20740283632219569</v>
      </c>
      <c r="H1481">
        <v>3.2768096903394912E-70</v>
      </c>
      <c r="I1481">
        <v>4.2112611229458098E-70</v>
      </c>
      <c r="J1481">
        <v>0.17779244683765921</v>
      </c>
      <c r="K1481">
        <v>8.7830322512949549E-52</v>
      </c>
      <c r="L1481">
        <v>1.094102543343131E-51</v>
      </c>
      <c r="M1481">
        <v>0.11826055831133241</v>
      </c>
      <c r="N1481">
        <v>9.4318097908807224E-51</v>
      </c>
      <c r="O1481">
        <v>1.17636594439767E-50</v>
      </c>
      <c r="P1481">
        <v>4.3015936514491489E-2</v>
      </c>
      <c r="Q1481">
        <v>0.64247984608325004</v>
      </c>
      <c r="R1481">
        <v>-10.81992578916549</v>
      </c>
      <c r="S1481">
        <v>0.33404302643048761</v>
      </c>
      <c r="T1481">
        <v>0.26442600011017181</v>
      </c>
      <c r="U1481">
        <v>4.2625965936405663</v>
      </c>
      <c r="V1481">
        <v>0.11023909988438001</v>
      </c>
      <c r="W1481">
        <v>-8.0812933857683138</v>
      </c>
      <c r="X1481">
        <v>0.34149195441110231</v>
      </c>
      <c r="Z1481" t="s">
        <v>392</v>
      </c>
      <c r="AA1481">
        <v>140</v>
      </c>
      <c r="AB1481" t="s">
        <v>1872</v>
      </c>
      <c r="AC1481" t="str">
        <f>HYPERLINK("plots/20251231112652_3FT6Y119H04_05543_B21P_N_UFLEX98_M5358A8BA201511/dpll_52084/txpa_54161.png","plot")</f>
        <v>plot</v>
      </c>
    </row>
    <row r="1482" spans="1:29" hidden="1" x14ac:dyDescent="0.35">
      <c r="A1482" t="s">
        <v>47</v>
      </c>
      <c r="B1482">
        <v>52084</v>
      </c>
      <c r="C1482" t="s">
        <v>52</v>
      </c>
      <c r="D1482">
        <v>54162</v>
      </c>
      <c r="E1482" t="s">
        <v>182</v>
      </c>
      <c r="F1482">
        <v>7139</v>
      </c>
      <c r="G1482">
        <v>0.16178392917161399</v>
      </c>
      <c r="H1482">
        <v>4.5675844063706103E-43</v>
      </c>
      <c r="I1482">
        <v>5.1576064455008889E-43</v>
      </c>
      <c r="J1482">
        <v>0.1261381540238577</v>
      </c>
      <c r="K1482">
        <v>1.0329356940717399E-26</v>
      </c>
      <c r="L1482">
        <v>1.1002067161646479E-26</v>
      </c>
      <c r="M1482">
        <v>8.3613255441357087E-2</v>
      </c>
      <c r="N1482">
        <v>3.1864969768061392E-26</v>
      </c>
      <c r="O1482">
        <v>3.3940209395813278E-26</v>
      </c>
      <c r="P1482">
        <v>2.6174039738205829E-2</v>
      </c>
      <c r="Q1482">
        <v>0.76826323502014382</v>
      </c>
      <c r="R1482">
        <v>-12.268113240351679</v>
      </c>
      <c r="S1482">
        <v>0.51655977613791926</v>
      </c>
      <c r="T1482">
        <v>0.42664624566711529</v>
      </c>
      <c r="U1482">
        <v>4.2625965936405663</v>
      </c>
      <c r="V1482">
        <v>0.11023909988438001</v>
      </c>
      <c r="W1482">
        <v>-8.9933169917355382</v>
      </c>
      <c r="X1482">
        <v>0.52349233905083337</v>
      </c>
      <c r="Z1482" t="s">
        <v>392</v>
      </c>
      <c r="AA1482">
        <v>140</v>
      </c>
      <c r="AB1482" t="s">
        <v>1873</v>
      </c>
      <c r="AC1482" t="str">
        <f>HYPERLINK("plots/20251231112652_3FT6Y119H04_05543_B21P_N_UFLEX98_M5358A8BA201511/dpll_52084/txpa_54162.png","plot")</f>
        <v>plot</v>
      </c>
    </row>
    <row r="1483" spans="1:29" hidden="1" x14ac:dyDescent="0.35">
      <c r="A1483" t="s">
        <v>47</v>
      </c>
      <c r="B1483">
        <v>52084</v>
      </c>
      <c r="C1483" t="s">
        <v>52</v>
      </c>
      <c r="D1483">
        <v>54163</v>
      </c>
      <c r="E1483" t="s">
        <v>183</v>
      </c>
      <c r="F1483">
        <v>7139</v>
      </c>
      <c r="G1483">
        <v>0.14375720907466391</v>
      </c>
      <c r="H1483">
        <v>2.8259359039475939E-34</v>
      </c>
      <c r="I1483">
        <v>3.058163294133256E-34</v>
      </c>
      <c r="J1483">
        <v>0.10766059811593</v>
      </c>
      <c r="K1483">
        <v>7.412392349303681E-20</v>
      </c>
      <c r="L1483">
        <v>7.5844256732532124E-20</v>
      </c>
      <c r="M1483">
        <v>7.1323073406164769E-2</v>
      </c>
      <c r="N1483">
        <v>1.6106894740233439E-19</v>
      </c>
      <c r="O1483">
        <v>1.64807177261319E-19</v>
      </c>
      <c r="P1483">
        <v>2.0666135160936641E-2</v>
      </c>
      <c r="Q1483">
        <v>0.70731136647027171</v>
      </c>
      <c r="R1483">
        <v>-5.9437159866206759</v>
      </c>
      <c r="S1483">
        <v>0.53672475951059795</v>
      </c>
      <c r="T1483">
        <v>0.44688895319229771</v>
      </c>
      <c r="U1483">
        <v>4.2625965936405663</v>
      </c>
      <c r="V1483">
        <v>0.11023909988438001</v>
      </c>
      <c r="W1483">
        <v>-2.9287329652612408</v>
      </c>
      <c r="X1483">
        <v>0.54239623097563205</v>
      </c>
      <c r="Z1483" t="s">
        <v>392</v>
      </c>
      <c r="AA1483">
        <v>140</v>
      </c>
      <c r="AB1483" t="s">
        <v>1874</v>
      </c>
      <c r="AC1483" t="str">
        <f>HYPERLINK("plots/20251231112652_3FT6Y119H04_05543_B21P_N_UFLEX98_M5358A8BA201511/dpll_52084/txpa_54163.png","plot")</f>
        <v>plot</v>
      </c>
    </row>
    <row r="1484" spans="1:29" hidden="1" x14ac:dyDescent="0.35">
      <c r="A1484" t="s">
        <v>47</v>
      </c>
      <c r="B1484">
        <v>52084</v>
      </c>
      <c r="C1484" t="s">
        <v>52</v>
      </c>
      <c r="D1484">
        <v>54164</v>
      </c>
      <c r="E1484" t="s">
        <v>184</v>
      </c>
      <c r="F1484">
        <v>7139</v>
      </c>
      <c r="G1484">
        <v>0.25554677032322032</v>
      </c>
      <c r="H1484">
        <v>8.0139070198307584E-107</v>
      </c>
      <c r="I1484">
        <v>1.345381079157018E-106</v>
      </c>
      <c r="J1484">
        <v>0.2337885601862221</v>
      </c>
      <c r="K1484">
        <v>3.1330561413431561E-89</v>
      </c>
      <c r="L1484">
        <v>5.3393595417175803E-89</v>
      </c>
      <c r="M1484">
        <v>0.1550598784717801</v>
      </c>
      <c r="N1484">
        <v>6.1722716458938238E-86</v>
      </c>
      <c r="O1484">
        <v>1.0260136801534979E-85</v>
      </c>
      <c r="P1484">
        <v>6.5304151822628692E-2</v>
      </c>
      <c r="Q1484">
        <v>0.77560819271362447</v>
      </c>
      <c r="R1484">
        <v>-5.6946518643538226</v>
      </c>
      <c r="S1484">
        <v>0.32345389662727408</v>
      </c>
      <c r="T1484">
        <v>0.25379405965890212</v>
      </c>
      <c r="U1484">
        <v>4.2625965936405663</v>
      </c>
      <c r="V1484">
        <v>0.11023909988438001</v>
      </c>
      <c r="W1484">
        <v>-2.3885470240930111</v>
      </c>
      <c r="X1484">
        <v>0.33458591129739501</v>
      </c>
      <c r="Z1484" t="s">
        <v>392</v>
      </c>
      <c r="AA1484">
        <v>140</v>
      </c>
      <c r="AB1484" t="s">
        <v>1875</v>
      </c>
      <c r="AC1484" t="str">
        <f>HYPERLINK("plots/20251231112652_3FT6Y119H04_05543_B21P_N_UFLEX98_M5358A8BA201511/dpll_52084/txpa_54164.png","plot")</f>
        <v>plot</v>
      </c>
    </row>
    <row r="1485" spans="1:29" hidden="1" x14ac:dyDescent="0.35">
      <c r="A1485" t="s">
        <v>47</v>
      </c>
      <c r="B1485">
        <v>52084</v>
      </c>
      <c r="C1485" t="s">
        <v>52</v>
      </c>
      <c r="D1485">
        <v>54165</v>
      </c>
      <c r="E1485" t="s">
        <v>185</v>
      </c>
      <c r="F1485">
        <v>7139</v>
      </c>
      <c r="G1485">
        <v>0.19808230936945581</v>
      </c>
      <c r="H1485">
        <v>4.4019529873903227E-64</v>
      </c>
      <c r="I1485">
        <v>5.4767856800169162E-64</v>
      </c>
      <c r="J1485">
        <v>0.17054964885563589</v>
      </c>
      <c r="K1485">
        <v>9.8622289662109155E-48</v>
      </c>
      <c r="L1485">
        <v>1.197640739130284E-47</v>
      </c>
      <c r="M1485">
        <v>0.11380069527693221</v>
      </c>
      <c r="N1485">
        <v>3.9267232485248722E-47</v>
      </c>
      <c r="O1485">
        <v>4.7799488283363992E-47</v>
      </c>
      <c r="P1485">
        <v>3.9236601285136799E-2</v>
      </c>
      <c r="Q1485">
        <v>0.6938366040463444</v>
      </c>
      <c r="R1485">
        <v>-5.0031556285062058</v>
      </c>
      <c r="S1485">
        <v>0.37846435399496459</v>
      </c>
      <c r="T1485">
        <v>0.30677355691205249</v>
      </c>
      <c r="U1485">
        <v>4.2625965936405663</v>
      </c>
      <c r="V1485">
        <v>0.11023909988438001</v>
      </c>
      <c r="W1485">
        <v>-2.0456100835551201</v>
      </c>
      <c r="X1485">
        <v>0.38614211910383978</v>
      </c>
      <c r="Z1485" t="s">
        <v>392</v>
      </c>
      <c r="AA1485">
        <v>140</v>
      </c>
      <c r="AB1485" t="s">
        <v>1876</v>
      </c>
      <c r="AC1485" t="str">
        <f>HYPERLINK("plots/20251231112652_3FT6Y119H04_05543_B21P_N_UFLEX98_M5358A8BA201511/dpll_52084/txpa_54165.png","plot")</f>
        <v>plot</v>
      </c>
    </row>
    <row r="1486" spans="1:29" hidden="1" x14ac:dyDescent="0.35">
      <c r="A1486" t="s">
        <v>47</v>
      </c>
      <c r="B1486">
        <v>52084</v>
      </c>
      <c r="C1486" t="s">
        <v>52</v>
      </c>
      <c r="D1486">
        <v>54166</v>
      </c>
      <c r="E1486" t="s">
        <v>186</v>
      </c>
      <c r="F1486">
        <v>7139</v>
      </c>
      <c r="G1486">
        <v>0.28580276580390851</v>
      </c>
      <c r="H1486">
        <v>2.8656660309096458E-134</v>
      </c>
      <c r="I1486">
        <v>6.1174428533523801E-134</v>
      </c>
      <c r="J1486">
        <v>0.25594380180054499</v>
      </c>
      <c r="K1486">
        <v>3.6848643411931008E-107</v>
      </c>
      <c r="L1486">
        <v>7.269362727567714E-107</v>
      </c>
      <c r="M1486">
        <v>0.17109108109597479</v>
      </c>
      <c r="N1486">
        <v>3.3202894623340863E-104</v>
      </c>
      <c r="O1486">
        <v>6.5501430249158821E-104</v>
      </c>
      <c r="P1486">
        <v>8.1683220941163745E-2</v>
      </c>
      <c r="Q1486">
        <v>0.82552115267808102</v>
      </c>
      <c r="R1486">
        <v>-5.9114691252986562</v>
      </c>
      <c r="S1486">
        <v>0.30511480248440348</v>
      </c>
      <c r="T1486">
        <v>0.243191323912019</v>
      </c>
      <c r="U1486">
        <v>4.2625965936405663</v>
      </c>
      <c r="V1486">
        <v>0.11023909988438001</v>
      </c>
      <c r="W1486">
        <v>-2.392605471914834</v>
      </c>
      <c r="X1486">
        <v>0.31841787307680081</v>
      </c>
      <c r="Z1486" t="s">
        <v>392</v>
      </c>
      <c r="AA1486">
        <v>140</v>
      </c>
      <c r="AB1486" t="s">
        <v>1877</v>
      </c>
      <c r="AC1486" t="str">
        <f>HYPERLINK("plots/20251231112652_3FT6Y119H04_05543_B21P_N_UFLEX98_M5358A8BA201511/dpll_52084/txpa_54166.png","plot")</f>
        <v>plot</v>
      </c>
    </row>
    <row r="1487" spans="1:29" hidden="1" x14ac:dyDescent="0.35">
      <c r="A1487" t="s">
        <v>47</v>
      </c>
      <c r="B1487">
        <v>52084</v>
      </c>
      <c r="C1487" t="s">
        <v>52</v>
      </c>
      <c r="D1487">
        <v>54167</v>
      </c>
      <c r="E1487" t="s">
        <v>187</v>
      </c>
      <c r="F1487">
        <v>7139</v>
      </c>
      <c r="G1487">
        <v>0.22149630881151461</v>
      </c>
      <c r="H1487">
        <v>4.6453770243691532E-80</v>
      </c>
      <c r="I1487">
        <v>6.3397204612521148E-80</v>
      </c>
      <c r="J1487">
        <v>0.1814867297201721</v>
      </c>
      <c r="K1487">
        <v>6.4446233096188624E-54</v>
      </c>
      <c r="L1487">
        <v>8.1481895710143724E-54</v>
      </c>
      <c r="M1487">
        <v>0.12048100797012749</v>
      </c>
      <c r="N1487">
        <v>1.2996083627631329E-52</v>
      </c>
      <c r="O1487">
        <v>1.6410994767644039E-52</v>
      </c>
      <c r="P1487">
        <v>4.9060614817125862E-2</v>
      </c>
      <c r="Q1487">
        <v>0.7063696397868251</v>
      </c>
      <c r="R1487">
        <v>-5.1573234873625911</v>
      </c>
      <c r="S1487">
        <v>0.34280503208312801</v>
      </c>
      <c r="T1487">
        <v>0.27802349087022732</v>
      </c>
      <c r="U1487">
        <v>4.2625965936405663</v>
      </c>
      <c r="V1487">
        <v>0.11023909988438001</v>
      </c>
      <c r="W1487">
        <v>-2.1463546669561562</v>
      </c>
      <c r="X1487">
        <v>0.35156140386076379</v>
      </c>
      <c r="Z1487" t="s">
        <v>392</v>
      </c>
      <c r="AA1487">
        <v>140</v>
      </c>
      <c r="AB1487" t="s">
        <v>1878</v>
      </c>
      <c r="AC1487" t="str">
        <f>HYPERLINK("plots/20251231112652_3FT6Y119H04_05543_B21P_N_UFLEX98_M5358A8BA201511/dpll_52084/txpa_54167.png","plot")</f>
        <v>plot</v>
      </c>
    </row>
    <row r="1488" spans="1:29" hidden="1" x14ac:dyDescent="0.35">
      <c r="A1488" t="s">
        <v>47</v>
      </c>
      <c r="B1488">
        <v>52084</v>
      </c>
      <c r="C1488" t="s">
        <v>52</v>
      </c>
      <c r="D1488">
        <v>54168</v>
      </c>
      <c r="E1488" t="s">
        <v>188</v>
      </c>
      <c r="F1488">
        <v>7139</v>
      </c>
      <c r="G1488">
        <v>0.29355801778201013</v>
      </c>
      <c r="H1488">
        <v>6.9879500667715814E-142</v>
      </c>
      <c r="I1488">
        <v>1.614073204488926E-141</v>
      </c>
      <c r="J1488">
        <v>0.25373070387818247</v>
      </c>
      <c r="K1488">
        <v>2.7521855156052049E-105</v>
      </c>
      <c r="L1488">
        <v>5.3359772711733793E-105</v>
      </c>
      <c r="M1488">
        <v>0.1687656564510894</v>
      </c>
      <c r="N1488">
        <v>1.9170094640974799E-101</v>
      </c>
      <c r="O1488">
        <v>3.6885153635575799E-101</v>
      </c>
      <c r="P1488">
        <v>8.6176309804102971E-2</v>
      </c>
      <c r="Q1488">
        <v>0.75887395035905292</v>
      </c>
      <c r="R1488">
        <v>-5.4862277990360049</v>
      </c>
      <c r="S1488">
        <v>0.27240316190919611</v>
      </c>
      <c r="T1488">
        <v>0.21694073632055411</v>
      </c>
      <c r="U1488">
        <v>4.2625965936405663</v>
      </c>
      <c r="V1488">
        <v>0.11023909988438001</v>
      </c>
      <c r="W1488">
        <v>-2.2514542832329458</v>
      </c>
      <c r="X1488">
        <v>0.28497801506279419</v>
      </c>
      <c r="Z1488" t="s">
        <v>392</v>
      </c>
      <c r="AA1488">
        <v>140</v>
      </c>
      <c r="AB1488" t="s">
        <v>1879</v>
      </c>
      <c r="AC1488" t="str">
        <f>HYPERLINK("plots/20251231112652_3FT6Y119H04_05543_B21P_N_UFLEX98_M5358A8BA201511/dpll_52084/txpa_54168.png","plot")</f>
        <v>plot</v>
      </c>
    </row>
    <row r="1489" spans="1:29" hidden="1" x14ac:dyDescent="0.35">
      <c r="A1489" t="s">
        <v>47</v>
      </c>
      <c r="B1489">
        <v>52084</v>
      </c>
      <c r="C1489" t="s">
        <v>52</v>
      </c>
      <c r="D1489">
        <v>54169</v>
      </c>
      <c r="E1489" t="s">
        <v>189</v>
      </c>
      <c r="F1489">
        <v>7139</v>
      </c>
      <c r="G1489">
        <v>0.21332894933116139</v>
      </c>
      <c r="H1489">
        <v>2.8857772981151879E-74</v>
      </c>
      <c r="I1489">
        <v>3.7854827688082802E-74</v>
      </c>
      <c r="J1489">
        <v>0.1848792468237879</v>
      </c>
      <c r="K1489">
        <v>6.4284667302933686E-56</v>
      </c>
      <c r="L1489">
        <v>8.2721640412658324E-56</v>
      </c>
      <c r="M1489">
        <v>0.1231231555514726</v>
      </c>
      <c r="N1489">
        <v>7.2603671961654727E-55</v>
      </c>
      <c r="O1489">
        <v>9.3308141152240683E-55</v>
      </c>
      <c r="P1489">
        <v>4.5509240622737243E-2</v>
      </c>
      <c r="Q1489">
        <v>0.63982928612314693</v>
      </c>
      <c r="R1489">
        <v>-4.9489555374170164</v>
      </c>
      <c r="S1489">
        <v>0.32300215784604042</v>
      </c>
      <c r="T1489">
        <v>0.25542979981200892</v>
      </c>
      <c r="U1489">
        <v>4.2625965936405663</v>
      </c>
      <c r="V1489">
        <v>0.11023909988438001</v>
      </c>
      <c r="W1489">
        <v>-2.2216214018770142</v>
      </c>
      <c r="X1489">
        <v>0.33063587854823828</v>
      </c>
      <c r="Z1489" t="s">
        <v>392</v>
      </c>
      <c r="AA1489">
        <v>140</v>
      </c>
      <c r="AB1489" t="s">
        <v>1880</v>
      </c>
      <c r="AC1489" t="str">
        <f>HYPERLINK("plots/20251231112652_3FT6Y119H04_05543_B21P_N_UFLEX98_M5358A8BA201511/dpll_52084/txpa_54169.png","plot")</f>
        <v>plot</v>
      </c>
    </row>
    <row r="1490" spans="1:29" hidden="1" x14ac:dyDescent="0.35">
      <c r="A1490" t="s">
        <v>47</v>
      </c>
      <c r="B1490">
        <v>52084</v>
      </c>
      <c r="C1490" t="s">
        <v>52</v>
      </c>
      <c r="D1490">
        <v>54170</v>
      </c>
      <c r="E1490" t="s">
        <v>190</v>
      </c>
      <c r="F1490">
        <v>7139</v>
      </c>
      <c r="G1490">
        <v>0.1606526571413831</v>
      </c>
      <c r="H1490">
        <v>1.7502109810839141E-42</v>
      </c>
      <c r="I1490">
        <v>1.965353194705525E-42</v>
      </c>
      <c r="J1490">
        <v>0.12656498978608799</v>
      </c>
      <c r="K1490">
        <v>6.9623418643674584E-27</v>
      </c>
      <c r="L1490">
        <v>7.4470618675829138E-27</v>
      </c>
      <c r="M1490">
        <v>8.4080887248446382E-2</v>
      </c>
      <c r="N1490">
        <v>1.680531641130142E-26</v>
      </c>
      <c r="O1490">
        <v>1.7994288110939429E-26</v>
      </c>
      <c r="P1490">
        <v>2.5809276246586792E-2</v>
      </c>
      <c r="Q1490">
        <v>0.75590214324109906</v>
      </c>
      <c r="R1490">
        <v>-6.2877552274214317</v>
      </c>
      <c r="S1490">
        <v>0.51192330144184606</v>
      </c>
      <c r="T1490">
        <v>0.42640467677532301</v>
      </c>
      <c r="U1490">
        <v>4.2625965936405663</v>
      </c>
      <c r="V1490">
        <v>0.11023909988438001</v>
      </c>
      <c r="W1490">
        <v>-3.0656493265163189</v>
      </c>
      <c r="X1490">
        <v>0.51869650558121527</v>
      </c>
      <c r="Z1490" t="s">
        <v>392</v>
      </c>
      <c r="AA1490">
        <v>140</v>
      </c>
      <c r="AB1490" t="s">
        <v>1881</v>
      </c>
      <c r="AC1490" t="str">
        <f>HYPERLINK("plots/20251231112652_3FT6Y119H04_05543_B21P_N_UFLEX98_M5358A8BA201511/dpll_52084/txpa_54170.png","plot")</f>
        <v>plot</v>
      </c>
    </row>
    <row r="1491" spans="1:29" hidden="1" x14ac:dyDescent="0.35">
      <c r="A1491" t="s">
        <v>47</v>
      </c>
      <c r="B1491">
        <v>52084</v>
      </c>
      <c r="C1491" t="s">
        <v>52</v>
      </c>
      <c r="D1491">
        <v>54171</v>
      </c>
      <c r="E1491" t="s">
        <v>191</v>
      </c>
      <c r="F1491">
        <v>7139</v>
      </c>
      <c r="G1491">
        <v>0.14910096492114511</v>
      </c>
      <c r="H1491">
        <v>9.0574050747066901E-37</v>
      </c>
      <c r="I1491">
        <v>9.9503886736214353E-37</v>
      </c>
      <c r="J1491">
        <v>0.1129726571408262</v>
      </c>
      <c r="K1491">
        <v>1.0250378138193059E-21</v>
      </c>
      <c r="L1491">
        <v>1.0737482884429501E-21</v>
      </c>
      <c r="M1491">
        <v>7.4873017053140201E-2</v>
      </c>
      <c r="N1491">
        <v>2.381837996978114E-21</v>
      </c>
      <c r="O1491">
        <v>2.4924496686644041E-21</v>
      </c>
      <c r="P1491">
        <v>2.2231097740416549E-2</v>
      </c>
      <c r="Q1491">
        <v>0.70808404138508374</v>
      </c>
      <c r="R1491">
        <v>-2.96299285116319</v>
      </c>
      <c r="S1491">
        <v>0.51763984922034156</v>
      </c>
      <c r="T1491">
        <v>0.43196694159226001</v>
      </c>
      <c r="U1491">
        <v>4.2625965936405663</v>
      </c>
      <c r="V1491">
        <v>0.11023909988438001</v>
      </c>
      <c r="W1491">
        <v>5.5283771656114297E-2</v>
      </c>
      <c r="X1491">
        <v>0.52352811670983157</v>
      </c>
      <c r="Z1491" t="s">
        <v>392</v>
      </c>
      <c r="AA1491">
        <v>140</v>
      </c>
      <c r="AB1491" t="s">
        <v>1882</v>
      </c>
      <c r="AC1491" t="str">
        <f>HYPERLINK("plots/20251231112652_3FT6Y119H04_05543_B21P_N_UFLEX98_M5358A8BA201511/dpll_52084/txpa_54171.png","plot")</f>
        <v>plot</v>
      </c>
    </row>
    <row r="1492" spans="1:29" hidden="1" x14ac:dyDescent="0.35">
      <c r="A1492" t="s">
        <v>47</v>
      </c>
      <c r="B1492">
        <v>52084</v>
      </c>
      <c r="C1492" t="s">
        <v>52</v>
      </c>
      <c r="D1492">
        <v>54172</v>
      </c>
      <c r="E1492" t="s">
        <v>192</v>
      </c>
      <c r="F1492">
        <v>7139</v>
      </c>
      <c r="G1492">
        <v>0.27057495624374822</v>
      </c>
      <c r="H1492">
        <v>5.1721606448924379E-120</v>
      </c>
      <c r="I1492">
        <v>9.6942160700941437E-120</v>
      </c>
      <c r="J1492">
        <v>0.25049949604052452</v>
      </c>
      <c r="K1492">
        <v>1.38557618502502E-102</v>
      </c>
      <c r="L1492">
        <v>2.6409290443897932E-102</v>
      </c>
      <c r="M1492">
        <v>0.16655894183167691</v>
      </c>
      <c r="N1492">
        <v>7.3347220533690414E-99</v>
      </c>
      <c r="O1492">
        <v>1.377297807799298E-98</v>
      </c>
      <c r="P1492">
        <v>7.3210806946306231E-2</v>
      </c>
      <c r="Q1492">
        <v>0.78452988746036934</v>
      </c>
      <c r="R1492">
        <v>-2.7788233115576841</v>
      </c>
      <c r="S1492">
        <v>0.30769299992796539</v>
      </c>
      <c r="T1492">
        <v>0.24135290670393619</v>
      </c>
      <c r="U1492">
        <v>4.2625965936405663</v>
      </c>
      <c r="V1492">
        <v>0.11023909988438001</v>
      </c>
      <c r="W1492">
        <v>0.56531111434010362</v>
      </c>
      <c r="X1492">
        <v>0.31963737452520952</v>
      </c>
      <c r="Z1492" t="s">
        <v>392</v>
      </c>
      <c r="AA1492">
        <v>140</v>
      </c>
      <c r="AB1492" t="s">
        <v>1883</v>
      </c>
      <c r="AC1492" t="str">
        <f>HYPERLINK("plots/20251231112652_3FT6Y119H04_05543_B21P_N_UFLEX98_M5358A8BA201511/dpll_52084/txpa_54172.png","plot")</f>
        <v>plot</v>
      </c>
    </row>
    <row r="1493" spans="1:29" hidden="1" x14ac:dyDescent="0.35">
      <c r="A1493" t="s">
        <v>47</v>
      </c>
      <c r="B1493">
        <v>52084</v>
      </c>
      <c r="C1493" t="s">
        <v>52</v>
      </c>
      <c r="D1493">
        <v>54173</v>
      </c>
      <c r="E1493" t="s">
        <v>193</v>
      </c>
      <c r="F1493">
        <v>7139</v>
      </c>
      <c r="G1493">
        <v>0.21077658046379619</v>
      </c>
      <c r="H1493">
        <v>1.6674181912605E-72</v>
      </c>
      <c r="I1493">
        <v>2.1676436486386501E-72</v>
      </c>
      <c r="J1493">
        <v>0.183618938401022</v>
      </c>
      <c r="K1493">
        <v>3.5983034234485212E-55</v>
      </c>
      <c r="L1493">
        <v>4.5895341778324528E-55</v>
      </c>
      <c r="M1493">
        <v>0.1226921760740506</v>
      </c>
      <c r="N1493">
        <v>1.699877694105238E-54</v>
      </c>
      <c r="O1493">
        <v>2.1791099643776379E-54</v>
      </c>
      <c r="P1493">
        <v>4.4426766872011157E-2</v>
      </c>
      <c r="Q1493">
        <v>0.70416263000469315</v>
      </c>
      <c r="R1493">
        <v>-2.1227350490118591</v>
      </c>
      <c r="S1493">
        <v>0.35998785259985649</v>
      </c>
      <c r="T1493">
        <v>0.29171050007438099</v>
      </c>
      <c r="U1493">
        <v>4.2625965936405663</v>
      </c>
      <c r="V1493">
        <v>0.11023909988438001</v>
      </c>
      <c r="W1493">
        <v>0.87882617901512805</v>
      </c>
      <c r="X1493">
        <v>0.36828690518237378</v>
      </c>
      <c r="Z1493" t="s">
        <v>392</v>
      </c>
      <c r="AA1493">
        <v>140</v>
      </c>
      <c r="AB1493" t="s">
        <v>1884</v>
      </c>
      <c r="AC1493" t="str">
        <f>HYPERLINK("plots/20251231112652_3FT6Y119H04_05543_B21P_N_UFLEX98_M5358A8BA201511/dpll_52084/txpa_54173.png","plot")</f>
        <v>plot</v>
      </c>
    </row>
    <row r="1494" spans="1:29" hidden="1" x14ac:dyDescent="0.35">
      <c r="A1494" t="s">
        <v>47</v>
      </c>
      <c r="B1494">
        <v>52084</v>
      </c>
      <c r="C1494" t="s">
        <v>52</v>
      </c>
      <c r="D1494">
        <v>54174</v>
      </c>
      <c r="E1494" t="s">
        <v>194</v>
      </c>
      <c r="F1494">
        <v>7139</v>
      </c>
      <c r="G1494">
        <v>0.30009043237864602</v>
      </c>
      <c r="H1494">
        <v>1.7542333151970699E-148</v>
      </c>
      <c r="I1494">
        <v>4.3385184917312908E-148</v>
      </c>
      <c r="J1494">
        <v>0.2721879355581745</v>
      </c>
      <c r="K1494">
        <v>1.763813561432568E-121</v>
      </c>
      <c r="L1494">
        <v>3.8628659855132249E-121</v>
      </c>
      <c r="M1494">
        <v>0.18228390460686689</v>
      </c>
      <c r="N1494">
        <v>5.0499508564809569E-118</v>
      </c>
      <c r="O1494">
        <v>1.1107701016207569E-117</v>
      </c>
      <c r="P1494">
        <v>9.0054267605202687E-2</v>
      </c>
      <c r="Q1494">
        <v>0.82713818966238017</v>
      </c>
      <c r="R1494">
        <v>-2.9624189777237659</v>
      </c>
      <c r="S1494">
        <v>0.28982704530544601</v>
      </c>
      <c r="T1494">
        <v>0.23079247560411709</v>
      </c>
      <c r="U1494">
        <v>4.2625965936405663</v>
      </c>
      <c r="V1494">
        <v>0.11023909988438001</v>
      </c>
      <c r="W1494">
        <v>0.56333745200112062</v>
      </c>
      <c r="X1494">
        <v>0.30385163827323969</v>
      </c>
      <c r="Z1494" t="s">
        <v>392</v>
      </c>
      <c r="AA1494">
        <v>140</v>
      </c>
      <c r="AB1494" t="s">
        <v>1885</v>
      </c>
      <c r="AC1494" t="str">
        <f>HYPERLINK("plots/20251231112652_3FT6Y119H04_05543_B21P_N_UFLEX98_M5358A8BA201511/dpll_52084/txpa_54174.png","plot")</f>
        <v>plot</v>
      </c>
    </row>
    <row r="1495" spans="1:29" hidden="1" x14ac:dyDescent="0.35">
      <c r="A1495" t="s">
        <v>47</v>
      </c>
      <c r="B1495">
        <v>52084</v>
      </c>
      <c r="C1495" t="s">
        <v>52</v>
      </c>
      <c r="D1495">
        <v>54175</v>
      </c>
      <c r="E1495" t="s">
        <v>195</v>
      </c>
      <c r="F1495">
        <v>7139</v>
      </c>
      <c r="G1495">
        <v>0.23419593603576469</v>
      </c>
      <c r="H1495">
        <v>1.522800822612326E-89</v>
      </c>
      <c r="I1495">
        <v>2.2443605147222371E-89</v>
      </c>
      <c r="J1495">
        <v>0.19534753186243911</v>
      </c>
      <c r="K1495">
        <v>2.4223784310953641E-62</v>
      </c>
      <c r="L1495">
        <v>3.2706947125575222E-62</v>
      </c>
      <c r="M1495">
        <v>0.1299201332209374</v>
      </c>
      <c r="N1495">
        <v>6.9299856418966855E-61</v>
      </c>
      <c r="O1495">
        <v>9.2949807419090454E-61</v>
      </c>
      <c r="P1495">
        <v>5.4847736455667977E-2</v>
      </c>
      <c r="Q1495">
        <v>0.71310190767770931</v>
      </c>
      <c r="R1495">
        <v>-2.24939634291351</v>
      </c>
      <c r="S1495">
        <v>0.32630848915879812</v>
      </c>
      <c r="T1495">
        <v>0.2645766153768741</v>
      </c>
      <c r="U1495">
        <v>4.2625965936405663</v>
      </c>
      <c r="V1495">
        <v>0.11023909988438001</v>
      </c>
      <c r="W1495">
        <v>0.79026941967208297</v>
      </c>
      <c r="X1495">
        <v>0.33566642427228088</v>
      </c>
      <c r="Z1495" t="s">
        <v>392</v>
      </c>
      <c r="AA1495">
        <v>140</v>
      </c>
      <c r="AB1495" t="s">
        <v>1886</v>
      </c>
      <c r="AC1495" t="str">
        <f>HYPERLINK("plots/20251231112652_3FT6Y119H04_05543_B21P_N_UFLEX98_M5358A8BA201511/dpll_52084/txpa_54175.png","plot")</f>
        <v>plot</v>
      </c>
    </row>
    <row r="1496" spans="1:29" hidden="1" x14ac:dyDescent="0.35">
      <c r="A1496" t="s">
        <v>47</v>
      </c>
      <c r="B1496">
        <v>52084</v>
      </c>
      <c r="C1496" t="s">
        <v>52</v>
      </c>
      <c r="D1496">
        <v>54176</v>
      </c>
      <c r="E1496" t="s">
        <v>196</v>
      </c>
      <c r="F1496">
        <v>7139</v>
      </c>
      <c r="G1496">
        <v>0.31047329846286692</v>
      </c>
      <c r="H1496">
        <v>2.480742570860666E-159</v>
      </c>
      <c r="I1496">
        <v>6.816999910169959E-159</v>
      </c>
      <c r="J1496">
        <v>0.27280820712854043</v>
      </c>
      <c r="K1496">
        <v>4.7813337825664058E-122</v>
      </c>
      <c r="L1496">
        <v>1.0608911281230491E-121</v>
      </c>
      <c r="M1496">
        <v>0.18188747040107089</v>
      </c>
      <c r="N1496">
        <v>1.6145047942051639E-117</v>
      </c>
      <c r="O1496">
        <v>3.5131069985494343E-117</v>
      </c>
      <c r="P1496">
        <v>9.6393669058412443E-2</v>
      </c>
      <c r="Q1496">
        <v>0.7655826902271291</v>
      </c>
      <c r="R1496">
        <v>-2.573148760856367</v>
      </c>
      <c r="S1496">
        <v>0.25838227736221331</v>
      </c>
      <c r="T1496">
        <v>0.2056369090277759</v>
      </c>
      <c r="U1496">
        <v>4.2625965936405663</v>
      </c>
      <c r="V1496">
        <v>0.11023909988438001</v>
      </c>
      <c r="W1496">
        <v>0.69022140665597431</v>
      </c>
      <c r="X1496">
        <v>0.27183383265338967</v>
      </c>
      <c r="Z1496" t="s">
        <v>392</v>
      </c>
      <c r="AA1496">
        <v>140</v>
      </c>
      <c r="AB1496" t="s">
        <v>1887</v>
      </c>
      <c r="AC1496" t="str">
        <f>HYPERLINK("plots/20251231112652_3FT6Y119H04_05543_B21P_N_UFLEX98_M5358A8BA201511/dpll_52084/txpa_54176.png","plot")</f>
        <v>plot</v>
      </c>
    </row>
    <row r="1497" spans="1:29" hidden="1" x14ac:dyDescent="0.35">
      <c r="A1497" t="s">
        <v>47</v>
      </c>
      <c r="B1497">
        <v>52084</v>
      </c>
      <c r="C1497" t="s">
        <v>52</v>
      </c>
      <c r="D1497">
        <v>54177</v>
      </c>
      <c r="E1497" t="s">
        <v>197</v>
      </c>
      <c r="F1497">
        <v>7139</v>
      </c>
      <c r="G1497">
        <v>0.2265066191083733</v>
      </c>
      <c r="H1497">
        <v>9.8827142651719689E-84</v>
      </c>
      <c r="I1497">
        <v>1.3860404239120851E-83</v>
      </c>
      <c r="J1497">
        <v>0.1990422912909601</v>
      </c>
      <c r="K1497">
        <v>1.0628776106405751E-64</v>
      </c>
      <c r="L1497">
        <v>1.4643449690075309E-64</v>
      </c>
      <c r="M1497">
        <v>0.13276623827056469</v>
      </c>
      <c r="N1497">
        <v>1.6799156286071039E-63</v>
      </c>
      <c r="O1497">
        <v>2.3050533794419529E-63</v>
      </c>
      <c r="P1497">
        <v>5.1305248499905691E-2</v>
      </c>
      <c r="Q1497">
        <v>0.65076572708197444</v>
      </c>
      <c r="R1497">
        <v>-2.0581602846591269</v>
      </c>
      <c r="S1497">
        <v>0.30846952384269222</v>
      </c>
      <c r="T1497">
        <v>0.24395182796082349</v>
      </c>
      <c r="U1497">
        <v>4.2625965936405663</v>
      </c>
      <c r="V1497">
        <v>0.11023909988438001</v>
      </c>
      <c r="W1497">
        <v>0.71579148685852367</v>
      </c>
      <c r="X1497">
        <v>0.31672287667141708</v>
      </c>
      <c r="Z1497" t="s">
        <v>392</v>
      </c>
      <c r="AA1497">
        <v>140</v>
      </c>
      <c r="AB1497" t="s">
        <v>1888</v>
      </c>
      <c r="AC1497" t="str">
        <f>HYPERLINK("plots/20251231112652_3FT6Y119H04_05543_B21P_N_UFLEX98_M5358A8BA201511/dpll_52084/txpa_54177.png","plot")</f>
        <v>plot</v>
      </c>
    </row>
    <row r="1498" spans="1:29" hidden="1" x14ac:dyDescent="0.35">
      <c r="A1498" t="s">
        <v>47</v>
      </c>
      <c r="B1498">
        <v>52084</v>
      </c>
      <c r="C1498" t="s">
        <v>52</v>
      </c>
      <c r="D1498">
        <v>54178</v>
      </c>
      <c r="E1498" t="s">
        <v>198</v>
      </c>
      <c r="F1498">
        <v>7139</v>
      </c>
      <c r="G1498">
        <v>0.16660999664515061</v>
      </c>
      <c r="H1498">
        <v>1.3268121233629231E-45</v>
      </c>
      <c r="I1498">
        <v>1.5150760057319861E-45</v>
      </c>
      <c r="J1498">
        <v>0.1321647049963984</v>
      </c>
      <c r="K1498">
        <v>3.4728102572176021E-29</v>
      </c>
      <c r="L1498">
        <v>3.7622111119857351E-29</v>
      </c>
      <c r="M1498">
        <v>8.7899111286114523E-2</v>
      </c>
      <c r="N1498">
        <v>8.2588995501429527E-29</v>
      </c>
      <c r="O1498">
        <v>8.947141179321531E-29</v>
      </c>
      <c r="P1498">
        <v>2.775889098209711E-2</v>
      </c>
      <c r="Q1498">
        <v>0.7569515902204641</v>
      </c>
      <c r="R1498">
        <v>-3.2945421711758418</v>
      </c>
      <c r="S1498">
        <v>0.49380931673525158</v>
      </c>
      <c r="T1498">
        <v>0.41264162272630811</v>
      </c>
      <c r="U1498">
        <v>4.2625965936405663</v>
      </c>
      <c r="V1498">
        <v>0.11023909988438001</v>
      </c>
      <c r="W1498">
        <v>-6.7962901151281688E-2</v>
      </c>
      <c r="X1498">
        <v>0.50084426890469447</v>
      </c>
      <c r="Z1498" t="s">
        <v>392</v>
      </c>
      <c r="AA1498">
        <v>140</v>
      </c>
      <c r="AB1498" t="s">
        <v>1889</v>
      </c>
      <c r="AC1498" t="str">
        <f>HYPERLINK("plots/20251231112652_3FT6Y119H04_05543_B21P_N_UFLEX98_M5358A8BA201511/dpll_52084/txpa_54178.png","plot")</f>
        <v>plot</v>
      </c>
    </row>
    <row r="1499" spans="1:29" hidden="1" x14ac:dyDescent="0.35">
      <c r="A1499" t="s">
        <v>47</v>
      </c>
      <c r="B1499">
        <v>52084</v>
      </c>
      <c r="C1499" t="s">
        <v>52</v>
      </c>
      <c r="D1499">
        <v>54179</v>
      </c>
      <c r="E1499" t="s">
        <v>199</v>
      </c>
      <c r="F1499">
        <v>7139</v>
      </c>
      <c r="G1499">
        <v>0.16272422967904729</v>
      </c>
      <c r="H1499">
        <v>1.4842846982255009E-43</v>
      </c>
      <c r="I1499">
        <v>1.6797596919650201E-43</v>
      </c>
      <c r="J1499">
        <v>0.12692936096541449</v>
      </c>
      <c r="K1499">
        <v>4.9664209216505762E-27</v>
      </c>
      <c r="L1499">
        <v>5.3346936594848349E-27</v>
      </c>
      <c r="M1499">
        <v>8.4284444374065418E-2</v>
      </c>
      <c r="N1499">
        <v>1.271711077324819E-26</v>
      </c>
      <c r="O1499">
        <v>1.3674602676642279E-26</v>
      </c>
      <c r="P1499">
        <v>2.6479174924639349E-2</v>
      </c>
      <c r="Q1499">
        <v>0.71263463013301531</v>
      </c>
      <c r="R1499">
        <v>0.4270036465851943</v>
      </c>
      <c r="S1499">
        <v>0.47631313831028732</v>
      </c>
      <c r="T1499">
        <v>0.39807949999525571</v>
      </c>
      <c r="U1499">
        <v>4.2625965936405663</v>
      </c>
      <c r="V1499">
        <v>0.11023909988438001</v>
      </c>
      <c r="W1499">
        <v>3.4646775935004901</v>
      </c>
      <c r="X1499">
        <v>0.48278120798145202</v>
      </c>
      <c r="Z1499" t="s">
        <v>392</v>
      </c>
      <c r="AA1499">
        <v>140</v>
      </c>
      <c r="AB1499" t="s">
        <v>1890</v>
      </c>
      <c r="AC1499" t="str">
        <f>HYPERLINK("plots/20251231112652_3FT6Y119H04_05543_B21P_N_UFLEX98_M5358A8BA201511/dpll_52084/txpa_54179.png","plot")</f>
        <v>plot</v>
      </c>
    </row>
    <row r="1500" spans="1:29" hidden="1" x14ac:dyDescent="0.35">
      <c r="A1500" t="s">
        <v>47</v>
      </c>
      <c r="B1500">
        <v>52084</v>
      </c>
      <c r="C1500" t="s">
        <v>52</v>
      </c>
      <c r="D1500">
        <v>54180</v>
      </c>
      <c r="E1500" t="s">
        <v>200</v>
      </c>
      <c r="F1500">
        <v>7139</v>
      </c>
      <c r="G1500">
        <v>0.29615405138533413</v>
      </c>
      <c r="H1500">
        <v>1.7459943388815571E-144</v>
      </c>
      <c r="I1500">
        <v>4.1755619330799479E-144</v>
      </c>
      <c r="J1500">
        <v>0.27898681713089613</v>
      </c>
      <c r="K1500">
        <v>8.928075751010396E-128</v>
      </c>
      <c r="L1500">
        <v>2.0956177804454959E-127</v>
      </c>
      <c r="M1500">
        <v>0.18616407934242071</v>
      </c>
      <c r="N1500">
        <v>5.1145425318736552E-123</v>
      </c>
      <c r="O1500">
        <v>1.168050929576551E-122</v>
      </c>
      <c r="P1500">
        <v>8.7707222151947123E-2</v>
      </c>
      <c r="Q1500">
        <v>0.79385867220642414</v>
      </c>
      <c r="R1500">
        <v>0.53943861077756239</v>
      </c>
      <c r="S1500">
        <v>0.28222655397858509</v>
      </c>
      <c r="T1500">
        <v>0.22106865564011779</v>
      </c>
      <c r="U1500">
        <v>4.2625965936405663</v>
      </c>
      <c r="V1500">
        <v>0.11023909988438001</v>
      </c>
      <c r="W1500">
        <v>3.9233378827566892</v>
      </c>
      <c r="X1500">
        <v>0.29550250975826797</v>
      </c>
      <c r="Z1500" t="s">
        <v>392</v>
      </c>
      <c r="AA1500">
        <v>140</v>
      </c>
      <c r="AB1500" t="s">
        <v>1891</v>
      </c>
      <c r="AC1500" t="str">
        <f>HYPERLINK("plots/20251231112652_3FT6Y119H04_05543_B21P_N_UFLEX98_M5358A8BA201511/dpll_52084/txpa_54180.png","plot")</f>
        <v>plot</v>
      </c>
    </row>
    <row r="1501" spans="1:29" hidden="1" x14ac:dyDescent="0.35">
      <c r="A1501" t="s">
        <v>47</v>
      </c>
      <c r="B1501">
        <v>52084</v>
      </c>
      <c r="C1501" t="s">
        <v>52</v>
      </c>
      <c r="D1501">
        <v>54181</v>
      </c>
      <c r="E1501" t="s">
        <v>201</v>
      </c>
      <c r="F1501">
        <v>7139</v>
      </c>
      <c r="G1501">
        <v>0.23356987094571099</v>
      </c>
      <c r="H1501">
        <v>4.6123131270701099E-89</v>
      </c>
      <c r="I1501">
        <v>6.74875254090778E-89</v>
      </c>
      <c r="J1501">
        <v>0.20793461103630609</v>
      </c>
      <c r="K1501">
        <v>1.4342519043318859E-70</v>
      </c>
      <c r="L1501">
        <v>2.0599595339837561E-70</v>
      </c>
      <c r="M1501">
        <v>0.13942190371365659</v>
      </c>
      <c r="N1501">
        <v>7.7237361428282799E-70</v>
      </c>
      <c r="O1501">
        <v>1.117242289419098E-69</v>
      </c>
      <c r="P1501">
        <v>5.4554884613596102E-2</v>
      </c>
      <c r="Q1501">
        <v>0.71787057623086292</v>
      </c>
      <c r="R1501">
        <v>1.1336991018419029</v>
      </c>
      <c r="S1501">
        <v>0.32942210105585701</v>
      </c>
      <c r="T1501">
        <v>0.2663817120346571</v>
      </c>
      <c r="U1501">
        <v>4.2625965936405663</v>
      </c>
      <c r="V1501">
        <v>0.11023909988438001</v>
      </c>
      <c r="W1501">
        <v>4.1936917747583697</v>
      </c>
      <c r="X1501">
        <v>0.33881684241528559</v>
      </c>
      <c r="Z1501" t="s">
        <v>392</v>
      </c>
      <c r="AA1501">
        <v>140</v>
      </c>
      <c r="AB1501" t="s">
        <v>1892</v>
      </c>
      <c r="AC1501" t="str">
        <f>HYPERLINK("plots/20251231112652_3FT6Y119H04_05543_B21P_N_UFLEX98_M5358A8BA201511/dpll_52084/txpa_54181.png","plot")</f>
        <v>plot</v>
      </c>
    </row>
    <row r="1502" spans="1:29" hidden="1" x14ac:dyDescent="0.35">
      <c r="A1502" t="s">
        <v>47</v>
      </c>
      <c r="B1502">
        <v>52084</v>
      </c>
      <c r="C1502" t="s">
        <v>52</v>
      </c>
      <c r="D1502">
        <v>54182</v>
      </c>
      <c r="E1502" t="s">
        <v>202</v>
      </c>
      <c r="F1502">
        <v>7139</v>
      </c>
      <c r="G1502">
        <v>0.325940960625757</v>
      </c>
      <c r="H1502">
        <v>2.4984313991458078E-176</v>
      </c>
      <c r="I1502">
        <v>8.5299981102149794E-176</v>
      </c>
      <c r="J1502">
        <v>0.30192913072718841</v>
      </c>
      <c r="K1502">
        <v>2.264728182337642E-150</v>
      </c>
      <c r="L1502">
        <v>6.4871027595773133E-150</v>
      </c>
      <c r="M1502">
        <v>0.20294737197437079</v>
      </c>
      <c r="N1502">
        <v>8.0349104990171025E-146</v>
      </c>
      <c r="O1502">
        <v>2.2631664572231512E-145</v>
      </c>
      <c r="P1502">
        <v>0.1062375098136413</v>
      </c>
      <c r="Q1502">
        <v>0.82921467034407959</v>
      </c>
      <c r="R1502">
        <v>0.3888951885561327</v>
      </c>
      <c r="S1502">
        <v>0.26512112695712081</v>
      </c>
      <c r="T1502">
        <v>0.21041684319120429</v>
      </c>
      <c r="U1502">
        <v>4.2625965936405663</v>
      </c>
      <c r="V1502">
        <v>0.11023909988438001</v>
      </c>
      <c r="W1502">
        <v>3.9235028177615909</v>
      </c>
      <c r="X1502">
        <v>0.2804553275358746</v>
      </c>
      <c r="Z1502" t="s">
        <v>392</v>
      </c>
      <c r="AA1502">
        <v>140</v>
      </c>
      <c r="AB1502" t="s">
        <v>1893</v>
      </c>
      <c r="AC1502" t="str">
        <f>HYPERLINK("plots/20251231112652_3FT6Y119H04_05543_B21P_N_UFLEX98_M5358A8BA201511/dpll_52084/txpa_54182.png","plot")</f>
        <v>plot</v>
      </c>
    </row>
    <row r="1503" spans="1:29" hidden="1" x14ac:dyDescent="0.35">
      <c r="A1503" t="s">
        <v>47</v>
      </c>
      <c r="B1503">
        <v>52084</v>
      </c>
      <c r="C1503" t="s">
        <v>52</v>
      </c>
      <c r="D1503">
        <v>54183</v>
      </c>
      <c r="E1503" t="s">
        <v>203</v>
      </c>
      <c r="F1503">
        <v>7139</v>
      </c>
      <c r="G1503">
        <v>0.25949482948823038</v>
      </c>
      <c r="H1503">
        <v>3.3267625415526408E-110</v>
      </c>
      <c r="I1503">
        <v>5.7663884053579108E-110</v>
      </c>
      <c r="J1503">
        <v>0.22216166105377241</v>
      </c>
      <c r="K1503">
        <v>1.5295765496120551E-80</v>
      </c>
      <c r="L1503">
        <v>2.393504045226271E-80</v>
      </c>
      <c r="M1503">
        <v>0.14818957568739749</v>
      </c>
      <c r="N1503">
        <v>1.176459612263707E-78</v>
      </c>
      <c r="O1503">
        <v>1.8296473110972371E-78</v>
      </c>
      <c r="P1503">
        <v>6.7337566531125756E-2</v>
      </c>
      <c r="Q1503">
        <v>0.72677011524019575</v>
      </c>
      <c r="R1503">
        <v>1.025536274727227</v>
      </c>
      <c r="S1503">
        <v>0.29815070010396688</v>
      </c>
      <c r="T1503">
        <v>0.2411202606952888</v>
      </c>
      <c r="U1503">
        <v>4.2625965936405663</v>
      </c>
      <c r="V1503">
        <v>0.11023909988438001</v>
      </c>
      <c r="W1503">
        <v>4.1234640923098471</v>
      </c>
      <c r="X1503">
        <v>0.30874789869591668</v>
      </c>
      <c r="Z1503" t="s">
        <v>392</v>
      </c>
      <c r="AA1503">
        <v>140</v>
      </c>
      <c r="AB1503" t="s">
        <v>1894</v>
      </c>
      <c r="AC1503" t="str">
        <f>HYPERLINK("plots/20251231112652_3FT6Y119H04_05543_B21P_N_UFLEX98_M5358A8BA201511/dpll_52084/txpa_54183.png","plot")</f>
        <v>plot</v>
      </c>
    </row>
    <row r="1504" spans="1:29" hidden="1" x14ac:dyDescent="0.35">
      <c r="A1504" t="s">
        <v>47</v>
      </c>
      <c r="B1504">
        <v>52084</v>
      </c>
      <c r="C1504" t="s">
        <v>52</v>
      </c>
      <c r="D1504">
        <v>54184</v>
      </c>
      <c r="E1504" t="s">
        <v>204</v>
      </c>
      <c r="F1504">
        <v>7139</v>
      </c>
      <c r="G1504">
        <v>0.34040988819594847</v>
      </c>
      <c r="H1504">
        <v>3.714624769953172E-193</v>
      </c>
      <c r="I1504">
        <v>1.696679962492124E-192</v>
      </c>
      <c r="J1504">
        <v>0.30643794915630618</v>
      </c>
      <c r="K1504">
        <v>4.613692090457375E-155</v>
      </c>
      <c r="L1504">
        <v>1.417661751431448E-154</v>
      </c>
      <c r="M1504">
        <v>0.20539769124741369</v>
      </c>
      <c r="N1504">
        <v>2.5823322297239651E-149</v>
      </c>
      <c r="O1504">
        <v>7.5898112491017424E-149</v>
      </c>
      <c r="P1504">
        <v>0.11587889198157809</v>
      </c>
      <c r="Q1504">
        <v>0.77581502166542304</v>
      </c>
      <c r="R1504">
        <v>0.72284379889825967</v>
      </c>
      <c r="S1504">
        <v>0.23622025630058741</v>
      </c>
      <c r="T1504">
        <v>0.18753354656681509</v>
      </c>
      <c r="U1504">
        <v>4.2625965936405663</v>
      </c>
      <c r="V1504">
        <v>0.11023909988438001</v>
      </c>
      <c r="W1504">
        <v>4.0298302675444742</v>
      </c>
      <c r="X1504">
        <v>0.25124167255666391</v>
      </c>
      <c r="Z1504" t="s">
        <v>392</v>
      </c>
      <c r="AA1504">
        <v>140</v>
      </c>
      <c r="AB1504" t="s">
        <v>1895</v>
      </c>
      <c r="AC1504" t="str">
        <f>HYPERLINK("plots/20251231112652_3FT6Y119H04_05543_B21P_N_UFLEX98_M5358A8BA201511/dpll_52084/txpa_54184.png","plot")</f>
        <v>plot</v>
      </c>
    </row>
    <row r="1505" spans="1:29" hidden="1" x14ac:dyDescent="0.35">
      <c r="A1505" t="s">
        <v>47</v>
      </c>
      <c r="B1505">
        <v>52084</v>
      </c>
      <c r="C1505" t="s">
        <v>52</v>
      </c>
      <c r="D1505">
        <v>54185</v>
      </c>
      <c r="E1505" t="s">
        <v>205</v>
      </c>
      <c r="F1505">
        <v>7139</v>
      </c>
      <c r="G1505">
        <v>0.25218686701831622</v>
      </c>
      <c r="H1505">
        <v>5.4391369251083557E-104</v>
      </c>
      <c r="I1505">
        <v>8.997202026198814E-104</v>
      </c>
      <c r="J1505">
        <v>0.22604041696907881</v>
      </c>
      <c r="K1505">
        <v>2.1896789317494581E-83</v>
      </c>
      <c r="L1505">
        <v>3.5468601226740423E-83</v>
      </c>
      <c r="M1505">
        <v>0.1513727165883329</v>
      </c>
      <c r="N1505">
        <v>5.4635496115366576E-82</v>
      </c>
      <c r="O1505">
        <v>8.7937131842828114E-82</v>
      </c>
      <c r="P1505">
        <v>6.3598215896513904E-2</v>
      </c>
      <c r="Q1505">
        <v>0.66933593508818223</v>
      </c>
      <c r="R1505">
        <v>1.199057587190504</v>
      </c>
      <c r="S1505">
        <v>0.28311183921005162</v>
      </c>
      <c r="T1505">
        <v>0.22366074958616339</v>
      </c>
      <c r="U1505">
        <v>4.2625965936405663</v>
      </c>
      <c r="V1505">
        <v>0.11023909988438001</v>
      </c>
      <c r="W1505">
        <v>4.0521666640986131</v>
      </c>
      <c r="X1505">
        <v>0.29258855497432368</v>
      </c>
      <c r="Z1505" t="s">
        <v>392</v>
      </c>
      <c r="AA1505">
        <v>140</v>
      </c>
      <c r="AB1505" t="s">
        <v>1896</v>
      </c>
      <c r="AC1505" t="str">
        <f>HYPERLINK("plots/20251231112652_3FT6Y119H04_05543_B21P_N_UFLEX98_M5358A8BA201511/dpll_52084/txpa_54185.png","plot")</f>
        <v>plot</v>
      </c>
    </row>
    <row r="1506" spans="1:29" hidden="1" x14ac:dyDescent="0.35">
      <c r="A1506" t="s">
        <v>47</v>
      </c>
      <c r="B1506">
        <v>52084</v>
      </c>
      <c r="C1506" t="s">
        <v>52</v>
      </c>
      <c r="D1506">
        <v>54186</v>
      </c>
      <c r="E1506" t="s">
        <v>206</v>
      </c>
      <c r="F1506">
        <v>7139</v>
      </c>
      <c r="G1506">
        <v>0.18025662679731611</v>
      </c>
      <c r="H1506">
        <v>3.350224385985868E-53</v>
      </c>
      <c r="I1506">
        <v>3.9593560925287531E-53</v>
      </c>
      <c r="J1506">
        <v>0.14511946743018639</v>
      </c>
      <c r="K1506">
        <v>6.6718769890606592E-35</v>
      </c>
      <c r="L1506">
        <v>7.6099924262176701E-35</v>
      </c>
      <c r="M1506">
        <v>9.6618816524276577E-2</v>
      </c>
      <c r="N1506">
        <v>1.849961468707089E-34</v>
      </c>
      <c r="O1506">
        <v>2.1100797854544289E-34</v>
      </c>
      <c r="P1506">
        <v>3.2492451504346903E-2</v>
      </c>
      <c r="Q1506">
        <v>0.75547775948012852</v>
      </c>
      <c r="R1506">
        <v>0.13917016201531579</v>
      </c>
      <c r="S1506">
        <v>0.45442567849960869</v>
      </c>
      <c r="T1506">
        <v>0.38062436771774061</v>
      </c>
      <c r="U1506">
        <v>4.2625965936405663</v>
      </c>
      <c r="V1506">
        <v>0.11023909988438001</v>
      </c>
      <c r="W1506">
        <v>3.3594670861465188</v>
      </c>
      <c r="X1506">
        <v>0.46202566678118701</v>
      </c>
      <c r="Z1506" t="s">
        <v>392</v>
      </c>
      <c r="AA1506">
        <v>140</v>
      </c>
      <c r="AB1506" t="s">
        <v>1897</v>
      </c>
      <c r="AC1506" t="str">
        <f>HYPERLINK("plots/20251231112652_3FT6Y119H04_05543_B21P_N_UFLEX98_M5358A8BA201511/dpll_52084/txpa_54186.png","plot")</f>
        <v>plot</v>
      </c>
    </row>
    <row r="1507" spans="1:29" hidden="1" x14ac:dyDescent="0.35">
      <c r="A1507" t="s">
        <v>47</v>
      </c>
      <c r="B1507">
        <v>52084</v>
      </c>
      <c r="C1507" t="s">
        <v>52</v>
      </c>
      <c r="D1507">
        <v>54187</v>
      </c>
      <c r="E1507" t="s">
        <v>207</v>
      </c>
      <c r="F1507">
        <v>7139</v>
      </c>
      <c r="G1507">
        <v>0.17425362823095669</v>
      </c>
      <c r="H1507">
        <v>8.8064104473011076E-50</v>
      </c>
      <c r="I1507">
        <v>1.0299538862241431E-49</v>
      </c>
      <c r="J1507">
        <v>0.1380045835701551</v>
      </c>
      <c r="K1507">
        <v>1.075316496533469E-31</v>
      </c>
      <c r="L1507">
        <v>1.19689454169587E-31</v>
      </c>
      <c r="M1507">
        <v>9.1683274128649281E-2</v>
      </c>
      <c r="N1507">
        <v>3.3842925836861072E-31</v>
      </c>
      <c r="O1507">
        <v>3.7669293961116489E-31</v>
      </c>
      <c r="P1507">
        <v>3.0364326951652469E-2</v>
      </c>
      <c r="Q1507">
        <v>0.71847432166016534</v>
      </c>
      <c r="R1507">
        <v>2.2949320096442789</v>
      </c>
      <c r="S1507">
        <v>0.4475473121892114</v>
      </c>
      <c r="T1507">
        <v>0.37388480024839399</v>
      </c>
      <c r="U1507">
        <v>4.2625965936405663</v>
      </c>
      <c r="V1507">
        <v>0.11023909988438001</v>
      </c>
      <c r="W1507">
        <v>5.3574982057711162</v>
      </c>
      <c r="X1507">
        <v>0.45453264482321037</v>
      </c>
      <c r="Z1507" t="s">
        <v>392</v>
      </c>
      <c r="AA1507">
        <v>140</v>
      </c>
      <c r="AB1507" t="s">
        <v>1898</v>
      </c>
      <c r="AC1507" t="str">
        <f>HYPERLINK("plots/20251231112652_3FT6Y119H04_05543_B21P_N_UFLEX98_M5358A8BA201511/dpll_52084/txpa_54187.png","plot")</f>
        <v>plot</v>
      </c>
    </row>
    <row r="1508" spans="1:29" hidden="1" x14ac:dyDescent="0.35">
      <c r="A1508" t="s">
        <v>47</v>
      </c>
      <c r="B1508">
        <v>52084</v>
      </c>
      <c r="C1508" t="s">
        <v>52</v>
      </c>
      <c r="D1508">
        <v>54188</v>
      </c>
      <c r="E1508" t="s">
        <v>208</v>
      </c>
      <c r="F1508">
        <v>7139</v>
      </c>
      <c r="G1508">
        <v>0.3122000995158053</v>
      </c>
      <c r="H1508">
        <v>3.5232542568267549E-161</v>
      </c>
      <c r="I1508">
        <v>9.9514758117613638E-161</v>
      </c>
      <c r="J1508">
        <v>0.29752837254126008</v>
      </c>
      <c r="K1508">
        <v>7.1346146346992314E-146</v>
      </c>
      <c r="L1508">
        <v>1.9447578601035E-145</v>
      </c>
      <c r="M1508">
        <v>0.19911695613541969</v>
      </c>
      <c r="N1508">
        <v>1.912106433191374E-140</v>
      </c>
      <c r="O1508">
        <v>5.1293013842752724E-140</v>
      </c>
      <c r="P1508">
        <v>9.7468902137678726E-2</v>
      </c>
      <c r="Q1508">
        <v>0.79772077199165692</v>
      </c>
      <c r="R1508">
        <v>2.3833798356798059</v>
      </c>
      <c r="S1508">
        <v>0.26758033341781501</v>
      </c>
      <c r="T1508">
        <v>0.20926749487288479</v>
      </c>
      <c r="U1508">
        <v>4.2625965936405663</v>
      </c>
      <c r="V1508">
        <v>0.11023909988438001</v>
      </c>
      <c r="W1508">
        <v>5.7837416810477658</v>
      </c>
      <c r="X1508">
        <v>0.28167838511204912</v>
      </c>
      <c r="Z1508" t="s">
        <v>392</v>
      </c>
      <c r="AA1508">
        <v>140</v>
      </c>
      <c r="AB1508" t="s">
        <v>1899</v>
      </c>
      <c r="AC1508" t="str">
        <f>HYPERLINK("plots/20251231112652_3FT6Y119H04_05543_B21P_N_UFLEX98_M5358A8BA201511/dpll_52084/txpa_54188.png","plot")</f>
        <v>plot</v>
      </c>
    </row>
    <row r="1509" spans="1:29" hidden="1" x14ac:dyDescent="0.35">
      <c r="A1509" t="s">
        <v>47</v>
      </c>
      <c r="B1509">
        <v>52084</v>
      </c>
      <c r="C1509" t="s">
        <v>52</v>
      </c>
      <c r="D1509">
        <v>54189</v>
      </c>
      <c r="E1509" t="s">
        <v>209</v>
      </c>
      <c r="F1509">
        <v>7139</v>
      </c>
      <c r="G1509">
        <v>0.24999843433133931</v>
      </c>
      <c r="H1509">
        <v>3.6067485115264762E-102</v>
      </c>
      <c r="I1509">
        <v>5.8609663312305242E-102</v>
      </c>
      <c r="J1509">
        <v>0.22450540391684801</v>
      </c>
      <c r="K1509">
        <v>2.9678554431985267E-82</v>
      </c>
      <c r="L1509">
        <v>4.73176952736369E-82</v>
      </c>
      <c r="M1509">
        <v>0.15081007813797601</v>
      </c>
      <c r="N1509">
        <v>2.143912297110813E-81</v>
      </c>
      <c r="O1509">
        <v>3.407409199483329E-81</v>
      </c>
      <c r="P1509">
        <v>6.2499217168120937E-2</v>
      </c>
      <c r="Q1509">
        <v>0.72800807170519</v>
      </c>
      <c r="R1509">
        <v>2.926012043402419</v>
      </c>
      <c r="S1509">
        <v>0.31080640825653788</v>
      </c>
      <c r="T1509">
        <v>0.25065244194422048</v>
      </c>
      <c r="U1509">
        <v>4.2625965936405663</v>
      </c>
      <c r="V1509">
        <v>0.11023909988438001</v>
      </c>
      <c r="W1509">
        <v>6.0292167699957986</v>
      </c>
      <c r="X1509">
        <v>0.32102182858863931</v>
      </c>
      <c r="Z1509" t="s">
        <v>392</v>
      </c>
      <c r="AA1509">
        <v>140</v>
      </c>
      <c r="AB1509" t="s">
        <v>1900</v>
      </c>
      <c r="AC1509" t="str">
        <f>HYPERLINK("plots/20251231112652_3FT6Y119H04_05543_B21P_N_UFLEX98_M5358A8BA201511/dpll_52084/txpa_54189.png","plot")</f>
        <v>plot</v>
      </c>
    </row>
    <row r="1510" spans="1:29" hidden="1" x14ac:dyDescent="0.35">
      <c r="A1510" t="s">
        <v>47</v>
      </c>
      <c r="B1510">
        <v>52084</v>
      </c>
      <c r="C1510" t="s">
        <v>52</v>
      </c>
      <c r="D1510">
        <v>54190</v>
      </c>
      <c r="E1510" t="s">
        <v>210</v>
      </c>
      <c r="F1510">
        <v>7139</v>
      </c>
      <c r="G1510">
        <v>0.34260338705372001</v>
      </c>
      <c r="H1510">
        <v>8.6840551444672293E-196</v>
      </c>
      <c r="I1510">
        <v>4.2128058167188987E-195</v>
      </c>
      <c r="J1510">
        <v>0.32064449363175979</v>
      </c>
      <c r="K1510">
        <v>2.1462872043063009E-170</v>
      </c>
      <c r="L1510">
        <v>7.6095637243587026E-170</v>
      </c>
      <c r="M1510">
        <v>0.21610772588269159</v>
      </c>
      <c r="N1510">
        <v>4.482188554116448E-165</v>
      </c>
      <c r="O1510">
        <v>1.551173786305146E-164</v>
      </c>
      <c r="P1510">
        <v>0.117377080820681</v>
      </c>
      <c r="Q1510">
        <v>0.830874571187597</v>
      </c>
      <c r="R1510">
        <v>2.2433229405441959</v>
      </c>
      <c r="S1510">
        <v>0.25115200820703898</v>
      </c>
      <c r="T1510">
        <v>0.19873535412177479</v>
      </c>
      <c r="U1510">
        <v>4.2625965936405663</v>
      </c>
      <c r="V1510">
        <v>0.11023909988438001</v>
      </c>
      <c r="W1510">
        <v>5.7850060574310129</v>
      </c>
      <c r="X1510">
        <v>0.26734956017868827</v>
      </c>
      <c r="Z1510" t="s">
        <v>392</v>
      </c>
      <c r="AA1510">
        <v>140</v>
      </c>
      <c r="AB1510" t="s">
        <v>1901</v>
      </c>
      <c r="AC1510" t="str">
        <f>HYPERLINK("plots/20251231112652_3FT6Y119H04_05543_B21P_N_UFLEX98_M5358A8BA201511/dpll_52084/txpa_54190.png","plot")</f>
        <v>plot</v>
      </c>
    </row>
    <row r="1511" spans="1:29" hidden="1" x14ac:dyDescent="0.35">
      <c r="A1511" t="s">
        <v>47</v>
      </c>
      <c r="B1511">
        <v>52084</v>
      </c>
      <c r="C1511" t="s">
        <v>52</v>
      </c>
      <c r="D1511">
        <v>54191</v>
      </c>
      <c r="E1511" t="s">
        <v>211</v>
      </c>
      <c r="F1511">
        <v>7139</v>
      </c>
      <c r="G1511">
        <v>0.27755527450709372</v>
      </c>
      <c r="H1511">
        <v>1.9559237027508798E-126</v>
      </c>
      <c r="I1511">
        <v>3.8287772868521098E-126</v>
      </c>
      <c r="J1511">
        <v>0.24094090607145119</v>
      </c>
      <c r="K1511">
        <v>8.0632994443170523E-95</v>
      </c>
      <c r="L1511">
        <v>1.431906416206215E-94</v>
      </c>
      <c r="M1511">
        <v>0.16105651244763419</v>
      </c>
      <c r="N1511">
        <v>1.454818511360496E-92</v>
      </c>
      <c r="O1511">
        <v>2.5925939727935731E-92</v>
      </c>
      <c r="P1511">
        <v>7.7036930406708143E-2</v>
      </c>
      <c r="Q1511">
        <v>0.73627192327959168</v>
      </c>
      <c r="R1511">
        <v>2.830900485521175</v>
      </c>
      <c r="S1511">
        <v>0.28092226158127193</v>
      </c>
      <c r="T1511">
        <v>0.226710236930312</v>
      </c>
      <c r="U1511">
        <v>4.2625965936405663</v>
      </c>
      <c r="V1511">
        <v>0.11023909988438001</v>
      </c>
      <c r="W1511">
        <v>5.9693306776859503</v>
      </c>
      <c r="X1511">
        <v>0.29243167594860142</v>
      </c>
      <c r="Z1511" t="s">
        <v>392</v>
      </c>
      <c r="AA1511">
        <v>140</v>
      </c>
      <c r="AB1511" t="s">
        <v>1902</v>
      </c>
      <c r="AC1511" t="str">
        <f>HYPERLINK("plots/20251231112652_3FT6Y119H04_05543_B21P_N_UFLEX98_M5358A8BA201511/dpll_52084/txpa_54191.png","plot")</f>
        <v>plot</v>
      </c>
    </row>
    <row r="1512" spans="1:29" hidden="1" x14ac:dyDescent="0.35">
      <c r="A1512" t="s">
        <v>47</v>
      </c>
      <c r="B1512">
        <v>52084</v>
      </c>
      <c r="C1512" t="s">
        <v>52</v>
      </c>
      <c r="D1512">
        <v>54192</v>
      </c>
      <c r="E1512" t="s">
        <v>212</v>
      </c>
      <c r="F1512">
        <v>7139</v>
      </c>
      <c r="G1512">
        <v>0.35900201191526238</v>
      </c>
      <c r="H1512">
        <v>3.8335366970356242E-216</v>
      </c>
      <c r="I1512">
        <v>2.8373767962000888E-215</v>
      </c>
      <c r="J1512">
        <v>0.32763741258464779</v>
      </c>
      <c r="K1512">
        <v>2.9623287241501549E-178</v>
      </c>
      <c r="L1512">
        <v>1.159768851848748E-177</v>
      </c>
      <c r="M1512">
        <v>0.22037215537916841</v>
      </c>
      <c r="N1512">
        <v>1.4263645932786049E-171</v>
      </c>
      <c r="O1512">
        <v>5.4578630097528504E-171</v>
      </c>
      <c r="P1512">
        <v>0.12888244455920619</v>
      </c>
      <c r="Q1512">
        <v>0.7813988554201805</v>
      </c>
      <c r="R1512">
        <v>2.5484508026984281</v>
      </c>
      <c r="S1512">
        <v>0.22393372824007871</v>
      </c>
      <c r="T1512">
        <v>0.1770379021547607</v>
      </c>
      <c r="U1512">
        <v>4.2625965936405663</v>
      </c>
      <c r="V1512">
        <v>0.11023909988438001</v>
      </c>
      <c r="W1512">
        <v>5.8792389020871267</v>
      </c>
      <c r="X1512">
        <v>0.2399449128784768</v>
      </c>
      <c r="Z1512" t="s">
        <v>392</v>
      </c>
      <c r="AA1512">
        <v>140</v>
      </c>
      <c r="AB1512" t="s">
        <v>1903</v>
      </c>
      <c r="AC1512" t="str">
        <f>HYPERLINK("plots/20251231112652_3FT6Y119H04_05543_B21P_N_UFLEX98_M5358A8BA201511/dpll_52084/txpa_54192.png","plot")</f>
        <v>plot</v>
      </c>
    </row>
    <row r="1513" spans="1:29" hidden="1" x14ac:dyDescent="0.35">
      <c r="A1513" t="s">
        <v>47</v>
      </c>
      <c r="B1513">
        <v>52084</v>
      </c>
      <c r="C1513" t="s">
        <v>52</v>
      </c>
      <c r="D1513">
        <v>54193</v>
      </c>
      <c r="E1513" t="s">
        <v>213</v>
      </c>
      <c r="F1513">
        <v>7139</v>
      </c>
      <c r="G1513">
        <v>0.26930582086506238</v>
      </c>
      <c r="H1513">
        <v>7.2618278004903713E-119</v>
      </c>
      <c r="I1513">
        <v>1.351099704531603E-118</v>
      </c>
      <c r="J1513">
        <v>0.24277131059021839</v>
      </c>
      <c r="K1513">
        <v>2.7914628859206048E-96</v>
      </c>
      <c r="L1513">
        <v>5.0545417255776668E-96</v>
      </c>
      <c r="M1513">
        <v>0.1628509701336088</v>
      </c>
      <c r="N1513">
        <v>1.3546782695659909E-94</v>
      </c>
      <c r="O1513">
        <v>2.4617271780285199E-94</v>
      </c>
      <c r="P1513">
        <v>7.2525625151805065E-2</v>
      </c>
      <c r="Q1513">
        <v>0.67994477277718668</v>
      </c>
      <c r="R1513">
        <v>3.0034809932796702</v>
      </c>
      <c r="S1513">
        <v>0.26803042679886518</v>
      </c>
      <c r="T1513">
        <v>0.21158741467352421</v>
      </c>
      <c r="U1513">
        <v>4.2625965936405663</v>
      </c>
      <c r="V1513">
        <v>0.11023909988438001</v>
      </c>
      <c r="W1513">
        <v>5.9018112655834152</v>
      </c>
      <c r="X1513">
        <v>0.27833226731331551</v>
      </c>
      <c r="Z1513" t="s">
        <v>392</v>
      </c>
      <c r="AA1513">
        <v>140</v>
      </c>
      <c r="AB1513" t="s">
        <v>1904</v>
      </c>
      <c r="AC1513" t="str">
        <f>HYPERLINK("plots/20251231112652_3FT6Y119H04_05543_B21P_N_UFLEX98_M5358A8BA201511/dpll_52084/txpa_54193.png","plot")</f>
        <v>plot</v>
      </c>
    </row>
    <row r="1514" spans="1:29" hidden="1" x14ac:dyDescent="0.35">
      <c r="A1514" t="s">
        <v>47</v>
      </c>
      <c r="B1514">
        <v>52084</v>
      </c>
      <c r="C1514" t="s">
        <v>52</v>
      </c>
      <c r="D1514">
        <v>54194</v>
      </c>
      <c r="E1514" t="s">
        <v>214</v>
      </c>
      <c r="F1514">
        <v>7139</v>
      </c>
      <c r="G1514">
        <v>0.1911667686958648</v>
      </c>
      <c r="H1514">
        <v>9.8871148094655997E-60</v>
      </c>
      <c r="I1514">
        <v>1.1878595280566491E-59</v>
      </c>
      <c r="J1514">
        <v>0.15544331240147261</v>
      </c>
      <c r="K1514">
        <v>7.4919839275892229E-40</v>
      </c>
      <c r="L1514">
        <v>8.8233120819691895E-40</v>
      </c>
      <c r="M1514">
        <v>0.10360474569709339</v>
      </c>
      <c r="N1514">
        <v>2.295305256124019E-39</v>
      </c>
      <c r="O1514">
        <v>2.706325034546227E-39</v>
      </c>
      <c r="P1514">
        <v>3.6544733453618271E-2</v>
      </c>
      <c r="Q1514">
        <v>0.75446807607955368</v>
      </c>
      <c r="R1514">
        <v>2.0468383101478209</v>
      </c>
      <c r="S1514">
        <v>0.42702124822565118</v>
      </c>
      <c r="T1514">
        <v>0.35762459731747231</v>
      </c>
      <c r="U1514">
        <v>4.2625965936405663</v>
      </c>
      <c r="V1514">
        <v>0.11023909988438001</v>
      </c>
      <c r="W1514">
        <v>5.2628313612550794</v>
      </c>
      <c r="X1514">
        <v>0.43507499847335712</v>
      </c>
      <c r="Z1514" t="s">
        <v>392</v>
      </c>
      <c r="AA1514">
        <v>140</v>
      </c>
      <c r="AB1514" t="s">
        <v>1905</v>
      </c>
      <c r="AC1514" t="str">
        <f>HYPERLINK("plots/20251231112652_3FT6Y119H04_05543_B21P_N_UFLEX98_M5358A8BA201511/dpll_52084/txpa_54194.png","plot")</f>
        <v>plot</v>
      </c>
    </row>
    <row r="1515" spans="1:29" hidden="1" x14ac:dyDescent="0.35">
      <c r="A1515" t="s">
        <v>47</v>
      </c>
      <c r="B1515">
        <v>52084</v>
      </c>
      <c r="C1515" t="s">
        <v>52</v>
      </c>
      <c r="D1515">
        <v>54195</v>
      </c>
      <c r="E1515" t="s">
        <v>215</v>
      </c>
      <c r="F1515">
        <v>7139</v>
      </c>
      <c r="G1515">
        <v>0.19228695737138571</v>
      </c>
      <c r="H1515">
        <v>2.0019511463867931E-60</v>
      </c>
      <c r="I1515">
        <v>2.4166410267097719E-60</v>
      </c>
      <c r="J1515">
        <v>0.1542852485771537</v>
      </c>
      <c r="K1515">
        <v>2.801241578974502E-39</v>
      </c>
      <c r="L1515">
        <v>3.2837675850637518E-39</v>
      </c>
      <c r="M1515">
        <v>0.1025720377739231</v>
      </c>
      <c r="N1515">
        <v>1.280277777060464E-38</v>
      </c>
      <c r="O1515">
        <v>1.5008111744963131E-38</v>
      </c>
      <c r="P1515">
        <v>3.6974273975145112E-2</v>
      </c>
      <c r="Q1515">
        <v>0.72902628949839909</v>
      </c>
      <c r="R1515">
        <v>4.5223795716466677</v>
      </c>
      <c r="S1515">
        <v>0.41012623016652788</v>
      </c>
      <c r="T1515">
        <v>0.34164766500532467</v>
      </c>
      <c r="U1515">
        <v>4.2625965936405663</v>
      </c>
      <c r="V1515">
        <v>0.11023909988438001</v>
      </c>
      <c r="W1515">
        <v>7.6299245499369652</v>
      </c>
      <c r="X1515">
        <v>0.41795451467428768</v>
      </c>
      <c r="Z1515" t="s">
        <v>392</v>
      </c>
      <c r="AA1515">
        <v>140</v>
      </c>
      <c r="AB1515" t="s">
        <v>1906</v>
      </c>
      <c r="AC1515" t="str">
        <f>HYPERLINK("plots/20251231112652_3FT6Y119H04_05543_B21P_N_UFLEX98_M5358A8BA201511/dpll_52084/txpa_54195.png","plot")</f>
        <v>plot</v>
      </c>
    </row>
    <row r="1516" spans="1:29" hidden="1" x14ac:dyDescent="0.35">
      <c r="A1516" t="s">
        <v>47</v>
      </c>
      <c r="B1516">
        <v>52084</v>
      </c>
      <c r="C1516" t="s">
        <v>52</v>
      </c>
      <c r="D1516">
        <v>54196</v>
      </c>
      <c r="E1516" t="s">
        <v>216</v>
      </c>
      <c r="F1516">
        <v>7139</v>
      </c>
      <c r="G1516">
        <v>0.33209656914253932</v>
      </c>
      <c r="H1516">
        <v>2.2378985169085948E-183</v>
      </c>
      <c r="I1516">
        <v>8.467272746810879E-183</v>
      </c>
      <c r="J1516">
        <v>0.32125252584650638</v>
      </c>
      <c r="K1516">
        <v>4.5345672083903046E-171</v>
      </c>
      <c r="L1516">
        <v>1.624753056292498E-170</v>
      </c>
      <c r="M1516">
        <v>0.215820362921676</v>
      </c>
      <c r="N1516">
        <v>1.213451828014168E-164</v>
      </c>
      <c r="O1516">
        <v>4.1851705904978452E-164</v>
      </c>
      <c r="P1516">
        <v>0.1102881312362454</v>
      </c>
      <c r="Q1516">
        <v>0.80537473169991769</v>
      </c>
      <c r="R1516">
        <v>4.5774012564277093</v>
      </c>
      <c r="S1516">
        <v>0.25215265311113161</v>
      </c>
      <c r="T1516">
        <v>0.19587031389783729</v>
      </c>
      <c r="U1516">
        <v>4.2625965936405663</v>
      </c>
      <c r="V1516">
        <v>0.11023909988438001</v>
      </c>
      <c r="W1516">
        <v>8.0103888443759637</v>
      </c>
      <c r="X1516">
        <v>0.2673432782562597</v>
      </c>
      <c r="Z1516" t="s">
        <v>392</v>
      </c>
      <c r="AA1516">
        <v>140</v>
      </c>
      <c r="AB1516" t="s">
        <v>1907</v>
      </c>
      <c r="AC1516" t="str">
        <f>HYPERLINK("plots/20251231112652_3FT6Y119H04_05543_B21P_N_UFLEX98_M5358A8BA201511/dpll_52084/txpa_54196.png","plot")</f>
        <v>plot</v>
      </c>
    </row>
    <row r="1517" spans="1:29" hidden="1" x14ac:dyDescent="0.35">
      <c r="A1517" t="s">
        <v>47</v>
      </c>
      <c r="B1517">
        <v>52084</v>
      </c>
      <c r="C1517" t="s">
        <v>52</v>
      </c>
      <c r="D1517">
        <v>54197</v>
      </c>
      <c r="E1517" t="s">
        <v>217</v>
      </c>
      <c r="F1517">
        <v>7139</v>
      </c>
      <c r="G1517">
        <v>0.27328096555216158</v>
      </c>
      <c r="H1517">
        <v>1.763858811174042E-122</v>
      </c>
      <c r="I1517">
        <v>3.3810072486398461E-122</v>
      </c>
      <c r="J1517">
        <v>0.2485025385201779</v>
      </c>
      <c r="K1517">
        <v>6.1936168802552931E-101</v>
      </c>
      <c r="L1517">
        <v>1.1673471220406819E-100</v>
      </c>
      <c r="M1517">
        <v>0.1673927521450464</v>
      </c>
      <c r="N1517">
        <v>7.772255333215785E-100</v>
      </c>
      <c r="O1517">
        <v>1.481403554112933E-99</v>
      </c>
      <c r="P1517">
        <v>7.4682486133121756E-2</v>
      </c>
      <c r="Q1517">
        <v>0.74223700063471343</v>
      </c>
      <c r="R1517">
        <v>5.058298414115816</v>
      </c>
      <c r="S1517">
        <v>0.28799427014943152</v>
      </c>
      <c r="T1517">
        <v>0.2304050922836636</v>
      </c>
      <c r="U1517">
        <v>4.2625965936405663</v>
      </c>
      <c r="V1517">
        <v>0.11023909988438001</v>
      </c>
      <c r="W1517">
        <v>8.2221553246953363</v>
      </c>
      <c r="X1517">
        <v>0.29941177456515922</v>
      </c>
      <c r="Z1517" t="s">
        <v>392</v>
      </c>
      <c r="AA1517">
        <v>140</v>
      </c>
      <c r="AB1517" t="s">
        <v>1908</v>
      </c>
      <c r="AC1517" t="str">
        <f>HYPERLINK("plots/20251231112652_3FT6Y119H04_05543_B21P_N_UFLEX98_M5358A8BA201511/dpll_52084/txpa_54197.png","plot")</f>
        <v>plot</v>
      </c>
    </row>
    <row r="1518" spans="1:29" hidden="1" x14ac:dyDescent="0.35">
      <c r="A1518" t="s">
        <v>47</v>
      </c>
      <c r="B1518">
        <v>52084</v>
      </c>
      <c r="C1518" t="s">
        <v>52</v>
      </c>
      <c r="D1518">
        <v>54198</v>
      </c>
      <c r="E1518" t="s">
        <v>218</v>
      </c>
      <c r="F1518">
        <v>7139</v>
      </c>
      <c r="G1518">
        <v>0.36323129028301698</v>
      </c>
      <c r="H1518">
        <v>1.363819127117166E-221</v>
      </c>
      <c r="I1518">
        <v>1.202532691214615E-220</v>
      </c>
      <c r="J1518">
        <v>0.34426215918818343</v>
      </c>
      <c r="K1518">
        <v>8.6053737668288449E-198</v>
      </c>
      <c r="L1518">
        <v>4.0211285712278568E-197</v>
      </c>
      <c r="M1518">
        <v>0.23302264662384489</v>
      </c>
      <c r="N1518">
        <v>1.360523402044063E-191</v>
      </c>
      <c r="O1518">
        <v>6.077404095474361E-191</v>
      </c>
      <c r="P1518">
        <v>0.13193697024066531</v>
      </c>
      <c r="Q1518">
        <v>0.83683869629953989</v>
      </c>
      <c r="R1518">
        <v>4.4439138885259606</v>
      </c>
      <c r="S1518">
        <v>0.23661341859245</v>
      </c>
      <c r="T1518">
        <v>0.18554742167501989</v>
      </c>
      <c r="U1518">
        <v>4.2625965936405663</v>
      </c>
      <c r="V1518">
        <v>0.11023909988438001</v>
      </c>
      <c r="W1518">
        <v>8.011019664798992</v>
      </c>
      <c r="X1518">
        <v>0.25397686569513211</v>
      </c>
      <c r="Z1518" t="s">
        <v>392</v>
      </c>
      <c r="AA1518">
        <v>140</v>
      </c>
      <c r="AB1518" t="s">
        <v>1909</v>
      </c>
      <c r="AC1518" t="str">
        <f>HYPERLINK("plots/20251231112652_3FT6Y119H04_05543_B21P_N_UFLEX98_M5358A8BA201511/dpll_52084/txpa_54198.png","plot")</f>
        <v>plot</v>
      </c>
    </row>
    <row r="1519" spans="1:29" hidden="1" x14ac:dyDescent="0.35">
      <c r="A1519" t="s">
        <v>47</v>
      </c>
      <c r="B1519">
        <v>52084</v>
      </c>
      <c r="C1519" t="s">
        <v>52</v>
      </c>
      <c r="D1519">
        <v>54199</v>
      </c>
      <c r="E1519" t="s">
        <v>219</v>
      </c>
      <c r="F1519">
        <v>7139</v>
      </c>
      <c r="G1519">
        <v>0.30236119113658921</v>
      </c>
      <c r="H1519">
        <v>8.111747418793722E-151</v>
      </c>
      <c r="I1519">
        <v>2.0823574386473E-150</v>
      </c>
      <c r="J1519">
        <v>0.26620904809024543</v>
      </c>
      <c r="K1519">
        <v>4.3117576529098431E-116</v>
      </c>
      <c r="L1519">
        <v>9.0333104546499596E-116</v>
      </c>
      <c r="M1519">
        <v>0.17839470275121619</v>
      </c>
      <c r="N1519">
        <v>3.9862247387478301E-113</v>
      </c>
      <c r="O1519">
        <v>8.2828522235456957E-113</v>
      </c>
      <c r="P1519">
        <v>9.1422289905537038E-2</v>
      </c>
      <c r="Q1519">
        <v>0.75038084445360753</v>
      </c>
      <c r="R1519">
        <v>4.9791702162647136</v>
      </c>
      <c r="S1519">
        <v>0.260760598892186</v>
      </c>
      <c r="T1519">
        <v>0.20917016382401371</v>
      </c>
      <c r="U1519">
        <v>4.2625965936405663</v>
      </c>
      <c r="V1519">
        <v>0.11023909988438001</v>
      </c>
      <c r="W1519">
        <v>8.1777410477657941</v>
      </c>
      <c r="X1519">
        <v>0.27358441257653998</v>
      </c>
      <c r="Z1519" t="s">
        <v>392</v>
      </c>
      <c r="AA1519">
        <v>140</v>
      </c>
      <c r="AB1519" t="s">
        <v>1910</v>
      </c>
      <c r="AC1519" t="str">
        <f>HYPERLINK("plots/20251231112652_3FT6Y119H04_05543_B21P_N_UFLEX98_M5358A8BA201511/dpll_52084/txpa_54199.png","plot")</f>
        <v>plot</v>
      </c>
    </row>
    <row r="1520" spans="1:29" hidden="1" x14ac:dyDescent="0.35">
      <c r="A1520" t="s">
        <v>47</v>
      </c>
      <c r="B1520">
        <v>52084</v>
      </c>
      <c r="C1520" t="s">
        <v>52</v>
      </c>
      <c r="D1520">
        <v>54200</v>
      </c>
      <c r="E1520" t="s">
        <v>220</v>
      </c>
      <c r="F1520">
        <v>7139</v>
      </c>
      <c r="G1520">
        <v>0.38140186832562628</v>
      </c>
      <c r="H1520">
        <v>5.8491158681651857E-246</v>
      </c>
      <c r="I1520">
        <v>1.16294186084696E-244</v>
      </c>
      <c r="J1520">
        <v>0.35286218076948661</v>
      </c>
      <c r="K1520">
        <v>2.225686176924485E-208</v>
      </c>
      <c r="L1520">
        <v>1.22654662141382E-207</v>
      </c>
      <c r="M1520">
        <v>0.23852178774232649</v>
      </c>
      <c r="N1520">
        <v>1.213506799668616E-200</v>
      </c>
      <c r="O1520">
        <v>6.2780402799182457E-200</v>
      </c>
      <c r="P1520">
        <v>0.14546738516227839</v>
      </c>
      <c r="Q1520">
        <v>0.7921638134600385</v>
      </c>
      <c r="R1520">
        <v>4.7155711341296929</v>
      </c>
      <c r="S1520">
        <v>0.21164194516112339</v>
      </c>
      <c r="T1520">
        <v>0.16561540610730391</v>
      </c>
      <c r="U1520">
        <v>4.2625965936405663</v>
      </c>
      <c r="V1520">
        <v>0.11023909988438001</v>
      </c>
      <c r="W1520">
        <v>8.0922459069897741</v>
      </c>
      <c r="X1520">
        <v>0.22896433659379939</v>
      </c>
      <c r="Z1520" t="s">
        <v>392</v>
      </c>
      <c r="AA1520">
        <v>140</v>
      </c>
      <c r="AB1520" t="s">
        <v>1911</v>
      </c>
      <c r="AC1520" t="str">
        <f>HYPERLINK("plots/20251231112652_3FT6Y119H04_05543_B21P_N_UFLEX98_M5358A8BA201511/dpll_52084/txpa_54200.png","plot")</f>
        <v>plot</v>
      </c>
    </row>
    <row r="1521" spans="1:29" hidden="1" x14ac:dyDescent="0.35">
      <c r="A1521" t="s">
        <v>47</v>
      </c>
      <c r="B1521">
        <v>52084</v>
      </c>
      <c r="C1521" t="s">
        <v>52</v>
      </c>
      <c r="D1521">
        <v>54201</v>
      </c>
      <c r="E1521" t="s">
        <v>221</v>
      </c>
      <c r="F1521">
        <v>7139</v>
      </c>
      <c r="G1521">
        <v>0.29385535973423671</v>
      </c>
      <c r="H1521">
        <v>3.5291314671962438E-142</v>
      </c>
      <c r="I1521">
        <v>8.1888771344095906E-142</v>
      </c>
      <c r="J1521">
        <v>0.26539696904599669</v>
      </c>
      <c r="K1521">
        <v>2.2692807812505829E-115</v>
      </c>
      <c r="L1521">
        <v>4.7249501276962864E-115</v>
      </c>
      <c r="M1521">
        <v>0.17845291938977759</v>
      </c>
      <c r="N1521">
        <v>3.3725802913859692E-113</v>
      </c>
      <c r="O1521">
        <v>7.0221692309350559E-113</v>
      </c>
      <c r="P1521">
        <v>8.6350972444537669E-2</v>
      </c>
      <c r="Q1521">
        <v>0.69701700978630543</v>
      </c>
      <c r="R1521">
        <v>5.1465338629404256</v>
      </c>
      <c r="S1521">
        <v>0.24992212089725649</v>
      </c>
      <c r="T1521">
        <v>0.1970048887707708</v>
      </c>
      <c r="U1521">
        <v>4.2625965936405663</v>
      </c>
      <c r="V1521">
        <v>0.11023909988438001</v>
      </c>
      <c r="W1521">
        <v>8.1176361945650655</v>
      </c>
      <c r="X1521">
        <v>0.26148417994634282</v>
      </c>
      <c r="Z1521" t="s">
        <v>392</v>
      </c>
      <c r="AA1521">
        <v>140</v>
      </c>
      <c r="AB1521" t="s">
        <v>1912</v>
      </c>
      <c r="AC1521" t="str">
        <f>HYPERLINK("plots/20251231112652_3FT6Y119H04_05543_B21P_N_UFLEX98_M5358A8BA201511/dpll_52084/txpa_54201.png","plot")</f>
        <v>plot</v>
      </c>
    </row>
    <row r="1522" spans="1:29" hidden="1" x14ac:dyDescent="0.35">
      <c r="A1522" t="s">
        <v>47</v>
      </c>
      <c r="B1522">
        <v>52084</v>
      </c>
      <c r="C1522" t="s">
        <v>52</v>
      </c>
      <c r="D1522">
        <v>54202</v>
      </c>
      <c r="E1522" t="s">
        <v>222</v>
      </c>
      <c r="F1522">
        <v>7139</v>
      </c>
      <c r="G1522">
        <v>0.20892330662972061</v>
      </c>
      <c r="H1522">
        <v>3.0678545937787E-71</v>
      </c>
      <c r="I1522">
        <v>3.9527376849956822E-71</v>
      </c>
      <c r="J1522">
        <v>0.1705764109759032</v>
      </c>
      <c r="K1522">
        <v>9.535320801335623E-48</v>
      </c>
      <c r="L1522">
        <v>1.160722123956101E-47</v>
      </c>
      <c r="M1522">
        <v>0.1137982653528514</v>
      </c>
      <c r="N1522">
        <v>3.9326769609792401E-47</v>
      </c>
      <c r="O1522">
        <v>4.7814561611905872E-47</v>
      </c>
      <c r="P1522">
        <v>4.364894805309625E-2</v>
      </c>
      <c r="Q1522">
        <v>0.75817194546635625</v>
      </c>
      <c r="R1522">
        <v>4.3163156936379874</v>
      </c>
      <c r="S1522">
        <v>0.39119629120845378</v>
      </c>
      <c r="T1522">
        <v>0.32692259639283638</v>
      </c>
      <c r="U1522">
        <v>4.2625965936405663</v>
      </c>
      <c r="V1522">
        <v>0.11023909988438001</v>
      </c>
      <c r="W1522">
        <v>7.548096845776719</v>
      </c>
      <c r="X1522">
        <v>0.4000520294939206</v>
      </c>
      <c r="Z1522" t="s">
        <v>392</v>
      </c>
      <c r="AA1522">
        <v>140</v>
      </c>
      <c r="AB1522" t="s">
        <v>1913</v>
      </c>
      <c r="AC1522" t="str">
        <f>HYPERLINK("plots/20251231112652_3FT6Y119H04_05543_B21P_N_UFLEX98_M5358A8BA201511/dpll_52084/txpa_54202.png","plot")</f>
        <v>plot</v>
      </c>
    </row>
    <row r="1523" spans="1:29" hidden="1" x14ac:dyDescent="0.35">
      <c r="A1523" t="s">
        <v>47</v>
      </c>
      <c r="B1523">
        <v>52084</v>
      </c>
      <c r="C1523" t="s">
        <v>52</v>
      </c>
      <c r="D1523">
        <v>54203</v>
      </c>
      <c r="E1523" t="s">
        <v>223</v>
      </c>
      <c r="F1523">
        <v>7139</v>
      </c>
      <c r="G1523">
        <v>0.2019464649324185</v>
      </c>
      <c r="H1523">
        <v>1.379945428548253E-66</v>
      </c>
      <c r="I1523">
        <v>1.740378936004886E-66</v>
      </c>
      <c r="J1523">
        <v>0.16279537004108449</v>
      </c>
      <c r="K1523">
        <v>1.3628987302764611E-43</v>
      </c>
      <c r="L1523">
        <v>1.631616661747735E-43</v>
      </c>
      <c r="M1523">
        <v>0.1082181529499596</v>
      </c>
      <c r="N1523">
        <v>8.6131052036628331E-43</v>
      </c>
      <c r="O1523">
        <v>1.0311320751492459E-42</v>
      </c>
      <c r="P1523">
        <v>4.0782374698700517E-2</v>
      </c>
      <c r="Q1523">
        <v>0.73448476793024764</v>
      </c>
      <c r="R1523">
        <v>5.4972361147873539</v>
      </c>
      <c r="S1523">
        <v>0.39265429546150521</v>
      </c>
      <c r="T1523">
        <v>0.32628836355095081</v>
      </c>
      <c r="U1523">
        <v>4.2625965936405663</v>
      </c>
      <c r="V1523">
        <v>0.11023909988438001</v>
      </c>
      <c r="W1523">
        <v>8.628048384647709</v>
      </c>
      <c r="X1523">
        <v>0.4009425949719625</v>
      </c>
      <c r="Z1523" t="s">
        <v>392</v>
      </c>
      <c r="AA1523">
        <v>140</v>
      </c>
      <c r="AB1523" t="s">
        <v>1914</v>
      </c>
      <c r="AC1523" t="str">
        <f>HYPERLINK("plots/20251231112652_3FT6Y119H04_05543_B21P_N_UFLEX98_M5358A8BA201511/dpll_52084/txpa_54203.png","plot")</f>
        <v>plot</v>
      </c>
    </row>
    <row r="1524" spans="1:29" hidden="1" x14ac:dyDescent="0.35">
      <c r="A1524" t="s">
        <v>47</v>
      </c>
      <c r="B1524">
        <v>52084</v>
      </c>
      <c r="C1524" t="s">
        <v>52</v>
      </c>
      <c r="D1524">
        <v>54204</v>
      </c>
      <c r="E1524" t="s">
        <v>224</v>
      </c>
      <c r="F1524">
        <v>7139</v>
      </c>
      <c r="G1524">
        <v>0.34099858179787113</v>
      </c>
      <c r="H1524">
        <v>7.3425220462205819E-194</v>
      </c>
      <c r="I1524">
        <v>3.3842351613034859E-193</v>
      </c>
      <c r="J1524">
        <v>0.33264314512755983</v>
      </c>
      <c r="K1524">
        <v>5.201356939223238E-184</v>
      </c>
      <c r="L1524">
        <v>2.143973957874944E-183</v>
      </c>
      <c r="M1524">
        <v>0.22404825418576291</v>
      </c>
      <c r="N1524">
        <v>2.8213427751119142E-177</v>
      </c>
      <c r="O1524">
        <v>1.130767420538925E-176</v>
      </c>
      <c r="P1524">
        <v>0.1162800327881594</v>
      </c>
      <c r="Q1524">
        <v>0.81049584978968692</v>
      </c>
      <c r="R1524">
        <v>5.5304792072767697</v>
      </c>
      <c r="S1524">
        <v>0.2462979492547745</v>
      </c>
      <c r="T1524">
        <v>0.19031763530268819</v>
      </c>
      <c r="U1524">
        <v>4.2625965936405663</v>
      </c>
      <c r="V1524">
        <v>0.11023909988438001</v>
      </c>
      <c r="W1524">
        <v>8.9852960557501049</v>
      </c>
      <c r="X1524">
        <v>0.26201966140082811</v>
      </c>
      <c r="Z1524" t="s">
        <v>392</v>
      </c>
      <c r="AA1524">
        <v>140</v>
      </c>
      <c r="AB1524" t="s">
        <v>1915</v>
      </c>
      <c r="AC1524" t="str">
        <f>HYPERLINK("plots/20251231112652_3FT6Y119H04_05543_B21P_N_UFLEX98_M5358A8BA201511/dpll_52084/txpa_54204.png","plot")</f>
        <v>plot</v>
      </c>
    </row>
    <row r="1525" spans="1:29" hidden="1" x14ac:dyDescent="0.35">
      <c r="A1525" t="s">
        <v>47</v>
      </c>
      <c r="B1525">
        <v>52084</v>
      </c>
      <c r="C1525" t="s">
        <v>52</v>
      </c>
      <c r="D1525">
        <v>54205</v>
      </c>
      <c r="E1525" t="s">
        <v>225</v>
      </c>
      <c r="F1525">
        <v>7139</v>
      </c>
      <c r="G1525">
        <v>0.2853157808224156</v>
      </c>
      <c r="H1525">
        <v>8.457985574238473E-134</v>
      </c>
      <c r="I1525">
        <v>1.801764153839876E-133</v>
      </c>
      <c r="J1525">
        <v>0.26203559736023041</v>
      </c>
      <c r="K1525">
        <v>2.062431264843868E-112</v>
      </c>
      <c r="L1525">
        <v>4.1909925902839318E-112</v>
      </c>
      <c r="M1525">
        <v>0.17675132833764329</v>
      </c>
      <c r="N1525">
        <v>4.3544524382319361E-111</v>
      </c>
      <c r="O1525">
        <v>8.8662947236288825E-111</v>
      </c>
      <c r="P1525">
        <v>8.1405094786304699E-2</v>
      </c>
      <c r="Q1525">
        <v>0.74978784031804546</v>
      </c>
      <c r="R1525">
        <v>5.9838957380965656</v>
      </c>
      <c r="S1525">
        <v>0.27763860610233843</v>
      </c>
      <c r="T1525">
        <v>0.22074023781235499</v>
      </c>
      <c r="U1525">
        <v>4.2625965936405663</v>
      </c>
      <c r="V1525">
        <v>0.11023909988438001</v>
      </c>
      <c r="W1525">
        <v>9.179938832189384</v>
      </c>
      <c r="X1525">
        <v>0.28969984198792298</v>
      </c>
      <c r="Z1525" t="s">
        <v>392</v>
      </c>
      <c r="AA1525">
        <v>140</v>
      </c>
      <c r="AB1525" t="s">
        <v>1916</v>
      </c>
      <c r="AC1525" t="str">
        <f>HYPERLINK("plots/20251231112652_3FT6Y119H04_05543_B21P_N_UFLEX98_M5358A8BA201511/dpll_52084/txpa_54205.png","plot")</f>
        <v>plot</v>
      </c>
    </row>
    <row r="1526" spans="1:29" hidden="1" x14ac:dyDescent="0.35">
      <c r="A1526" t="s">
        <v>47</v>
      </c>
      <c r="B1526">
        <v>52084</v>
      </c>
      <c r="C1526" t="s">
        <v>52</v>
      </c>
      <c r="D1526">
        <v>54206</v>
      </c>
      <c r="E1526" t="s">
        <v>226</v>
      </c>
      <c r="F1526">
        <v>7139</v>
      </c>
      <c r="G1526">
        <v>0.37212613986925253</v>
      </c>
      <c r="H1526">
        <v>2.5257648239154658E-233</v>
      </c>
      <c r="I1526">
        <v>3.2834942710901063E-232</v>
      </c>
      <c r="J1526">
        <v>0.35536425236180441</v>
      </c>
      <c r="K1526">
        <v>1.6009923711892359E-211</v>
      </c>
      <c r="L1526">
        <v>9.3299210596889963E-211</v>
      </c>
      <c r="M1526">
        <v>0.24118240910669941</v>
      </c>
      <c r="N1526">
        <v>4.258796771579909E-205</v>
      </c>
      <c r="O1526">
        <v>2.3217311432161439E-204</v>
      </c>
      <c r="P1526">
        <v>0.13847786397399051</v>
      </c>
      <c r="Q1526">
        <v>0.84094241705863293</v>
      </c>
      <c r="R1526">
        <v>5.4008269100619373</v>
      </c>
      <c r="S1526">
        <v>0.23121422014086049</v>
      </c>
      <c r="T1526">
        <v>0.18013424702094641</v>
      </c>
      <c r="U1526">
        <v>4.2625965936405663</v>
      </c>
      <c r="V1526">
        <v>0.11023909988438001</v>
      </c>
      <c r="W1526">
        <v>8.9854251924639303</v>
      </c>
      <c r="X1526">
        <v>0.24912180354680449</v>
      </c>
      <c r="Z1526" t="s">
        <v>392</v>
      </c>
      <c r="AA1526">
        <v>140</v>
      </c>
      <c r="AB1526" t="s">
        <v>1917</v>
      </c>
      <c r="AC1526" t="str">
        <f>HYPERLINK("plots/20251231112652_3FT6Y119H04_05543_B21P_N_UFLEX98_M5358A8BA201511/dpll_52084/txpa_54206.png","plot")</f>
        <v>plot</v>
      </c>
    </row>
    <row r="1527" spans="1:29" hidden="1" x14ac:dyDescent="0.35">
      <c r="A1527" t="s">
        <v>47</v>
      </c>
      <c r="B1527">
        <v>52084</v>
      </c>
      <c r="C1527" t="s">
        <v>52</v>
      </c>
      <c r="D1527">
        <v>54207</v>
      </c>
      <c r="E1527" t="s">
        <v>227</v>
      </c>
      <c r="F1527">
        <v>7139</v>
      </c>
      <c r="G1527">
        <v>0.31463987405701632</v>
      </c>
      <c r="H1527">
        <v>8.2267340390666575E-164</v>
      </c>
      <c r="I1527">
        <v>2.4109561605819631E-163</v>
      </c>
      <c r="J1527">
        <v>0.27955317625440168</v>
      </c>
      <c r="K1527">
        <v>2.619160975218703E-128</v>
      </c>
      <c r="L1527">
        <v>6.2197405828378573E-128</v>
      </c>
      <c r="M1527">
        <v>0.18755451849120089</v>
      </c>
      <c r="N1527">
        <v>7.8174800393150242E-125</v>
      </c>
      <c r="O1527">
        <v>1.8222815539920541E-124</v>
      </c>
      <c r="P1527">
        <v>9.8998250346615094E-2</v>
      </c>
      <c r="Q1527">
        <v>0.75788865414872753</v>
      </c>
      <c r="R1527">
        <v>5.9128367793092167</v>
      </c>
      <c r="S1527">
        <v>0.2520343310245155</v>
      </c>
      <c r="T1527">
        <v>0.20110983631115051</v>
      </c>
      <c r="U1527">
        <v>4.2625965936405663</v>
      </c>
      <c r="V1527">
        <v>0.11023909988438001</v>
      </c>
      <c r="W1527">
        <v>9.143410374842416</v>
      </c>
      <c r="X1527">
        <v>0.2655383819242183</v>
      </c>
      <c r="Z1527" t="s">
        <v>392</v>
      </c>
      <c r="AA1527">
        <v>140</v>
      </c>
      <c r="AB1527" t="s">
        <v>1918</v>
      </c>
      <c r="AC1527" t="str">
        <f>HYPERLINK("plots/20251231112652_3FT6Y119H04_05543_B21P_N_UFLEX98_M5358A8BA201511/dpll_52084/txpa_54207.png","plot")</f>
        <v>plot</v>
      </c>
    </row>
    <row r="1528" spans="1:29" hidden="1" x14ac:dyDescent="0.35">
      <c r="A1528" t="s">
        <v>47</v>
      </c>
      <c r="B1528">
        <v>52084</v>
      </c>
      <c r="C1528" t="s">
        <v>52</v>
      </c>
      <c r="D1528">
        <v>54208</v>
      </c>
      <c r="E1528" t="s">
        <v>228</v>
      </c>
      <c r="F1528">
        <v>7139</v>
      </c>
      <c r="G1528">
        <v>0.39045649124063492</v>
      </c>
      <c r="H1528">
        <v>1.070934011609736E-258</v>
      </c>
      <c r="I1528">
        <v>3.2906881447644609E-257</v>
      </c>
      <c r="J1528">
        <v>0.36425982438249632</v>
      </c>
      <c r="K1528">
        <v>6.2673271823820179E-223</v>
      </c>
      <c r="L1528">
        <v>4.8511982923170727E-222</v>
      </c>
      <c r="M1528">
        <v>0.2468934477425504</v>
      </c>
      <c r="N1528">
        <v>7.9747146072013177E-215</v>
      </c>
      <c r="O1528">
        <v>5.6946201490860123E-214</v>
      </c>
      <c r="P1528">
        <v>0.15245627155194799</v>
      </c>
      <c r="Q1528">
        <v>0.79744778946214645</v>
      </c>
      <c r="R1528">
        <v>5.6604841209024661</v>
      </c>
      <c r="S1528">
        <v>0.20726019760645831</v>
      </c>
      <c r="T1528">
        <v>0.1609810041873618</v>
      </c>
      <c r="U1528">
        <v>4.2625965936405663</v>
      </c>
      <c r="V1528">
        <v>0.11023909988438001</v>
      </c>
      <c r="W1528">
        <v>9.0596823518700109</v>
      </c>
      <c r="X1528">
        <v>0.22514653613715321</v>
      </c>
      <c r="Z1528" t="s">
        <v>392</v>
      </c>
      <c r="AA1528">
        <v>140</v>
      </c>
      <c r="AB1528" t="s">
        <v>1919</v>
      </c>
      <c r="AC1528" t="str">
        <f>HYPERLINK("plots/20251231112652_3FT6Y119H04_05543_B21P_N_UFLEX98_M5358A8BA201511/dpll_52084/txpa_54208.png","plot")</f>
        <v>plot</v>
      </c>
    </row>
    <row r="1529" spans="1:29" hidden="1" x14ac:dyDescent="0.35">
      <c r="A1529" t="s">
        <v>47</v>
      </c>
      <c r="B1529">
        <v>52084</v>
      </c>
      <c r="C1529" t="s">
        <v>52</v>
      </c>
      <c r="D1529">
        <v>54209</v>
      </c>
      <c r="E1529" t="s">
        <v>229</v>
      </c>
      <c r="F1529">
        <v>7139</v>
      </c>
      <c r="G1529">
        <v>0.30607077883504841</v>
      </c>
      <c r="H1529">
        <v>1.119899071218274E-154</v>
      </c>
      <c r="I1529">
        <v>3.0041736989823523E-154</v>
      </c>
      <c r="J1529">
        <v>0.27730696476551292</v>
      </c>
      <c r="K1529">
        <v>3.3347965603947583E-126</v>
      </c>
      <c r="L1529">
        <v>7.6677635198192381E-126</v>
      </c>
      <c r="M1529">
        <v>0.1867362321154257</v>
      </c>
      <c r="N1529">
        <v>9.1769765698409488E-124</v>
      </c>
      <c r="O1529">
        <v>2.11487596404971E-123</v>
      </c>
      <c r="P1529">
        <v>9.3679321656693085E-2</v>
      </c>
      <c r="Q1529">
        <v>0.7060055378037261</v>
      </c>
      <c r="R1529">
        <v>6.0771890324962969</v>
      </c>
      <c r="S1529">
        <v>0.24206523580241049</v>
      </c>
      <c r="T1529">
        <v>0.19039549129590069</v>
      </c>
      <c r="U1529">
        <v>4.2625965936405663</v>
      </c>
      <c r="V1529">
        <v>0.11023909988438001</v>
      </c>
      <c r="W1529">
        <v>9.0866058330298358</v>
      </c>
      <c r="X1529">
        <v>0.25428567632983767</v>
      </c>
      <c r="Z1529" t="s">
        <v>392</v>
      </c>
      <c r="AA1529">
        <v>140</v>
      </c>
      <c r="AB1529" t="s">
        <v>1920</v>
      </c>
      <c r="AC1529" t="str">
        <f>HYPERLINK("plots/20251231112652_3FT6Y119H04_05543_B21P_N_UFLEX98_M5358A8BA201511/dpll_52084/txpa_54209.png","plot")</f>
        <v>plot</v>
      </c>
    </row>
    <row r="1530" spans="1:29" hidden="1" x14ac:dyDescent="0.35">
      <c r="A1530" t="s">
        <v>47</v>
      </c>
      <c r="B1530">
        <v>52084</v>
      </c>
      <c r="C1530" t="s">
        <v>52</v>
      </c>
      <c r="D1530">
        <v>54210</v>
      </c>
      <c r="E1530" t="s">
        <v>230</v>
      </c>
      <c r="F1530">
        <v>7139</v>
      </c>
      <c r="G1530">
        <v>0.21879191671025869</v>
      </c>
      <c r="H1530">
        <v>4.089382175868381E-78</v>
      </c>
      <c r="I1530">
        <v>5.5214827248076409E-78</v>
      </c>
      <c r="J1530">
        <v>0.1785200422177943</v>
      </c>
      <c r="K1530">
        <v>3.3645976727594057E-52</v>
      </c>
      <c r="L1530">
        <v>4.2276357375192537E-52</v>
      </c>
      <c r="M1530">
        <v>0.11911377166137239</v>
      </c>
      <c r="N1530">
        <v>1.8152566950439209E-51</v>
      </c>
      <c r="O1530">
        <v>2.275241395271368E-51</v>
      </c>
      <c r="P1530">
        <v>4.7869902817748777E-2</v>
      </c>
      <c r="Q1530">
        <v>0.76172149605330663</v>
      </c>
      <c r="R1530">
        <v>5.3044665622893792</v>
      </c>
      <c r="S1530">
        <v>0.37447111596232707</v>
      </c>
      <c r="T1530">
        <v>0.31241872344808119</v>
      </c>
      <c r="U1530">
        <v>4.2625965936405663</v>
      </c>
      <c r="V1530">
        <v>0.11023909988438001</v>
      </c>
      <c r="W1530">
        <v>8.5513780166690001</v>
      </c>
      <c r="X1530">
        <v>0.38379613538786012</v>
      </c>
      <c r="Z1530" t="s">
        <v>392</v>
      </c>
      <c r="AA1530">
        <v>140</v>
      </c>
      <c r="AB1530" t="s">
        <v>1921</v>
      </c>
      <c r="AC1530" t="str">
        <f>HYPERLINK("plots/20251231112652_3FT6Y119H04_05543_B21P_N_UFLEX98_M5358A8BA201511/dpll_52084/txpa_54210.png","plot")</f>
        <v>plot</v>
      </c>
    </row>
    <row r="1531" spans="1:29" hidden="1" x14ac:dyDescent="0.35">
      <c r="A1531" t="s">
        <v>47</v>
      </c>
      <c r="B1531">
        <v>52084</v>
      </c>
      <c r="C1531" t="s">
        <v>52</v>
      </c>
      <c r="D1531">
        <v>54211</v>
      </c>
      <c r="E1531" t="s">
        <v>231</v>
      </c>
      <c r="F1531">
        <v>7139</v>
      </c>
      <c r="G1531">
        <v>0.2135101501592078</v>
      </c>
      <c r="H1531">
        <v>2.159288134335255E-74</v>
      </c>
      <c r="I1531">
        <v>2.8398419821218531E-74</v>
      </c>
      <c r="J1531">
        <v>0.1732537547875263</v>
      </c>
      <c r="K1531">
        <v>3.1807584416576709E-49</v>
      </c>
      <c r="L1531">
        <v>3.9141857522340759E-49</v>
      </c>
      <c r="M1531">
        <v>0.1151845289399928</v>
      </c>
      <c r="N1531">
        <v>3.0392851018591183E-48</v>
      </c>
      <c r="O1531">
        <v>3.7220230595231227E-48</v>
      </c>
      <c r="P1531">
        <v>4.5586584221007483E-2</v>
      </c>
      <c r="Q1531">
        <v>0.74452069771489482</v>
      </c>
      <c r="R1531">
        <v>6.4201902194947049</v>
      </c>
      <c r="S1531">
        <v>0.3755188625063276</v>
      </c>
      <c r="T1531">
        <v>0.31108100723008691</v>
      </c>
      <c r="U1531">
        <v>4.2625965936405663</v>
      </c>
      <c r="V1531">
        <v>0.11023909988438001</v>
      </c>
      <c r="W1531">
        <v>9.5937816094691133</v>
      </c>
      <c r="X1531">
        <v>0.38440931965145281</v>
      </c>
      <c r="Z1531" t="s">
        <v>392</v>
      </c>
      <c r="AA1531">
        <v>140</v>
      </c>
      <c r="AB1531" t="s">
        <v>1922</v>
      </c>
      <c r="AC1531" t="str">
        <f>HYPERLINK("plots/20251231112652_3FT6Y119H04_05543_B21P_N_UFLEX98_M5358A8BA201511/dpll_52084/txpa_54211.png","plot")</f>
        <v>plot</v>
      </c>
    </row>
    <row r="1532" spans="1:29" hidden="1" x14ac:dyDescent="0.35">
      <c r="A1532" t="s">
        <v>47</v>
      </c>
      <c r="B1532">
        <v>52084</v>
      </c>
      <c r="C1532" t="s">
        <v>52</v>
      </c>
      <c r="D1532">
        <v>54212</v>
      </c>
      <c r="E1532" t="s">
        <v>232</v>
      </c>
      <c r="F1532">
        <v>7139</v>
      </c>
      <c r="G1532">
        <v>0.35077692481593969</v>
      </c>
      <c r="H1532">
        <v>8.8145350659800296E-206</v>
      </c>
      <c r="I1532">
        <v>5.1367462970711214E-205</v>
      </c>
      <c r="J1532">
        <v>0.345515727582488</v>
      </c>
      <c r="K1532">
        <v>2.5834823330904569E-199</v>
      </c>
      <c r="L1532">
        <v>1.2298831388515139E-198</v>
      </c>
      <c r="M1532">
        <v>0.23346469643429621</v>
      </c>
      <c r="N1532">
        <v>2.5922143613964269E-192</v>
      </c>
      <c r="O1532">
        <v>1.1734398939535609E-191</v>
      </c>
      <c r="P1532">
        <v>0.12304445098332741</v>
      </c>
      <c r="Q1532">
        <v>0.81928445248327209</v>
      </c>
      <c r="R1532">
        <v>6.4340440927550606</v>
      </c>
      <c r="S1532">
        <v>0.2411002865413234</v>
      </c>
      <c r="T1532">
        <v>0.1850430784200065</v>
      </c>
      <c r="U1532">
        <v>4.2625965936405663</v>
      </c>
      <c r="V1532">
        <v>0.11023909988438001</v>
      </c>
      <c r="W1532">
        <v>9.9263232091329332</v>
      </c>
      <c r="X1532">
        <v>0.25747754256758609</v>
      </c>
      <c r="Z1532" t="s">
        <v>392</v>
      </c>
      <c r="AA1532">
        <v>140</v>
      </c>
      <c r="AB1532" t="s">
        <v>1923</v>
      </c>
      <c r="AC1532" t="str">
        <f>HYPERLINK("plots/20251231112652_3FT6Y119H04_05543_B21P_N_UFLEX98_M5358A8BA201511/dpll_52084/txpa_54212.png","plot")</f>
        <v>plot</v>
      </c>
    </row>
    <row r="1533" spans="1:29" hidden="1" x14ac:dyDescent="0.35">
      <c r="A1533" t="s">
        <v>47</v>
      </c>
      <c r="B1533">
        <v>52084</v>
      </c>
      <c r="C1533" t="s">
        <v>52</v>
      </c>
      <c r="D1533">
        <v>54213</v>
      </c>
      <c r="E1533" t="s">
        <v>233</v>
      </c>
      <c r="F1533">
        <v>7139</v>
      </c>
      <c r="G1533">
        <v>0.29909582635944448</v>
      </c>
      <c r="H1533">
        <v>1.820521168315207E-147</v>
      </c>
      <c r="I1533">
        <v>4.469754151747263E-147</v>
      </c>
      <c r="J1533">
        <v>0.27822038890619671</v>
      </c>
      <c r="K1533">
        <v>4.6718846265865891E-127</v>
      </c>
      <c r="L1533">
        <v>1.084048286352128E-126</v>
      </c>
      <c r="M1533">
        <v>0.18798446840037661</v>
      </c>
      <c r="N1533">
        <v>2.1328481007261589E-125</v>
      </c>
      <c r="O1533">
        <v>5.0412773289891042E-125</v>
      </c>
      <c r="P1533">
        <v>8.945831334563896E-2</v>
      </c>
      <c r="Q1533">
        <v>0.76124401181624535</v>
      </c>
      <c r="R1533">
        <v>6.8573480666499007</v>
      </c>
      <c r="S1533">
        <v>0.26771252647699623</v>
      </c>
      <c r="T1533">
        <v>0.21114166408891469</v>
      </c>
      <c r="U1533">
        <v>4.2625965936405663</v>
      </c>
      <c r="V1533">
        <v>0.11023909988438001</v>
      </c>
      <c r="W1533">
        <v>10.102224198347111</v>
      </c>
      <c r="X1533">
        <v>0.28057514434904252</v>
      </c>
      <c r="Z1533" t="s">
        <v>392</v>
      </c>
      <c r="AA1533">
        <v>140</v>
      </c>
      <c r="AB1533" t="s">
        <v>1924</v>
      </c>
      <c r="AC1533" t="str">
        <f>HYPERLINK("plots/20251231112652_3FT6Y119H04_05543_B21P_N_UFLEX98_M5358A8BA201511/dpll_52084/txpa_54213.png","plot")</f>
        <v>plot</v>
      </c>
    </row>
    <row r="1534" spans="1:29" hidden="1" x14ac:dyDescent="0.35">
      <c r="A1534" t="s">
        <v>47</v>
      </c>
      <c r="B1534">
        <v>52084</v>
      </c>
      <c r="C1534" t="s">
        <v>52</v>
      </c>
      <c r="D1534">
        <v>54214</v>
      </c>
      <c r="E1534" t="s">
        <v>234</v>
      </c>
      <c r="F1534">
        <v>7139</v>
      </c>
      <c r="G1534">
        <v>0.38134862119151652</v>
      </c>
      <c r="H1534">
        <v>6.9311775525637964E-246</v>
      </c>
      <c r="I1534">
        <v>1.326078120433904E-244</v>
      </c>
      <c r="J1534">
        <v>0.36680208728907848</v>
      </c>
      <c r="K1534">
        <v>2.9478976332966348E-226</v>
      </c>
      <c r="L1534">
        <v>2.5331933899684641E-225</v>
      </c>
      <c r="M1534">
        <v>0.24977934064986029</v>
      </c>
      <c r="N1534">
        <v>7.9318208226370223E-220</v>
      </c>
      <c r="O1534">
        <v>6.283489307932766E-219</v>
      </c>
      <c r="P1534">
        <v>0.14542677088467071</v>
      </c>
      <c r="Q1534">
        <v>0.84811070764706531</v>
      </c>
      <c r="R1534">
        <v>6.3107410669289337</v>
      </c>
      <c r="S1534">
        <v>0.22662626800786281</v>
      </c>
      <c r="T1534">
        <v>0.17529977275852021</v>
      </c>
      <c r="U1534">
        <v>4.2625965936405663</v>
      </c>
      <c r="V1534">
        <v>0.11023909988438001</v>
      </c>
      <c r="W1534">
        <v>9.9258948803754041</v>
      </c>
      <c r="X1534">
        <v>0.2451692645988699</v>
      </c>
      <c r="Z1534" t="s">
        <v>392</v>
      </c>
      <c r="AA1534">
        <v>140</v>
      </c>
      <c r="AB1534" t="s">
        <v>1925</v>
      </c>
      <c r="AC1534" t="str">
        <f>HYPERLINK("plots/20251231112652_3FT6Y119H04_05543_B21P_N_UFLEX98_M5358A8BA201511/dpll_52084/txpa_54214.png","plot")</f>
        <v>plot</v>
      </c>
    </row>
    <row r="1535" spans="1:29" hidden="1" x14ac:dyDescent="0.35">
      <c r="A1535" t="s">
        <v>47</v>
      </c>
      <c r="B1535">
        <v>52084</v>
      </c>
      <c r="C1535" t="s">
        <v>52</v>
      </c>
      <c r="D1535">
        <v>54215</v>
      </c>
      <c r="E1535" t="s">
        <v>235</v>
      </c>
      <c r="F1535">
        <v>7139</v>
      </c>
      <c r="G1535">
        <v>0.32868955840292791</v>
      </c>
      <c r="H1535">
        <v>1.8658634895079022E-179</v>
      </c>
      <c r="I1535">
        <v>6.6153341900734709E-179</v>
      </c>
      <c r="J1535">
        <v>0.29520176494111949</v>
      </c>
      <c r="K1535">
        <v>1.5841275735479469E-143</v>
      </c>
      <c r="L1535">
        <v>4.2607569219565484E-143</v>
      </c>
      <c r="M1535">
        <v>0.1984886735101109</v>
      </c>
      <c r="N1535">
        <v>1.4228722365744521E-139</v>
      </c>
      <c r="O1535">
        <v>3.7769435808546959E-139</v>
      </c>
      <c r="P1535">
        <v>0.10803682580311171</v>
      </c>
      <c r="Q1535">
        <v>0.76948513000182439</v>
      </c>
      <c r="R1535">
        <v>6.7948323313508467</v>
      </c>
      <c r="S1535">
        <v>0.24372104146976761</v>
      </c>
      <c r="T1535">
        <v>0.19305114956596339</v>
      </c>
      <c r="U1535">
        <v>4.2625965936405663</v>
      </c>
      <c r="V1535">
        <v>0.11023909988438001</v>
      </c>
      <c r="W1535">
        <v>10.074837025353689</v>
      </c>
      <c r="X1535">
        <v>0.25807740446025879</v>
      </c>
      <c r="Z1535" t="s">
        <v>392</v>
      </c>
      <c r="AA1535">
        <v>140</v>
      </c>
      <c r="AB1535" t="s">
        <v>1926</v>
      </c>
      <c r="AC1535" t="str">
        <f>HYPERLINK("plots/20251231112652_3FT6Y119H04_05543_B21P_N_UFLEX98_M5358A8BA201511/dpll_52084/txpa_54215.png","plot")</f>
        <v>plot</v>
      </c>
    </row>
    <row r="1536" spans="1:29" hidden="1" x14ac:dyDescent="0.35">
      <c r="A1536" t="s">
        <v>47</v>
      </c>
      <c r="B1536">
        <v>52084</v>
      </c>
      <c r="C1536" t="s">
        <v>52</v>
      </c>
      <c r="D1536">
        <v>54216</v>
      </c>
      <c r="E1536" t="s">
        <v>236</v>
      </c>
      <c r="F1536">
        <v>7139</v>
      </c>
      <c r="G1536">
        <v>0.40042803633370239</v>
      </c>
      <c r="H1536">
        <v>3.3940361177179821E-273</v>
      </c>
      <c r="I1536">
        <v>3.1286842030600311E-271</v>
      </c>
      <c r="J1536">
        <v>0.37719742946802087</v>
      </c>
      <c r="K1536">
        <v>3.5121556144974512E-240</v>
      </c>
      <c r="L1536">
        <v>3.74876399273728E-239</v>
      </c>
      <c r="M1536">
        <v>0.25665429399715872</v>
      </c>
      <c r="N1536">
        <v>5.6239613641704857E-232</v>
      </c>
      <c r="O1536">
        <v>5.6462344784840321E-231</v>
      </c>
      <c r="P1536">
        <v>0.16034261228206489</v>
      </c>
      <c r="Q1536">
        <v>0.80735328287249508</v>
      </c>
      <c r="R1536">
        <v>6.551944775432764</v>
      </c>
      <c r="S1536">
        <v>0.20365516749071799</v>
      </c>
      <c r="T1536">
        <v>0.1567438729435971</v>
      </c>
      <c r="U1536">
        <v>4.2625965936405663</v>
      </c>
      <c r="V1536">
        <v>0.11023909988438001</v>
      </c>
      <c r="W1536">
        <v>9.9933661288695905</v>
      </c>
      <c r="X1536">
        <v>0.22226690220659809</v>
      </c>
      <c r="Z1536" t="s">
        <v>392</v>
      </c>
      <c r="AA1536">
        <v>140</v>
      </c>
      <c r="AB1536" t="s">
        <v>1927</v>
      </c>
      <c r="AC1536" t="str">
        <f>HYPERLINK("plots/20251231112652_3FT6Y119H04_05543_B21P_N_UFLEX98_M5358A8BA201511/dpll_52084/txpa_54216.png","plot")</f>
        <v>plot</v>
      </c>
    </row>
    <row r="1537" spans="1:29" hidden="1" x14ac:dyDescent="0.35">
      <c r="A1537" t="s">
        <v>47</v>
      </c>
      <c r="B1537">
        <v>52084</v>
      </c>
      <c r="C1537" t="s">
        <v>52</v>
      </c>
      <c r="D1537">
        <v>54217</v>
      </c>
      <c r="E1537" t="s">
        <v>237</v>
      </c>
      <c r="F1537">
        <v>7139</v>
      </c>
      <c r="G1537">
        <v>0.32016307133196981</v>
      </c>
      <c r="H1537">
        <v>7.3306250461061576E-170</v>
      </c>
      <c r="I1537">
        <v>2.3084639120346719E-169</v>
      </c>
      <c r="J1537">
        <v>0.29130879588712028</v>
      </c>
      <c r="K1537">
        <v>1.19415636789709E-139</v>
      </c>
      <c r="L1537">
        <v>3.1208107140403341E-139</v>
      </c>
      <c r="M1537">
        <v>0.1965079467941046</v>
      </c>
      <c r="N1537">
        <v>7.6755417397932502E-137</v>
      </c>
      <c r="O1537">
        <v>1.990536911547405E-136</v>
      </c>
      <c r="P1537">
        <v>0.10250439224471999</v>
      </c>
      <c r="Q1537">
        <v>0.71951449716024707</v>
      </c>
      <c r="R1537">
        <v>6.9541538945368986</v>
      </c>
      <c r="S1537">
        <v>0.23468736913834001</v>
      </c>
      <c r="T1537">
        <v>0.18400006269294961</v>
      </c>
      <c r="U1537">
        <v>4.2625965936405663</v>
      </c>
      <c r="V1537">
        <v>0.11023909988438001</v>
      </c>
      <c r="W1537">
        <v>10.021153939207171</v>
      </c>
      <c r="X1537">
        <v>0.24774447031233121</v>
      </c>
      <c r="Z1537" t="s">
        <v>392</v>
      </c>
      <c r="AA1537">
        <v>140</v>
      </c>
      <c r="AB1537" t="s">
        <v>1928</v>
      </c>
      <c r="AC1537" t="str">
        <f>HYPERLINK("plots/20251231112652_3FT6Y119H04_05543_B21P_N_UFLEX98_M5358A8BA201511/dpll_52084/txpa_54217.png","plot")</f>
        <v>plot</v>
      </c>
    </row>
    <row r="1538" spans="1:29" hidden="1" x14ac:dyDescent="0.35">
      <c r="A1538" t="s">
        <v>47</v>
      </c>
      <c r="B1538">
        <v>52084</v>
      </c>
      <c r="C1538" t="s">
        <v>52</v>
      </c>
      <c r="D1538">
        <v>54218</v>
      </c>
      <c r="E1538" t="s">
        <v>238</v>
      </c>
      <c r="F1538">
        <v>7139</v>
      </c>
      <c r="G1538">
        <v>0.23051609527228251</v>
      </c>
      <c r="H1538">
        <v>9.7942859650803487E-87</v>
      </c>
      <c r="I1538">
        <v>1.398789573041053E-86</v>
      </c>
      <c r="J1538">
        <v>0.18801148156842459</v>
      </c>
      <c r="K1538">
        <v>8.4248264555412305E-58</v>
      </c>
      <c r="L1538">
        <v>1.1080121953202079E-57</v>
      </c>
      <c r="M1538">
        <v>0.1254873906707068</v>
      </c>
      <c r="N1538">
        <v>6.331456509003037E-57</v>
      </c>
      <c r="O1538">
        <v>8.2839960001665539E-57</v>
      </c>
      <c r="P1538">
        <v>5.3137670179580022E-2</v>
      </c>
      <c r="Q1538">
        <v>0.76935953446167227</v>
      </c>
      <c r="R1538">
        <v>6.2424730985906987</v>
      </c>
      <c r="S1538">
        <v>0.35799482156789081</v>
      </c>
      <c r="T1538">
        <v>0.29799628771361208</v>
      </c>
      <c r="U1538">
        <v>4.2625965936405663</v>
      </c>
      <c r="V1538">
        <v>0.11023909988438001</v>
      </c>
      <c r="W1538">
        <v>9.521942429471915</v>
      </c>
      <c r="X1538">
        <v>0.36792876638978222</v>
      </c>
      <c r="Z1538" t="s">
        <v>392</v>
      </c>
      <c r="AA1538">
        <v>140</v>
      </c>
      <c r="AB1538" t="s">
        <v>1929</v>
      </c>
      <c r="AC1538" t="str">
        <f>HYPERLINK("plots/20251231112652_3FT6Y119H04_05543_B21P_N_UFLEX98_M5358A8BA201511/dpll_52084/txpa_54218.png","plot")</f>
        <v>plot</v>
      </c>
    </row>
    <row r="1539" spans="1:29" hidden="1" x14ac:dyDescent="0.35">
      <c r="A1539" t="s">
        <v>47</v>
      </c>
      <c r="B1539">
        <v>52084</v>
      </c>
      <c r="C1539" t="s">
        <v>52</v>
      </c>
      <c r="D1539">
        <v>54219</v>
      </c>
      <c r="E1539" t="s">
        <v>239</v>
      </c>
      <c r="F1539">
        <v>7139</v>
      </c>
      <c r="G1539">
        <v>0.22528684827953541</v>
      </c>
      <c r="H1539">
        <v>7.8921305804742753E-83</v>
      </c>
      <c r="I1539">
        <v>1.096249371041221E-82</v>
      </c>
      <c r="J1539">
        <v>0.18439368882841159</v>
      </c>
      <c r="K1539">
        <v>1.2500536086128239E-55</v>
      </c>
      <c r="L1539">
        <v>1.6024707447957071E-55</v>
      </c>
      <c r="M1539">
        <v>0.122594397908489</v>
      </c>
      <c r="N1539">
        <v>2.0588393521959339E-54</v>
      </c>
      <c r="O1539">
        <v>2.6326142536275868E-54</v>
      </c>
      <c r="P1539">
        <v>5.0754164007726421E-2</v>
      </c>
      <c r="Q1539">
        <v>0.75167534503159061</v>
      </c>
      <c r="R1539">
        <v>7.3576515895563439</v>
      </c>
      <c r="S1539">
        <v>0.35833485680002691</v>
      </c>
      <c r="T1539">
        <v>0.29570017260315712</v>
      </c>
      <c r="U1539">
        <v>4.2625965936405663</v>
      </c>
      <c r="V1539">
        <v>0.11023909988438001</v>
      </c>
      <c r="W1539">
        <v>10.561740354811599</v>
      </c>
      <c r="X1539">
        <v>0.36781558299730788</v>
      </c>
      <c r="Z1539" t="s">
        <v>392</v>
      </c>
      <c r="AA1539">
        <v>140</v>
      </c>
      <c r="AB1539" t="s">
        <v>1930</v>
      </c>
      <c r="AC1539" t="str">
        <f>HYPERLINK("plots/20251231112652_3FT6Y119H04_05543_B21P_N_UFLEX98_M5358A8BA201511/dpll_52084/txpa_54219.png","plot")</f>
        <v>plot</v>
      </c>
    </row>
    <row r="1540" spans="1:29" hidden="1" x14ac:dyDescent="0.35">
      <c r="A1540" t="s">
        <v>47</v>
      </c>
      <c r="B1540">
        <v>52084</v>
      </c>
      <c r="C1540" t="s">
        <v>52</v>
      </c>
      <c r="D1540">
        <v>54220</v>
      </c>
      <c r="E1540" t="s">
        <v>240</v>
      </c>
      <c r="F1540">
        <v>7139</v>
      </c>
      <c r="G1540">
        <v>0.35883342976942739</v>
      </c>
      <c r="H1540">
        <v>6.2962378169074226E-216</v>
      </c>
      <c r="I1540">
        <v>4.5930828390964939E-215</v>
      </c>
      <c r="J1540">
        <v>0.35810456762737591</v>
      </c>
      <c r="K1540">
        <v>5.3605099854361218E-215</v>
      </c>
      <c r="L1540">
        <v>3.5068110485369208E-214</v>
      </c>
      <c r="M1540">
        <v>0.24294620626268429</v>
      </c>
      <c r="N1540">
        <v>4.4609059188161159E-208</v>
      </c>
      <c r="O1540">
        <v>2.5412126975727758E-207</v>
      </c>
      <c r="P1540">
        <v>0.1287614303200906</v>
      </c>
      <c r="Q1540">
        <v>0.8242476744693632</v>
      </c>
      <c r="R1540">
        <v>7.3534314914740646</v>
      </c>
      <c r="S1540">
        <v>0.23634075598001289</v>
      </c>
      <c r="T1540">
        <v>0.1797241977305524</v>
      </c>
      <c r="U1540">
        <v>4.2625965936405663</v>
      </c>
      <c r="V1540">
        <v>0.11023909988438001</v>
      </c>
      <c r="W1540">
        <v>10.866866820983329</v>
      </c>
      <c r="X1540">
        <v>0.2532214508934747</v>
      </c>
      <c r="Z1540" t="s">
        <v>392</v>
      </c>
      <c r="AA1540">
        <v>140</v>
      </c>
      <c r="AB1540" t="s">
        <v>1931</v>
      </c>
      <c r="AC1540" t="str">
        <f>HYPERLINK("plots/20251231112652_3FT6Y119H04_05543_B21P_N_UFLEX98_M5358A8BA201511/dpll_52084/txpa_54220.png","plot")</f>
        <v>plot</v>
      </c>
    </row>
    <row r="1541" spans="1:29" hidden="1" x14ac:dyDescent="0.35">
      <c r="A1541" t="s">
        <v>47</v>
      </c>
      <c r="B1541">
        <v>52084</v>
      </c>
      <c r="C1541" t="s">
        <v>52</v>
      </c>
      <c r="D1541">
        <v>54221</v>
      </c>
      <c r="E1541" t="s">
        <v>241</v>
      </c>
      <c r="F1541">
        <v>7139</v>
      </c>
      <c r="G1541">
        <v>0.31183200980634351</v>
      </c>
      <c r="H1541">
        <v>8.7464804039454352E-161</v>
      </c>
      <c r="I1541">
        <v>2.4499809750278099E-160</v>
      </c>
      <c r="J1541">
        <v>0.29629047409614018</v>
      </c>
      <c r="K1541">
        <v>1.272147583727696E-144</v>
      </c>
      <c r="L1541">
        <v>3.4583315010720731E-144</v>
      </c>
      <c r="M1541">
        <v>0.20080376500954761</v>
      </c>
      <c r="N1541">
        <v>8.4301904437841323E-143</v>
      </c>
      <c r="O1541">
        <v>2.3165889186984039E-142</v>
      </c>
      <c r="P1541">
        <v>9.7239202339863523E-2</v>
      </c>
      <c r="Q1541">
        <v>0.76854303115167089</v>
      </c>
      <c r="R1541">
        <v>7.7433590721952692</v>
      </c>
      <c r="S1541">
        <v>0.25813035592232192</v>
      </c>
      <c r="T1541">
        <v>0.2010720041691052</v>
      </c>
      <c r="U1541">
        <v>4.2625965936405663</v>
      </c>
      <c r="V1541">
        <v>0.11023909988438001</v>
      </c>
      <c r="W1541">
        <v>11.019347978848581</v>
      </c>
      <c r="X1541">
        <v>0.27169594304699168</v>
      </c>
      <c r="Z1541" t="s">
        <v>392</v>
      </c>
      <c r="AA1541">
        <v>140</v>
      </c>
      <c r="AB1541" t="s">
        <v>1932</v>
      </c>
      <c r="AC1541" t="str">
        <f>HYPERLINK("plots/20251231112652_3FT6Y119H04_05543_B21P_N_UFLEX98_M5358A8BA201511/dpll_52084/txpa_54221.png","plot")</f>
        <v>plot</v>
      </c>
    </row>
    <row r="1542" spans="1:29" hidden="1" x14ac:dyDescent="0.35">
      <c r="A1542" t="s">
        <v>47</v>
      </c>
      <c r="B1542">
        <v>52084</v>
      </c>
      <c r="C1542" t="s">
        <v>52</v>
      </c>
      <c r="D1542">
        <v>54222</v>
      </c>
      <c r="E1542" t="s">
        <v>242</v>
      </c>
      <c r="F1542">
        <v>7139</v>
      </c>
      <c r="G1542">
        <v>0.38940430050416242</v>
      </c>
      <c r="H1542">
        <v>3.3935124245847389E-257</v>
      </c>
      <c r="I1542">
        <v>9.831490281511215E-256</v>
      </c>
      <c r="J1542">
        <v>0.37874546474977078</v>
      </c>
      <c r="K1542">
        <v>2.6787060750318592E-242</v>
      </c>
      <c r="L1542">
        <v>3.0519190562722532E-241</v>
      </c>
      <c r="M1542">
        <v>0.25902978289781109</v>
      </c>
      <c r="N1542">
        <v>2.9932840237042651E-236</v>
      </c>
      <c r="O1542">
        <v>3.3724333333734733E-235</v>
      </c>
      <c r="P1542">
        <v>0.15163570925113601</v>
      </c>
      <c r="Q1542">
        <v>0.85292959611992869</v>
      </c>
      <c r="R1542">
        <v>7.2311970041733797</v>
      </c>
      <c r="S1542">
        <v>0.22238673066099851</v>
      </c>
      <c r="T1542">
        <v>0.1703735272888473</v>
      </c>
      <c r="U1542">
        <v>4.2625965936405663</v>
      </c>
      <c r="V1542">
        <v>0.11023909988438001</v>
      </c>
      <c r="W1542">
        <v>10.86689179520941</v>
      </c>
      <c r="X1542">
        <v>0.2414616141097386</v>
      </c>
      <c r="Z1542" t="s">
        <v>392</v>
      </c>
      <c r="AA1542">
        <v>140</v>
      </c>
      <c r="AB1542" t="s">
        <v>1933</v>
      </c>
      <c r="AC1542" t="str">
        <f>HYPERLINK("plots/20251231112652_3FT6Y119H04_05543_B21P_N_UFLEX98_M5358A8BA201511/dpll_52084/txpa_54222.png","plot")</f>
        <v>plot</v>
      </c>
    </row>
    <row r="1543" spans="1:29" hidden="1" x14ac:dyDescent="0.35">
      <c r="A1543" t="s">
        <v>47</v>
      </c>
      <c r="B1543">
        <v>52084</v>
      </c>
      <c r="C1543" t="s">
        <v>52</v>
      </c>
      <c r="D1543">
        <v>54223</v>
      </c>
      <c r="E1543" t="s">
        <v>243</v>
      </c>
      <c r="F1543">
        <v>7139</v>
      </c>
      <c r="G1543">
        <v>0.34182265854298621</v>
      </c>
      <c r="H1543">
        <v>7.5454158533406968E-195</v>
      </c>
      <c r="I1543">
        <v>3.5752577921904053E-194</v>
      </c>
      <c r="J1543">
        <v>0.31253383864107931</v>
      </c>
      <c r="K1543">
        <v>1.5431837962551541E-161</v>
      </c>
      <c r="L1543">
        <v>5.0477044174281476E-161</v>
      </c>
      <c r="M1543">
        <v>0.21080968745718551</v>
      </c>
      <c r="N1543">
        <v>3.5211429754163448E-157</v>
      </c>
      <c r="O1543">
        <v>1.133472691134023E-156</v>
      </c>
      <c r="P1543">
        <v>0.11684272989339491</v>
      </c>
      <c r="Q1543">
        <v>0.77828768132674664</v>
      </c>
      <c r="R1543">
        <v>7.6865673333306148</v>
      </c>
      <c r="S1543">
        <v>0.23586503895814409</v>
      </c>
      <c r="T1543">
        <v>0.18488965671527299</v>
      </c>
      <c r="U1543">
        <v>4.2625965936405663</v>
      </c>
      <c r="V1543">
        <v>0.11023909988438001</v>
      </c>
      <c r="W1543">
        <v>11.004093752626421</v>
      </c>
      <c r="X1543">
        <v>0.25100072009934421</v>
      </c>
      <c r="Z1543" t="s">
        <v>392</v>
      </c>
      <c r="AA1543">
        <v>140</v>
      </c>
      <c r="AB1543" t="s">
        <v>1934</v>
      </c>
      <c r="AC1543" t="str">
        <f>HYPERLINK("plots/20251231112652_3FT6Y119H04_05543_B21P_N_UFLEX98_M5358A8BA201511/dpll_52084/txpa_54223.png","plot")</f>
        <v>plot</v>
      </c>
    </row>
    <row r="1544" spans="1:29" hidden="1" x14ac:dyDescent="0.35">
      <c r="A1544" t="s">
        <v>47</v>
      </c>
      <c r="B1544">
        <v>52084</v>
      </c>
      <c r="C1544" t="s">
        <v>52</v>
      </c>
      <c r="D1544">
        <v>54224</v>
      </c>
      <c r="E1544" t="s">
        <v>244</v>
      </c>
      <c r="F1544">
        <v>7139</v>
      </c>
      <c r="G1544">
        <v>0.40813376106510357</v>
      </c>
      <c r="H1544">
        <v>9.5424344809754857E-285</v>
      </c>
      <c r="I1544">
        <v>1.2095035704636431E-282</v>
      </c>
      <c r="J1544">
        <v>0.39010889210567112</v>
      </c>
      <c r="K1544">
        <v>3.358921406263397E-258</v>
      </c>
      <c r="L1544">
        <v>5.3217911030485688E-257</v>
      </c>
      <c r="M1544">
        <v>0.26690677051092931</v>
      </c>
      <c r="N1544">
        <v>1.048865457950426E-250</v>
      </c>
      <c r="O1544">
        <v>1.4771521866135169E-249</v>
      </c>
      <c r="P1544">
        <v>0.16657316692114699</v>
      </c>
      <c r="Q1544">
        <v>0.81418468226679952</v>
      </c>
      <c r="R1544">
        <v>7.4560552414663466</v>
      </c>
      <c r="S1544">
        <v>0.20075177085682741</v>
      </c>
      <c r="T1544">
        <v>0.15265938975725579</v>
      </c>
      <c r="U1544">
        <v>4.2625965936405663</v>
      </c>
      <c r="V1544">
        <v>0.11023909988438001</v>
      </c>
      <c r="W1544">
        <v>10.92659609469113</v>
      </c>
      <c r="X1544">
        <v>0.21991561364222609</v>
      </c>
      <c r="Z1544" t="s">
        <v>392</v>
      </c>
      <c r="AA1544">
        <v>140</v>
      </c>
      <c r="AB1544" t="s">
        <v>1935</v>
      </c>
      <c r="AC1544" t="str">
        <f>HYPERLINK("plots/20251231112652_3FT6Y119H04_05543_B21P_N_UFLEX98_M5358A8BA201511/dpll_52084/txpa_54224.png","plot")</f>
        <v>plot</v>
      </c>
    </row>
    <row r="1545" spans="1:29" hidden="1" x14ac:dyDescent="0.35">
      <c r="A1545" t="s">
        <v>47</v>
      </c>
      <c r="B1545">
        <v>52084</v>
      </c>
      <c r="C1545" t="s">
        <v>52</v>
      </c>
      <c r="D1545">
        <v>54225</v>
      </c>
      <c r="E1545" t="s">
        <v>245</v>
      </c>
      <c r="F1545">
        <v>7139</v>
      </c>
      <c r="G1545">
        <v>0.33300787578617291</v>
      </c>
      <c r="H1545">
        <v>1.9611446648697411E-184</v>
      </c>
      <c r="I1545">
        <v>7.5612193542886592E-184</v>
      </c>
      <c r="J1545">
        <v>0.30610478685380288</v>
      </c>
      <c r="K1545">
        <v>1.031646097171947E-154</v>
      </c>
      <c r="L1545">
        <v>3.1320034207555533E-154</v>
      </c>
      <c r="M1545">
        <v>0.20705187674096209</v>
      </c>
      <c r="N1545">
        <v>1.068076893324584E-151</v>
      </c>
      <c r="O1545">
        <v>3.2621384633467723E-151</v>
      </c>
      <c r="P1545">
        <v>0.1108942453356192</v>
      </c>
      <c r="Q1545">
        <v>0.729695973280588</v>
      </c>
      <c r="R1545">
        <v>7.8418024904136052</v>
      </c>
      <c r="S1545">
        <v>0.2277557733825227</v>
      </c>
      <c r="T1545">
        <v>0.1774824712436914</v>
      </c>
      <c r="U1545">
        <v>4.2625965936405663</v>
      </c>
      <c r="V1545">
        <v>0.11023909988438001</v>
      </c>
      <c r="W1545">
        <v>10.952202060512681</v>
      </c>
      <c r="X1545">
        <v>0.24155893338498841</v>
      </c>
      <c r="Z1545" t="s">
        <v>392</v>
      </c>
      <c r="AA1545">
        <v>140</v>
      </c>
      <c r="AB1545" t="s">
        <v>1936</v>
      </c>
      <c r="AC1545" t="str">
        <f>HYPERLINK("plots/20251231112652_3FT6Y119H04_05543_B21P_N_UFLEX98_M5358A8BA201511/dpll_52084/txpa_54225.png","plot")</f>
        <v>plot</v>
      </c>
    </row>
    <row r="1546" spans="1:29" hidden="1" x14ac:dyDescent="0.35">
      <c r="A1546" t="s">
        <v>47</v>
      </c>
      <c r="B1546">
        <v>52084</v>
      </c>
      <c r="C1546" t="s">
        <v>52</v>
      </c>
      <c r="D1546">
        <v>54226</v>
      </c>
      <c r="E1546" t="s">
        <v>246</v>
      </c>
      <c r="F1546">
        <v>7139</v>
      </c>
      <c r="G1546">
        <v>0.2427839098673116</v>
      </c>
      <c r="H1546">
        <v>2.7273106177300921E-96</v>
      </c>
      <c r="I1546">
        <v>4.2092739214281781E-96</v>
      </c>
      <c r="J1546">
        <v>0.19857116937584479</v>
      </c>
      <c r="K1546">
        <v>2.1367974750365238E-64</v>
      </c>
      <c r="L1546">
        <v>2.92403865004998E-64</v>
      </c>
      <c r="M1546">
        <v>0.13253577248422671</v>
      </c>
      <c r="N1546">
        <v>2.7410563157311772E-63</v>
      </c>
      <c r="O1546">
        <v>3.7509191688952937E-63</v>
      </c>
      <c r="P1546">
        <v>5.894402689045887E-2</v>
      </c>
      <c r="Q1546">
        <v>0.77489659202549821</v>
      </c>
      <c r="R1546">
        <v>7.192379902945758</v>
      </c>
      <c r="S1546">
        <v>0.34130041541140871</v>
      </c>
      <c r="T1546">
        <v>0.28334079733067891</v>
      </c>
      <c r="U1546">
        <v>4.2625965936405663</v>
      </c>
      <c r="V1546">
        <v>0.11023909988438001</v>
      </c>
      <c r="W1546">
        <v>10.49545147653733</v>
      </c>
      <c r="X1546">
        <v>0.3518515821540697</v>
      </c>
      <c r="Z1546" t="s">
        <v>392</v>
      </c>
      <c r="AA1546">
        <v>140</v>
      </c>
      <c r="AB1546" t="s">
        <v>1937</v>
      </c>
      <c r="AC1546" t="str">
        <f>HYPERLINK("plots/20251231112652_3FT6Y119H04_05543_B21P_N_UFLEX98_M5358A8BA201511/dpll_52084/txpa_54226.png","plot")</f>
        <v>plot</v>
      </c>
    </row>
    <row r="1547" spans="1:29" hidden="1" x14ac:dyDescent="0.35">
      <c r="A1547" t="s">
        <v>47</v>
      </c>
      <c r="B1547">
        <v>52084</v>
      </c>
      <c r="C1547" t="s">
        <v>52</v>
      </c>
      <c r="D1547">
        <v>54227</v>
      </c>
      <c r="E1547" t="s">
        <v>247</v>
      </c>
      <c r="F1547">
        <v>7139</v>
      </c>
      <c r="G1547">
        <v>0.23164440191143301</v>
      </c>
      <c r="H1547">
        <v>1.364988107886197E-87</v>
      </c>
      <c r="I1547">
        <v>1.9688448668514991E-87</v>
      </c>
      <c r="J1547">
        <v>0.19041151595273551</v>
      </c>
      <c r="K1547">
        <v>2.8858615510693208E-59</v>
      </c>
      <c r="L1547">
        <v>3.82518119318208E-59</v>
      </c>
      <c r="M1547">
        <v>0.12656175158341931</v>
      </c>
      <c r="N1547">
        <v>7.1435958751892232E-58</v>
      </c>
      <c r="O1547">
        <v>9.4440759027925319E-58</v>
      </c>
      <c r="P1547">
        <v>5.3659128936905512E-2</v>
      </c>
      <c r="Q1547">
        <v>0.75601697508127208</v>
      </c>
      <c r="R1547">
        <v>7.8131278610157384</v>
      </c>
      <c r="S1547">
        <v>0.34997641299230892</v>
      </c>
      <c r="T1547">
        <v>0.28804234130736828</v>
      </c>
      <c r="U1547">
        <v>4.2625965936405663</v>
      </c>
      <c r="V1547">
        <v>0.11023909988438001</v>
      </c>
      <c r="W1547">
        <v>11.03572324373161</v>
      </c>
      <c r="X1547">
        <v>0.35978694128829608</v>
      </c>
      <c r="Z1547" t="s">
        <v>392</v>
      </c>
      <c r="AA1547">
        <v>140</v>
      </c>
      <c r="AB1547" t="s">
        <v>1938</v>
      </c>
      <c r="AC1547" t="str">
        <f>HYPERLINK("plots/20251231112652_3FT6Y119H04_05543_B21P_N_UFLEX98_M5358A8BA201511/dpll_52084/txpa_54227.png","plot")</f>
        <v>plot</v>
      </c>
    </row>
    <row r="1548" spans="1:29" hidden="1" x14ac:dyDescent="0.35">
      <c r="A1548" t="s">
        <v>47</v>
      </c>
      <c r="B1548">
        <v>52084</v>
      </c>
      <c r="C1548" t="s">
        <v>52</v>
      </c>
      <c r="D1548">
        <v>54228</v>
      </c>
      <c r="E1548" t="s">
        <v>248</v>
      </c>
      <c r="F1548">
        <v>7139</v>
      </c>
      <c r="G1548">
        <v>0.36197085929887568</v>
      </c>
      <c r="H1548">
        <v>5.8521743985788127E-220</v>
      </c>
      <c r="I1548">
        <v>4.9450873667990972E-219</v>
      </c>
      <c r="J1548">
        <v>0.36447873261121072</v>
      </c>
      <c r="K1548">
        <v>3.2489408487291008E-223</v>
      </c>
      <c r="L1548">
        <v>2.5538186206289209E-222</v>
      </c>
      <c r="M1548">
        <v>0.24791164405128749</v>
      </c>
      <c r="N1548">
        <v>1.392496476595997E-216</v>
      </c>
      <c r="O1548">
        <v>1.0306506768382049E-215</v>
      </c>
      <c r="P1548">
        <v>0.13102290298156649</v>
      </c>
      <c r="Q1548">
        <v>0.82701057842494741</v>
      </c>
      <c r="R1548">
        <v>7.8002376515691818</v>
      </c>
      <c r="S1548">
        <v>0.2347723031088812</v>
      </c>
      <c r="T1548">
        <v>0.17731154594079571</v>
      </c>
      <c r="U1548">
        <v>4.2625965936405663</v>
      </c>
      <c r="V1548">
        <v>0.11023909988438001</v>
      </c>
      <c r="W1548">
        <v>11.32545012606808</v>
      </c>
      <c r="X1548">
        <v>0.2518680700899999</v>
      </c>
      <c r="Z1548" t="s">
        <v>392</v>
      </c>
      <c r="AA1548">
        <v>140</v>
      </c>
      <c r="AB1548" t="s">
        <v>1939</v>
      </c>
      <c r="AC1548" t="str">
        <f>HYPERLINK("plots/20251231112652_3FT6Y119H04_05543_B21P_N_UFLEX98_M5358A8BA201511/dpll_52084/txpa_54228.png","plot")</f>
        <v>plot</v>
      </c>
    </row>
    <row r="1549" spans="1:29" hidden="1" x14ac:dyDescent="0.35">
      <c r="A1549" t="s">
        <v>47</v>
      </c>
      <c r="B1549">
        <v>52084</v>
      </c>
      <c r="C1549" t="s">
        <v>52</v>
      </c>
      <c r="D1549">
        <v>54229</v>
      </c>
      <c r="E1549" t="s">
        <v>249</v>
      </c>
      <c r="F1549">
        <v>7139</v>
      </c>
      <c r="G1549">
        <v>0.31793206842071942</v>
      </c>
      <c r="H1549">
        <v>2.1108445096178171E-167</v>
      </c>
      <c r="I1549">
        <v>6.3892427843357218E-167</v>
      </c>
      <c r="J1549">
        <v>0.3067131236916314</v>
      </c>
      <c r="K1549">
        <v>2.3716439172066002E-155</v>
      </c>
      <c r="L1549">
        <v>7.3095651430014972E-155</v>
      </c>
      <c r="M1549">
        <v>0.2082446694630625</v>
      </c>
      <c r="N1549">
        <v>1.9917887475209841E-153</v>
      </c>
      <c r="O1549">
        <v>6.1575420426410903E-153</v>
      </c>
      <c r="P1549">
        <v>0.101080800130277</v>
      </c>
      <c r="Q1549">
        <v>0.7731503479728794</v>
      </c>
      <c r="R1549">
        <v>8.1666493815662395</v>
      </c>
      <c r="S1549">
        <v>0.25415296918612978</v>
      </c>
      <c r="T1549">
        <v>0.19607496240961489</v>
      </c>
      <c r="U1549">
        <v>4.2625965936405663</v>
      </c>
      <c r="V1549">
        <v>0.11023909988438001</v>
      </c>
      <c r="W1549">
        <v>11.46227742120745</v>
      </c>
      <c r="X1549">
        <v>0.26808053323843628</v>
      </c>
      <c r="Z1549" t="s">
        <v>392</v>
      </c>
      <c r="AA1549">
        <v>140</v>
      </c>
      <c r="AB1549" t="s">
        <v>1940</v>
      </c>
      <c r="AC1549" t="str">
        <f>HYPERLINK("plots/20251231112652_3FT6Y119H04_05543_B21P_N_UFLEX98_M5358A8BA201511/dpll_52084/txpa_54229.png","plot")</f>
        <v>plot</v>
      </c>
    </row>
    <row r="1550" spans="1:29" hidden="1" x14ac:dyDescent="0.35">
      <c r="A1550" t="s">
        <v>47</v>
      </c>
      <c r="B1550">
        <v>52084</v>
      </c>
      <c r="C1550" t="s">
        <v>52</v>
      </c>
      <c r="D1550">
        <v>54230</v>
      </c>
      <c r="E1550" t="s">
        <v>250</v>
      </c>
      <c r="F1550">
        <v>7139</v>
      </c>
      <c r="G1550">
        <v>0.39212027979290848</v>
      </c>
      <c r="H1550">
        <v>4.4180797480213117E-261</v>
      </c>
      <c r="I1550">
        <v>1.5448044360322789E-259</v>
      </c>
      <c r="J1550">
        <v>0.38415522713347477</v>
      </c>
      <c r="K1550">
        <v>8.6386923988166825E-250</v>
      </c>
      <c r="L1550">
        <v>1.1837343368108261E-248</v>
      </c>
      <c r="M1550">
        <v>0.26340402385377598</v>
      </c>
      <c r="N1550">
        <v>3.1761863247223181E-244</v>
      </c>
      <c r="O1550">
        <v>4.1826661471018579E-243</v>
      </c>
      <c r="P1550">
        <v>0.1537583138248689</v>
      </c>
      <c r="Q1550">
        <v>0.85455318564230809</v>
      </c>
      <c r="R1550">
        <v>7.6831655453599268</v>
      </c>
      <c r="S1550">
        <v>0.22098980592276399</v>
      </c>
      <c r="T1550">
        <v>0.16821759703035871</v>
      </c>
      <c r="U1550">
        <v>4.2625965936405663</v>
      </c>
      <c r="V1550">
        <v>0.11023909988438001</v>
      </c>
      <c r="W1550">
        <v>11.32578104356352</v>
      </c>
      <c r="X1550">
        <v>0.2402456053491811</v>
      </c>
      <c r="Z1550" t="s">
        <v>392</v>
      </c>
      <c r="AA1550">
        <v>140</v>
      </c>
      <c r="AB1550" t="s">
        <v>1941</v>
      </c>
      <c r="AC1550" t="str">
        <f>HYPERLINK("plots/20251231112652_3FT6Y119H04_05543_B21P_N_UFLEX98_M5358A8BA201511/dpll_52084/txpa_54230.png","plot")</f>
        <v>plot</v>
      </c>
    </row>
    <row r="1551" spans="1:29" hidden="1" x14ac:dyDescent="0.35">
      <c r="A1551" t="s">
        <v>47</v>
      </c>
      <c r="B1551">
        <v>52084</v>
      </c>
      <c r="C1551" t="s">
        <v>52</v>
      </c>
      <c r="D1551">
        <v>54231</v>
      </c>
      <c r="E1551" t="s">
        <v>251</v>
      </c>
      <c r="F1551">
        <v>7139</v>
      </c>
      <c r="G1551">
        <v>0.34777284151701521</v>
      </c>
      <c r="H1551">
        <v>4.4980656508483971E-202</v>
      </c>
      <c r="I1551">
        <v>2.4923708032569811E-201</v>
      </c>
      <c r="J1551">
        <v>0.32153736374592923</v>
      </c>
      <c r="K1551">
        <v>2.1863268978806828E-171</v>
      </c>
      <c r="L1551">
        <v>7.9745880375935698E-171</v>
      </c>
      <c r="M1551">
        <v>0.2172478538813325</v>
      </c>
      <c r="N1551">
        <v>8.4343276714901167E-167</v>
      </c>
      <c r="O1551">
        <v>3.0544315210324932E-166</v>
      </c>
      <c r="P1551">
        <v>0.1209459492968189</v>
      </c>
      <c r="Q1551">
        <v>0.78256992681516668</v>
      </c>
      <c r="R1551">
        <v>8.119169449923417</v>
      </c>
      <c r="S1551">
        <v>0.23256294575369421</v>
      </c>
      <c r="T1551">
        <v>0.18094513925589839</v>
      </c>
      <c r="U1551">
        <v>4.2625965936405663</v>
      </c>
      <c r="V1551">
        <v>0.11023909988438001</v>
      </c>
      <c r="W1551">
        <v>11.454949354251291</v>
      </c>
      <c r="X1551">
        <v>0.2480636611886449</v>
      </c>
      <c r="Z1551" t="s">
        <v>392</v>
      </c>
      <c r="AA1551">
        <v>140</v>
      </c>
      <c r="AB1551" t="s">
        <v>1942</v>
      </c>
      <c r="AC1551" t="str">
        <f>HYPERLINK("plots/20251231112652_3FT6Y119H04_05543_B21P_N_UFLEX98_M5358A8BA201511/dpll_52084/txpa_54231.png","plot")</f>
        <v>plot</v>
      </c>
    </row>
    <row r="1552" spans="1:29" hidden="1" x14ac:dyDescent="0.35">
      <c r="A1552" t="s">
        <v>47</v>
      </c>
      <c r="B1552">
        <v>52084</v>
      </c>
      <c r="C1552" t="s">
        <v>52</v>
      </c>
      <c r="D1552">
        <v>54232</v>
      </c>
      <c r="E1552" t="s">
        <v>252</v>
      </c>
      <c r="F1552">
        <v>7139</v>
      </c>
      <c r="G1552">
        <v>0.40993314851564822</v>
      </c>
      <c r="H1552">
        <v>1.7301020728203251E-287</v>
      </c>
      <c r="I1552">
        <v>4.2190193015396433E-285</v>
      </c>
      <c r="J1552">
        <v>0.39555576352916649</v>
      </c>
      <c r="K1552">
        <v>4.7614755114471318E-266</v>
      </c>
      <c r="L1552">
        <v>8.6216717296560585E-265</v>
      </c>
      <c r="M1552">
        <v>0.27152514032178321</v>
      </c>
      <c r="N1552">
        <v>2.2092400637187049E-259</v>
      </c>
      <c r="O1552">
        <v>3.672408892804536E-258</v>
      </c>
      <c r="P1552">
        <v>0.16804518625195239</v>
      </c>
      <c r="Q1552">
        <v>0.81699678048568436</v>
      </c>
      <c r="R1552">
        <v>7.8970998033347124</v>
      </c>
      <c r="S1552">
        <v>0.2003837112318626</v>
      </c>
      <c r="T1552">
        <v>0.15105464051362241</v>
      </c>
      <c r="U1552">
        <v>4.2625965936405663</v>
      </c>
      <c r="V1552">
        <v>0.11023909988438001</v>
      </c>
      <c r="W1552">
        <v>11.3796274968483</v>
      </c>
      <c r="X1552">
        <v>0.2197065302362107</v>
      </c>
      <c r="Z1552" t="s">
        <v>392</v>
      </c>
      <c r="AA1552">
        <v>140</v>
      </c>
      <c r="AB1552" t="s">
        <v>1943</v>
      </c>
      <c r="AC1552" t="str">
        <f>HYPERLINK("plots/20251231112652_3FT6Y119H04_05543_B21P_N_UFLEX98_M5358A8BA201511/dpll_52084/txpa_54232.png","plot")</f>
        <v>plot</v>
      </c>
    </row>
    <row r="1553" spans="1:29" hidden="1" x14ac:dyDescent="0.35">
      <c r="A1553" t="s">
        <v>47</v>
      </c>
      <c r="B1553">
        <v>52084</v>
      </c>
      <c r="C1553" t="s">
        <v>52</v>
      </c>
      <c r="D1553">
        <v>54233</v>
      </c>
      <c r="E1553" t="s">
        <v>253</v>
      </c>
      <c r="F1553">
        <v>7139</v>
      </c>
      <c r="G1553">
        <v>0.33873587424146262</v>
      </c>
      <c r="H1553">
        <v>3.6613961946147371E-191</v>
      </c>
      <c r="I1553">
        <v>1.6141981484084099E-190</v>
      </c>
      <c r="J1553">
        <v>0.31378143184275292</v>
      </c>
      <c r="K1553">
        <v>6.9830314977283448E-163</v>
      </c>
      <c r="L1553">
        <v>2.336895689338792E-162</v>
      </c>
      <c r="M1553">
        <v>0.21256950387197571</v>
      </c>
      <c r="N1553">
        <v>8.8269389511260619E-160</v>
      </c>
      <c r="O1553">
        <v>2.9539657083966431E-159</v>
      </c>
      <c r="P1553">
        <v>0.114741992498128</v>
      </c>
      <c r="Q1553">
        <v>0.73472370853511182</v>
      </c>
      <c r="R1553">
        <v>8.2709126811988405</v>
      </c>
      <c r="S1553">
        <v>0.2249588233873959</v>
      </c>
      <c r="T1553">
        <v>0.17440171715220021</v>
      </c>
      <c r="U1553">
        <v>4.2625965936405663</v>
      </c>
      <c r="V1553">
        <v>0.11023909988438001</v>
      </c>
      <c r="W1553">
        <v>11.402743458467571</v>
      </c>
      <c r="X1553">
        <v>0.23911042925110479</v>
      </c>
      <c r="Z1553" t="s">
        <v>392</v>
      </c>
      <c r="AA1553">
        <v>140</v>
      </c>
      <c r="AB1553" t="s">
        <v>1944</v>
      </c>
      <c r="AC1553" t="str">
        <f>HYPERLINK("plots/20251231112652_3FT6Y119H04_05543_B21P_N_UFLEX98_M5358A8BA201511/dpll_52084/txpa_54233.png","plot")</f>
        <v>plot</v>
      </c>
    </row>
    <row r="1554" spans="1:29" hidden="1" x14ac:dyDescent="0.35">
      <c r="A1554" t="s">
        <v>47</v>
      </c>
      <c r="B1554">
        <v>52084</v>
      </c>
      <c r="C1554" t="s">
        <v>52</v>
      </c>
      <c r="D1554">
        <v>54234</v>
      </c>
      <c r="E1554" t="s">
        <v>254</v>
      </c>
      <c r="F1554">
        <v>7139</v>
      </c>
      <c r="G1554">
        <v>0.2490825909180116</v>
      </c>
      <c r="H1554">
        <v>2.0611817870094911E-101</v>
      </c>
      <c r="I1554">
        <v>3.3280865159675527E-101</v>
      </c>
      <c r="J1554">
        <v>0.20352715394423909</v>
      </c>
      <c r="K1554">
        <v>1.260736365780723E-67</v>
      </c>
      <c r="L1554">
        <v>1.7706186632986882E-67</v>
      </c>
      <c r="M1554">
        <v>0.1358268121001639</v>
      </c>
      <c r="N1554">
        <v>2.2306407177348019E-66</v>
      </c>
      <c r="O1554">
        <v>3.1241294030153172E-66</v>
      </c>
      <c r="P1554">
        <v>6.2042137098429519E-2</v>
      </c>
      <c r="Q1554">
        <v>0.77722664009225306</v>
      </c>
      <c r="R1554">
        <v>7.6587429634157171</v>
      </c>
      <c r="S1554">
        <v>0.33312038289395501</v>
      </c>
      <c r="T1554">
        <v>0.27606477181164157</v>
      </c>
      <c r="U1554">
        <v>4.2625965936405663</v>
      </c>
      <c r="V1554">
        <v>0.11023909988438001</v>
      </c>
      <c r="W1554">
        <v>10.97174659195966</v>
      </c>
      <c r="X1554">
        <v>0.34398536202047869</v>
      </c>
      <c r="Z1554" t="s">
        <v>392</v>
      </c>
      <c r="AA1554">
        <v>140</v>
      </c>
      <c r="AB1554" t="s">
        <v>1945</v>
      </c>
      <c r="AC1554" t="str">
        <f>HYPERLINK("plots/20251231112652_3FT6Y119H04_05543_B21P_N_UFLEX98_M5358A8BA201511/dpll_52084/txpa_54234.png","plot")</f>
        <v>plot</v>
      </c>
    </row>
    <row r="1555" spans="1:29" hidden="1" x14ac:dyDescent="0.35">
      <c r="A1555" t="s">
        <v>47</v>
      </c>
      <c r="B1555">
        <v>52084</v>
      </c>
      <c r="C1555" t="s">
        <v>52</v>
      </c>
      <c r="D1555">
        <v>54235</v>
      </c>
      <c r="E1555" t="s">
        <v>255</v>
      </c>
      <c r="F1555">
        <v>7139</v>
      </c>
      <c r="G1555">
        <v>0.2377304024810499</v>
      </c>
      <c r="H1555">
        <v>2.7459792828215621E-92</v>
      </c>
      <c r="I1555">
        <v>4.1434865964003933E-92</v>
      </c>
      <c r="J1555">
        <v>0.19645184506649219</v>
      </c>
      <c r="K1555">
        <v>4.836252209218346E-63</v>
      </c>
      <c r="L1555">
        <v>6.5824962954998691E-63</v>
      </c>
      <c r="M1555">
        <v>0.13050557472140331</v>
      </c>
      <c r="N1555">
        <v>2.0243680293876781E-61</v>
      </c>
      <c r="O1555">
        <v>2.722425970555843E-61</v>
      </c>
      <c r="P1555">
        <v>5.6515744263801987E-2</v>
      </c>
      <c r="Q1555">
        <v>0.75862137800738561</v>
      </c>
      <c r="R1555">
        <v>8.2574729231482529</v>
      </c>
      <c r="S1555">
        <v>0.34167477678470098</v>
      </c>
      <c r="T1555">
        <v>0.28043507515421651</v>
      </c>
      <c r="U1555">
        <v>4.2625965936405663</v>
      </c>
      <c r="V1555">
        <v>0.11023909988438001</v>
      </c>
      <c r="W1555">
        <v>11.49116982490545</v>
      </c>
      <c r="X1555">
        <v>0.35178394093388438</v>
      </c>
      <c r="Z1555" t="s">
        <v>392</v>
      </c>
      <c r="AA1555">
        <v>140</v>
      </c>
      <c r="AB1555" t="s">
        <v>1946</v>
      </c>
      <c r="AC1555" t="str">
        <f>HYPERLINK("plots/20251231112652_3FT6Y119H04_05543_B21P_N_UFLEX98_M5358A8BA201511/dpll_52084/txpa_54235.png","plot")</f>
        <v>plot</v>
      </c>
    </row>
    <row r="1556" spans="1:29" hidden="1" x14ac:dyDescent="0.35">
      <c r="A1556" t="s">
        <v>47</v>
      </c>
      <c r="B1556">
        <v>52084</v>
      </c>
      <c r="C1556" t="s">
        <v>52</v>
      </c>
      <c r="D1556">
        <v>54236</v>
      </c>
      <c r="E1556" t="s">
        <v>256</v>
      </c>
      <c r="F1556">
        <v>7139</v>
      </c>
      <c r="G1556">
        <v>0.36451929220162549</v>
      </c>
      <c r="H1556">
        <v>2.8763981289052E-223</v>
      </c>
      <c r="I1556">
        <v>2.6758419290916259E-222</v>
      </c>
      <c r="J1556">
        <v>0.3710917016955757</v>
      </c>
      <c r="K1556">
        <v>6.1092687666921797E-232</v>
      </c>
      <c r="L1556">
        <v>5.5808995760593432E-231</v>
      </c>
      <c r="M1556">
        <v>0.25311324631454257</v>
      </c>
      <c r="N1556">
        <v>1.120609854092754E-225</v>
      </c>
      <c r="O1556">
        <v>9.9675297548250205E-225</v>
      </c>
      <c r="P1556">
        <v>0.13287431438717409</v>
      </c>
      <c r="Q1556">
        <v>0.82920588152083263</v>
      </c>
      <c r="R1556">
        <v>8.2302102934506767</v>
      </c>
      <c r="S1556">
        <v>0.23350066423476271</v>
      </c>
      <c r="T1556">
        <v>0.17497022588852709</v>
      </c>
      <c r="U1556">
        <v>4.2625965936405663</v>
      </c>
      <c r="V1556">
        <v>0.11023909988438001</v>
      </c>
      <c r="W1556">
        <v>11.764780459448099</v>
      </c>
      <c r="X1556">
        <v>0.25077111679216307</v>
      </c>
      <c r="Z1556" t="s">
        <v>392</v>
      </c>
      <c r="AA1556">
        <v>140</v>
      </c>
      <c r="AB1556" t="s">
        <v>1947</v>
      </c>
      <c r="AC1556" t="str">
        <f>HYPERLINK("plots/20251231112652_3FT6Y119H04_05543_B21P_N_UFLEX98_M5358A8BA201511/dpll_52084/txpa_54236.png","plot")</f>
        <v>plot</v>
      </c>
    </row>
    <row r="1557" spans="1:29" hidden="1" x14ac:dyDescent="0.35">
      <c r="A1557" t="s">
        <v>47</v>
      </c>
      <c r="B1557">
        <v>52084</v>
      </c>
      <c r="C1557" t="s">
        <v>52</v>
      </c>
      <c r="D1557">
        <v>54237</v>
      </c>
      <c r="E1557" t="s">
        <v>257</v>
      </c>
      <c r="F1557">
        <v>7139</v>
      </c>
      <c r="G1557">
        <v>0.32335059136237121</v>
      </c>
      <c r="H1557">
        <v>2.0644191065184311E-173</v>
      </c>
      <c r="I1557">
        <v>6.8633474557694717E-173</v>
      </c>
      <c r="J1557">
        <v>0.31831062707421831</v>
      </c>
      <c r="K1557">
        <v>8.1028785861925791E-168</v>
      </c>
      <c r="L1557">
        <v>2.8138078378079709E-167</v>
      </c>
      <c r="M1557">
        <v>0.21660055921213431</v>
      </c>
      <c r="N1557">
        <v>8.0612389953158974E-166</v>
      </c>
      <c r="O1557">
        <v>2.8681039793860772E-165</v>
      </c>
      <c r="P1557">
        <v>0.1045556049343952</v>
      </c>
      <c r="Q1557">
        <v>0.77801169302509543</v>
      </c>
      <c r="R1557">
        <v>8.5661106518466479</v>
      </c>
      <c r="S1557">
        <v>0.25097878654177269</v>
      </c>
      <c r="T1557">
        <v>0.1913041449561447</v>
      </c>
      <c r="U1557">
        <v>4.2625965936405663</v>
      </c>
      <c r="V1557">
        <v>0.11023909988438001</v>
      </c>
      <c r="W1557">
        <v>11.882460644347949</v>
      </c>
      <c r="X1557">
        <v>0.26524556017431788</v>
      </c>
      <c r="Z1557" t="s">
        <v>392</v>
      </c>
      <c r="AA1557">
        <v>140</v>
      </c>
      <c r="AB1557" t="s">
        <v>1948</v>
      </c>
      <c r="AC1557" t="str">
        <f>HYPERLINK("plots/20251231112652_3FT6Y119H04_05543_B21P_N_UFLEX98_M5358A8BA201511/dpll_52084/txpa_54237.png","plot")</f>
        <v>plot</v>
      </c>
    </row>
    <row r="1558" spans="1:29" hidden="1" x14ac:dyDescent="0.35">
      <c r="A1558" t="s">
        <v>47</v>
      </c>
      <c r="B1558">
        <v>52084</v>
      </c>
      <c r="C1558" t="s">
        <v>52</v>
      </c>
      <c r="D1558">
        <v>54238</v>
      </c>
      <c r="E1558" t="s">
        <v>258</v>
      </c>
      <c r="F1558">
        <v>7139</v>
      </c>
      <c r="G1558">
        <v>0.39450788876266502</v>
      </c>
      <c r="H1558">
        <v>1.5818908554652471E-264</v>
      </c>
      <c r="I1558">
        <v>6.9740753367033076E-263</v>
      </c>
      <c r="J1558">
        <v>0.39009021932681459</v>
      </c>
      <c r="K1558">
        <v>3.5715037226129562E-258</v>
      </c>
      <c r="L1558">
        <v>5.5715458072762113E-257</v>
      </c>
      <c r="M1558">
        <v>0.26831353774566469</v>
      </c>
      <c r="N1558">
        <v>2.474979595902466E-253</v>
      </c>
      <c r="O1558">
        <v>3.9212957972579689E-252</v>
      </c>
      <c r="P1558">
        <v>0.15563647429597521</v>
      </c>
      <c r="Q1558">
        <v>0.85594715638392893</v>
      </c>
      <c r="R1558">
        <v>8.1169912137308469</v>
      </c>
      <c r="S1558">
        <v>0.21976636918204401</v>
      </c>
      <c r="T1558">
        <v>0.16598221562195051</v>
      </c>
      <c r="U1558">
        <v>4.2625965936405663</v>
      </c>
      <c r="V1558">
        <v>0.11023909988438001</v>
      </c>
      <c r="W1558">
        <v>11.765548646869309</v>
      </c>
      <c r="X1558">
        <v>0.23918113365060009</v>
      </c>
      <c r="Z1558" t="s">
        <v>392</v>
      </c>
      <c r="AA1558">
        <v>140</v>
      </c>
      <c r="AB1558" t="s">
        <v>1949</v>
      </c>
      <c r="AC1558" t="str">
        <f>HYPERLINK("plots/20251231112652_3FT6Y119H04_05543_B21P_N_UFLEX98_M5358A8BA201511/dpll_52084/txpa_54238.png","plot")</f>
        <v>plot</v>
      </c>
    </row>
    <row r="1559" spans="1:29" hidden="1" x14ac:dyDescent="0.35">
      <c r="A1559" t="s">
        <v>47</v>
      </c>
      <c r="B1559">
        <v>52084</v>
      </c>
      <c r="C1559" t="s">
        <v>52</v>
      </c>
      <c r="D1559">
        <v>54239</v>
      </c>
      <c r="E1559" t="s">
        <v>259</v>
      </c>
      <c r="F1559">
        <v>7139</v>
      </c>
      <c r="G1559">
        <v>0.3528311618452003</v>
      </c>
      <c r="H1559">
        <v>2.4336084786740149E-208</v>
      </c>
      <c r="I1559">
        <v>1.532719874146243E-207</v>
      </c>
      <c r="J1559">
        <v>0.3313490893218673</v>
      </c>
      <c r="K1559">
        <v>1.638325712597486E-182</v>
      </c>
      <c r="L1559">
        <v>6.6185747911308806E-182</v>
      </c>
      <c r="M1559">
        <v>0.22446311297404881</v>
      </c>
      <c r="N1559">
        <v>6.3311403831185809E-178</v>
      </c>
      <c r="O1559">
        <v>2.547530297016762E-177</v>
      </c>
      <c r="P1559">
        <v>0.1244898287690339</v>
      </c>
      <c r="Q1559">
        <v>0.78606634326170477</v>
      </c>
      <c r="R1559">
        <v>8.5341556412907238</v>
      </c>
      <c r="S1559">
        <v>0.229788401547284</v>
      </c>
      <c r="T1559">
        <v>0.17715722411017579</v>
      </c>
      <c r="U1559">
        <v>4.2625965936405663</v>
      </c>
      <c r="V1559">
        <v>0.11023909988438001</v>
      </c>
      <c r="W1559">
        <v>11.88483935845356</v>
      </c>
      <c r="X1559">
        <v>0.2455997528035668</v>
      </c>
      <c r="Z1559" t="s">
        <v>392</v>
      </c>
      <c r="AA1559">
        <v>140</v>
      </c>
      <c r="AB1559" t="s">
        <v>1950</v>
      </c>
      <c r="AC1559" t="str">
        <f>HYPERLINK("plots/20251231112652_3FT6Y119H04_05543_B21P_N_UFLEX98_M5358A8BA201511/dpll_52084/txpa_54239.png","plot")</f>
        <v>plot</v>
      </c>
    </row>
    <row r="1560" spans="1:29" hidden="1" x14ac:dyDescent="0.35">
      <c r="A1560" t="s">
        <v>47</v>
      </c>
      <c r="B1560">
        <v>52084</v>
      </c>
      <c r="C1560" t="s">
        <v>52</v>
      </c>
      <c r="D1560">
        <v>54240</v>
      </c>
      <c r="E1560" t="s">
        <v>260</v>
      </c>
      <c r="F1560">
        <v>7139</v>
      </c>
      <c r="G1560">
        <v>0.41041660866716378</v>
      </c>
      <c r="H1560">
        <v>3.1519492436357281E-288</v>
      </c>
      <c r="I1560">
        <v>1.0653588443488759E-285</v>
      </c>
      <c r="J1560">
        <v>0.40110738505260413</v>
      </c>
      <c r="K1560">
        <v>3.3466897659071632E-274</v>
      </c>
      <c r="L1560">
        <v>7.5412076058441413E-273</v>
      </c>
      <c r="M1560">
        <v>0.27644774318484228</v>
      </c>
      <c r="N1560">
        <v>8.57240929520826E-269</v>
      </c>
      <c r="O1560">
        <v>1.671619812565611E-267</v>
      </c>
      <c r="P1560">
        <v>0.1684417926698559</v>
      </c>
      <c r="Q1560">
        <v>0.81904006180307365</v>
      </c>
      <c r="R1560">
        <v>8.3216357139724533</v>
      </c>
      <c r="S1560">
        <v>0.2006003951006575</v>
      </c>
      <c r="T1560">
        <v>0.14963810871819661</v>
      </c>
      <c r="U1560">
        <v>4.2625965936405663</v>
      </c>
      <c r="V1560">
        <v>0.11023909988438001</v>
      </c>
      <c r="W1560">
        <v>11.81287309146939</v>
      </c>
      <c r="X1560">
        <v>0.21999655295539131</v>
      </c>
      <c r="Z1560" t="s">
        <v>392</v>
      </c>
      <c r="AA1560">
        <v>140</v>
      </c>
      <c r="AB1560" t="s">
        <v>1951</v>
      </c>
      <c r="AC1560" t="str">
        <f>HYPERLINK("plots/20251231112652_3FT6Y119H04_05543_B21P_N_UFLEX98_M5358A8BA201511/dpll_52084/txpa_54240.png","plot")</f>
        <v>plot</v>
      </c>
    </row>
    <row r="1561" spans="1:29" hidden="1" x14ac:dyDescent="0.35">
      <c r="A1561" t="s">
        <v>47</v>
      </c>
      <c r="B1561">
        <v>52084</v>
      </c>
      <c r="C1561" t="s">
        <v>52</v>
      </c>
      <c r="D1561">
        <v>54241</v>
      </c>
      <c r="E1561" t="s">
        <v>261</v>
      </c>
      <c r="F1561">
        <v>7139</v>
      </c>
      <c r="G1561">
        <v>0.34370683808492292</v>
      </c>
      <c r="H1561">
        <v>4.0458857712409338E-197</v>
      </c>
      <c r="I1561">
        <v>2.0512640860191539E-196</v>
      </c>
      <c r="J1561">
        <v>0.32250046428502782</v>
      </c>
      <c r="K1561">
        <v>1.8446680006655471E-172</v>
      </c>
      <c r="L1561">
        <v>6.8516240024720334E-172</v>
      </c>
      <c r="M1561">
        <v>0.21890108384032211</v>
      </c>
      <c r="N1561">
        <v>2.565534772555197E-169</v>
      </c>
      <c r="O1561">
        <v>9.4598263977126189E-169</v>
      </c>
      <c r="P1561">
        <v>0.1181343905463354</v>
      </c>
      <c r="Q1561">
        <v>0.73994151346483583</v>
      </c>
      <c r="R1561">
        <v>8.6773119770535398</v>
      </c>
      <c r="S1561">
        <v>0.22285155231236359</v>
      </c>
      <c r="T1561">
        <v>0.17144200504556181</v>
      </c>
      <c r="U1561">
        <v>4.2625965936405663</v>
      </c>
      <c r="V1561">
        <v>0.11023909988438001</v>
      </c>
      <c r="W1561">
        <v>11.83138415184199</v>
      </c>
      <c r="X1561">
        <v>0.23732575955121091</v>
      </c>
      <c r="Z1561" t="s">
        <v>392</v>
      </c>
      <c r="AA1561">
        <v>140</v>
      </c>
      <c r="AB1561" t="s">
        <v>1952</v>
      </c>
      <c r="AC1561" t="str">
        <f>HYPERLINK("plots/20251231112652_3FT6Y119H04_05543_B21P_N_UFLEX98_M5358A8BA201511/dpll_52084/txpa_54241.png","plot")</f>
        <v>plot</v>
      </c>
    </row>
    <row r="1562" spans="1:29" hidden="1" x14ac:dyDescent="0.35">
      <c r="A1562" t="s">
        <v>47</v>
      </c>
      <c r="B1562">
        <v>52084</v>
      </c>
      <c r="C1562" t="s">
        <v>52</v>
      </c>
      <c r="D1562">
        <v>54242</v>
      </c>
      <c r="E1562" t="s">
        <v>262</v>
      </c>
      <c r="F1562">
        <v>7139</v>
      </c>
      <c r="G1562">
        <v>0.25550696855544691</v>
      </c>
      <c r="H1562">
        <v>8.6623870902111755E-107</v>
      </c>
      <c r="I1562">
        <v>1.451844712309774E-106</v>
      </c>
      <c r="J1562">
        <v>0.20868525767041241</v>
      </c>
      <c r="K1562">
        <v>4.4505708756148943E-71</v>
      </c>
      <c r="L1562">
        <v>6.4561929440250396E-71</v>
      </c>
      <c r="M1562">
        <v>0.13923452865267921</v>
      </c>
      <c r="N1562">
        <v>1.1749212789818501E-69</v>
      </c>
      <c r="O1562">
        <v>1.6922871830789709E-69</v>
      </c>
      <c r="P1562">
        <v>6.5283810980394139E-2</v>
      </c>
      <c r="Q1562">
        <v>0.77875326600286765</v>
      </c>
      <c r="R1562">
        <v>8.1107291435374549</v>
      </c>
      <c r="S1562">
        <v>0.32481961956354111</v>
      </c>
      <c r="T1562">
        <v>0.26872941819017032</v>
      </c>
      <c r="U1562">
        <v>4.2625965936405663</v>
      </c>
      <c r="V1562">
        <v>0.11023909988438001</v>
      </c>
      <c r="W1562">
        <v>11.43024016248774</v>
      </c>
      <c r="X1562">
        <v>0.33599498112141502</v>
      </c>
      <c r="Z1562" t="s">
        <v>392</v>
      </c>
      <c r="AA1562">
        <v>140</v>
      </c>
      <c r="AB1562" t="s">
        <v>1953</v>
      </c>
      <c r="AC1562" t="str">
        <f>HYPERLINK("plots/20251231112652_3FT6Y119H04_05543_B21P_N_UFLEX98_M5358A8BA201511/dpll_52084/txpa_54242.png","plot")</f>
        <v>plot</v>
      </c>
    </row>
    <row r="1563" spans="1:29" hidden="1" x14ac:dyDescent="0.35">
      <c r="A1563" t="s">
        <v>47</v>
      </c>
      <c r="B1563">
        <v>52084</v>
      </c>
      <c r="C1563" t="s">
        <v>52</v>
      </c>
      <c r="D1563">
        <v>54243</v>
      </c>
      <c r="E1563" t="s">
        <v>263</v>
      </c>
      <c r="F1563">
        <v>7139</v>
      </c>
      <c r="G1563">
        <v>0.26155842926974082</v>
      </c>
      <c r="H1563">
        <v>5.3809511134520096E-112</v>
      </c>
      <c r="I1563">
        <v>9.5223113944857553E-112</v>
      </c>
      <c r="J1563">
        <v>0.22415496504159571</v>
      </c>
      <c r="K1563">
        <v>5.3665909619577278E-82</v>
      </c>
      <c r="L1563">
        <v>8.4762044165500566E-82</v>
      </c>
      <c r="M1563">
        <v>0.1488092025813417</v>
      </c>
      <c r="N1563">
        <v>2.6706798585382259E-79</v>
      </c>
      <c r="O1563">
        <v>4.1726800871460113E-79</v>
      </c>
      <c r="P1563">
        <v>6.8412811922053979E-2</v>
      </c>
      <c r="Q1563">
        <v>0.76851424293672144</v>
      </c>
      <c r="R1563">
        <v>9.6717620899670731</v>
      </c>
      <c r="S1563">
        <v>0.31260807563321591</v>
      </c>
      <c r="T1563">
        <v>0.25297480556484492</v>
      </c>
      <c r="U1563">
        <v>4.2625965936405663</v>
      </c>
      <c r="V1563">
        <v>0.11023909988438001</v>
      </c>
      <c r="W1563">
        <v>12.947628284073399</v>
      </c>
      <c r="X1563">
        <v>0.32390589982592127</v>
      </c>
      <c r="Z1563" t="s">
        <v>392</v>
      </c>
      <c r="AA1563">
        <v>140</v>
      </c>
      <c r="AB1563" t="s">
        <v>1954</v>
      </c>
      <c r="AC1563" t="str">
        <f>HYPERLINK("plots/20251231112652_3FT6Y119H04_05543_B21P_N_UFLEX98_M5358A8BA201511/dpll_52084/txpa_54243.png","plot")</f>
        <v>plot</v>
      </c>
    </row>
    <row r="1564" spans="1:29" hidden="1" x14ac:dyDescent="0.35">
      <c r="A1564" t="s">
        <v>47</v>
      </c>
      <c r="B1564">
        <v>52084</v>
      </c>
      <c r="C1564" t="s">
        <v>52</v>
      </c>
      <c r="D1564">
        <v>54244</v>
      </c>
      <c r="E1564" t="s">
        <v>264</v>
      </c>
      <c r="F1564">
        <v>7139</v>
      </c>
      <c r="G1564">
        <v>0.36667380240503189</v>
      </c>
      <c r="H1564">
        <v>4.3465986040917858E-226</v>
      </c>
      <c r="I1564">
        <v>4.4519706914637078E-225</v>
      </c>
      <c r="J1564">
        <v>0.39962493983655428</v>
      </c>
      <c r="K1564">
        <v>5.2125537107113182E-272</v>
      </c>
      <c r="L1564">
        <v>1.036378326012015E-270</v>
      </c>
      <c r="M1564">
        <v>0.27734066033621668</v>
      </c>
      <c r="N1564">
        <v>1.6104933358198241E-270</v>
      </c>
      <c r="O1564">
        <v>3.4021671719193782E-269</v>
      </c>
      <c r="P1564">
        <v>0.13444967737016439</v>
      </c>
      <c r="Q1564">
        <v>0.84299895153741722</v>
      </c>
      <c r="R1564">
        <v>9.5402768952654835</v>
      </c>
      <c r="S1564">
        <v>0.23577543398056899</v>
      </c>
      <c r="T1564">
        <v>0.16890426167833861</v>
      </c>
      <c r="U1564">
        <v>4.2625965936405663</v>
      </c>
      <c r="V1564">
        <v>0.11023909988438001</v>
      </c>
      <c r="W1564">
        <v>13.13364135453145</v>
      </c>
      <c r="X1564">
        <v>0.25344446483882682</v>
      </c>
      <c r="Z1564" t="s">
        <v>392</v>
      </c>
      <c r="AA1564">
        <v>140</v>
      </c>
      <c r="AB1564" t="s">
        <v>1955</v>
      </c>
      <c r="AC1564" t="str">
        <f>HYPERLINK("plots/20251231112652_3FT6Y119H04_05543_B21P_N_UFLEX98_M5358A8BA201511/dpll_52084/txpa_54244.png","plot")</f>
        <v>plot</v>
      </c>
    </row>
    <row r="1565" spans="1:29" hidden="1" x14ac:dyDescent="0.35">
      <c r="A1565" t="s">
        <v>47</v>
      </c>
      <c r="B1565">
        <v>52084</v>
      </c>
      <c r="C1565" t="s">
        <v>52</v>
      </c>
      <c r="D1565">
        <v>54245</v>
      </c>
      <c r="E1565" t="s">
        <v>265</v>
      </c>
      <c r="F1565">
        <v>7139</v>
      </c>
      <c r="G1565">
        <v>0.329471793638069</v>
      </c>
      <c r="H1565">
        <v>2.37173519531093E-180</v>
      </c>
      <c r="I1565">
        <v>8.4980193923861581E-180</v>
      </c>
      <c r="J1565">
        <v>0.35610531868197631</v>
      </c>
      <c r="K1565">
        <v>1.853471524140919E-212</v>
      </c>
      <c r="L1565">
        <v>1.1187024556421981E-211</v>
      </c>
      <c r="M1565">
        <v>0.24545055567199331</v>
      </c>
      <c r="N1565">
        <v>2.404518864595825E-212</v>
      </c>
      <c r="O1565">
        <v>1.552982247579724E-211</v>
      </c>
      <c r="P1565">
        <v>0.1085516628030863</v>
      </c>
      <c r="Q1565">
        <v>0.81746349779216265</v>
      </c>
      <c r="R1565">
        <v>9.6579081863516549</v>
      </c>
      <c r="S1565">
        <v>0.2582280751349183</v>
      </c>
      <c r="T1565">
        <v>0.1873928213012078</v>
      </c>
      <c r="U1565">
        <v>4.2625965936405663</v>
      </c>
      <c r="V1565">
        <v>0.11023909988438001</v>
      </c>
      <c r="W1565">
        <v>13.142425307466031</v>
      </c>
      <c r="X1565">
        <v>0.27351792148841592</v>
      </c>
      <c r="Z1565" t="s">
        <v>392</v>
      </c>
      <c r="AA1565">
        <v>140</v>
      </c>
      <c r="AB1565" t="s">
        <v>1956</v>
      </c>
      <c r="AC1565" t="str">
        <f>HYPERLINK("plots/20251231112652_3FT6Y119H04_05543_B21P_N_UFLEX98_M5358A8BA201511/dpll_52084/txpa_54245.png","plot")</f>
        <v>plot</v>
      </c>
    </row>
    <row r="1566" spans="1:29" hidden="1" x14ac:dyDescent="0.35">
      <c r="A1566" t="s">
        <v>47</v>
      </c>
      <c r="B1566">
        <v>52084</v>
      </c>
      <c r="C1566" t="s">
        <v>52</v>
      </c>
      <c r="D1566">
        <v>54246</v>
      </c>
      <c r="E1566" t="s">
        <v>266</v>
      </c>
      <c r="F1566">
        <v>7139</v>
      </c>
      <c r="G1566">
        <v>0.3957058635477731</v>
      </c>
      <c r="H1566">
        <v>2.8797537039058429E-266</v>
      </c>
      <c r="I1566">
        <v>1.5368790819792241E-264</v>
      </c>
      <c r="J1566">
        <v>0.41697027895501709</v>
      </c>
      <c r="K1566">
        <v>2.2533059852674901E-298</v>
      </c>
      <c r="L1566">
        <v>9.1394090762449404E-297</v>
      </c>
      <c r="M1566">
        <v>0.29262952022206179</v>
      </c>
      <c r="N1566">
        <v>6.3785475290552902E-301</v>
      </c>
      <c r="O1566">
        <v>2.5871388777848259E-299</v>
      </c>
      <c r="P1566">
        <v>0.15658313044608879</v>
      </c>
      <c r="Q1566">
        <v>0.86494322742341534</v>
      </c>
      <c r="R1566">
        <v>9.4495495212235827</v>
      </c>
      <c r="S1566">
        <v>0.22127966117992429</v>
      </c>
      <c r="T1566">
        <v>0.15922108821432379</v>
      </c>
      <c r="U1566">
        <v>4.2625965936405663</v>
      </c>
      <c r="V1566">
        <v>0.11023909988438001</v>
      </c>
      <c r="W1566">
        <v>13.13645357613111</v>
      </c>
      <c r="X1566">
        <v>0.240963229575031</v>
      </c>
      <c r="Z1566" t="s">
        <v>392</v>
      </c>
      <c r="AA1566">
        <v>140</v>
      </c>
      <c r="AB1566" t="s">
        <v>1957</v>
      </c>
      <c r="AC1566" t="str">
        <f>HYPERLINK("plots/20251231112652_3FT6Y119H04_05543_B21P_N_UFLEX98_M5358A8BA201511/dpll_52084/txpa_54246.png","plot")</f>
        <v>plot</v>
      </c>
    </row>
    <row r="1567" spans="1:29" hidden="1" x14ac:dyDescent="0.35">
      <c r="A1567" t="s">
        <v>47</v>
      </c>
      <c r="B1567">
        <v>52084</v>
      </c>
      <c r="C1567" t="s">
        <v>52</v>
      </c>
      <c r="D1567">
        <v>54247</v>
      </c>
      <c r="E1567" t="s">
        <v>267</v>
      </c>
      <c r="F1567">
        <v>7139</v>
      </c>
      <c r="G1567">
        <v>0.36232718956966481</v>
      </c>
      <c r="H1567">
        <v>2.025500237076136E-220</v>
      </c>
      <c r="I1567">
        <v>1.7554335387993181E-219</v>
      </c>
      <c r="J1567">
        <v>0.37279334357166499</v>
      </c>
      <c r="K1567">
        <v>3.2157987299976973E-234</v>
      </c>
      <c r="L1567">
        <v>3.1354037617477549E-233</v>
      </c>
      <c r="M1567">
        <v>0.25730387614370009</v>
      </c>
      <c r="N1567">
        <v>3.84989174602528E-233</v>
      </c>
      <c r="O1567">
        <v>3.943222455019832E-232</v>
      </c>
      <c r="P1567">
        <v>0.13128099230145179</v>
      </c>
      <c r="Q1567">
        <v>0.81542294982920449</v>
      </c>
      <c r="R1567">
        <v>9.7240532999713665</v>
      </c>
      <c r="S1567">
        <v>0.23122080367902331</v>
      </c>
      <c r="T1567">
        <v>0.1691947175382098</v>
      </c>
      <c r="U1567">
        <v>4.2625965936405663</v>
      </c>
      <c r="V1567">
        <v>0.11023909988438001</v>
      </c>
      <c r="W1567">
        <v>13.19987238828968</v>
      </c>
      <c r="X1567">
        <v>0.2480948010581305</v>
      </c>
      <c r="Z1567" t="s">
        <v>392</v>
      </c>
      <c r="AA1567">
        <v>140</v>
      </c>
      <c r="AB1567" t="s">
        <v>1958</v>
      </c>
      <c r="AC1567" t="str">
        <f>HYPERLINK("plots/20251231112652_3FT6Y119H04_05543_B21P_N_UFLEX98_M5358A8BA201511/dpll_52084/txpa_54247.png","plot")</f>
        <v>plot</v>
      </c>
    </row>
    <row r="1568" spans="1:29" hidden="1" x14ac:dyDescent="0.35">
      <c r="A1568" t="s">
        <v>47</v>
      </c>
      <c r="B1568">
        <v>52084</v>
      </c>
      <c r="C1568" t="s">
        <v>52</v>
      </c>
      <c r="D1568">
        <v>54248</v>
      </c>
      <c r="E1568" t="s">
        <v>268</v>
      </c>
      <c r="F1568">
        <v>7139</v>
      </c>
      <c r="G1568">
        <v>0.39801177760524609</v>
      </c>
      <c r="H1568">
        <v>1.2305650191550081E-269</v>
      </c>
      <c r="I1568">
        <v>8.9128066387369863E-268</v>
      </c>
      <c r="J1568">
        <v>0.42068233731349519</v>
      </c>
      <c r="K1568">
        <v>3.198161774084855E-304</v>
      </c>
      <c r="L1568">
        <v>1.474061835873656E-302</v>
      </c>
      <c r="M1568">
        <v>0.29665400687573518</v>
      </c>
      <c r="N1568">
        <v>0</v>
      </c>
      <c r="O1568">
        <v>1.814659062973719E-307</v>
      </c>
      <c r="P1568">
        <v>0.1584133751124879</v>
      </c>
      <c r="Q1568">
        <v>0.83558841675447959</v>
      </c>
      <c r="R1568">
        <v>9.5875431918034444</v>
      </c>
      <c r="S1568">
        <v>0.21230055973308931</v>
      </c>
      <c r="T1568">
        <v>0.15067744555036161</v>
      </c>
      <c r="U1568">
        <v>4.2625965936405663</v>
      </c>
      <c r="V1568">
        <v>0.11023909988438001</v>
      </c>
      <c r="W1568">
        <v>13.149319530746601</v>
      </c>
      <c r="X1568">
        <v>0.23143665619912529</v>
      </c>
      <c r="Z1568" t="s">
        <v>392</v>
      </c>
      <c r="AA1568">
        <v>140</v>
      </c>
      <c r="AB1568" t="s">
        <v>1959</v>
      </c>
      <c r="AC1568" t="str">
        <f>HYPERLINK("plots/20251231112652_3FT6Y119H04_05543_B21P_N_UFLEX98_M5358A8BA201511/dpll_52084/txpa_54248.png","plot")</f>
        <v>plot</v>
      </c>
    </row>
    <row r="1569" spans="1:29" hidden="1" x14ac:dyDescent="0.35">
      <c r="A1569" t="s">
        <v>47</v>
      </c>
      <c r="B1569">
        <v>52084</v>
      </c>
      <c r="C1569" t="s">
        <v>52</v>
      </c>
      <c r="D1569">
        <v>54249</v>
      </c>
      <c r="E1569" t="s">
        <v>269</v>
      </c>
      <c r="F1569">
        <v>7139</v>
      </c>
      <c r="G1569">
        <v>0.35082866675437241</v>
      </c>
      <c r="H1569">
        <v>7.6029041648986766E-206</v>
      </c>
      <c r="I1569">
        <v>4.4562686839348308E-205</v>
      </c>
      <c r="J1569">
        <v>0.35874289153307648</v>
      </c>
      <c r="K1569">
        <v>8.2177506397487708E-216</v>
      </c>
      <c r="L1569">
        <v>5.4821047030955616E-215</v>
      </c>
      <c r="M1569">
        <v>0.24650671089731871</v>
      </c>
      <c r="N1569">
        <v>3.6975297074213512E-214</v>
      </c>
      <c r="O1569">
        <v>2.5680103584419521E-213</v>
      </c>
      <c r="P1569">
        <v>0.12308075341665051</v>
      </c>
      <c r="Q1569">
        <v>0.78234528119795643</v>
      </c>
      <c r="R1569">
        <v>9.7931544966015558</v>
      </c>
      <c r="S1569">
        <v>0.2301910504424812</v>
      </c>
      <c r="T1569">
        <v>0.16984627294257851</v>
      </c>
      <c r="U1569">
        <v>4.2625965936405663</v>
      </c>
      <c r="V1569">
        <v>0.11023909988438001</v>
      </c>
      <c r="W1569">
        <v>13.127976827286741</v>
      </c>
      <c r="X1569">
        <v>0.2458323614085908</v>
      </c>
      <c r="Z1569" t="s">
        <v>392</v>
      </c>
      <c r="AA1569">
        <v>140</v>
      </c>
      <c r="AB1569" t="s">
        <v>1960</v>
      </c>
      <c r="AC1569" t="str">
        <f>HYPERLINK("plots/20251231112652_3FT6Y119H04_05543_B21P_N_UFLEX98_M5358A8BA201511/dpll_52084/txpa_54249.png","plot")</f>
        <v>plot</v>
      </c>
    </row>
    <row r="1570" spans="1:29" hidden="1" x14ac:dyDescent="0.35">
      <c r="A1570" t="s">
        <v>47</v>
      </c>
      <c r="B1570">
        <v>52084</v>
      </c>
      <c r="C1570" t="s">
        <v>52</v>
      </c>
      <c r="D1570">
        <v>54250</v>
      </c>
      <c r="E1570" t="s">
        <v>270</v>
      </c>
      <c r="F1570">
        <v>7139</v>
      </c>
      <c r="G1570">
        <v>0.28159137411285912</v>
      </c>
      <c r="H1570">
        <v>3.0976986497168202E-130</v>
      </c>
      <c r="I1570">
        <v>6.4234487337686207E-130</v>
      </c>
      <c r="J1570">
        <v>0.23162838185947421</v>
      </c>
      <c r="K1570">
        <v>1.403824475369838E-87</v>
      </c>
      <c r="L1570">
        <v>2.3528562281405232E-87</v>
      </c>
      <c r="M1570">
        <v>0.15443524475754761</v>
      </c>
      <c r="N1570">
        <v>2.903740122671313E-85</v>
      </c>
      <c r="O1570">
        <v>4.7876300559166027E-85</v>
      </c>
      <c r="P1570">
        <v>7.9293701974768149E-2</v>
      </c>
      <c r="Q1570">
        <v>0.78276810062277047</v>
      </c>
      <c r="R1570">
        <v>9.5619643633363207</v>
      </c>
      <c r="S1570">
        <v>0.29402182449420228</v>
      </c>
      <c r="T1570">
        <v>0.24155486052547989</v>
      </c>
      <c r="U1570">
        <v>4.2625965936405663</v>
      </c>
      <c r="V1570">
        <v>0.11023909988438001</v>
      </c>
      <c r="W1570">
        <v>12.89858900266144</v>
      </c>
      <c r="X1570">
        <v>0.3064428060082382</v>
      </c>
      <c r="Z1570" t="s">
        <v>392</v>
      </c>
      <c r="AA1570">
        <v>140</v>
      </c>
      <c r="AB1570" t="s">
        <v>1961</v>
      </c>
      <c r="AC1570" t="str">
        <f>HYPERLINK("plots/20251231112652_3FT6Y119H04_05543_B21P_N_UFLEX98_M5358A8BA201511/dpll_52084/txpa_54250.png","plot")</f>
        <v>plot</v>
      </c>
    </row>
    <row r="1571" spans="1:29" hidden="1" x14ac:dyDescent="0.35">
      <c r="A1571" t="s">
        <v>47</v>
      </c>
      <c r="B1571">
        <v>52084</v>
      </c>
      <c r="C1571" t="s">
        <v>52</v>
      </c>
      <c r="D1571">
        <v>54251</v>
      </c>
      <c r="E1571" t="s">
        <v>271</v>
      </c>
      <c r="F1571">
        <v>7139</v>
      </c>
      <c r="G1571">
        <v>0.27346915459881532</v>
      </c>
      <c r="H1571">
        <v>1.1852931099079501E-122</v>
      </c>
      <c r="I1571">
        <v>2.2763015406186769E-122</v>
      </c>
      <c r="J1571">
        <v>0.24268441502980889</v>
      </c>
      <c r="K1571">
        <v>3.276840552149972E-96</v>
      </c>
      <c r="L1571">
        <v>5.9228454899823009E-96</v>
      </c>
      <c r="M1571">
        <v>0.16153732424071821</v>
      </c>
      <c r="N1571">
        <v>4.1735192953490354E-93</v>
      </c>
      <c r="O1571">
        <v>7.4901744521839307E-93</v>
      </c>
      <c r="P1571">
        <v>7.4785378516990728E-2</v>
      </c>
      <c r="Q1571">
        <v>0.77604393905677704</v>
      </c>
      <c r="R1571">
        <v>10.13538409008544</v>
      </c>
      <c r="S1571">
        <v>0.30088770820643479</v>
      </c>
      <c r="T1571">
        <v>0.24038109472014901</v>
      </c>
      <c r="U1571">
        <v>4.2625965936405663</v>
      </c>
      <c r="V1571">
        <v>0.11023909988438001</v>
      </c>
      <c r="W1571">
        <v>13.44334634122426</v>
      </c>
      <c r="X1571">
        <v>0.31283376524804751</v>
      </c>
      <c r="Z1571" t="s">
        <v>392</v>
      </c>
      <c r="AA1571">
        <v>140</v>
      </c>
      <c r="AB1571" t="s">
        <v>1962</v>
      </c>
      <c r="AC1571" t="str">
        <f>HYPERLINK("plots/20251231112652_3FT6Y119H04_05543_B21P_N_UFLEX98_M5358A8BA201511/dpll_52084/txpa_54251.png","plot")</f>
        <v>plot</v>
      </c>
    </row>
    <row r="1572" spans="1:29" hidden="1" x14ac:dyDescent="0.35">
      <c r="A1572" t="s">
        <v>47</v>
      </c>
      <c r="B1572">
        <v>52084</v>
      </c>
      <c r="C1572" t="s">
        <v>52</v>
      </c>
      <c r="D1572">
        <v>54252</v>
      </c>
      <c r="E1572" t="s">
        <v>272</v>
      </c>
      <c r="F1572">
        <v>7137</v>
      </c>
      <c r="G1572">
        <v>0.36750586881859509</v>
      </c>
      <c r="H1572">
        <v>4.0369721749466911E-227</v>
      </c>
      <c r="I1572">
        <v>4.4016019197805857E-226</v>
      </c>
      <c r="J1572">
        <v>0.41137656599817157</v>
      </c>
      <c r="K1572">
        <v>1.2799606504170571E-289</v>
      </c>
      <c r="L1572">
        <v>3.9329699985542292E-288</v>
      </c>
      <c r="M1572">
        <v>0.28831308067902889</v>
      </c>
      <c r="N1572">
        <v>4.3090985610757066E-292</v>
      </c>
      <c r="O1572">
        <v>1.3481220966764429E-290</v>
      </c>
      <c r="P1572">
        <v>0.13506056361611049</v>
      </c>
      <c r="Q1572">
        <v>0.86340919809739447</v>
      </c>
      <c r="R1572">
        <v>9.8977755717125788</v>
      </c>
      <c r="S1572">
        <v>0.24084140435509149</v>
      </c>
      <c r="T1572">
        <v>0.16958109247749581</v>
      </c>
      <c r="U1572">
        <v>4.2625619187333612</v>
      </c>
      <c r="V1572">
        <v>0.1102341955265327</v>
      </c>
      <c r="W1572">
        <v>13.57811073980664</v>
      </c>
      <c r="X1572">
        <v>0.258981492372998</v>
      </c>
      <c r="Z1572" t="s">
        <v>392</v>
      </c>
      <c r="AA1572">
        <v>140</v>
      </c>
      <c r="AB1572" t="s">
        <v>1963</v>
      </c>
      <c r="AC1572" t="str">
        <f>HYPERLINK("plots/20251231112652_3FT6Y119H04_05543_B21P_N_UFLEX98_M5358A8BA201511/dpll_52084/txpa_54252.png","plot")</f>
        <v>plot</v>
      </c>
    </row>
    <row r="1573" spans="1:29" hidden="1" x14ac:dyDescent="0.35">
      <c r="A1573" t="s">
        <v>47</v>
      </c>
      <c r="B1573">
        <v>52084</v>
      </c>
      <c r="C1573" t="s">
        <v>52</v>
      </c>
      <c r="D1573">
        <v>54253</v>
      </c>
      <c r="E1573" t="s">
        <v>273</v>
      </c>
      <c r="F1573">
        <v>7138</v>
      </c>
      <c r="G1573">
        <v>0.32447621564224138</v>
      </c>
      <c r="H1573">
        <v>1.1882163886901749E-174</v>
      </c>
      <c r="I1573">
        <v>4.0028286316672331E-174</v>
      </c>
      <c r="J1573">
        <v>0.35638508070161912</v>
      </c>
      <c r="K1573">
        <v>8.7771616440032577E-213</v>
      </c>
      <c r="L1573">
        <v>5.3939647921329112E-212</v>
      </c>
      <c r="M1573">
        <v>0.24639975332568931</v>
      </c>
      <c r="N1573">
        <v>6.0439280569512308E-214</v>
      </c>
      <c r="O1573">
        <v>4.1409074660463172E-213</v>
      </c>
      <c r="P1573">
        <v>0.1052848145175103</v>
      </c>
      <c r="Q1573">
        <v>0.84756638418341312</v>
      </c>
      <c r="R1573">
        <v>9.9135975280794746</v>
      </c>
      <c r="S1573">
        <v>0.27236116428636697</v>
      </c>
      <c r="T1573">
        <v>0.19663717984735021</v>
      </c>
      <c r="U1573">
        <v>4.2625829530680859</v>
      </c>
      <c r="V1573">
        <v>0.1102407973763025</v>
      </c>
      <c r="W1573">
        <v>13.52641954889325</v>
      </c>
      <c r="X1573">
        <v>0.28796068715480061</v>
      </c>
      <c r="Z1573" t="s">
        <v>392</v>
      </c>
      <c r="AA1573">
        <v>140</v>
      </c>
      <c r="AB1573" t="s">
        <v>1964</v>
      </c>
      <c r="AC1573" t="str">
        <f>HYPERLINK("plots/20251231112652_3FT6Y119H04_05543_B21P_N_UFLEX98_M5358A8BA201511/dpll_52084/txpa_54253.png","plot")</f>
        <v>plot</v>
      </c>
    </row>
    <row r="1574" spans="1:29" hidden="1" x14ac:dyDescent="0.35">
      <c r="A1574" t="s">
        <v>47</v>
      </c>
      <c r="B1574">
        <v>52084</v>
      </c>
      <c r="C1574" t="s">
        <v>52</v>
      </c>
      <c r="D1574">
        <v>54254</v>
      </c>
      <c r="E1574" t="s">
        <v>274</v>
      </c>
      <c r="F1574">
        <v>7138</v>
      </c>
      <c r="G1574">
        <v>0.39384737551147703</v>
      </c>
      <c r="H1574">
        <v>1.555928295869903E-263</v>
      </c>
      <c r="I1574">
        <v>6.0681203538926222E-262</v>
      </c>
      <c r="J1574">
        <v>0.42904574016576141</v>
      </c>
      <c r="K1574">
        <v>0</v>
      </c>
      <c r="L1574">
        <v>0</v>
      </c>
      <c r="M1574">
        <v>0.30448174098165798</v>
      </c>
      <c r="N1574">
        <v>0</v>
      </c>
      <c r="O1574">
        <v>0</v>
      </c>
      <c r="P1574">
        <v>0.15511575519727841</v>
      </c>
      <c r="Q1574">
        <v>0.8794949181722046</v>
      </c>
      <c r="R1574">
        <v>9.8336535922477601</v>
      </c>
      <c r="S1574">
        <v>0.22624720503046331</v>
      </c>
      <c r="T1574">
        <v>0.15911482139361291</v>
      </c>
      <c r="U1574">
        <v>4.2625755641636314</v>
      </c>
      <c r="V1574">
        <v>0.1102325012235395</v>
      </c>
      <c r="W1574">
        <v>13.582567139254691</v>
      </c>
      <c r="X1574">
        <v>0.24615861542205231</v>
      </c>
      <c r="Z1574" t="s">
        <v>392</v>
      </c>
      <c r="AA1574">
        <v>140</v>
      </c>
      <c r="AB1574" t="s">
        <v>1965</v>
      </c>
      <c r="AC1574" t="str">
        <f>HYPERLINK("plots/20251231112652_3FT6Y119H04_05543_B21P_N_UFLEX98_M5358A8BA201511/dpll_52084/txpa_54254.png","plot")</f>
        <v>plot</v>
      </c>
    </row>
    <row r="1575" spans="1:29" hidden="1" x14ac:dyDescent="0.35">
      <c r="A1575" t="s">
        <v>47</v>
      </c>
      <c r="B1575">
        <v>52084</v>
      </c>
      <c r="C1575" t="s">
        <v>52</v>
      </c>
      <c r="D1575">
        <v>54255</v>
      </c>
      <c r="E1575" t="s">
        <v>275</v>
      </c>
      <c r="F1575">
        <v>7139</v>
      </c>
      <c r="G1575">
        <v>0.35957279850356061</v>
      </c>
      <c r="H1575">
        <v>7.1293235068558133E-217</v>
      </c>
      <c r="I1575">
        <v>5.3948761462326821E-216</v>
      </c>
      <c r="J1575">
        <v>0.38489799462567642</v>
      </c>
      <c r="K1575">
        <v>7.8835628655472805E-251</v>
      </c>
      <c r="L1575">
        <v>1.095059280228074E-249</v>
      </c>
      <c r="M1575">
        <v>0.26823178031821349</v>
      </c>
      <c r="N1575">
        <v>3.5200682582622841E-253</v>
      </c>
      <c r="O1575">
        <v>5.4913064828891618E-252</v>
      </c>
      <c r="P1575">
        <v>0.12929259742368221</v>
      </c>
      <c r="Q1575">
        <v>0.84004657311393538</v>
      </c>
      <c r="R1575">
        <v>10.030305981191921</v>
      </c>
      <c r="S1575">
        <v>0.24030228035187939</v>
      </c>
      <c r="T1575">
        <v>0.17257577598368271</v>
      </c>
      <c r="U1575">
        <v>4.2625965936405663</v>
      </c>
      <c r="V1575">
        <v>0.11023909988438001</v>
      </c>
      <c r="W1575">
        <v>13.61108564224681</v>
      </c>
      <c r="X1575">
        <v>0.25754444848564167</v>
      </c>
      <c r="Z1575" t="s">
        <v>392</v>
      </c>
      <c r="AA1575">
        <v>140</v>
      </c>
      <c r="AB1575" t="s">
        <v>1966</v>
      </c>
      <c r="AC1575" t="str">
        <f>HYPERLINK("plots/20251231112652_3FT6Y119H04_05543_B21P_N_UFLEX98_M5358A8BA201511/dpll_52084/txpa_54255.png","plot")</f>
        <v>plot</v>
      </c>
    </row>
    <row r="1576" spans="1:29" hidden="1" x14ac:dyDescent="0.35">
      <c r="A1576" t="s">
        <v>47</v>
      </c>
      <c r="B1576">
        <v>52084</v>
      </c>
      <c r="C1576" t="s">
        <v>52</v>
      </c>
      <c r="D1576">
        <v>54256</v>
      </c>
      <c r="E1576" t="s">
        <v>276</v>
      </c>
      <c r="F1576">
        <v>7139</v>
      </c>
      <c r="G1576">
        <v>0.38635501585577919</v>
      </c>
      <c r="H1576">
        <v>7.0684766520214695E-253</v>
      </c>
      <c r="I1576">
        <v>1.6289625738976751E-251</v>
      </c>
      <c r="J1576">
        <v>0.42332481739953648</v>
      </c>
      <c r="K1576">
        <v>0</v>
      </c>
      <c r="L1576">
        <v>1.8258713962363101E-306</v>
      </c>
      <c r="M1576">
        <v>0.30096625599514892</v>
      </c>
      <c r="N1576">
        <v>0</v>
      </c>
      <c r="O1576">
        <v>0</v>
      </c>
      <c r="P1576">
        <v>0.1492701982769194</v>
      </c>
      <c r="Q1576">
        <v>0.85367186549791174</v>
      </c>
      <c r="R1576">
        <v>9.9332556964623198</v>
      </c>
      <c r="S1576">
        <v>0.22464951041502601</v>
      </c>
      <c r="T1576">
        <v>0.15765969356789489</v>
      </c>
      <c r="U1576">
        <v>4.2625965936405663</v>
      </c>
      <c r="V1576">
        <v>0.11023909988438001</v>
      </c>
      <c r="W1576">
        <v>13.57211448242051</v>
      </c>
      <c r="X1576">
        <v>0.24357912848797719</v>
      </c>
      <c r="Z1576" t="s">
        <v>392</v>
      </c>
      <c r="AA1576">
        <v>140</v>
      </c>
      <c r="AB1576" t="s">
        <v>1967</v>
      </c>
      <c r="AC1576" t="str">
        <f>HYPERLINK("plots/20251231112652_3FT6Y119H04_05543_B21P_N_UFLEX98_M5358A8BA201511/dpll_52084/txpa_54256.png","plot")</f>
        <v>plot</v>
      </c>
    </row>
    <row r="1577" spans="1:29" hidden="1" x14ac:dyDescent="0.35">
      <c r="A1577" t="s">
        <v>47</v>
      </c>
      <c r="B1577">
        <v>52084</v>
      </c>
      <c r="C1577" t="s">
        <v>52</v>
      </c>
      <c r="D1577">
        <v>54257</v>
      </c>
      <c r="E1577" t="s">
        <v>277</v>
      </c>
      <c r="F1577">
        <v>7139</v>
      </c>
      <c r="G1577">
        <v>0.34562507207927712</v>
      </c>
      <c r="H1577">
        <v>1.9013609837034929E-199</v>
      </c>
      <c r="I1577">
        <v>1.009413632186043E-198</v>
      </c>
      <c r="J1577">
        <v>0.36435373505515811</v>
      </c>
      <c r="K1577">
        <v>4.728244158267576E-223</v>
      </c>
      <c r="L1577">
        <v>3.688030443448709E-222</v>
      </c>
      <c r="M1577">
        <v>0.25155606831504668</v>
      </c>
      <c r="N1577">
        <v>6.189269275552245E-223</v>
      </c>
      <c r="O1577">
        <v>5.2299325378416458E-222</v>
      </c>
      <c r="P1577">
        <v>0.1194566904498055</v>
      </c>
      <c r="Q1577">
        <v>0.81419812159642413</v>
      </c>
      <c r="R1577">
        <v>10.054024738888961</v>
      </c>
      <c r="S1577">
        <v>0.24367190413200751</v>
      </c>
      <c r="T1577">
        <v>0.17764532753517101</v>
      </c>
      <c r="U1577">
        <v>4.2625965936405663</v>
      </c>
      <c r="V1577">
        <v>0.11023909988438001</v>
      </c>
      <c r="W1577">
        <v>13.524622878554419</v>
      </c>
      <c r="X1577">
        <v>0.25969316262957648</v>
      </c>
      <c r="Z1577" t="s">
        <v>392</v>
      </c>
      <c r="AA1577">
        <v>140</v>
      </c>
      <c r="AB1577" t="s">
        <v>1968</v>
      </c>
      <c r="AC1577" t="str">
        <f>HYPERLINK("plots/20251231112652_3FT6Y119H04_05543_B21P_N_UFLEX98_M5358A8BA201511/dpll_52084/txpa_54257.png","plot")</f>
        <v>plot</v>
      </c>
    </row>
    <row r="1578" spans="1:29" hidden="1" x14ac:dyDescent="0.35">
      <c r="A1578" t="s">
        <v>47</v>
      </c>
      <c r="B1578">
        <v>52084</v>
      </c>
      <c r="C1578" t="s">
        <v>52</v>
      </c>
      <c r="D1578">
        <v>54258</v>
      </c>
      <c r="E1578" t="s">
        <v>278</v>
      </c>
      <c r="F1578">
        <v>7139</v>
      </c>
      <c r="G1578">
        <v>0.29508839667942072</v>
      </c>
      <c r="H1578">
        <v>2.0585642755215331E-143</v>
      </c>
      <c r="I1578">
        <v>4.8431187363778056E-143</v>
      </c>
      <c r="J1578">
        <v>0.24692987917676781</v>
      </c>
      <c r="K1578">
        <v>1.2054134098624659E-99</v>
      </c>
      <c r="L1578">
        <v>2.2593145981525691E-99</v>
      </c>
      <c r="M1578">
        <v>0.1646417121846655</v>
      </c>
      <c r="N1578">
        <v>1.2079095785022869E-96</v>
      </c>
      <c r="O1578">
        <v>2.2515079275759538E-96</v>
      </c>
      <c r="P1578">
        <v>8.7077161854831123E-2</v>
      </c>
      <c r="Q1578">
        <v>0.78643959863489488</v>
      </c>
      <c r="R1578">
        <v>10.047137758711839</v>
      </c>
      <c r="S1578">
        <v>0.28069554208656072</v>
      </c>
      <c r="T1578">
        <v>0.22876832064294661</v>
      </c>
      <c r="U1578">
        <v>4.2625965936405663</v>
      </c>
      <c r="V1578">
        <v>0.11023909988438001</v>
      </c>
      <c r="W1578">
        <v>13.399412512956999</v>
      </c>
      <c r="X1578">
        <v>0.29379804303565871</v>
      </c>
      <c r="Z1578" t="s">
        <v>392</v>
      </c>
      <c r="AA1578">
        <v>140</v>
      </c>
      <c r="AB1578" t="s">
        <v>1969</v>
      </c>
      <c r="AC1578" t="str">
        <f>HYPERLINK("plots/20251231112652_3FT6Y119H04_05543_B21P_N_UFLEX98_M5358A8BA201511/dpll_52084/txpa_54258.png","plot")</f>
        <v>plot</v>
      </c>
    </row>
    <row r="1579" spans="1:29" hidden="1" x14ac:dyDescent="0.35">
      <c r="A1579" t="s">
        <v>47</v>
      </c>
      <c r="B1579">
        <v>52084</v>
      </c>
      <c r="C1579" t="s">
        <v>52</v>
      </c>
      <c r="D1579">
        <v>55146</v>
      </c>
      <c r="E1579" t="s">
        <v>279</v>
      </c>
      <c r="F1579">
        <v>7139</v>
      </c>
      <c r="G1579">
        <v>-1.0725843282898559E-2</v>
      </c>
      <c r="H1579">
        <v>0.36487139323237539</v>
      </c>
      <c r="I1579">
        <v>0.36667947744066259</v>
      </c>
      <c r="J1579">
        <v>-5.4721176617594713E-3</v>
      </c>
      <c r="K1579">
        <v>0.64388343330512132</v>
      </c>
      <c r="L1579">
        <v>0.64643346670434954</v>
      </c>
      <c r="M1579">
        <v>-3.6556238293632601E-3</v>
      </c>
      <c r="N1579">
        <v>0.64323075448554445</v>
      </c>
      <c r="O1579">
        <v>0.64641822105881275</v>
      </c>
      <c r="P1579">
        <v>1.150437141293002E-4</v>
      </c>
      <c r="Q1579">
        <v>-0.44137749537794779</v>
      </c>
      <c r="R1579">
        <v>-9.5452733431701517</v>
      </c>
      <c r="S1579">
        <v>4.5358532503308817</v>
      </c>
      <c r="T1579">
        <v>3.4563447062311501</v>
      </c>
      <c r="U1579">
        <v>4.2625965936405663</v>
      </c>
      <c r="V1579">
        <v>0.11023909988438001</v>
      </c>
      <c r="W1579">
        <v>-11.4266875514778</v>
      </c>
      <c r="X1579">
        <v>4.5364319164784517</v>
      </c>
      <c r="Z1579" t="s">
        <v>392</v>
      </c>
      <c r="AA1579">
        <v>140</v>
      </c>
      <c r="AB1579" t="s">
        <v>1970</v>
      </c>
      <c r="AC1579" t="str">
        <f>HYPERLINK("plots/20251231112652_3FT6Y119H04_05543_B21P_N_UFLEX98_M5358A8BA201511/dpll_52084/txpa_55146.png","plot")</f>
        <v>plot</v>
      </c>
    </row>
    <row r="1580" spans="1:29" hidden="1" x14ac:dyDescent="0.35">
      <c r="A1580" t="s">
        <v>47</v>
      </c>
      <c r="B1580">
        <v>52084</v>
      </c>
      <c r="C1580" t="s">
        <v>52</v>
      </c>
      <c r="D1580">
        <v>55147</v>
      </c>
      <c r="E1580" t="s">
        <v>280</v>
      </c>
      <c r="F1580">
        <v>7138</v>
      </c>
      <c r="G1580">
        <v>0.11933377589758989</v>
      </c>
      <c r="H1580">
        <v>4.6673063810472728E-24</v>
      </c>
      <c r="I1580">
        <v>4.8144950868585298E-24</v>
      </c>
      <c r="J1580">
        <v>0.1100511304477184</v>
      </c>
      <c r="K1580">
        <v>1.114443912140895E-20</v>
      </c>
      <c r="L1580">
        <v>1.150759803371556E-20</v>
      </c>
      <c r="M1580">
        <v>7.3085129817392624E-2</v>
      </c>
      <c r="N1580">
        <v>2.1162164080462219E-20</v>
      </c>
      <c r="O1580">
        <v>2.1807352009744609E-20</v>
      </c>
      <c r="P1580">
        <v>1.42405500699762E-2</v>
      </c>
      <c r="Q1580">
        <v>0.88223745834708822</v>
      </c>
      <c r="R1580">
        <v>-22.809745711552988</v>
      </c>
      <c r="S1580">
        <v>0.80917585222849975</v>
      </c>
      <c r="T1580">
        <v>0.62792972382036927</v>
      </c>
      <c r="U1580">
        <v>4.2625982017371813</v>
      </c>
      <c r="V1580">
        <v>0.1102467389450062</v>
      </c>
      <c r="W1580">
        <v>-19.049121908097511</v>
      </c>
      <c r="X1580">
        <v>0.81505677689581602</v>
      </c>
      <c r="Z1580" t="s">
        <v>392</v>
      </c>
      <c r="AA1580">
        <v>140</v>
      </c>
      <c r="AB1580" t="s">
        <v>1971</v>
      </c>
      <c r="AC1580" t="str">
        <f>HYPERLINK("plots/20251231112652_3FT6Y119H04_05543_B21P_N_UFLEX98_M5358A8BA201511/dpll_52084/txpa_55147.png","plot")</f>
        <v>plot</v>
      </c>
    </row>
    <row r="1581" spans="1:29" hidden="1" x14ac:dyDescent="0.35">
      <c r="A1581" t="s">
        <v>47</v>
      </c>
      <c r="B1581">
        <v>52084</v>
      </c>
      <c r="C1581" t="s">
        <v>52</v>
      </c>
      <c r="D1581">
        <v>55148</v>
      </c>
      <c r="E1581" t="s">
        <v>281</v>
      </c>
      <c r="F1581">
        <v>7139</v>
      </c>
      <c r="G1581">
        <v>0.1159094473267844</v>
      </c>
      <c r="H1581">
        <v>8.7956000012530348E-23</v>
      </c>
      <c r="I1581">
        <v>9.0453736321202619E-23</v>
      </c>
      <c r="J1581">
        <v>0.11455516123768809</v>
      </c>
      <c r="K1581">
        <v>2.7509729367436619E-22</v>
      </c>
      <c r="L1581">
        <v>2.8906596454487811E-22</v>
      </c>
      <c r="M1581">
        <v>7.6315891740880493E-2</v>
      </c>
      <c r="N1581">
        <v>4.2279721531658711E-22</v>
      </c>
      <c r="O1581">
        <v>4.4426567495442407E-22</v>
      </c>
      <c r="P1581">
        <v>1.343499997960061E-2</v>
      </c>
      <c r="Q1581">
        <v>0.84867956180431103</v>
      </c>
      <c r="R1581">
        <v>-23.209227155254268</v>
      </c>
      <c r="S1581">
        <v>0.8016651416191094</v>
      </c>
      <c r="T1581">
        <v>0.60006725565695684</v>
      </c>
      <c r="U1581">
        <v>4.2625965936405663</v>
      </c>
      <c r="V1581">
        <v>0.11023909988438001</v>
      </c>
      <c r="W1581">
        <v>-19.591648546014849</v>
      </c>
      <c r="X1581">
        <v>0.80716173824735304</v>
      </c>
      <c r="Z1581" t="s">
        <v>392</v>
      </c>
      <c r="AA1581">
        <v>140</v>
      </c>
      <c r="AB1581" t="s">
        <v>1972</v>
      </c>
      <c r="AC1581" t="str">
        <f>HYPERLINK("plots/20251231112652_3FT6Y119H04_05543_B21P_N_UFLEX98_M5358A8BA201511/dpll_52084/txpa_55148.png","plot")</f>
        <v>plot</v>
      </c>
    </row>
    <row r="1582" spans="1:29" hidden="1" x14ac:dyDescent="0.35">
      <c r="A1582" t="s">
        <v>47</v>
      </c>
      <c r="B1582">
        <v>52084</v>
      </c>
      <c r="C1582" t="s">
        <v>52</v>
      </c>
      <c r="D1582">
        <v>55149</v>
      </c>
      <c r="E1582" t="s">
        <v>282</v>
      </c>
      <c r="F1582">
        <v>7139</v>
      </c>
      <c r="G1582">
        <v>0.12909782453234031</v>
      </c>
      <c r="H1582">
        <v>6.5171238387235854E-28</v>
      </c>
      <c r="I1582">
        <v>6.8409560791570563E-28</v>
      </c>
      <c r="J1582">
        <v>0.1120867501749814</v>
      </c>
      <c r="K1582">
        <v>2.1234788401137619E-21</v>
      </c>
      <c r="L1582">
        <v>2.2129573934998511E-21</v>
      </c>
      <c r="M1582">
        <v>7.4271106104972145E-2</v>
      </c>
      <c r="N1582">
        <v>5.0955477193524349E-21</v>
      </c>
      <c r="O1582">
        <v>5.3102624742275111E-21</v>
      </c>
      <c r="P1582">
        <v>1.666624829898292E-2</v>
      </c>
      <c r="Q1582">
        <v>0.93737972471391617</v>
      </c>
      <c r="R1582">
        <v>-23.093833280008859</v>
      </c>
      <c r="S1582">
        <v>0.79369262355965864</v>
      </c>
      <c r="T1582">
        <v>0.61983564718394668</v>
      </c>
      <c r="U1582">
        <v>4.2625965936405663</v>
      </c>
      <c r="V1582">
        <v>0.11023909988438001</v>
      </c>
      <c r="W1582">
        <v>-19.098161658495581</v>
      </c>
      <c r="X1582">
        <v>0.80044646357649074</v>
      </c>
      <c r="Z1582" t="s">
        <v>392</v>
      </c>
      <c r="AA1582">
        <v>140</v>
      </c>
      <c r="AB1582" t="s">
        <v>1973</v>
      </c>
      <c r="AC1582" t="str">
        <f>HYPERLINK("plots/20251231112652_3FT6Y119H04_05543_B21P_N_UFLEX98_M5358A8BA201511/dpll_52084/txpa_55149.png","plot")</f>
        <v>plot</v>
      </c>
    </row>
    <row r="1583" spans="1:29" hidden="1" x14ac:dyDescent="0.35">
      <c r="A1583" t="s">
        <v>47</v>
      </c>
      <c r="B1583">
        <v>52084</v>
      </c>
      <c r="C1583" t="s">
        <v>52</v>
      </c>
      <c r="D1583">
        <v>55150</v>
      </c>
      <c r="E1583" t="s">
        <v>283</v>
      </c>
      <c r="F1583">
        <v>7129</v>
      </c>
      <c r="G1583">
        <v>0.14972560779089461</v>
      </c>
      <c r="H1583">
        <v>5.115137851739723E-37</v>
      </c>
      <c r="I1583">
        <v>5.6500542283922432E-37</v>
      </c>
      <c r="J1583">
        <v>0.14196348269339029</v>
      </c>
      <c r="K1583">
        <v>2.0505557499612979E-33</v>
      </c>
      <c r="L1583">
        <v>2.3102928116230621E-33</v>
      </c>
      <c r="M1583">
        <v>9.45250292604249E-2</v>
      </c>
      <c r="N1583">
        <v>5.5084719164023219E-33</v>
      </c>
      <c r="O1583">
        <v>6.2062116924799493E-33</v>
      </c>
      <c r="P1583">
        <v>2.2417757628352811E-2</v>
      </c>
      <c r="Q1583">
        <v>1.0179084280517969</v>
      </c>
      <c r="R1583">
        <v>-23.54159753024129</v>
      </c>
      <c r="S1583">
        <v>0.74121829126991445</v>
      </c>
      <c r="T1583">
        <v>0.57098286334956283</v>
      </c>
      <c r="U1583">
        <v>4.2625845550568107</v>
      </c>
      <c r="V1583">
        <v>0.11027760162658411</v>
      </c>
      <c r="W1583">
        <v>-19.202676786365551</v>
      </c>
      <c r="X1583">
        <v>0.74972145231034404</v>
      </c>
      <c r="Z1583" t="s">
        <v>392</v>
      </c>
      <c r="AA1583">
        <v>140</v>
      </c>
      <c r="AB1583" t="s">
        <v>1974</v>
      </c>
      <c r="AC1583" t="str">
        <f>HYPERLINK("plots/20251231112652_3FT6Y119H04_05543_B21P_N_UFLEX98_M5358A8BA201511/dpll_52084/txpa_55150.png","plot")</f>
        <v>plot</v>
      </c>
    </row>
    <row r="1584" spans="1:29" hidden="1" x14ac:dyDescent="0.35">
      <c r="A1584" t="s">
        <v>47</v>
      </c>
      <c r="B1584">
        <v>52084</v>
      </c>
      <c r="C1584" t="s">
        <v>52</v>
      </c>
      <c r="D1584">
        <v>55151</v>
      </c>
      <c r="E1584" t="s">
        <v>284</v>
      </c>
      <c r="F1584">
        <v>7139</v>
      </c>
      <c r="G1584">
        <v>0.15145666599445301</v>
      </c>
      <c r="H1584">
        <v>6.7242170312242565E-38</v>
      </c>
      <c r="I1584">
        <v>7.4844742806381943E-38</v>
      </c>
      <c r="J1584">
        <v>0.13533126115810931</v>
      </c>
      <c r="K1584">
        <v>1.56283301921373E-30</v>
      </c>
      <c r="L1584">
        <v>1.7150570145916908E-30</v>
      </c>
      <c r="M1584">
        <v>9.0228836027841541E-2</v>
      </c>
      <c r="N1584">
        <v>3.020205893117744E-30</v>
      </c>
      <c r="O1584">
        <v>3.3179726713124518E-30</v>
      </c>
      <c r="P1584">
        <v>2.293912167415529E-2</v>
      </c>
      <c r="Q1584">
        <v>1.190043905927858</v>
      </c>
      <c r="R1584">
        <v>-24.367340761268061</v>
      </c>
      <c r="S1584">
        <v>0.85613182968419621</v>
      </c>
      <c r="T1584">
        <v>0.64926138671189026</v>
      </c>
      <c r="U1584">
        <v>4.2625965936405663</v>
      </c>
      <c r="V1584">
        <v>0.11023909988438001</v>
      </c>
      <c r="W1584">
        <v>-19.29466366157725</v>
      </c>
      <c r="X1584">
        <v>0.86618418642058082</v>
      </c>
      <c r="Z1584" t="s">
        <v>392</v>
      </c>
      <c r="AA1584">
        <v>140</v>
      </c>
      <c r="AB1584" t="s">
        <v>1975</v>
      </c>
      <c r="AC1584" t="str">
        <f>HYPERLINK("plots/20251231112652_3FT6Y119H04_05543_B21P_N_UFLEX98_M5358A8BA201511/dpll_52084/txpa_55151.png","plot")</f>
        <v>plot</v>
      </c>
    </row>
    <row r="1585" spans="1:29" hidden="1" x14ac:dyDescent="0.35">
      <c r="A1585" t="s">
        <v>47</v>
      </c>
      <c r="B1585">
        <v>52084</v>
      </c>
      <c r="C1585" t="s">
        <v>52</v>
      </c>
      <c r="D1585">
        <v>55152</v>
      </c>
      <c r="E1585" t="s">
        <v>285</v>
      </c>
      <c r="F1585">
        <v>7121</v>
      </c>
      <c r="G1585">
        <v>0.1495088428213204</v>
      </c>
      <c r="H1585">
        <v>7.1067872457034617E-37</v>
      </c>
      <c r="I1585">
        <v>7.8244107135106517E-37</v>
      </c>
      <c r="J1585">
        <v>0.13894357955733369</v>
      </c>
      <c r="K1585">
        <v>4.9484004321834518E-32</v>
      </c>
      <c r="L1585">
        <v>5.5139319101472748E-32</v>
      </c>
      <c r="M1585">
        <v>9.2210503000668659E-2</v>
      </c>
      <c r="N1585">
        <v>1.9476212931575221E-31</v>
      </c>
      <c r="O1585">
        <v>2.170206583804096E-31</v>
      </c>
      <c r="P1585">
        <v>2.235289408177028E-2</v>
      </c>
      <c r="Q1585">
        <v>0.98648036184955268</v>
      </c>
      <c r="R1585">
        <v>-23.39692735713415</v>
      </c>
      <c r="S1585">
        <v>0.71965062871584839</v>
      </c>
      <c r="T1585">
        <v>0.55060675872364762</v>
      </c>
      <c r="U1585">
        <v>4.26266948785283</v>
      </c>
      <c r="V1585">
        <v>0.1103162732214714</v>
      </c>
      <c r="W1585">
        <v>-19.191887618312041</v>
      </c>
      <c r="X1585">
        <v>0.72788227821058715</v>
      </c>
      <c r="Z1585" t="s">
        <v>392</v>
      </c>
      <c r="AA1585">
        <v>140</v>
      </c>
      <c r="AB1585" t="s">
        <v>1976</v>
      </c>
      <c r="AC1585" t="str">
        <f>HYPERLINK("plots/20251231112652_3FT6Y119H04_05543_B21P_N_UFLEX98_M5358A8BA201511/dpll_52084/txpa_55152.png","plot")</f>
        <v>plot</v>
      </c>
    </row>
    <row r="1586" spans="1:29" hidden="1" x14ac:dyDescent="0.35">
      <c r="A1586" t="s">
        <v>47</v>
      </c>
      <c r="B1586">
        <v>52084</v>
      </c>
      <c r="C1586" t="s">
        <v>52</v>
      </c>
      <c r="D1586">
        <v>55153</v>
      </c>
      <c r="E1586" t="s">
        <v>286</v>
      </c>
      <c r="F1586">
        <v>7139</v>
      </c>
      <c r="G1586">
        <v>0.13689321341001809</v>
      </c>
      <c r="H1586">
        <v>3.29301181217358E-31</v>
      </c>
      <c r="I1586">
        <v>3.511160859667728E-31</v>
      </c>
      <c r="J1586">
        <v>0.12750412434420039</v>
      </c>
      <c r="K1586">
        <v>2.909024371765847E-27</v>
      </c>
      <c r="L1586">
        <v>3.1380326733729461E-27</v>
      </c>
      <c r="M1586">
        <v>8.485478556062491E-2</v>
      </c>
      <c r="N1586">
        <v>6.1104336270462518E-27</v>
      </c>
      <c r="O1586">
        <v>6.591467763643509E-27</v>
      </c>
      <c r="P1586">
        <v>1.873975187772077E-2</v>
      </c>
      <c r="Q1586">
        <v>0.97838254505522437</v>
      </c>
      <c r="R1586">
        <v>-23.574255625611549</v>
      </c>
      <c r="S1586">
        <v>0.78041232565417784</v>
      </c>
      <c r="T1586">
        <v>0.59342838088618344</v>
      </c>
      <c r="U1586">
        <v>4.2625965936405663</v>
      </c>
      <c r="V1586">
        <v>0.11023909988438001</v>
      </c>
      <c r="W1586">
        <v>-19.403805521781759</v>
      </c>
      <c r="X1586">
        <v>0.78788428164389746</v>
      </c>
      <c r="Z1586" t="s">
        <v>392</v>
      </c>
      <c r="AA1586">
        <v>140</v>
      </c>
      <c r="AB1586" t="s">
        <v>1977</v>
      </c>
      <c r="AC1586" t="str">
        <f>HYPERLINK("plots/20251231112652_3FT6Y119H04_05543_B21P_N_UFLEX98_M5358A8BA201511/dpll_52084/txpa_55153.png","plot")</f>
        <v>plot</v>
      </c>
    </row>
    <row r="1587" spans="1:29" hidden="1" x14ac:dyDescent="0.35">
      <c r="A1587" t="s">
        <v>47</v>
      </c>
      <c r="B1587">
        <v>52084</v>
      </c>
      <c r="C1587" t="s">
        <v>52</v>
      </c>
      <c r="D1587">
        <v>55154</v>
      </c>
      <c r="E1587" t="s">
        <v>287</v>
      </c>
      <c r="F1587">
        <v>7136</v>
      </c>
      <c r="G1587">
        <v>0.123897899473579</v>
      </c>
      <c r="H1587">
        <v>8.1992570762421466E-26</v>
      </c>
      <c r="I1587">
        <v>8.5184904460138687E-26</v>
      </c>
      <c r="J1587">
        <v>0.1170194521367016</v>
      </c>
      <c r="K1587">
        <v>3.4919698839330017E-23</v>
      </c>
      <c r="L1587">
        <v>3.6807250127942438E-23</v>
      </c>
      <c r="M1587">
        <v>7.8293299130397592E-2</v>
      </c>
      <c r="N1587">
        <v>3.6048605272776247E-23</v>
      </c>
      <c r="O1587">
        <v>3.799717853076415E-23</v>
      </c>
      <c r="P1587">
        <v>1.53506894939651E-2</v>
      </c>
      <c r="Q1587">
        <v>0.86683326469262323</v>
      </c>
      <c r="R1587">
        <v>-22.678486830614851</v>
      </c>
      <c r="S1587">
        <v>0.76525948735786076</v>
      </c>
      <c r="T1587">
        <v>0.58888610715238232</v>
      </c>
      <c r="U1587">
        <v>4.2625875297085214</v>
      </c>
      <c r="V1587">
        <v>0.1102368356817638</v>
      </c>
      <c r="W1587">
        <v>-18.983534166199551</v>
      </c>
      <c r="X1587">
        <v>0.77125565945357222</v>
      </c>
      <c r="Z1587" t="s">
        <v>392</v>
      </c>
      <c r="AA1587">
        <v>140</v>
      </c>
      <c r="AB1587" t="s">
        <v>1978</v>
      </c>
      <c r="AC1587" t="str">
        <f>HYPERLINK("plots/20251231112652_3FT6Y119H04_05543_B21P_N_UFLEX98_M5358A8BA201511/dpll_52084/txpa_55154.png","plot")</f>
        <v>plot</v>
      </c>
    </row>
    <row r="1588" spans="1:29" hidden="1" x14ac:dyDescent="0.35">
      <c r="A1588" t="s">
        <v>47</v>
      </c>
      <c r="B1588">
        <v>52084</v>
      </c>
      <c r="C1588" t="s">
        <v>52</v>
      </c>
      <c r="D1588">
        <v>55155</v>
      </c>
      <c r="E1588" t="s">
        <v>288</v>
      </c>
      <c r="F1588">
        <v>7139</v>
      </c>
      <c r="G1588">
        <v>0.1311168929245877</v>
      </c>
      <c r="H1588">
        <v>9.5314948107158436E-29</v>
      </c>
      <c r="I1588">
        <v>1.004671074643021E-28</v>
      </c>
      <c r="J1588">
        <v>0.1272765539720562</v>
      </c>
      <c r="K1588">
        <v>3.5962483332007838E-27</v>
      </c>
      <c r="L1588">
        <v>3.8752346544799088E-27</v>
      </c>
      <c r="M1588">
        <v>8.4413866276867824E-2</v>
      </c>
      <c r="N1588">
        <v>1.0710726748105499E-26</v>
      </c>
      <c r="O1588">
        <v>1.1541633286481381E-26</v>
      </c>
      <c r="P1588">
        <v>1.71916396101978E-2</v>
      </c>
      <c r="Q1588">
        <v>0.65181809704911686</v>
      </c>
      <c r="R1588">
        <v>-11.24564104237364</v>
      </c>
      <c r="S1588">
        <v>0.54325961968355874</v>
      </c>
      <c r="T1588">
        <v>0.45145247090279012</v>
      </c>
      <c r="U1588">
        <v>4.2625965936405663</v>
      </c>
      <c r="V1588">
        <v>0.11023909988438001</v>
      </c>
      <c r="W1588">
        <v>-8.4672034422187981</v>
      </c>
      <c r="X1588">
        <v>0.5480288519982871</v>
      </c>
      <c r="Z1588" t="s">
        <v>392</v>
      </c>
      <c r="AA1588">
        <v>140</v>
      </c>
      <c r="AB1588" t="s">
        <v>1979</v>
      </c>
      <c r="AC1588" t="str">
        <f>HYPERLINK("plots/20251231112652_3FT6Y119H04_05543_B21P_N_UFLEX98_M5358A8BA201511/dpll_52084/txpa_55155.png","plot")</f>
        <v>plot</v>
      </c>
    </row>
    <row r="1589" spans="1:29" hidden="1" x14ac:dyDescent="0.35">
      <c r="A1589" t="s">
        <v>47</v>
      </c>
      <c r="B1589">
        <v>52084</v>
      </c>
      <c r="C1589" t="s">
        <v>52</v>
      </c>
      <c r="D1589">
        <v>55156</v>
      </c>
      <c r="E1589" t="s">
        <v>289</v>
      </c>
      <c r="F1589">
        <v>7139</v>
      </c>
      <c r="G1589">
        <v>0.24003703142839031</v>
      </c>
      <c r="H1589">
        <v>4.2000381782801308E-94</v>
      </c>
      <c r="I1589">
        <v>6.3946527218859653E-94</v>
      </c>
      <c r="J1589">
        <v>0.2084499016283389</v>
      </c>
      <c r="K1589">
        <v>6.4264681938402266E-71</v>
      </c>
      <c r="L1589">
        <v>9.2694719040597295E-71</v>
      </c>
      <c r="M1589">
        <v>0.13909239117279479</v>
      </c>
      <c r="N1589">
        <v>1.651668995529437E-69</v>
      </c>
      <c r="O1589">
        <v>2.362189508415866E-69</v>
      </c>
      <c r="P1589">
        <v>5.7617776456954033E-2</v>
      </c>
      <c r="Q1589">
        <v>0.81410219944222939</v>
      </c>
      <c r="R1589">
        <v>-12.473128881492149</v>
      </c>
      <c r="S1589">
        <v>0.36292715385549268</v>
      </c>
      <c r="T1589">
        <v>0.2951761462410038</v>
      </c>
      <c r="U1589">
        <v>4.2625965936405663</v>
      </c>
      <c r="V1589">
        <v>0.11023909988438001</v>
      </c>
      <c r="W1589">
        <v>-9.0029396192744073</v>
      </c>
      <c r="X1589">
        <v>0.37388353432949012</v>
      </c>
      <c r="Z1589" t="s">
        <v>392</v>
      </c>
      <c r="AA1589">
        <v>140</v>
      </c>
      <c r="AB1589" t="s">
        <v>1980</v>
      </c>
      <c r="AC1589" t="str">
        <f>HYPERLINK("plots/20251231112652_3FT6Y119H04_05543_B21P_N_UFLEX98_M5358A8BA201511/dpll_52084/txpa_55156.png","plot")</f>
        <v>plot</v>
      </c>
    </row>
    <row r="1590" spans="1:29" hidden="1" x14ac:dyDescent="0.35">
      <c r="A1590" t="s">
        <v>47</v>
      </c>
      <c r="B1590">
        <v>52084</v>
      </c>
      <c r="C1590" t="s">
        <v>52</v>
      </c>
      <c r="D1590">
        <v>55157</v>
      </c>
      <c r="E1590" t="s">
        <v>290</v>
      </c>
      <c r="F1590">
        <v>7139</v>
      </c>
      <c r="G1590">
        <v>0.1705185723854899</v>
      </c>
      <c r="H1590">
        <v>1.025585610286988E-47</v>
      </c>
      <c r="I1590">
        <v>1.185796817367168E-47</v>
      </c>
      <c r="J1590">
        <v>0.14530842838619629</v>
      </c>
      <c r="K1590">
        <v>5.4551521011568019E-35</v>
      </c>
      <c r="L1590">
        <v>6.2291939533479693E-35</v>
      </c>
      <c r="M1590">
        <v>9.675482490261568E-2</v>
      </c>
      <c r="N1590">
        <v>1.5063164799557071E-34</v>
      </c>
      <c r="O1590">
        <v>1.721989752734033E-34</v>
      </c>
      <c r="P1590">
        <v>2.9076583528385571E-2</v>
      </c>
      <c r="Q1590">
        <v>0.79896452608309432</v>
      </c>
      <c r="R1590">
        <v>-11.99359134237397</v>
      </c>
      <c r="S1590">
        <v>0.50892470805817058</v>
      </c>
      <c r="T1590">
        <v>0.44222812948476969</v>
      </c>
      <c r="U1590">
        <v>4.2625965936405663</v>
      </c>
      <c r="V1590">
        <v>0.11023909988438001</v>
      </c>
      <c r="W1590">
        <v>-8.587927875052527</v>
      </c>
      <c r="X1590">
        <v>0.51652514422789897</v>
      </c>
      <c r="Z1590" t="s">
        <v>392</v>
      </c>
      <c r="AA1590">
        <v>140</v>
      </c>
      <c r="AB1590" t="s">
        <v>1981</v>
      </c>
      <c r="AC1590" t="str">
        <f>HYPERLINK("plots/20251231112652_3FT6Y119H04_05543_B21P_N_UFLEX98_M5358A8BA201511/dpll_52084/txpa_55157.png","plot")</f>
        <v>plot</v>
      </c>
    </row>
    <row r="1591" spans="1:29" hidden="1" x14ac:dyDescent="0.35">
      <c r="A1591" t="s">
        <v>47</v>
      </c>
      <c r="B1591">
        <v>52084</v>
      </c>
      <c r="C1591" t="s">
        <v>52</v>
      </c>
      <c r="D1591">
        <v>55158</v>
      </c>
      <c r="E1591" t="s">
        <v>291</v>
      </c>
      <c r="F1591">
        <v>7139</v>
      </c>
      <c r="G1591">
        <v>0.21869655109217531</v>
      </c>
      <c r="H1591">
        <v>4.7835928829380454E-78</v>
      </c>
      <c r="I1591">
        <v>6.441650973836889E-78</v>
      </c>
      <c r="J1591">
        <v>0.20575033180087129</v>
      </c>
      <c r="K1591">
        <v>4.208837988908885E-69</v>
      </c>
      <c r="L1591">
        <v>5.9688975115435092E-69</v>
      </c>
      <c r="M1591">
        <v>0.1364427188477674</v>
      </c>
      <c r="N1591">
        <v>5.8850701495755131E-67</v>
      </c>
      <c r="O1591">
        <v>8.2996677770091382E-67</v>
      </c>
      <c r="P1591">
        <v>4.7828181459612443E-2</v>
      </c>
      <c r="Q1591">
        <v>0.85582620110910945</v>
      </c>
      <c r="R1591">
        <v>-12.346704377681201</v>
      </c>
      <c r="S1591">
        <v>0.42092676848693411</v>
      </c>
      <c r="T1591">
        <v>0.32591908354575277</v>
      </c>
      <c r="U1591">
        <v>4.2625965936405663</v>
      </c>
      <c r="V1591">
        <v>0.11023909988438001</v>
      </c>
      <c r="W1591">
        <v>-8.6986625280851655</v>
      </c>
      <c r="X1591">
        <v>0.43139916746090928</v>
      </c>
      <c r="Z1591" t="s">
        <v>392</v>
      </c>
      <c r="AA1591">
        <v>140</v>
      </c>
      <c r="AB1591" t="s">
        <v>1982</v>
      </c>
      <c r="AC1591" t="str">
        <f>HYPERLINK("plots/20251231112652_3FT6Y119H04_05543_B21P_N_UFLEX98_M5358A8BA201511/dpll_52084/txpa_55158.png","plot")</f>
        <v>plot</v>
      </c>
    </row>
    <row r="1592" spans="1:29" hidden="1" x14ac:dyDescent="0.35">
      <c r="A1592" t="s">
        <v>47</v>
      </c>
      <c r="B1592">
        <v>52084</v>
      </c>
      <c r="C1592" t="s">
        <v>52</v>
      </c>
      <c r="D1592">
        <v>55159</v>
      </c>
      <c r="E1592" t="s">
        <v>292</v>
      </c>
      <c r="F1592">
        <v>7139</v>
      </c>
      <c r="G1592">
        <v>0.168710915008662</v>
      </c>
      <c r="H1592">
        <v>9.8639122357273903E-47</v>
      </c>
      <c r="I1592">
        <v>1.1353015899009731E-46</v>
      </c>
      <c r="J1592">
        <v>0.13530223576590461</v>
      </c>
      <c r="K1592">
        <v>1.6084417120023818E-30</v>
      </c>
      <c r="L1592">
        <v>1.7631998875355838E-30</v>
      </c>
      <c r="M1592">
        <v>8.9638818303297257E-2</v>
      </c>
      <c r="N1592">
        <v>6.823818107308222E-30</v>
      </c>
      <c r="O1592">
        <v>7.4561978025975617E-30</v>
      </c>
      <c r="P1592">
        <v>2.846337284305997E-2</v>
      </c>
      <c r="Q1592">
        <v>0.84488216458576226</v>
      </c>
      <c r="R1592">
        <v>-12.37567390318679</v>
      </c>
      <c r="S1592">
        <v>0.54411135582563908</v>
      </c>
      <c r="T1592">
        <v>0.43664497231742039</v>
      </c>
      <c r="U1592">
        <v>4.2625965936405663</v>
      </c>
      <c r="V1592">
        <v>0.11023909988438001</v>
      </c>
      <c r="W1592">
        <v>-8.7742820663958536</v>
      </c>
      <c r="X1592">
        <v>0.5520629730893174</v>
      </c>
      <c r="Z1592" t="s">
        <v>392</v>
      </c>
      <c r="AA1592">
        <v>140</v>
      </c>
      <c r="AB1592" t="s">
        <v>1983</v>
      </c>
      <c r="AC1592" t="str">
        <f>HYPERLINK("plots/20251231112652_3FT6Y119H04_05543_B21P_N_UFLEX98_M5358A8BA201511/dpll_52084/txpa_55159.png","plot")</f>
        <v>plot</v>
      </c>
    </row>
    <row r="1593" spans="1:29" hidden="1" x14ac:dyDescent="0.35">
      <c r="A1593" t="s">
        <v>47</v>
      </c>
      <c r="B1593">
        <v>52084</v>
      </c>
      <c r="C1593" t="s">
        <v>52</v>
      </c>
      <c r="D1593">
        <v>55160</v>
      </c>
      <c r="E1593" t="s">
        <v>293</v>
      </c>
      <c r="F1593">
        <v>7139</v>
      </c>
      <c r="G1593">
        <v>0.23258727473600821</v>
      </c>
      <c r="H1593">
        <v>2.6084808171328078E-88</v>
      </c>
      <c r="I1593">
        <v>3.7893976340582628E-88</v>
      </c>
      <c r="J1593">
        <v>0.225392324345321</v>
      </c>
      <c r="K1593">
        <v>6.5975247766207903E-83</v>
      </c>
      <c r="L1593">
        <v>1.063575536326468E-82</v>
      </c>
      <c r="M1593">
        <v>0.14999455719232269</v>
      </c>
      <c r="N1593">
        <v>1.584144311791497E-80</v>
      </c>
      <c r="O1593">
        <v>2.4981684792481768E-80</v>
      </c>
      <c r="P1593">
        <v>5.4096840369123357E-2</v>
      </c>
      <c r="Q1593">
        <v>0.82698573508104323</v>
      </c>
      <c r="R1593">
        <v>-12.214261416959189</v>
      </c>
      <c r="S1593">
        <v>0.38118925108844631</v>
      </c>
      <c r="T1593">
        <v>0.29393893711444508</v>
      </c>
      <c r="U1593">
        <v>4.2625965936405663</v>
      </c>
      <c r="V1593">
        <v>0.11023909988438001</v>
      </c>
      <c r="W1593">
        <v>-8.6891548396133906</v>
      </c>
      <c r="X1593">
        <v>0.39196539516631868</v>
      </c>
      <c r="Z1593" t="s">
        <v>392</v>
      </c>
      <c r="AA1593">
        <v>140</v>
      </c>
      <c r="AB1593" t="s">
        <v>1984</v>
      </c>
      <c r="AC1593" t="str">
        <f>HYPERLINK("plots/20251231112652_3FT6Y119H04_05543_B21P_N_UFLEX98_M5358A8BA201511/dpll_52084/txpa_55160.png","plot")</f>
        <v>plot</v>
      </c>
    </row>
    <row r="1594" spans="1:29" hidden="1" x14ac:dyDescent="0.35">
      <c r="A1594" t="s">
        <v>47</v>
      </c>
      <c r="B1594">
        <v>52084</v>
      </c>
      <c r="C1594" t="s">
        <v>52</v>
      </c>
      <c r="D1594">
        <v>55161</v>
      </c>
      <c r="E1594" t="s">
        <v>294</v>
      </c>
      <c r="F1594">
        <v>7139</v>
      </c>
      <c r="G1594">
        <v>0.1942413244496751</v>
      </c>
      <c r="H1594">
        <v>1.204859031814869E-61</v>
      </c>
      <c r="I1594">
        <v>1.4701889991098401E-61</v>
      </c>
      <c r="J1594">
        <v>0.15028951829642809</v>
      </c>
      <c r="K1594">
        <v>2.4517714412726879E-37</v>
      </c>
      <c r="L1594">
        <v>2.8347733653939641E-37</v>
      </c>
      <c r="M1594">
        <v>9.993044006316204E-2</v>
      </c>
      <c r="N1594">
        <v>9.7181498722093479E-37</v>
      </c>
      <c r="O1594">
        <v>1.1249091290434109E-36</v>
      </c>
      <c r="P1594">
        <v>3.7729692123963959E-2</v>
      </c>
      <c r="Q1594">
        <v>0.75007745067492104</v>
      </c>
      <c r="R1594">
        <v>-12.018201007140821</v>
      </c>
      <c r="S1594">
        <v>0.41755939619615912</v>
      </c>
      <c r="T1594">
        <v>0.3442849902915821</v>
      </c>
      <c r="U1594">
        <v>4.2625965936405663</v>
      </c>
      <c r="V1594">
        <v>0.11023909988438001</v>
      </c>
      <c r="W1594">
        <v>-8.8209234209273006</v>
      </c>
      <c r="X1594">
        <v>0.42569655679729962</v>
      </c>
      <c r="Z1594" t="s">
        <v>392</v>
      </c>
      <c r="AA1594">
        <v>140</v>
      </c>
      <c r="AB1594" t="s">
        <v>1985</v>
      </c>
      <c r="AC1594" t="str">
        <f>HYPERLINK("plots/20251231112652_3FT6Y119H04_05543_B21P_N_UFLEX98_M5358A8BA201511/dpll_52084/txpa_55161.png","plot")</f>
        <v>plot</v>
      </c>
    </row>
    <row r="1595" spans="1:29" hidden="1" x14ac:dyDescent="0.35">
      <c r="A1595" t="s">
        <v>47</v>
      </c>
      <c r="B1595">
        <v>52084</v>
      </c>
      <c r="C1595" t="s">
        <v>52</v>
      </c>
      <c r="D1595">
        <v>55162</v>
      </c>
      <c r="E1595" t="s">
        <v>295</v>
      </c>
      <c r="F1595">
        <v>7139</v>
      </c>
      <c r="G1595">
        <v>0.14367708689937531</v>
      </c>
      <c r="H1595">
        <v>3.0750005426110559E-34</v>
      </c>
      <c r="I1595">
        <v>3.3241477081104591E-34</v>
      </c>
      <c r="J1595">
        <v>0.14491993576419529</v>
      </c>
      <c r="K1595">
        <v>8.2499921532587508E-35</v>
      </c>
      <c r="L1595">
        <v>9.3888799589274671E-35</v>
      </c>
      <c r="M1595">
        <v>9.6425881475472541E-2</v>
      </c>
      <c r="N1595">
        <v>2.5158373748579901E-34</v>
      </c>
      <c r="O1595">
        <v>2.8535336667852368E-34</v>
      </c>
      <c r="P1595">
        <v>2.0643105299890632E-2</v>
      </c>
      <c r="Q1595">
        <v>0.69494504735321672</v>
      </c>
      <c r="R1595">
        <v>-11.295967994080531</v>
      </c>
      <c r="S1595">
        <v>0.5276411790714387</v>
      </c>
      <c r="T1595">
        <v>0.41238338113878031</v>
      </c>
      <c r="U1595">
        <v>4.2625965936405663</v>
      </c>
      <c r="V1595">
        <v>0.11023909988438001</v>
      </c>
      <c r="W1595">
        <v>-8.33369760246533</v>
      </c>
      <c r="X1595">
        <v>0.53321039660959069</v>
      </c>
      <c r="Z1595" t="s">
        <v>392</v>
      </c>
      <c r="AA1595">
        <v>140</v>
      </c>
      <c r="AB1595" t="s">
        <v>1986</v>
      </c>
      <c r="AC1595" t="str">
        <f>HYPERLINK("plots/20251231112652_3FT6Y119H04_05543_B21P_N_UFLEX98_M5358A8BA201511/dpll_52084/txpa_55162.png","plot")</f>
        <v>plot</v>
      </c>
    </row>
    <row r="1596" spans="1:29" hidden="1" x14ac:dyDescent="0.35">
      <c r="A1596" t="s">
        <v>47</v>
      </c>
      <c r="B1596">
        <v>52084</v>
      </c>
      <c r="C1596" t="s">
        <v>52</v>
      </c>
      <c r="D1596">
        <v>55163</v>
      </c>
      <c r="E1596" t="s">
        <v>296</v>
      </c>
      <c r="F1596">
        <v>7139</v>
      </c>
      <c r="G1596">
        <v>0.1267354424058226</v>
      </c>
      <c r="H1596">
        <v>5.9453438944017587E-27</v>
      </c>
      <c r="I1596">
        <v>6.2086289484277897E-27</v>
      </c>
      <c r="J1596">
        <v>0.12956780420894989</v>
      </c>
      <c r="K1596">
        <v>4.1772952315508686E-28</v>
      </c>
      <c r="L1596">
        <v>4.520573494976074E-28</v>
      </c>
      <c r="M1596">
        <v>8.6005127202615453E-2</v>
      </c>
      <c r="N1596">
        <v>1.188017544948503E-27</v>
      </c>
      <c r="O1596">
        <v>1.28564545419187E-27</v>
      </c>
      <c r="P1596">
        <v>1.6061872361799581E-2</v>
      </c>
      <c r="Q1596">
        <v>0.62908522631754715</v>
      </c>
      <c r="R1596">
        <v>-5.2963945811915067</v>
      </c>
      <c r="S1596">
        <v>0.54275087867621474</v>
      </c>
      <c r="T1596">
        <v>0.45338360263385041</v>
      </c>
      <c r="U1596">
        <v>4.2625965936405663</v>
      </c>
      <c r="V1596">
        <v>0.11023909988438001</v>
      </c>
      <c r="W1596">
        <v>-2.6148580383807252</v>
      </c>
      <c r="X1596">
        <v>0.54720122314120523</v>
      </c>
      <c r="Z1596" t="s">
        <v>392</v>
      </c>
      <c r="AA1596">
        <v>140</v>
      </c>
      <c r="AB1596" t="s">
        <v>1987</v>
      </c>
      <c r="AC1596" t="str">
        <f>HYPERLINK("plots/20251231112652_3FT6Y119H04_05543_B21P_N_UFLEX98_M5358A8BA201511/dpll_52084/txpa_55163.png","plot")</f>
        <v>plot</v>
      </c>
    </row>
    <row r="1597" spans="1:29" hidden="1" x14ac:dyDescent="0.35">
      <c r="A1597" t="s">
        <v>47</v>
      </c>
      <c r="B1597">
        <v>52084</v>
      </c>
      <c r="C1597" t="s">
        <v>52</v>
      </c>
      <c r="D1597">
        <v>55164</v>
      </c>
      <c r="E1597" t="s">
        <v>297</v>
      </c>
      <c r="F1597">
        <v>7139</v>
      </c>
      <c r="G1597">
        <v>0.24238062370416399</v>
      </c>
      <c r="H1597">
        <v>5.7364472003279522E-96</v>
      </c>
      <c r="I1597">
        <v>8.8132688805038534E-96</v>
      </c>
      <c r="J1597">
        <v>0.21221258168744289</v>
      </c>
      <c r="K1597">
        <v>1.7126892587475609E-73</v>
      </c>
      <c r="L1597">
        <v>2.531584414533566E-73</v>
      </c>
      <c r="M1597">
        <v>0.14154966784276499</v>
      </c>
      <c r="N1597">
        <v>6.29968428978085E-72</v>
      </c>
      <c r="O1597">
        <v>9.2712334830737033E-72</v>
      </c>
      <c r="P1597">
        <v>5.8748366747219567E-2</v>
      </c>
      <c r="Q1597">
        <v>0.80259266100044946</v>
      </c>
      <c r="R1597">
        <v>-6.5733240964123514</v>
      </c>
      <c r="S1597">
        <v>0.35412402861410691</v>
      </c>
      <c r="T1597">
        <v>0.28879093642454928</v>
      </c>
      <c r="U1597">
        <v>4.2625965936405663</v>
      </c>
      <c r="V1597">
        <v>0.11023909988438001</v>
      </c>
      <c r="W1597">
        <v>-3.1521953535509168</v>
      </c>
      <c r="X1597">
        <v>0.36503368615178178</v>
      </c>
      <c r="Z1597" t="s">
        <v>392</v>
      </c>
      <c r="AA1597">
        <v>140</v>
      </c>
      <c r="AB1597" t="s">
        <v>1988</v>
      </c>
      <c r="AC1597" t="str">
        <f>HYPERLINK("plots/20251231112652_3FT6Y119H04_05543_B21P_N_UFLEX98_M5358A8BA201511/dpll_52084/txpa_55164.png","plot")</f>
        <v>plot</v>
      </c>
    </row>
    <row r="1598" spans="1:29" hidden="1" x14ac:dyDescent="0.35">
      <c r="A1598" t="s">
        <v>47</v>
      </c>
      <c r="B1598">
        <v>52084</v>
      </c>
      <c r="C1598" t="s">
        <v>52</v>
      </c>
      <c r="D1598">
        <v>55165</v>
      </c>
      <c r="E1598" t="s">
        <v>298</v>
      </c>
      <c r="F1598">
        <v>7139</v>
      </c>
      <c r="G1598">
        <v>0.17141214456979631</v>
      </c>
      <c r="H1598">
        <v>3.318535651913155E-48</v>
      </c>
      <c r="I1598">
        <v>3.8589393933944258E-48</v>
      </c>
      <c r="J1598">
        <v>0.15059948566177461</v>
      </c>
      <c r="K1598">
        <v>1.7406332575706189E-37</v>
      </c>
      <c r="L1598">
        <v>2.021766464119826E-37</v>
      </c>
      <c r="M1598">
        <v>0.10040602776202689</v>
      </c>
      <c r="N1598">
        <v>4.4685062394505291E-37</v>
      </c>
      <c r="O1598">
        <v>5.1842852709414614E-37</v>
      </c>
      <c r="P1598">
        <v>2.9382123306016739E-2</v>
      </c>
      <c r="Q1598">
        <v>0.78286138703370645</v>
      </c>
      <c r="R1598">
        <v>-6.0971296969868813</v>
      </c>
      <c r="S1598">
        <v>0.49598971019452348</v>
      </c>
      <c r="T1598">
        <v>0.4324194846482205</v>
      </c>
      <c r="U1598">
        <v>4.2625965936405663</v>
      </c>
      <c r="V1598">
        <v>0.11023909988438001</v>
      </c>
      <c r="W1598">
        <v>-2.7601074153242751</v>
      </c>
      <c r="X1598">
        <v>0.50347619684375577</v>
      </c>
      <c r="Z1598" t="s">
        <v>392</v>
      </c>
      <c r="AA1598">
        <v>140</v>
      </c>
      <c r="AB1598" t="s">
        <v>1989</v>
      </c>
      <c r="AC1598" t="str">
        <f>HYPERLINK("plots/20251231112652_3FT6Y119H04_05543_B21P_N_UFLEX98_M5358A8BA201511/dpll_52084/txpa_55165.png","plot")</f>
        <v>plot</v>
      </c>
    </row>
    <row r="1599" spans="1:29" hidden="1" x14ac:dyDescent="0.35">
      <c r="A1599" t="s">
        <v>47</v>
      </c>
      <c r="B1599">
        <v>52084</v>
      </c>
      <c r="C1599" t="s">
        <v>52</v>
      </c>
      <c r="D1599">
        <v>55166</v>
      </c>
      <c r="E1599" t="s">
        <v>299</v>
      </c>
      <c r="F1599">
        <v>7139</v>
      </c>
      <c r="G1599">
        <v>0.22178822344628579</v>
      </c>
      <c r="H1599">
        <v>2.854618156992423E-80</v>
      </c>
      <c r="I1599">
        <v>3.9010550016042002E-80</v>
      </c>
      <c r="J1599">
        <v>0.2116568467710663</v>
      </c>
      <c r="K1599">
        <v>4.1404122103098708E-73</v>
      </c>
      <c r="L1599">
        <v>6.1022935774043739E-73</v>
      </c>
      <c r="M1599">
        <v>0.14056643368317151</v>
      </c>
      <c r="N1599">
        <v>5.875892574708035E-71</v>
      </c>
      <c r="O1599">
        <v>8.5852378541123162E-71</v>
      </c>
      <c r="P1599">
        <v>4.9190016059459607E-2</v>
      </c>
      <c r="Q1599">
        <v>0.83973942005095159</v>
      </c>
      <c r="R1599">
        <v>-6.4458160446276036</v>
      </c>
      <c r="S1599">
        <v>0.4069660347721914</v>
      </c>
      <c r="T1599">
        <v>0.3143092860593808</v>
      </c>
      <c r="U1599">
        <v>4.2625965936405663</v>
      </c>
      <c r="V1599">
        <v>0.11023909988438001</v>
      </c>
      <c r="W1599">
        <v>-2.8663456531727132</v>
      </c>
      <c r="X1599">
        <v>0.41738968988255559</v>
      </c>
      <c r="Z1599" t="s">
        <v>392</v>
      </c>
      <c r="AA1599">
        <v>140</v>
      </c>
      <c r="AB1599" t="s">
        <v>1990</v>
      </c>
      <c r="AC1599" t="str">
        <f>HYPERLINK("plots/20251231112652_3FT6Y119H04_05543_B21P_N_UFLEX98_M5358A8BA201511/dpll_52084/txpa_55166.png","plot")</f>
        <v>plot</v>
      </c>
    </row>
    <row r="1600" spans="1:29" hidden="1" x14ac:dyDescent="0.35">
      <c r="A1600" t="s">
        <v>47</v>
      </c>
      <c r="B1600">
        <v>52084</v>
      </c>
      <c r="C1600" t="s">
        <v>52</v>
      </c>
      <c r="D1600">
        <v>55167</v>
      </c>
      <c r="E1600" t="s">
        <v>300</v>
      </c>
      <c r="F1600">
        <v>7139</v>
      </c>
      <c r="G1600">
        <v>0.16660193941536749</v>
      </c>
      <c r="H1600">
        <v>1.3400154719463211E-45</v>
      </c>
      <c r="I1600">
        <v>1.5284315956733069E-45</v>
      </c>
      <c r="J1600">
        <v>0.13533202728034491</v>
      </c>
      <c r="K1600">
        <v>1.561646730905884E-30</v>
      </c>
      <c r="L1600">
        <v>1.7150570145916908E-30</v>
      </c>
      <c r="M1600">
        <v>8.9716008897146773E-2</v>
      </c>
      <c r="N1600">
        <v>6.0738208382218433E-30</v>
      </c>
      <c r="O1600">
        <v>6.6510305939059912E-30</v>
      </c>
      <c r="P1600">
        <v>2.775620621696177E-2</v>
      </c>
      <c r="Q1600">
        <v>0.81836041066314358</v>
      </c>
      <c r="R1600">
        <v>-6.4258819974202313</v>
      </c>
      <c r="S1600">
        <v>0.53389688623509524</v>
      </c>
      <c r="T1600">
        <v>0.43040306629320918</v>
      </c>
      <c r="U1600">
        <v>4.2625965936405663</v>
      </c>
      <c r="V1600">
        <v>0.11023909988438001</v>
      </c>
      <c r="W1600">
        <v>-2.93754169855722</v>
      </c>
      <c r="X1600">
        <v>0.54150219000508848</v>
      </c>
      <c r="Z1600" t="s">
        <v>392</v>
      </c>
      <c r="AA1600">
        <v>140</v>
      </c>
      <c r="AB1600" t="s">
        <v>1991</v>
      </c>
      <c r="AC1600" t="str">
        <f>HYPERLINK("plots/20251231112652_3FT6Y119H04_05543_B21P_N_UFLEX98_M5358A8BA201511/dpll_52084/txpa_55167.png","plot")</f>
        <v>plot</v>
      </c>
    </row>
    <row r="1601" spans="1:29" hidden="1" x14ac:dyDescent="0.35">
      <c r="A1601" t="s">
        <v>47</v>
      </c>
      <c r="B1601">
        <v>52084</v>
      </c>
      <c r="C1601" t="s">
        <v>52</v>
      </c>
      <c r="D1601">
        <v>55168</v>
      </c>
      <c r="E1601" t="s">
        <v>301</v>
      </c>
      <c r="F1601">
        <v>7139</v>
      </c>
      <c r="G1601">
        <v>0.2346520105540135</v>
      </c>
      <c r="H1601">
        <v>6.7786509437815513E-90</v>
      </c>
      <c r="I1601">
        <v>1.0019755185123169E-89</v>
      </c>
      <c r="J1601">
        <v>0.23330824968107519</v>
      </c>
      <c r="K1601">
        <v>7.3216909416872043E-89</v>
      </c>
      <c r="L1601">
        <v>1.241504116199135E-88</v>
      </c>
      <c r="M1601">
        <v>0.15532381581023419</v>
      </c>
      <c r="N1601">
        <v>3.1942423711805951E-86</v>
      </c>
      <c r="O1601">
        <v>5.3360160862885059E-86</v>
      </c>
      <c r="P1601">
        <v>5.5061566057040857E-2</v>
      </c>
      <c r="Q1601">
        <v>0.8103056584076781</v>
      </c>
      <c r="R1601">
        <v>-6.3192348943439498</v>
      </c>
      <c r="S1601">
        <v>0.3700254437045335</v>
      </c>
      <c r="T1601">
        <v>0.28384045927444529</v>
      </c>
      <c r="U1601">
        <v>4.2625965936405663</v>
      </c>
      <c r="V1601">
        <v>0.11023909988438001</v>
      </c>
      <c r="W1601">
        <v>-2.865228755007704</v>
      </c>
      <c r="X1601">
        <v>0.38068016635860241</v>
      </c>
      <c r="Z1601" t="s">
        <v>392</v>
      </c>
      <c r="AA1601">
        <v>140</v>
      </c>
      <c r="AB1601" t="s">
        <v>1992</v>
      </c>
      <c r="AC1601" t="str">
        <f>HYPERLINK("plots/20251231112652_3FT6Y119H04_05543_B21P_N_UFLEX98_M5358A8BA201511/dpll_52084/txpa_55168.png","plot")</f>
        <v>plot</v>
      </c>
    </row>
    <row r="1602" spans="1:29" hidden="1" x14ac:dyDescent="0.35">
      <c r="A1602" t="s">
        <v>47</v>
      </c>
      <c r="B1602">
        <v>52084</v>
      </c>
      <c r="C1602" t="s">
        <v>52</v>
      </c>
      <c r="D1602">
        <v>55169</v>
      </c>
      <c r="E1602" t="s">
        <v>302</v>
      </c>
      <c r="F1602">
        <v>7139</v>
      </c>
      <c r="G1602">
        <v>0.1909715772487949</v>
      </c>
      <c r="H1602">
        <v>1.3046328020868031E-59</v>
      </c>
      <c r="I1602">
        <v>1.565559362504164E-59</v>
      </c>
      <c r="J1602">
        <v>0.14935524382722401</v>
      </c>
      <c r="K1602">
        <v>6.8545580939951383E-37</v>
      </c>
      <c r="L1602">
        <v>7.889355172884301E-37</v>
      </c>
      <c r="M1602">
        <v>9.950415574923932E-2</v>
      </c>
      <c r="N1602">
        <v>1.917506231366583E-36</v>
      </c>
      <c r="O1602">
        <v>2.206982200460516E-36</v>
      </c>
      <c r="P1602">
        <v>3.6470143316892453E-2</v>
      </c>
      <c r="Q1602">
        <v>0.72309826829091961</v>
      </c>
      <c r="R1602">
        <v>-6.0572483964020698</v>
      </c>
      <c r="S1602">
        <v>0.40970042467160672</v>
      </c>
      <c r="T1602">
        <v>0.33941242409289812</v>
      </c>
      <c r="U1602">
        <v>4.2625965936405663</v>
      </c>
      <c r="V1602">
        <v>0.11023909988438001</v>
      </c>
      <c r="W1602">
        <v>-2.974972181117804</v>
      </c>
      <c r="X1602">
        <v>0.41741134137723079</v>
      </c>
      <c r="Z1602" t="s">
        <v>392</v>
      </c>
      <c r="AA1602">
        <v>140</v>
      </c>
      <c r="AB1602" t="s">
        <v>1993</v>
      </c>
      <c r="AC1602" t="str">
        <f>HYPERLINK("plots/20251231112652_3FT6Y119H04_05543_B21P_N_UFLEX98_M5358A8BA201511/dpll_52084/txpa_55169.png","plot")</f>
        <v>plot</v>
      </c>
    </row>
    <row r="1603" spans="1:29" hidden="1" x14ac:dyDescent="0.35">
      <c r="A1603" t="s">
        <v>47</v>
      </c>
      <c r="B1603">
        <v>52084</v>
      </c>
      <c r="C1603" t="s">
        <v>52</v>
      </c>
      <c r="D1603">
        <v>55170</v>
      </c>
      <c r="E1603" t="s">
        <v>303</v>
      </c>
      <c r="F1603">
        <v>7139</v>
      </c>
      <c r="G1603">
        <v>0.14166924817546109</v>
      </c>
      <c r="H1603">
        <v>2.513279273438314E-33</v>
      </c>
      <c r="I1603">
        <v>2.6996453212568331E-33</v>
      </c>
      <c r="J1603">
        <v>0.14539953999072891</v>
      </c>
      <c r="K1603">
        <v>4.9499786850379333E-35</v>
      </c>
      <c r="L1603">
        <v>5.6650997591743399E-35</v>
      </c>
      <c r="M1603">
        <v>9.698840631809591E-2</v>
      </c>
      <c r="N1603">
        <v>1.039403723350251E-34</v>
      </c>
      <c r="O1603">
        <v>1.1895658865430639E-34</v>
      </c>
      <c r="P1603">
        <v>2.0070175878600379E-2</v>
      </c>
      <c r="Q1603">
        <v>0.68263425528529065</v>
      </c>
      <c r="R1603">
        <v>-5.3883424645886304</v>
      </c>
      <c r="S1603">
        <v>0.52579350348903064</v>
      </c>
      <c r="T1603">
        <v>0.41255183357876668</v>
      </c>
      <c r="U1603">
        <v>4.2625965936405663</v>
      </c>
      <c r="V1603">
        <v>0.11023909988438001</v>
      </c>
      <c r="W1603">
        <v>-2.478548013307186</v>
      </c>
      <c r="X1603">
        <v>0.53118786767112469</v>
      </c>
      <c r="Z1603" t="s">
        <v>392</v>
      </c>
      <c r="AA1603">
        <v>140</v>
      </c>
      <c r="AB1603" t="s">
        <v>1994</v>
      </c>
      <c r="AC1603" t="str">
        <f>HYPERLINK("plots/20251231112652_3FT6Y119H04_05543_B21P_N_UFLEX98_M5358A8BA201511/dpll_52084/txpa_55170.png","plot")</f>
        <v>plot</v>
      </c>
    </row>
    <row r="1604" spans="1:29" hidden="1" x14ac:dyDescent="0.35">
      <c r="A1604" t="s">
        <v>47</v>
      </c>
      <c r="B1604">
        <v>52084</v>
      </c>
      <c r="C1604" t="s">
        <v>52</v>
      </c>
      <c r="D1604">
        <v>55171</v>
      </c>
      <c r="E1604" t="s">
        <v>304</v>
      </c>
      <c r="F1604">
        <v>7139</v>
      </c>
      <c r="G1604">
        <v>0.13141899525585829</v>
      </c>
      <c r="H1604">
        <v>7.1302501901295253E-29</v>
      </c>
      <c r="I1604">
        <v>7.5313267633243107E-29</v>
      </c>
      <c r="J1604">
        <v>0.1372018971405074</v>
      </c>
      <c r="K1604">
        <v>2.41542955980444E-31</v>
      </c>
      <c r="L1604">
        <v>2.6767711187341012E-31</v>
      </c>
      <c r="M1604">
        <v>9.131908389576511E-2</v>
      </c>
      <c r="N1604">
        <v>5.8062000705105077E-31</v>
      </c>
      <c r="O1604">
        <v>6.4273874142987499E-31</v>
      </c>
      <c r="P1604">
        <v>1.7270952314059299E-2</v>
      </c>
      <c r="Q1604">
        <v>0.63251369728716589</v>
      </c>
      <c r="R1604">
        <v>-2.3716033184099521</v>
      </c>
      <c r="S1604">
        <v>0.52593724627586436</v>
      </c>
      <c r="T1604">
        <v>0.44002908817117581</v>
      </c>
      <c r="U1604">
        <v>4.2625965936405663</v>
      </c>
      <c r="V1604">
        <v>0.11023909988438001</v>
      </c>
      <c r="W1604">
        <v>0.32454741307732171</v>
      </c>
      <c r="X1604">
        <v>0.53057581605860094</v>
      </c>
      <c r="Z1604" t="s">
        <v>392</v>
      </c>
      <c r="AA1604">
        <v>140</v>
      </c>
      <c r="AB1604" t="s">
        <v>1995</v>
      </c>
      <c r="AC1604" t="str">
        <f>HYPERLINK("plots/20251231112652_3FT6Y119H04_05543_B21P_N_UFLEX98_M5358A8BA201511/dpll_52084/txpa_55171.png","plot")</f>
        <v>plot</v>
      </c>
    </row>
    <row r="1605" spans="1:29" hidden="1" x14ac:dyDescent="0.35">
      <c r="A1605" t="s">
        <v>47</v>
      </c>
      <c r="B1605">
        <v>52084</v>
      </c>
      <c r="C1605" t="s">
        <v>52</v>
      </c>
      <c r="D1605">
        <v>55172</v>
      </c>
      <c r="E1605" t="s">
        <v>305</v>
      </c>
      <c r="F1605">
        <v>7139</v>
      </c>
      <c r="G1605">
        <v>0.24973026400004511</v>
      </c>
      <c r="H1605">
        <v>6.0131162990504833E-102</v>
      </c>
      <c r="I1605">
        <v>9.7556798835795033E-102</v>
      </c>
      <c r="J1605">
        <v>0.22083787780928141</v>
      </c>
      <c r="K1605">
        <v>1.3895967907328401E-79</v>
      </c>
      <c r="L1605">
        <v>2.1252656799443429E-79</v>
      </c>
      <c r="M1605">
        <v>0.14737732391878991</v>
      </c>
      <c r="N1605">
        <v>8.1450811912977308E-78</v>
      </c>
      <c r="O1605">
        <v>1.253279564184507E-77</v>
      </c>
      <c r="P1605">
        <v>6.2365204757532197E-2</v>
      </c>
      <c r="Q1605">
        <v>0.80210949035822432</v>
      </c>
      <c r="R1605">
        <v>-3.6059141722562988</v>
      </c>
      <c r="S1605">
        <v>0.34283454452941953</v>
      </c>
      <c r="T1605">
        <v>0.27968432157544693</v>
      </c>
      <c r="U1605">
        <v>4.2625965936405663</v>
      </c>
      <c r="V1605">
        <v>0.11023909988438001</v>
      </c>
      <c r="W1605">
        <v>-0.18684499092856141</v>
      </c>
      <c r="X1605">
        <v>0.35407734252743012</v>
      </c>
      <c r="Z1605" t="s">
        <v>392</v>
      </c>
      <c r="AA1605">
        <v>140</v>
      </c>
      <c r="AB1605" t="s">
        <v>1996</v>
      </c>
      <c r="AC1605" t="str">
        <f>HYPERLINK("plots/20251231112652_3FT6Y119H04_05543_B21P_N_UFLEX98_M5358A8BA201511/dpll_52084/txpa_55172.png","plot")</f>
        <v>plot</v>
      </c>
    </row>
    <row r="1606" spans="1:29" hidden="1" x14ac:dyDescent="0.35">
      <c r="A1606" t="s">
        <v>47</v>
      </c>
      <c r="B1606">
        <v>52084</v>
      </c>
      <c r="C1606" t="s">
        <v>52</v>
      </c>
      <c r="D1606">
        <v>55173</v>
      </c>
      <c r="E1606" t="s">
        <v>306</v>
      </c>
      <c r="F1606">
        <v>7139</v>
      </c>
      <c r="G1606">
        <v>0.17785898810884981</v>
      </c>
      <c r="H1606">
        <v>8.0465444368022878E-52</v>
      </c>
      <c r="I1606">
        <v>9.4874372778110694E-52</v>
      </c>
      <c r="J1606">
        <v>0.1583653864580587</v>
      </c>
      <c r="K1606">
        <v>2.5681510637906628E-41</v>
      </c>
      <c r="L1606">
        <v>3.0528782868508002E-41</v>
      </c>
      <c r="M1606">
        <v>0.10571455215676499</v>
      </c>
      <c r="N1606">
        <v>6.5020092320581677E-41</v>
      </c>
      <c r="O1606">
        <v>7.7292348901605884E-41</v>
      </c>
      <c r="P1606">
        <v>3.163381965110397E-2</v>
      </c>
      <c r="Q1606">
        <v>0.77997274278546791</v>
      </c>
      <c r="R1606">
        <v>-3.141043863069116</v>
      </c>
      <c r="S1606">
        <v>0.47569507480075113</v>
      </c>
      <c r="T1606">
        <v>0.41433229011779621</v>
      </c>
      <c r="U1606">
        <v>4.2625965936405663</v>
      </c>
      <c r="V1606">
        <v>0.11023909988438001</v>
      </c>
      <c r="W1606">
        <v>0.18366529346070881</v>
      </c>
      <c r="X1606">
        <v>0.48343631105333362</v>
      </c>
      <c r="Z1606" t="s">
        <v>392</v>
      </c>
      <c r="AA1606">
        <v>140</v>
      </c>
      <c r="AB1606" t="s">
        <v>1997</v>
      </c>
      <c r="AC1606" t="str">
        <f>HYPERLINK("plots/20251231112652_3FT6Y119H04_05543_B21P_N_UFLEX98_M5358A8BA201511/dpll_52084/txpa_55173.png","plot")</f>
        <v>plot</v>
      </c>
    </row>
    <row r="1607" spans="1:29" hidden="1" x14ac:dyDescent="0.35">
      <c r="A1607" t="s">
        <v>47</v>
      </c>
      <c r="B1607">
        <v>52084</v>
      </c>
      <c r="C1607" t="s">
        <v>52</v>
      </c>
      <c r="D1607">
        <v>55174</v>
      </c>
      <c r="E1607" t="s">
        <v>307</v>
      </c>
      <c r="F1607">
        <v>7139</v>
      </c>
      <c r="G1607">
        <v>0.2299752476790583</v>
      </c>
      <c r="H1607">
        <v>2.5094387229744969E-86</v>
      </c>
      <c r="I1607">
        <v>3.5638247410310078E-86</v>
      </c>
      <c r="J1607">
        <v>0.22195887120037389</v>
      </c>
      <c r="K1607">
        <v>2.1467591972301531E-80</v>
      </c>
      <c r="L1607">
        <v>3.3438000399253079E-80</v>
      </c>
      <c r="M1607">
        <v>0.14755937356979049</v>
      </c>
      <c r="N1607">
        <v>5.2843801379956116E-78</v>
      </c>
      <c r="O1607">
        <v>8.1558013088699396E-78</v>
      </c>
      <c r="P1607">
        <v>5.2888614545044198E-2</v>
      </c>
      <c r="Q1607">
        <v>0.83586456941523857</v>
      </c>
      <c r="R1607">
        <v>-3.4777164474373299</v>
      </c>
      <c r="S1607">
        <v>0.38990660264352273</v>
      </c>
      <c r="T1607">
        <v>0.30098623094052152</v>
      </c>
      <c r="U1607">
        <v>4.2625965936405663</v>
      </c>
      <c r="V1607">
        <v>0.11023909988438001</v>
      </c>
      <c r="W1607">
        <v>8.5237018896904326E-2</v>
      </c>
      <c r="X1607">
        <v>0.40067337110197881</v>
      </c>
      <c r="Z1607" t="s">
        <v>392</v>
      </c>
      <c r="AA1607">
        <v>140</v>
      </c>
      <c r="AB1607" t="s">
        <v>1998</v>
      </c>
      <c r="AC1607" t="str">
        <f>HYPERLINK("plots/20251231112652_3FT6Y119H04_05543_B21P_N_UFLEX98_M5358A8BA201511/dpll_52084/txpa_55174.png","plot")</f>
        <v>plot</v>
      </c>
    </row>
    <row r="1608" spans="1:29" hidden="1" x14ac:dyDescent="0.35">
      <c r="A1608" t="s">
        <v>47</v>
      </c>
      <c r="B1608">
        <v>52084</v>
      </c>
      <c r="C1608" t="s">
        <v>52</v>
      </c>
      <c r="D1608">
        <v>55175</v>
      </c>
      <c r="E1608" t="s">
        <v>308</v>
      </c>
      <c r="F1608">
        <v>7139</v>
      </c>
      <c r="G1608">
        <v>0.17184267847908249</v>
      </c>
      <c r="H1608">
        <v>1.922583516687093E-48</v>
      </c>
      <c r="I1608">
        <v>2.2459673800929861E-48</v>
      </c>
      <c r="J1608">
        <v>0.14162109585882679</v>
      </c>
      <c r="K1608">
        <v>2.6421648576174519E-33</v>
      </c>
      <c r="L1608">
        <v>2.963667218610726E-33</v>
      </c>
      <c r="M1608">
        <v>9.3954854971843263E-2</v>
      </c>
      <c r="N1608">
        <v>1.12003147963805E-32</v>
      </c>
      <c r="O1608">
        <v>1.256318495965688E-32</v>
      </c>
      <c r="P1608">
        <v>2.952990614686531E-2</v>
      </c>
      <c r="Q1608">
        <v>0.81219235382364696</v>
      </c>
      <c r="R1608">
        <v>-3.4429795853208982</v>
      </c>
      <c r="S1608">
        <v>0.51324435445174577</v>
      </c>
      <c r="T1608">
        <v>0.4145938901667931</v>
      </c>
      <c r="U1608">
        <v>4.2625965936405663</v>
      </c>
      <c r="V1608">
        <v>0.11023909988438001</v>
      </c>
      <c r="W1608">
        <v>1.9068775468693101E-2</v>
      </c>
      <c r="X1608">
        <v>0.52103094999996435</v>
      </c>
      <c r="Z1608" t="s">
        <v>392</v>
      </c>
      <c r="AA1608">
        <v>140</v>
      </c>
      <c r="AB1608" t="s">
        <v>1999</v>
      </c>
      <c r="AC1608" t="str">
        <f>HYPERLINK("plots/20251231112652_3FT6Y119H04_05543_B21P_N_UFLEX98_M5358A8BA201511/dpll_52084/txpa_55175.png","plot")</f>
        <v>plot</v>
      </c>
    </row>
    <row r="1609" spans="1:29" hidden="1" x14ac:dyDescent="0.35">
      <c r="A1609" t="s">
        <v>47</v>
      </c>
      <c r="B1609">
        <v>52084</v>
      </c>
      <c r="C1609" t="s">
        <v>52</v>
      </c>
      <c r="D1609">
        <v>55176</v>
      </c>
      <c r="E1609" t="s">
        <v>309</v>
      </c>
      <c r="F1609">
        <v>7139</v>
      </c>
      <c r="G1609">
        <v>0.244054153506577</v>
      </c>
      <c r="H1609">
        <v>2.5985197770984872E-97</v>
      </c>
      <c r="I1609">
        <v>4.0662022437930041E-97</v>
      </c>
      <c r="J1609">
        <v>0.2461272078597444</v>
      </c>
      <c r="K1609">
        <v>5.4397371587440746E-99</v>
      </c>
      <c r="L1609">
        <v>1.0102369009096139E-98</v>
      </c>
      <c r="M1609">
        <v>0.16414604233491101</v>
      </c>
      <c r="N1609">
        <v>4.503952702956141E-96</v>
      </c>
      <c r="O1609">
        <v>8.318776030596588E-96</v>
      </c>
      <c r="P1609">
        <v>5.9562429843811861E-2</v>
      </c>
      <c r="Q1609">
        <v>0.8100136315940194</v>
      </c>
      <c r="R1609">
        <v>-3.3757888518569432</v>
      </c>
      <c r="S1609">
        <v>0.35479406725025597</v>
      </c>
      <c r="T1609">
        <v>0.2716504725778473</v>
      </c>
      <c r="U1609">
        <v>4.2625965936405663</v>
      </c>
      <c r="V1609">
        <v>0.11023909988438001</v>
      </c>
      <c r="W1609">
        <v>7.697249497814819E-2</v>
      </c>
      <c r="X1609">
        <v>0.3658826221885878</v>
      </c>
      <c r="Z1609" t="s">
        <v>392</v>
      </c>
      <c r="AA1609">
        <v>140</v>
      </c>
      <c r="AB1609" t="s">
        <v>2000</v>
      </c>
      <c r="AC1609" t="str">
        <f>HYPERLINK("plots/20251231112652_3FT6Y119H04_05543_B21P_N_UFLEX98_M5358A8BA201511/dpll_52084/txpa_55176.png","plot")</f>
        <v>plot</v>
      </c>
    </row>
    <row r="1610" spans="1:29" hidden="1" x14ac:dyDescent="0.35">
      <c r="A1610" t="s">
        <v>47</v>
      </c>
      <c r="B1610">
        <v>52084</v>
      </c>
      <c r="C1610" t="s">
        <v>52</v>
      </c>
      <c r="D1610">
        <v>55177</v>
      </c>
      <c r="E1610" t="s">
        <v>310</v>
      </c>
      <c r="F1610">
        <v>7139</v>
      </c>
      <c r="G1610">
        <v>0.19788545774372421</v>
      </c>
      <c r="H1610">
        <v>5.8857658504781097E-64</v>
      </c>
      <c r="I1610">
        <v>7.3049774447794415E-64</v>
      </c>
      <c r="J1610">
        <v>0.15687100664272319</v>
      </c>
      <c r="K1610">
        <v>1.4533421517709611E-40</v>
      </c>
      <c r="L1610">
        <v>1.7215992311866291E-40</v>
      </c>
      <c r="M1610">
        <v>0.1045739656737471</v>
      </c>
      <c r="N1610">
        <v>4.5077990024900274E-40</v>
      </c>
      <c r="O1610">
        <v>5.3398460146318774E-40</v>
      </c>
      <c r="P1610">
        <v>3.915865438644326E-2</v>
      </c>
      <c r="Q1610">
        <v>0.72470294220336806</v>
      </c>
      <c r="R1610">
        <v>-3.1068039867415611</v>
      </c>
      <c r="S1610">
        <v>0.39571018215422288</v>
      </c>
      <c r="T1610">
        <v>0.32812018662379988</v>
      </c>
      <c r="U1610">
        <v>4.2625965936405663</v>
      </c>
      <c r="V1610">
        <v>0.11023909988438001</v>
      </c>
      <c r="W1610">
        <v>-1.768769390418826E-2</v>
      </c>
      <c r="X1610">
        <v>0.40372143028077001</v>
      </c>
      <c r="Z1610" t="s">
        <v>392</v>
      </c>
      <c r="AA1610">
        <v>140</v>
      </c>
      <c r="AB1610" t="s">
        <v>2001</v>
      </c>
      <c r="AC1610" t="str">
        <f>HYPERLINK("plots/20251231112652_3FT6Y119H04_05543_B21P_N_UFLEX98_M5358A8BA201511/dpll_52084/txpa_55177.png","plot")</f>
        <v>plot</v>
      </c>
    </row>
    <row r="1611" spans="1:29" hidden="1" x14ac:dyDescent="0.35">
      <c r="A1611" t="s">
        <v>47</v>
      </c>
      <c r="B1611">
        <v>52084</v>
      </c>
      <c r="C1611" t="s">
        <v>52</v>
      </c>
      <c r="D1611">
        <v>55178</v>
      </c>
      <c r="E1611" t="s">
        <v>311</v>
      </c>
      <c r="F1611">
        <v>7139</v>
      </c>
      <c r="G1611">
        <v>0.1473562032488234</v>
      </c>
      <c r="H1611">
        <v>6.0489641152467783E-36</v>
      </c>
      <c r="I1611">
        <v>6.5811691125109792E-36</v>
      </c>
      <c r="J1611">
        <v>0.15216207988324029</v>
      </c>
      <c r="K1611">
        <v>3.0611906778048998E-38</v>
      </c>
      <c r="L1611">
        <v>3.576091413933375E-38</v>
      </c>
      <c r="M1611">
        <v>0.10169580998930031</v>
      </c>
      <c r="N1611">
        <v>5.4379154218892304E-38</v>
      </c>
      <c r="O1611">
        <v>6.3599149224863658E-38</v>
      </c>
      <c r="P1611">
        <v>2.1713850635908558E-2</v>
      </c>
      <c r="Q1611">
        <v>0.6868172121741698</v>
      </c>
      <c r="R1611">
        <v>-2.4684510875350392</v>
      </c>
      <c r="S1611">
        <v>0.50817224231857405</v>
      </c>
      <c r="T1611">
        <v>0.40020499736053528</v>
      </c>
      <c r="U1611">
        <v>4.2625965936405663</v>
      </c>
      <c r="V1611">
        <v>0.11023909988438001</v>
      </c>
      <c r="W1611">
        <v>0.45917362153228752</v>
      </c>
      <c r="X1611">
        <v>0.51381692515061661</v>
      </c>
      <c r="Z1611" t="s">
        <v>392</v>
      </c>
      <c r="AA1611">
        <v>140</v>
      </c>
      <c r="AB1611" t="s">
        <v>2002</v>
      </c>
      <c r="AC1611" t="str">
        <f>HYPERLINK("plots/20251231112652_3FT6Y119H04_05543_B21P_N_UFLEX98_M5358A8BA201511/dpll_52084/txpa_55178.png","plot")</f>
        <v>plot</v>
      </c>
    </row>
    <row r="1612" spans="1:29" hidden="1" x14ac:dyDescent="0.35">
      <c r="A1612" t="s">
        <v>47</v>
      </c>
      <c r="B1612">
        <v>52084</v>
      </c>
      <c r="C1612" t="s">
        <v>52</v>
      </c>
      <c r="D1612">
        <v>55179</v>
      </c>
      <c r="E1612" t="s">
        <v>312</v>
      </c>
      <c r="F1612">
        <v>7139</v>
      </c>
      <c r="G1612">
        <v>0.14292729031629131</v>
      </c>
      <c r="H1612">
        <v>6.7625430096901979E-34</v>
      </c>
      <c r="I1612">
        <v>7.2794252779467726E-34</v>
      </c>
      <c r="J1612">
        <v>0.15155534838175461</v>
      </c>
      <c r="K1612">
        <v>6.0246531384568957E-38</v>
      </c>
      <c r="L1612">
        <v>7.0299174711108084E-38</v>
      </c>
      <c r="M1612">
        <v>0.1014380434807451</v>
      </c>
      <c r="N1612">
        <v>8.2945718592342225E-38</v>
      </c>
      <c r="O1612">
        <v>9.6785913294171495E-38</v>
      </c>
      <c r="P1612">
        <v>2.0428210317157431E-2</v>
      </c>
      <c r="Q1612">
        <v>0.64153861874266793</v>
      </c>
      <c r="R1612">
        <v>0.9401024354124603</v>
      </c>
      <c r="S1612">
        <v>0.48970103130794551</v>
      </c>
      <c r="T1612">
        <v>0.40993851382953972</v>
      </c>
      <c r="U1612">
        <v>4.2625965936405663</v>
      </c>
      <c r="V1612">
        <v>0.11023909988438001</v>
      </c>
      <c r="W1612">
        <v>3.6747227663538311</v>
      </c>
      <c r="X1612">
        <v>0.49481550874402158</v>
      </c>
      <c r="Z1612" t="s">
        <v>392</v>
      </c>
      <c r="AA1612">
        <v>140</v>
      </c>
      <c r="AB1612" t="s">
        <v>2003</v>
      </c>
      <c r="AC1612" t="str">
        <f>HYPERLINK("plots/20251231112652_3FT6Y119H04_05543_B21P_N_UFLEX98_M5358A8BA201511/dpll_52084/txpa_55179.png","plot")</f>
        <v>plot</v>
      </c>
    </row>
    <row r="1613" spans="1:29" hidden="1" x14ac:dyDescent="0.35">
      <c r="A1613" t="s">
        <v>47</v>
      </c>
      <c r="B1613">
        <v>52084</v>
      </c>
      <c r="C1613" t="s">
        <v>52</v>
      </c>
      <c r="D1613">
        <v>55180</v>
      </c>
      <c r="E1613" t="s">
        <v>313</v>
      </c>
      <c r="F1613">
        <v>7139</v>
      </c>
      <c r="G1613">
        <v>0.26632602229823182</v>
      </c>
      <c r="H1613">
        <v>3.3927918901597941E-116</v>
      </c>
      <c r="I1613">
        <v>6.2211410065497848E-116</v>
      </c>
      <c r="J1613">
        <v>0.24044165756359259</v>
      </c>
      <c r="K1613">
        <v>2.0080356900682511E-94</v>
      </c>
      <c r="L1613">
        <v>3.5534872421103082E-94</v>
      </c>
      <c r="M1613">
        <v>0.16077086178775871</v>
      </c>
      <c r="N1613">
        <v>3.0504796887487101E-92</v>
      </c>
      <c r="O1613">
        <v>5.3982310722359379E-92</v>
      </c>
      <c r="P1613">
        <v>7.092955015319824E-2</v>
      </c>
      <c r="Q1613">
        <v>0.8030452623212877</v>
      </c>
      <c r="R1613">
        <v>-0.20971401035566431</v>
      </c>
      <c r="S1613">
        <v>0.32037305633463481</v>
      </c>
      <c r="T1613">
        <v>0.26096201266040131</v>
      </c>
      <c r="U1613">
        <v>4.2625965936405663</v>
      </c>
      <c r="V1613">
        <v>0.11023909988438001</v>
      </c>
      <c r="W1613">
        <v>3.213343989354251</v>
      </c>
      <c r="X1613">
        <v>0.33240081506411029</v>
      </c>
      <c r="Z1613" t="s">
        <v>392</v>
      </c>
      <c r="AA1613">
        <v>140</v>
      </c>
      <c r="AB1613" t="s">
        <v>2004</v>
      </c>
      <c r="AC1613" t="str">
        <f>HYPERLINK("plots/20251231112652_3FT6Y119H04_05543_B21P_N_UFLEX98_M5358A8BA201511/dpll_52084/txpa_55180.png","plot")</f>
        <v>plot</v>
      </c>
    </row>
    <row r="1614" spans="1:29" hidden="1" x14ac:dyDescent="0.35">
      <c r="A1614" t="s">
        <v>47</v>
      </c>
      <c r="B1614">
        <v>52084</v>
      </c>
      <c r="C1614" t="s">
        <v>52</v>
      </c>
      <c r="D1614">
        <v>55181</v>
      </c>
      <c r="E1614" t="s">
        <v>314</v>
      </c>
      <c r="F1614">
        <v>7139</v>
      </c>
      <c r="G1614">
        <v>0.19315255715946841</v>
      </c>
      <c r="H1614">
        <v>5.7877439778881148E-61</v>
      </c>
      <c r="I1614">
        <v>7.0368973544107309E-61</v>
      </c>
      <c r="J1614">
        <v>0.17441556173812719</v>
      </c>
      <c r="K1614">
        <v>7.1474957638340613E-50</v>
      </c>
      <c r="L1614">
        <v>8.8384886640582179E-50</v>
      </c>
      <c r="M1614">
        <v>0.1167480817406526</v>
      </c>
      <c r="N1614">
        <v>1.633455235754157E-49</v>
      </c>
      <c r="O1614">
        <v>2.0199068403106282E-49</v>
      </c>
      <c r="P1614">
        <v>3.7307910337241713E-2</v>
      </c>
      <c r="Q1614">
        <v>0.7805344743761351</v>
      </c>
      <c r="R1614">
        <v>0.2220080125915711</v>
      </c>
      <c r="S1614">
        <v>0.43705950384939068</v>
      </c>
      <c r="T1614">
        <v>0.37971724965741072</v>
      </c>
      <c r="U1614">
        <v>4.2625965936405663</v>
      </c>
      <c r="V1614">
        <v>0.11023909988438001</v>
      </c>
      <c r="W1614">
        <v>3.5491116042863151</v>
      </c>
      <c r="X1614">
        <v>0.44547905111560621</v>
      </c>
      <c r="Z1614" t="s">
        <v>392</v>
      </c>
      <c r="AA1614">
        <v>140</v>
      </c>
      <c r="AB1614" t="s">
        <v>2005</v>
      </c>
      <c r="AC1614" t="str">
        <f>HYPERLINK("plots/20251231112652_3FT6Y119H04_05543_B21P_N_UFLEX98_M5358A8BA201511/dpll_52084/txpa_55181.png","plot")</f>
        <v>plot</v>
      </c>
    </row>
    <row r="1615" spans="1:29" hidden="1" x14ac:dyDescent="0.35">
      <c r="A1615" t="s">
        <v>47</v>
      </c>
      <c r="B1615">
        <v>52084</v>
      </c>
      <c r="C1615" t="s">
        <v>52</v>
      </c>
      <c r="D1615">
        <v>55182</v>
      </c>
      <c r="E1615" t="s">
        <v>315</v>
      </c>
      <c r="F1615">
        <v>7139</v>
      </c>
      <c r="G1615">
        <v>0.24838101716098129</v>
      </c>
      <c r="H1615">
        <v>7.7963355499776113E-101</v>
      </c>
      <c r="I1615">
        <v>1.2528501184908561E-100</v>
      </c>
      <c r="J1615">
        <v>0.24234170087610729</v>
      </c>
      <c r="K1615">
        <v>6.1627764598971639E-96</v>
      </c>
      <c r="L1615">
        <v>1.107988533747469E-95</v>
      </c>
      <c r="M1615">
        <v>0.1614917219750544</v>
      </c>
      <c r="N1615">
        <v>4.7045164979834421E-93</v>
      </c>
      <c r="O1615">
        <v>8.4282327366699836E-93</v>
      </c>
      <c r="P1615">
        <v>6.1693129685923713E-2</v>
      </c>
      <c r="Q1615">
        <v>0.83397990504671982</v>
      </c>
      <c r="R1615">
        <v>-9.1821758699223821E-2</v>
      </c>
      <c r="S1615">
        <v>0.35852122573073641</v>
      </c>
      <c r="T1615">
        <v>0.27700629550944322</v>
      </c>
      <c r="U1615">
        <v>4.2625965936405663</v>
      </c>
      <c r="V1615">
        <v>0.11023909988438001</v>
      </c>
      <c r="W1615">
        <v>3.4630981437176072</v>
      </c>
      <c r="X1615">
        <v>0.37014581510641209</v>
      </c>
      <c r="Z1615" t="s">
        <v>392</v>
      </c>
      <c r="AA1615">
        <v>140</v>
      </c>
      <c r="AB1615" t="s">
        <v>2006</v>
      </c>
      <c r="AC1615" t="str">
        <f>HYPERLINK("plots/20251231112652_3FT6Y119H04_05543_B21P_N_UFLEX98_M5358A8BA201511/dpll_52084/txpa_55182.png","plot")</f>
        <v>plot</v>
      </c>
    </row>
    <row r="1616" spans="1:29" hidden="1" x14ac:dyDescent="0.35">
      <c r="A1616" t="s">
        <v>47</v>
      </c>
      <c r="B1616">
        <v>52084</v>
      </c>
      <c r="C1616" t="s">
        <v>52</v>
      </c>
      <c r="D1616">
        <v>55183</v>
      </c>
      <c r="E1616" t="s">
        <v>316</v>
      </c>
      <c r="F1616">
        <v>7139</v>
      </c>
      <c r="G1616">
        <v>0.18578088346977711</v>
      </c>
      <c r="H1616">
        <v>1.860592385740489E-56</v>
      </c>
      <c r="I1616">
        <v>2.2117710189224582E-56</v>
      </c>
      <c r="J1616">
        <v>0.1566042153355155</v>
      </c>
      <c r="K1616">
        <v>1.9768564744240541E-40</v>
      </c>
      <c r="L1616">
        <v>2.339011044417726E-40</v>
      </c>
      <c r="M1616">
        <v>0.1040412155714459</v>
      </c>
      <c r="N1616">
        <v>1.1044754827531841E-39</v>
      </c>
      <c r="O1616">
        <v>1.306812298146708E-39</v>
      </c>
      <c r="P1616">
        <v>3.4514536662810888E-2</v>
      </c>
      <c r="Q1616">
        <v>0.81144984221896188</v>
      </c>
      <c r="R1616">
        <v>-5.5253855694787017E-2</v>
      </c>
      <c r="S1616">
        <v>0.47308455025386198</v>
      </c>
      <c r="T1616">
        <v>0.38250930010913609</v>
      </c>
      <c r="U1616">
        <v>4.2625965936405663</v>
      </c>
      <c r="V1616">
        <v>0.11023909988438001</v>
      </c>
      <c r="W1616">
        <v>3.403629477657935</v>
      </c>
      <c r="X1616">
        <v>0.48150002592754881</v>
      </c>
      <c r="Z1616" t="s">
        <v>392</v>
      </c>
      <c r="AA1616">
        <v>140</v>
      </c>
      <c r="AB1616" t="s">
        <v>2007</v>
      </c>
      <c r="AC1616" t="str">
        <f>HYPERLINK("plots/20251231112652_3FT6Y119H04_05543_B21P_N_UFLEX98_M5358A8BA201511/dpll_52084/txpa_55183.png","plot")</f>
        <v>plot</v>
      </c>
    </row>
    <row r="1617" spans="1:29" hidden="1" x14ac:dyDescent="0.35">
      <c r="A1617" t="s">
        <v>47</v>
      </c>
      <c r="B1617">
        <v>52084</v>
      </c>
      <c r="C1617" t="s">
        <v>52</v>
      </c>
      <c r="D1617">
        <v>55184</v>
      </c>
      <c r="E1617" t="s">
        <v>317</v>
      </c>
      <c r="F1617">
        <v>7139</v>
      </c>
      <c r="G1617">
        <v>0.2641627315953437</v>
      </c>
      <c r="H1617">
        <v>2.800365370683681E-114</v>
      </c>
      <c r="I1617">
        <v>5.0979721469896808E-114</v>
      </c>
      <c r="J1617">
        <v>0.26915684744758528</v>
      </c>
      <c r="K1617">
        <v>9.8927933317715589E-119</v>
      </c>
      <c r="L1617">
        <v>2.1074143778185628E-118</v>
      </c>
      <c r="M1617">
        <v>0.1802391078611687</v>
      </c>
      <c r="N1617">
        <v>1.9546514883916379E-115</v>
      </c>
      <c r="O1617">
        <v>4.1206166512039933E-115</v>
      </c>
      <c r="P1617">
        <v>6.9781948763913595E-2</v>
      </c>
      <c r="Q1617">
        <v>0.81145539212227202</v>
      </c>
      <c r="R1617">
        <v>-1.584902635110641E-2</v>
      </c>
      <c r="S1617">
        <v>0.32658085709333728</v>
      </c>
      <c r="T1617">
        <v>0.24991964054945071</v>
      </c>
      <c r="U1617">
        <v>4.2625965936405663</v>
      </c>
      <c r="V1617">
        <v>0.11023909988438001</v>
      </c>
      <c r="W1617">
        <v>3.4430579640005599</v>
      </c>
      <c r="X1617">
        <v>0.33863259773114279</v>
      </c>
      <c r="Z1617" t="s">
        <v>392</v>
      </c>
      <c r="AA1617">
        <v>140</v>
      </c>
      <c r="AB1617" t="s">
        <v>2008</v>
      </c>
      <c r="AC1617" t="str">
        <f>HYPERLINK("plots/20251231112652_3FT6Y119H04_05543_B21P_N_UFLEX98_M5358A8BA201511/dpll_52084/txpa_55184.png","plot")</f>
        <v>plot</v>
      </c>
    </row>
    <row r="1618" spans="1:29" hidden="1" x14ac:dyDescent="0.35">
      <c r="A1618" t="s">
        <v>47</v>
      </c>
      <c r="B1618">
        <v>52084</v>
      </c>
      <c r="C1618" t="s">
        <v>52</v>
      </c>
      <c r="D1618">
        <v>55185</v>
      </c>
      <c r="E1618" t="s">
        <v>318</v>
      </c>
      <c r="F1618">
        <v>7139</v>
      </c>
      <c r="G1618">
        <v>0.21441208749231841</v>
      </c>
      <c r="H1618">
        <v>5.0774130938807248E-75</v>
      </c>
      <c r="I1618">
        <v>6.7212752965992884E-75</v>
      </c>
      <c r="J1618">
        <v>0.17363304942230481</v>
      </c>
      <c r="K1618">
        <v>1.955947289486641E-49</v>
      </c>
      <c r="L1618">
        <v>2.4128108899506738E-49</v>
      </c>
      <c r="M1618">
        <v>0.1159086063238583</v>
      </c>
      <c r="N1618">
        <v>7.8916242326312881E-49</v>
      </c>
      <c r="O1618">
        <v>9.7112948687962694E-49</v>
      </c>
      <c r="P1618">
        <v>4.5972543262813602E-2</v>
      </c>
      <c r="Q1618">
        <v>0.72982921144632695</v>
      </c>
      <c r="R1618">
        <v>0.25760068139320952</v>
      </c>
      <c r="S1618">
        <v>0.36648622296864841</v>
      </c>
      <c r="T1618">
        <v>0.30396242049245681</v>
      </c>
      <c r="U1618">
        <v>4.2625965936405663</v>
      </c>
      <c r="V1618">
        <v>0.11023909988438001</v>
      </c>
      <c r="W1618">
        <v>3.3685681920437029</v>
      </c>
      <c r="X1618">
        <v>0.37523871102673911</v>
      </c>
      <c r="Z1618" t="s">
        <v>392</v>
      </c>
      <c r="AA1618">
        <v>140</v>
      </c>
      <c r="AB1618" t="s">
        <v>2009</v>
      </c>
      <c r="AC1618" t="str">
        <f>HYPERLINK("plots/20251231112652_3FT6Y119H04_05543_B21P_N_UFLEX98_M5358A8BA201511/dpll_52084/txpa_55185.png","plot")</f>
        <v>plot</v>
      </c>
    </row>
    <row r="1619" spans="1:29" hidden="1" x14ac:dyDescent="0.35">
      <c r="A1619" t="s">
        <v>47</v>
      </c>
      <c r="B1619">
        <v>52084</v>
      </c>
      <c r="C1619" t="s">
        <v>52</v>
      </c>
      <c r="D1619">
        <v>55186</v>
      </c>
      <c r="E1619" t="s">
        <v>319</v>
      </c>
      <c r="F1619">
        <v>7139</v>
      </c>
      <c r="G1619">
        <v>0.1607127413266666</v>
      </c>
      <c r="H1619">
        <v>1.630091415554468E-42</v>
      </c>
      <c r="I1619">
        <v>1.8324974449803001E-42</v>
      </c>
      <c r="J1619">
        <v>0.16649641031161111</v>
      </c>
      <c r="K1619">
        <v>1.525505256639798E-45</v>
      </c>
      <c r="L1619">
        <v>1.8415027740866129E-45</v>
      </c>
      <c r="M1619">
        <v>0.1116329475729151</v>
      </c>
      <c r="N1619">
        <v>2.0177116565059071E-45</v>
      </c>
      <c r="O1619">
        <v>2.4414792597816109E-45</v>
      </c>
      <c r="P1619">
        <v>2.582858522473205E-2</v>
      </c>
      <c r="Q1619">
        <v>0.69547512591150606</v>
      </c>
      <c r="R1619">
        <v>0.83896728657006081</v>
      </c>
      <c r="S1619">
        <v>0.47081926284733372</v>
      </c>
      <c r="T1619">
        <v>0.37208105632673988</v>
      </c>
      <c r="U1619">
        <v>4.2625965936405663</v>
      </c>
      <c r="V1619">
        <v>0.11023909988438001</v>
      </c>
      <c r="W1619">
        <v>3.80349718924219</v>
      </c>
      <c r="X1619">
        <v>0.47705335146155542</v>
      </c>
      <c r="Z1619" t="s">
        <v>392</v>
      </c>
      <c r="AA1619">
        <v>140</v>
      </c>
      <c r="AB1619" t="s">
        <v>2010</v>
      </c>
      <c r="AC1619" t="str">
        <f>HYPERLINK("plots/20251231112652_3FT6Y119H04_05543_B21P_N_UFLEX98_M5358A8BA201511/dpll_52084/txpa_55186.png","plot")</f>
        <v>plot</v>
      </c>
    </row>
    <row r="1620" spans="1:29" hidden="1" x14ac:dyDescent="0.35">
      <c r="A1620" t="s">
        <v>47</v>
      </c>
      <c r="B1620">
        <v>52084</v>
      </c>
      <c r="C1620" t="s">
        <v>52</v>
      </c>
      <c r="D1620">
        <v>55187</v>
      </c>
      <c r="E1620" t="s">
        <v>320</v>
      </c>
      <c r="F1620">
        <v>7139</v>
      </c>
      <c r="G1620">
        <v>0.1525711281933132</v>
      </c>
      <c r="H1620">
        <v>1.9362691568565069E-38</v>
      </c>
      <c r="I1620">
        <v>2.1623093888243371E-38</v>
      </c>
      <c r="J1620">
        <v>0.16074790987139881</v>
      </c>
      <c r="K1620">
        <v>1.5636248695576348E-42</v>
      </c>
      <c r="L1620">
        <v>1.8653124914487561E-42</v>
      </c>
      <c r="M1620">
        <v>0.1079298069290946</v>
      </c>
      <c r="N1620">
        <v>1.424760220254195E-42</v>
      </c>
      <c r="O1620">
        <v>1.7016570828477659E-42</v>
      </c>
      <c r="P1620">
        <v>2.3277949158180419E-2</v>
      </c>
      <c r="Q1620">
        <v>0.6493602751195755</v>
      </c>
      <c r="R1620">
        <v>2.7711260578452892</v>
      </c>
      <c r="S1620">
        <v>0.4636647659544334</v>
      </c>
      <c r="T1620">
        <v>0.38776537412954548</v>
      </c>
      <c r="U1620">
        <v>4.2625965936405663</v>
      </c>
      <c r="V1620">
        <v>0.11023909988438001</v>
      </c>
      <c r="W1620">
        <v>5.5390869546154926</v>
      </c>
      <c r="X1620">
        <v>0.46919029227570969</v>
      </c>
      <c r="Z1620" t="s">
        <v>392</v>
      </c>
      <c r="AA1620">
        <v>140</v>
      </c>
      <c r="AB1620" t="s">
        <v>2011</v>
      </c>
      <c r="AC1620" t="str">
        <f>HYPERLINK("plots/20251231112652_3FT6Y119H04_05543_B21P_N_UFLEX98_M5358A8BA201511/dpll_52084/txpa_55187.png","plot")</f>
        <v>plot</v>
      </c>
    </row>
    <row r="1621" spans="1:29" hidden="1" x14ac:dyDescent="0.35">
      <c r="A1621" t="s">
        <v>47</v>
      </c>
      <c r="B1621">
        <v>52084</v>
      </c>
      <c r="C1621" t="s">
        <v>52</v>
      </c>
      <c r="D1621">
        <v>55188</v>
      </c>
      <c r="E1621" t="s">
        <v>321</v>
      </c>
      <c r="F1621">
        <v>7139</v>
      </c>
      <c r="G1621">
        <v>0.27883923533182181</v>
      </c>
      <c r="H1621">
        <v>1.2283860186398791E-127</v>
      </c>
      <c r="I1621">
        <v>2.451935871852042E-127</v>
      </c>
      <c r="J1621">
        <v>0.25413423677647712</v>
      </c>
      <c r="K1621">
        <v>1.2574377587733029E-105</v>
      </c>
      <c r="L1621">
        <v>2.447297288668194E-105</v>
      </c>
      <c r="M1621">
        <v>0.17015784815206461</v>
      </c>
      <c r="N1621">
        <v>4.2661055264688559E-103</v>
      </c>
      <c r="O1621">
        <v>8.3189057766142703E-103</v>
      </c>
      <c r="P1621">
        <v>7.7751319160435109E-2</v>
      </c>
      <c r="Q1621">
        <v>0.80374709320391624</v>
      </c>
      <c r="R1621">
        <v>1.683109541408526</v>
      </c>
      <c r="S1621">
        <v>0.30513694435376532</v>
      </c>
      <c r="T1621">
        <v>0.2481452572409544</v>
      </c>
      <c r="U1621">
        <v>4.2625965936405663</v>
      </c>
      <c r="V1621">
        <v>0.11023909988438001</v>
      </c>
      <c r="W1621">
        <v>5.1091591630480462</v>
      </c>
      <c r="X1621">
        <v>0.31776143692277192</v>
      </c>
      <c r="Z1621" t="s">
        <v>392</v>
      </c>
      <c r="AA1621">
        <v>140</v>
      </c>
      <c r="AB1621" t="s">
        <v>2012</v>
      </c>
      <c r="AC1621" t="str">
        <f>HYPERLINK("plots/20251231112652_3FT6Y119H04_05543_B21P_N_UFLEX98_M5358A8BA201511/dpll_52084/txpa_55188.png","plot")</f>
        <v>plot</v>
      </c>
    </row>
    <row r="1622" spans="1:29" hidden="1" x14ac:dyDescent="0.35">
      <c r="A1622" t="s">
        <v>47</v>
      </c>
      <c r="B1622">
        <v>52084</v>
      </c>
      <c r="C1622" t="s">
        <v>52</v>
      </c>
      <c r="D1622">
        <v>55189</v>
      </c>
      <c r="E1622" t="s">
        <v>322</v>
      </c>
      <c r="F1622">
        <v>7139</v>
      </c>
      <c r="G1622">
        <v>0.2055649934399057</v>
      </c>
      <c r="H1622">
        <v>5.5964447301401539E-69</v>
      </c>
      <c r="I1622">
        <v>7.1291393924147183E-69</v>
      </c>
      <c r="J1622">
        <v>0.18566820831757341</v>
      </c>
      <c r="K1622">
        <v>2.1731663693421391E-56</v>
      </c>
      <c r="L1622">
        <v>2.8142920798377121E-56</v>
      </c>
      <c r="M1622">
        <v>0.1245100206540898</v>
      </c>
      <c r="N1622">
        <v>4.5378736614860886E-56</v>
      </c>
      <c r="O1622">
        <v>5.8916823210587641E-56</v>
      </c>
      <c r="P1622">
        <v>4.2256966527948477E-2</v>
      </c>
      <c r="Q1622">
        <v>0.78502114435559245</v>
      </c>
      <c r="R1622">
        <v>2.0758904315132178</v>
      </c>
      <c r="S1622">
        <v>0.41196653239690439</v>
      </c>
      <c r="T1622">
        <v>0.35704568982603452</v>
      </c>
      <c r="U1622">
        <v>4.2625965936405663</v>
      </c>
      <c r="V1622">
        <v>0.11023909988438001</v>
      </c>
      <c r="W1622">
        <v>5.4221188873791846</v>
      </c>
      <c r="X1622">
        <v>0.42098619466191028</v>
      </c>
      <c r="Z1622" t="s">
        <v>392</v>
      </c>
      <c r="AA1622">
        <v>140</v>
      </c>
      <c r="AB1622" t="s">
        <v>2013</v>
      </c>
      <c r="AC1622" t="str">
        <f>HYPERLINK("plots/20251231112652_3FT6Y119H04_05543_B21P_N_UFLEX98_M5358A8BA201511/dpll_52084/txpa_55189.png","plot")</f>
        <v>plot</v>
      </c>
    </row>
    <row r="1623" spans="1:29" hidden="1" x14ac:dyDescent="0.35">
      <c r="A1623" t="s">
        <v>47</v>
      </c>
      <c r="B1623">
        <v>52084</v>
      </c>
      <c r="C1623" t="s">
        <v>52</v>
      </c>
      <c r="D1623">
        <v>55190</v>
      </c>
      <c r="E1623" t="s">
        <v>323</v>
      </c>
      <c r="F1623">
        <v>7139</v>
      </c>
      <c r="G1623">
        <v>0.26131292579403492</v>
      </c>
      <c r="H1623">
        <v>8.8064368300530148E-112</v>
      </c>
      <c r="I1623">
        <v>1.5449354577290239E-111</v>
      </c>
      <c r="J1623">
        <v>0.25553443405910548</v>
      </c>
      <c r="K1623">
        <v>8.2095417999543148E-107</v>
      </c>
      <c r="L1623">
        <v>1.616402987408481E-106</v>
      </c>
      <c r="M1623">
        <v>0.17058697149441091</v>
      </c>
      <c r="N1623">
        <v>1.3153050992914819E-103</v>
      </c>
      <c r="O1623">
        <v>2.5897463508379861E-103</v>
      </c>
      <c r="P1623">
        <v>6.82844451870388E-2</v>
      </c>
      <c r="Q1623">
        <v>0.83238797818401766</v>
      </c>
      <c r="R1623">
        <v>1.7967246970084461</v>
      </c>
      <c r="S1623">
        <v>0.33893141055526388</v>
      </c>
      <c r="T1623">
        <v>0.26209410414245998</v>
      </c>
      <c r="U1623">
        <v>4.2625965936405663</v>
      </c>
      <c r="V1623">
        <v>0.11023909988438001</v>
      </c>
      <c r="W1623">
        <v>5.3448588574029978</v>
      </c>
      <c r="X1623">
        <v>0.35115638153281042</v>
      </c>
      <c r="Z1623" t="s">
        <v>392</v>
      </c>
      <c r="AA1623">
        <v>140</v>
      </c>
      <c r="AB1623" t="s">
        <v>2014</v>
      </c>
      <c r="AC1623" t="str">
        <f>HYPERLINK("plots/20251231112652_3FT6Y119H04_05543_B21P_N_UFLEX98_M5358A8BA201511/dpll_52084/txpa_55190.png","plot")</f>
        <v>plot</v>
      </c>
    </row>
    <row r="1624" spans="1:29" hidden="1" x14ac:dyDescent="0.35">
      <c r="A1624" t="s">
        <v>47</v>
      </c>
      <c r="B1624">
        <v>52084</v>
      </c>
      <c r="C1624" t="s">
        <v>52</v>
      </c>
      <c r="D1624">
        <v>55191</v>
      </c>
      <c r="E1624" t="s">
        <v>324</v>
      </c>
      <c r="F1624">
        <v>7139</v>
      </c>
      <c r="G1624">
        <v>0.19722062524485801</v>
      </c>
      <c r="H1624">
        <v>1.56632716026006E-63</v>
      </c>
      <c r="I1624">
        <v>1.939262198417217E-63</v>
      </c>
      <c r="J1624">
        <v>0.16782508519951181</v>
      </c>
      <c r="K1624">
        <v>2.9633748725818519E-46</v>
      </c>
      <c r="L1624">
        <v>3.5857543207613327E-46</v>
      </c>
      <c r="M1624">
        <v>0.11162785294253361</v>
      </c>
      <c r="N1624">
        <v>2.0354757306640638E-45</v>
      </c>
      <c r="O1624">
        <v>2.4600386065475101E-45</v>
      </c>
      <c r="P1624">
        <v>3.8895975021972708E-2</v>
      </c>
      <c r="Q1624">
        <v>0.81320558132687837</v>
      </c>
      <c r="R1624">
        <v>1.8224267776105441</v>
      </c>
      <c r="S1624">
        <v>0.44559309956008208</v>
      </c>
      <c r="T1624">
        <v>0.36027402091866612</v>
      </c>
      <c r="U1624">
        <v>4.2625965936405663</v>
      </c>
      <c r="V1624">
        <v>0.11023909988438001</v>
      </c>
      <c r="W1624">
        <v>5.2887941185039917</v>
      </c>
      <c r="X1624">
        <v>0.45455210982689243</v>
      </c>
      <c r="Z1624" t="s">
        <v>392</v>
      </c>
      <c r="AA1624">
        <v>140</v>
      </c>
      <c r="AB1624" t="s">
        <v>2015</v>
      </c>
      <c r="AC1624" t="str">
        <f>HYPERLINK("plots/20251231112652_3FT6Y119H04_05543_B21P_N_UFLEX98_M5358A8BA201511/dpll_52084/txpa_55191.png","plot")</f>
        <v>plot</v>
      </c>
    </row>
    <row r="1625" spans="1:29" hidden="1" x14ac:dyDescent="0.35">
      <c r="A1625" t="s">
        <v>47</v>
      </c>
      <c r="B1625">
        <v>52084</v>
      </c>
      <c r="C1625" t="s">
        <v>52</v>
      </c>
      <c r="D1625">
        <v>55192</v>
      </c>
      <c r="E1625" t="s">
        <v>325</v>
      </c>
      <c r="F1625">
        <v>7139</v>
      </c>
      <c r="G1625">
        <v>0.27833807115749842</v>
      </c>
      <c r="H1625">
        <v>3.62478895281674E-127</v>
      </c>
      <c r="I1625">
        <v>7.1787812463987774E-127</v>
      </c>
      <c r="J1625">
        <v>0.28356964065009649</v>
      </c>
      <c r="K1625">
        <v>4.0264771850384978E-132</v>
      </c>
      <c r="L1625">
        <v>9.9581655259244793E-132</v>
      </c>
      <c r="M1625">
        <v>0.1904673502173492</v>
      </c>
      <c r="N1625">
        <v>1.117788472181622E-128</v>
      </c>
      <c r="O1625">
        <v>2.7577555007108629E-128</v>
      </c>
      <c r="P1625">
        <v>7.7472081855676653E-2</v>
      </c>
      <c r="Q1625">
        <v>0.81173797617262755</v>
      </c>
      <c r="R1625">
        <v>1.8580828454817979</v>
      </c>
      <c r="S1625">
        <v>0.30877224068562059</v>
      </c>
      <c r="T1625">
        <v>0.23649389723851511</v>
      </c>
      <c r="U1625">
        <v>4.2625965936405663</v>
      </c>
      <c r="V1625">
        <v>0.11023909988438001</v>
      </c>
      <c r="W1625">
        <v>5.3181943776439278</v>
      </c>
      <c r="X1625">
        <v>0.32149846933660509</v>
      </c>
      <c r="Z1625" t="s">
        <v>392</v>
      </c>
      <c r="AA1625">
        <v>140</v>
      </c>
      <c r="AB1625" t="s">
        <v>2016</v>
      </c>
      <c r="AC1625" t="str">
        <f>HYPERLINK("plots/20251231112652_3FT6Y119H04_05543_B21P_N_UFLEX98_M5358A8BA201511/dpll_52084/txpa_55192.png","plot")</f>
        <v>plot</v>
      </c>
    </row>
    <row r="1626" spans="1:29" hidden="1" x14ac:dyDescent="0.35">
      <c r="A1626" t="s">
        <v>47</v>
      </c>
      <c r="B1626">
        <v>52084</v>
      </c>
      <c r="C1626" t="s">
        <v>52</v>
      </c>
      <c r="D1626">
        <v>55193</v>
      </c>
      <c r="E1626" t="s">
        <v>326</v>
      </c>
      <c r="F1626">
        <v>7139</v>
      </c>
      <c r="G1626">
        <v>0.22670587773656939</v>
      </c>
      <c r="H1626">
        <v>7.03016379107348E-84</v>
      </c>
      <c r="I1626">
        <v>9.8733879281835289E-84</v>
      </c>
      <c r="J1626">
        <v>0.18555242511903561</v>
      </c>
      <c r="K1626">
        <v>2.5488818607038242E-56</v>
      </c>
      <c r="L1626">
        <v>3.2966405698388742E-56</v>
      </c>
      <c r="M1626">
        <v>0.12398957875874921</v>
      </c>
      <c r="N1626">
        <v>1.2871179926606989E-55</v>
      </c>
      <c r="O1626">
        <v>1.66471638336473E-55</v>
      </c>
      <c r="P1626">
        <v>5.1395555000308332E-2</v>
      </c>
      <c r="Q1626">
        <v>0.73179717515796372</v>
      </c>
      <c r="R1626">
        <v>2.1355609654360852</v>
      </c>
      <c r="S1626">
        <v>0.3465578699392472</v>
      </c>
      <c r="T1626">
        <v>0.28714503982828632</v>
      </c>
      <c r="U1626">
        <v>4.2625965936405663</v>
      </c>
      <c r="V1626">
        <v>0.11023909988438001</v>
      </c>
      <c r="W1626">
        <v>5.2549171115002098</v>
      </c>
      <c r="X1626">
        <v>0.35584724442428001</v>
      </c>
      <c r="Z1626" t="s">
        <v>392</v>
      </c>
      <c r="AA1626">
        <v>140</v>
      </c>
      <c r="AB1626" t="s">
        <v>2017</v>
      </c>
      <c r="AC1626" t="str">
        <f>HYPERLINK("plots/20251231112652_3FT6Y119H04_05543_B21P_N_UFLEX98_M5358A8BA201511/dpll_52084/txpa_55193.png","plot")</f>
        <v>plot</v>
      </c>
    </row>
    <row r="1627" spans="1:29" hidden="1" x14ac:dyDescent="0.35">
      <c r="A1627" t="s">
        <v>47</v>
      </c>
      <c r="B1627">
        <v>52084</v>
      </c>
      <c r="C1627" t="s">
        <v>52</v>
      </c>
      <c r="D1627">
        <v>55194</v>
      </c>
      <c r="E1627" t="s">
        <v>327</v>
      </c>
      <c r="F1627">
        <v>7139</v>
      </c>
      <c r="G1627">
        <v>0.17075586017649061</v>
      </c>
      <c r="H1627">
        <v>7.6051584853892259E-48</v>
      </c>
      <c r="I1627">
        <v>8.80323139747109E-48</v>
      </c>
      <c r="J1627">
        <v>0.17580751203548439</v>
      </c>
      <c r="K1627">
        <v>1.1784886221024779E-50</v>
      </c>
      <c r="L1627">
        <v>1.4626529532581549E-50</v>
      </c>
      <c r="M1627">
        <v>0.11802213743991651</v>
      </c>
      <c r="N1627">
        <v>1.4639770733239481E-50</v>
      </c>
      <c r="O1627">
        <v>1.819206804351082E-50</v>
      </c>
      <c r="P1627">
        <v>2.9157563784613191E-2</v>
      </c>
      <c r="Q1627">
        <v>0.69898355414922497</v>
      </c>
      <c r="R1627">
        <v>2.6819718971923612</v>
      </c>
      <c r="S1627">
        <v>0.44460153271154362</v>
      </c>
      <c r="T1627">
        <v>0.35183339017113979</v>
      </c>
      <c r="U1627">
        <v>4.2625965936405663</v>
      </c>
      <c r="V1627">
        <v>0.11023909988438001</v>
      </c>
      <c r="W1627">
        <v>5.6614568141196244</v>
      </c>
      <c r="X1627">
        <v>0.45126016620309389</v>
      </c>
      <c r="Z1627" t="s">
        <v>392</v>
      </c>
      <c r="AA1627">
        <v>140</v>
      </c>
      <c r="AB1627" t="s">
        <v>2018</v>
      </c>
      <c r="AC1627" t="str">
        <f>HYPERLINK("plots/20251231112652_3FT6Y119H04_05543_B21P_N_UFLEX98_M5358A8BA201511/dpll_52084/txpa_55194.png","plot")</f>
        <v>plot</v>
      </c>
    </row>
    <row r="1628" spans="1:29" hidden="1" x14ac:dyDescent="0.35">
      <c r="A1628" t="s">
        <v>47</v>
      </c>
      <c r="B1628">
        <v>52084</v>
      </c>
      <c r="C1628" t="s">
        <v>52</v>
      </c>
      <c r="D1628">
        <v>55195</v>
      </c>
      <c r="E1628" t="s">
        <v>328</v>
      </c>
      <c r="F1628">
        <v>7139</v>
      </c>
      <c r="G1628">
        <v>0.16779869995175159</v>
      </c>
      <c r="H1628">
        <v>3.0617942123132829E-46</v>
      </c>
      <c r="I1628">
        <v>3.5080896398708124E-46</v>
      </c>
      <c r="J1628">
        <v>0.17244533538428911</v>
      </c>
      <c r="K1628">
        <v>8.9330307000122906E-49</v>
      </c>
      <c r="L1628">
        <v>1.095295420775388E-48</v>
      </c>
      <c r="M1628">
        <v>0.1162269077880167</v>
      </c>
      <c r="N1628">
        <v>4.3455291130872783E-49</v>
      </c>
      <c r="O1628">
        <v>5.3605432124945263E-49</v>
      </c>
      <c r="P1628">
        <v>2.8156403705497959E-2</v>
      </c>
      <c r="Q1628">
        <v>0.65980376207522751</v>
      </c>
      <c r="R1628">
        <v>4.969396496400055</v>
      </c>
      <c r="S1628">
        <v>0.42729678360043261</v>
      </c>
      <c r="T1628">
        <v>0.3562978509460894</v>
      </c>
      <c r="U1628">
        <v>4.2625965936405663</v>
      </c>
      <c r="V1628">
        <v>0.11023909988438001</v>
      </c>
      <c r="W1628">
        <v>7.7818737650931507</v>
      </c>
      <c r="X1628">
        <v>0.4334728031409964</v>
      </c>
      <c r="Z1628" t="s">
        <v>392</v>
      </c>
      <c r="AA1628">
        <v>140</v>
      </c>
      <c r="AB1628" t="s">
        <v>2019</v>
      </c>
      <c r="AC1628" t="str">
        <f>HYPERLINK("plots/20251231112652_3FT6Y119H04_05543_B21P_N_UFLEX98_M5358A8BA201511/dpll_52084/txpa_55195.png","plot")</f>
        <v>plot</v>
      </c>
    </row>
    <row r="1629" spans="1:29" hidden="1" x14ac:dyDescent="0.35">
      <c r="A1629" t="s">
        <v>47</v>
      </c>
      <c r="B1629">
        <v>52084</v>
      </c>
      <c r="C1629" t="s">
        <v>52</v>
      </c>
      <c r="D1629">
        <v>55196</v>
      </c>
      <c r="E1629" t="s">
        <v>329</v>
      </c>
      <c r="F1629">
        <v>7139</v>
      </c>
      <c r="G1629">
        <v>0.29551046134939751</v>
      </c>
      <c r="H1629">
        <v>7.7575581962973814E-144</v>
      </c>
      <c r="I1629">
        <v>1.8378887876274641E-143</v>
      </c>
      <c r="J1629">
        <v>0.27162558175144852</v>
      </c>
      <c r="K1629">
        <v>5.742914422859974E-121</v>
      </c>
      <c r="L1629">
        <v>1.2469625748993611E-120</v>
      </c>
      <c r="M1629">
        <v>0.18212084781900009</v>
      </c>
      <c r="N1629">
        <v>8.1011524649149329E-118</v>
      </c>
      <c r="O1629">
        <v>1.77038116366891E-117</v>
      </c>
      <c r="P1629">
        <v>8.7326432766933734E-2</v>
      </c>
      <c r="Q1629">
        <v>0.80440649226513172</v>
      </c>
      <c r="R1629">
        <v>3.96042716868125</v>
      </c>
      <c r="S1629">
        <v>0.28665906688674297</v>
      </c>
      <c r="T1629">
        <v>0.23219501735864759</v>
      </c>
      <c r="U1629">
        <v>4.2625965936405663</v>
      </c>
      <c r="V1629">
        <v>0.11023909988438001</v>
      </c>
      <c r="W1629">
        <v>7.3892875425129576</v>
      </c>
      <c r="X1629">
        <v>0.30008090828166029</v>
      </c>
      <c r="Z1629" t="s">
        <v>392</v>
      </c>
      <c r="AA1629">
        <v>140</v>
      </c>
      <c r="AB1629" t="s">
        <v>2020</v>
      </c>
      <c r="AC1629" t="str">
        <f>HYPERLINK("plots/20251231112652_3FT6Y119H04_05543_B21P_N_UFLEX98_M5358A8BA201511/dpll_52084/txpa_55196.png","plot")</f>
        <v>plot</v>
      </c>
    </row>
    <row r="1630" spans="1:29" hidden="1" x14ac:dyDescent="0.35">
      <c r="A1630" t="s">
        <v>47</v>
      </c>
      <c r="B1630">
        <v>52084</v>
      </c>
      <c r="C1630" t="s">
        <v>52</v>
      </c>
      <c r="D1630">
        <v>55197</v>
      </c>
      <c r="E1630" t="s">
        <v>330</v>
      </c>
      <c r="F1630">
        <v>7139</v>
      </c>
      <c r="G1630">
        <v>0.22361963776128499</v>
      </c>
      <c r="H1630">
        <v>1.323812717687425E-81</v>
      </c>
      <c r="I1630">
        <v>1.8238398039878379E-81</v>
      </c>
      <c r="J1630">
        <v>0.19986057628528861</v>
      </c>
      <c r="K1630">
        <v>3.1468977231779519E-65</v>
      </c>
      <c r="L1630">
        <v>4.3532800699896916E-65</v>
      </c>
      <c r="M1630">
        <v>0.1343815546592376</v>
      </c>
      <c r="N1630">
        <v>5.1801918593638501E-65</v>
      </c>
      <c r="O1630">
        <v>7.1660498572918748E-65</v>
      </c>
      <c r="P1630">
        <v>5.0005742392488298E-2</v>
      </c>
      <c r="Q1630">
        <v>0.79024171081732619</v>
      </c>
      <c r="R1630">
        <v>4.3013711652039106</v>
      </c>
      <c r="S1630">
        <v>0.37967826719762049</v>
      </c>
      <c r="T1630">
        <v>0.32744608854864621</v>
      </c>
      <c r="U1630">
        <v>4.2625965936405663</v>
      </c>
      <c r="V1630">
        <v>0.11023909988438001</v>
      </c>
      <c r="W1630">
        <v>7.669852789886539</v>
      </c>
      <c r="X1630">
        <v>0.38957014582319849</v>
      </c>
      <c r="Z1630" t="s">
        <v>392</v>
      </c>
      <c r="AA1630">
        <v>140</v>
      </c>
      <c r="AB1630" t="s">
        <v>2021</v>
      </c>
      <c r="AC1630" t="str">
        <f>HYPERLINK("plots/20251231112652_3FT6Y119H04_05543_B21P_N_UFLEX98_M5358A8BA201511/dpll_52084/txpa_55197.png","plot")</f>
        <v>plot</v>
      </c>
    </row>
    <row r="1631" spans="1:29" hidden="1" x14ac:dyDescent="0.35">
      <c r="A1631" t="s">
        <v>47</v>
      </c>
      <c r="B1631">
        <v>52084</v>
      </c>
      <c r="C1631" t="s">
        <v>52</v>
      </c>
      <c r="D1631">
        <v>55198</v>
      </c>
      <c r="E1631" t="s">
        <v>331</v>
      </c>
      <c r="F1631">
        <v>7139</v>
      </c>
      <c r="G1631">
        <v>0.28032262296091748</v>
      </c>
      <c r="H1631">
        <v>4.926830725537863E-129</v>
      </c>
      <c r="I1631">
        <v>1.003173967007107E-128</v>
      </c>
      <c r="J1631">
        <v>0.27288883841330119</v>
      </c>
      <c r="K1631">
        <v>4.0340903160929752E-122</v>
      </c>
      <c r="L1631">
        <v>8.9705429397330644E-122</v>
      </c>
      <c r="M1631">
        <v>0.18277708145670199</v>
      </c>
      <c r="N1631">
        <v>1.180856933762253E-118</v>
      </c>
      <c r="O1631">
        <v>2.620107069660665E-118</v>
      </c>
      <c r="P1631">
        <v>7.8580772943688731E-2</v>
      </c>
      <c r="Q1631">
        <v>0.83413279158833409</v>
      </c>
      <c r="R1631">
        <v>4.0482491973201</v>
      </c>
      <c r="S1631">
        <v>0.3148552367110648</v>
      </c>
      <c r="T1631">
        <v>0.2439350115031122</v>
      </c>
      <c r="U1631">
        <v>4.2625965936405663</v>
      </c>
      <c r="V1631">
        <v>0.11023909988438001</v>
      </c>
      <c r="W1631">
        <v>7.6038207933884294</v>
      </c>
      <c r="X1631">
        <v>0.32802935117214321</v>
      </c>
      <c r="Z1631" t="s">
        <v>392</v>
      </c>
      <c r="AA1631">
        <v>140</v>
      </c>
      <c r="AB1631" t="s">
        <v>2022</v>
      </c>
      <c r="AC1631" t="str">
        <f>HYPERLINK("plots/20251231112652_3FT6Y119H04_05543_B21P_N_UFLEX98_M5358A8BA201511/dpll_52084/txpa_55198.png","plot")</f>
        <v>plot</v>
      </c>
    </row>
    <row r="1632" spans="1:29" hidden="1" x14ac:dyDescent="0.35">
      <c r="A1632" t="s">
        <v>47</v>
      </c>
      <c r="B1632">
        <v>52084</v>
      </c>
      <c r="C1632" t="s">
        <v>52</v>
      </c>
      <c r="D1632">
        <v>55199</v>
      </c>
      <c r="E1632" t="s">
        <v>332</v>
      </c>
      <c r="F1632">
        <v>7139</v>
      </c>
      <c r="G1632">
        <v>0.21480734761509809</v>
      </c>
      <c r="H1632">
        <v>2.6867533754801999E-75</v>
      </c>
      <c r="I1632">
        <v>3.5612652584796378E-75</v>
      </c>
      <c r="J1632">
        <v>0.18369257046870169</v>
      </c>
      <c r="K1632">
        <v>3.2549682302501859E-55</v>
      </c>
      <c r="L1632">
        <v>4.1568485963144698E-55</v>
      </c>
      <c r="M1632">
        <v>0.1222999679899613</v>
      </c>
      <c r="N1632">
        <v>3.6818853899351118E-54</v>
      </c>
      <c r="O1632">
        <v>4.6784859466092778E-54</v>
      </c>
      <c r="P1632">
        <v>4.6142196589433568E-2</v>
      </c>
      <c r="Q1632">
        <v>0.81780557167215029</v>
      </c>
      <c r="R1632">
        <v>4.0676504352968754</v>
      </c>
      <c r="S1632">
        <v>0.40987175402202991</v>
      </c>
      <c r="T1632">
        <v>0.33105122939505938</v>
      </c>
      <c r="U1632">
        <v>4.2625965936405663</v>
      </c>
      <c r="V1632">
        <v>0.11023909988438001</v>
      </c>
      <c r="W1632">
        <v>7.553625679366859</v>
      </c>
      <c r="X1632">
        <v>0.41969770169645759</v>
      </c>
      <c r="Z1632" t="s">
        <v>392</v>
      </c>
      <c r="AA1632">
        <v>140</v>
      </c>
      <c r="AB1632" t="s">
        <v>2023</v>
      </c>
      <c r="AC1632" t="str">
        <f>HYPERLINK("plots/20251231112652_3FT6Y119H04_05543_B21P_N_UFLEX98_M5358A8BA201511/dpll_52084/txpa_55199.png","plot")</f>
        <v>plot</v>
      </c>
    </row>
    <row r="1633" spans="1:29" hidden="1" x14ac:dyDescent="0.35">
      <c r="A1633" t="s">
        <v>47</v>
      </c>
      <c r="B1633">
        <v>52084</v>
      </c>
      <c r="C1633" t="s">
        <v>52</v>
      </c>
      <c r="D1633">
        <v>55200</v>
      </c>
      <c r="E1633" t="s">
        <v>333</v>
      </c>
      <c r="F1633">
        <v>7139</v>
      </c>
      <c r="G1633">
        <v>0.29842338703085958</v>
      </c>
      <c r="H1633">
        <v>8.8082954320181503E-147</v>
      </c>
      <c r="I1633">
        <v>2.1521955585702181E-146</v>
      </c>
      <c r="J1633">
        <v>0.29973753701582601</v>
      </c>
      <c r="K1633">
        <v>4.027847827236441E-148</v>
      </c>
      <c r="L1633">
        <v>1.118969232004863E-147</v>
      </c>
      <c r="M1633">
        <v>0.20220971138596161</v>
      </c>
      <c r="N1633">
        <v>8.8621363940365944E-145</v>
      </c>
      <c r="O1633">
        <v>2.468737995481623E-144</v>
      </c>
      <c r="P1633">
        <v>8.9056517926970211E-2</v>
      </c>
      <c r="Q1633">
        <v>0.81346275288740277</v>
      </c>
      <c r="R1633">
        <v>4.1050502665147341</v>
      </c>
      <c r="S1633">
        <v>0.28678456441500372</v>
      </c>
      <c r="T1633">
        <v>0.22028789761343609</v>
      </c>
      <c r="U1633">
        <v>4.2625965936405663</v>
      </c>
      <c r="V1633">
        <v>0.11023909988438001</v>
      </c>
      <c r="W1633">
        <v>7.5725138260260536</v>
      </c>
      <c r="X1633">
        <v>0.3004972316680527</v>
      </c>
      <c r="Z1633" t="s">
        <v>392</v>
      </c>
      <c r="AA1633">
        <v>140</v>
      </c>
      <c r="AB1633" t="s">
        <v>2024</v>
      </c>
      <c r="AC1633" t="str">
        <f>HYPERLINK("plots/20251231112652_3FT6Y119H04_05543_B21P_N_UFLEX98_M5358A8BA201511/dpll_52084/txpa_55200.png","plot")</f>
        <v>plot</v>
      </c>
    </row>
    <row r="1634" spans="1:29" hidden="1" x14ac:dyDescent="0.35">
      <c r="A1634" t="s">
        <v>47</v>
      </c>
      <c r="B1634">
        <v>52084</v>
      </c>
      <c r="C1634" t="s">
        <v>52</v>
      </c>
      <c r="D1634">
        <v>55201</v>
      </c>
      <c r="E1634" t="s">
        <v>334</v>
      </c>
      <c r="F1634">
        <v>7139</v>
      </c>
      <c r="G1634">
        <v>0.24596594338198069</v>
      </c>
      <c r="H1634">
        <v>7.3582170687401938E-99</v>
      </c>
      <c r="I1634">
        <v>1.165817516828524E-98</v>
      </c>
      <c r="J1634">
        <v>0.2025379882869906</v>
      </c>
      <c r="K1634">
        <v>5.6491538259977642E-67</v>
      </c>
      <c r="L1634">
        <v>7.8901404677158858E-67</v>
      </c>
      <c r="M1634">
        <v>0.1354252585862947</v>
      </c>
      <c r="N1634">
        <v>5.3627697895388924E-66</v>
      </c>
      <c r="O1634">
        <v>7.4695722068577425E-66</v>
      </c>
      <c r="P1634">
        <v>6.0499245303787752E-2</v>
      </c>
      <c r="Q1634">
        <v>0.73886262616069409</v>
      </c>
      <c r="R1634">
        <v>4.3746476338906621</v>
      </c>
      <c r="S1634">
        <v>0.32095380347423108</v>
      </c>
      <c r="T1634">
        <v>0.26511709822265889</v>
      </c>
      <c r="U1634">
        <v>4.2625965936405663</v>
      </c>
      <c r="V1634">
        <v>0.11023909988438001</v>
      </c>
      <c r="W1634">
        <v>7.5241209473315598</v>
      </c>
      <c r="X1634">
        <v>0.33114971010304189</v>
      </c>
      <c r="Z1634" t="s">
        <v>392</v>
      </c>
      <c r="AA1634">
        <v>140</v>
      </c>
      <c r="AB1634" t="s">
        <v>2025</v>
      </c>
      <c r="AC1634" t="str">
        <f>HYPERLINK("plots/20251231112652_3FT6Y119H04_05543_B21P_N_UFLEX98_M5358A8BA201511/dpll_52084/txpa_55201.png","plot")</f>
        <v>plot</v>
      </c>
    </row>
    <row r="1635" spans="1:29" hidden="1" x14ac:dyDescent="0.35">
      <c r="A1635" t="s">
        <v>47</v>
      </c>
      <c r="B1635">
        <v>52084</v>
      </c>
      <c r="C1635" t="s">
        <v>52</v>
      </c>
      <c r="D1635">
        <v>55202</v>
      </c>
      <c r="E1635" t="s">
        <v>335</v>
      </c>
      <c r="F1635">
        <v>7139</v>
      </c>
      <c r="G1635">
        <v>0.18696038173737661</v>
      </c>
      <c r="H1635">
        <v>3.6395624488086331E-57</v>
      </c>
      <c r="I1635">
        <v>4.3417839095199461E-57</v>
      </c>
      <c r="J1635">
        <v>0.18865724568936379</v>
      </c>
      <c r="K1635">
        <v>3.4139215936401319E-58</v>
      </c>
      <c r="L1635">
        <v>4.5015819193122162E-58</v>
      </c>
      <c r="M1635">
        <v>0.12682020651717871</v>
      </c>
      <c r="N1635">
        <v>4.2140940836741361E-58</v>
      </c>
      <c r="O1635">
        <v>5.585740393262188E-58</v>
      </c>
      <c r="P1635">
        <v>3.4954184339385602E-2</v>
      </c>
      <c r="Q1635">
        <v>0.70670544616392894</v>
      </c>
      <c r="R1635">
        <v>4.8809497312921621</v>
      </c>
      <c r="S1635">
        <v>0.40932479915351477</v>
      </c>
      <c r="T1635">
        <v>0.32435381611422343</v>
      </c>
      <c r="U1635">
        <v>4.2625965936405663</v>
      </c>
      <c r="V1635">
        <v>0.11023909988438001</v>
      </c>
      <c r="W1635">
        <v>7.8933499588177618</v>
      </c>
      <c r="X1635">
        <v>0.41670096918146088</v>
      </c>
      <c r="Z1635" t="s">
        <v>392</v>
      </c>
      <c r="AA1635">
        <v>140</v>
      </c>
      <c r="AB1635" t="s">
        <v>2026</v>
      </c>
      <c r="AC1635" t="str">
        <f>HYPERLINK("plots/20251231112652_3FT6Y119H04_05543_B21P_N_UFLEX98_M5358A8BA201511/dpll_52084/txpa_55202.png","plot")</f>
        <v>plot</v>
      </c>
    </row>
    <row r="1636" spans="1:29" hidden="1" x14ac:dyDescent="0.35">
      <c r="A1636" t="s">
        <v>47</v>
      </c>
      <c r="B1636">
        <v>52084</v>
      </c>
      <c r="C1636" t="s">
        <v>52</v>
      </c>
      <c r="D1636">
        <v>55203</v>
      </c>
      <c r="E1636" t="s">
        <v>336</v>
      </c>
      <c r="F1636">
        <v>7139</v>
      </c>
      <c r="G1636">
        <v>0.17639992772097471</v>
      </c>
      <c r="H1636">
        <v>5.4470503386389745E-51</v>
      </c>
      <c r="I1636">
        <v>6.4001263538585399E-51</v>
      </c>
      <c r="J1636">
        <v>0.1785121687411845</v>
      </c>
      <c r="K1636">
        <v>3.3997900412004623E-52</v>
      </c>
      <c r="L1636">
        <v>4.266568195268897E-52</v>
      </c>
      <c r="M1636">
        <v>0.1205399542459233</v>
      </c>
      <c r="N1636">
        <v>1.1541141259333401E-52</v>
      </c>
      <c r="O1636">
        <v>1.4591916754319289E-52</v>
      </c>
      <c r="P1636">
        <v>3.1116934499965089E-2</v>
      </c>
      <c r="Q1636">
        <v>0.66486643270979928</v>
      </c>
      <c r="R1636">
        <v>5.9334227627884584</v>
      </c>
      <c r="S1636">
        <v>0.4089563219868711</v>
      </c>
      <c r="T1636">
        <v>0.34023970082710647</v>
      </c>
      <c r="U1636">
        <v>4.2625965936405663</v>
      </c>
      <c r="V1636">
        <v>0.11023909988438001</v>
      </c>
      <c r="W1636">
        <v>8.7674801540832039</v>
      </c>
      <c r="X1636">
        <v>0.41550060724062299</v>
      </c>
      <c r="Z1636" t="s">
        <v>392</v>
      </c>
      <c r="AA1636">
        <v>140</v>
      </c>
      <c r="AB1636" t="s">
        <v>2027</v>
      </c>
      <c r="AC1636" t="str">
        <f>HYPERLINK("plots/20251231112652_3FT6Y119H04_05543_B21P_N_UFLEX98_M5358A8BA201511/dpll_52084/txpa_55203.png","plot")</f>
        <v>plot</v>
      </c>
    </row>
    <row r="1637" spans="1:29" hidden="1" x14ac:dyDescent="0.35">
      <c r="A1637" t="s">
        <v>47</v>
      </c>
      <c r="B1637">
        <v>52084</v>
      </c>
      <c r="C1637" t="s">
        <v>52</v>
      </c>
      <c r="D1637">
        <v>55204</v>
      </c>
      <c r="E1637" t="s">
        <v>337</v>
      </c>
      <c r="F1637">
        <v>7139</v>
      </c>
      <c r="G1637">
        <v>0.30391367004674069</v>
      </c>
      <c r="H1637">
        <v>1.9979797165011738E-152</v>
      </c>
      <c r="I1637">
        <v>5.2215243106499749E-152</v>
      </c>
      <c r="J1637">
        <v>0.2805071387153884</v>
      </c>
      <c r="K1637">
        <v>3.2977810352057679E-129</v>
      </c>
      <c r="L1637">
        <v>7.9807875171805446E-129</v>
      </c>
      <c r="M1637">
        <v>0.18823292813318429</v>
      </c>
      <c r="N1637">
        <v>1.00610651394683E-125</v>
      </c>
      <c r="O1637">
        <v>2.4004517768049071E-125</v>
      </c>
      <c r="P1637">
        <v>9.2363518841279205E-2</v>
      </c>
      <c r="Q1637">
        <v>0.80644429541502971</v>
      </c>
      <c r="R1637">
        <v>4.9546755306911638</v>
      </c>
      <c r="S1637">
        <v>0.27866687674287238</v>
      </c>
      <c r="T1637">
        <v>0.22496130385967911</v>
      </c>
      <c r="U1637">
        <v>4.2625965936405663</v>
      </c>
      <c r="V1637">
        <v>0.11023909988438001</v>
      </c>
      <c r="W1637">
        <v>8.3922222372881361</v>
      </c>
      <c r="X1637">
        <v>0.29252285104442072</v>
      </c>
      <c r="Z1637" t="s">
        <v>392</v>
      </c>
      <c r="AA1637">
        <v>140</v>
      </c>
      <c r="AB1637" t="s">
        <v>2028</v>
      </c>
      <c r="AC1637" t="str">
        <f>HYPERLINK("plots/20251231112652_3FT6Y119H04_05543_B21P_N_UFLEX98_M5358A8BA201511/dpll_52084/txpa_55204.png","plot")</f>
        <v>plot</v>
      </c>
    </row>
    <row r="1638" spans="1:29" hidden="1" x14ac:dyDescent="0.35">
      <c r="A1638" t="s">
        <v>47</v>
      </c>
      <c r="B1638">
        <v>52084</v>
      </c>
      <c r="C1638" t="s">
        <v>52</v>
      </c>
      <c r="D1638">
        <v>55205</v>
      </c>
      <c r="E1638" t="s">
        <v>338</v>
      </c>
      <c r="F1638">
        <v>7139</v>
      </c>
      <c r="G1638">
        <v>0.2335987968351525</v>
      </c>
      <c r="H1638">
        <v>4.3824208126554267E-89</v>
      </c>
      <c r="I1638">
        <v>6.4216397457118544E-89</v>
      </c>
      <c r="J1638">
        <v>0.20723171800170609</v>
      </c>
      <c r="K1638">
        <v>4.272726052980681E-70</v>
      </c>
      <c r="L1638">
        <v>6.1021749545386074E-70</v>
      </c>
      <c r="M1638">
        <v>0.1395383786502685</v>
      </c>
      <c r="N1638">
        <v>5.938065262336651E-70</v>
      </c>
      <c r="O1638">
        <v>8.6140174191836397E-70</v>
      </c>
      <c r="P1638">
        <v>5.4568397882830848E-2</v>
      </c>
      <c r="Q1638">
        <v>0.79429699442178203</v>
      </c>
      <c r="R1638">
        <v>5.2702680025980646</v>
      </c>
      <c r="S1638">
        <v>0.36444551873096442</v>
      </c>
      <c r="T1638">
        <v>0.31324222199398888</v>
      </c>
      <c r="U1638">
        <v>4.2625965936405663</v>
      </c>
      <c r="V1638">
        <v>0.11023909988438001</v>
      </c>
      <c r="W1638">
        <v>8.656035665359294</v>
      </c>
      <c r="X1638">
        <v>0.37484176670532021</v>
      </c>
      <c r="Z1638" t="s">
        <v>392</v>
      </c>
      <c r="AA1638">
        <v>140</v>
      </c>
      <c r="AB1638" t="s">
        <v>2029</v>
      </c>
      <c r="AC1638" t="str">
        <f>HYPERLINK("plots/20251231112652_3FT6Y119H04_05543_B21P_N_UFLEX98_M5358A8BA201511/dpll_52084/txpa_55205.png","plot")</f>
        <v>plot</v>
      </c>
    </row>
    <row r="1639" spans="1:29" hidden="1" x14ac:dyDescent="0.35">
      <c r="A1639" t="s">
        <v>47</v>
      </c>
      <c r="B1639">
        <v>52084</v>
      </c>
      <c r="C1639" t="s">
        <v>52</v>
      </c>
      <c r="D1639">
        <v>55206</v>
      </c>
      <c r="E1639" t="s">
        <v>339</v>
      </c>
      <c r="F1639">
        <v>7139</v>
      </c>
      <c r="G1639">
        <v>0.28981593108866721</v>
      </c>
      <c r="H1639">
        <v>3.5298920593250242E-138</v>
      </c>
      <c r="I1639">
        <v>7.7642311239817226E-138</v>
      </c>
      <c r="J1639">
        <v>0.2812818630803412</v>
      </c>
      <c r="K1639">
        <v>6.0916613864281741E-130</v>
      </c>
      <c r="L1639">
        <v>1.4884203965875101E-129</v>
      </c>
      <c r="M1639">
        <v>0.18871569815550299</v>
      </c>
      <c r="N1639">
        <v>2.3288510759786798E-126</v>
      </c>
      <c r="O1639">
        <v>5.6359307662109328E-126</v>
      </c>
      <c r="P1639">
        <v>8.3993273912791072E-2</v>
      </c>
      <c r="Q1639">
        <v>0.83575625074853288</v>
      </c>
      <c r="R1639">
        <v>5.0332604978580164</v>
      </c>
      <c r="S1639">
        <v>0.30423694347219321</v>
      </c>
      <c r="T1639">
        <v>0.23594438548058769</v>
      </c>
      <c r="U1639">
        <v>4.2625965936405663</v>
      </c>
      <c r="V1639">
        <v>0.11023909988438001</v>
      </c>
      <c r="W1639">
        <v>8.5957522454125233</v>
      </c>
      <c r="X1639">
        <v>0.31790183672503181</v>
      </c>
      <c r="Z1639" t="s">
        <v>392</v>
      </c>
      <c r="AA1639">
        <v>140</v>
      </c>
      <c r="AB1639" t="s">
        <v>2030</v>
      </c>
      <c r="AC1639" t="str">
        <f>HYPERLINK("plots/20251231112652_3FT6Y119H04_05543_B21P_N_UFLEX98_M5358A8BA201511/dpll_52084/txpa_55206.png","plot")</f>
        <v>plot</v>
      </c>
    </row>
    <row r="1640" spans="1:29" hidden="1" x14ac:dyDescent="0.35">
      <c r="A1640" t="s">
        <v>47</v>
      </c>
      <c r="B1640">
        <v>52084</v>
      </c>
      <c r="C1640" t="s">
        <v>52</v>
      </c>
      <c r="D1640">
        <v>55207</v>
      </c>
      <c r="E1640" t="s">
        <v>340</v>
      </c>
      <c r="F1640">
        <v>7139</v>
      </c>
      <c r="G1640">
        <v>0.22447048492284949</v>
      </c>
      <c r="H1640">
        <v>3.1484476370189802E-82</v>
      </c>
      <c r="I1640">
        <v>4.3613741857066212E-82</v>
      </c>
      <c r="J1640">
        <v>0.19220612930084549</v>
      </c>
      <c r="K1640">
        <v>2.2472267675047499E-60</v>
      </c>
      <c r="L1640">
        <v>2.986484852227807E-60</v>
      </c>
      <c r="M1640">
        <v>0.12801151263747829</v>
      </c>
      <c r="N1640">
        <v>3.649719412499345E-59</v>
      </c>
      <c r="O1640">
        <v>4.8503479479349087E-59</v>
      </c>
      <c r="P1640">
        <v>5.0386998601499207E-2</v>
      </c>
      <c r="Q1640">
        <v>0.82134721627233565</v>
      </c>
      <c r="R1640">
        <v>5.0468421523206244</v>
      </c>
      <c r="S1640">
        <v>0.39304847007704569</v>
      </c>
      <c r="T1640">
        <v>0.31714070075090828</v>
      </c>
      <c r="U1640">
        <v>4.2625965936405663</v>
      </c>
      <c r="V1640">
        <v>0.11023909988438001</v>
      </c>
      <c r="W1640">
        <v>8.5479139985992436</v>
      </c>
      <c r="X1640">
        <v>0.40336963608165971</v>
      </c>
      <c r="Z1640" t="s">
        <v>392</v>
      </c>
      <c r="AA1640">
        <v>140</v>
      </c>
      <c r="AB1640" t="s">
        <v>2031</v>
      </c>
      <c r="AC1640" t="str">
        <f>HYPERLINK("plots/20251231112652_3FT6Y119H04_05543_B21P_N_UFLEX98_M5358A8BA201511/dpll_52084/txpa_55207.png","plot")</f>
        <v>plot</v>
      </c>
    </row>
    <row r="1641" spans="1:29" hidden="1" x14ac:dyDescent="0.35">
      <c r="A1641" t="s">
        <v>47</v>
      </c>
      <c r="B1641">
        <v>52084</v>
      </c>
      <c r="C1641" t="s">
        <v>52</v>
      </c>
      <c r="D1641">
        <v>55208</v>
      </c>
      <c r="E1641" t="s">
        <v>341</v>
      </c>
      <c r="F1641">
        <v>7139</v>
      </c>
      <c r="G1641">
        <v>0.30861142352830789</v>
      </c>
      <c r="H1641">
        <v>2.359699766215536E-157</v>
      </c>
      <c r="I1641">
        <v>6.4148406513205191E-157</v>
      </c>
      <c r="J1641">
        <v>0.30702174854776709</v>
      </c>
      <c r="K1641">
        <v>1.123434303491407E-155</v>
      </c>
      <c r="L1641">
        <v>3.4730560479886779E-155</v>
      </c>
      <c r="M1641">
        <v>0.20757868220700321</v>
      </c>
      <c r="N1641">
        <v>1.8439682665509339E-152</v>
      </c>
      <c r="O1641">
        <v>5.6488937229082992E-152</v>
      </c>
      <c r="P1641">
        <v>9.5241010732168632E-2</v>
      </c>
      <c r="Q1641">
        <v>0.81499437732035906</v>
      </c>
      <c r="R1641">
        <v>5.0882683144864096</v>
      </c>
      <c r="S1641">
        <v>0.27689448601028721</v>
      </c>
      <c r="T1641">
        <v>0.21305650276142041</v>
      </c>
      <c r="U1641">
        <v>4.2625965936405663</v>
      </c>
      <c r="V1641">
        <v>0.11023909988438001</v>
      </c>
      <c r="W1641">
        <v>8.5622605710883875</v>
      </c>
      <c r="X1641">
        <v>0.29112417660840761</v>
      </c>
      <c r="Z1641" t="s">
        <v>392</v>
      </c>
      <c r="AA1641">
        <v>140</v>
      </c>
      <c r="AB1641" t="s">
        <v>2032</v>
      </c>
      <c r="AC1641" t="str">
        <f>HYPERLINK("plots/20251231112652_3FT6Y119H04_05543_B21P_N_UFLEX98_M5358A8BA201511/dpll_52084/txpa_55208.png","plot")</f>
        <v>plot</v>
      </c>
    </row>
    <row r="1642" spans="1:29" hidden="1" x14ac:dyDescent="0.35">
      <c r="A1642" t="s">
        <v>47</v>
      </c>
      <c r="B1642">
        <v>52084</v>
      </c>
      <c r="C1642" t="s">
        <v>52</v>
      </c>
      <c r="D1642">
        <v>55209</v>
      </c>
      <c r="E1642" t="s">
        <v>342</v>
      </c>
      <c r="F1642">
        <v>7139</v>
      </c>
      <c r="G1642">
        <v>0.25598955569395399</v>
      </c>
      <c r="H1642">
        <v>3.3689819001127953E-107</v>
      </c>
      <c r="I1642">
        <v>5.6652531454633058E-107</v>
      </c>
      <c r="J1642">
        <v>0.2110332245552273</v>
      </c>
      <c r="K1642">
        <v>1.1115727858060221E-72</v>
      </c>
      <c r="L1642">
        <v>1.6288075213978411E-72</v>
      </c>
      <c r="M1642">
        <v>0.14110671704185621</v>
      </c>
      <c r="N1642">
        <v>1.7155423765353911E-71</v>
      </c>
      <c r="O1642">
        <v>2.517452923020096E-71</v>
      </c>
      <c r="P1642">
        <v>6.5530652624387994E-2</v>
      </c>
      <c r="Q1642">
        <v>0.74233280108045252</v>
      </c>
      <c r="R1642">
        <v>5.3566820376725319</v>
      </c>
      <c r="S1642">
        <v>0.30900405154356098</v>
      </c>
      <c r="T1642">
        <v>0.25465057193711788</v>
      </c>
      <c r="U1642">
        <v>4.2625965936405663</v>
      </c>
      <c r="V1642">
        <v>0.11023909988438001</v>
      </c>
      <c r="W1642">
        <v>8.5209473069057289</v>
      </c>
      <c r="X1642">
        <v>0.31967749459120759</v>
      </c>
      <c r="Z1642" t="s">
        <v>392</v>
      </c>
      <c r="AA1642">
        <v>140</v>
      </c>
      <c r="AB1642" t="s">
        <v>2033</v>
      </c>
      <c r="AC1642" t="str">
        <f>HYPERLINK("plots/20251231112652_3FT6Y119H04_05543_B21P_N_UFLEX98_M5358A8BA201511/dpll_52084/txpa_55209.png","plot")</f>
        <v>plot</v>
      </c>
    </row>
    <row r="1643" spans="1:29" hidden="1" x14ac:dyDescent="0.35">
      <c r="A1643" t="s">
        <v>47</v>
      </c>
      <c r="B1643">
        <v>52084</v>
      </c>
      <c r="C1643" t="s">
        <v>52</v>
      </c>
      <c r="D1643">
        <v>55210</v>
      </c>
      <c r="E1643" t="s">
        <v>343</v>
      </c>
      <c r="F1643">
        <v>7139</v>
      </c>
      <c r="G1643">
        <v>0.19620247601589169</v>
      </c>
      <c r="H1643">
        <v>6.9644709886438744E-63</v>
      </c>
      <c r="I1643">
        <v>8.5703562894234081E-63</v>
      </c>
      <c r="J1643">
        <v>0.19538281961394571</v>
      </c>
      <c r="K1643">
        <v>2.301165280874567E-62</v>
      </c>
      <c r="L1643">
        <v>3.1111754597424149E-62</v>
      </c>
      <c r="M1643">
        <v>0.13139838800572581</v>
      </c>
      <c r="N1643">
        <v>3.0764833513110518E-62</v>
      </c>
      <c r="O1643">
        <v>4.1649587693316512E-62</v>
      </c>
      <c r="P1643">
        <v>3.8495411594766583E-2</v>
      </c>
      <c r="Q1643">
        <v>0.71147323359686843</v>
      </c>
      <c r="R1643">
        <v>5.8395925884475899</v>
      </c>
      <c r="S1643">
        <v>0.39195391094877108</v>
      </c>
      <c r="T1643">
        <v>0.31091250129283099</v>
      </c>
      <c r="U1643">
        <v>4.2625965936405663</v>
      </c>
      <c r="V1643">
        <v>0.11023909988438001</v>
      </c>
      <c r="W1643">
        <v>8.8723159704440402</v>
      </c>
      <c r="X1643">
        <v>0.3997511675499717</v>
      </c>
      <c r="Z1643" t="s">
        <v>392</v>
      </c>
      <c r="AA1643">
        <v>140</v>
      </c>
      <c r="AB1643" t="s">
        <v>2034</v>
      </c>
      <c r="AC1643" t="str">
        <f>HYPERLINK("plots/20251231112652_3FT6Y119H04_05543_B21P_N_UFLEX98_M5358A8BA201511/dpll_52084/txpa_55210.png","plot")</f>
        <v>plot</v>
      </c>
    </row>
    <row r="1644" spans="1:29" hidden="1" x14ac:dyDescent="0.35">
      <c r="A1644" t="s">
        <v>47</v>
      </c>
      <c r="B1644">
        <v>52084</v>
      </c>
      <c r="C1644" t="s">
        <v>52</v>
      </c>
      <c r="D1644">
        <v>55211</v>
      </c>
      <c r="E1644" t="s">
        <v>344</v>
      </c>
      <c r="F1644">
        <v>7139</v>
      </c>
      <c r="G1644">
        <v>0.1871089272032585</v>
      </c>
      <c r="H1644">
        <v>2.9612136142752233E-57</v>
      </c>
      <c r="I1644">
        <v>3.5367144933746478E-57</v>
      </c>
      <c r="J1644">
        <v>0.18627829361432521</v>
      </c>
      <c r="K1644">
        <v>9.3628084497608213E-57</v>
      </c>
      <c r="L1644">
        <v>1.2187275697121269E-56</v>
      </c>
      <c r="M1644">
        <v>0.1259857440246093</v>
      </c>
      <c r="N1644">
        <v>2.306284322779129E-57</v>
      </c>
      <c r="O1644">
        <v>3.033167708557765E-57</v>
      </c>
      <c r="P1644">
        <v>3.5009750639154277E-2</v>
      </c>
      <c r="Q1644">
        <v>0.67439612117083247</v>
      </c>
      <c r="R1644">
        <v>6.8451292786520579</v>
      </c>
      <c r="S1644">
        <v>0.39028984988737558</v>
      </c>
      <c r="T1644">
        <v>0.32360470482494191</v>
      </c>
      <c r="U1644">
        <v>4.2625965936405663</v>
      </c>
      <c r="V1644">
        <v>0.11023909988438001</v>
      </c>
      <c r="W1644">
        <v>9.7198078875192593</v>
      </c>
      <c r="X1644">
        <v>0.39733444296128267</v>
      </c>
      <c r="Z1644" t="s">
        <v>392</v>
      </c>
      <c r="AA1644">
        <v>140</v>
      </c>
      <c r="AB1644" t="s">
        <v>2035</v>
      </c>
      <c r="AC1644" t="str">
        <f>HYPERLINK("plots/20251231112652_3FT6Y119H04_05543_B21P_N_UFLEX98_M5358A8BA201511/dpll_52084/txpa_55211.png","plot")</f>
        <v>plot</v>
      </c>
    </row>
    <row r="1645" spans="1:29" hidden="1" x14ac:dyDescent="0.35">
      <c r="A1645" t="s">
        <v>47</v>
      </c>
      <c r="B1645">
        <v>52084</v>
      </c>
      <c r="C1645" t="s">
        <v>52</v>
      </c>
      <c r="D1645">
        <v>55212</v>
      </c>
      <c r="E1645" t="s">
        <v>345</v>
      </c>
      <c r="F1645">
        <v>7139</v>
      </c>
      <c r="G1645">
        <v>0.31342429155395041</v>
      </c>
      <c r="H1645">
        <v>1.696499302383046E-162</v>
      </c>
      <c r="I1645">
        <v>4.9150008360468825E-162</v>
      </c>
      <c r="J1645">
        <v>0.29037980201690827</v>
      </c>
      <c r="K1645">
        <v>9.8471613167515695E-139</v>
      </c>
      <c r="L1645">
        <v>2.5537139578481049E-138</v>
      </c>
      <c r="M1645">
        <v>0.1950428226414139</v>
      </c>
      <c r="N1645">
        <v>7.728175159305948E-135</v>
      </c>
      <c r="O1645">
        <v>1.9640024089063241E-134</v>
      </c>
      <c r="P1645">
        <v>9.8234786536095672E-2</v>
      </c>
      <c r="Q1645">
        <v>0.81169014891753977</v>
      </c>
      <c r="R1645">
        <v>5.9026078308796537</v>
      </c>
      <c r="S1645">
        <v>0.27108756749542129</v>
      </c>
      <c r="T1645">
        <v>0.21792602492961491</v>
      </c>
      <c r="U1645">
        <v>4.2625965936405663</v>
      </c>
      <c r="V1645">
        <v>0.11023909988438001</v>
      </c>
      <c r="W1645">
        <v>9.3625154947471625</v>
      </c>
      <c r="X1645">
        <v>0.28549156467116282</v>
      </c>
      <c r="Z1645" t="s">
        <v>392</v>
      </c>
      <c r="AA1645">
        <v>140</v>
      </c>
      <c r="AB1645" t="s">
        <v>2036</v>
      </c>
      <c r="AC1645" t="str">
        <f>HYPERLINK("plots/20251231112652_3FT6Y119H04_05543_B21P_N_UFLEX98_M5358A8BA201511/dpll_52084/txpa_55212.png","plot")</f>
        <v>plot</v>
      </c>
    </row>
    <row r="1646" spans="1:29" hidden="1" x14ac:dyDescent="0.35">
      <c r="A1646" t="s">
        <v>47</v>
      </c>
      <c r="B1646">
        <v>52084</v>
      </c>
      <c r="C1646" t="s">
        <v>52</v>
      </c>
      <c r="D1646">
        <v>55213</v>
      </c>
      <c r="E1646" t="s">
        <v>346</v>
      </c>
      <c r="F1646">
        <v>7139</v>
      </c>
      <c r="G1646">
        <v>0.24536902500984109</v>
      </c>
      <c r="H1646">
        <v>2.246710347662559E-98</v>
      </c>
      <c r="I1646">
        <v>3.5485425117287152E-98</v>
      </c>
      <c r="J1646">
        <v>0.21602334930645889</v>
      </c>
      <c r="K1646">
        <v>3.7615397955285289E-76</v>
      </c>
      <c r="L1646">
        <v>5.6674611480920186E-76</v>
      </c>
      <c r="M1646">
        <v>0.14564777937831541</v>
      </c>
      <c r="N1646">
        <v>4.7989672186740431E-76</v>
      </c>
      <c r="O1646">
        <v>7.2412987496063687E-76</v>
      </c>
      <c r="P1646">
        <v>6.0205958434280039E-2</v>
      </c>
      <c r="Q1646">
        <v>0.80162807592649199</v>
      </c>
      <c r="R1646">
        <v>6.1914087719030597</v>
      </c>
      <c r="S1646">
        <v>0.34912002908333412</v>
      </c>
      <c r="T1646">
        <v>0.29876183311088589</v>
      </c>
      <c r="U1646">
        <v>4.2625965936405663</v>
      </c>
      <c r="V1646">
        <v>0.11023909988438001</v>
      </c>
      <c r="W1646">
        <v>9.6084258777139659</v>
      </c>
      <c r="X1646">
        <v>0.36015449598269239</v>
      </c>
      <c r="Z1646" t="s">
        <v>392</v>
      </c>
      <c r="AA1646">
        <v>140</v>
      </c>
      <c r="AB1646" t="s">
        <v>2037</v>
      </c>
      <c r="AC1646" t="str">
        <f>HYPERLINK("plots/20251231112652_3FT6Y119H04_05543_B21P_N_UFLEX98_M5358A8BA201511/dpll_52084/txpa_55213.png","plot")</f>
        <v>plot</v>
      </c>
    </row>
    <row r="1647" spans="1:29" hidden="1" x14ac:dyDescent="0.35">
      <c r="A1647" t="s">
        <v>47</v>
      </c>
      <c r="B1647">
        <v>52084</v>
      </c>
      <c r="C1647" t="s">
        <v>52</v>
      </c>
      <c r="D1647">
        <v>55214</v>
      </c>
      <c r="E1647" t="s">
        <v>347</v>
      </c>
      <c r="F1647">
        <v>7139</v>
      </c>
      <c r="G1647">
        <v>0.30092325420178229</v>
      </c>
      <c r="H1647">
        <v>2.4556111706886331E-149</v>
      </c>
      <c r="I1647">
        <v>6.1940042962146106E-149</v>
      </c>
      <c r="J1647">
        <v>0.29073720704036049</v>
      </c>
      <c r="K1647">
        <v>4.3774195613730399E-139</v>
      </c>
      <c r="L1647">
        <v>1.13812908595699E-138</v>
      </c>
      <c r="M1647">
        <v>0.19551104113045101</v>
      </c>
      <c r="N1647">
        <v>1.775220780515222E-135</v>
      </c>
      <c r="O1647">
        <v>4.5341911119456809E-135</v>
      </c>
      <c r="P1647">
        <v>9.0554804919390511E-2</v>
      </c>
      <c r="Q1647">
        <v>0.84140820482563938</v>
      </c>
      <c r="R1647">
        <v>5.9674364482148263</v>
      </c>
      <c r="S1647">
        <v>0.29393039528592768</v>
      </c>
      <c r="T1647">
        <v>0.228158108349134</v>
      </c>
      <c r="U1647">
        <v>4.2625965936405663</v>
      </c>
      <c r="V1647">
        <v>0.11023909988438001</v>
      </c>
      <c r="W1647">
        <v>9.5540201959658209</v>
      </c>
      <c r="X1647">
        <v>0.308238335988197</v>
      </c>
      <c r="Z1647" t="s">
        <v>392</v>
      </c>
      <c r="AA1647">
        <v>140</v>
      </c>
      <c r="AB1647" t="s">
        <v>2038</v>
      </c>
      <c r="AC1647" t="str">
        <f>HYPERLINK("plots/20251231112652_3FT6Y119H04_05543_B21P_N_UFLEX98_M5358A8BA201511/dpll_52084/txpa_55214.png","plot")</f>
        <v>plot</v>
      </c>
    </row>
    <row r="1648" spans="1:29" hidden="1" x14ac:dyDescent="0.35">
      <c r="A1648" t="s">
        <v>47</v>
      </c>
      <c r="B1648">
        <v>52084</v>
      </c>
      <c r="C1648" t="s">
        <v>52</v>
      </c>
      <c r="D1648">
        <v>55215</v>
      </c>
      <c r="E1648" t="s">
        <v>348</v>
      </c>
      <c r="F1648">
        <v>7139</v>
      </c>
      <c r="G1648">
        <v>0.23588396496952169</v>
      </c>
      <c r="H1648">
        <v>7.5485900228457838E-91</v>
      </c>
      <c r="I1648">
        <v>1.1289484193459619E-90</v>
      </c>
      <c r="J1648">
        <v>0.20226278191373279</v>
      </c>
      <c r="K1648">
        <v>8.5624130985221589E-67</v>
      </c>
      <c r="L1648">
        <v>1.1926218244370151E-66</v>
      </c>
      <c r="M1648">
        <v>0.13481803157916741</v>
      </c>
      <c r="N1648">
        <v>2.010052500193845E-65</v>
      </c>
      <c r="O1648">
        <v>2.7882260399405742E-65</v>
      </c>
      <c r="P1648">
        <v>5.564124492974256E-2</v>
      </c>
      <c r="Q1648">
        <v>0.82765718122068699</v>
      </c>
      <c r="R1648">
        <v>5.98099647341013</v>
      </c>
      <c r="S1648">
        <v>0.37585974363857411</v>
      </c>
      <c r="T1648">
        <v>0.30288154665659572</v>
      </c>
      <c r="U1648">
        <v>4.2625965936405663</v>
      </c>
      <c r="V1648">
        <v>0.11023909988438001</v>
      </c>
      <c r="W1648">
        <v>9.5089651547835832</v>
      </c>
      <c r="X1648">
        <v>0.38680112352020529</v>
      </c>
      <c r="Z1648" t="s">
        <v>392</v>
      </c>
      <c r="AA1648">
        <v>140</v>
      </c>
      <c r="AB1648" t="s">
        <v>2039</v>
      </c>
      <c r="AC1648" t="str">
        <f>HYPERLINK("plots/20251231112652_3FT6Y119H04_05543_B21P_N_UFLEX98_M5358A8BA201511/dpll_52084/txpa_55215.png","plot")</f>
        <v>plot</v>
      </c>
    </row>
    <row r="1649" spans="1:29" hidden="1" x14ac:dyDescent="0.35">
      <c r="A1649" t="s">
        <v>47</v>
      </c>
      <c r="B1649">
        <v>52084</v>
      </c>
      <c r="C1649" t="s">
        <v>52</v>
      </c>
      <c r="D1649">
        <v>55216</v>
      </c>
      <c r="E1649" t="s">
        <v>349</v>
      </c>
      <c r="F1649">
        <v>7139</v>
      </c>
      <c r="G1649">
        <v>0.32039016543781412</v>
      </c>
      <c r="H1649">
        <v>4.1079543724449496E-170</v>
      </c>
      <c r="I1649">
        <v>1.301708041768494E-169</v>
      </c>
      <c r="J1649">
        <v>0.31545008403115771</v>
      </c>
      <c r="K1649">
        <v>1.0858347655765591E-164</v>
      </c>
      <c r="L1649">
        <v>3.6947531956195657E-164</v>
      </c>
      <c r="M1649">
        <v>0.21389829912550401</v>
      </c>
      <c r="N1649">
        <v>9.2660651386592833E-162</v>
      </c>
      <c r="O1649">
        <v>3.121524933754324E-161</v>
      </c>
      <c r="P1649">
        <v>0.1026498581092699</v>
      </c>
      <c r="Q1649">
        <v>0.8205193787523497</v>
      </c>
      <c r="R1649">
        <v>6.0214039839843094</v>
      </c>
      <c r="S1649">
        <v>0.26742122450892081</v>
      </c>
      <c r="T1649">
        <v>0.20613744496069619</v>
      </c>
      <c r="U1649">
        <v>4.2625965936405663</v>
      </c>
      <c r="V1649">
        <v>0.11023909988438001</v>
      </c>
      <c r="W1649">
        <v>9.5189470928701478</v>
      </c>
      <c r="X1649">
        <v>0.28232239159945832</v>
      </c>
      <c r="Z1649" t="s">
        <v>392</v>
      </c>
      <c r="AA1649">
        <v>140</v>
      </c>
      <c r="AB1649" t="s">
        <v>2040</v>
      </c>
      <c r="AC1649" t="str">
        <f>HYPERLINK("plots/20251231112652_3FT6Y119H04_05543_B21P_N_UFLEX98_M5358A8BA201511/dpll_52084/txpa_55216.png","plot")</f>
        <v>plot</v>
      </c>
    </row>
    <row r="1650" spans="1:29" hidden="1" x14ac:dyDescent="0.35">
      <c r="A1650" t="s">
        <v>47</v>
      </c>
      <c r="B1650">
        <v>52084</v>
      </c>
      <c r="C1650" t="s">
        <v>52</v>
      </c>
      <c r="D1650">
        <v>55217</v>
      </c>
      <c r="E1650" t="s">
        <v>350</v>
      </c>
      <c r="F1650">
        <v>7139</v>
      </c>
      <c r="G1650">
        <v>0.26809354950300318</v>
      </c>
      <c r="H1650">
        <v>8.9373245006350833E-118</v>
      </c>
      <c r="I1650">
        <v>1.6537312123437911E-117</v>
      </c>
      <c r="J1650">
        <v>0.22171064884880901</v>
      </c>
      <c r="K1650">
        <v>3.24919326112368E-80</v>
      </c>
      <c r="L1650">
        <v>5.0454547730159447E-80</v>
      </c>
      <c r="M1650">
        <v>0.14823767510890881</v>
      </c>
      <c r="N1650">
        <v>1.047373461407063E-78</v>
      </c>
      <c r="O1650">
        <v>1.631392764772292E-78</v>
      </c>
      <c r="P1650">
        <v>7.1874151285119245E-2</v>
      </c>
      <c r="Q1650">
        <v>0.75049179423212886</v>
      </c>
      <c r="R1650">
        <v>6.2863434223324406</v>
      </c>
      <c r="S1650">
        <v>0.29728175541913759</v>
      </c>
      <c r="T1650">
        <v>0.24426082312346681</v>
      </c>
      <c r="U1650">
        <v>4.2625965936405663</v>
      </c>
      <c r="V1650">
        <v>0.11023909988438001</v>
      </c>
      <c r="W1650">
        <v>9.4853871879815106</v>
      </c>
      <c r="X1650">
        <v>0.30859951692286602</v>
      </c>
      <c r="Z1650" t="s">
        <v>392</v>
      </c>
      <c r="AA1650">
        <v>140</v>
      </c>
      <c r="AB1650" t="s">
        <v>2041</v>
      </c>
      <c r="AC1650" t="str">
        <f>HYPERLINK("plots/20251231112652_3FT6Y119H04_05543_B21P_N_UFLEX98_M5358A8BA201511/dpll_52084/txpa_55217.png","plot")</f>
        <v>plot</v>
      </c>
    </row>
    <row r="1651" spans="1:29" hidden="1" x14ac:dyDescent="0.35">
      <c r="A1651" t="s">
        <v>47</v>
      </c>
      <c r="B1651">
        <v>52084</v>
      </c>
      <c r="C1651" t="s">
        <v>52</v>
      </c>
      <c r="D1651">
        <v>55218</v>
      </c>
      <c r="E1651" t="s">
        <v>351</v>
      </c>
      <c r="F1651">
        <v>7139</v>
      </c>
      <c r="G1651">
        <v>0.20736840296125719</v>
      </c>
      <c r="H1651">
        <v>3.4566189459962077E-70</v>
      </c>
      <c r="I1651">
        <v>4.4367235585318423E-70</v>
      </c>
      <c r="J1651">
        <v>0.20353298199852579</v>
      </c>
      <c r="K1651">
        <v>1.2496154696628739E-67</v>
      </c>
      <c r="L1651">
        <v>1.7574342388878689E-67</v>
      </c>
      <c r="M1651">
        <v>0.1369658379313988</v>
      </c>
      <c r="N1651">
        <v>1.825813281212995E-67</v>
      </c>
      <c r="O1651">
        <v>2.5785162495125031E-67</v>
      </c>
      <c r="P1651">
        <v>4.300165454670235E-2</v>
      </c>
      <c r="Q1651">
        <v>0.72013967679971025</v>
      </c>
      <c r="R1651">
        <v>6.7483545980350428</v>
      </c>
      <c r="S1651">
        <v>0.37448548509265489</v>
      </c>
      <c r="T1651">
        <v>0.29740083779314402</v>
      </c>
      <c r="U1651">
        <v>4.2625965936405663</v>
      </c>
      <c r="V1651">
        <v>0.11023909988438001</v>
      </c>
      <c r="W1651">
        <v>9.8180195313069056</v>
      </c>
      <c r="X1651">
        <v>0.38283339519309728</v>
      </c>
      <c r="Z1651" t="s">
        <v>392</v>
      </c>
      <c r="AA1651">
        <v>140</v>
      </c>
      <c r="AB1651" t="s">
        <v>2042</v>
      </c>
      <c r="AC1651" t="str">
        <f>HYPERLINK("plots/20251231112652_3FT6Y119H04_05543_B21P_N_UFLEX98_M5358A8BA201511/dpll_52084/txpa_55218.png","plot")</f>
        <v>plot</v>
      </c>
    </row>
    <row r="1652" spans="1:29" hidden="1" x14ac:dyDescent="0.35">
      <c r="A1652" t="s">
        <v>47</v>
      </c>
      <c r="B1652">
        <v>52084</v>
      </c>
      <c r="C1652" t="s">
        <v>52</v>
      </c>
      <c r="D1652">
        <v>55219</v>
      </c>
      <c r="E1652" t="s">
        <v>352</v>
      </c>
      <c r="F1652">
        <v>7139</v>
      </c>
      <c r="G1652">
        <v>0.1984225613680346</v>
      </c>
      <c r="H1652">
        <v>2.6623674444736821E-64</v>
      </c>
      <c r="I1652">
        <v>3.3165117797252013E-64</v>
      </c>
      <c r="J1652">
        <v>0.19507708292324069</v>
      </c>
      <c r="K1652">
        <v>3.5889179158028128E-62</v>
      </c>
      <c r="L1652">
        <v>4.832885480244425E-62</v>
      </c>
      <c r="M1652">
        <v>0.13226636099063449</v>
      </c>
      <c r="N1652">
        <v>4.8699983511543124E-63</v>
      </c>
      <c r="O1652">
        <v>6.6462696205524538E-63</v>
      </c>
      <c r="P1652">
        <v>3.9371512859851437E-2</v>
      </c>
      <c r="Q1652">
        <v>0.68151275951863943</v>
      </c>
      <c r="R1652">
        <v>7.7639528048501987</v>
      </c>
      <c r="S1652">
        <v>0.37107860030979017</v>
      </c>
      <c r="T1652">
        <v>0.3065564311299907</v>
      </c>
      <c r="U1652">
        <v>4.2625965936405663</v>
      </c>
      <c r="V1652">
        <v>0.11023909988438001</v>
      </c>
      <c r="W1652">
        <v>10.66896677209693</v>
      </c>
      <c r="X1652">
        <v>0.37863311838669739</v>
      </c>
      <c r="Z1652" t="s">
        <v>392</v>
      </c>
      <c r="AA1652">
        <v>140</v>
      </c>
      <c r="AB1652" t="s">
        <v>2043</v>
      </c>
      <c r="AC1652" t="str">
        <f>HYPERLINK("plots/20251231112652_3FT6Y119H04_05543_B21P_N_UFLEX98_M5358A8BA201511/dpll_52084/txpa_55219.png","plot")</f>
        <v>plot</v>
      </c>
    </row>
    <row r="1653" spans="1:29" hidden="1" x14ac:dyDescent="0.35">
      <c r="A1653" t="s">
        <v>47</v>
      </c>
      <c r="B1653">
        <v>52084</v>
      </c>
      <c r="C1653" t="s">
        <v>52</v>
      </c>
      <c r="D1653">
        <v>55220</v>
      </c>
      <c r="E1653" t="s">
        <v>353</v>
      </c>
      <c r="F1653">
        <v>7139</v>
      </c>
      <c r="G1653">
        <v>0.32193044469160459</v>
      </c>
      <c r="H1653">
        <v>7.9786790472552463E-172</v>
      </c>
      <c r="I1653">
        <v>2.6014085382369201E-171</v>
      </c>
      <c r="J1653">
        <v>0.30066810964757262</v>
      </c>
      <c r="K1653">
        <v>4.4881858353088004E-149</v>
      </c>
      <c r="L1653">
        <v>1.2606704811643E-148</v>
      </c>
      <c r="M1653">
        <v>0.20227298073794339</v>
      </c>
      <c r="N1653">
        <v>7.2077642628357692E-145</v>
      </c>
      <c r="O1653">
        <v>2.013408529618587E-144</v>
      </c>
      <c r="P1653">
        <v>0.1036392112193343</v>
      </c>
      <c r="Q1653">
        <v>0.81300105292116265</v>
      </c>
      <c r="R1653">
        <v>6.8690337336083633</v>
      </c>
      <c r="S1653">
        <v>0.2635577085190281</v>
      </c>
      <c r="T1653">
        <v>0.2106881962727235</v>
      </c>
      <c r="U1653">
        <v>4.2625965936405663</v>
      </c>
      <c r="V1653">
        <v>0.11023909988438001</v>
      </c>
      <c r="W1653">
        <v>10.334529252416299</v>
      </c>
      <c r="X1653">
        <v>0.27839710644620308</v>
      </c>
      <c r="Z1653" t="s">
        <v>392</v>
      </c>
      <c r="AA1653">
        <v>140</v>
      </c>
      <c r="AB1653" t="s">
        <v>2044</v>
      </c>
      <c r="AC1653" t="str">
        <f>HYPERLINK("plots/20251231112652_3FT6Y119H04_05543_B21P_N_UFLEX98_M5358A8BA201511/dpll_52084/txpa_55220.png","plot")</f>
        <v>plot</v>
      </c>
    </row>
    <row r="1654" spans="1:29" hidden="1" x14ac:dyDescent="0.35">
      <c r="A1654" t="s">
        <v>47</v>
      </c>
      <c r="B1654">
        <v>52084</v>
      </c>
      <c r="C1654" t="s">
        <v>52</v>
      </c>
      <c r="D1654">
        <v>55221</v>
      </c>
      <c r="E1654" t="s">
        <v>354</v>
      </c>
      <c r="F1654">
        <v>7139</v>
      </c>
      <c r="G1654">
        <v>0.2575579935349287</v>
      </c>
      <c r="H1654">
        <v>1.54328338454362E-108</v>
      </c>
      <c r="I1654">
        <v>2.6300661376928249E-108</v>
      </c>
      <c r="J1654">
        <v>0.22542432234342921</v>
      </c>
      <c r="K1654">
        <v>6.2483752132152362E-83</v>
      </c>
      <c r="L1654">
        <v>1.008893704808957E-82</v>
      </c>
      <c r="M1654">
        <v>0.15212446394444951</v>
      </c>
      <c r="N1654">
        <v>8.6900225397527483E-83</v>
      </c>
      <c r="O1654">
        <v>1.4076170695382249E-82</v>
      </c>
      <c r="P1654">
        <v>6.6336120033738372E-2</v>
      </c>
      <c r="Q1654">
        <v>0.80468143061347464</v>
      </c>
      <c r="R1654">
        <v>7.1299653364784383</v>
      </c>
      <c r="S1654">
        <v>0.33277405936162552</v>
      </c>
      <c r="T1654">
        <v>0.28291495540795691</v>
      </c>
      <c r="U1654">
        <v>4.2625965936405663</v>
      </c>
      <c r="V1654">
        <v>0.11023909988438001</v>
      </c>
      <c r="W1654">
        <v>10.559997661577251</v>
      </c>
      <c r="X1654">
        <v>0.34441701997680241</v>
      </c>
      <c r="Z1654" t="s">
        <v>392</v>
      </c>
      <c r="AA1654">
        <v>140</v>
      </c>
      <c r="AB1654" t="s">
        <v>2045</v>
      </c>
      <c r="AC1654" t="str">
        <f>HYPERLINK("plots/20251231112652_3FT6Y119H04_05543_B21P_N_UFLEX98_M5358A8BA201511/dpll_52084/txpa_55221.png","plot")</f>
        <v>plot</v>
      </c>
    </row>
    <row r="1655" spans="1:29" hidden="1" x14ac:dyDescent="0.35">
      <c r="A1655" t="s">
        <v>47</v>
      </c>
      <c r="B1655">
        <v>52084</v>
      </c>
      <c r="C1655" t="s">
        <v>52</v>
      </c>
      <c r="D1655">
        <v>55222</v>
      </c>
      <c r="E1655" t="s">
        <v>355</v>
      </c>
      <c r="F1655">
        <v>7139</v>
      </c>
      <c r="G1655">
        <v>0.31157631553689319</v>
      </c>
      <c r="H1655">
        <v>1.6436583370304769E-160</v>
      </c>
      <c r="I1655">
        <v>4.5913761811264581E-160</v>
      </c>
      <c r="J1655">
        <v>0.30013223545291767</v>
      </c>
      <c r="K1655">
        <v>1.589616280949098E-148</v>
      </c>
      <c r="L1655">
        <v>4.4282167826439163E-148</v>
      </c>
      <c r="M1655">
        <v>0.20236981938134951</v>
      </c>
      <c r="N1655">
        <v>5.2615805296291002E-145</v>
      </c>
      <c r="O1655">
        <v>1.4779065531977581E-144</v>
      </c>
      <c r="P1655">
        <v>9.7079800403545621E-2</v>
      </c>
      <c r="Q1655">
        <v>0.84301817175477689</v>
      </c>
      <c r="R1655">
        <v>6.9192475788026853</v>
      </c>
      <c r="S1655">
        <v>0.28340168144418038</v>
      </c>
      <c r="T1655">
        <v>0.2199632360096514</v>
      </c>
      <c r="U1655">
        <v>4.2625965936405663</v>
      </c>
      <c r="V1655">
        <v>0.11023909988438001</v>
      </c>
      <c r="W1655">
        <v>10.5126939661017</v>
      </c>
      <c r="X1655">
        <v>0.29826902690046803</v>
      </c>
      <c r="Z1655" t="s">
        <v>392</v>
      </c>
      <c r="AA1655">
        <v>140</v>
      </c>
      <c r="AB1655" t="s">
        <v>2046</v>
      </c>
      <c r="AC1655" t="str">
        <f>HYPERLINK("plots/20251231112652_3FT6Y119H04_05543_B21P_N_UFLEX98_M5358A8BA201511/dpll_52084/txpa_55222.png","plot")</f>
        <v>plot</v>
      </c>
    </row>
    <row r="1656" spans="1:29" hidden="1" x14ac:dyDescent="0.35">
      <c r="A1656" t="s">
        <v>47</v>
      </c>
      <c r="B1656">
        <v>52084</v>
      </c>
      <c r="C1656" t="s">
        <v>52</v>
      </c>
      <c r="D1656">
        <v>55223</v>
      </c>
      <c r="E1656" t="s">
        <v>356</v>
      </c>
      <c r="F1656">
        <v>7139</v>
      </c>
      <c r="G1656">
        <v>0.24833553228568669</v>
      </c>
      <c r="H1656">
        <v>8.4973937070881211E-101</v>
      </c>
      <c r="I1656">
        <v>1.3611938734577181E-100</v>
      </c>
      <c r="J1656">
        <v>0.21374420794212171</v>
      </c>
      <c r="K1656">
        <v>1.484038623766914E-74</v>
      </c>
      <c r="L1656">
        <v>2.2064738482399569E-74</v>
      </c>
      <c r="M1656">
        <v>0.14255858901639271</v>
      </c>
      <c r="N1656">
        <v>6.2265546624918968E-73</v>
      </c>
      <c r="O1656">
        <v>9.2576633838222637E-73</v>
      </c>
      <c r="P1656">
        <v>6.1670536595615368E-2</v>
      </c>
      <c r="Q1656">
        <v>0.83124128282720611</v>
      </c>
      <c r="R1656">
        <v>6.9268531158506574</v>
      </c>
      <c r="S1656">
        <v>0.35741366782027351</v>
      </c>
      <c r="T1656">
        <v>0.28771112256593401</v>
      </c>
      <c r="U1656">
        <v>4.2625965936405663</v>
      </c>
      <c r="V1656">
        <v>0.11023909988438001</v>
      </c>
      <c r="W1656">
        <v>10.47009937652332</v>
      </c>
      <c r="X1656">
        <v>0.36899790361127538</v>
      </c>
      <c r="Z1656" t="s">
        <v>392</v>
      </c>
      <c r="AA1656">
        <v>140</v>
      </c>
      <c r="AB1656" t="s">
        <v>2047</v>
      </c>
      <c r="AC1656" t="str">
        <f>HYPERLINK("plots/20251231112652_3FT6Y119H04_05543_B21P_N_UFLEX98_M5358A8BA201511/dpll_52084/txpa_55223.png","plot")</f>
        <v>plot</v>
      </c>
    </row>
    <row r="1657" spans="1:29" hidden="1" x14ac:dyDescent="0.35">
      <c r="A1657" t="s">
        <v>47</v>
      </c>
      <c r="B1657">
        <v>52084</v>
      </c>
      <c r="C1657" t="s">
        <v>52</v>
      </c>
      <c r="D1657">
        <v>55224</v>
      </c>
      <c r="E1657" t="s">
        <v>357</v>
      </c>
      <c r="F1657">
        <v>7139</v>
      </c>
      <c r="G1657">
        <v>0.3317485384585262</v>
      </c>
      <c r="H1657">
        <v>5.6582986813432019E-183</v>
      </c>
      <c r="I1657">
        <v>2.1329051534877351E-182</v>
      </c>
      <c r="J1657">
        <v>0.32376224727068459</v>
      </c>
      <c r="K1657">
        <v>7.1306744209461184E-174</v>
      </c>
      <c r="L1657">
        <v>2.6879196516131461E-173</v>
      </c>
      <c r="M1657">
        <v>0.22029594779659251</v>
      </c>
      <c r="N1657">
        <v>1.8650441992329639E-171</v>
      </c>
      <c r="O1657">
        <v>7.1096045790309239E-171</v>
      </c>
      <c r="P1657">
        <v>0.1100570927693682</v>
      </c>
      <c r="Q1657">
        <v>0.82233997485425947</v>
      </c>
      <c r="R1657">
        <v>6.9706689848144032</v>
      </c>
      <c r="S1657">
        <v>0.25776781872355609</v>
      </c>
      <c r="T1657">
        <v>0.19897125168591401</v>
      </c>
      <c r="U1657">
        <v>4.2625965936405663</v>
      </c>
      <c r="V1657">
        <v>0.11023909988438001</v>
      </c>
      <c r="W1657">
        <v>10.47597256044264</v>
      </c>
      <c r="X1657">
        <v>0.27326124494203491</v>
      </c>
      <c r="Z1657" t="s">
        <v>392</v>
      </c>
      <c r="AA1657">
        <v>140</v>
      </c>
      <c r="AB1657" t="s">
        <v>2048</v>
      </c>
      <c r="AC1657" t="str">
        <f>HYPERLINK("plots/20251231112652_3FT6Y119H04_05543_B21P_N_UFLEX98_M5358A8BA201511/dpll_52084/txpa_55224.png","plot")</f>
        <v>plot</v>
      </c>
    </row>
    <row r="1658" spans="1:29" hidden="1" x14ac:dyDescent="0.35">
      <c r="A1658" t="s">
        <v>47</v>
      </c>
      <c r="B1658">
        <v>52084</v>
      </c>
      <c r="C1658" t="s">
        <v>52</v>
      </c>
      <c r="D1658">
        <v>55225</v>
      </c>
      <c r="E1658" t="s">
        <v>358</v>
      </c>
      <c r="F1658">
        <v>7139</v>
      </c>
      <c r="G1658">
        <v>0.28045830362899021</v>
      </c>
      <c r="H1658">
        <v>3.6675690197119748E-129</v>
      </c>
      <c r="I1658">
        <v>7.5129595676524079E-129</v>
      </c>
      <c r="J1658">
        <v>0.23310682108411129</v>
      </c>
      <c r="K1658">
        <v>1.04462260721362E-88</v>
      </c>
      <c r="L1658">
        <v>1.7654122061910179E-88</v>
      </c>
      <c r="M1658">
        <v>0.15587683854263401</v>
      </c>
      <c r="N1658">
        <v>7.9342699701690861E-87</v>
      </c>
      <c r="O1658">
        <v>1.340891624958575E-86</v>
      </c>
      <c r="P1658">
        <v>7.8656860074450871E-2</v>
      </c>
      <c r="Q1658">
        <v>0.75597033959083426</v>
      </c>
      <c r="R1658">
        <v>7.2286885268723129</v>
      </c>
      <c r="S1658">
        <v>0.28520188796561102</v>
      </c>
      <c r="T1658">
        <v>0.23356374433608121</v>
      </c>
      <c r="U1658">
        <v>4.2625965936405663</v>
      </c>
      <c r="V1658">
        <v>0.11023909988438001</v>
      </c>
      <c r="W1658">
        <v>10.45108512130551</v>
      </c>
      <c r="X1658">
        <v>0.29714752138709127</v>
      </c>
      <c r="Z1658" t="s">
        <v>392</v>
      </c>
      <c r="AA1658">
        <v>140</v>
      </c>
      <c r="AB1658" t="s">
        <v>2049</v>
      </c>
      <c r="AC1658" t="str">
        <f>HYPERLINK("plots/20251231112652_3FT6Y119H04_05543_B21P_N_UFLEX98_M5358A8BA201511/dpll_52084/txpa_55225.png","plot")</f>
        <v>plot</v>
      </c>
    </row>
    <row r="1659" spans="1:29" hidden="1" x14ac:dyDescent="0.35">
      <c r="A1659" t="s">
        <v>47</v>
      </c>
      <c r="B1659">
        <v>52084</v>
      </c>
      <c r="C1659" t="s">
        <v>52</v>
      </c>
      <c r="D1659">
        <v>55226</v>
      </c>
      <c r="E1659" t="s">
        <v>359</v>
      </c>
      <c r="F1659">
        <v>7139</v>
      </c>
      <c r="G1659">
        <v>0.21873933342818419</v>
      </c>
      <c r="H1659">
        <v>4.4587096624188614E-78</v>
      </c>
      <c r="I1659">
        <v>6.0121430820381988E-78</v>
      </c>
      <c r="J1659">
        <v>0.21133327256483109</v>
      </c>
      <c r="K1659">
        <v>6.9143688325695326E-73</v>
      </c>
      <c r="L1659">
        <v>1.01611159365587E-72</v>
      </c>
      <c r="M1659">
        <v>0.14232557431348561</v>
      </c>
      <c r="N1659">
        <v>1.0626185378748971E-72</v>
      </c>
      <c r="O1659">
        <v>1.5775917970792759E-72</v>
      </c>
      <c r="P1659">
        <v>4.784689598860635E-2</v>
      </c>
      <c r="Q1659">
        <v>0.72505658778914428</v>
      </c>
      <c r="R1659">
        <v>7.6713517409737726</v>
      </c>
      <c r="S1659">
        <v>0.35653621659283158</v>
      </c>
      <c r="T1659">
        <v>0.28388143614861833</v>
      </c>
      <c r="U1659">
        <v>4.2625965936405663</v>
      </c>
      <c r="V1659">
        <v>0.11023909988438001</v>
      </c>
      <c r="W1659">
        <v>10.76197548228043</v>
      </c>
      <c r="X1659">
        <v>0.36541020926790702</v>
      </c>
      <c r="Z1659" t="s">
        <v>392</v>
      </c>
      <c r="AA1659">
        <v>140</v>
      </c>
      <c r="AB1659" t="s">
        <v>2050</v>
      </c>
      <c r="AC1659" t="str">
        <f>HYPERLINK("plots/20251231112652_3FT6Y119H04_05543_B21P_N_UFLEX98_M5358A8BA201511/dpll_52084/txpa_55226.png","plot")</f>
        <v>plot</v>
      </c>
    </row>
    <row r="1660" spans="1:29" hidden="1" x14ac:dyDescent="0.35">
      <c r="A1660" t="s">
        <v>47</v>
      </c>
      <c r="B1660">
        <v>52084</v>
      </c>
      <c r="C1660" t="s">
        <v>52</v>
      </c>
      <c r="D1660">
        <v>55227</v>
      </c>
      <c r="E1660" t="s">
        <v>360</v>
      </c>
      <c r="F1660">
        <v>7139</v>
      </c>
      <c r="G1660">
        <v>0.20445489340781159</v>
      </c>
      <c r="H1660">
        <v>3.066192507523336E-68</v>
      </c>
      <c r="I1660">
        <v>3.8863990032858291E-68</v>
      </c>
      <c r="J1660">
        <v>0.1995779456185012</v>
      </c>
      <c r="K1660">
        <v>4.7942631792700206E-65</v>
      </c>
      <c r="L1660">
        <v>6.6231374165937348E-65</v>
      </c>
      <c r="M1660">
        <v>0.13542918342369609</v>
      </c>
      <c r="N1660">
        <v>5.3170485847488554E-66</v>
      </c>
      <c r="O1660">
        <v>7.4160760177927637E-66</v>
      </c>
      <c r="P1660">
        <v>4.1801803438399607E-2</v>
      </c>
      <c r="Q1660">
        <v>0.68517766986484219</v>
      </c>
      <c r="R1660">
        <v>8.2083010762775999</v>
      </c>
      <c r="S1660">
        <v>0.36160847899972948</v>
      </c>
      <c r="T1660">
        <v>0.29821673889398781</v>
      </c>
      <c r="U1660">
        <v>4.2625965936405663</v>
      </c>
      <c r="V1660">
        <v>0.11023909988438001</v>
      </c>
      <c r="W1660">
        <v>11.12893707788206</v>
      </c>
      <c r="X1660">
        <v>0.36943781744619869</v>
      </c>
      <c r="Z1660" t="s">
        <v>392</v>
      </c>
      <c r="AA1660">
        <v>140</v>
      </c>
      <c r="AB1660" t="s">
        <v>2051</v>
      </c>
      <c r="AC1660" t="str">
        <f>HYPERLINK("plots/20251231112652_3FT6Y119H04_05543_B21P_N_UFLEX98_M5358A8BA201511/dpll_52084/txpa_55227.png","plot")</f>
        <v>plot</v>
      </c>
    </row>
    <row r="1661" spans="1:29" hidden="1" x14ac:dyDescent="0.35">
      <c r="A1661" t="s">
        <v>47</v>
      </c>
      <c r="B1661">
        <v>52084</v>
      </c>
      <c r="C1661" t="s">
        <v>52</v>
      </c>
      <c r="D1661">
        <v>55228</v>
      </c>
      <c r="E1661" t="s">
        <v>361</v>
      </c>
      <c r="F1661">
        <v>7139</v>
      </c>
      <c r="G1661">
        <v>0.32604124584272232</v>
      </c>
      <c r="H1661">
        <v>1.9237745759225811E-176</v>
      </c>
      <c r="I1661">
        <v>6.5902277702212763E-176</v>
      </c>
      <c r="J1661">
        <v>0.3059126318551238</v>
      </c>
      <c r="K1661">
        <v>1.6401753755143868E-154</v>
      </c>
      <c r="L1661">
        <v>4.9498149725344887E-154</v>
      </c>
      <c r="M1661">
        <v>0.20597670034083279</v>
      </c>
      <c r="N1661">
        <v>3.7910419737574468E-150</v>
      </c>
      <c r="O1661">
        <v>1.1306225180558969E-149</v>
      </c>
      <c r="P1661">
        <v>0.1063028939906745</v>
      </c>
      <c r="Q1661">
        <v>0.81422739819944134</v>
      </c>
      <c r="R1661">
        <v>7.3392265636749929</v>
      </c>
      <c r="S1661">
        <v>0.26023972010752572</v>
      </c>
      <c r="T1661">
        <v>0.20729490778772541</v>
      </c>
      <c r="U1661">
        <v>4.2625965936405663</v>
      </c>
      <c r="V1661">
        <v>0.11023909988438001</v>
      </c>
      <c r="W1661">
        <v>10.80994949768875</v>
      </c>
      <c r="X1661">
        <v>0.27530165776021459</v>
      </c>
      <c r="Z1661" t="s">
        <v>392</v>
      </c>
      <c r="AA1661">
        <v>140</v>
      </c>
      <c r="AB1661" t="s">
        <v>2052</v>
      </c>
      <c r="AC1661" t="str">
        <f>HYPERLINK("plots/20251231112652_3FT6Y119H04_05543_B21P_N_UFLEX98_M5358A8BA201511/dpll_52084/txpa_55228.png","plot")</f>
        <v>plot</v>
      </c>
    </row>
    <row r="1662" spans="1:29" hidden="1" x14ac:dyDescent="0.35">
      <c r="A1662" t="s">
        <v>47</v>
      </c>
      <c r="B1662">
        <v>52084</v>
      </c>
      <c r="C1662" t="s">
        <v>52</v>
      </c>
      <c r="D1662">
        <v>55229</v>
      </c>
      <c r="E1662" t="s">
        <v>362</v>
      </c>
      <c r="F1662">
        <v>7139</v>
      </c>
      <c r="G1662">
        <v>0.26393729659446308</v>
      </c>
      <c r="H1662">
        <v>4.4250380736780389E-114</v>
      </c>
      <c r="I1662">
        <v>8.041198219909554E-114</v>
      </c>
      <c r="J1662">
        <v>0.23032614045536329</v>
      </c>
      <c r="K1662">
        <v>1.363334349398985E-86</v>
      </c>
      <c r="L1662">
        <v>2.258857892631652E-86</v>
      </c>
      <c r="M1662">
        <v>0.1554245392535229</v>
      </c>
      <c r="N1662">
        <v>2.4634023325846191E-86</v>
      </c>
      <c r="O1662">
        <v>4.1287437441996758E-86</v>
      </c>
      <c r="P1662">
        <v>6.9662896533593574E-2</v>
      </c>
      <c r="Q1662">
        <v>0.80501595563074546</v>
      </c>
      <c r="R1662">
        <v>7.5914174788266076</v>
      </c>
      <c r="S1662">
        <v>0.32428669785958991</v>
      </c>
      <c r="T1662">
        <v>0.27430550480125859</v>
      </c>
      <c r="U1662">
        <v>4.2625965936405663</v>
      </c>
      <c r="V1662">
        <v>0.11023909988438001</v>
      </c>
      <c r="W1662">
        <v>11.02287574912453</v>
      </c>
      <c r="X1662">
        <v>0.33623226230755859</v>
      </c>
      <c r="Z1662" t="s">
        <v>392</v>
      </c>
      <c r="AA1662">
        <v>140</v>
      </c>
      <c r="AB1662" t="s">
        <v>2053</v>
      </c>
      <c r="AC1662" t="str">
        <f>HYPERLINK("plots/20251231112652_3FT6Y119H04_05543_B21P_N_UFLEX98_M5358A8BA201511/dpll_52084/txpa_55229.png","plot")</f>
        <v>plot</v>
      </c>
    </row>
    <row r="1663" spans="1:29" hidden="1" x14ac:dyDescent="0.35">
      <c r="A1663" t="s">
        <v>47</v>
      </c>
      <c r="B1663">
        <v>52084</v>
      </c>
      <c r="C1663" t="s">
        <v>52</v>
      </c>
      <c r="D1663">
        <v>55230</v>
      </c>
      <c r="E1663" t="s">
        <v>363</v>
      </c>
      <c r="F1663">
        <v>7139</v>
      </c>
      <c r="G1663">
        <v>0.31695205867750958</v>
      </c>
      <c r="H1663">
        <v>2.500991414550832E-166</v>
      </c>
      <c r="I1663">
        <v>7.4588391010427763E-166</v>
      </c>
      <c r="J1663">
        <v>0.3048829975346603</v>
      </c>
      <c r="K1663">
        <v>1.955487614471379E-153</v>
      </c>
      <c r="L1663">
        <v>5.7143067466108891E-153</v>
      </c>
      <c r="M1663">
        <v>0.20590501082255641</v>
      </c>
      <c r="N1663">
        <v>4.8076079395620751E-150</v>
      </c>
      <c r="O1663">
        <v>1.4212578573515869E-149</v>
      </c>
      <c r="P1663">
        <v>0.10045860749991151</v>
      </c>
      <c r="Q1663">
        <v>0.84335065306331669</v>
      </c>
      <c r="R1663">
        <v>7.3850351432604544</v>
      </c>
      <c r="S1663">
        <v>0.27818289604981572</v>
      </c>
      <c r="T1663">
        <v>0.21579858299843399</v>
      </c>
      <c r="U1663">
        <v>4.2625965936405663</v>
      </c>
      <c r="V1663">
        <v>0.11023909988438001</v>
      </c>
      <c r="W1663">
        <v>10.979898764252701</v>
      </c>
      <c r="X1663">
        <v>0.29332580223180971</v>
      </c>
      <c r="Z1663" t="s">
        <v>392</v>
      </c>
      <c r="AA1663">
        <v>140</v>
      </c>
      <c r="AB1663" t="s">
        <v>2054</v>
      </c>
      <c r="AC1663" t="str">
        <f>HYPERLINK("plots/20251231112652_3FT6Y119H04_05543_B21P_N_UFLEX98_M5358A8BA201511/dpll_52084/txpa_55230.png","plot")</f>
        <v>plot</v>
      </c>
    </row>
    <row r="1664" spans="1:29" hidden="1" x14ac:dyDescent="0.35">
      <c r="A1664" t="s">
        <v>47</v>
      </c>
      <c r="B1664">
        <v>52084</v>
      </c>
      <c r="C1664" t="s">
        <v>52</v>
      </c>
      <c r="D1664">
        <v>55231</v>
      </c>
      <c r="E1664" t="s">
        <v>364</v>
      </c>
      <c r="F1664">
        <v>7139</v>
      </c>
      <c r="G1664">
        <v>0.25502694454107122</v>
      </c>
      <c r="H1664">
        <v>2.2117015613139988E-106</v>
      </c>
      <c r="I1664">
        <v>3.7007679590303548E-106</v>
      </c>
      <c r="J1664">
        <v>0.21981581017540411</v>
      </c>
      <c r="K1664">
        <v>7.5594548424657951E-79</v>
      </c>
      <c r="L1664">
        <v>1.150944025564612E-78</v>
      </c>
      <c r="M1664">
        <v>0.14665305220189179</v>
      </c>
      <c r="N1664">
        <v>4.5056160189227041E-77</v>
      </c>
      <c r="O1664">
        <v>6.8599018666480811E-77</v>
      </c>
      <c r="P1664">
        <v>6.5038742441954595E-2</v>
      </c>
      <c r="Q1664">
        <v>0.8319059256957495</v>
      </c>
      <c r="R1664">
        <v>7.3923955696246484</v>
      </c>
      <c r="S1664">
        <v>0.34768839646615868</v>
      </c>
      <c r="T1664">
        <v>0.27984849336768891</v>
      </c>
      <c r="U1664">
        <v>4.2625965936405663</v>
      </c>
      <c r="V1664">
        <v>0.11023909988438001</v>
      </c>
      <c r="W1664">
        <v>10.93847493472475</v>
      </c>
      <c r="X1664">
        <v>0.35960341603203472</v>
      </c>
      <c r="Z1664" t="s">
        <v>392</v>
      </c>
      <c r="AA1664">
        <v>140</v>
      </c>
      <c r="AB1664" t="s">
        <v>2055</v>
      </c>
      <c r="AC1664" t="str">
        <f>HYPERLINK("plots/20251231112652_3FT6Y119H04_05543_B21P_N_UFLEX98_M5358A8BA201511/dpll_52084/txpa_55231.png","plot")</f>
        <v>plot</v>
      </c>
    </row>
    <row r="1665" spans="1:29" hidden="1" x14ac:dyDescent="0.35">
      <c r="A1665" t="s">
        <v>47</v>
      </c>
      <c r="B1665">
        <v>52084</v>
      </c>
      <c r="C1665" t="s">
        <v>52</v>
      </c>
      <c r="D1665">
        <v>55232</v>
      </c>
      <c r="E1665" t="s">
        <v>365</v>
      </c>
      <c r="F1665">
        <v>7139</v>
      </c>
      <c r="G1665">
        <v>0.33720888500368879</v>
      </c>
      <c r="H1665">
        <v>2.3523747472875571E-189</v>
      </c>
      <c r="I1665">
        <v>1.006459069092651E-188</v>
      </c>
      <c r="J1665">
        <v>0.32755384065382848</v>
      </c>
      <c r="K1665">
        <v>3.6881172058049701E-178</v>
      </c>
      <c r="L1665">
        <v>1.438365710263938E-177</v>
      </c>
      <c r="M1665">
        <v>0.22328397534758021</v>
      </c>
      <c r="N1665">
        <v>4.4068406335172807E-176</v>
      </c>
      <c r="O1665">
        <v>1.738730117660126E-175</v>
      </c>
      <c r="P1665">
        <v>0.11370983212543111</v>
      </c>
      <c r="Q1665">
        <v>0.82230651823347756</v>
      </c>
      <c r="R1665">
        <v>7.4359259410580307</v>
      </c>
      <c r="S1665">
        <v>0.25306257842954238</v>
      </c>
      <c r="T1665">
        <v>0.19531735013430601</v>
      </c>
      <c r="U1665">
        <v>4.2625965936405663</v>
      </c>
      <c r="V1665">
        <v>0.11023909988438001</v>
      </c>
      <c r="W1665">
        <v>10.94108690460849</v>
      </c>
      <c r="X1665">
        <v>0.26882545042704148</v>
      </c>
      <c r="Z1665" t="s">
        <v>392</v>
      </c>
      <c r="AA1665">
        <v>140</v>
      </c>
      <c r="AB1665" t="s">
        <v>2056</v>
      </c>
      <c r="AC1665" t="str">
        <f>HYPERLINK("plots/20251231112652_3FT6Y119H04_05543_B21P_N_UFLEX98_M5358A8BA201511/dpll_52084/txpa_55232.png","plot")</f>
        <v>plot</v>
      </c>
    </row>
    <row r="1666" spans="1:29" hidden="1" x14ac:dyDescent="0.35">
      <c r="A1666" t="s">
        <v>47</v>
      </c>
      <c r="B1666">
        <v>52084</v>
      </c>
      <c r="C1666" t="s">
        <v>52</v>
      </c>
      <c r="D1666">
        <v>55233</v>
      </c>
      <c r="E1666" t="s">
        <v>366</v>
      </c>
      <c r="F1666">
        <v>7139</v>
      </c>
      <c r="G1666">
        <v>0.28654022875515811</v>
      </c>
      <c r="H1666">
        <v>5.541510987999551E-135</v>
      </c>
      <c r="I1666">
        <v>1.1904856232693951E-134</v>
      </c>
      <c r="J1666">
        <v>0.23883439124344069</v>
      </c>
      <c r="K1666">
        <v>3.7345524110895909E-93</v>
      </c>
      <c r="L1666">
        <v>6.5290278359393891E-93</v>
      </c>
      <c r="M1666">
        <v>0.15966987252701689</v>
      </c>
      <c r="N1666">
        <v>5.205750633608561E-91</v>
      </c>
      <c r="O1666">
        <v>9.1484075259602794E-91</v>
      </c>
      <c r="P1666">
        <v>8.2105302695058308E-2</v>
      </c>
      <c r="Q1666">
        <v>0.75801413067980861</v>
      </c>
      <c r="R1666">
        <v>7.690765301539404</v>
      </c>
      <c r="S1666">
        <v>0.27937874893854198</v>
      </c>
      <c r="T1666">
        <v>0.2282099970747051</v>
      </c>
      <c r="U1666">
        <v>4.2625965936405663</v>
      </c>
      <c r="V1666">
        <v>0.11023909988438001</v>
      </c>
      <c r="W1666">
        <v>10.921873752906571</v>
      </c>
      <c r="X1666">
        <v>0.29162674933572907</v>
      </c>
      <c r="Z1666" t="s">
        <v>392</v>
      </c>
      <c r="AA1666">
        <v>140</v>
      </c>
      <c r="AB1666" t="s">
        <v>2057</v>
      </c>
      <c r="AC1666" t="str">
        <f>HYPERLINK("plots/20251231112652_3FT6Y119H04_05543_B21P_N_UFLEX98_M5358A8BA201511/dpll_52084/txpa_55233.png","plot")</f>
        <v>plot</v>
      </c>
    </row>
    <row r="1667" spans="1:29" hidden="1" x14ac:dyDescent="0.35">
      <c r="A1667" t="s">
        <v>47</v>
      </c>
      <c r="B1667">
        <v>52084</v>
      </c>
      <c r="C1667" t="s">
        <v>52</v>
      </c>
      <c r="D1667">
        <v>55234</v>
      </c>
      <c r="E1667" t="s">
        <v>367</v>
      </c>
      <c r="F1667">
        <v>7139</v>
      </c>
      <c r="G1667">
        <v>0.22496817558977331</v>
      </c>
      <c r="H1667">
        <v>1.3553333237698019E-82</v>
      </c>
      <c r="I1667">
        <v>1.880038290427605E-82</v>
      </c>
      <c r="J1667">
        <v>0.21486343798736771</v>
      </c>
      <c r="K1667">
        <v>2.4544687028495079E-75</v>
      </c>
      <c r="L1667">
        <v>3.676264792746531E-75</v>
      </c>
      <c r="M1667">
        <v>0.1447604673006746</v>
      </c>
      <c r="N1667">
        <v>3.8209450640601661E-75</v>
      </c>
      <c r="O1667">
        <v>5.7314175960902492E-75</v>
      </c>
      <c r="P1667">
        <v>5.0610680028191073E-2</v>
      </c>
      <c r="Q1667">
        <v>0.72816913928530846</v>
      </c>
      <c r="R1667">
        <v>8.1157828157068082</v>
      </c>
      <c r="S1667">
        <v>0.34764708560639468</v>
      </c>
      <c r="T1667">
        <v>0.27741365991893102</v>
      </c>
      <c r="U1667">
        <v>4.2625965936405663</v>
      </c>
      <c r="V1667">
        <v>0.11023909988438001</v>
      </c>
      <c r="W1667">
        <v>11.21967410841855</v>
      </c>
      <c r="X1667">
        <v>0.35681807112474651</v>
      </c>
      <c r="Z1667" t="s">
        <v>392</v>
      </c>
      <c r="AA1667">
        <v>140</v>
      </c>
      <c r="AB1667" t="s">
        <v>2058</v>
      </c>
      <c r="AC1667" t="str">
        <f>HYPERLINK("plots/20251231112652_3FT6Y119H04_05543_B21P_N_UFLEX98_M5358A8BA201511/dpll_52084/txpa_55234.png","plot")</f>
        <v>plot</v>
      </c>
    </row>
    <row r="1668" spans="1:29" hidden="1" x14ac:dyDescent="0.35">
      <c r="A1668" t="s">
        <v>47</v>
      </c>
      <c r="B1668">
        <v>52084</v>
      </c>
      <c r="C1668" t="s">
        <v>52</v>
      </c>
      <c r="D1668">
        <v>55235</v>
      </c>
      <c r="E1668" t="s">
        <v>368</v>
      </c>
      <c r="F1668">
        <v>7139</v>
      </c>
      <c r="G1668">
        <v>0.21060669187726769</v>
      </c>
      <c r="H1668">
        <v>2.18017969295071E-72</v>
      </c>
      <c r="I1668">
        <v>2.8306046205531618E-72</v>
      </c>
      <c r="J1668">
        <v>0.2043456562894628</v>
      </c>
      <c r="K1668">
        <v>3.6228868361985229E-68</v>
      </c>
      <c r="L1668">
        <v>5.1164446405366323E-68</v>
      </c>
      <c r="M1668">
        <v>0.13883103351689671</v>
      </c>
      <c r="N1668">
        <v>2.8998996502173281E-69</v>
      </c>
      <c r="O1668">
        <v>4.1357218640230238E-69</v>
      </c>
      <c r="P1668">
        <v>4.4355178663486393E-2</v>
      </c>
      <c r="Q1668">
        <v>0.68940829299664286</v>
      </c>
      <c r="R1668">
        <v>8.6263430323807704</v>
      </c>
      <c r="S1668">
        <v>0.35274253488467272</v>
      </c>
      <c r="T1668">
        <v>0.29048131272373418</v>
      </c>
      <c r="U1668">
        <v>4.2625965936405663</v>
      </c>
      <c r="V1668">
        <v>0.11023909988438001</v>
      </c>
      <c r="W1668">
        <v>11.56501247373582</v>
      </c>
      <c r="X1668">
        <v>0.36086103910252848</v>
      </c>
      <c r="Z1668" t="s">
        <v>392</v>
      </c>
      <c r="AA1668">
        <v>140</v>
      </c>
      <c r="AB1668" t="s">
        <v>2059</v>
      </c>
      <c r="AC1668" t="str">
        <f>HYPERLINK("plots/20251231112652_3FT6Y119H04_05543_B21P_N_UFLEX98_M5358A8BA201511/dpll_52084/txpa_55235.png","plot")</f>
        <v>plot</v>
      </c>
    </row>
    <row r="1669" spans="1:29" hidden="1" x14ac:dyDescent="0.35">
      <c r="A1669" t="s">
        <v>47</v>
      </c>
      <c r="B1669">
        <v>52084</v>
      </c>
      <c r="C1669" t="s">
        <v>52</v>
      </c>
      <c r="D1669">
        <v>55236</v>
      </c>
      <c r="E1669" t="s">
        <v>369</v>
      </c>
      <c r="F1669">
        <v>7139</v>
      </c>
      <c r="G1669">
        <v>0.32936016467154111</v>
      </c>
      <c r="H1669">
        <v>3.1846739557813938E-180</v>
      </c>
      <c r="I1669">
        <v>1.13706316590223E-179</v>
      </c>
      <c r="J1669">
        <v>0.31098688057130403</v>
      </c>
      <c r="K1669">
        <v>7.0203332359584283E-160</v>
      </c>
      <c r="L1669">
        <v>2.2385590884471221E-159</v>
      </c>
      <c r="M1669">
        <v>0.2096101026080579</v>
      </c>
      <c r="N1669">
        <v>2.028731804157348E-155</v>
      </c>
      <c r="O1669">
        <v>6.4285439044235966E-155</v>
      </c>
      <c r="P1669">
        <v>0.1084781180724646</v>
      </c>
      <c r="Q1669">
        <v>0.8133779541773789</v>
      </c>
      <c r="R1669">
        <v>7.7999935048060518</v>
      </c>
      <c r="S1669">
        <v>0.25703518017483618</v>
      </c>
      <c r="T1669">
        <v>0.20379598254700179</v>
      </c>
      <c r="U1669">
        <v>4.2625965936405663</v>
      </c>
      <c r="V1669">
        <v>0.11023909988438001</v>
      </c>
      <c r="W1669">
        <v>11.267095601624881</v>
      </c>
      <c r="X1669">
        <v>0.27224316463326242</v>
      </c>
      <c r="Z1669" t="s">
        <v>392</v>
      </c>
      <c r="AA1669">
        <v>140</v>
      </c>
      <c r="AB1669" t="s">
        <v>2060</v>
      </c>
      <c r="AC1669" t="str">
        <f>HYPERLINK("plots/20251231112652_3FT6Y119H04_05543_B21P_N_UFLEX98_M5358A8BA201511/dpll_52084/txpa_55236.png","plot")</f>
        <v>plot</v>
      </c>
    </row>
    <row r="1670" spans="1:29" hidden="1" x14ac:dyDescent="0.35">
      <c r="A1670" t="s">
        <v>47</v>
      </c>
      <c r="B1670">
        <v>52084</v>
      </c>
      <c r="C1670" t="s">
        <v>52</v>
      </c>
      <c r="D1670">
        <v>55237</v>
      </c>
      <c r="E1670" t="s">
        <v>370</v>
      </c>
      <c r="F1670">
        <v>7139</v>
      </c>
      <c r="G1670">
        <v>0.2704716308190061</v>
      </c>
      <c r="H1670">
        <v>6.4167787013315749E-120</v>
      </c>
      <c r="I1670">
        <v>1.200482214603361E-119</v>
      </c>
      <c r="J1670">
        <v>0.2356109343834295</v>
      </c>
      <c r="K1670">
        <v>1.2291754314622601E-90</v>
      </c>
      <c r="L1670">
        <v>2.1305707478679182E-90</v>
      </c>
      <c r="M1670">
        <v>0.15896026951008191</v>
      </c>
      <c r="N1670">
        <v>3.2113634921463951E-90</v>
      </c>
      <c r="O1670">
        <v>5.5950559811622762E-90</v>
      </c>
      <c r="P1670">
        <v>7.3154903077892727E-2</v>
      </c>
      <c r="Q1670">
        <v>0.80414772392869149</v>
      </c>
      <c r="R1670">
        <v>8.0377407601765931</v>
      </c>
      <c r="S1670">
        <v>0.31551712441845953</v>
      </c>
      <c r="T1670">
        <v>0.26511460205246401</v>
      </c>
      <c r="U1670">
        <v>4.2625965936405663</v>
      </c>
      <c r="V1670">
        <v>0.11023909988438001</v>
      </c>
      <c r="W1670">
        <v>11.465498108978849</v>
      </c>
      <c r="X1670">
        <v>0.32775533978013988</v>
      </c>
      <c r="Z1670" t="s">
        <v>392</v>
      </c>
      <c r="AA1670">
        <v>140</v>
      </c>
      <c r="AB1670" t="s">
        <v>2061</v>
      </c>
      <c r="AC1670" t="str">
        <f>HYPERLINK("plots/20251231112652_3FT6Y119H04_05543_B21P_N_UFLEX98_M5358A8BA201511/dpll_52084/txpa_55237.png","plot")</f>
        <v>plot</v>
      </c>
    </row>
    <row r="1671" spans="1:29" hidden="1" x14ac:dyDescent="0.35">
      <c r="A1671" t="s">
        <v>47</v>
      </c>
      <c r="B1671">
        <v>52084</v>
      </c>
      <c r="C1671" t="s">
        <v>52</v>
      </c>
      <c r="D1671">
        <v>55238</v>
      </c>
      <c r="E1671" t="s">
        <v>371</v>
      </c>
      <c r="F1671">
        <v>7139</v>
      </c>
      <c r="G1671">
        <v>0.32244455168456487</v>
      </c>
      <c r="H1671">
        <v>2.1299293180369239E-172</v>
      </c>
      <c r="I1671">
        <v>6.9894767912279648E-172</v>
      </c>
      <c r="J1671">
        <v>0.31009912471577439</v>
      </c>
      <c r="K1671">
        <v>6.2130296499704024E-159</v>
      </c>
      <c r="L1671">
        <v>1.9565254860465799E-158</v>
      </c>
      <c r="M1671">
        <v>0.2098751167010903</v>
      </c>
      <c r="N1671">
        <v>8.2966765992822601E-156</v>
      </c>
      <c r="O1671">
        <v>2.645544047695664E-155</v>
      </c>
      <c r="P1671">
        <v>0.1039704889110601</v>
      </c>
      <c r="Q1671">
        <v>0.84293522848814251</v>
      </c>
      <c r="R1671">
        <v>7.8342681581223497</v>
      </c>
      <c r="S1671">
        <v>0.27277562375544162</v>
      </c>
      <c r="T1671">
        <v>0.21140031727426509</v>
      </c>
      <c r="U1671">
        <v>4.2625965936405663</v>
      </c>
      <c r="V1671">
        <v>0.11023909988438001</v>
      </c>
      <c r="W1671">
        <v>11.42736099173554</v>
      </c>
      <c r="X1671">
        <v>0.28818728790391052</v>
      </c>
      <c r="Z1671" t="s">
        <v>392</v>
      </c>
      <c r="AA1671">
        <v>140</v>
      </c>
      <c r="AB1671" t="s">
        <v>2062</v>
      </c>
      <c r="AC1671" t="str">
        <f>HYPERLINK("plots/20251231112652_3FT6Y119H04_05543_B21P_N_UFLEX98_M5358A8BA201511/dpll_52084/txpa_55238.png","plot")</f>
        <v>plot</v>
      </c>
    </row>
    <row r="1672" spans="1:29" hidden="1" x14ac:dyDescent="0.35">
      <c r="A1672" t="s">
        <v>47</v>
      </c>
      <c r="B1672">
        <v>52084</v>
      </c>
      <c r="C1672" t="s">
        <v>52</v>
      </c>
      <c r="D1672">
        <v>55239</v>
      </c>
      <c r="E1672" t="s">
        <v>372</v>
      </c>
      <c r="F1672">
        <v>7139</v>
      </c>
      <c r="G1672">
        <v>0.26225000672837367</v>
      </c>
      <c r="H1672">
        <v>1.339544373545913E-112</v>
      </c>
      <c r="I1672">
        <v>2.3829789382027288E-112</v>
      </c>
      <c r="J1672">
        <v>0.22656792461864569</v>
      </c>
      <c r="K1672">
        <v>8.8998787942435047E-84</v>
      </c>
      <c r="L1672">
        <v>1.443916335578066E-83</v>
      </c>
      <c r="M1672">
        <v>0.1512121334100682</v>
      </c>
      <c r="N1672">
        <v>8.0603404036569345E-82</v>
      </c>
      <c r="O1672">
        <v>1.295274987212065E-81</v>
      </c>
      <c r="P1672">
        <v>6.8775066029032064E-2</v>
      </c>
      <c r="Q1672">
        <v>0.83169442068774768</v>
      </c>
      <c r="R1672">
        <v>7.8420558303894206</v>
      </c>
      <c r="S1672">
        <v>0.33735007991088573</v>
      </c>
      <c r="T1672">
        <v>0.27152201218085131</v>
      </c>
      <c r="U1672">
        <v>4.2625965936405663</v>
      </c>
      <c r="V1672">
        <v>0.11023909988438001</v>
      </c>
      <c r="W1672">
        <v>11.387233634962881</v>
      </c>
      <c r="X1672">
        <v>0.3496100742160953</v>
      </c>
      <c r="Z1672" t="s">
        <v>392</v>
      </c>
      <c r="AA1672">
        <v>140</v>
      </c>
      <c r="AB1672" t="s">
        <v>2063</v>
      </c>
      <c r="AC1672" t="str">
        <f>HYPERLINK("plots/20251231112652_3FT6Y119H04_05543_B21P_N_UFLEX98_M5358A8BA201511/dpll_52084/txpa_55239.png","plot")</f>
        <v>plot</v>
      </c>
    </row>
    <row r="1673" spans="1:29" hidden="1" x14ac:dyDescent="0.35">
      <c r="A1673" t="s">
        <v>47</v>
      </c>
      <c r="B1673">
        <v>52084</v>
      </c>
      <c r="C1673" t="s">
        <v>52</v>
      </c>
      <c r="D1673">
        <v>55240</v>
      </c>
      <c r="E1673" t="s">
        <v>373</v>
      </c>
      <c r="F1673">
        <v>7139</v>
      </c>
      <c r="G1673">
        <v>0.34260170139638652</v>
      </c>
      <c r="H1673">
        <v>8.724745774269909E-196</v>
      </c>
      <c r="I1673">
        <v>4.2128058167188987E-195</v>
      </c>
      <c r="J1673">
        <v>0.33156337136369102</v>
      </c>
      <c r="K1673">
        <v>9.2640837345307826E-183</v>
      </c>
      <c r="L1673">
        <v>3.7575123627256858E-182</v>
      </c>
      <c r="M1673">
        <v>0.2265400126157264</v>
      </c>
      <c r="N1673">
        <v>3.4057142993859538E-181</v>
      </c>
      <c r="O1673">
        <v>1.4038188209664051E-180</v>
      </c>
      <c r="P1673">
        <v>0.1173759257996988</v>
      </c>
      <c r="Q1673">
        <v>0.82140549646967309</v>
      </c>
      <c r="R1673">
        <v>7.8846951202621494</v>
      </c>
      <c r="S1673">
        <v>0.24829113460296909</v>
      </c>
      <c r="T1673">
        <v>0.1915314929643257</v>
      </c>
      <c r="U1673">
        <v>4.2625965936405663</v>
      </c>
      <c r="V1673">
        <v>0.11023909988438001</v>
      </c>
      <c r="W1673">
        <v>11.386015391511419</v>
      </c>
      <c r="X1673">
        <v>0.26430400725340403</v>
      </c>
      <c r="Z1673" t="s">
        <v>392</v>
      </c>
      <c r="AA1673">
        <v>140</v>
      </c>
      <c r="AB1673" t="s">
        <v>2064</v>
      </c>
      <c r="AC1673" t="str">
        <f>HYPERLINK("plots/20251231112652_3FT6Y119H04_05543_B21P_N_UFLEX98_M5358A8BA201511/dpll_52084/txpa_55240.png","plot")</f>
        <v>plot</v>
      </c>
    </row>
    <row r="1674" spans="1:29" hidden="1" x14ac:dyDescent="0.35">
      <c r="A1674" t="s">
        <v>47</v>
      </c>
      <c r="B1674">
        <v>52084</v>
      </c>
      <c r="C1674" t="s">
        <v>52</v>
      </c>
      <c r="D1674">
        <v>55241</v>
      </c>
      <c r="E1674" t="s">
        <v>374</v>
      </c>
      <c r="F1674">
        <v>7139</v>
      </c>
      <c r="G1674">
        <v>0.29223602241136071</v>
      </c>
      <c r="H1674">
        <v>1.4424591202441191E-140</v>
      </c>
      <c r="I1674">
        <v>3.257580284916561E-140</v>
      </c>
      <c r="J1674">
        <v>0.24467608348877301</v>
      </c>
      <c r="K1674">
        <v>8.1779642090018493E-98</v>
      </c>
      <c r="L1674">
        <v>1.5022564688275141E-97</v>
      </c>
      <c r="M1674">
        <v>0.163542817933266</v>
      </c>
      <c r="N1674">
        <v>2.1993802477155009E-95</v>
      </c>
      <c r="O1674">
        <v>4.0401658898252132E-95</v>
      </c>
      <c r="P1674">
        <v>8.5401892794813292E-2</v>
      </c>
      <c r="Q1674">
        <v>0.75843146536048567</v>
      </c>
      <c r="R1674">
        <v>8.1407610517981492</v>
      </c>
      <c r="S1674">
        <v>0.2735917408437219</v>
      </c>
      <c r="T1674">
        <v>0.2228443128265532</v>
      </c>
      <c r="U1674">
        <v>4.2625965936405663</v>
      </c>
      <c r="V1674">
        <v>0.11023909988438001</v>
      </c>
      <c r="W1674">
        <v>11.37364843255358</v>
      </c>
      <c r="X1674">
        <v>0.28610026024663349</v>
      </c>
      <c r="Z1674" t="s">
        <v>392</v>
      </c>
      <c r="AA1674">
        <v>140</v>
      </c>
      <c r="AB1674" t="s">
        <v>2065</v>
      </c>
      <c r="AC1674" t="str">
        <f>HYPERLINK("plots/20251231112652_3FT6Y119H04_05543_B21P_N_UFLEX98_M5358A8BA201511/dpll_52084/txpa_55241.png","plot")</f>
        <v>plot</v>
      </c>
    </row>
    <row r="1675" spans="1:29" hidden="1" x14ac:dyDescent="0.35">
      <c r="A1675" t="s">
        <v>47</v>
      </c>
      <c r="B1675">
        <v>52084</v>
      </c>
      <c r="C1675" t="s">
        <v>52</v>
      </c>
      <c r="D1675">
        <v>55242</v>
      </c>
      <c r="E1675" t="s">
        <v>375</v>
      </c>
      <c r="F1675">
        <v>7139</v>
      </c>
      <c r="G1675">
        <v>0.23116000703615319</v>
      </c>
      <c r="H1675">
        <v>3.1850733370329428E-87</v>
      </c>
      <c r="I1675">
        <v>4.5681249840896808E-87</v>
      </c>
      <c r="J1675">
        <v>0.2177226048503797</v>
      </c>
      <c r="K1675">
        <v>2.3623682200074621E-77</v>
      </c>
      <c r="L1675">
        <v>3.5752856344590537E-77</v>
      </c>
      <c r="M1675">
        <v>0.1467774564825631</v>
      </c>
      <c r="N1675">
        <v>3.3595097839838149E-77</v>
      </c>
      <c r="O1675">
        <v>5.1226209337738167E-77</v>
      </c>
      <c r="P1675">
        <v>5.3434948852954377E-2</v>
      </c>
      <c r="Q1675">
        <v>0.73082422362269783</v>
      </c>
      <c r="R1675">
        <v>8.5400248294206911</v>
      </c>
      <c r="S1675">
        <v>0.33906323941862437</v>
      </c>
      <c r="T1675">
        <v>0.27144019489428101</v>
      </c>
      <c r="U1675">
        <v>4.2625965936405663</v>
      </c>
      <c r="V1675">
        <v>0.11023909988438001</v>
      </c>
      <c r="W1675">
        <v>11.65523367558481</v>
      </c>
      <c r="X1675">
        <v>0.34852657091876088</v>
      </c>
      <c r="Z1675" t="s">
        <v>392</v>
      </c>
      <c r="AA1675">
        <v>140</v>
      </c>
      <c r="AB1675" t="s">
        <v>2066</v>
      </c>
      <c r="AC1675" t="str">
        <f>HYPERLINK("plots/20251231112652_3FT6Y119H04_05543_B21P_N_UFLEX98_M5358A8BA201511/dpll_52084/txpa_55242.png","plot")</f>
        <v>plot</v>
      </c>
    </row>
    <row r="1676" spans="1:29" hidden="1" x14ac:dyDescent="0.35">
      <c r="A1676" t="s">
        <v>47</v>
      </c>
      <c r="B1676">
        <v>52084</v>
      </c>
      <c r="C1676" t="s">
        <v>52</v>
      </c>
      <c r="D1676">
        <v>55243</v>
      </c>
      <c r="E1676" t="s">
        <v>376</v>
      </c>
      <c r="F1676">
        <v>7139</v>
      </c>
      <c r="G1676">
        <v>0.23080401442323151</v>
      </c>
      <c r="H1676">
        <v>5.9295257799256221E-87</v>
      </c>
      <c r="I1676">
        <v>8.4922869220968662E-87</v>
      </c>
      <c r="J1676">
        <v>0.22171888795563829</v>
      </c>
      <c r="K1676">
        <v>3.2048278791372859E-80</v>
      </c>
      <c r="L1676">
        <v>4.9841955052840609E-80</v>
      </c>
      <c r="M1676">
        <v>0.15117753348123919</v>
      </c>
      <c r="N1676">
        <v>8.7697366106897829E-82</v>
      </c>
      <c r="O1676">
        <v>1.4026045620251479E-81</v>
      </c>
      <c r="P1676">
        <v>5.3270493073879252E-2</v>
      </c>
      <c r="Q1676">
        <v>0.72383032479402254</v>
      </c>
      <c r="R1676">
        <v>9.7958341398002435</v>
      </c>
      <c r="S1676">
        <v>0.33636562880233339</v>
      </c>
      <c r="T1676">
        <v>0.27524308382649182</v>
      </c>
      <c r="U1676">
        <v>4.2625965936405663</v>
      </c>
      <c r="V1676">
        <v>0.11023909988438001</v>
      </c>
      <c r="W1676">
        <v>12.88123081664099</v>
      </c>
      <c r="X1676">
        <v>0.34572363775263631</v>
      </c>
      <c r="Z1676" t="s">
        <v>392</v>
      </c>
      <c r="AA1676">
        <v>140</v>
      </c>
      <c r="AB1676" t="s">
        <v>2067</v>
      </c>
      <c r="AC1676" t="str">
        <f>HYPERLINK("plots/20251231112652_3FT6Y119H04_05543_B21P_N_UFLEX98_M5358A8BA201511/dpll_52084/txpa_55243.png","plot")</f>
        <v>plot</v>
      </c>
    </row>
    <row r="1677" spans="1:29" hidden="1" x14ac:dyDescent="0.35">
      <c r="A1677" t="s">
        <v>47</v>
      </c>
      <c r="B1677">
        <v>52084</v>
      </c>
      <c r="C1677" t="s">
        <v>52</v>
      </c>
      <c r="D1677">
        <v>55244</v>
      </c>
      <c r="E1677" t="s">
        <v>377</v>
      </c>
      <c r="F1677">
        <v>7139</v>
      </c>
      <c r="G1677">
        <v>0.33760617786729841</v>
      </c>
      <c r="H1677">
        <v>7.9822126728829675E-190</v>
      </c>
      <c r="I1677">
        <v>3.4442398511929059E-189</v>
      </c>
      <c r="J1677">
        <v>0.33439578187472818</v>
      </c>
      <c r="K1677">
        <v>4.734401369757368E-186</v>
      </c>
      <c r="L1677">
        <v>2.0170936928294001E-185</v>
      </c>
      <c r="M1677">
        <v>0.22688554236288</v>
      </c>
      <c r="N1677">
        <v>9.6598176552797925E-182</v>
      </c>
      <c r="O1677">
        <v>4.047543430765996E-181</v>
      </c>
      <c r="P1677">
        <v>0.11397793133416589</v>
      </c>
      <c r="Q1677">
        <v>0.80939173120571173</v>
      </c>
      <c r="R1677">
        <v>9.2605320023586</v>
      </c>
      <c r="S1677">
        <v>0.24875733019318291</v>
      </c>
      <c r="T1677">
        <v>0.19164583232767851</v>
      </c>
      <c r="U1677">
        <v>4.2625965936405663</v>
      </c>
      <c r="V1677">
        <v>0.11023909988438001</v>
      </c>
      <c r="W1677">
        <v>12.71064243871691</v>
      </c>
      <c r="X1677">
        <v>0.26429201167358302</v>
      </c>
      <c r="Z1677" t="s">
        <v>392</v>
      </c>
      <c r="AA1677">
        <v>140</v>
      </c>
      <c r="AB1677" t="s">
        <v>2068</v>
      </c>
      <c r="AC1677" t="str">
        <f>HYPERLINK("plots/20251231112652_3FT6Y119H04_05543_B21P_N_UFLEX98_M5358A8BA201511/dpll_52084/txpa_55244.png","plot")</f>
        <v>plot</v>
      </c>
    </row>
    <row r="1678" spans="1:29" hidden="1" x14ac:dyDescent="0.35">
      <c r="A1678" t="s">
        <v>47</v>
      </c>
      <c r="B1678">
        <v>52084</v>
      </c>
      <c r="C1678" t="s">
        <v>52</v>
      </c>
      <c r="D1678">
        <v>55245</v>
      </c>
      <c r="E1678" t="s">
        <v>378</v>
      </c>
      <c r="F1678">
        <v>7139</v>
      </c>
      <c r="G1678">
        <v>0.28994677522589463</v>
      </c>
      <c r="H1678">
        <v>2.6255278886550921E-138</v>
      </c>
      <c r="I1678">
        <v>5.7875766936875302E-138</v>
      </c>
      <c r="J1678">
        <v>0.26518230563502032</v>
      </c>
      <c r="K1678">
        <v>3.5165370621939218E-115</v>
      </c>
      <c r="L1678">
        <v>7.306902830050486E-115</v>
      </c>
      <c r="M1678">
        <v>0.17878416327413241</v>
      </c>
      <c r="N1678">
        <v>1.301721100643192E-113</v>
      </c>
      <c r="O1678">
        <v>2.7271594959756132E-113</v>
      </c>
      <c r="P1678">
        <v>8.4069132463895427E-2</v>
      </c>
      <c r="Q1678">
        <v>0.80148997762201646</v>
      </c>
      <c r="R1678">
        <v>9.4176455465086164</v>
      </c>
      <c r="S1678">
        <v>0.29161939195442249</v>
      </c>
      <c r="T1678">
        <v>0.2347699617905564</v>
      </c>
      <c r="U1678">
        <v>4.2625965936405663</v>
      </c>
      <c r="V1678">
        <v>0.11023909988438001</v>
      </c>
      <c r="W1678">
        <v>12.834073994957279</v>
      </c>
      <c r="X1678">
        <v>0.30473018239491051</v>
      </c>
      <c r="Z1678" t="s">
        <v>392</v>
      </c>
      <c r="AA1678">
        <v>140</v>
      </c>
      <c r="AB1678" t="s">
        <v>2069</v>
      </c>
      <c r="AC1678" t="str">
        <f>HYPERLINK("plots/20251231112652_3FT6Y119H04_05543_B21P_N_UFLEX98_M5358A8BA201511/dpll_52084/txpa_55245.png","plot")</f>
        <v>plot</v>
      </c>
    </row>
    <row r="1679" spans="1:29" hidden="1" x14ac:dyDescent="0.35">
      <c r="A1679" t="s">
        <v>47</v>
      </c>
      <c r="B1679">
        <v>52084</v>
      </c>
      <c r="C1679" t="s">
        <v>52</v>
      </c>
      <c r="D1679">
        <v>55246</v>
      </c>
      <c r="E1679" t="s">
        <v>379</v>
      </c>
      <c r="F1679">
        <v>7139</v>
      </c>
      <c r="G1679">
        <v>0.34345483392680959</v>
      </c>
      <c r="H1679">
        <v>8.158759913617007E-197</v>
      </c>
      <c r="I1679">
        <v>4.1159117176157438E-196</v>
      </c>
      <c r="J1679">
        <v>0.33695603934077861</v>
      </c>
      <c r="K1679">
        <v>4.6759631644861439E-189</v>
      </c>
      <c r="L1679">
        <v>2.0704919863707201E-188</v>
      </c>
      <c r="M1679">
        <v>0.2310302176739322</v>
      </c>
      <c r="N1679">
        <v>2.2937882064850511E-188</v>
      </c>
      <c r="O1679">
        <v>1.015677397980717E-187</v>
      </c>
      <c r="P1679">
        <v>0.1179612229476924</v>
      </c>
      <c r="Q1679">
        <v>0.84275854912882275</v>
      </c>
      <c r="R1679">
        <v>9.224532754358588</v>
      </c>
      <c r="S1679">
        <v>0.25402859848625792</v>
      </c>
      <c r="T1679">
        <v>0.19347258436019901</v>
      </c>
      <c r="U1679">
        <v>4.2625965936405663</v>
      </c>
      <c r="V1679">
        <v>0.11023909988438001</v>
      </c>
      <c r="W1679">
        <v>12.81687247513657</v>
      </c>
      <c r="X1679">
        <v>0.27050119753337237</v>
      </c>
      <c r="Z1679" t="s">
        <v>392</v>
      </c>
      <c r="AA1679">
        <v>140</v>
      </c>
      <c r="AB1679" t="s">
        <v>2070</v>
      </c>
      <c r="AC1679" t="str">
        <f>HYPERLINK("plots/20251231112652_3FT6Y119H04_05543_B21P_N_UFLEX98_M5358A8BA201511/dpll_52084/txpa_55246.png","plot")</f>
        <v>plot</v>
      </c>
    </row>
    <row r="1680" spans="1:29" hidden="1" x14ac:dyDescent="0.35">
      <c r="A1680" t="s">
        <v>47</v>
      </c>
      <c r="B1680">
        <v>52084</v>
      </c>
      <c r="C1680" t="s">
        <v>52</v>
      </c>
      <c r="D1680">
        <v>55247</v>
      </c>
      <c r="E1680" t="s">
        <v>380</v>
      </c>
      <c r="F1680">
        <v>7139</v>
      </c>
      <c r="G1680">
        <v>0.29228027331378431</v>
      </c>
      <c r="H1680">
        <v>1.3037930561342901E-140</v>
      </c>
      <c r="I1680">
        <v>2.9509958904468069E-140</v>
      </c>
      <c r="J1680">
        <v>0.2596610575351489</v>
      </c>
      <c r="K1680">
        <v>2.389674275271293E-110</v>
      </c>
      <c r="L1680">
        <v>4.7982766636140407E-110</v>
      </c>
      <c r="M1680">
        <v>0.17423528460670301</v>
      </c>
      <c r="N1680">
        <v>5.2946651731332237E-108</v>
      </c>
      <c r="O1680">
        <v>1.063126828823186E-107</v>
      </c>
      <c r="P1680">
        <v>8.5427758168380455E-2</v>
      </c>
      <c r="Q1680">
        <v>0.82779277864891299</v>
      </c>
      <c r="R1680">
        <v>9.259971968360194</v>
      </c>
      <c r="S1680">
        <v>0.29856326816010742</v>
      </c>
      <c r="T1680">
        <v>0.23864888606867629</v>
      </c>
      <c r="U1680">
        <v>4.2625965936405663</v>
      </c>
      <c r="V1680">
        <v>0.11023909988438001</v>
      </c>
      <c r="W1680">
        <v>12.78851864686931</v>
      </c>
      <c r="X1680">
        <v>0.31221789200626932</v>
      </c>
      <c r="Z1680" t="s">
        <v>392</v>
      </c>
      <c r="AA1680">
        <v>140</v>
      </c>
      <c r="AB1680" t="s">
        <v>2071</v>
      </c>
      <c r="AC1680" t="str">
        <f>HYPERLINK("plots/20251231112652_3FT6Y119H04_05543_B21P_N_UFLEX98_M5358A8BA201511/dpll_52084/txpa_55247.png","plot")</f>
        <v>plot</v>
      </c>
    </row>
    <row r="1681" spans="1:29" hidden="1" x14ac:dyDescent="0.35">
      <c r="A1681" t="s">
        <v>47</v>
      </c>
      <c r="B1681">
        <v>52084</v>
      </c>
      <c r="C1681" t="s">
        <v>52</v>
      </c>
      <c r="D1681">
        <v>55248</v>
      </c>
      <c r="E1681" t="s">
        <v>381</v>
      </c>
      <c r="F1681">
        <v>7139</v>
      </c>
      <c r="G1681">
        <v>0.36007751478183281</v>
      </c>
      <c r="H1681">
        <v>1.606232622183341E-217</v>
      </c>
      <c r="I1681">
        <v>1.243297617476265E-216</v>
      </c>
      <c r="J1681">
        <v>0.35229292658782918</v>
      </c>
      <c r="K1681">
        <v>1.144397071991826E-207</v>
      </c>
      <c r="L1681">
        <v>6.2054472245973868E-207</v>
      </c>
      <c r="M1681">
        <v>0.24343490875104101</v>
      </c>
      <c r="N1681">
        <v>6.6049885991066644E-209</v>
      </c>
      <c r="O1681">
        <v>3.871363259823212E-208</v>
      </c>
      <c r="P1681">
        <v>0.129655816651461</v>
      </c>
      <c r="Q1681">
        <v>0.82259753473334041</v>
      </c>
      <c r="R1681">
        <v>9.2521287466144333</v>
      </c>
      <c r="S1681">
        <v>0.23493198928272321</v>
      </c>
      <c r="T1681">
        <v>0.1787611416755131</v>
      </c>
      <c r="U1681">
        <v>4.2625965936405663</v>
      </c>
      <c r="V1681">
        <v>0.11023909988438001</v>
      </c>
      <c r="W1681">
        <v>12.7585301961059</v>
      </c>
      <c r="X1681">
        <v>0.25184136213297581</v>
      </c>
      <c r="Z1681" t="s">
        <v>392</v>
      </c>
      <c r="AA1681">
        <v>140</v>
      </c>
      <c r="AB1681" t="s">
        <v>2072</v>
      </c>
      <c r="AC1681" t="str">
        <f>HYPERLINK("plots/20251231112652_3FT6Y119H04_05543_B21P_N_UFLEX98_M5358A8BA201511/dpll_52084/txpa_55248.png","plot")</f>
        <v>plot</v>
      </c>
    </row>
    <row r="1682" spans="1:29" hidden="1" x14ac:dyDescent="0.35">
      <c r="A1682" t="s">
        <v>47</v>
      </c>
      <c r="B1682">
        <v>52084</v>
      </c>
      <c r="C1682" t="s">
        <v>52</v>
      </c>
      <c r="D1682">
        <v>55249</v>
      </c>
      <c r="E1682" t="s">
        <v>382</v>
      </c>
      <c r="F1682">
        <v>7139</v>
      </c>
      <c r="G1682">
        <v>0.31109827368368542</v>
      </c>
      <c r="H1682">
        <v>5.3371100529186493E-160</v>
      </c>
      <c r="I1682">
        <v>1.4786419654807411E-159</v>
      </c>
      <c r="J1682">
        <v>0.27280695450343229</v>
      </c>
      <c r="K1682">
        <v>4.7939711558035778E-122</v>
      </c>
      <c r="L1682">
        <v>1.061372653271797E-121</v>
      </c>
      <c r="M1682">
        <v>0.1823792809123074</v>
      </c>
      <c r="N1682">
        <v>3.7981041452325612E-118</v>
      </c>
      <c r="O1682">
        <v>8.3723426157952538E-118</v>
      </c>
      <c r="P1682">
        <v>9.6782135888969237E-2</v>
      </c>
      <c r="Q1682">
        <v>0.76444305833923176</v>
      </c>
      <c r="R1682">
        <v>9.5277426592103023</v>
      </c>
      <c r="S1682">
        <v>0.25742400264368748</v>
      </c>
      <c r="T1682">
        <v>0.20493645004105121</v>
      </c>
      <c r="U1682">
        <v>4.2625965936405663</v>
      </c>
      <c r="V1682">
        <v>0.11023909988438001</v>
      </c>
      <c r="W1682">
        <v>12.786255035719289</v>
      </c>
      <c r="X1682">
        <v>0.27088390323201877</v>
      </c>
      <c r="Z1682" t="s">
        <v>392</v>
      </c>
      <c r="AA1682">
        <v>140</v>
      </c>
      <c r="AB1682" t="s">
        <v>2073</v>
      </c>
      <c r="AC1682" t="str">
        <f>HYPERLINK("plots/20251231112652_3FT6Y119H04_05543_B21P_N_UFLEX98_M5358A8BA201511/dpll_52084/txpa_55249.png","plot")</f>
        <v>plot</v>
      </c>
    </row>
    <row r="1683" spans="1:29" hidden="1" x14ac:dyDescent="0.35">
      <c r="A1683" t="s">
        <v>47</v>
      </c>
      <c r="B1683">
        <v>52084</v>
      </c>
      <c r="C1683" t="s">
        <v>52</v>
      </c>
      <c r="D1683">
        <v>55250</v>
      </c>
      <c r="E1683" t="s">
        <v>383</v>
      </c>
      <c r="F1683">
        <v>7139</v>
      </c>
      <c r="G1683">
        <v>0.25264320695134479</v>
      </c>
      <c r="H1683">
        <v>2.256438918179745E-104</v>
      </c>
      <c r="I1683">
        <v>3.7386095801213417E-104</v>
      </c>
      <c r="J1683">
        <v>0.22538772804885199</v>
      </c>
      <c r="K1683">
        <v>6.6492507059344481E-83</v>
      </c>
      <c r="L1683">
        <v>1.070212732669449E-82</v>
      </c>
      <c r="M1683">
        <v>0.15239059103890659</v>
      </c>
      <c r="N1683">
        <v>4.5274612782126067E-83</v>
      </c>
      <c r="O1683">
        <v>7.3453531777721337E-83</v>
      </c>
      <c r="P1683">
        <v>6.3828590018660036E-2</v>
      </c>
      <c r="Q1683">
        <v>0.75890183672147693</v>
      </c>
      <c r="R1683">
        <v>9.7503564364465678</v>
      </c>
      <c r="S1683">
        <v>0.32037668605963249</v>
      </c>
      <c r="T1683">
        <v>0.26257927969141309</v>
      </c>
      <c r="U1683">
        <v>4.2625965936405663</v>
      </c>
      <c r="V1683">
        <v>0.11023909988438001</v>
      </c>
      <c r="W1683">
        <v>12.9852488205631</v>
      </c>
      <c r="X1683">
        <v>0.33114151926075802</v>
      </c>
      <c r="Z1683" t="s">
        <v>392</v>
      </c>
      <c r="AA1683">
        <v>140</v>
      </c>
      <c r="AB1683" t="s">
        <v>2074</v>
      </c>
      <c r="AC1683" t="str">
        <f>HYPERLINK("plots/20251231112652_3FT6Y119H04_05543_B21P_N_UFLEX98_M5358A8BA201511/dpll_52084/txpa_55250.png","plot")</f>
        <v>plot</v>
      </c>
    </row>
    <row r="1684" spans="1:29" hidden="1" x14ac:dyDescent="0.35">
      <c r="A1684" t="s">
        <v>47</v>
      </c>
      <c r="B1684">
        <v>52084</v>
      </c>
      <c r="C1684" t="s">
        <v>52</v>
      </c>
      <c r="D1684">
        <v>55251</v>
      </c>
      <c r="E1684" t="s">
        <v>384</v>
      </c>
      <c r="F1684">
        <v>7139</v>
      </c>
      <c r="G1684">
        <v>0.23606200257388421</v>
      </c>
      <c r="H1684">
        <v>5.4908845898261679E-91</v>
      </c>
      <c r="I1684">
        <v>8.2241609661502717E-91</v>
      </c>
      <c r="J1684">
        <v>0.22848544024806439</v>
      </c>
      <c r="K1684">
        <v>3.308411940487545E-85</v>
      </c>
      <c r="L1684">
        <v>5.4195956504917127E-85</v>
      </c>
      <c r="M1684">
        <v>0.15591084442909539</v>
      </c>
      <c r="N1684">
        <v>7.2835002373729769E-87</v>
      </c>
      <c r="O1684">
        <v>1.23296648425646E-86</v>
      </c>
      <c r="P1684">
        <v>5.5725269059192492E-2</v>
      </c>
      <c r="Q1684">
        <v>0.7516938746043853</v>
      </c>
      <c r="R1684">
        <v>10.07675642210345</v>
      </c>
      <c r="S1684">
        <v>0.3410902831692525</v>
      </c>
      <c r="T1684">
        <v>0.27728439030443858</v>
      </c>
      <c r="U1684">
        <v>4.2625965936405663</v>
      </c>
      <c r="V1684">
        <v>0.11023909988438001</v>
      </c>
      <c r="W1684">
        <v>13.28092417145259</v>
      </c>
      <c r="X1684">
        <v>0.35103513153945048</v>
      </c>
      <c r="Z1684" t="s">
        <v>392</v>
      </c>
      <c r="AA1684">
        <v>140</v>
      </c>
      <c r="AB1684" t="s">
        <v>2075</v>
      </c>
      <c r="AC1684" t="str">
        <f>HYPERLINK("plots/20251231112652_3FT6Y119H04_05543_B21P_N_UFLEX98_M5358A8BA201511/dpll_52084/txpa_55251.png","plot")</f>
        <v>plot</v>
      </c>
    </row>
    <row r="1685" spans="1:29" hidden="1" x14ac:dyDescent="0.35">
      <c r="A1685" t="s">
        <v>47</v>
      </c>
      <c r="B1685">
        <v>52084</v>
      </c>
      <c r="C1685" t="s">
        <v>52</v>
      </c>
      <c r="D1685">
        <v>55252</v>
      </c>
      <c r="E1685" t="s">
        <v>385</v>
      </c>
      <c r="F1685">
        <v>7139</v>
      </c>
      <c r="G1685">
        <v>0.33901658552217212</v>
      </c>
      <c r="H1685">
        <v>1.6989688896844761E-191</v>
      </c>
      <c r="I1685">
        <v>7.52294521458541E-191</v>
      </c>
      <c r="J1685">
        <v>0.3486760849913712</v>
      </c>
      <c r="K1685">
        <v>3.4870765133666278E-203</v>
      </c>
      <c r="L1685">
        <v>1.7679477922768811E-202</v>
      </c>
      <c r="M1685">
        <v>0.2379576192421087</v>
      </c>
      <c r="N1685">
        <v>1.0501961642747821E-199</v>
      </c>
      <c r="O1685">
        <v>5.2980045302220358E-199</v>
      </c>
      <c r="P1685">
        <v>0.11493224525911221</v>
      </c>
      <c r="Q1685">
        <v>0.81261177143769991</v>
      </c>
      <c r="R1685">
        <v>9.7284711710810114</v>
      </c>
      <c r="S1685">
        <v>0.24857397791356639</v>
      </c>
      <c r="T1685">
        <v>0.18745981424872249</v>
      </c>
      <c r="U1685">
        <v>4.2625965936405663</v>
      </c>
      <c r="V1685">
        <v>0.11023909988438001</v>
      </c>
      <c r="W1685">
        <v>13.19230733996358</v>
      </c>
      <c r="X1685">
        <v>0.26423955070152422</v>
      </c>
      <c r="Z1685" t="s">
        <v>392</v>
      </c>
      <c r="AA1685">
        <v>140</v>
      </c>
      <c r="AB1685" t="s">
        <v>2076</v>
      </c>
      <c r="AC1685" t="str">
        <f>HYPERLINK("plots/20251231112652_3FT6Y119H04_05543_B21P_N_UFLEX98_M5358A8BA201511/dpll_52084/txpa_55252.png","plot")</f>
        <v>plot</v>
      </c>
    </row>
    <row r="1686" spans="1:29" hidden="1" x14ac:dyDescent="0.35">
      <c r="A1686" t="s">
        <v>47</v>
      </c>
      <c r="B1686">
        <v>52084</v>
      </c>
      <c r="C1686" t="s">
        <v>52</v>
      </c>
      <c r="D1686">
        <v>55253</v>
      </c>
      <c r="E1686" t="s">
        <v>386</v>
      </c>
      <c r="F1686">
        <v>7139</v>
      </c>
      <c r="G1686">
        <v>0.28927322206011902</v>
      </c>
      <c r="H1686">
        <v>1.2028253431361361E-137</v>
      </c>
      <c r="I1686">
        <v>2.6342654383154248E-137</v>
      </c>
      <c r="J1686">
        <v>0.27678880835045799</v>
      </c>
      <c r="K1686">
        <v>1.013503841829898E-125</v>
      </c>
      <c r="L1686">
        <v>2.3146236387736859E-125</v>
      </c>
      <c r="M1686">
        <v>0.18665078990811931</v>
      </c>
      <c r="N1686">
        <v>1.185815136340817E-123</v>
      </c>
      <c r="O1686">
        <v>2.7265681366203821E-123</v>
      </c>
      <c r="P1686">
        <v>8.3678997001042893E-2</v>
      </c>
      <c r="Q1686">
        <v>0.80584655600463373</v>
      </c>
      <c r="R1686">
        <v>9.8398596941562069</v>
      </c>
      <c r="S1686">
        <v>0.29394980816769339</v>
      </c>
      <c r="T1686">
        <v>0.23021539091876431</v>
      </c>
      <c r="U1686">
        <v>4.2625965936405663</v>
      </c>
      <c r="V1686">
        <v>0.11023909988438001</v>
      </c>
      <c r="W1686">
        <v>13.27485847877854</v>
      </c>
      <c r="X1686">
        <v>0.3070999740183899</v>
      </c>
      <c r="Z1686" t="s">
        <v>392</v>
      </c>
      <c r="AA1686">
        <v>140</v>
      </c>
      <c r="AB1686" t="s">
        <v>2077</v>
      </c>
      <c r="AC1686" t="str">
        <f>HYPERLINK("plots/20251231112652_3FT6Y119H04_05543_B21P_N_UFLEX98_M5358A8BA201511/dpll_52084/txpa_55253.png","plot")</f>
        <v>plot</v>
      </c>
    </row>
    <row r="1687" spans="1:29" hidden="1" x14ac:dyDescent="0.35">
      <c r="A1687" t="s">
        <v>47</v>
      </c>
      <c r="B1687">
        <v>52084</v>
      </c>
      <c r="C1687" t="s">
        <v>52</v>
      </c>
      <c r="D1687">
        <v>55254</v>
      </c>
      <c r="E1687" t="s">
        <v>387</v>
      </c>
      <c r="F1687">
        <v>7139</v>
      </c>
      <c r="G1687">
        <v>0.35123354353021108</v>
      </c>
      <c r="H1687">
        <v>2.3880611804968991E-206</v>
      </c>
      <c r="I1687">
        <v>1.4413654982284859E-205</v>
      </c>
      <c r="J1687">
        <v>0.35311117297538008</v>
      </c>
      <c r="K1687">
        <v>1.086325262947351E-208</v>
      </c>
      <c r="L1687">
        <v>6.0193104733804039E-208</v>
      </c>
      <c r="M1687">
        <v>0.2437940454312848</v>
      </c>
      <c r="N1687">
        <v>1.6179783430807921E-209</v>
      </c>
      <c r="O1687">
        <v>9.8241319753528331E-209</v>
      </c>
      <c r="P1687">
        <v>0.1233650021007887</v>
      </c>
      <c r="Q1687">
        <v>0.85024485346393075</v>
      </c>
      <c r="R1687">
        <v>9.6422151440827459</v>
      </c>
      <c r="S1687">
        <v>0.2498404010900506</v>
      </c>
      <c r="T1687">
        <v>0.1870150076809641</v>
      </c>
      <c r="U1687">
        <v>4.2625965936405663</v>
      </c>
      <c r="V1687">
        <v>0.11023909988438001</v>
      </c>
      <c r="W1687">
        <v>13.26646596021852</v>
      </c>
      <c r="X1687">
        <v>0.26686012499010708</v>
      </c>
      <c r="Z1687" t="s">
        <v>392</v>
      </c>
      <c r="AA1687">
        <v>140</v>
      </c>
      <c r="AB1687" t="s">
        <v>2078</v>
      </c>
      <c r="AC1687" t="str">
        <f>HYPERLINK("plots/20251231112652_3FT6Y119H04_05543_B21P_N_UFLEX98_M5358A8BA201511/dpll_52084/txpa_55254.png","plot")</f>
        <v>plot</v>
      </c>
    </row>
    <row r="1688" spans="1:29" hidden="1" x14ac:dyDescent="0.35">
      <c r="A1688" t="s">
        <v>47</v>
      </c>
      <c r="B1688">
        <v>52084</v>
      </c>
      <c r="C1688" t="s">
        <v>52</v>
      </c>
      <c r="D1688">
        <v>55255</v>
      </c>
      <c r="E1688" t="s">
        <v>388</v>
      </c>
      <c r="F1688">
        <v>7139</v>
      </c>
      <c r="G1688">
        <v>0.30454058875305612</v>
      </c>
      <c r="H1688">
        <v>4.448746775251701E-153</v>
      </c>
      <c r="I1688">
        <v>1.1686604223070529E-152</v>
      </c>
      <c r="J1688">
        <v>0.2760335182637868</v>
      </c>
      <c r="K1688">
        <v>5.1007611752833687E-125</v>
      </c>
      <c r="L1688">
        <v>1.1596797829007479E-124</v>
      </c>
      <c r="M1688">
        <v>0.18570418261927199</v>
      </c>
      <c r="N1688">
        <v>2.0183000759514851E-122</v>
      </c>
      <c r="O1688">
        <v>4.58869120406907E-122</v>
      </c>
      <c r="P1688">
        <v>9.274497019805801E-2</v>
      </c>
      <c r="Q1688">
        <v>0.83127833587995303</v>
      </c>
      <c r="R1688">
        <v>9.7029048642071469</v>
      </c>
      <c r="S1688">
        <v>0.28659671690424432</v>
      </c>
      <c r="T1688">
        <v>0.2273641430132336</v>
      </c>
      <c r="U1688">
        <v>4.2625965936405663</v>
      </c>
      <c r="V1688">
        <v>0.11023909988438001</v>
      </c>
      <c r="W1688">
        <v>13.246309067096229</v>
      </c>
      <c r="X1688">
        <v>0.30091021980357208</v>
      </c>
      <c r="Z1688" t="s">
        <v>392</v>
      </c>
      <c r="AA1688">
        <v>140</v>
      </c>
      <c r="AB1688" t="s">
        <v>2079</v>
      </c>
      <c r="AC1688" t="str">
        <f>HYPERLINK("plots/20251231112652_3FT6Y119H04_05543_B21P_N_UFLEX98_M5358A8BA201511/dpll_52084/txpa_55255.png","plot")</f>
        <v>plot</v>
      </c>
    </row>
    <row r="1689" spans="1:29" hidden="1" x14ac:dyDescent="0.35">
      <c r="A1689" t="s">
        <v>47</v>
      </c>
      <c r="B1689">
        <v>52084</v>
      </c>
      <c r="C1689" t="s">
        <v>52</v>
      </c>
      <c r="D1689">
        <v>55256</v>
      </c>
      <c r="E1689" t="s">
        <v>389</v>
      </c>
      <c r="F1689">
        <v>7139</v>
      </c>
      <c r="G1689">
        <v>0.36361484843901049</v>
      </c>
      <c r="H1689">
        <v>4.3300309484959251E-222</v>
      </c>
      <c r="I1689">
        <v>3.8855321962609451E-221</v>
      </c>
      <c r="J1689">
        <v>0.3647585026634737</v>
      </c>
      <c r="K1689">
        <v>1.4019873114810791E-223</v>
      </c>
      <c r="L1689">
        <v>1.119381995151034E-222</v>
      </c>
      <c r="M1689">
        <v>0.25324309460329891</v>
      </c>
      <c r="N1689">
        <v>6.606545216569495E-226</v>
      </c>
      <c r="O1689">
        <v>5.9283511943375822E-225</v>
      </c>
      <c r="P1689">
        <v>0.13221575800532459</v>
      </c>
      <c r="Q1689">
        <v>0.83422903705706264</v>
      </c>
      <c r="R1689">
        <v>9.6369765682712849</v>
      </c>
      <c r="S1689">
        <v>0.23558889317377321</v>
      </c>
      <c r="T1689">
        <v>0.17665617059082769</v>
      </c>
      <c r="U1689">
        <v>4.2625965936405663</v>
      </c>
      <c r="V1689">
        <v>0.11023909988438001</v>
      </c>
      <c r="W1689">
        <v>13.19295841994677</v>
      </c>
      <c r="X1689">
        <v>0.25291777422562828</v>
      </c>
      <c r="Z1689" t="s">
        <v>392</v>
      </c>
      <c r="AA1689">
        <v>140</v>
      </c>
      <c r="AB1689" t="s">
        <v>2080</v>
      </c>
      <c r="AC1689" t="str">
        <f>HYPERLINK("plots/20251231112652_3FT6Y119H04_05543_B21P_N_UFLEX98_M5358A8BA201511/dpll_52084/txpa_55256.png","plot")</f>
        <v>plot</v>
      </c>
    </row>
    <row r="1690" spans="1:29" hidden="1" x14ac:dyDescent="0.35">
      <c r="A1690" t="s">
        <v>47</v>
      </c>
      <c r="B1690">
        <v>52084</v>
      </c>
      <c r="C1690" t="s">
        <v>52</v>
      </c>
      <c r="D1690">
        <v>55257</v>
      </c>
      <c r="E1690" t="s">
        <v>390</v>
      </c>
      <c r="F1690">
        <v>7139</v>
      </c>
      <c r="G1690">
        <v>0.31478328080508428</v>
      </c>
      <c r="H1690">
        <v>5.7512649479358734E-164</v>
      </c>
      <c r="I1690">
        <v>1.6903717846976741E-163</v>
      </c>
      <c r="J1690">
        <v>0.28817857422199428</v>
      </c>
      <c r="K1690">
        <v>1.4143626397775299E-136</v>
      </c>
      <c r="L1690">
        <v>3.5411449795911491E-136</v>
      </c>
      <c r="M1690">
        <v>0.19339166314038531</v>
      </c>
      <c r="N1690">
        <v>1.342184383481951E-132</v>
      </c>
      <c r="O1690">
        <v>3.3521550858391578E-132</v>
      </c>
      <c r="P1690">
        <v>9.9088513874412573E-2</v>
      </c>
      <c r="Q1690">
        <v>0.77439340240182752</v>
      </c>
      <c r="R1690">
        <v>9.944734390962136</v>
      </c>
      <c r="S1690">
        <v>0.25739273706983501</v>
      </c>
      <c r="T1690">
        <v>0.20128636042292339</v>
      </c>
      <c r="U1690">
        <v>4.2625965936405663</v>
      </c>
      <c r="V1690">
        <v>0.11023909988438001</v>
      </c>
      <c r="W1690">
        <v>13.24566107017789</v>
      </c>
      <c r="X1690">
        <v>0.27119747725750598</v>
      </c>
      <c r="Z1690" t="s">
        <v>392</v>
      </c>
      <c r="AA1690">
        <v>140</v>
      </c>
      <c r="AB1690" t="s">
        <v>2081</v>
      </c>
      <c r="AC1690" t="str">
        <f>HYPERLINK("plots/20251231112652_3FT6Y119H04_05543_B21P_N_UFLEX98_M5358A8BA201511/dpll_52084/txpa_55257.png","plot")</f>
        <v>plot</v>
      </c>
    </row>
    <row r="1691" spans="1:29" hidden="1" x14ac:dyDescent="0.35">
      <c r="A1691" t="s">
        <v>47</v>
      </c>
      <c r="B1691">
        <v>52084</v>
      </c>
      <c r="C1691" t="s">
        <v>52</v>
      </c>
      <c r="D1691">
        <v>55258</v>
      </c>
      <c r="E1691" t="s">
        <v>391</v>
      </c>
      <c r="F1691">
        <v>7139</v>
      </c>
      <c r="G1691">
        <v>0.25801588096369288</v>
      </c>
      <c r="H1691">
        <v>6.248411504293227E-109</v>
      </c>
      <c r="I1691">
        <v>1.07570276152009E-108</v>
      </c>
      <c r="J1691">
        <v>0.22909603104918691</v>
      </c>
      <c r="K1691">
        <v>1.1522543131795471E-85</v>
      </c>
      <c r="L1691">
        <v>1.8967303142273709E-85</v>
      </c>
      <c r="M1691">
        <v>0.1551386297471499</v>
      </c>
      <c r="N1691">
        <v>5.0333022114986073E-86</v>
      </c>
      <c r="O1691">
        <v>8.3805721551060549E-86</v>
      </c>
      <c r="P1691">
        <v>6.6572194829470535E-2</v>
      </c>
      <c r="Q1691">
        <v>0.78456437030637605</v>
      </c>
      <c r="R1691">
        <v>10.053555456949709</v>
      </c>
      <c r="S1691">
        <v>0.32383795615839223</v>
      </c>
      <c r="T1691">
        <v>0.26682653714969162</v>
      </c>
      <c r="U1691">
        <v>4.2625965936405663</v>
      </c>
      <c r="V1691">
        <v>0.11023909988438001</v>
      </c>
      <c r="W1691">
        <v>13.39783686930943</v>
      </c>
      <c r="X1691">
        <v>0.33521064541023687</v>
      </c>
      <c r="Z1691" t="s">
        <v>392</v>
      </c>
      <c r="AA1691">
        <v>140</v>
      </c>
      <c r="AB1691" t="s">
        <v>2082</v>
      </c>
      <c r="AC1691" t="str">
        <f>HYPERLINK("plots/20251231112652_3FT6Y119H04_05543_B21P_N_UFLEX98_M5358A8BA201511/dpll_52084/txpa_55258.png","plot")</f>
        <v>plot</v>
      </c>
    </row>
    <row r="1692" spans="1:29" hidden="1" x14ac:dyDescent="0.35">
      <c r="A1692" t="s">
        <v>47</v>
      </c>
      <c r="B1692">
        <v>52094</v>
      </c>
      <c r="C1692" t="s">
        <v>53</v>
      </c>
      <c r="D1692">
        <v>53179</v>
      </c>
      <c r="E1692" t="s">
        <v>54</v>
      </c>
      <c r="F1692">
        <v>7128</v>
      </c>
      <c r="G1692">
        <v>0.10112076899412591</v>
      </c>
      <c r="H1692">
        <v>1.150242988333493E-17</v>
      </c>
      <c r="I1692">
        <v>1.1651812089612E-17</v>
      </c>
      <c r="J1692">
        <v>0.1001233554709036</v>
      </c>
      <c r="K1692">
        <v>2.3919805554885041E-17</v>
      </c>
      <c r="L1692">
        <v>2.423045238027316E-17</v>
      </c>
      <c r="M1692">
        <v>6.6547905982648523E-2</v>
      </c>
      <c r="N1692">
        <v>3.713257796863968E-17</v>
      </c>
      <c r="O1692">
        <v>3.7614819240959668E-17</v>
      </c>
      <c r="P1692">
        <v>1.022540992196337E-2</v>
      </c>
      <c r="Q1692">
        <v>0.55816595755117171</v>
      </c>
      <c r="R1692">
        <v>-21.615047940560149</v>
      </c>
      <c r="S1692">
        <v>0.68182612650881469</v>
      </c>
      <c r="T1692">
        <v>0.52116001389132505</v>
      </c>
      <c r="U1692">
        <v>4.2554948735970823</v>
      </c>
      <c r="V1692">
        <v>0.1241689397863896</v>
      </c>
      <c r="W1692">
        <v>-19.23977556958474</v>
      </c>
      <c r="X1692">
        <v>0.68538714512752552</v>
      </c>
      <c r="Z1692" t="s">
        <v>392</v>
      </c>
      <c r="AA1692">
        <v>140</v>
      </c>
      <c r="AB1692" t="s">
        <v>2083</v>
      </c>
      <c r="AC1692" t="str">
        <f>HYPERLINK("plots/20251231112652_3FT6Y119H04_05543_B21P_N_UFLEX98_M5358A8BA201511/dpll_52094/txpa_53179.png","plot")</f>
        <v>plot</v>
      </c>
    </row>
    <row r="1693" spans="1:29" hidden="1" x14ac:dyDescent="0.35">
      <c r="A1693" t="s">
        <v>47</v>
      </c>
      <c r="B1693">
        <v>52094</v>
      </c>
      <c r="C1693" t="s">
        <v>53</v>
      </c>
      <c r="D1693">
        <v>53180</v>
      </c>
      <c r="E1693" t="s">
        <v>55</v>
      </c>
      <c r="F1693">
        <v>7127</v>
      </c>
      <c r="G1693">
        <v>8.6184751862358119E-2</v>
      </c>
      <c r="H1693">
        <v>3.1426700369855259E-13</v>
      </c>
      <c r="I1693">
        <v>3.1613764062532969E-13</v>
      </c>
      <c r="J1693">
        <v>8.2567078121452045E-2</v>
      </c>
      <c r="K1693">
        <v>2.9279214888788491E-12</v>
      </c>
      <c r="L1693">
        <v>2.945349592979319E-12</v>
      </c>
      <c r="M1693">
        <v>5.5211873592456988E-2</v>
      </c>
      <c r="N1693">
        <v>2.8131101779024758E-12</v>
      </c>
      <c r="O1693">
        <v>2.8298548813423719E-12</v>
      </c>
      <c r="P1693">
        <v>7.4278114535762411E-3</v>
      </c>
      <c r="Q1693">
        <v>0.48067579661790788</v>
      </c>
      <c r="R1693">
        <v>-21.140005957942389</v>
      </c>
      <c r="S1693">
        <v>0.68986065297970811</v>
      </c>
      <c r="T1693">
        <v>0.52729053881119581</v>
      </c>
      <c r="U1693">
        <v>4.2555517054861793</v>
      </c>
      <c r="V1693">
        <v>0.1241620788109218</v>
      </c>
      <c r="W1693">
        <v>-19.09446525185913</v>
      </c>
      <c r="X1693">
        <v>0.69248567585934895</v>
      </c>
      <c r="Z1693" t="s">
        <v>392</v>
      </c>
      <c r="AA1693">
        <v>140</v>
      </c>
      <c r="AB1693" t="s">
        <v>2084</v>
      </c>
      <c r="AC1693" t="str">
        <f>HYPERLINK("plots/20251231112652_3FT6Y119H04_05543_B21P_N_UFLEX98_M5358A8BA201511/dpll_52094/txpa_53180.png","plot")</f>
        <v>plot</v>
      </c>
    </row>
    <row r="1694" spans="1:29" hidden="1" x14ac:dyDescent="0.35">
      <c r="A1694" t="s">
        <v>47</v>
      </c>
      <c r="B1694">
        <v>52094</v>
      </c>
      <c r="C1694" t="s">
        <v>53</v>
      </c>
      <c r="D1694">
        <v>53181</v>
      </c>
      <c r="E1694" t="s">
        <v>56</v>
      </c>
      <c r="F1694">
        <v>7134</v>
      </c>
      <c r="G1694">
        <v>0.11568786024304641</v>
      </c>
      <c r="H1694">
        <v>1.0976718325072061E-22</v>
      </c>
      <c r="I1694">
        <v>1.126557933362659E-22</v>
      </c>
      <c r="J1694">
        <v>0.1130155949147276</v>
      </c>
      <c r="K1694">
        <v>1.02200161176373E-21</v>
      </c>
      <c r="L1694">
        <v>1.071674906234149E-21</v>
      </c>
      <c r="M1694">
        <v>7.540570920632475E-2</v>
      </c>
      <c r="N1694">
        <v>1.3385934558898449E-21</v>
      </c>
      <c r="O1694">
        <v>1.402204301934197E-21</v>
      </c>
      <c r="P1694">
        <v>1.3383681007614631E-2</v>
      </c>
      <c r="Q1694">
        <v>0.59370510721051584</v>
      </c>
      <c r="R1694">
        <v>-21.41194029541629</v>
      </c>
      <c r="S1694">
        <v>0.63296625184794031</v>
      </c>
      <c r="T1694">
        <v>0.4841646672894046</v>
      </c>
      <c r="U1694">
        <v>4.2555429872441826</v>
      </c>
      <c r="V1694">
        <v>0.124180628043302</v>
      </c>
      <c r="W1694">
        <v>-18.885402689935521</v>
      </c>
      <c r="X1694">
        <v>0.63728962512597975</v>
      </c>
      <c r="Z1694" t="s">
        <v>392</v>
      </c>
      <c r="AA1694">
        <v>140</v>
      </c>
      <c r="AB1694" t="s">
        <v>2085</v>
      </c>
      <c r="AC1694" t="str">
        <f>HYPERLINK("plots/20251231112652_3FT6Y119H04_05543_B21P_N_UFLEX98_M5358A8BA201511/dpll_52094/txpa_53181.png","plot")</f>
        <v>plot</v>
      </c>
    </row>
    <row r="1695" spans="1:29" hidden="1" x14ac:dyDescent="0.35">
      <c r="A1695" t="s">
        <v>47</v>
      </c>
      <c r="B1695">
        <v>52094</v>
      </c>
      <c r="C1695" t="s">
        <v>53</v>
      </c>
      <c r="D1695">
        <v>53182</v>
      </c>
      <c r="E1695" t="s">
        <v>57</v>
      </c>
      <c r="F1695">
        <v>7134</v>
      </c>
      <c r="G1695">
        <v>0.1056549583042686</v>
      </c>
      <c r="H1695">
        <v>3.6387418128082509E-19</v>
      </c>
      <c r="I1695">
        <v>3.6933775757633299E-19</v>
      </c>
      <c r="J1695">
        <v>0.1027168858844786</v>
      </c>
      <c r="K1695">
        <v>3.399668128150132E-18</v>
      </c>
      <c r="L1695">
        <v>3.450714196140375E-18</v>
      </c>
      <c r="M1695">
        <v>6.8491913423665507E-2</v>
      </c>
      <c r="N1695">
        <v>4.2670363733365669E-18</v>
      </c>
      <c r="O1695">
        <v>4.3311059885518304E-18</v>
      </c>
      <c r="P1695">
        <v>1.116297021427673E-2</v>
      </c>
      <c r="Q1695">
        <v>0.54969774334182198</v>
      </c>
      <c r="R1695">
        <v>-21.205065375183359</v>
      </c>
      <c r="S1695">
        <v>0.64208905683496742</v>
      </c>
      <c r="T1695">
        <v>0.49100376847012273</v>
      </c>
      <c r="U1695">
        <v>4.2554628760863471</v>
      </c>
      <c r="V1695">
        <v>0.1241164304565746</v>
      </c>
      <c r="W1695">
        <v>-18.865847035323799</v>
      </c>
      <c r="X1695">
        <v>0.64574841378613057</v>
      </c>
      <c r="Z1695" t="s">
        <v>392</v>
      </c>
      <c r="AA1695">
        <v>140</v>
      </c>
      <c r="AB1695" t="s">
        <v>2086</v>
      </c>
      <c r="AC1695" t="str">
        <f>HYPERLINK("plots/20251231112652_3FT6Y119H04_05543_B21P_N_UFLEX98_M5358A8BA201511/dpll_52094/txpa_53182.png","plot")</f>
        <v>plot</v>
      </c>
    </row>
    <row r="1696" spans="1:29" hidden="1" x14ac:dyDescent="0.35">
      <c r="A1696" t="s">
        <v>47</v>
      </c>
      <c r="B1696">
        <v>52094</v>
      </c>
      <c r="C1696" t="s">
        <v>53</v>
      </c>
      <c r="D1696">
        <v>53183</v>
      </c>
      <c r="E1696" t="s">
        <v>58</v>
      </c>
      <c r="F1696">
        <v>7133</v>
      </c>
      <c r="G1696">
        <v>0.1190750770875101</v>
      </c>
      <c r="H1696">
        <v>6.0616899003622432E-24</v>
      </c>
      <c r="I1696">
        <v>6.2464975192757261E-24</v>
      </c>
      <c r="J1696">
        <v>0.11088964070075159</v>
      </c>
      <c r="K1696">
        <v>5.8451485511453813E-21</v>
      </c>
      <c r="L1696">
        <v>6.0665103693566187E-21</v>
      </c>
      <c r="M1696">
        <v>7.3805945152480082E-2</v>
      </c>
      <c r="N1696">
        <v>9.3129143890890243E-21</v>
      </c>
      <c r="O1696">
        <v>9.665604084479295E-21</v>
      </c>
      <c r="P1696">
        <v>1.417887398339647E-2</v>
      </c>
      <c r="Q1696">
        <v>0.5706881493801621</v>
      </c>
      <c r="R1696">
        <v>-20.993631870156591</v>
      </c>
      <c r="S1696">
        <v>0.59072096388471129</v>
      </c>
      <c r="T1696">
        <v>0.45247231746465882</v>
      </c>
      <c r="U1696">
        <v>4.2554575227814384</v>
      </c>
      <c r="V1696">
        <v>0.1241468729976876</v>
      </c>
      <c r="W1696">
        <v>-18.565092691714561</v>
      </c>
      <c r="X1696">
        <v>0.59499561902711351</v>
      </c>
      <c r="Z1696" t="s">
        <v>392</v>
      </c>
      <c r="AA1696">
        <v>140</v>
      </c>
      <c r="AB1696" t="s">
        <v>2087</v>
      </c>
      <c r="AC1696" t="str">
        <f>HYPERLINK("plots/20251231112652_3FT6Y119H04_05543_B21P_N_UFLEX98_M5358A8BA201511/dpll_52094/txpa_53183.png","plot")</f>
        <v>plot</v>
      </c>
    </row>
    <row r="1697" spans="1:29" hidden="1" x14ac:dyDescent="0.35">
      <c r="A1697" t="s">
        <v>47</v>
      </c>
      <c r="B1697">
        <v>52094</v>
      </c>
      <c r="C1697" t="s">
        <v>53</v>
      </c>
      <c r="D1697">
        <v>53184</v>
      </c>
      <c r="E1697" t="s">
        <v>59</v>
      </c>
      <c r="F1697">
        <v>7130</v>
      </c>
      <c r="G1697">
        <v>9.0277998581205318E-2</v>
      </c>
      <c r="H1697">
        <v>2.218665322074249E-14</v>
      </c>
      <c r="I1697">
        <v>2.242997643652332E-14</v>
      </c>
      <c r="J1697">
        <v>9.8521427975035811E-2</v>
      </c>
      <c r="K1697">
        <v>7.5611716602590795E-17</v>
      </c>
      <c r="L1697">
        <v>7.6440957761741845E-17</v>
      </c>
      <c r="M1697">
        <v>6.5929827250556322E-2</v>
      </c>
      <c r="N1697">
        <v>7.1337019770459717E-17</v>
      </c>
      <c r="O1697">
        <v>7.2191355336573013E-17</v>
      </c>
      <c r="P1697">
        <v>8.1501170278281097E-3</v>
      </c>
      <c r="Q1697">
        <v>0.45699465186474292</v>
      </c>
      <c r="R1697">
        <v>-20.696724948083521</v>
      </c>
      <c r="S1697">
        <v>0.62583439132243324</v>
      </c>
      <c r="T1697">
        <v>0.48278466899397582</v>
      </c>
      <c r="U1697">
        <v>4.2555329570827487</v>
      </c>
      <c r="V1697">
        <v>0.12414742449172279</v>
      </c>
      <c r="W1697">
        <v>-18.751969145862549</v>
      </c>
      <c r="X1697">
        <v>0.62844447071416099</v>
      </c>
      <c r="Z1697" t="s">
        <v>392</v>
      </c>
      <c r="AA1697">
        <v>140</v>
      </c>
      <c r="AB1697" t="s">
        <v>2088</v>
      </c>
      <c r="AC1697" t="str">
        <f>HYPERLINK("plots/20251231112652_3FT6Y119H04_05543_B21P_N_UFLEX98_M5358A8BA201511/dpll_52094/txpa_53184.png","plot")</f>
        <v>plot</v>
      </c>
    </row>
    <row r="1698" spans="1:29" hidden="1" x14ac:dyDescent="0.35">
      <c r="A1698" t="s">
        <v>47</v>
      </c>
      <c r="B1698">
        <v>52094</v>
      </c>
      <c r="C1698" t="s">
        <v>53</v>
      </c>
      <c r="D1698">
        <v>53185</v>
      </c>
      <c r="E1698" t="s">
        <v>60</v>
      </c>
      <c r="F1698">
        <v>7130</v>
      </c>
      <c r="G1698">
        <v>0.11255231521835241</v>
      </c>
      <c r="H1698">
        <v>1.535735343226566E-21</v>
      </c>
      <c r="I1698">
        <v>1.5634895964174071E-21</v>
      </c>
      <c r="J1698">
        <v>0.1081305431689956</v>
      </c>
      <c r="K1698">
        <v>5.3994359587403461E-20</v>
      </c>
      <c r="L1698">
        <v>5.5359232175558237E-20</v>
      </c>
      <c r="M1698">
        <v>7.2428154973192591E-2</v>
      </c>
      <c r="N1698">
        <v>4.8496457306777919E-20</v>
      </c>
      <c r="O1698">
        <v>4.9823108114562119E-20</v>
      </c>
      <c r="P1698">
        <v>1.2668023661011369E-2</v>
      </c>
      <c r="Q1698">
        <v>0.57205754415425381</v>
      </c>
      <c r="R1698">
        <v>-21.144684911889879</v>
      </c>
      <c r="S1698">
        <v>0.62702197011458705</v>
      </c>
      <c r="T1698">
        <v>0.48059788720580188</v>
      </c>
      <c r="U1698">
        <v>4.2554876441795226</v>
      </c>
      <c r="V1698">
        <v>0.12416418154671199</v>
      </c>
      <c r="W1698">
        <v>-18.71030110098177</v>
      </c>
      <c r="X1698">
        <v>0.63107592793393918</v>
      </c>
      <c r="Z1698" t="s">
        <v>392</v>
      </c>
      <c r="AA1698">
        <v>140</v>
      </c>
      <c r="AB1698" t="s">
        <v>2089</v>
      </c>
      <c r="AC1698" t="str">
        <f>HYPERLINK("plots/20251231112652_3FT6Y119H04_05543_B21P_N_UFLEX98_M5358A8BA201511/dpll_52094/txpa_53185.png","plot")</f>
        <v>plot</v>
      </c>
    </row>
    <row r="1699" spans="1:29" hidden="1" x14ac:dyDescent="0.35">
      <c r="A1699" t="s">
        <v>47</v>
      </c>
      <c r="B1699">
        <v>52094</v>
      </c>
      <c r="C1699" t="s">
        <v>53</v>
      </c>
      <c r="D1699">
        <v>53186</v>
      </c>
      <c r="E1699" t="s">
        <v>61</v>
      </c>
      <c r="F1699">
        <v>7129</v>
      </c>
      <c r="G1699">
        <v>0.13765422181888459</v>
      </c>
      <c r="H1699">
        <v>1.686719340785412E-31</v>
      </c>
      <c r="I1699">
        <v>1.8003509595330609E-31</v>
      </c>
      <c r="J1699">
        <v>0.13686729408203721</v>
      </c>
      <c r="K1699">
        <v>3.717444289618467E-31</v>
      </c>
      <c r="L1699">
        <v>4.1106744925552076E-31</v>
      </c>
      <c r="M1699">
        <v>9.1561197140613643E-2</v>
      </c>
      <c r="N1699">
        <v>4.7413403992029946E-31</v>
      </c>
      <c r="O1699">
        <v>5.2600866135578071E-31</v>
      </c>
      <c r="P1699">
        <v>1.8948684784562689E-2</v>
      </c>
      <c r="Q1699">
        <v>0.77212077878283469</v>
      </c>
      <c r="R1699">
        <v>-22.519235923756771</v>
      </c>
      <c r="S1699">
        <v>0.68962684468666824</v>
      </c>
      <c r="T1699">
        <v>0.52156130874440254</v>
      </c>
      <c r="U1699">
        <v>4.255490910085566</v>
      </c>
      <c r="V1699">
        <v>0.12413751687182149</v>
      </c>
      <c r="W1699">
        <v>-19.233482968158231</v>
      </c>
      <c r="X1699">
        <v>0.69630378884673372</v>
      </c>
      <c r="Z1699" t="s">
        <v>392</v>
      </c>
      <c r="AA1699">
        <v>140</v>
      </c>
      <c r="AB1699" t="s">
        <v>2090</v>
      </c>
      <c r="AC1699" t="str">
        <f>HYPERLINK("plots/20251231112652_3FT6Y119H04_05543_B21P_N_UFLEX98_M5358A8BA201511/dpll_52094/txpa_53186.png","plot")</f>
        <v>plot</v>
      </c>
    </row>
    <row r="1700" spans="1:29" hidden="1" x14ac:dyDescent="0.35">
      <c r="A1700" t="s">
        <v>47</v>
      </c>
      <c r="B1700">
        <v>52094</v>
      </c>
      <c r="C1700" t="s">
        <v>53</v>
      </c>
      <c r="D1700">
        <v>53187</v>
      </c>
      <c r="E1700" t="s">
        <v>62</v>
      </c>
      <c r="F1700">
        <v>7139</v>
      </c>
      <c r="G1700">
        <v>0.2484452308849682</v>
      </c>
      <c r="H1700">
        <v>6.9037381721169409E-101</v>
      </c>
      <c r="I1700">
        <v>1.11117309627406E-100</v>
      </c>
      <c r="J1700">
        <v>0.2352058688027753</v>
      </c>
      <c r="K1700">
        <v>2.530804775949383E-90</v>
      </c>
      <c r="L1700">
        <v>4.3643470115861807E-90</v>
      </c>
      <c r="M1700">
        <v>0.15739910062888621</v>
      </c>
      <c r="N1700">
        <v>1.7771156524200731E-88</v>
      </c>
      <c r="O1700">
        <v>3.0490613731877399E-88</v>
      </c>
      <c r="P1700">
        <v>6.172503274948514E-2</v>
      </c>
      <c r="Q1700">
        <v>0.52519359507228158</v>
      </c>
      <c r="R1700">
        <v>-10.71796123631364</v>
      </c>
      <c r="S1700">
        <v>0.25418759728823959</v>
      </c>
      <c r="T1700">
        <v>0.19828258008497771</v>
      </c>
      <c r="U1700">
        <v>4.2555146084885838</v>
      </c>
      <c r="V1700">
        <v>0.12414549193133841</v>
      </c>
      <c r="W1700">
        <v>-8.4829922201989074</v>
      </c>
      <c r="X1700">
        <v>0.26243376452504658</v>
      </c>
      <c r="Z1700" t="s">
        <v>392</v>
      </c>
      <c r="AA1700">
        <v>140</v>
      </c>
      <c r="AB1700" t="s">
        <v>2091</v>
      </c>
      <c r="AC1700" t="str">
        <f>HYPERLINK("plots/20251231112652_3FT6Y119H04_05543_B21P_N_UFLEX98_M5358A8BA201511/dpll_52094/txpa_53187.png","plot")</f>
        <v>plot</v>
      </c>
    </row>
    <row r="1701" spans="1:29" hidden="1" x14ac:dyDescent="0.35">
      <c r="A1701" t="s">
        <v>47</v>
      </c>
      <c r="B1701">
        <v>52094</v>
      </c>
      <c r="C1701" t="s">
        <v>53</v>
      </c>
      <c r="D1701">
        <v>53188</v>
      </c>
      <c r="E1701" t="s">
        <v>63</v>
      </c>
      <c r="F1701">
        <v>7139</v>
      </c>
      <c r="G1701">
        <v>0.1945481857245929</v>
      </c>
      <c r="H1701">
        <v>7.728559591461031E-62</v>
      </c>
      <c r="I1701">
        <v>9.4418788261945601E-62</v>
      </c>
      <c r="J1701">
        <v>0.18568435129168809</v>
      </c>
      <c r="K1701">
        <v>2.1253637321967329E-56</v>
      </c>
      <c r="L1701">
        <v>2.7559064251246651E-56</v>
      </c>
      <c r="M1701">
        <v>0.12388627318896291</v>
      </c>
      <c r="N1701">
        <v>1.61051485068031E-55</v>
      </c>
      <c r="O1701">
        <v>2.0803338325985149E-55</v>
      </c>
      <c r="P1701">
        <v>3.784899656873069E-2</v>
      </c>
      <c r="Q1701">
        <v>0.50992873219836921</v>
      </c>
      <c r="R1701">
        <v>-10.59377912937674</v>
      </c>
      <c r="S1701">
        <v>0.3191570566344793</v>
      </c>
      <c r="T1701">
        <v>0.2567823007058363</v>
      </c>
      <c r="U1701">
        <v>4.2555146084885838</v>
      </c>
      <c r="V1701">
        <v>0.12414549193133841</v>
      </c>
      <c r="W1701">
        <v>-8.4237699602185181</v>
      </c>
      <c r="X1701">
        <v>0.3253967806120116</v>
      </c>
      <c r="Z1701" t="s">
        <v>392</v>
      </c>
      <c r="AA1701">
        <v>140</v>
      </c>
      <c r="AB1701" t="s">
        <v>2092</v>
      </c>
      <c r="AC1701" t="str">
        <f>HYPERLINK("plots/20251231112652_3FT6Y119H04_05543_B21P_N_UFLEX98_M5358A8BA201511/dpll_52094/txpa_53188.png","plot")</f>
        <v>plot</v>
      </c>
    </row>
    <row r="1702" spans="1:29" hidden="1" x14ac:dyDescent="0.35">
      <c r="A1702" t="s">
        <v>47</v>
      </c>
      <c r="B1702">
        <v>52094</v>
      </c>
      <c r="C1702" t="s">
        <v>53</v>
      </c>
      <c r="D1702">
        <v>53189</v>
      </c>
      <c r="E1702" t="s">
        <v>64</v>
      </c>
      <c r="F1702">
        <v>7139</v>
      </c>
      <c r="G1702">
        <v>0.2447883904885165</v>
      </c>
      <c r="H1702">
        <v>6.6347939821148852E-98</v>
      </c>
      <c r="I1702">
        <v>1.044670977929269E-97</v>
      </c>
      <c r="J1702">
        <v>0.23444514134326611</v>
      </c>
      <c r="K1702">
        <v>9.7875275534722831E-90</v>
      </c>
      <c r="L1702">
        <v>1.6764447532467732E-89</v>
      </c>
      <c r="M1702">
        <v>0.15682562181787199</v>
      </c>
      <c r="N1702">
        <v>7.5532492497020372E-88</v>
      </c>
      <c r="O1702">
        <v>1.291567409645509E-87</v>
      </c>
      <c r="P1702">
        <v>5.9921356117958437E-2</v>
      </c>
      <c r="Q1702">
        <v>0.50002943846509973</v>
      </c>
      <c r="R1702">
        <v>-10.29366702480274</v>
      </c>
      <c r="S1702">
        <v>0.24585972111776419</v>
      </c>
      <c r="T1702">
        <v>0.19485542944483719</v>
      </c>
      <c r="U1702">
        <v>4.2555146084885838</v>
      </c>
      <c r="V1702">
        <v>0.12414549193133841</v>
      </c>
      <c r="W1702">
        <v>-8.1657844447401597</v>
      </c>
      <c r="X1702">
        <v>0.25359209435756652</v>
      </c>
      <c r="Z1702" t="s">
        <v>392</v>
      </c>
      <c r="AA1702">
        <v>140</v>
      </c>
      <c r="AB1702" t="s">
        <v>2093</v>
      </c>
      <c r="AC1702" t="str">
        <f>HYPERLINK("plots/20251231112652_3FT6Y119H04_05543_B21P_N_UFLEX98_M5358A8BA201511/dpll_52094/txpa_53189.png","plot")</f>
        <v>plot</v>
      </c>
    </row>
    <row r="1703" spans="1:29" hidden="1" x14ac:dyDescent="0.35">
      <c r="A1703" t="s">
        <v>47</v>
      </c>
      <c r="B1703">
        <v>52094</v>
      </c>
      <c r="C1703" t="s">
        <v>53</v>
      </c>
      <c r="D1703">
        <v>53190</v>
      </c>
      <c r="E1703" t="s">
        <v>65</v>
      </c>
      <c r="F1703">
        <v>7139</v>
      </c>
      <c r="G1703">
        <v>0.1993938505559632</v>
      </c>
      <c r="H1703">
        <v>6.3047342925088643E-65</v>
      </c>
      <c r="I1703">
        <v>7.8828613718914779E-65</v>
      </c>
      <c r="J1703">
        <v>0.18676897611611321</v>
      </c>
      <c r="K1703">
        <v>4.7463908912771421E-57</v>
      </c>
      <c r="L1703">
        <v>6.2021138708183267E-57</v>
      </c>
      <c r="M1703">
        <v>0.12522106955449669</v>
      </c>
      <c r="N1703">
        <v>1.1065453742781579E-56</v>
      </c>
      <c r="O1703">
        <v>1.440355596300453E-56</v>
      </c>
      <c r="P1703">
        <v>3.9757907639533782E-2</v>
      </c>
      <c r="Q1703">
        <v>0.48058654959882241</v>
      </c>
      <c r="R1703">
        <v>-10.37867737031636</v>
      </c>
      <c r="S1703">
        <v>0.29319108175868602</v>
      </c>
      <c r="T1703">
        <v>0.23499417136832551</v>
      </c>
      <c r="U1703">
        <v>4.2555146084885838</v>
      </c>
      <c r="V1703">
        <v>0.12414549193133841</v>
      </c>
      <c r="W1703">
        <v>-8.3335342878554428</v>
      </c>
      <c r="X1703">
        <v>0.29922012865078312</v>
      </c>
      <c r="Z1703" t="s">
        <v>392</v>
      </c>
      <c r="AA1703">
        <v>140</v>
      </c>
      <c r="AB1703" t="s">
        <v>2094</v>
      </c>
      <c r="AC1703" t="str">
        <f>HYPERLINK("plots/20251231112652_3FT6Y119H04_05543_B21P_N_UFLEX98_M5358A8BA201511/dpll_52094/txpa_53190.png","plot")</f>
        <v>plot</v>
      </c>
    </row>
    <row r="1704" spans="1:29" hidden="1" x14ac:dyDescent="0.35">
      <c r="A1704" t="s">
        <v>47</v>
      </c>
      <c r="B1704">
        <v>52094</v>
      </c>
      <c r="C1704" t="s">
        <v>53</v>
      </c>
      <c r="D1704">
        <v>53191</v>
      </c>
      <c r="E1704" t="s">
        <v>66</v>
      </c>
      <c r="F1704">
        <v>7139</v>
      </c>
      <c r="G1704">
        <v>0.26279098096484138</v>
      </c>
      <c r="H1704">
        <v>4.5008453065241548E-113</v>
      </c>
      <c r="I1704">
        <v>8.0491307598156842E-113</v>
      </c>
      <c r="J1704">
        <v>0.2436476099576268</v>
      </c>
      <c r="K1704">
        <v>5.5227020358074175E-97</v>
      </c>
      <c r="L1704">
        <v>1.007197817321712E-96</v>
      </c>
      <c r="M1704">
        <v>0.16333826319037351</v>
      </c>
      <c r="N1704">
        <v>3.9134553725545601E-95</v>
      </c>
      <c r="O1704">
        <v>7.1628948515709817E-95</v>
      </c>
      <c r="P1704">
        <v>6.905909967646362E-2</v>
      </c>
      <c r="Q1704">
        <v>0.52539976754929363</v>
      </c>
      <c r="R1704">
        <v>-10.222106246307041</v>
      </c>
      <c r="S1704">
        <v>0.23946442882328001</v>
      </c>
      <c r="T1704">
        <v>0.18880052734491881</v>
      </c>
      <c r="U1704">
        <v>4.2555146084885838</v>
      </c>
      <c r="V1704">
        <v>0.12414549193133841</v>
      </c>
      <c r="W1704">
        <v>-7.9862598602045107</v>
      </c>
      <c r="X1704">
        <v>0.2482049131349163</v>
      </c>
      <c r="Z1704" t="s">
        <v>392</v>
      </c>
      <c r="AA1704">
        <v>140</v>
      </c>
      <c r="AB1704" t="s">
        <v>2095</v>
      </c>
      <c r="AC1704" t="str">
        <f>HYPERLINK("plots/20251231112652_3FT6Y119H04_05543_B21P_N_UFLEX98_M5358A8BA201511/dpll_52094/txpa_53191.png","plot")</f>
        <v>plot</v>
      </c>
    </row>
    <row r="1705" spans="1:29" hidden="1" x14ac:dyDescent="0.35">
      <c r="A1705" t="s">
        <v>47</v>
      </c>
      <c r="B1705">
        <v>52094</v>
      </c>
      <c r="C1705" t="s">
        <v>53</v>
      </c>
      <c r="D1705">
        <v>53192</v>
      </c>
      <c r="E1705" t="s">
        <v>67</v>
      </c>
      <c r="F1705">
        <v>7139</v>
      </c>
      <c r="G1705">
        <v>0.2153364981191401</v>
      </c>
      <c r="H1705">
        <v>1.143697007294197E-75</v>
      </c>
      <c r="I1705">
        <v>1.5219275136434591E-75</v>
      </c>
      <c r="J1705">
        <v>0.21503269958283691</v>
      </c>
      <c r="K1705">
        <v>1.8680363566800341E-75</v>
      </c>
      <c r="L1705">
        <v>2.802054535020051E-75</v>
      </c>
      <c r="M1705">
        <v>0.14465325467545401</v>
      </c>
      <c r="N1705">
        <v>5.0380182010749804E-75</v>
      </c>
      <c r="O1705">
        <v>7.5347351856785115E-75</v>
      </c>
      <c r="P1705">
        <v>4.6369807422214422E-2</v>
      </c>
      <c r="Q1705">
        <v>0.50804437349406795</v>
      </c>
      <c r="R1705">
        <v>-10.27399695172166</v>
      </c>
      <c r="S1705">
        <v>0.28600559608594339</v>
      </c>
      <c r="T1705">
        <v>0.22528769654089459</v>
      </c>
      <c r="U1705">
        <v>4.2555146084885838</v>
      </c>
      <c r="V1705">
        <v>0.12414549193133841</v>
      </c>
      <c r="W1705">
        <v>-8.1120066985572201</v>
      </c>
      <c r="X1705">
        <v>0.29289702034382448</v>
      </c>
      <c r="Z1705" t="s">
        <v>392</v>
      </c>
      <c r="AA1705">
        <v>140</v>
      </c>
      <c r="AB1705" t="s">
        <v>2096</v>
      </c>
      <c r="AC1705" t="str">
        <f>HYPERLINK("plots/20251231112652_3FT6Y119H04_05543_B21P_N_UFLEX98_M5358A8BA201511/dpll_52094/txpa_53192.png","plot")</f>
        <v>plot</v>
      </c>
    </row>
    <row r="1706" spans="1:29" hidden="1" x14ac:dyDescent="0.35">
      <c r="A1706" t="s">
        <v>47</v>
      </c>
      <c r="B1706">
        <v>52094</v>
      </c>
      <c r="C1706" t="s">
        <v>53</v>
      </c>
      <c r="D1706">
        <v>53193</v>
      </c>
      <c r="E1706" t="s">
        <v>68</v>
      </c>
      <c r="F1706">
        <v>7139</v>
      </c>
      <c r="G1706">
        <v>0.232737427744864</v>
      </c>
      <c r="H1706">
        <v>2.002759616601338E-88</v>
      </c>
      <c r="I1706">
        <v>2.9136273331904689E-88</v>
      </c>
      <c r="J1706">
        <v>0.22142351819050499</v>
      </c>
      <c r="K1706">
        <v>5.2445153922828342E-80</v>
      </c>
      <c r="L1706">
        <v>8.106613731364015E-80</v>
      </c>
      <c r="M1706">
        <v>0.14926173961108899</v>
      </c>
      <c r="N1706">
        <v>9.2695772511012789E-80</v>
      </c>
      <c r="O1706">
        <v>1.4527590931401389E-79</v>
      </c>
      <c r="P1706">
        <v>5.4166710273295803E-2</v>
      </c>
      <c r="Q1706">
        <v>0.52978944542185935</v>
      </c>
      <c r="R1706">
        <v>-10.21820346275449</v>
      </c>
      <c r="S1706">
        <v>0.274817828786178</v>
      </c>
      <c r="T1706">
        <v>0.21896973014359461</v>
      </c>
      <c r="U1706">
        <v>4.2555146084885838</v>
      </c>
      <c r="V1706">
        <v>0.12414549193133841</v>
      </c>
      <c r="W1706">
        <v>-7.9636767383387026</v>
      </c>
      <c r="X1706">
        <v>0.28259731131010202</v>
      </c>
      <c r="Z1706" t="s">
        <v>392</v>
      </c>
      <c r="AA1706">
        <v>140</v>
      </c>
      <c r="AB1706" t="s">
        <v>2097</v>
      </c>
      <c r="AC1706" t="str">
        <f>HYPERLINK("plots/20251231112652_3FT6Y119H04_05543_B21P_N_UFLEX98_M5358A8BA201511/dpll_52094/txpa_53193.png","plot")</f>
        <v>plot</v>
      </c>
    </row>
    <row r="1707" spans="1:29" hidden="1" x14ac:dyDescent="0.35">
      <c r="A1707" t="s">
        <v>47</v>
      </c>
      <c r="B1707">
        <v>52094</v>
      </c>
      <c r="C1707" t="s">
        <v>53</v>
      </c>
      <c r="D1707">
        <v>53194</v>
      </c>
      <c r="E1707" t="s">
        <v>69</v>
      </c>
      <c r="F1707">
        <v>7139</v>
      </c>
      <c r="G1707">
        <v>0.28483669796999872</v>
      </c>
      <c r="H1707">
        <v>2.447727637601499E-133</v>
      </c>
      <c r="I1707">
        <v>5.1816196754236323E-133</v>
      </c>
      <c r="J1707">
        <v>0.25773172863624638</v>
      </c>
      <c r="K1707">
        <v>1.095335163068318E-108</v>
      </c>
      <c r="L1707">
        <v>2.1863579829749501E-108</v>
      </c>
      <c r="M1707">
        <v>0.17327370988396351</v>
      </c>
      <c r="N1707">
        <v>8.1446744006607429E-107</v>
      </c>
      <c r="O1707">
        <v>1.6289348801321491E-106</v>
      </c>
      <c r="P1707">
        <v>8.1131944510452247E-2</v>
      </c>
      <c r="Q1707">
        <v>0.61429041326655642</v>
      </c>
      <c r="R1707">
        <v>-11.108131410505139</v>
      </c>
      <c r="S1707">
        <v>0.25662851243121232</v>
      </c>
      <c r="T1707">
        <v>0.20163670905058181</v>
      </c>
      <c r="U1707">
        <v>4.2555146084885838</v>
      </c>
      <c r="V1707">
        <v>0.12414549193133841</v>
      </c>
      <c r="W1707">
        <v>-8.494009582994817</v>
      </c>
      <c r="X1707">
        <v>0.26773721956190588</v>
      </c>
      <c r="Z1707" t="s">
        <v>392</v>
      </c>
      <c r="AA1707">
        <v>140</v>
      </c>
      <c r="AB1707" t="s">
        <v>2098</v>
      </c>
      <c r="AC1707" t="str">
        <f>HYPERLINK("plots/20251231112652_3FT6Y119H04_05543_B21P_N_UFLEX98_M5358A8BA201511/dpll_52094/txpa_53194.png","plot")</f>
        <v>plot</v>
      </c>
    </row>
    <row r="1708" spans="1:29" hidden="1" x14ac:dyDescent="0.35">
      <c r="A1708" t="s">
        <v>47</v>
      </c>
      <c r="B1708">
        <v>52094</v>
      </c>
      <c r="C1708" t="s">
        <v>53</v>
      </c>
      <c r="D1708">
        <v>53195</v>
      </c>
      <c r="E1708" t="s">
        <v>70</v>
      </c>
      <c r="F1708">
        <v>7139</v>
      </c>
      <c r="G1708">
        <v>0.25991514080886052</v>
      </c>
      <c r="H1708">
        <v>1.44049943361501E-110</v>
      </c>
      <c r="I1708">
        <v>2.509736126607595E-110</v>
      </c>
      <c r="J1708">
        <v>0.25111871162370369</v>
      </c>
      <c r="K1708">
        <v>4.235183343160824E-103</v>
      </c>
      <c r="L1708">
        <v>8.102784735783161E-103</v>
      </c>
      <c r="M1708">
        <v>0.16838119045912431</v>
      </c>
      <c r="N1708">
        <v>5.4531913112007548E-101</v>
      </c>
      <c r="O1708">
        <v>1.045280905398406E-100</v>
      </c>
      <c r="P1708">
        <v>6.7555880421689765E-2</v>
      </c>
      <c r="Q1708">
        <v>0.52422854350631654</v>
      </c>
      <c r="R1708">
        <v>-4.7191284828170028</v>
      </c>
      <c r="S1708">
        <v>0.2417692296014777</v>
      </c>
      <c r="T1708">
        <v>0.18825492438422811</v>
      </c>
      <c r="U1708">
        <v>4.2555146084885838</v>
      </c>
      <c r="V1708">
        <v>0.12414549193133841</v>
      </c>
      <c r="W1708">
        <v>-2.4882662577391801</v>
      </c>
      <c r="X1708">
        <v>0.25039176330978141</v>
      </c>
      <c r="Z1708" t="s">
        <v>392</v>
      </c>
      <c r="AA1708">
        <v>140</v>
      </c>
      <c r="AB1708" t="s">
        <v>2099</v>
      </c>
      <c r="AC1708" t="str">
        <f>HYPERLINK("plots/20251231112652_3FT6Y119H04_05543_B21P_N_UFLEX98_M5358A8BA201511/dpll_52094/txpa_53195.png","plot")</f>
        <v>plot</v>
      </c>
    </row>
    <row r="1709" spans="1:29" hidden="1" x14ac:dyDescent="0.35">
      <c r="A1709" t="s">
        <v>47</v>
      </c>
      <c r="B1709">
        <v>52094</v>
      </c>
      <c r="C1709" t="s">
        <v>53</v>
      </c>
      <c r="D1709">
        <v>53196</v>
      </c>
      <c r="E1709" t="s">
        <v>71</v>
      </c>
      <c r="F1709">
        <v>7139</v>
      </c>
      <c r="G1709">
        <v>0.2000139301762037</v>
      </c>
      <c r="H1709">
        <v>2.5035627620433371E-65</v>
      </c>
      <c r="I1709">
        <v>3.1418473276137922E-65</v>
      </c>
      <c r="J1709">
        <v>0.19370703693831129</v>
      </c>
      <c r="K1709">
        <v>2.6056440478215729E-61</v>
      </c>
      <c r="L1709">
        <v>3.471909414574343E-61</v>
      </c>
      <c r="M1709">
        <v>0.12930679211831211</v>
      </c>
      <c r="N1709">
        <v>2.5030261039076912E-60</v>
      </c>
      <c r="O1709">
        <v>3.3395637754768398E-60</v>
      </c>
      <c r="P1709">
        <v>4.0005572264531289E-2</v>
      </c>
      <c r="Q1709">
        <v>0.50782917031743524</v>
      </c>
      <c r="R1709">
        <v>-4.6023449629178916</v>
      </c>
      <c r="S1709">
        <v>0.30881066507975868</v>
      </c>
      <c r="T1709">
        <v>0.24898862373973671</v>
      </c>
      <c r="U1709">
        <v>4.2555146084885838</v>
      </c>
      <c r="V1709">
        <v>0.12414549193133841</v>
      </c>
      <c r="W1709">
        <v>-2.441270510015408</v>
      </c>
      <c r="X1709">
        <v>0.31520155676458012</v>
      </c>
      <c r="Z1709" t="s">
        <v>392</v>
      </c>
      <c r="AA1709">
        <v>140</v>
      </c>
      <c r="AB1709" t="s">
        <v>2100</v>
      </c>
      <c r="AC1709" t="str">
        <f>HYPERLINK("plots/20251231112652_3FT6Y119H04_05543_B21P_N_UFLEX98_M5358A8BA201511/dpll_52094/txpa_53196.png","plot")</f>
        <v>plot</v>
      </c>
    </row>
    <row r="1710" spans="1:29" hidden="1" x14ac:dyDescent="0.35">
      <c r="A1710" t="s">
        <v>47</v>
      </c>
      <c r="B1710">
        <v>52094</v>
      </c>
      <c r="C1710" t="s">
        <v>53</v>
      </c>
      <c r="D1710">
        <v>53197</v>
      </c>
      <c r="E1710" t="s">
        <v>72</v>
      </c>
      <c r="F1710">
        <v>7139</v>
      </c>
      <c r="G1710">
        <v>0.26122090801991088</v>
      </c>
      <c r="H1710">
        <v>1.0590803588036051E-111</v>
      </c>
      <c r="I1710">
        <v>1.8515646272876811E-111</v>
      </c>
      <c r="J1710">
        <v>0.25421587828346698</v>
      </c>
      <c r="K1710">
        <v>1.072964957566133E-105</v>
      </c>
      <c r="L1710">
        <v>2.092281667253958E-105</v>
      </c>
      <c r="M1710">
        <v>0.1703994768600357</v>
      </c>
      <c r="N1710">
        <v>2.223793401275508E-103</v>
      </c>
      <c r="O1710">
        <v>4.3615599785171478E-103</v>
      </c>
      <c r="P1710">
        <v>6.8236362786746774E-2</v>
      </c>
      <c r="Q1710">
        <v>0.50902051153591976</v>
      </c>
      <c r="R1710">
        <v>-4.3485794783594072</v>
      </c>
      <c r="S1710">
        <v>0.23349670788963631</v>
      </c>
      <c r="T1710">
        <v>0.18503271006756569</v>
      </c>
      <c r="U1710">
        <v>4.2555146084885838</v>
      </c>
      <c r="V1710">
        <v>0.12414549193133841</v>
      </c>
      <c r="W1710">
        <v>-2.1824352554979689</v>
      </c>
      <c r="X1710">
        <v>0.2419124957752293</v>
      </c>
      <c r="Z1710" t="s">
        <v>392</v>
      </c>
      <c r="AA1710">
        <v>140</v>
      </c>
      <c r="AB1710" t="s">
        <v>2101</v>
      </c>
      <c r="AC1710" t="str">
        <f>HYPERLINK("plots/20251231112652_3FT6Y119H04_05543_B21P_N_UFLEX98_M5358A8BA201511/dpll_52094/txpa_53197.png","plot")</f>
        <v>plot</v>
      </c>
    </row>
    <row r="1711" spans="1:29" hidden="1" x14ac:dyDescent="0.35">
      <c r="A1711" t="s">
        <v>47</v>
      </c>
      <c r="B1711">
        <v>52094</v>
      </c>
      <c r="C1711" t="s">
        <v>53</v>
      </c>
      <c r="D1711">
        <v>53198</v>
      </c>
      <c r="E1711" t="s">
        <v>73</v>
      </c>
      <c r="F1711">
        <v>7139</v>
      </c>
      <c r="G1711">
        <v>0.20621161971466909</v>
      </c>
      <c r="H1711">
        <v>2.0684134648662601E-69</v>
      </c>
      <c r="I1711">
        <v>2.6415255080281961E-69</v>
      </c>
      <c r="J1711">
        <v>0.1959127350571146</v>
      </c>
      <c r="K1711">
        <v>1.0632545632662681E-62</v>
      </c>
      <c r="L1711">
        <v>1.4413638063529351E-62</v>
      </c>
      <c r="M1711">
        <v>0.1313440627327947</v>
      </c>
      <c r="N1711">
        <v>3.4743355492592849E-62</v>
      </c>
      <c r="O1711">
        <v>4.697301662598554E-62</v>
      </c>
      <c r="P1711">
        <v>4.2523232105347288E-2</v>
      </c>
      <c r="Q1711">
        <v>0.47932774241125198</v>
      </c>
      <c r="R1711">
        <v>-4.4195614938781844</v>
      </c>
      <c r="S1711">
        <v>0.28234759273593568</v>
      </c>
      <c r="T1711">
        <v>0.2269195369724043</v>
      </c>
      <c r="U1711">
        <v>4.2555146084885838</v>
      </c>
      <c r="V1711">
        <v>0.12414549193133841</v>
      </c>
      <c r="W1711">
        <v>-2.379775283793248</v>
      </c>
      <c r="X1711">
        <v>0.28856947275968498</v>
      </c>
      <c r="Z1711" t="s">
        <v>392</v>
      </c>
      <c r="AA1711">
        <v>140</v>
      </c>
      <c r="AB1711" t="s">
        <v>2102</v>
      </c>
      <c r="AC1711" t="str">
        <f>HYPERLINK("plots/20251231112652_3FT6Y119H04_05543_B21P_N_UFLEX98_M5358A8BA201511/dpll_52094/txpa_53198.png","plot")</f>
        <v>plot</v>
      </c>
    </row>
    <row r="1712" spans="1:29" hidden="1" x14ac:dyDescent="0.35">
      <c r="A1712" t="s">
        <v>47</v>
      </c>
      <c r="B1712">
        <v>52094</v>
      </c>
      <c r="C1712" t="s">
        <v>53</v>
      </c>
      <c r="D1712">
        <v>53199</v>
      </c>
      <c r="E1712" t="s">
        <v>74</v>
      </c>
      <c r="F1712">
        <v>7139</v>
      </c>
      <c r="G1712">
        <v>0.27725641832510167</v>
      </c>
      <c r="H1712">
        <v>3.7171379020848912E-126</v>
      </c>
      <c r="I1712">
        <v>7.2623850341311736E-126</v>
      </c>
      <c r="J1712">
        <v>0.2632728562649585</v>
      </c>
      <c r="K1712">
        <v>1.699948872277401E-113</v>
      </c>
      <c r="L1712">
        <v>3.4683061498778352E-113</v>
      </c>
      <c r="M1712">
        <v>0.17686588755843119</v>
      </c>
      <c r="N1712">
        <v>3.1859176875982681E-111</v>
      </c>
      <c r="O1712">
        <v>6.5000413183594427E-111</v>
      </c>
      <c r="P1712">
        <v>7.6871121502463807E-2</v>
      </c>
      <c r="Q1712">
        <v>0.52802320088063648</v>
      </c>
      <c r="R1712">
        <v>-4.2821963274449866</v>
      </c>
      <c r="S1712">
        <v>0.22714495747854449</v>
      </c>
      <c r="T1712">
        <v>0.1789772475866859</v>
      </c>
      <c r="U1712">
        <v>4.2555146084885838</v>
      </c>
      <c r="V1712">
        <v>0.12414549193133841</v>
      </c>
      <c r="W1712">
        <v>-2.035185882476537</v>
      </c>
      <c r="X1712">
        <v>0.23642987390691439</v>
      </c>
      <c r="Z1712" t="s">
        <v>392</v>
      </c>
      <c r="AA1712">
        <v>140</v>
      </c>
      <c r="AB1712" t="s">
        <v>2103</v>
      </c>
      <c r="AC1712" t="str">
        <f>HYPERLINK("plots/20251231112652_3FT6Y119H04_05543_B21P_N_UFLEX98_M5358A8BA201511/dpll_52094/txpa_53199.png","plot")</f>
        <v>plot</v>
      </c>
    </row>
    <row r="1713" spans="1:29" hidden="1" x14ac:dyDescent="0.35">
      <c r="A1713" t="s">
        <v>47</v>
      </c>
      <c r="B1713">
        <v>52094</v>
      </c>
      <c r="C1713" t="s">
        <v>53</v>
      </c>
      <c r="D1713">
        <v>53200</v>
      </c>
      <c r="E1713" t="s">
        <v>75</v>
      </c>
      <c r="F1713">
        <v>7139</v>
      </c>
      <c r="G1713">
        <v>0.22591347338386711</v>
      </c>
      <c r="H1713">
        <v>2.7184596668551189E-83</v>
      </c>
      <c r="I1713">
        <v>3.7968568900703719E-83</v>
      </c>
      <c r="J1713">
        <v>0.23042407945235199</v>
      </c>
      <c r="K1713">
        <v>1.1496472759620529E-86</v>
      </c>
      <c r="L1713">
        <v>1.9079252664902149E-86</v>
      </c>
      <c r="M1713">
        <v>0.15548035179212391</v>
      </c>
      <c r="N1713">
        <v>2.161558844117761E-86</v>
      </c>
      <c r="O1713">
        <v>3.6288421654559758E-86</v>
      </c>
      <c r="P1713">
        <v>5.103689745636323E-2</v>
      </c>
      <c r="Q1713">
        <v>0.51625788012815721</v>
      </c>
      <c r="R1713">
        <v>-4.3405517510249334</v>
      </c>
      <c r="S1713">
        <v>0.27634382132012503</v>
      </c>
      <c r="T1713">
        <v>0.2172023636887308</v>
      </c>
      <c r="U1713">
        <v>4.2555146084885838</v>
      </c>
      <c r="V1713">
        <v>0.12414549193133841</v>
      </c>
      <c r="W1713">
        <v>-2.143608800392212</v>
      </c>
      <c r="X1713">
        <v>0.28369750388033682</v>
      </c>
      <c r="Z1713" t="s">
        <v>392</v>
      </c>
      <c r="AA1713">
        <v>140</v>
      </c>
      <c r="AB1713" t="s">
        <v>2104</v>
      </c>
      <c r="AC1713" t="str">
        <f>HYPERLINK("plots/20251231112652_3FT6Y119H04_05543_B21P_N_UFLEX98_M5358A8BA201511/dpll_52094/txpa_53200.png","plot")</f>
        <v>plot</v>
      </c>
    </row>
    <row r="1714" spans="1:29" hidden="1" x14ac:dyDescent="0.35">
      <c r="A1714" t="s">
        <v>47</v>
      </c>
      <c r="B1714">
        <v>52094</v>
      </c>
      <c r="C1714" t="s">
        <v>53</v>
      </c>
      <c r="D1714">
        <v>53201</v>
      </c>
      <c r="E1714" t="s">
        <v>76</v>
      </c>
      <c r="F1714">
        <v>7139</v>
      </c>
      <c r="G1714">
        <v>0.2419746708364941</v>
      </c>
      <c r="H1714">
        <v>1.2108194458141979E-95</v>
      </c>
      <c r="I1714">
        <v>1.8574446566650479E-95</v>
      </c>
      <c r="J1714">
        <v>0.233725509834628</v>
      </c>
      <c r="K1714">
        <v>3.5027405236544408E-89</v>
      </c>
      <c r="L1714">
        <v>5.9593605553449711E-89</v>
      </c>
      <c r="M1714">
        <v>0.15769853386431601</v>
      </c>
      <c r="N1714">
        <v>8.0715829713497818E-89</v>
      </c>
      <c r="O1714">
        <v>1.3895730276653109E-88</v>
      </c>
      <c r="P1714">
        <v>5.8551741326429679E-2</v>
      </c>
      <c r="Q1714">
        <v>0.52895486868964658</v>
      </c>
      <c r="R1714">
        <v>-4.2343704134108862</v>
      </c>
      <c r="S1714">
        <v>0.2632979476861812</v>
      </c>
      <c r="T1714">
        <v>0.2100341812270432</v>
      </c>
      <c r="U1714">
        <v>4.2555146084885838</v>
      </c>
      <c r="V1714">
        <v>0.12414549193133841</v>
      </c>
      <c r="W1714">
        <v>-1.983395242470934</v>
      </c>
      <c r="X1714">
        <v>0.27138114148866871</v>
      </c>
      <c r="Z1714" t="s">
        <v>392</v>
      </c>
      <c r="AA1714">
        <v>140</v>
      </c>
      <c r="AB1714" t="s">
        <v>2105</v>
      </c>
      <c r="AC1714" t="str">
        <f>HYPERLINK("plots/20251231112652_3FT6Y119H04_05543_B21P_N_UFLEX98_M5358A8BA201511/dpll_52094/txpa_53201.png","plot")</f>
        <v>plot</v>
      </c>
    </row>
    <row r="1715" spans="1:29" hidden="1" x14ac:dyDescent="0.35">
      <c r="A1715" t="s">
        <v>47</v>
      </c>
      <c r="B1715">
        <v>52094</v>
      </c>
      <c r="C1715" t="s">
        <v>53</v>
      </c>
      <c r="D1715">
        <v>53202</v>
      </c>
      <c r="E1715" t="s">
        <v>77</v>
      </c>
      <c r="F1715">
        <v>7139</v>
      </c>
      <c r="G1715">
        <v>0.29255052022666611</v>
      </c>
      <c r="H1715">
        <v>7.0301643393778724E-141</v>
      </c>
      <c r="I1715">
        <v>1.6019295820514969E-140</v>
      </c>
      <c r="J1715">
        <v>0.26819976686049601</v>
      </c>
      <c r="K1715">
        <v>7.1765482747754883E-118</v>
      </c>
      <c r="L1715">
        <v>1.5128939606283459E-117</v>
      </c>
      <c r="M1715">
        <v>0.18063228093549921</v>
      </c>
      <c r="N1715">
        <v>6.3178329435949122E-116</v>
      </c>
      <c r="O1715">
        <v>1.3430361854937611E-115</v>
      </c>
      <c r="P1715">
        <v>8.5585806884892979E-2</v>
      </c>
      <c r="Q1715">
        <v>0.60399277038756194</v>
      </c>
      <c r="R1715">
        <v>-5.0659936095637104</v>
      </c>
      <c r="S1715">
        <v>0.24507718273519691</v>
      </c>
      <c r="T1715">
        <v>0.19294824841850919</v>
      </c>
      <c r="U1715">
        <v>4.2555146084885838</v>
      </c>
      <c r="V1715">
        <v>0.12414549193133841</v>
      </c>
      <c r="W1715">
        <v>-2.4956935517579488</v>
      </c>
      <c r="X1715">
        <v>0.25630779786219321</v>
      </c>
      <c r="Z1715" t="s">
        <v>392</v>
      </c>
      <c r="AA1715">
        <v>140</v>
      </c>
      <c r="AB1715" t="s">
        <v>2106</v>
      </c>
      <c r="AC1715" t="str">
        <f>HYPERLINK("plots/20251231112652_3FT6Y119H04_05543_B21P_N_UFLEX98_M5358A8BA201511/dpll_52094/txpa_53202.png","plot")</f>
        <v>plot</v>
      </c>
    </row>
    <row r="1716" spans="1:29" hidden="1" x14ac:dyDescent="0.35">
      <c r="A1716" t="s">
        <v>47</v>
      </c>
      <c r="B1716">
        <v>52094</v>
      </c>
      <c r="C1716" t="s">
        <v>53</v>
      </c>
      <c r="D1716">
        <v>53203</v>
      </c>
      <c r="E1716" t="s">
        <v>78</v>
      </c>
      <c r="F1716">
        <v>7139</v>
      </c>
      <c r="G1716">
        <v>0.27065883864267759</v>
      </c>
      <c r="H1716">
        <v>4.3412823440251142E-120</v>
      </c>
      <c r="I1716">
        <v>8.1822682097425015E-120</v>
      </c>
      <c r="J1716">
        <v>0.26572725243099832</v>
      </c>
      <c r="K1716">
        <v>1.1557342936145909E-115</v>
      </c>
      <c r="L1716">
        <v>2.4163187087117432E-115</v>
      </c>
      <c r="M1716">
        <v>0.17867191442746511</v>
      </c>
      <c r="N1716">
        <v>1.8117487908657549E-113</v>
      </c>
      <c r="O1716">
        <v>3.7878624204904651E-113</v>
      </c>
      <c r="P1716">
        <v>7.3256206935402982E-2</v>
      </c>
      <c r="Q1716">
        <v>0.52869990005204326</v>
      </c>
      <c r="R1716">
        <v>-1.715340554804623</v>
      </c>
      <c r="S1716">
        <v>0.23343576297816709</v>
      </c>
      <c r="T1716">
        <v>0.1815297228987259</v>
      </c>
      <c r="U1716">
        <v>4.2555146084885838</v>
      </c>
      <c r="V1716">
        <v>0.12414549193133841</v>
      </c>
      <c r="W1716">
        <v>0.53454959337330155</v>
      </c>
      <c r="X1716">
        <v>0.24250347598166669</v>
      </c>
      <c r="Z1716" t="s">
        <v>392</v>
      </c>
      <c r="AA1716">
        <v>140</v>
      </c>
      <c r="AB1716" t="s">
        <v>2107</v>
      </c>
      <c r="AC1716" t="str">
        <f>HYPERLINK("plots/20251231112652_3FT6Y119H04_05543_B21P_N_UFLEX98_M5358A8BA201511/dpll_52094/txpa_53203.png","plot")</f>
        <v>plot</v>
      </c>
    </row>
    <row r="1717" spans="1:29" hidden="1" x14ac:dyDescent="0.35">
      <c r="A1717" t="s">
        <v>47</v>
      </c>
      <c r="B1717">
        <v>52094</v>
      </c>
      <c r="C1717" t="s">
        <v>53</v>
      </c>
      <c r="D1717">
        <v>53204</v>
      </c>
      <c r="E1717" t="s">
        <v>79</v>
      </c>
      <c r="F1717">
        <v>7139</v>
      </c>
      <c r="G1717">
        <v>0.2107813681073854</v>
      </c>
      <c r="H1717">
        <v>1.654860666748335E-72</v>
      </c>
      <c r="I1717">
        <v>2.154080508450336E-72</v>
      </c>
      <c r="J1717">
        <v>0.20668876133586461</v>
      </c>
      <c r="K1717">
        <v>9.9019816992041881E-70</v>
      </c>
      <c r="L1717">
        <v>1.4121813562578121E-69</v>
      </c>
      <c r="M1717">
        <v>0.13802919567646341</v>
      </c>
      <c r="N1717">
        <v>1.7384975950954399E-68</v>
      </c>
      <c r="O1717">
        <v>2.462062236629576E-68</v>
      </c>
      <c r="P1717">
        <v>4.4428785141221117E-2</v>
      </c>
      <c r="Q1717">
        <v>0.51757545001988181</v>
      </c>
      <c r="R1717">
        <v>-1.620472187372141</v>
      </c>
      <c r="S1717">
        <v>0.29797066715530812</v>
      </c>
      <c r="T1717">
        <v>0.2402482708170077</v>
      </c>
      <c r="U1717">
        <v>4.2555146084885838</v>
      </c>
      <c r="V1717">
        <v>0.12414549193133841</v>
      </c>
      <c r="W1717">
        <v>0.58207770118251845</v>
      </c>
      <c r="X1717">
        <v>0.30484031596932548</v>
      </c>
      <c r="Z1717" t="s">
        <v>392</v>
      </c>
      <c r="AA1717">
        <v>140</v>
      </c>
      <c r="AB1717" t="s">
        <v>2108</v>
      </c>
      <c r="AC1717" t="str">
        <f>HYPERLINK("plots/20251231112652_3FT6Y119H04_05543_B21P_N_UFLEX98_M5358A8BA201511/dpll_52094/txpa_53204.png","plot")</f>
        <v>plot</v>
      </c>
    </row>
    <row r="1718" spans="1:29" hidden="1" x14ac:dyDescent="0.35">
      <c r="A1718" t="s">
        <v>47</v>
      </c>
      <c r="B1718">
        <v>52094</v>
      </c>
      <c r="C1718" t="s">
        <v>53</v>
      </c>
      <c r="D1718">
        <v>53205</v>
      </c>
      <c r="E1718" t="s">
        <v>80</v>
      </c>
      <c r="F1718">
        <v>7139</v>
      </c>
      <c r="G1718">
        <v>0.27634162104785009</v>
      </c>
      <c r="H1718">
        <v>2.6400816412538867E-125</v>
      </c>
      <c r="I1718">
        <v>5.1284344525506547E-125</v>
      </c>
      <c r="J1718">
        <v>0.27199146092733217</v>
      </c>
      <c r="K1718">
        <v>2.6650877542681882E-121</v>
      </c>
      <c r="L1718">
        <v>5.8116107157590166E-121</v>
      </c>
      <c r="M1718">
        <v>0.18267850867024271</v>
      </c>
      <c r="N1718">
        <v>1.589623336884479E-118</v>
      </c>
      <c r="O1718">
        <v>3.5193844183424939E-118</v>
      </c>
      <c r="P1718">
        <v>7.6364691523353581E-2</v>
      </c>
      <c r="Q1718">
        <v>0.51955342592622944</v>
      </c>
      <c r="R1718">
        <v>-1.3835924067997361</v>
      </c>
      <c r="S1718">
        <v>0.22430280771716829</v>
      </c>
      <c r="T1718">
        <v>0.17738105544597049</v>
      </c>
      <c r="U1718">
        <v>4.2555146084885838</v>
      </c>
      <c r="V1718">
        <v>0.12414549193133841</v>
      </c>
      <c r="W1718">
        <v>0.82737478711962464</v>
      </c>
      <c r="X1718">
        <v>0.23340753159675259</v>
      </c>
      <c r="Z1718" t="s">
        <v>392</v>
      </c>
      <c r="AA1718">
        <v>140</v>
      </c>
      <c r="AB1718" t="s">
        <v>2109</v>
      </c>
      <c r="AC1718" t="str">
        <f>HYPERLINK("plots/20251231112652_3FT6Y119H04_05543_B21P_N_UFLEX98_M5358A8BA201511/dpll_52094/txpa_53205.png","plot")</f>
        <v>plot</v>
      </c>
    </row>
    <row r="1719" spans="1:29" hidden="1" x14ac:dyDescent="0.35">
      <c r="A1719" t="s">
        <v>47</v>
      </c>
      <c r="B1719">
        <v>52094</v>
      </c>
      <c r="C1719" t="s">
        <v>53</v>
      </c>
      <c r="D1719">
        <v>53206</v>
      </c>
      <c r="E1719" t="s">
        <v>81</v>
      </c>
      <c r="F1719">
        <v>7139</v>
      </c>
      <c r="G1719">
        <v>0.21737967871803349</v>
      </c>
      <c r="H1719">
        <v>4.1376673334138143E-77</v>
      </c>
      <c r="I1719">
        <v>5.5423971942953864E-77</v>
      </c>
      <c r="J1719">
        <v>0.20956198981912569</v>
      </c>
      <c r="K1719">
        <v>1.1280461616226511E-71</v>
      </c>
      <c r="L1719">
        <v>1.6410886770234829E-71</v>
      </c>
      <c r="M1719">
        <v>0.14060602992578</v>
      </c>
      <c r="N1719">
        <v>5.3638796562057844E-71</v>
      </c>
      <c r="O1719">
        <v>7.8484472891669046E-71</v>
      </c>
      <c r="P1719">
        <v>4.7253924719555453E-2</v>
      </c>
      <c r="Q1719">
        <v>0.48981051399227538</v>
      </c>
      <c r="R1719">
        <v>-1.449132834711484</v>
      </c>
      <c r="S1719">
        <v>0.27302239965020519</v>
      </c>
      <c r="T1719">
        <v>0.21950710127527451</v>
      </c>
      <c r="U1719">
        <v>4.2555146084885838</v>
      </c>
      <c r="V1719">
        <v>0.12414549193133841</v>
      </c>
      <c r="W1719">
        <v>0.63526296297394591</v>
      </c>
      <c r="X1719">
        <v>0.27973068858744338</v>
      </c>
      <c r="Z1719" t="s">
        <v>392</v>
      </c>
      <c r="AA1719">
        <v>140</v>
      </c>
      <c r="AB1719" t="s">
        <v>2110</v>
      </c>
      <c r="AC1719" t="str">
        <f>HYPERLINK("plots/20251231112652_3FT6Y119H04_05543_B21P_N_UFLEX98_M5358A8BA201511/dpll_52094/txpa_53206.png","plot")</f>
        <v>plot</v>
      </c>
    </row>
    <row r="1720" spans="1:29" hidden="1" x14ac:dyDescent="0.35">
      <c r="A1720" t="s">
        <v>47</v>
      </c>
      <c r="B1720">
        <v>52094</v>
      </c>
      <c r="C1720" t="s">
        <v>53</v>
      </c>
      <c r="D1720">
        <v>53207</v>
      </c>
      <c r="E1720" t="s">
        <v>82</v>
      </c>
      <c r="F1720">
        <v>7139</v>
      </c>
      <c r="G1720">
        <v>0.29387921539230533</v>
      </c>
      <c r="H1720">
        <v>3.3407940057723857E-142</v>
      </c>
      <c r="I1720">
        <v>7.76964477489266E-142</v>
      </c>
      <c r="J1720">
        <v>0.2828868367257667</v>
      </c>
      <c r="K1720">
        <v>1.8099591736774671E-131</v>
      </c>
      <c r="L1720">
        <v>4.465446720459736E-131</v>
      </c>
      <c r="M1720">
        <v>0.1905454032046163</v>
      </c>
      <c r="N1720">
        <v>8.8585208700785681E-129</v>
      </c>
      <c r="O1720">
        <v>2.1908634542096749E-128</v>
      </c>
      <c r="P1720">
        <v>8.6364993239596982E-2</v>
      </c>
      <c r="Q1720">
        <v>0.54158117789493965</v>
      </c>
      <c r="R1720">
        <v>-1.34173985560392</v>
      </c>
      <c r="S1720">
        <v>0.21866616644525591</v>
      </c>
      <c r="T1720">
        <v>0.1722740507221335</v>
      </c>
      <c r="U1720">
        <v>4.2555146084885838</v>
      </c>
      <c r="V1720">
        <v>0.12414549193133841</v>
      </c>
      <c r="W1720">
        <v>0.96296675861044956</v>
      </c>
      <c r="X1720">
        <v>0.22878399774127539</v>
      </c>
      <c r="Z1720" t="s">
        <v>392</v>
      </c>
      <c r="AA1720">
        <v>140</v>
      </c>
      <c r="AB1720" t="s">
        <v>2111</v>
      </c>
      <c r="AC1720" t="str">
        <f>HYPERLINK("plots/20251231112652_3FT6Y119H04_05543_B21P_N_UFLEX98_M5358A8BA201511/dpll_52094/txpa_53207.png","plot")</f>
        <v>plot</v>
      </c>
    </row>
    <row r="1721" spans="1:29" hidden="1" x14ac:dyDescent="0.35">
      <c r="A1721" t="s">
        <v>47</v>
      </c>
      <c r="B1721">
        <v>52094</v>
      </c>
      <c r="C1721" t="s">
        <v>53</v>
      </c>
      <c r="D1721">
        <v>53208</v>
      </c>
      <c r="E1721" t="s">
        <v>83</v>
      </c>
      <c r="F1721">
        <v>7139</v>
      </c>
      <c r="G1721">
        <v>0.23811225977821629</v>
      </c>
      <c r="H1721">
        <v>1.378813356227698E-92</v>
      </c>
      <c r="I1721">
        <v>2.086741407783411E-92</v>
      </c>
      <c r="J1721">
        <v>0.24566120661388671</v>
      </c>
      <c r="K1721">
        <v>1.3014378863082189E-98</v>
      </c>
      <c r="L1721">
        <v>2.4077917993950069E-98</v>
      </c>
      <c r="M1721">
        <v>0.1660049537230171</v>
      </c>
      <c r="N1721">
        <v>3.2319625980125819E-98</v>
      </c>
      <c r="O1721">
        <v>6.0576896014505696E-98</v>
      </c>
      <c r="P1721">
        <v>5.6697448256688737E-2</v>
      </c>
      <c r="Q1721">
        <v>0.52516822339248748</v>
      </c>
      <c r="R1721">
        <v>-1.3741596971049199</v>
      </c>
      <c r="S1721">
        <v>0.26591493052316051</v>
      </c>
      <c r="T1721">
        <v>0.20902442071868391</v>
      </c>
      <c r="U1721">
        <v>4.2555146084885838</v>
      </c>
      <c r="V1721">
        <v>0.12414549193133841</v>
      </c>
      <c r="W1721">
        <v>0.86070134945580612</v>
      </c>
      <c r="X1721">
        <v>0.27380894835273811</v>
      </c>
      <c r="Z1721" t="s">
        <v>392</v>
      </c>
      <c r="AA1721">
        <v>140</v>
      </c>
      <c r="AB1721" t="s">
        <v>2112</v>
      </c>
      <c r="AC1721" t="str">
        <f>HYPERLINK("plots/20251231112652_3FT6Y119H04_05543_B21P_N_UFLEX98_M5358A8BA201511/dpll_52094/txpa_53208.png","plot")</f>
        <v>plot</v>
      </c>
    </row>
    <row r="1722" spans="1:29" hidden="1" x14ac:dyDescent="0.35">
      <c r="A1722" t="s">
        <v>47</v>
      </c>
      <c r="B1722">
        <v>52094</v>
      </c>
      <c r="C1722" t="s">
        <v>53</v>
      </c>
      <c r="D1722">
        <v>53209</v>
      </c>
      <c r="E1722" t="s">
        <v>84</v>
      </c>
      <c r="F1722">
        <v>7139</v>
      </c>
      <c r="G1722">
        <v>0.25638087657543862</v>
      </c>
      <c r="H1722">
        <v>1.564152731747047E-107</v>
      </c>
      <c r="I1722">
        <v>2.6434181166525091E-107</v>
      </c>
      <c r="J1722">
        <v>0.2501713718803863</v>
      </c>
      <c r="K1722">
        <v>2.5931070523408689E-102</v>
      </c>
      <c r="L1722">
        <v>4.9332280507948233E-102</v>
      </c>
      <c r="M1722">
        <v>0.16900042369772031</v>
      </c>
      <c r="N1722">
        <v>1.007947450764546E-101</v>
      </c>
      <c r="O1722">
        <v>1.9467785049052369E-101</v>
      </c>
      <c r="P1722">
        <v>6.573115387359027E-2</v>
      </c>
      <c r="Q1722">
        <v>0.53868614254008051</v>
      </c>
      <c r="R1722">
        <v>-1.274540948535442</v>
      </c>
      <c r="S1722">
        <v>0.25210800966433511</v>
      </c>
      <c r="T1722">
        <v>0.20069055006322589</v>
      </c>
      <c r="U1722">
        <v>4.2555146084885838</v>
      </c>
      <c r="V1722">
        <v>0.12414549193133841</v>
      </c>
      <c r="W1722">
        <v>1.017845800434235</v>
      </c>
      <c r="X1722">
        <v>0.26084416691100459</v>
      </c>
      <c r="Z1722" t="s">
        <v>392</v>
      </c>
      <c r="AA1722">
        <v>140</v>
      </c>
      <c r="AB1722" t="s">
        <v>2113</v>
      </c>
      <c r="AC1722" t="str">
        <f>HYPERLINK("plots/20251231112652_3FT6Y119H04_05543_B21P_N_UFLEX98_M5358A8BA201511/dpll_52094/txpa_53209.png","plot")</f>
        <v>plot</v>
      </c>
    </row>
    <row r="1723" spans="1:29" hidden="1" x14ac:dyDescent="0.35">
      <c r="A1723" t="s">
        <v>47</v>
      </c>
      <c r="B1723">
        <v>52094</v>
      </c>
      <c r="C1723" t="s">
        <v>53</v>
      </c>
      <c r="D1723">
        <v>53210</v>
      </c>
      <c r="E1723" t="s">
        <v>85</v>
      </c>
      <c r="F1723">
        <v>7139</v>
      </c>
      <c r="G1723">
        <v>0.30172493180331039</v>
      </c>
      <c r="H1723">
        <v>3.6769767989697889E-150</v>
      </c>
      <c r="I1723">
        <v>9.367976065717001E-150</v>
      </c>
      <c r="J1723">
        <v>0.28041983953764299</v>
      </c>
      <c r="K1723">
        <v>3.9877325748869099E-129</v>
      </c>
      <c r="L1723">
        <v>9.6275257879412538E-129</v>
      </c>
      <c r="M1723">
        <v>0.1891258296960468</v>
      </c>
      <c r="N1723">
        <v>6.7550268575816369E-127</v>
      </c>
      <c r="O1723">
        <v>1.6505053574910311E-126</v>
      </c>
      <c r="P1723">
        <v>9.1037934471712337E-2</v>
      </c>
      <c r="Q1723">
        <v>0.60289636743720809</v>
      </c>
      <c r="R1723">
        <v>-2.034873768333362</v>
      </c>
      <c r="S1723">
        <v>0.23648569930857019</v>
      </c>
      <c r="T1723">
        <v>0.1860764383617329</v>
      </c>
      <c r="U1723">
        <v>4.2555146084885838</v>
      </c>
      <c r="V1723">
        <v>0.12414549193133841</v>
      </c>
      <c r="W1723">
        <v>0.53076053070037821</v>
      </c>
      <c r="X1723">
        <v>0.24806324645356331</v>
      </c>
      <c r="Z1723" t="s">
        <v>392</v>
      </c>
      <c r="AA1723">
        <v>140</v>
      </c>
      <c r="AB1723" t="s">
        <v>2114</v>
      </c>
      <c r="AC1723" t="str">
        <f>HYPERLINK("plots/20251231112652_3FT6Y119H04_05543_B21P_N_UFLEX98_M5358A8BA201511/dpll_52094/txpa_53210.png","plot")</f>
        <v>plot</v>
      </c>
    </row>
    <row r="1724" spans="1:29" hidden="1" x14ac:dyDescent="0.35">
      <c r="A1724" t="s">
        <v>47</v>
      </c>
      <c r="B1724">
        <v>52094</v>
      </c>
      <c r="C1724" t="s">
        <v>53</v>
      </c>
      <c r="D1724">
        <v>53211</v>
      </c>
      <c r="E1724" t="s">
        <v>86</v>
      </c>
      <c r="F1724">
        <v>7139</v>
      </c>
      <c r="G1724">
        <v>0.29170936142831211</v>
      </c>
      <c r="H1724">
        <v>4.7964857715932676E-140</v>
      </c>
      <c r="I1724">
        <v>1.07841165685046E-139</v>
      </c>
      <c r="J1724">
        <v>0.29495508382800928</v>
      </c>
      <c r="K1724">
        <v>2.8008402211516551E-143</v>
      </c>
      <c r="L1724">
        <v>7.4935408555350344E-143</v>
      </c>
      <c r="M1724">
        <v>0.19906322780764399</v>
      </c>
      <c r="N1724">
        <v>2.2786958577489E-140</v>
      </c>
      <c r="O1724">
        <v>6.0965635877503559E-140</v>
      </c>
      <c r="P1724">
        <v>8.5094351544913627E-2</v>
      </c>
      <c r="Q1724">
        <v>0.53887079284441197</v>
      </c>
      <c r="R1724">
        <v>1.681119051677445</v>
      </c>
      <c r="S1724">
        <v>0.21934259014926319</v>
      </c>
      <c r="T1724">
        <v>0.16988350959516091</v>
      </c>
      <c r="U1724">
        <v>4.2555146084885838</v>
      </c>
      <c r="V1724">
        <v>0.12414549193133841</v>
      </c>
      <c r="W1724">
        <v>3.9742915827146659</v>
      </c>
      <c r="X1724">
        <v>0.2293323030071498</v>
      </c>
      <c r="Z1724" t="s">
        <v>392</v>
      </c>
      <c r="AA1724">
        <v>140</v>
      </c>
      <c r="AB1724" t="s">
        <v>2115</v>
      </c>
      <c r="AC1724" t="str">
        <f>HYPERLINK("plots/20251231112652_3FT6Y119H04_05543_B21P_N_UFLEX98_M5358A8BA201511/dpll_52094/txpa_53211.png","plot")</f>
        <v>plot</v>
      </c>
    </row>
    <row r="1725" spans="1:29" hidden="1" x14ac:dyDescent="0.35">
      <c r="A1725" t="s">
        <v>47</v>
      </c>
      <c r="B1725">
        <v>52094</v>
      </c>
      <c r="C1725" t="s">
        <v>53</v>
      </c>
      <c r="D1725">
        <v>53212</v>
      </c>
      <c r="E1725" t="s">
        <v>87</v>
      </c>
      <c r="F1725">
        <v>7139</v>
      </c>
      <c r="G1725">
        <v>0.22902921413734659</v>
      </c>
      <c r="H1725">
        <v>1.2934239264182911E-85</v>
      </c>
      <c r="I1725">
        <v>1.829193669997416E-85</v>
      </c>
      <c r="J1725">
        <v>0.2285419449277451</v>
      </c>
      <c r="K1725">
        <v>3.0011377880024899E-85</v>
      </c>
      <c r="L1725">
        <v>4.9241969531302988E-85</v>
      </c>
      <c r="M1725">
        <v>0.15273952869591581</v>
      </c>
      <c r="N1725">
        <v>1.92477144357768E-83</v>
      </c>
      <c r="O1725">
        <v>3.132774067075068E-83</v>
      </c>
      <c r="P1725">
        <v>5.2454380928370577E-2</v>
      </c>
      <c r="Q1725">
        <v>0.52935910162850763</v>
      </c>
      <c r="R1725">
        <v>1.776754642801269</v>
      </c>
      <c r="S1725">
        <v>0.27929303168865732</v>
      </c>
      <c r="T1725">
        <v>0.22482805412480261</v>
      </c>
      <c r="U1725">
        <v>4.2555146084885838</v>
      </c>
      <c r="V1725">
        <v>0.12414549193133841</v>
      </c>
      <c r="W1725">
        <v>4.0294500329177758</v>
      </c>
      <c r="X1725">
        <v>0.28693957811247722</v>
      </c>
      <c r="Z1725" t="s">
        <v>392</v>
      </c>
      <c r="AA1725">
        <v>140</v>
      </c>
      <c r="AB1725" t="s">
        <v>2116</v>
      </c>
      <c r="AC1725" t="str">
        <f>HYPERLINK("plots/20251231112652_3FT6Y119H04_05543_B21P_N_UFLEX98_M5358A8BA201511/dpll_52094/txpa_53212.png","plot")</f>
        <v>plot</v>
      </c>
    </row>
    <row r="1726" spans="1:29" hidden="1" x14ac:dyDescent="0.35">
      <c r="A1726" t="s">
        <v>47</v>
      </c>
      <c r="B1726">
        <v>52094</v>
      </c>
      <c r="C1726" t="s">
        <v>53</v>
      </c>
      <c r="D1726">
        <v>53213</v>
      </c>
      <c r="E1726" t="s">
        <v>88</v>
      </c>
      <c r="F1726">
        <v>7139</v>
      </c>
      <c r="G1726">
        <v>0.30148966830318841</v>
      </c>
      <c r="H1726">
        <v>6.4235287621286718E-150</v>
      </c>
      <c r="I1726">
        <v>1.6283645411996181E-149</v>
      </c>
      <c r="J1726">
        <v>0.30364860983815589</v>
      </c>
      <c r="K1726">
        <v>3.7663407020850758E-152</v>
      </c>
      <c r="L1726">
        <v>1.0911627062612191E-151</v>
      </c>
      <c r="M1726">
        <v>0.2046456318347212</v>
      </c>
      <c r="N1726">
        <v>3.082091764078828E-148</v>
      </c>
      <c r="O1726">
        <v>8.9038206517832817E-148</v>
      </c>
      <c r="P1726">
        <v>9.0896020093566565E-2</v>
      </c>
      <c r="Q1726">
        <v>0.53517019813487654</v>
      </c>
      <c r="R1726">
        <v>1.9671403435767769</v>
      </c>
      <c r="S1726">
        <v>0.21010036220753439</v>
      </c>
      <c r="T1726">
        <v>0.16519222076335649</v>
      </c>
      <c r="U1726">
        <v>4.2555146084885838</v>
      </c>
      <c r="V1726">
        <v>0.12414549193133841</v>
      </c>
      <c r="W1726">
        <v>4.2445649397674741</v>
      </c>
      <c r="X1726">
        <v>0.220368969485325</v>
      </c>
      <c r="Z1726" t="s">
        <v>392</v>
      </c>
      <c r="AA1726">
        <v>140</v>
      </c>
      <c r="AB1726" t="s">
        <v>2117</v>
      </c>
      <c r="AC1726" t="str">
        <f>HYPERLINK("plots/20251231112652_3FT6Y119H04_05543_B21P_N_UFLEX98_M5358A8BA201511/dpll_52094/txpa_53213.png","plot")</f>
        <v>plot</v>
      </c>
    </row>
    <row r="1727" spans="1:29" hidden="1" x14ac:dyDescent="0.35">
      <c r="A1727" t="s">
        <v>47</v>
      </c>
      <c r="B1727">
        <v>52094</v>
      </c>
      <c r="C1727" t="s">
        <v>53</v>
      </c>
      <c r="D1727">
        <v>53214</v>
      </c>
      <c r="E1727" t="s">
        <v>89</v>
      </c>
      <c r="F1727">
        <v>7139</v>
      </c>
      <c r="G1727">
        <v>0.23737612076100609</v>
      </c>
      <c r="H1727">
        <v>5.1976179640876238E-92</v>
      </c>
      <c r="I1727">
        <v>7.8079772082738525E-92</v>
      </c>
      <c r="J1727">
        <v>0.2330910613892517</v>
      </c>
      <c r="K1727">
        <v>1.0740618938018311E-88</v>
      </c>
      <c r="L1727">
        <v>1.812144359925218E-88</v>
      </c>
      <c r="M1727">
        <v>0.15655539225992529</v>
      </c>
      <c r="N1727">
        <v>1.443867294746728E-87</v>
      </c>
      <c r="O1727">
        <v>2.4606410703750971E-87</v>
      </c>
      <c r="P1727">
        <v>5.6347422707543761E-2</v>
      </c>
      <c r="Q1727">
        <v>0.50514243155286831</v>
      </c>
      <c r="R1727">
        <v>1.926860176993195</v>
      </c>
      <c r="S1727">
        <v>0.25661581729979732</v>
      </c>
      <c r="T1727">
        <v>0.20621737647139429</v>
      </c>
      <c r="U1727">
        <v>4.2555146084885838</v>
      </c>
      <c r="V1727">
        <v>0.12414549193133841</v>
      </c>
      <c r="W1727">
        <v>4.0765011738338703</v>
      </c>
      <c r="X1727">
        <v>0.26418476913127159</v>
      </c>
      <c r="Z1727" t="s">
        <v>392</v>
      </c>
      <c r="AA1727">
        <v>140</v>
      </c>
      <c r="AB1727" t="s">
        <v>2118</v>
      </c>
      <c r="AC1727" t="str">
        <f>HYPERLINK("plots/20251231112652_3FT6Y119H04_05543_B21P_N_UFLEX98_M5358A8BA201511/dpll_52094/txpa_53214.png","plot")</f>
        <v>plot</v>
      </c>
    </row>
    <row r="1728" spans="1:29" hidden="1" x14ac:dyDescent="0.35">
      <c r="A1728" t="s">
        <v>47</v>
      </c>
      <c r="B1728">
        <v>52094</v>
      </c>
      <c r="C1728" t="s">
        <v>53</v>
      </c>
      <c r="D1728">
        <v>53215</v>
      </c>
      <c r="E1728" t="s">
        <v>90</v>
      </c>
      <c r="F1728">
        <v>7139</v>
      </c>
      <c r="G1728">
        <v>0.31910749066981609</v>
      </c>
      <c r="H1728">
        <v>1.074903018049721E-168</v>
      </c>
      <c r="I1728">
        <v>3.3230233545805392E-168</v>
      </c>
      <c r="J1728">
        <v>0.31260443068631671</v>
      </c>
      <c r="K1728">
        <v>1.295755585788795E-161</v>
      </c>
      <c r="L1728">
        <v>4.2520911455981816E-161</v>
      </c>
      <c r="M1728">
        <v>0.21137028338898739</v>
      </c>
      <c r="N1728">
        <v>5.2726800238181038E-158</v>
      </c>
      <c r="O1728">
        <v>1.713621007740884E-157</v>
      </c>
      <c r="P1728">
        <v>0.10182959060158681</v>
      </c>
      <c r="Q1728">
        <v>0.55843732807803836</v>
      </c>
      <c r="R1728">
        <v>1.9921147771703309</v>
      </c>
      <c r="S1728">
        <v>0.20588151133595081</v>
      </c>
      <c r="T1728">
        <v>0.16223729275520121</v>
      </c>
      <c r="U1728">
        <v>4.2555146084885838</v>
      </c>
      <c r="V1728">
        <v>0.12414549193133841</v>
      </c>
      <c r="W1728">
        <v>4.368552984731755</v>
      </c>
      <c r="X1728">
        <v>0.21725430719770891</v>
      </c>
      <c r="Z1728" t="s">
        <v>392</v>
      </c>
      <c r="AA1728">
        <v>140</v>
      </c>
      <c r="AB1728" t="s">
        <v>2119</v>
      </c>
      <c r="AC1728" t="str">
        <f>HYPERLINK("plots/20251231112652_3FT6Y119H04_05543_B21P_N_UFLEX98_M5358A8BA201511/dpll_52094/txpa_53215.png","plot")</f>
        <v>plot</v>
      </c>
    </row>
    <row r="1729" spans="1:29" hidden="1" x14ac:dyDescent="0.35">
      <c r="A1729" t="s">
        <v>47</v>
      </c>
      <c r="B1729">
        <v>52094</v>
      </c>
      <c r="C1729" t="s">
        <v>53</v>
      </c>
      <c r="D1729">
        <v>53216</v>
      </c>
      <c r="E1729" t="s">
        <v>91</v>
      </c>
      <c r="F1729">
        <v>7139</v>
      </c>
      <c r="G1729">
        <v>0.26262626292391489</v>
      </c>
      <c r="H1729">
        <v>6.2753098906195426E-113</v>
      </c>
      <c r="I1729">
        <v>1.120275392445108E-112</v>
      </c>
      <c r="J1729">
        <v>0.27376419765287391</v>
      </c>
      <c r="K1729">
        <v>6.3516496119975401E-123</v>
      </c>
      <c r="L1729">
        <v>1.424905466054315E-122</v>
      </c>
      <c r="M1729">
        <v>0.18542069431079269</v>
      </c>
      <c r="N1729">
        <v>4.7184732349693282E-122</v>
      </c>
      <c r="O1729">
        <v>1.06559729627147E-121</v>
      </c>
      <c r="P1729">
        <v>6.8972553977381265E-2</v>
      </c>
      <c r="Q1729">
        <v>0.54351654824223106</v>
      </c>
      <c r="R1729">
        <v>1.9622819570066199</v>
      </c>
      <c r="S1729">
        <v>0.24788850829423581</v>
      </c>
      <c r="T1729">
        <v>0.1947273510102048</v>
      </c>
      <c r="U1729">
        <v>4.2555146084885838</v>
      </c>
      <c r="V1729">
        <v>0.12414549193133841</v>
      </c>
      <c r="W1729">
        <v>4.275224568006724</v>
      </c>
      <c r="X1729">
        <v>0.25692453033116092</v>
      </c>
      <c r="Z1729" t="s">
        <v>392</v>
      </c>
      <c r="AA1729">
        <v>140</v>
      </c>
      <c r="AB1729" t="s">
        <v>2120</v>
      </c>
      <c r="AC1729" t="str">
        <f>HYPERLINK("plots/20251231112652_3FT6Y119H04_05543_B21P_N_UFLEX98_M5358A8BA201511/dpll_52094/txpa_53216.png","plot")</f>
        <v>plot</v>
      </c>
    </row>
    <row r="1730" spans="1:29" hidden="1" x14ac:dyDescent="0.35">
      <c r="A1730" t="s">
        <v>47</v>
      </c>
      <c r="B1730">
        <v>52094</v>
      </c>
      <c r="C1730" t="s">
        <v>53</v>
      </c>
      <c r="D1730">
        <v>53217</v>
      </c>
      <c r="E1730" t="s">
        <v>92</v>
      </c>
      <c r="F1730">
        <v>7139</v>
      </c>
      <c r="G1730">
        <v>0.28035152351195192</v>
      </c>
      <c r="H1730">
        <v>4.6266733760127321E-129</v>
      </c>
      <c r="I1730">
        <v>9.4395307913016292E-129</v>
      </c>
      <c r="J1730">
        <v>0.27719918321959158</v>
      </c>
      <c r="K1730">
        <v>4.2031389688758512E-126</v>
      </c>
      <c r="L1730">
        <v>9.6424952815387153E-126</v>
      </c>
      <c r="M1730">
        <v>0.18768342948177291</v>
      </c>
      <c r="N1730">
        <v>5.3117789520964736E-125</v>
      </c>
      <c r="O1730">
        <v>1.246792559589311E-124</v>
      </c>
      <c r="P1730">
        <v>7.8596976735472529E-2</v>
      </c>
      <c r="Q1730">
        <v>0.55168087756598738</v>
      </c>
      <c r="R1730">
        <v>2.0723692393015631</v>
      </c>
      <c r="S1730">
        <v>0.2344824596873403</v>
      </c>
      <c r="T1730">
        <v>0.1860691141823754</v>
      </c>
      <c r="U1730">
        <v>4.2555146084885838</v>
      </c>
      <c r="V1730">
        <v>0.12414549193133841</v>
      </c>
      <c r="W1730">
        <v>4.4200552730074243</v>
      </c>
      <c r="X1730">
        <v>0.24429577937222149</v>
      </c>
      <c r="Z1730" t="s">
        <v>392</v>
      </c>
      <c r="AA1730">
        <v>140</v>
      </c>
      <c r="AB1730" t="s">
        <v>2121</v>
      </c>
      <c r="AC1730" t="str">
        <f>HYPERLINK("plots/20251231112652_3FT6Y119H04_05543_B21P_N_UFLEX98_M5358A8BA201511/dpll_52094/txpa_53217.png","plot")</f>
        <v>plot</v>
      </c>
    </row>
    <row r="1731" spans="1:29" hidden="1" x14ac:dyDescent="0.35">
      <c r="A1731" t="s">
        <v>47</v>
      </c>
      <c r="B1731">
        <v>52094</v>
      </c>
      <c r="C1731" t="s">
        <v>53</v>
      </c>
      <c r="D1731">
        <v>53218</v>
      </c>
      <c r="E1731" t="s">
        <v>93</v>
      </c>
      <c r="F1731">
        <v>7139</v>
      </c>
      <c r="G1731">
        <v>0.32139592763019692</v>
      </c>
      <c r="H1731">
        <v>3.1410537422813542E-171</v>
      </c>
      <c r="I1731">
        <v>1.0079204097067379E-170</v>
      </c>
      <c r="J1731">
        <v>0.30516538098240231</v>
      </c>
      <c r="K1731">
        <v>9.9195007183786761E-154</v>
      </c>
      <c r="L1731">
        <v>2.9410449498350808E-153</v>
      </c>
      <c r="M1731">
        <v>0.2066243270387858</v>
      </c>
      <c r="N1731">
        <v>4.4444416513342781E-151</v>
      </c>
      <c r="O1731">
        <v>1.3412689983490949E-150</v>
      </c>
      <c r="P1731">
        <v>0.1032953422972748</v>
      </c>
      <c r="Q1731">
        <v>0.60426564938482596</v>
      </c>
      <c r="R1731">
        <v>1.405636959514287</v>
      </c>
      <c r="S1731">
        <v>0.22101043759125491</v>
      </c>
      <c r="T1731">
        <v>0.17387305538162859</v>
      </c>
      <c r="U1731">
        <v>4.2555146084885838</v>
      </c>
      <c r="V1731">
        <v>0.12414549193133841</v>
      </c>
      <c r="W1731">
        <v>3.9770982578792551</v>
      </c>
      <c r="X1731">
        <v>0.23340947986871949</v>
      </c>
      <c r="Z1731" t="s">
        <v>392</v>
      </c>
      <c r="AA1731">
        <v>140</v>
      </c>
      <c r="AB1731" t="s">
        <v>2122</v>
      </c>
      <c r="AC1731" t="str">
        <f>HYPERLINK("plots/20251231112652_3FT6Y119H04_05543_B21P_N_UFLEX98_M5358A8BA201511/dpll_52094/txpa_53218.png","plot")</f>
        <v>plot</v>
      </c>
    </row>
    <row r="1732" spans="1:29" hidden="1" x14ac:dyDescent="0.35">
      <c r="A1732" t="s">
        <v>47</v>
      </c>
      <c r="B1732">
        <v>52094</v>
      </c>
      <c r="C1732" t="s">
        <v>53</v>
      </c>
      <c r="D1732">
        <v>53219</v>
      </c>
      <c r="E1732" t="s">
        <v>94</v>
      </c>
      <c r="F1732">
        <v>7139</v>
      </c>
      <c r="G1732">
        <v>0.30450730909663198</v>
      </c>
      <c r="H1732">
        <v>4.8184584016464349E-153</v>
      </c>
      <c r="I1732">
        <v>1.2625108060127869E-152</v>
      </c>
      <c r="J1732">
        <v>0.31293251472643241</v>
      </c>
      <c r="K1732">
        <v>5.7480685476149877E-162</v>
      </c>
      <c r="L1732">
        <v>1.8985477222415629E-161</v>
      </c>
      <c r="M1732">
        <v>0.21172066666485609</v>
      </c>
      <c r="N1732">
        <v>1.5998062726926879E-158</v>
      </c>
      <c r="O1732">
        <v>5.2160886190044548E-158</v>
      </c>
      <c r="P1732">
        <v>9.2724701293271802E-2</v>
      </c>
      <c r="Q1732">
        <v>0.54712784352872645</v>
      </c>
      <c r="R1732">
        <v>3.5477695064127688</v>
      </c>
      <c r="S1732">
        <v>0.21245217096920099</v>
      </c>
      <c r="T1732">
        <v>0.16395223940785739</v>
      </c>
      <c r="U1732">
        <v>4.2555146084885838</v>
      </c>
      <c r="V1732">
        <v>0.12414549193133841</v>
      </c>
      <c r="W1732">
        <v>5.8760800372601203</v>
      </c>
      <c r="X1732">
        <v>0.2230601803474323</v>
      </c>
      <c r="Z1732" t="s">
        <v>392</v>
      </c>
      <c r="AA1732">
        <v>140</v>
      </c>
      <c r="AB1732" t="s">
        <v>2123</v>
      </c>
      <c r="AC1732" t="str">
        <f>HYPERLINK("plots/20251231112652_3FT6Y119H04_05543_B21P_N_UFLEX98_M5358A8BA201511/dpll_52094/txpa_53219.png","plot")</f>
        <v>plot</v>
      </c>
    </row>
    <row r="1733" spans="1:29" hidden="1" x14ac:dyDescent="0.35">
      <c r="A1733" t="s">
        <v>47</v>
      </c>
      <c r="B1733">
        <v>52094</v>
      </c>
      <c r="C1733" t="s">
        <v>53</v>
      </c>
      <c r="D1733">
        <v>53220</v>
      </c>
      <c r="E1733" t="s">
        <v>95</v>
      </c>
      <c r="F1733">
        <v>7139</v>
      </c>
      <c r="G1733">
        <v>0.24137877284884551</v>
      </c>
      <c r="H1733">
        <v>3.6159020752333021E-95</v>
      </c>
      <c r="I1733">
        <v>5.5218745546484462E-95</v>
      </c>
      <c r="J1733">
        <v>0.24307168037062879</v>
      </c>
      <c r="K1733">
        <v>1.6030645028426491E-96</v>
      </c>
      <c r="L1733">
        <v>2.907884447016899E-96</v>
      </c>
      <c r="M1733">
        <v>0.16263089232559089</v>
      </c>
      <c r="N1733">
        <v>2.4110997925286131E-94</v>
      </c>
      <c r="O1733">
        <v>4.3736228794705058E-94</v>
      </c>
      <c r="P1733">
        <v>5.8263711982014549E-2</v>
      </c>
      <c r="Q1733">
        <v>0.5387200567774767</v>
      </c>
      <c r="R1733">
        <v>3.6493409869091908</v>
      </c>
      <c r="S1733">
        <v>0.26886189608532579</v>
      </c>
      <c r="T1733">
        <v>0.21618542396551629</v>
      </c>
      <c r="U1733">
        <v>4.2555146084885838</v>
      </c>
      <c r="V1733">
        <v>0.12414549193133841</v>
      </c>
      <c r="W1733">
        <v>5.9418720584115423</v>
      </c>
      <c r="X1733">
        <v>0.27707352089240811</v>
      </c>
      <c r="Z1733" t="s">
        <v>392</v>
      </c>
      <c r="AA1733">
        <v>140</v>
      </c>
      <c r="AB1733" t="s">
        <v>2124</v>
      </c>
      <c r="AC1733" t="str">
        <f>HYPERLINK("plots/20251231112652_3FT6Y119H04_05543_B21P_N_UFLEX98_M5358A8BA201511/dpll_52094/txpa_53220.png","plot")</f>
        <v>plot</v>
      </c>
    </row>
    <row r="1734" spans="1:29" hidden="1" x14ac:dyDescent="0.35">
      <c r="A1734" t="s">
        <v>47</v>
      </c>
      <c r="B1734">
        <v>52094</v>
      </c>
      <c r="C1734" t="s">
        <v>53</v>
      </c>
      <c r="D1734">
        <v>53221</v>
      </c>
      <c r="E1734" t="s">
        <v>96</v>
      </c>
      <c r="F1734">
        <v>7139</v>
      </c>
      <c r="G1734">
        <v>0.31709529706550388</v>
      </c>
      <c r="H1734">
        <v>1.743568515660686E-166</v>
      </c>
      <c r="I1734">
        <v>5.2152757371089549E-166</v>
      </c>
      <c r="J1734">
        <v>0.32304126991998472</v>
      </c>
      <c r="K1734">
        <v>4.5837670969026467E-173</v>
      </c>
      <c r="L1734">
        <v>1.7151069506491819E-172</v>
      </c>
      <c r="M1734">
        <v>0.21827496866970961</v>
      </c>
      <c r="N1734">
        <v>2.3224177971927779E-168</v>
      </c>
      <c r="O1734">
        <v>8.4709771451563911E-168</v>
      </c>
      <c r="P1734">
        <v>0.1005494274210602</v>
      </c>
      <c r="Q1734">
        <v>0.54734719455534775</v>
      </c>
      <c r="R1734">
        <v>3.804517795634585</v>
      </c>
      <c r="S1734">
        <v>0.20321805076919719</v>
      </c>
      <c r="T1734">
        <v>0.1589239217856227</v>
      </c>
      <c r="U1734">
        <v>4.2555146084885838</v>
      </c>
      <c r="V1734">
        <v>0.12414549193133841</v>
      </c>
      <c r="W1734">
        <v>6.1337617779801104</v>
      </c>
      <c r="X1734">
        <v>0.21429105809561941</v>
      </c>
      <c r="Z1734" t="s">
        <v>392</v>
      </c>
      <c r="AA1734">
        <v>140</v>
      </c>
      <c r="AB1734" t="s">
        <v>2125</v>
      </c>
      <c r="AC1734" t="str">
        <f>HYPERLINK("plots/20251231112652_3FT6Y119H04_05543_B21P_N_UFLEX98_M5358A8BA201511/dpll_52094/txpa_53221.png","plot")</f>
        <v>plot</v>
      </c>
    </row>
    <row r="1735" spans="1:29" hidden="1" x14ac:dyDescent="0.35">
      <c r="A1735" t="s">
        <v>47</v>
      </c>
      <c r="B1735">
        <v>52094</v>
      </c>
      <c r="C1735" t="s">
        <v>53</v>
      </c>
      <c r="D1735">
        <v>53222</v>
      </c>
      <c r="E1735" t="s">
        <v>97</v>
      </c>
      <c r="F1735">
        <v>7139</v>
      </c>
      <c r="G1735">
        <v>0.25108914283131578</v>
      </c>
      <c r="H1735">
        <v>4.4821419689515863E-103</v>
      </c>
      <c r="I1735">
        <v>7.3541941043962916E-103</v>
      </c>
      <c r="J1735">
        <v>0.24860928814404379</v>
      </c>
      <c r="K1735">
        <v>5.059432626615814E-101</v>
      </c>
      <c r="L1735">
        <v>9.5713893346799177E-101</v>
      </c>
      <c r="M1735">
        <v>0.16715423096117421</v>
      </c>
      <c r="N1735">
        <v>1.4784158786542861E-99</v>
      </c>
      <c r="O1735">
        <v>2.7916456256153558E-99</v>
      </c>
      <c r="P1735">
        <v>6.3045757647764891E-2</v>
      </c>
      <c r="Q1735">
        <v>0.51689977667372189</v>
      </c>
      <c r="R1735">
        <v>3.7885144584854831</v>
      </c>
      <c r="S1735">
        <v>0.24736493462955669</v>
      </c>
      <c r="T1735">
        <v>0.1984924169794654</v>
      </c>
      <c r="U1735">
        <v>4.2555146084885838</v>
      </c>
      <c r="V1735">
        <v>0.12414549193133841</v>
      </c>
      <c r="W1735">
        <v>5.9881890092449934</v>
      </c>
      <c r="X1735">
        <v>0.25556970058824369</v>
      </c>
      <c r="Z1735" t="s">
        <v>392</v>
      </c>
      <c r="AA1735">
        <v>140</v>
      </c>
      <c r="AB1735" t="s">
        <v>2126</v>
      </c>
      <c r="AC1735" t="str">
        <f>HYPERLINK("plots/20251231112652_3FT6Y119H04_05543_B21P_N_UFLEX98_M5358A8BA201511/dpll_52094/txpa_53222.png","plot")</f>
        <v>plot</v>
      </c>
    </row>
    <row r="1736" spans="1:29" hidden="1" x14ac:dyDescent="0.35">
      <c r="A1736" t="s">
        <v>47</v>
      </c>
      <c r="B1736">
        <v>52094</v>
      </c>
      <c r="C1736" t="s">
        <v>53</v>
      </c>
      <c r="D1736">
        <v>53223</v>
      </c>
      <c r="E1736" t="s">
        <v>98</v>
      </c>
      <c r="F1736">
        <v>7139</v>
      </c>
      <c r="G1736">
        <v>0.33357785454538308</v>
      </c>
      <c r="H1736">
        <v>4.259543431059326E-185</v>
      </c>
      <c r="I1736">
        <v>1.6740996275558739E-184</v>
      </c>
      <c r="J1736">
        <v>0.3292042647846945</v>
      </c>
      <c r="K1736">
        <v>4.805479348907785E-180</v>
      </c>
      <c r="L1736">
        <v>1.8960140310476628E-179</v>
      </c>
      <c r="M1736">
        <v>0.22317557435881799</v>
      </c>
      <c r="N1736">
        <v>6.519627382377147E-176</v>
      </c>
      <c r="O1736">
        <v>2.562365180515669E-175</v>
      </c>
      <c r="P1736">
        <v>0.1112741850431008</v>
      </c>
      <c r="Q1736">
        <v>0.56980813004250008</v>
      </c>
      <c r="R1736">
        <v>3.828568832721821</v>
      </c>
      <c r="S1736">
        <v>0.1999014123868251</v>
      </c>
      <c r="T1736">
        <v>0.15742240455965689</v>
      </c>
      <c r="U1736">
        <v>4.2555146084885838</v>
      </c>
      <c r="V1736">
        <v>0.12414549193133841</v>
      </c>
      <c r="W1736">
        <v>6.2533956541532429</v>
      </c>
      <c r="X1736">
        <v>0.21206177102796309</v>
      </c>
      <c r="Z1736" t="s">
        <v>392</v>
      </c>
      <c r="AA1736">
        <v>140</v>
      </c>
      <c r="AB1736" t="s">
        <v>2127</v>
      </c>
      <c r="AC1736" t="str">
        <f>HYPERLINK("plots/20251231112652_3FT6Y119H04_05543_B21P_N_UFLEX98_M5358A8BA201511/dpll_52094/txpa_53223.png","plot")</f>
        <v>plot</v>
      </c>
    </row>
    <row r="1737" spans="1:29" hidden="1" x14ac:dyDescent="0.35">
      <c r="A1737" t="s">
        <v>47</v>
      </c>
      <c r="B1737">
        <v>52094</v>
      </c>
      <c r="C1737" t="s">
        <v>53</v>
      </c>
      <c r="D1737">
        <v>53224</v>
      </c>
      <c r="E1737" t="s">
        <v>99</v>
      </c>
      <c r="F1737">
        <v>7139</v>
      </c>
      <c r="G1737">
        <v>0.27794336403426839</v>
      </c>
      <c r="H1737">
        <v>8.4861679376159312E-127</v>
      </c>
      <c r="I1737">
        <v>1.6741195114285129E-126</v>
      </c>
      <c r="J1737">
        <v>0.29002940870820731</v>
      </c>
      <c r="K1737">
        <v>2.1777097998502569E-138</v>
      </c>
      <c r="L1737">
        <v>5.5762569117377788E-138</v>
      </c>
      <c r="M1737">
        <v>0.1967577302475069</v>
      </c>
      <c r="N1737">
        <v>3.4903680572702241E-137</v>
      </c>
      <c r="O1737">
        <v>9.1217350775051729E-137</v>
      </c>
      <c r="P1737">
        <v>7.7252513610685844E-2</v>
      </c>
      <c r="Q1737">
        <v>0.55389323650185573</v>
      </c>
      <c r="R1737">
        <v>3.8079715094685609</v>
      </c>
      <c r="S1737">
        <v>0.23763572035468311</v>
      </c>
      <c r="T1737">
        <v>0.1865920342639773</v>
      </c>
      <c r="U1737">
        <v>4.2555146084885838</v>
      </c>
      <c r="V1737">
        <v>0.12414549193133841</v>
      </c>
      <c r="W1737">
        <v>6.16507226894523</v>
      </c>
      <c r="X1737">
        <v>0.24740057587590411</v>
      </c>
      <c r="Z1737" t="s">
        <v>392</v>
      </c>
      <c r="AA1737">
        <v>140</v>
      </c>
      <c r="AB1737" t="s">
        <v>2128</v>
      </c>
      <c r="AC1737" t="str">
        <f>HYPERLINK("plots/20251231112652_3FT6Y119H04_05543_B21P_N_UFLEX98_M5358A8BA201511/dpll_52094/txpa_53224.png","plot")</f>
        <v>plot</v>
      </c>
    </row>
    <row r="1738" spans="1:29" hidden="1" x14ac:dyDescent="0.35">
      <c r="A1738" t="s">
        <v>47</v>
      </c>
      <c r="B1738">
        <v>52094</v>
      </c>
      <c r="C1738" t="s">
        <v>53</v>
      </c>
      <c r="D1738">
        <v>53225</v>
      </c>
      <c r="E1738" t="s">
        <v>100</v>
      </c>
      <c r="F1738">
        <v>7139</v>
      </c>
      <c r="G1738">
        <v>0.29604708067904878</v>
      </c>
      <c r="H1738">
        <v>2.2377407198303449E-144</v>
      </c>
      <c r="I1738">
        <v>5.3389860939011042E-144</v>
      </c>
      <c r="J1738">
        <v>0.29382442273990311</v>
      </c>
      <c r="K1738">
        <v>3.7892456503320453E-142</v>
      </c>
      <c r="L1738">
        <v>1.000597679540806E-141</v>
      </c>
      <c r="M1738">
        <v>0.199289170117598</v>
      </c>
      <c r="N1738">
        <v>1.1019325166673541E-140</v>
      </c>
      <c r="O1738">
        <v>2.9638184931052979E-140</v>
      </c>
      <c r="P1738">
        <v>8.7643873978587222E-2</v>
      </c>
      <c r="Q1738">
        <v>0.56174425031103836</v>
      </c>
      <c r="R1738">
        <v>3.9091130097984541</v>
      </c>
      <c r="S1738">
        <v>0.22498863655722981</v>
      </c>
      <c r="T1738">
        <v>0.17791588281122761</v>
      </c>
      <c r="U1738">
        <v>4.2555146084885838</v>
      </c>
      <c r="V1738">
        <v>0.12414549193133841</v>
      </c>
      <c r="W1738">
        <v>6.2996238732315453</v>
      </c>
      <c r="X1738">
        <v>0.23556393846041421</v>
      </c>
      <c r="Z1738" t="s">
        <v>392</v>
      </c>
      <c r="AA1738">
        <v>140</v>
      </c>
      <c r="AB1738" t="s">
        <v>2129</v>
      </c>
      <c r="AC1738" t="str">
        <f>HYPERLINK("plots/20251231112652_3FT6Y119H04_05543_B21P_N_UFLEX98_M5358A8BA201511/dpll_52094/txpa_53225.png","plot")</f>
        <v>plot</v>
      </c>
    </row>
    <row r="1739" spans="1:29" hidden="1" x14ac:dyDescent="0.35">
      <c r="A1739" t="s">
        <v>47</v>
      </c>
      <c r="B1739">
        <v>52094</v>
      </c>
      <c r="C1739" t="s">
        <v>53</v>
      </c>
      <c r="D1739">
        <v>53226</v>
      </c>
      <c r="E1739" t="s">
        <v>101</v>
      </c>
      <c r="F1739">
        <v>7139</v>
      </c>
      <c r="G1739">
        <v>0.33310580624292258</v>
      </c>
      <c r="H1739">
        <v>1.508940982620035E-184</v>
      </c>
      <c r="I1739">
        <v>5.8399471617431886E-184</v>
      </c>
      <c r="J1739">
        <v>0.31952316889319582</v>
      </c>
      <c r="K1739">
        <v>3.73836798686303E-169</v>
      </c>
      <c r="L1739">
        <v>1.311662677743637E-168</v>
      </c>
      <c r="M1739">
        <v>0.21683906858152249</v>
      </c>
      <c r="N1739">
        <v>3.5199059424020927E-166</v>
      </c>
      <c r="O1739">
        <v>1.2656683069488381E-165</v>
      </c>
      <c r="P1739">
        <v>0.1109594781527475</v>
      </c>
      <c r="Q1739">
        <v>0.60645378898197588</v>
      </c>
      <c r="R1739">
        <v>3.304391117815098</v>
      </c>
      <c r="S1739">
        <v>0.21309674875743881</v>
      </c>
      <c r="T1739">
        <v>0.16752242742135279</v>
      </c>
      <c r="U1739">
        <v>4.2555146084885838</v>
      </c>
      <c r="V1739">
        <v>0.12414549193133841</v>
      </c>
      <c r="W1739">
        <v>5.885164076201149</v>
      </c>
      <c r="X1739">
        <v>0.22601978877512011</v>
      </c>
      <c r="Z1739" t="s">
        <v>392</v>
      </c>
      <c r="AA1739">
        <v>140</v>
      </c>
      <c r="AB1739" t="s">
        <v>2130</v>
      </c>
      <c r="AC1739" t="str">
        <f>HYPERLINK("plots/20251231112652_3FT6Y119H04_05543_B21P_N_UFLEX98_M5358A8BA201511/dpll_52094/txpa_53226.png","plot")</f>
        <v>plot</v>
      </c>
    </row>
    <row r="1740" spans="1:29" hidden="1" x14ac:dyDescent="0.35">
      <c r="A1740" t="s">
        <v>47</v>
      </c>
      <c r="B1740">
        <v>52094</v>
      </c>
      <c r="C1740" t="s">
        <v>53</v>
      </c>
      <c r="D1740">
        <v>53227</v>
      </c>
      <c r="E1740" t="s">
        <v>102</v>
      </c>
      <c r="F1740">
        <v>7139</v>
      </c>
      <c r="G1740">
        <v>0.31841624977309108</v>
      </c>
      <c r="H1740">
        <v>6.2017342471935307E-168</v>
      </c>
      <c r="I1740">
        <v>1.89414413453441E-167</v>
      </c>
      <c r="J1740">
        <v>0.3346021650699732</v>
      </c>
      <c r="K1740">
        <v>2.716824131422387E-186</v>
      </c>
      <c r="L1740">
        <v>1.162388046102236E-185</v>
      </c>
      <c r="M1740">
        <v>0.22712151805434549</v>
      </c>
      <c r="N1740">
        <v>4.0871847787270652E-182</v>
      </c>
      <c r="O1740">
        <v>1.741346792281195E-181</v>
      </c>
      <c r="P1740">
        <v>0.1013889081195596</v>
      </c>
      <c r="Q1740">
        <v>0.56224337986306649</v>
      </c>
      <c r="R1740">
        <v>5.7543787016205279</v>
      </c>
      <c r="S1740">
        <v>0.20778564920390599</v>
      </c>
      <c r="T1740">
        <v>0.1588399329466601</v>
      </c>
      <c r="U1740">
        <v>4.2555146084885838</v>
      </c>
      <c r="V1740">
        <v>0.12414549193133841</v>
      </c>
      <c r="W1740">
        <v>8.1470136181538031</v>
      </c>
      <c r="X1740">
        <v>0.21920985825308659</v>
      </c>
      <c r="Z1740" t="s">
        <v>392</v>
      </c>
      <c r="AA1740">
        <v>140</v>
      </c>
      <c r="AB1740" t="s">
        <v>2131</v>
      </c>
      <c r="AC1740" t="str">
        <f>HYPERLINK("plots/20251231112652_3FT6Y119H04_05543_B21P_N_UFLEX98_M5358A8BA201511/dpll_52094/txpa_53227.png","plot")</f>
        <v>plot</v>
      </c>
    </row>
    <row r="1741" spans="1:29" hidden="1" x14ac:dyDescent="0.35">
      <c r="A1741" t="s">
        <v>47</v>
      </c>
      <c r="B1741">
        <v>52094</v>
      </c>
      <c r="C1741" t="s">
        <v>53</v>
      </c>
      <c r="D1741">
        <v>53228</v>
      </c>
      <c r="E1741" t="s">
        <v>103</v>
      </c>
      <c r="F1741">
        <v>7139</v>
      </c>
      <c r="G1741">
        <v>0.25778106750395252</v>
      </c>
      <c r="H1741">
        <v>9.9366640836872947E-109</v>
      </c>
      <c r="I1741">
        <v>1.701989422442385E-108</v>
      </c>
      <c r="J1741">
        <v>0.2607610794025978</v>
      </c>
      <c r="K1741">
        <v>2.6598843014026241E-111</v>
      </c>
      <c r="L1741">
        <v>5.3620729256903792E-111</v>
      </c>
      <c r="M1741">
        <v>0.17482881463548319</v>
      </c>
      <c r="N1741">
        <v>1.000607220941122E-108</v>
      </c>
      <c r="O1741">
        <v>2.0171286720363769E-108</v>
      </c>
      <c r="P1741">
        <v>6.6451078763477292E-2</v>
      </c>
      <c r="Q1741">
        <v>0.55476193398272611</v>
      </c>
      <c r="R1741">
        <v>5.8700785359902854</v>
      </c>
      <c r="S1741">
        <v>0.2581218154430357</v>
      </c>
      <c r="T1741">
        <v>0.20667339321865541</v>
      </c>
      <c r="U1741">
        <v>4.2555146084885838</v>
      </c>
      <c r="V1741">
        <v>0.12414549193133841</v>
      </c>
      <c r="W1741">
        <v>8.2308760502871543</v>
      </c>
      <c r="X1741">
        <v>0.2671693226579186</v>
      </c>
      <c r="Z1741" t="s">
        <v>392</v>
      </c>
      <c r="AA1741">
        <v>140</v>
      </c>
      <c r="AB1741" t="s">
        <v>2132</v>
      </c>
      <c r="AC1741" t="str">
        <f>HYPERLINK("plots/20251231112652_3FT6Y119H04_05543_B21P_N_UFLEX98_M5358A8BA201511/dpll_52094/txpa_53228.png","plot")</f>
        <v>plot</v>
      </c>
    </row>
    <row r="1742" spans="1:29" hidden="1" x14ac:dyDescent="0.35">
      <c r="A1742" t="s">
        <v>47</v>
      </c>
      <c r="B1742">
        <v>52094</v>
      </c>
      <c r="C1742" t="s">
        <v>53</v>
      </c>
      <c r="D1742">
        <v>53229</v>
      </c>
      <c r="E1742" t="s">
        <v>104</v>
      </c>
      <c r="F1742">
        <v>7139</v>
      </c>
      <c r="G1742">
        <v>0.33533880976168118</v>
      </c>
      <c r="H1742">
        <v>3.7291951930347248E-187</v>
      </c>
      <c r="I1742">
        <v>1.5247596474746821E-186</v>
      </c>
      <c r="J1742">
        <v>0.346951220295247</v>
      </c>
      <c r="K1742">
        <v>4.5714024083215761E-201</v>
      </c>
      <c r="L1742">
        <v>2.2073343057324181E-200</v>
      </c>
      <c r="M1742">
        <v>0.2354895635163092</v>
      </c>
      <c r="N1742">
        <v>1.259717075874201E-195</v>
      </c>
      <c r="O1742">
        <v>6.0252505421530173E-195</v>
      </c>
      <c r="P1742">
        <v>0.112452117332381</v>
      </c>
      <c r="Q1742">
        <v>0.56820942298343124</v>
      </c>
      <c r="R1742">
        <v>5.9673796736470086</v>
      </c>
      <c r="S1742">
        <v>0.19816230433170051</v>
      </c>
      <c r="T1742">
        <v>0.153305111988017</v>
      </c>
      <c r="U1742">
        <v>4.2555146084885838</v>
      </c>
      <c r="V1742">
        <v>0.12414549193133841</v>
      </c>
      <c r="W1742">
        <v>8.3854031738338701</v>
      </c>
      <c r="X1742">
        <v>0.21035632107846949</v>
      </c>
      <c r="Z1742" t="s">
        <v>392</v>
      </c>
      <c r="AA1742">
        <v>140</v>
      </c>
      <c r="AB1742" t="s">
        <v>2133</v>
      </c>
      <c r="AC1742" t="str">
        <f>HYPERLINK("plots/20251231112652_3FT6Y119H04_05543_B21P_N_UFLEX98_M5358A8BA201511/dpll_52094/txpa_53229.png","plot")</f>
        <v>plot</v>
      </c>
    </row>
    <row r="1743" spans="1:29" hidden="1" x14ac:dyDescent="0.35">
      <c r="A1743" t="s">
        <v>47</v>
      </c>
      <c r="B1743">
        <v>52094</v>
      </c>
      <c r="C1743" t="s">
        <v>53</v>
      </c>
      <c r="D1743">
        <v>53230</v>
      </c>
      <c r="E1743" t="s">
        <v>105</v>
      </c>
      <c r="F1743">
        <v>7139</v>
      </c>
      <c r="G1743">
        <v>0.27081353359082161</v>
      </c>
      <c r="H1743">
        <v>3.1425978198990171E-120</v>
      </c>
      <c r="I1743">
        <v>5.9340673917646252E-120</v>
      </c>
      <c r="J1743">
        <v>0.26917008357530819</v>
      </c>
      <c r="K1743">
        <v>9.6248150216883579E-119</v>
      </c>
      <c r="L1743">
        <v>2.054644722524631E-118</v>
      </c>
      <c r="M1743">
        <v>0.18149767553155621</v>
      </c>
      <c r="N1743">
        <v>5.0124956154039769E-117</v>
      </c>
      <c r="O1743">
        <v>1.07912325987678E-116</v>
      </c>
      <c r="P1743">
        <v>7.3339969975947036E-2</v>
      </c>
      <c r="Q1743">
        <v>0.53872486279629517</v>
      </c>
      <c r="R1743">
        <v>5.9839044930833598</v>
      </c>
      <c r="S1743">
        <v>0.23771544794568419</v>
      </c>
      <c r="T1743">
        <v>0.1899309312494098</v>
      </c>
      <c r="U1743">
        <v>4.2555146084885838</v>
      </c>
      <c r="V1743">
        <v>0.12414549193133841</v>
      </c>
      <c r="W1743">
        <v>8.2764560166690018</v>
      </c>
      <c r="X1743">
        <v>0.24696056441750719</v>
      </c>
      <c r="Z1743" t="s">
        <v>392</v>
      </c>
      <c r="AA1743">
        <v>140</v>
      </c>
      <c r="AB1743" t="s">
        <v>2134</v>
      </c>
      <c r="AC1743" t="str">
        <f>HYPERLINK("plots/20251231112652_3FT6Y119H04_05543_B21P_N_UFLEX98_M5358A8BA201511/dpll_52094/txpa_53230.png","plot")</f>
        <v>plot</v>
      </c>
    </row>
    <row r="1744" spans="1:29" hidden="1" x14ac:dyDescent="0.35">
      <c r="A1744" t="s">
        <v>47</v>
      </c>
      <c r="B1744">
        <v>52094</v>
      </c>
      <c r="C1744" t="s">
        <v>53</v>
      </c>
      <c r="D1744">
        <v>53231</v>
      </c>
      <c r="E1744" t="s">
        <v>106</v>
      </c>
      <c r="F1744">
        <v>7139</v>
      </c>
      <c r="G1744">
        <v>0.35153279273736449</v>
      </c>
      <c r="H1744">
        <v>1.013547240590577E-206</v>
      </c>
      <c r="I1744">
        <v>6.1541131853823073E-206</v>
      </c>
      <c r="J1744">
        <v>0.34857722447629458</v>
      </c>
      <c r="K1744">
        <v>4.6152181673920022E-203</v>
      </c>
      <c r="L1744">
        <v>2.3282742396693982E-202</v>
      </c>
      <c r="M1744">
        <v>0.2373025091733281</v>
      </c>
      <c r="N1744">
        <v>1.283818934304747E-198</v>
      </c>
      <c r="O1744">
        <v>6.3193805795389011E-198</v>
      </c>
      <c r="P1744">
        <v>0.1235753043697309</v>
      </c>
      <c r="Q1744">
        <v>0.59093226447481639</v>
      </c>
      <c r="R1744">
        <v>5.9892004349924894</v>
      </c>
      <c r="S1744">
        <v>0.19535732332684269</v>
      </c>
      <c r="T1744">
        <v>0.1528848184878073</v>
      </c>
      <c r="U1744">
        <v>4.2555146084885838</v>
      </c>
      <c r="V1744">
        <v>0.12414549193133841</v>
      </c>
      <c r="W1744">
        <v>8.50392131909231</v>
      </c>
      <c r="X1744">
        <v>0.20869056368842209</v>
      </c>
      <c r="Z1744" t="s">
        <v>392</v>
      </c>
      <c r="AA1744">
        <v>140</v>
      </c>
      <c r="AB1744" t="s">
        <v>2135</v>
      </c>
      <c r="AC1744" t="str">
        <f>HYPERLINK("plots/20251231112652_3FT6Y119H04_05543_B21P_N_UFLEX98_M5358A8BA201511/dpll_52094/txpa_53231.png","plot")</f>
        <v>plot</v>
      </c>
    </row>
    <row r="1745" spans="1:29" hidden="1" x14ac:dyDescent="0.35">
      <c r="A1745" t="s">
        <v>47</v>
      </c>
      <c r="B1745">
        <v>52094</v>
      </c>
      <c r="C1745" t="s">
        <v>53</v>
      </c>
      <c r="D1745">
        <v>53232</v>
      </c>
      <c r="E1745" t="s">
        <v>107</v>
      </c>
      <c r="F1745">
        <v>7139</v>
      </c>
      <c r="G1745">
        <v>0.29937971024341309</v>
      </c>
      <c r="H1745">
        <v>9.3451289955699132E-148</v>
      </c>
      <c r="I1745">
        <v>2.2999904858028859E-147</v>
      </c>
      <c r="J1745">
        <v>0.31152701579043968</v>
      </c>
      <c r="K1745">
        <v>1.856116560191645E-160</v>
      </c>
      <c r="L1745">
        <v>5.9939560255870321E-160</v>
      </c>
      <c r="M1745">
        <v>0.21206349313560521</v>
      </c>
      <c r="N1745">
        <v>4.9625840730437924E-159</v>
      </c>
      <c r="O1745">
        <v>1.6444641340086291E-158</v>
      </c>
      <c r="P1745">
        <v>8.9628210905430009E-2</v>
      </c>
      <c r="Q1745">
        <v>0.57379881725685233</v>
      </c>
      <c r="R1745">
        <v>5.980533115446887</v>
      </c>
      <c r="S1745">
        <v>0.227011163806625</v>
      </c>
      <c r="T1745">
        <v>0.1778175302011934</v>
      </c>
      <c r="U1745">
        <v>4.2555146084885838</v>
      </c>
      <c r="V1745">
        <v>0.12414549193133841</v>
      </c>
      <c r="W1745">
        <v>8.4223423646168936</v>
      </c>
      <c r="X1745">
        <v>0.23794042816079369</v>
      </c>
      <c r="Z1745" t="s">
        <v>392</v>
      </c>
      <c r="AA1745">
        <v>140</v>
      </c>
      <c r="AB1745" t="s">
        <v>2136</v>
      </c>
      <c r="AC1745" t="str">
        <f>HYPERLINK("plots/20251231112652_3FT6Y119H04_05543_B21P_N_UFLEX98_M5358A8BA201511/dpll_52094/txpa_53232.png","plot")</f>
        <v>plot</v>
      </c>
    </row>
    <row r="1746" spans="1:29" hidden="1" x14ac:dyDescent="0.35">
      <c r="A1746" t="s">
        <v>47</v>
      </c>
      <c r="B1746">
        <v>52094</v>
      </c>
      <c r="C1746" t="s">
        <v>53</v>
      </c>
      <c r="D1746">
        <v>53233</v>
      </c>
      <c r="E1746" t="s">
        <v>108</v>
      </c>
      <c r="F1746">
        <v>7139</v>
      </c>
      <c r="G1746">
        <v>0.31666916177530557</v>
      </c>
      <c r="H1746">
        <v>5.0967006043649479E-166</v>
      </c>
      <c r="I1746">
        <v>1.5155584788346211E-165</v>
      </c>
      <c r="J1746">
        <v>0.31457055840734699</v>
      </c>
      <c r="K1746">
        <v>9.7800283589252915E-164</v>
      </c>
      <c r="L1746">
        <v>3.2946673607808123E-163</v>
      </c>
      <c r="M1746">
        <v>0.21402694373815639</v>
      </c>
      <c r="N1746">
        <v>5.958970857918483E-162</v>
      </c>
      <c r="O1746">
        <v>2.0141321499764469E-161</v>
      </c>
      <c r="P1746">
        <v>0.1002793580194747</v>
      </c>
      <c r="Q1746">
        <v>0.58093393121320902</v>
      </c>
      <c r="R1746">
        <v>6.0702194285755731</v>
      </c>
      <c r="S1746">
        <v>0.21601074154898589</v>
      </c>
      <c r="T1746">
        <v>0.16976000427872631</v>
      </c>
      <c r="U1746">
        <v>4.2555146084885838</v>
      </c>
      <c r="V1746">
        <v>0.12414549193133841</v>
      </c>
      <c r="W1746">
        <v>8.5423922594200867</v>
      </c>
      <c r="X1746">
        <v>0.22774661184483599</v>
      </c>
      <c r="Z1746" t="s">
        <v>392</v>
      </c>
      <c r="AA1746">
        <v>140</v>
      </c>
      <c r="AB1746" t="s">
        <v>2137</v>
      </c>
      <c r="AC1746" t="str">
        <f>HYPERLINK("plots/20251231112652_3FT6Y119H04_05543_B21P_N_UFLEX98_M5358A8BA201511/dpll_52094/txpa_53233.png","plot")</f>
        <v>plot</v>
      </c>
    </row>
    <row r="1747" spans="1:29" hidden="1" x14ac:dyDescent="0.35">
      <c r="A1747" t="s">
        <v>47</v>
      </c>
      <c r="B1747">
        <v>52094</v>
      </c>
      <c r="C1747" t="s">
        <v>53</v>
      </c>
      <c r="D1747">
        <v>53234</v>
      </c>
      <c r="E1747" t="s">
        <v>109</v>
      </c>
      <c r="F1747">
        <v>7139</v>
      </c>
      <c r="G1747">
        <v>0.34756964325061002</v>
      </c>
      <c r="H1747">
        <v>7.9865406880851771E-202</v>
      </c>
      <c r="I1747">
        <v>4.3774877068747943E-201</v>
      </c>
      <c r="J1747">
        <v>0.33614822504475689</v>
      </c>
      <c r="K1747">
        <v>4.180555748705438E-188</v>
      </c>
      <c r="L1747">
        <v>1.8351010948862829E-187</v>
      </c>
      <c r="M1747">
        <v>0.2289347617607273</v>
      </c>
      <c r="N1747">
        <v>5.3096859934217372E-185</v>
      </c>
      <c r="O1747">
        <v>2.2910730201402731E-184</v>
      </c>
      <c r="P1747">
        <v>0.12080465690935629</v>
      </c>
      <c r="Q1747">
        <v>0.61484508466122134</v>
      </c>
      <c r="R1747">
        <v>5.5504320801995366</v>
      </c>
      <c r="S1747">
        <v>0.20590509419258279</v>
      </c>
      <c r="T1747">
        <v>0.1609675880886938</v>
      </c>
      <c r="U1747">
        <v>4.2555146084885838</v>
      </c>
      <c r="V1747">
        <v>0.12414549193133841</v>
      </c>
      <c r="W1747">
        <v>8.166914319932765</v>
      </c>
      <c r="X1747">
        <v>0.21961136991988661</v>
      </c>
      <c r="Z1747" t="s">
        <v>392</v>
      </c>
      <c r="AA1747">
        <v>140</v>
      </c>
      <c r="AB1747" t="s">
        <v>2138</v>
      </c>
      <c r="AC1747" t="str">
        <f>HYPERLINK("plots/20251231112652_3FT6Y119H04_05543_B21P_N_UFLEX98_M5358A8BA201511/dpll_52094/txpa_53234.png","plot")</f>
        <v>plot</v>
      </c>
    </row>
    <row r="1748" spans="1:29" hidden="1" x14ac:dyDescent="0.35">
      <c r="A1748" t="s">
        <v>47</v>
      </c>
      <c r="B1748">
        <v>52094</v>
      </c>
      <c r="C1748" t="s">
        <v>53</v>
      </c>
      <c r="D1748">
        <v>53235</v>
      </c>
      <c r="E1748" t="s">
        <v>110</v>
      </c>
      <c r="F1748">
        <v>7139</v>
      </c>
      <c r="G1748">
        <v>0.32367975004003768</v>
      </c>
      <c r="H1748">
        <v>8.8248682033969697E-174</v>
      </c>
      <c r="I1748">
        <v>2.9435580125804368E-173</v>
      </c>
      <c r="J1748">
        <v>0.34417667444812922</v>
      </c>
      <c r="K1748">
        <v>1.09230209116203E-197</v>
      </c>
      <c r="L1748">
        <v>5.0575083125036461E-197</v>
      </c>
      <c r="M1748">
        <v>0.2340467698941521</v>
      </c>
      <c r="N1748">
        <v>2.912492606237371E-193</v>
      </c>
      <c r="O1748">
        <v>1.342394319420315E-192</v>
      </c>
      <c r="P1748">
        <v>0.10476858058598131</v>
      </c>
      <c r="Q1748">
        <v>0.57120576451246863</v>
      </c>
      <c r="R1748">
        <v>6.7081186874321928</v>
      </c>
      <c r="S1748">
        <v>0.20727419833558289</v>
      </c>
      <c r="T1748">
        <v>0.15733782838200339</v>
      </c>
      <c r="U1748">
        <v>4.2555146084885838</v>
      </c>
      <c r="V1748">
        <v>0.12414549193133841</v>
      </c>
      <c r="W1748">
        <v>9.1388931627678929</v>
      </c>
      <c r="X1748">
        <v>0.21908266000775489</v>
      </c>
      <c r="Z1748" t="s">
        <v>392</v>
      </c>
      <c r="AA1748">
        <v>140</v>
      </c>
      <c r="AB1748" t="s">
        <v>2139</v>
      </c>
      <c r="AC1748" t="str">
        <f>HYPERLINK("plots/20251231112652_3FT6Y119H04_05543_B21P_N_UFLEX98_M5358A8BA201511/dpll_52094/txpa_53235.png","plot")</f>
        <v>plot</v>
      </c>
    </row>
    <row r="1749" spans="1:29" hidden="1" x14ac:dyDescent="0.35">
      <c r="A1749" t="s">
        <v>47</v>
      </c>
      <c r="B1749">
        <v>52094</v>
      </c>
      <c r="C1749" t="s">
        <v>53</v>
      </c>
      <c r="D1749">
        <v>53236</v>
      </c>
      <c r="E1749" t="s">
        <v>111</v>
      </c>
      <c r="F1749">
        <v>7139</v>
      </c>
      <c r="G1749">
        <v>0.26562259932972437</v>
      </c>
      <c r="H1749">
        <v>1.431371610847997E-115</v>
      </c>
      <c r="I1749">
        <v>2.6151546187385021E-115</v>
      </c>
      <c r="J1749">
        <v>0.26922436509274777</v>
      </c>
      <c r="K1749">
        <v>8.5995241360340132E-119</v>
      </c>
      <c r="L1749">
        <v>1.839645036695884E-118</v>
      </c>
      <c r="M1749">
        <v>0.18071519060128441</v>
      </c>
      <c r="N1749">
        <v>4.8967783967535602E-116</v>
      </c>
      <c r="O1749">
        <v>1.043137246703384E-115</v>
      </c>
      <c r="P1749">
        <v>7.0555365274679288E-2</v>
      </c>
      <c r="Q1749">
        <v>0.56442026827726355</v>
      </c>
      <c r="R1749">
        <v>6.8311659487677643</v>
      </c>
      <c r="S1749">
        <v>0.25430205838723502</v>
      </c>
      <c r="T1749">
        <v>0.20303308631523739</v>
      </c>
      <c r="U1749">
        <v>4.2555146084885838</v>
      </c>
      <c r="V1749">
        <v>0.12414549193133841</v>
      </c>
      <c r="W1749">
        <v>9.2330646457487049</v>
      </c>
      <c r="X1749">
        <v>0.26379619820796518</v>
      </c>
      <c r="Z1749" t="s">
        <v>392</v>
      </c>
      <c r="AA1749">
        <v>140</v>
      </c>
      <c r="AB1749" t="s">
        <v>2140</v>
      </c>
      <c r="AC1749" t="str">
        <f>HYPERLINK("plots/20251231112652_3FT6Y119H04_05543_B21P_N_UFLEX98_M5358A8BA201511/dpll_52094/txpa_53236.png","plot")</f>
        <v>plot</v>
      </c>
    </row>
    <row r="1750" spans="1:29" hidden="1" x14ac:dyDescent="0.35">
      <c r="A1750" t="s">
        <v>47</v>
      </c>
      <c r="B1750">
        <v>52094</v>
      </c>
      <c r="C1750" t="s">
        <v>53</v>
      </c>
      <c r="D1750">
        <v>53237</v>
      </c>
      <c r="E1750" t="s">
        <v>112</v>
      </c>
      <c r="F1750">
        <v>7139</v>
      </c>
      <c r="G1750">
        <v>0.34322106109445227</v>
      </c>
      <c r="H1750">
        <v>1.562949118977622E-196</v>
      </c>
      <c r="I1750">
        <v>7.8070463381443778E-196</v>
      </c>
      <c r="J1750">
        <v>0.35797345036398032</v>
      </c>
      <c r="K1750">
        <v>7.8753489674964237E-215</v>
      </c>
      <c r="L1750">
        <v>5.0863718809180722E-214</v>
      </c>
      <c r="M1750">
        <v>0.24355925736435549</v>
      </c>
      <c r="N1750">
        <v>4.0602686945127101E-209</v>
      </c>
      <c r="O1750">
        <v>2.407668103061923E-208</v>
      </c>
      <c r="P1750">
        <v>0.1178006967788018</v>
      </c>
      <c r="Q1750">
        <v>0.58116699341429456</v>
      </c>
      <c r="R1750">
        <v>6.8941650435980657</v>
      </c>
      <c r="S1750">
        <v>0.1974289797866586</v>
      </c>
      <c r="T1750">
        <v>0.15160857102199579</v>
      </c>
      <c r="U1750">
        <v>4.2555146084885838</v>
      </c>
      <c r="V1750">
        <v>0.12414549193133841</v>
      </c>
      <c r="W1750">
        <v>9.3673296740439849</v>
      </c>
      <c r="X1750">
        <v>0.21021222317070881</v>
      </c>
      <c r="Z1750" t="s">
        <v>392</v>
      </c>
      <c r="AA1750">
        <v>140</v>
      </c>
      <c r="AB1750" t="s">
        <v>2141</v>
      </c>
      <c r="AC1750" t="str">
        <f>HYPERLINK("plots/20251231112652_3FT6Y119H04_05543_B21P_N_UFLEX98_M5358A8BA201511/dpll_52094/txpa_53237.png","plot")</f>
        <v>plot</v>
      </c>
    </row>
    <row r="1751" spans="1:29" hidden="1" x14ac:dyDescent="0.35">
      <c r="A1751" t="s">
        <v>47</v>
      </c>
      <c r="B1751">
        <v>52094</v>
      </c>
      <c r="C1751" t="s">
        <v>53</v>
      </c>
      <c r="D1751">
        <v>53238</v>
      </c>
      <c r="E1751" t="s">
        <v>113</v>
      </c>
      <c r="F1751">
        <v>7139</v>
      </c>
      <c r="G1751">
        <v>0.28031156781640848</v>
      </c>
      <c r="H1751">
        <v>5.046719994181949E-129</v>
      </c>
      <c r="I1751">
        <v>1.025525866553206E-128</v>
      </c>
      <c r="J1751">
        <v>0.27917856733769109</v>
      </c>
      <c r="K1751">
        <v>5.8963029800762534E-128</v>
      </c>
      <c r="L1751">
        <v>1.393671613472569E-127</v>
      </c>
      <c r="M1751">
        <v>0.1885208631753359</v>
      </c>
      <c r="N1751">
        <v>4.205937559693015E-126</v>
      </c>
      <c r="O1751">
        <v>1.013021540505634E-125</v>
      </c>
      <c r="P1751">
        <v>7.8574575051692977E-2</v>
      </c>
      <c r="Q1751">
        <v>0.55128618432379994</v>
      </c>
      <c r="R1751">
        <v>6.9324375356432446</v>
      </c>
      <c r="S1751">
        <v>0.23435095019395111</v>
      </c>
      <c r="T1751">
        <v>0.18671409341434289</v>
      </c>
      <c r="U1751">
        <v>4.2555146084885838</v>
      </c>
      <c r="V1751">
        <v>0.12414549193133841</v>
      </c>
      <c r="W1751">
        <v>9.2784439464911053</v>
      </c>
      <c r="X1751">
        <v>0.2441557980677185</v>
      </c>
      <c r="Z1751" t="s">
        <v>392</v>
      </c>
      <c r="AA1751">
        <v>140</v>
      </c>
      <c r="AB1751" t="s">
        <v>2142</v>
      </c>
      <c r="AC1751" t="str">
        <f>HYPERLINK("plots/20251231112652_3FT6Y119H04_05543_B21P_N_UFLEX98_M5358A8BA201511/dpll_52094/txpa_53238.png","plot")</f>
        <v>plot</v>
      </c>
    </row>
    <row r="1752" spans="1:29" hidden="1" x14ac:dyDescent="0.35">
      <c r="A1752" t="s">
        <v>47</v>
      </c>
      <c r="B1752">
        <v>52094</v>
      </c>
      <c r="C1752" t="s">
        <v>53</v>
      </c>
      <c r="D1752">
        <v>53239</v>
      </c>
      <c r="E1752" t="s">
        <v>114</v>
      </c>
      <c r="F1752">
        <v>7139</v>
      </c>
      <c r="G1752">
        <v>0.35819987248634649</v>
      </c>
      <c r="H1752">
        <v>4.0525030398744561E-215</v>
      </c>
      <c r="I1752">
        <v>2.8536375572449301E-214</v>
      </c>
      <c r="J1752">
        <v>0.3563025799625345</v>
      </c>
      <c r="K1752">
        <v>1.0430503213223461E-212</v>
      </c>
      <c r="L1752">
        <v>6.3714037700051735E-212</v>
      </c>
      <c r="M1752">
        <v>0.2430434294227013</v>
      </c>
      <c r="N1752">
        <v>3.0516737662013718E-208</v>
      </c>
      <c r="O1752">
        <v>1.7482470050441761E-207</v>
      </c>
      <c r="P1752">
        <v>0.1283071486492349</v>
      </c>
      <c r="Q1752">
        <v>0.60186446634345281</v>
      </c>
      <c r="R1752">
        <v>6.9254936463098407</v>
      </c>
      <c r="S1752">
        <v>0.19474017390285009</v>
      </c>
      <c r="T1752">
        <v>0.1516802597660887</v>
      </c>
      <c r="U1752">
        <v>4.2555146084885838</v>
      </c>
      <c r="V1752">
        <v>0.12414549193133841</v>
      </c>
      <c r="W1752">
        <v>9.4867366751645896</v>
      </c>
      <c r="X1752">
        <v>0.20859516149897139</v>
      </c>
      <c r="Z1752" t="s">
        <v>392</v>
      </c>
      <c r="AA1752">
        <v>140</v>
      </c>
      <c r="AB1752" t="s">
        <v>2143</v>
      </c>
      <c r="AC1752" t="str">
        <f>HYPERLINK("plots/20251231112652_3FT6Y119H04_05543_B21P_N_UFLEX98_M5358A8BA201511/dpll_52094/txpa_53239.png","plot")</f>
        <v>plot</v>
      </c>
    </row>
    <row r="1753" spans="1:29" hidden="1" x14ac:dyDescent="0.35">
      <c r="A1753" t="s">
        <v>47</v>
      </c>
      <c r="B1753">
        <v>52094</v>
      </c>
      <c r="C1753" t="s">
        <v>53</v>
      </c>
      <c r="D1753">
        <v>53240</v>
      </c>
      <c r="E1753" t="s">
        <v>115</v>
      </c>
      <c r="F1753">
        <v>7139</v>
      </c>
      <c r="G1753">
        <v>0.30931530333408991</v>
      </c>
      <c r="H1753">
        <v>4.2331445113286673E-158</v>
      </c>
      <c r="I1753">
        <v>1.153873261958943E-157</v>
      </c>
      <c r="J1753">
        <v>0.32152713142059169</v>
      </c>
      <c r="K1753">
        <v>2.2444106624479128E-171</v>
      </c>
      <c r="L1753">
        <v>8.1571054183590811E-171</v>
      </c>
      <c r="M1753">
        <v>0.21928395023817901</v>
      </c>
      <c r="N1753">
        <v>6.6575668510346581E-170</v>
      </c>
      <c r="O1753">
        <v>2.4910600689849239E-169</v>
      </c>
      <c r="P1753">
        <v>9.5675956876660057E-2</v>
      </c>
      <c r="Q1753">
        <v>0.58535233848038237</v>
      </c>
      <c r="R1753">
        <v>6.9167977657881634</v>
      </c>
      <c r="S1753">
        <v>0.22339761065903829</v>
      </c>
      <c r="T1753">
        <v>0.1745541094470445</v>
      </c>
      <c r="U1753">
        <v>4.2555146084885838</v>
      </c>
      <c r="V1753">
        <v>0.12414549193133841</v>
      </c>
      <c r="W1753">
        <v>9.4077731933043847</v>
      </c>
      <c r="X1753">
        <v>0.23493455781370459</v>
      </c>
      <c r="Z1753" t="s">
        <v>392</v>
      </c>
      <c r="AA1753">
        <v>140</v>
      </c>
      <c r="AB1753" t="s">
        <v>2144</v>
      </c>
      <c r="AC1753" t="str">
        <f>HYPERLINK("plots/20251231112652_3FT6Y119H04_05543_B21P_N_UFLEX98_M5358A8BA201511/dpll_52094/txpa_53240.png","plot")</f>
        <v>plot</v>
      </c>
    </row>
    <row r="1754" spans="1:29" hidden="1" x14ac:dyDescent="0.35">
      <c r="A1754" t="s">
        <v>47</v>
      </c>
      <c r="B1754">
        <v>52094</v>
      </c>
      <c r="C1754" t="s">
        <v>53</v>
      </c>
      <c r="D1754">
        <v>53241</v>
      </c>
      <c r="E1754" t="s">
        <v>116</v>
      </c>
      <c r="F1754">
        <v>7139</v>
      </c>
      <c r="G1754">
        <v>0.32614143673175</v>
      </c>
      <c r="H1754">
        <v>1.481510131808173E-176</v>
      </c>
      <c r="I1754">
        <v>5.0923771988253807E-176</v>
      </c>
      <c r="J1754">
        <v>0.32411285877913698</v>
      </c>
      <c r="K1754">
        <v>2.879741075354653E-174</v>
      </c>
      <c r="L1754">
        <v>1.0895736755259771E-173</v>
      </c>
      <c r="M1754">
        <v>0.2209503332316014</v>
      </c>
      <c r="N1754">
        <v>1.8308917647824219E-172</v>
      </c>
      <c r="O1754">
        <v>7.0322888238233957E-172</v>
      </c>
      <c r="P1754">
        <v>0.1063682367534501</v>
      </c>
      <c r="Q1754">
        <v>0.59216193858755473</v>
      </c>
      <c r="R1754">
        <v>7.0002964875743672</v>
      </c>
      <c r="S1754">
        <v>0.21306609311837599</v>
      </c>
      <c r="T1754">
        <v>0.16669275015085139</v>
      </c>
      <c r="U1754">
        <v>4.2555146084885838</v>
      </c>
      <c r="V1754">
        <v>0.12414549193133841</v>
      </c>
      <c r="W1754">
        <v>9.5202502678246255</v>
      </c>
      <c r="X1754">
        <v>0.22540599534254249</v>
      </c>
      <c r="Z1754" t="s">
        <v>392</v>
      </c>
      <c r="AA1754">
        <v>140</v>
      </c>
      <c r="AB1754" t="s">
        <v>2145</v>
      </c>
      <c r="AC1754" t="str">
        <f>HYPERLINK("plots/20251231112652_3FT6Y119H04_05543_B21P_N_UFLEX98_M5358A8BA201511/dpll_52094/txpa_53241.png","plot")</f>
        <v>plot</v>
      </c>
    </row>
    <row r="1755" spans="1:29" hidden="1" x14ac:dyDescent="0.35">
      <c r="A1755" t="s">
        <v>47</v>
      </c>
      <c r="B1755">
        <v>52094</v>
      </c>
      <c r="C1755" t="s">
        <v>53</v>
      </c>
      <c r="D1755">
        <v>53242</v>
      </c>
      <c r="E1755" t="s">
        <v>117</v>
      </c>
      <c r="F1755">
        <v>7139</v>
      </c>
      <c r="G1755">
        <v>0.35375680688878181</v>
      </c>
      <c r="H1755">
        <v>1.6862426215733291E-209</v>
      </c>
      <c r="I1755">
        <v>1.096057704022664E-208</v>
      </c>
      <c r="J1755">
        <v>0.34326236212114969</v>
      </c>
      <c r="K1755">
        <v>1.393427791005882E-196</v>
      </c>
      <c r="L1755">
        <v>6.3360348882509607E-196</v>
      </c>
      <c r="M1755">
        <v>0.2342168627225153</v>
      </c>
      <c r="N1755">
        <v>1.5364654225060131E-193</v>
      </c>
      <c r="O1755">
        <v>7.1140453809182516E-193</v>
      </c>
      <c r="P1755">
        <v>0.1251438784201469</v>
      </c>
      <c r="Q1755">
        <v>0.62161494746369095</v>
      </c>
      <c r="R1755">
        <v>6.5190743013606181</v>
      </c>
      <c r="S1755">
        <v>0.20402599097088281</v>
      </c>
      <c r="T1755">
        <v>0.1588667844035416</v>
      </c>
      <c r="U1755">
        <v>4.2555146084885838</v>
      </c>
      <c r="V1755">
        <v>0.12414549193133841</v>
      </c>
      <c r="W1755">
        <v>9.1643657911472189</v>
      </c>
      <c r="X1755">
        <v>0.21814617257390281</v>
      </c>
      <c r="Z1755" t="s">
        <v>392</v>
      </c>
      <c r="AA1755">
        <v>140</v>
      </c>
      <c r="AB1755" t="s">
        <v>2146</v>
      </c>
      <c r="AC1755" t="str">
        <f>HYPERLINK("plots/20251231112652_3FT6Y119H04_05543_B21P_N_UFLEX98_M5358A8BA201511/dpll_52094/txpa_53242.png","plot")</f>
        <v>plot</v>
      </c>
    </row>
    <row r="1756" spans="1:29" hidden="1" x14ac:dyDescent="0.35">
      <c r="A1756" t="s">
        <v>47</v>
      </c>
      <c r="B1756">
        <v>52094</v>
      </c>
      <c r="C1756" t="s">
        <v>53</v>
      </c>
      <c r="D1756">
        <v>53243</v>
      </c>
      <c r="E1756" t="s">
        <v>118</v>
      </c>
      <c r="F1756">
        <v>7139</v>
      </c>
      <c r="G1756">
        <v>0.32959378791027261</v>
      </c>
      <c r="H1756">
        <v>1.7183852530198931E-180</v>
      </c>
      <c r="I1756">
        <v>6.1788746331991914E-180</v>
      </c>
      <c r="J1756">
        <v>0.35397674824748132</v>
      </c>
      <c r="K1756">
        <v>8.9305799214594628E-210</v>
      </c>
      <c r="L1756">
        <v>5.0030983648397215E-209</v>
      </c>
      <c r="M1756">
        <v>0.2412776933326905</v>
      </c>
      <c r="N1756">
        <v>2.946886490092599E-205</v>
      </c>
      <c r="O1756">
        <v>1.6239907070401609E-204</v>
      </c>
      <c r="P1756">
        <v>0.1086320650290417</v>
      </c>
      <c r="Q1756">
        <v>0.58462589615450589</v>
      </c>
      <c r="R1756">
        <v>7.6073398704462711</v>
      </c>
      <c r="S1756">
        <v>0.20788735285629281</v>
      </c>
      <c r="T1756">
        <v>0.15669755339269431</v>
      </c>
      <c r="U1756">
        <v>4.2555146084885838</v>
      </c>
      <c r="V1756">
        <v>0.12414549193133841</v>
      </c>
      <c r="W1756">
        <v>10.0952239120325</v>
      </c>
      <c r="X1756">
        <v>0.22020642419892711</v>
      </c>
      <c r="Z1756" t="s">
        <v>392</v>
      </c>
      <c r="AA1756">
        <v>140</v>
      </c>
      <c r="AB1756" t="s">
        <v>2147</v>
      </c>
      <c r="AC1756" t="str">
        <f>HYPERLINK("plots/20251231112652_3FT6Y119H04_05543_B21P_N_UFLEX98_M5358A8BA201511/dpll_52094/txpa_53243.png","plot")</f>
        <v>plot</v>
      </c>
    </row>
    <row r="1757" spans="1:29" hidden="1" x14ac:dyDescent="0.35">
      <c r="A1757" t="s">
        <v>47</v>
      </c>
      <c r="B1757">
        <v>52094</v>
      </c>
      <c r="C1757" t="s">
        <v>53</v>
      </c>
      <c r="D1757">
        <v>53244</v>
      </c>
      <c r="E1757" t="s">
        <v>119</v>
      </c>
      <c r="F1757">
        <v>7139</v>
      </c>
      <c r="G1757">
        <v>0.27476718244632542</v>
      </c>
      <c r="H1757">
        <v>7.5737279457292241E-124</v>
      </c>
      <c r="I1757">
        <v>1.462811454660844E-123</v>
      </c>
      <c r="J1757">
        <v>0.27906756621496992</v>
      </c>
      <c r="K1757">
        <v>7.4972082917318607E-128</v>
      </c>
      <c r="L1757">
        <v>1.7638443637624379E-127</v>
      </c>
      <c r="M1757">
        <v>0.18760434187900171</v>
      </c>
      <c r="N1757">
        <v>6.7260543981675983E-125</v>
      </c>
      <c r="O1757">
        <v>1.5714790690649641E-124</v>
      </c>
      <c r="P1757">
        <v>7.5497004549492278E-2</v>
      </c>
      <c r="Q1757">
        <v>0.57896204149549912</v>
      </c>
      <c r="R1757">
        <v>7.7351693029087851</v>
      </c>
      <c r="S1757">
        <v>0.25150112179548167</v>
      </c>
      <c r="T1757">
        <v>0.20016550053456381</v>
      </c>
      <c r="U1757">
        <v>4.2555146084885838</v>
      </c>
      <c r="V1757">
        <v>0.12414549193133841</v>
      </c>
      <c r="W1757">
        <v>10.19895072825325</v>
      </c>
      <c r="X1757">
        <v>0.26158701636455889</v>
      </c>
      <c r="Z1757" t="s">
        <v>392</v>
      </c>
      <c r="AA1757">
        <v>140</v>
      </c>
      <c r="AB1757" t="s">
        <v>2148</v>
      </c>
      <c r="AC1757" t="str">
        <f>HYPERLINK("plots/20251231112652_3FT6Y119H04_05543_B21P_N_UFLEX98_M5358A8BA201511/dpll_52094/txpa_53244.png","plot")</f>
        <v>plot</v>
      </c>
    </row>
    <row r="1758" spans="1:29" hidden="1" x14ac:dyDescent="0.35">
      <c r="A1758" t="s">
        <v>47</v>
      </c>
      <c r="B1758">
        <v>52094</v>
      </c>
      <c r="C1758" t="s">
        <v>53</v>
      </c>
      <c r="D1758">
        <v>53245</v>
      </c>
      <c r="E1758" t="s">
        <v>120</v>
      </c>
      <c r="F1758">
        <v>7139</v>
      </c>
      <c r="G1758">
        <v>0.35104219058654018</v>
      </c>
      <c r="H1758">
        <v>4.1289031837653189E-206</v>
      </c>
      <c r="I1758">
        <v>2.462769310787079E-205</v>
      </c>
      <c r="J1758">
        <v>0.36846402215508978</v>
      </c>
      <c r="K1758">
        <v>1.89594121878456E-228</v>
      </c>
      <c r="L1758">
        <v>1.6431490562799519E-227</v>
      </c>
      <c r="M1758">
        <v>0.25152813569420568</v>
      </c>
      <c r="N1758">
        <v>6.9404368266301312E-223</v>
      </c>
      <c r="O1758">
        <v>5.8162007786801255E-222</v>
      </c>
      <c r="P1758">
        <v>0.1232306195717968</v>
      </c>
      <c r="Q1758">
        <v>0.59735092036070947</v>
      </c>
      <c r="R1758">
        <v>7.7705091052144324</v>
      </c>
      <c r="S1758">
        <v>0.19779415013039209</v>
      </c>
      <c r="T1758">
        <v>0.15077256879903911</v>
      </c>
      <c r="U1758">
        <v>4.2555146084885838</v>
      </c>
      <c r="V1758">
        <v>0.12414549193133841</v>
      </c>
      <c r="W1758">
        <v>10.312544673203529</v>
      </c>
      <c r="X1758">
        <v>0.21125216812232769</v>
      </c>
      <c r="Z1758" t="s">
        <v>392</v>
      </c>
      <c r="AA1758">
        <v>140</v>
      </c>
      <c r="AB1758" t="s">
        <v>2149</v>
      </c>
      <c r="AC1758" t="str">
        <f>HYPERLINK("plots/20251231112652_3FT6Y119H04_05543_B21P_N_UFLEX98_M5358A8BA201511/dpll_52094/txpa_53245.png","plot")</f>
        <v>plot</v>
      </c>
    </row>
    <row r="1759" spans="1:29" hidden="1" x14ac:dyDescent="0.35">
      <c r="A1759" t="s">
        <v>47</v>
      </c>
      <c r="B1759">
        <v>52094</v>
      </c>
      <c r="C1759" t="s">
        <v>53</v>
      </c>
      <c r="D1759">
        <v>53246</v>
      </c>
      <c r="E1759" t="s">
        <v>121</v>
      </c>
      <c r="F1759">
        <v>7139</v>
      </c>
      <c r="G1759">
        <v>0.29087715546493192</v>
      </c>
      <c r="H1759">
        <v>3.1857406865126551E-139</v>
      </c>
      <c r="I1759">
        <v>7.0996506727996319E-139</v>
      </c>
      <c r="J1759">
        <v>0.2900066642007092</v>
      </c>
      <c r="K1759">
        <v>2.2927529200661429E-138</v>
      </c>
      <c r="L1759">
        <v>5.8413353290127375E-138</v>
      </c>
      <c r="M1759">
        <v>0.19617713044738541</v>
      </c>
      <c r="N1759">
        <v>2.1824403819777542E-136</v>
      </c>
      <c r="O1759">
        <v>5.6167374297600069E-136</v>
      </c>
      <c r="P1759">
        <v>8.4609519571370181E-2</v>
      </c>
      <c r="Q1759">
        <v>0.5682318916929614</v>
      </c>
      <c r="R1759">
        <v>7.8259591724473214</v>
      </c>
      <c r="S1759">
        <v>0.232016953764869</v>
      </c>
      <c r="T1759">
        <v>0.18427460861731379</v>
      </c>
      <c r="U1759">
        <v>4.2555146084885838</v>
      </c>
      <c r="V1759">
        <v>0.12414549193133841</v>
      </c>
      <c r="W1759">
        <v>10.244078288555819</v>
      </c>
      <c r="X1759">
        <v>0.2425196561501797</v>
      </c>
      <c r="Z1759" t="s">
        <v>392</v>
      </c>
      <c r="AA1759">
        <v>140</v>
      </c>
      <c r="AB1759" t="s">
        <v>2150</v>
      </c>
      <c r="AC1759" t="str">
        <f>HYPERLINK("plots/20251231112652_3FT6Y119H04_05543_B21P_N_UFLEX98_M5358A8BA201511/dpll_52094/txpa_53246.png","plot")</f>
        <v>plot</v>
      </c>
    </row>
    <row r="1760" spans="1:29" hidden="1" x14ac:dyDescent="0.35">
      <c r="A1760" t="s">
        <v>47</v>
      </c>
      <c r="B1760">
        <v>52094</v>
      </c>
      <c r="C1760" t="s">
        <v>53</v>
      </c>
      <c r="D1760">
        <v>53247</v>
      </c>
      <c r="E1760" t="s">
        <v>122</v>
      </c>
      <c r="F1760">
        <v>7139</v>
      </c>
      <c r="G1760">
        <v>0.36572553897403443</v>
      </c>
      <c r="H1760">
        <v>7.626029778918568E-225</v>
      </c>
      <c r="I1760">
        <v>7.507567180411095E-224</v>
      </c>
      <c r="J1760">
        <v>0.36471962220883392</v>
      </c>
      <c r="K1760">
        <v>1.5757624052468931E-223</v>
      </c>
      <c r="L1760">
        <v>1.248299280406523E-222</v>
      </c>
      <c r="M1760">
        <v>0.24942670194926919</v>
      </c>
      <c r="N1760">
        <v>3.2734180585614601E-219</v>
      </c>
      <c r="O1760">
        <v>2.5337755048712371E-218</v>
      </c>
      <c r="P1760">
        <v>0.13375516985784799</v>
      </c>
      <c r="Q1760">
        <v>0.61768743160338335</v>
      </c>
      <c r="R1760">
        <v>7.8048347558200319</v>
      </c>
      <c r="S1760">
        <v>0.19513462512967689</v>
      </c>
      <c r="T1760">
        <v>0.15110483861252211</v>
      </c>
      <c r="U1760">
        <v>4.2555146084885838</v>
      </c>
      <c r="V1760">
        <v>0.12414549193133841</v>
      </c>
      <c r="W1760">
        <v>10.433412644488021</v>
      </c>
      <c r="X1760">
        <v>0.20967392726065881</v>
      </c>
      <c r="Z1760" t="s">
        <v>392</v>
      </c>
      <c r="AA1760">
        <v>140</v>
      </c>
      <c r="AB1760" t="s">
        <v>2151</v>
      </c>
      <c r="AC1760" t="str">
        <f>HYPERLINK("plots/20251231112652_3FT6Y119H04_05543_B21P_N_UFLEX98_M5358A8BA201511/dpll_52094/txpa_53247.png","plot")</f>
        <v>plot</v>
      </c>
    </row>
    <row r="1761" spans="1:29" hidden="1" x14ac:dyDescent="0.35">
      <c r="A1761" t="s">
        <v>47</v>
      </c>
      <c r="B1761">
        <v>52094</v>
      </c>
      <c r="C1761" t="s">
        <v>53</v>
      </c>
      <c r="D1761">
        <v>53248</v>
      </c>
      <c r="E1761" t="s">
        <v>123</v>
      </c>
      <c r="F1761">
        <v>7139</v>
      </c>
      <c r="G1761">
        <v>0.32033261024174758</v>
      </c>
      <c r="H1761">
        <v>4.7576322835821363E-170</v>
      </c>
      <c r="I1761">
        <v>1.502878235374544E-169</v>
      </c>
      <c r="J1761">
        <v>0.33232307285772111</v>
      </c>
      <c r="K1761">
        <v>1.222868513358023E-183</v>
      </c>
      <c r="L1761">
        <v>4.9999543247783699E-183</v>
      </c>
      <c r="M1761">
        <v>0.22711377991964241</v>
      </c>
      <c r="N1761">
        <v>4.2029909199335363E-182</v>
      </c>
      <c r="O1761">
        <v>1.783193637160086E-181</v>
      </c>
      <c r="P1761">
        <v>0.10261298118429139</v>
      </c>
      <c r="Q1761">
        <v>0.60106120346665926</v>
      </c>
      <c r="R1761">
        <v>7.7991118773809394</v>
      </c>
      <c r="S1761">
        <v>0.2206520516930108</v>
      </c>
      <c r="T1761">
        <v>0.1719412074816809</v>
      </c>
      <c r="U1761">
        <v>4.2555146084885838</v>
      </c>
      <c r="V1761">
        <v>0.12414549193133841</v>
      </c>
      <c r="W1761">
        <v>10.35693660932904</v>
      </c>
      <c r="X1761">
        <v>0.23294237426810041</v>
      </c>
      <c r="Z1761" t="s">
        <v>392</v>
      </c>
      <c r="AA1761">
        <v>140</v>
      </c>
      <c r="AB1761" t="s">
        <v>2152</v>
      </c>
      <c r="AC1761" t="str">
        <f>HYPERLINK("plots/20251231112652_3FT6Y119H04_05543_B21P_N_UFLEX98_M5358A8BA201511/dpll_52094/txpa_53248.png","plot")</f>
        <v>plot</v>
      </c>
    </row>
    <row r="1762" spans="1:29" hidden="1" x14ac:dyDescent="0.35">
      <c r="A1762" t="s">
        <v>47</v>
      </c>
      <c r="B1762">
        <v>52094</v>
      </c>
      <c r="C1762" t="s">
        <v>53</v>
      </c>
      <c r="D1762">
        <v>53249</v>
      </c>
      <c r="E1762" t="s">
        <v>124</v>
      </c>
      <c r="F1762">
        <v>7139</v>
      </c>
      <c r="G1762">
        <v>0.33644469234129681</v>
      </c>
      <c r="H1762">
        <v>1.8724783141494399E-188</v>
      </c>
      <c r="I1762">
        <v>7.8135514837347013E-188</v>
      </c>
      <c r="J1762">
        <v>0.33428897238282951</v>
      </c>
      <c r="K1762">
        <v>6.3098950151079892E-186</v>
      </c>
      <c r="L1762">
        <v>2.677085165405649E-185</v>
      </c>
      <c r="M1762">
        <v>0.22838293395719239</v>
      </c>
      <c r="N1762">
        <v>4.0337296988281758E-184</v>
      </c>
      <c r="O1762">
        <v>1.725823592663194E-183</v>
      </c>
      <c r="P1762">
        <v>0.1131950310046299</v>
      </c>
      <c r="Q1762">
        <v>0.60766344362677804</v>
      </c>
      <c r="R1762">
        <v>7.8760109468102</v>
      </c>
      <c r="S1762">
        <v>0.21113684254262141</v>
      </c>
      <c r="T1762">
        <v>0.16441826460137959</v>
      </c>
      <c r="U1762">
        <v>4.2555146084885838</v>
      </c>
      <c r="V1762">
        <v>0.12414549193133841</v>
      </c>
      <c r="W1762">
        <v>10.461931608208429</v>
      </c>
      <c r="X1762">
        <v>0.22422311558183489</v>
      </c>
      <c r="Z1762" t="s">
        <v>392</v>
      </c>
      <c r="AA1762">
        <v>140</v>
      </c>
      <c r="AB1762" t="s">
        <v>2153</v>
      </c>
      <c r="AC1762" t="str">
        <f>HYPERLINK("plots/20251231112652_3FT6Y119H04_05543_B21P_N_UFLEX98_M5358A8BA201511/dpll_52094/txpa_53249.png","plot")</f>
        <v>plot</v>
      </c>
    </row>
    <row r="1763" spans="1:29" hidden="1" x14ac:dyDescent="0.35">
      <c r="A1763" t="s">
        <v>47</v>
      </c>
      <c r="B1763">
        <v>52094</v>
      </c>
      <c r="C1763" t="s">
        <v>53</v>
      </c>
      <c r="D1763">
        <v>53250</v>
      </c>
      <c r="E1763" t="s">
        <v>125</v>
      </c>
      <c r="F1763">
        <v>7139</v>
      </c>
      <c r="G1763">
        <v>0.36029022291201268</v>
      </c>
      <c r="H1763">
        <v>8.5641184461369142E-218</v>
      </c>
      <c r="I1763">
        <v>6.7317954297541321E-217</v>
      </c>
      <c r="J1763">
        <v>0.3506546621465001</v>
      </c>
      <c r="K1763">
        <v>1.2499669465414119E-205</v>
      </c>
      <c r="L1763">
        <v>6.5333323906855243E-205</v>
      </c>
      <c r="M1763">
        <v>0.23973868838972451</v>
      </c>
      <c r="N1763">
        <v>1.1293854032292551E-202</v>
      </c>
      <c r="O1763">
        <v>5.9336621703340142E-202</v>
      </c>
      <c r="P1763">
        <v>0.12980904472598781</v>
      </c>
      <c r="Q1763">
        <v>0.63228778921003226</v>
      </c>
      <c r="R1763">
        <v>7.4355886638650706</v>
      </c>
      <c r="S1763">
        <v>0.20322172564968391</v>
      </c>
      <c r="T1763">
        <v>0.15757053962743389</v>
      </c>
      <c r="U1763">
        <v>4.2555146084885838</v>
      </c>
      <c r="V1763">
        <v>0.12414549193133841</v>
      </c>
      <c r="W1763">
        <v>10.12629858761731</v>
      </c>
      <c r="X1763">
        <v>0.2178679121493326</v>
      </c>
      <c r="Z1763" t="s">
        <v>392</v>
      </c>
      <c r="AA1763">
        <v>140</v>
      </c>
      <c r="AB1763" t="s">
        <v>2154</v>
      </c>
      <c r="AC1763" t="str">
        <f>HYPERLINK("plots/20251231112652_3FT6Y119H04_05543_B21P_N_UFLEX98_M5358A8BA201511/dpll_52094/txpa_53250.png","plot")</f>
        <v>plot</v>
      </c>
    </row>
    <row r="1764" spans="1:29" hidden="1" x14ac:dyDescent="0.35">
      <c r="A1764" t="s">
        <v>47</v>
      </c>
      <c r="B1764">
        <v>52094</v>
      </c>
      <c r="C1764" t="s">
        <v>53</v>
      </c>
      <c r="D1764">
        <v>53251</v>
      </c>
      <c r="E1764" t="s">
        <v>126</v>
      </c>
      <c r="F1764">
        <v>7139</v>
      </c>
      <c r="G1764">
        <v>0.33325572857348762</v>
      </c>
      <c r="H1764">
        <v>1.009989940604906E-184</v>
      </c>
      <c r="I1764">
        <v>3.923868964648944E-184</v>
      </c>
      <c r="J1764">
        <v>0.36220887465415152</v>
      </c>
      <c r="K1764">
        <v>2.881345995712037E-220</v>
      </c>
      <c r="L1764">
        <v>2.1019315393179889E-219</v>
      </c>
      <c r="M1764">
        <v>0.2475019716475409</v>
      </c>
      <c r="N1764">
        <v>7.1186584839455048E-216</v>
      </c>
      <c r="O1764">
        <v>5.1930357573530513E-215</v>
      </c>
      <c r="P1764">
        <v>0.111059380627046</v>
      </c>
      <c r="Q1764">
        <v>0.59542561481759959</v>
      </c>
      <c r="R1764">
        <v>8.5159841122331628</v>
      </c>
      <c r="S1764">
        <v>0.2091157772546634</v>
      </c>
      <c r="T1764">
        <v>0.15642318350839679</v>
      </c>
      <c r="U1764">
        <v>4.2555146084885838</v>
      </c>
      <c r="V1764">
        <v>0.12414549193133841</v>
      </c>
      <c r="W1764">
        <v>11.049826514357751</v>
      </c>
      <c r="X1764">
        <v>0.2218098580824551</v>
      </c>
      <c r="Z1764" t="s">
        <v>392</v>
      </c>
      <c r="AA1764">
        <v>140</v>
      </c>
      <c r="AB1764" t="s">
        <v>2155</v>
      </c>
      <c r="AC1764" t="str">
        <f>HYPERLINK("plots/20251231112652_3FT6Y119H04_05543_B21P_N_UFLEX98_M5358A8BA201511/dpll_52094/txpa_53251.png","plot")</f>
        <v>plot</v>
      </c>
    </row>
    <row r="1765" spans="1:29" hidden="1" x14ac:dyDescent="0.35">
      <c r="A1765" t="s">
        <v>47</v>
      </c>
      <c r="B1765">
        <v>52094</v>
      </c>
      <c r="C1765" t="s">
        <v>53</v>
      </c>
      <c r="D1765">
        <v>53252</v>
      </c>
      <c r="E1765" t="s">
        <v>127</v>
      </c>
      <c r="F1765">
        <v>7139</v>
      </c>
      <c r="G1765">
        <v>0.28301737051477249</v>
      </c>
      <c r="H1765">
        <v>1.35838905429733E-131</v>
      </c>
      <c r="I1765">
        <v>2.8458812005320099E-131</v>
      </c>
      <c r="J1765">
        <v>0.28867429205193468</v>
      </c>
      <c r="K1765">
        <v>4.6391150916373927E-137</v>
      </c>
      <c r="L1765">
        <v>1.164371956168395E-136</v>
      </c>
      <c r="M1765">
        <v>0.19444386825584359</v>
      </c>
      <c r="N1765">
        <v>5.0474795625671827E-134</v>
      </c>
      <c r="O1765">
        <v>1.2668673951591889E-133</v>
      </c>
      <c r="P1765">
        <v>8.0098832013096047E-2</v>
      </c>
      <c r="Q1765">
        <v>0.59105945612479349</v>
      </c>
      <c r="R1765">
        <v>8.6462726376209531</v>
      </c>
      <c r="S1765">
        <v>0.24865042041550761</v>
      </c>
      <c r="T1765">
        <v>0.1970772532589799</v>
      </c>
      <c r="U1765">
        <v>4.2555146084885838</v>
      </c>
      <c r="V1765">
        <v>0.12414549193133841</v>
      </c>
      <c r="W1765">
        <v>11.16153478764533</v>
      </c>
      <c r="X1765">
        <v>0.25926806827375198</v>
      </c>
      <c r="Z1765" t="s">
        <v>392</v>
      </c>
      <c r="AA1765">
        <v>140</v>
      </c>
      <c r="AB1765" t="s">
        <v>2156</v>
      </c>
      <c r="AC1765" t="str">
        <f>HYPERLINK("plots/20251231112652_3FT6Y119H04_05543_B21P_N_UFLEX98_M5358A8BA201511/dpll_52094/txpa_53252.png","plot")</f>
        <v>plot</v>
      </c>
    </row>
    <row r="1766" spans="1:29" hidden="1" x14ac:dyDescent="0.35">
      <c r="A1766" t="s">
        <v>47</v>
      </c>
      <c r="B1766">
        <v>52094</v>
      </c>
      <c r="C1766" t="s">
        <v>53</v>
      </c>
      <c r="D1766">
        <v>53253</v>
      </c>
      <c r="E1766" t="s">
        <v>128</v>
      </c>
      <c r="F1766">
        <v>7139</v>
      </c>
      <c r="G1766">
        <v>0.35614058301203899</v>
      </c>
      <c r="H1766">
        <v>1.672490545018051E-212</v>
      </c>
      <c r="I1766">
        <v>1.1536771514614309E-211</v>
      </c>
      <c r="J1766">
        <v>0.37781650651912962</v>
      </c>
      <c r="K1766">
        <v>5.0128784756928107E-241</v>
      </c>
      <c r="L1766">
        <v>5.4656545960779684E-240</v>
      </c>
      <c r="M1766">
        <v>0.25884892594327269</v>
      </c>
      <c r="N1766">
        <v>6.3528968115668597E-236</v>
      </c>
      <c r="O1766">
        <v>6.9267068461599943E-235</v>
      </c>
      <c r="P1766">
        <v>0.1268361148681551</v>
      </c>
      <c r="Q1766">
        <v>0.61070820508845713</v>
      </c>
      <c r="R1766">
        <v>8.6550029378603419</v>
      </c>
      <c r="S1766">
        <v>0.19891187284166109</v>
      </c>
      <c r="T1766">
        <v>0.15033721178380269</v>
      </c>
      <c r="U1766">
        <v>4.2555146084885838</v>
      </c>
      <c r="V1766">
        <v>0.12414549193133841</v>
      </c>
      <c r="W1766">
        <v>11.253880626138111</v>
      </c>
      <c r="X1766">
        <v>0.21288410858991669</v>
      </c>
      <c r="Z1766" t="s">
        <v>392</v>
      </c>
      <c r="AA1766">
        <v>140</v>
      </c>
      <c r="AB1766" t="s">
        <v>2157</v>
      </c>
      <c r="AC1766" t="str">
        <f>HYPERLINK("plots/20251231112652_3FT6Y119H04_05543_B21P_N_UFLEX98_M5358A8BA201511/dpll_52094/txpa_53253.png","plot")</f>
        <v>plot</v>
      </c>
    </row>
    <row r="1767" spans="1:29" hidden="1" x14ac:dyDescent="0.35">
      <c r="A1767" t="s">
        <v>47</v>
      </c>
      <c r="B1767">
        <v>52094</v>
      </c>
      <c r="C1767" t="s">
        <v>53</v>
      </c>
      <c r="D1767">
        <v>53254</v>
      </c>
      <c r="E1767" t="s">
        <v>129</v>
      </c>
      <c r="F1767">
        <v>7139</v>
      </c>
      <c r="G1767">
        <v>0.30037749700012067</v>
      </c>
      <c r="H1767">
        <v>8.9138894178142477E-149</v>
      </c>
      <c r="I1767">
        <v>2.2099471563969801E-148</v>
      </c>
      <c r="J1767">
        <v>0.30098470254696108</v>
      </c>
      <c r="K1767">
        <v>2.123449241290646E-149</v>
      </c>
      <c r="L1767">
        <v>6.0144623761695957E-149</v>
      </c>
      <c r="M1767">
        <v>0.20399140120862261</v>
      </c>
      <c r="N1767">
        <v>2.6356715107206342E-147</v>
      </c>
      <c r="O1767">
        <v>7.5710224132315088E-147</v>
      </c>
      <c r="P1767">
        <v>9.0226640704057504E-2</v>
      </c>
      <c r="Q1767">
        <v>0.58395878093879816</v>
      </c>
      <c r="R1767">
        <v>8.72161676798091</v>
      </c>
      <c r="S1767">
        <v>0.23018760878199379</v>
      </c>
      <c r="T1767">
        <v>0.18208344893213549</v>
      </c>
      <c r="U1767">
        <v>4.2555146084885838</v>
      </c>
      <c r="V1767">
        <v>0.12414549193133841</v>
      </c>
      <c r="W1767">
        <v>11.206661891021151</v>
      </c>
      <c r="X1767">
        <v>0.2413491385050148</v>
      </c>
      <c r="Z1767" t="s">
        <v>392</v>
      </c>
      <c r="AA1767">
        <v>140</v>
      </c>
      <c r="AB1767" t="s">
        <v>2158</v>
      </c>
      <c r="AC1767" t="str">
        <f>HYPERLINK("plots/20251231112652_3FT6Y119H04_05543_B21P_N_UFLEX98_M5358A8BA201511/dpll_52094/txpa_53254.png","plot")</f>
        <v>plot</v>
      </c>
    </row>
    <row r="1768" spans="1:29" hidden="1" x14ac:dyDescent="0.35">
      <c r="A1768" t="s">
        <v>47</v>
      </c>
      <c r="B1768">
        <v>52094</v>
      </c>
      <c r="C1768" t="s">
        <v>53</v>
      </c>
      <c r="D1768">
        <v>53255</v>
      </c>
      <c r="E1768" t="s">
        <v>130</v>
      </c>
      <c r="F1768">
        <v>7139</v>
      </c>
      <c r="G1768">
        <v>0.3713768853025517</v>
      </c>
      <c r="H1768">
        <v>2.5412847320838351E-232</v>
      </c>
      <c r="I1768">
        <v>3.1425155101622052E-231</v>
      </c>
      <c r="J1768">
        <v>0.37252276201699841</v>
      </c>
      <c r="K1768">
        <v>7.4224891567290155E-234</v>
      </c>
      <c r="L1768">
        <v>7.1680038142125917E-233</v>
      </c>
      <c r="M1768">
        <v>0.25559085782007018</v>
      </c>
      <c r="N1768">
        <v>4.4840480271585096E-230</v>
      </c>
      <c r="O1768">
        <v>4.2493688780735803E-229</v>
      </c>
      <c r="P1768">
        <v>0.13792079093702461</v>
      </c>
      <c r="Q1768">
        <v>0.63228316121399009</v>
      </c>
      <c r="R1768">
        <v>8.6860467157027941</v>
      </c>
      <c r="S1768">
        <v>0.19623246829618271</v>
      </c>
      <c r="T1768">
        <v>0.15094570321402101</v>
      </c>
      <c r="U1768">
        <v>4.2555146084885838</v>
      </c>
      <c r="V1768">
        <v>0.12414549193133841</v>
      </c>
      <c r="W1768">
        <v>11.37673694495027</v>
      </c>
      <c r="X1768">
        <v>0.21136238466986021</v>
      </c>
      <c r="Z1768" t="s">
        <v>392</v>
      </c>
      <c r="AA1768">
        <v>140</v>
      </c>
      <c r="AB1768" t="s">
        <v>2159</v>
      </c>
      <c r="AC1768" t="str">
        <f>HYPERLINK("plots/20251231112652_3FT6Y119H04_05543_B21P_N_UFLEX98_M5358A8BA201511/dpll_52094/txpa_53255.png","plot")</f>
        <v>plot</v>
      </c>
    </row>
    <row r="1769" spans="1:29" hidden="1" x14ac:dyDescent="0.35">
      <c r="A1769" t="s">
        <v>47</v>
      </c>
      <c r="B1769">
        <v>52094</v>
      </c>
      <c r="C1769" t="s">
        <v>53</v>
      </c>
      <c r="D1769">
        <v>53256</v>
      </c>
      <c r="E1769" t="s">
        <v>131</v>
      </c>
      <c r="F1769">
        <v>7139</v>
      </c>
      <c r="G1769">
        <v>0.32978529729446732</v>
      </c>
      <c r="H1769">
        <v>1.035859697446573E-180</v>
      </c>
      <c r="I1769">
        <v>3.7379421110705521E-180</v>
      </c>
      <c r="J1769">
        <v>0.34238914165562601</v>
      </c>
      <c r="K1769">
        <v>1.572747346658615E-195</v>
      </c>
      <c r="L1769">
        <v>7.0254000419023578E-195</v>
      </c>
      <c r="M1769">
        <v>0.23452207936712821</v>
      </c>
      <c r="N1769">
        <v>4.867447117024255E-194</v>
      </c>
      <c r="O1769">
        <v>2.3063511105899982E-193</v>
      </c>
      <c r="P1769">
        <v>0.1087583423116002</v>
      </c>
      <c r="Q1769">
        <v>0.61519066028136393</v>
      </c>
      <c r="R1769">
        <v>8.6852183053864174</v>
      </c>
      <c r="S1769">
        <v>0.21861336902524231</v>
      </c>
      <c r="T1769">
        <v>0.16975639728053529</v>
      </c>
      <c r="U1769">
        <v>4.2555146084885838</v>
      </c>
      <c r="V1769">
        <v>0.12414549193133841</v>
      </c>
      <c r="W1769">
        <v>11.3031711472195</v>
      </c>
      <c r="X1769">
        <v>0.23158445139535969</v>
      </c>
      <c r="Z1769" t="s">
        <v>392</v>
      </c>
      <c r="AA1769">
        <v>140</v>
      </c>
      <c r="AB1769" t="s">
        <v>2160</v>
      </c>
      <c r="AC1769" t="str">
        <f>HYPERLINK("plots/20251231112652_3FT6Y119H04_05543_B21P_N_UFLEX98_M5358A8BA201511/dpll_52094/txpa_53256.png","plot")</f>
        <v>plot</v>
      </c>
    </row>
    <row r="1770" spans="1:29" hidden="1" x14ac:dyDescent="0.35">
      <c r="A1770" t="s">
        <v>47</v>
      </c>
      <c r="B1770">
        <v>52094</v>
      </c>
      <c r="C1770" t="s">
        <v>53</v>
      </c>
      <c r="D1770">
        <v>53257</v>
      </c>
      <c r="E1770" t="s">
        <v>132</v>
      </c>
      <c r="F1770">
        <v>7139</v>
      </c>
      <c r="G1770">
        <v>0.34496736591406868</v>
      </c>
      <c r="H1770">
        <v>1.1997758174583911E-198</v>
      </c>
      <c r="I1770">
        <v>6.270993190220663E-198</v>
      </c>
      <c r="J1770">
        <v>0.34387159801444039</v>
      </c>
      <c r="K1770">
        <v>2.556859418365347E-197</v>
      </c>
      <c r="L1770">
        <v>1.178479750101119E-196</v>
      </c>
      <c r="M1770">
        <v>0.23542319205411411</v>
      </c>
      <c r="N1770">
        <v>1.6196325377891799E-195</v>
      </c>
      <c r="O1770">
        <v>7.7103633489118723E-195</v>
      </c>
      <c r="P1770">
        <v>0.119002483545691</v>
      </c>
      <c r="Q1770">
        <v>0.62044484223334995</v>
      </c>
      <c r="R1770">
        <v>8.7590746617604722</v>
      </c>
      <c r="S1770">
        <v>0.20956224518966701</v>
      </c>
      <c r="T1770">
        <v>0.16214380330575889</v>
      </c>
      <c r="U1770">
        <v>4.2555146084885838</v>
      </c>
      <c r="V1770">
        <v>0.12414549193133841</v>
      </c>
      <c r="W1770">
        <v>11.39938675164589</v>
      </c>
      <c r="X1770">
        <v>0.22328323710048531</v>
      </c>
      <c r="Z1770" t="s">
        <v>392</v>
      </c>
      <c r="AA1770">
        <v>140</v>
      </c>
      <c r="AB1770" t="s">
        <v>2161</v>
      </c>
      <c r="AC1770" t="str">
        <f>HYPERLINK("plots/20251231112652_3FT6Y119H04_05543_B21P_N_UFLEX98_M5358A8BA201511/dpll_52094/txpa_53257.png","plot")</f>
        <v>plot</v>
      </c>
    </row>
    <row r="1771" spans="1:29" hidden="1" x14ac:dyDescent="0.35">
      <c r="A1771" t="s">
        <v>47</v>
      </c>
      <c r="B1771">
        <v>52094</v>
      </c>
      <c r="C1771" t="s">
        <v>53</v>
      </c>
      <c r="D1771">
        <v>53258</v>
      </c>
      <c r="E1771" t="s">
        <v>133</v>
      </c>
      <c r="F1771">
        <v>7139</v>
      </c>
      <c r="G1771">
        <v>0.36482958343950872</v>
      </c>
      <c r="H1771">
        <v>1.132273702545154E-223</v>
      </c>
      <c r="I1771">
        <v>1.073014518112884E-222</v>
      </c>
      <c r="J1771">
        <v>0.35646005894977317</v>
      </c>
      <c r="K1771">
        <v>6.5894712569988636E-213</v>
      </c>
      <c r="L1771">
        <v>4.0742218625590529E-212</v>
      </c>
      <c r="M1771">
        <v>0.2442033916028247</v>
      </c>
      <c r="N1771">
        <v>3.2550510530855612E-210</v>
      </c>
      <c r="O1771">
        <v>2.000376828987127E-209</v>
      </c>
      <c r="P1771">
        <v>0.13310062495264541</v>
      </c>
      <c r="Q1771">
        <v>0.64102464158696226</v>
      </c>
      <c r="R1771">
        <v>8.3592265417104503</v>
      </c>
      <c r="S1771">
        <v>0.20308112318659399</v>
      </c>
      <c r="T1771">
        <v>0.1568363798365108</v>
      </c>
      <c r="U1771">
        <v>4.2555146084885838</v>
      </c>
      <c r="V1771">
        <v>0.12414549193133841</v>
      </c>
      <c r="W1771">
        <v>11.08711626838493</v>
      </c>
      <c r="X1771">
        <v>0.21813011631256121</v>
      </c>
      <c r="Z1771" t="s">
        <v>392</v>
      </c>
      <c r="AA1771">
        <v>140</v>
      </c>
      <c r="AB1771" t="s">
        <v>2162</v>
      </c>
      <c r="AC1771" t="str">
        <f>HYPERLINK("plots/20251231112652_3FT6Y119H04_05543_B21P_N_UFLEX98_M5358A8BA201511/dpll_52094/txpa_53258.png","plot")</f>
        <v>plot</v>
      </c>
    </row>
    <row r="1772" spans="1:29" hidden="1" x14ac:dyDescent="0.35">
      <c r="A1772" t="s">
        <v>47</v>
      </c>
      <c r="B1772">
        <v>52094</v>
      </c>
      <c r="C1772" t="s">
        <v>53</v>
      </c>
      <c r="D1772">
        <v>53259</v>
      </c>
      <c r="E1772" t="s">
        <v>134</v>
      </c>
      <c r="F1772">
        <v>7139</v>
      </c>
      <c r="G1772">
        <v>0.33450468236672598</v>
      </c>
      <c r="H1772">
        <v>3.5319487279497491E-186</v>
      </c>
      <c r="I1772">
        <v>1.409998429189388E-185</v>
      </c>
      <c r="J1772">
        <v>0.36634434682038752</v>
      </c>
      <c r="K1772">
        <v>1.1772871202135679E-225</v>
      </c>
      <c r="L1772">
        <v>9.8658606603021318E-225</v>
      </c>
      <c r="M1772">
        <v>0.25067126669296719</v>
      </c>
      <c r="N1772">
        <v>2.2013614169818449E-221</v>
      </c>
      <c r="O1772">
        <v>1.829656128540648E-220</v>
      </c>
      <c r="P1772">
        <v>0.11189338252526421</v>
      </c>
      <c r="Q1772">
        <v>0.60139007745438455</v>
      </c>
      <c r="R1772">
        <v>8.9567719551489713</v>
      </c>
      <c r="S1772">
        <v>0.21032318241935891</v>
      </c>
      <c r="T1772">
        <v>0.15642025869707329</v>
      </c>
      <c r="U1772">
        <v>4.2555146084885838</v>
      </c>
      <c r="V1772">
        <v>0.12414549193133841</v>
      </c>
      <c r="W1772">
        <v>11.515996215156189</v>
      </c>
      <c r="X1772">
        <v>0.2231952822900958</v>
      </c>
      <c r="Z1772" t="s">
        <v>392</v>
      </c>
      <c r="AA1772">
        <v>140</v>
      </c>
      <c r="AB1772" t="s">
        <v>2163</v>
      </c>
      <c r="AC1772" t="str">
        <f>HYPERLINK("plots/20251231112652_3FT6Y119H04_05543_B21P_N_UFLEX98_M5358A8BA201511/dpll_52094/txpa_53259.png","plot")</f>
        <v>plot</v>
      </c>
    </row>
    <row r="1773" spans="1:29" hidden="1" x14ac:dyDescent="0.35">
      <c r="A1773" t="s">
        <v>47</v>
      </c>
      <c r="B1773">
        <v>52094</v>
      </c>
      <c r="C1773" t="s">
        <v>53</v>
      </c>
      <c r="D1773">
        <v>53260</v>
      </c>
      <c r="E1773" t="s">
        <v>135</v>
      </c>
      <c r="F1773">
        <v>7139</v>
      </c>
      <c r="G1773">
        <v>0.28762652456434612</v>
      </c>
      <c r="H1773">
        <v>4.8814379739951369E-136</v>
      </c>
      <c r="I1773">
        <v>1.0553897879810381E-135</v>
      </c>
      <c r="J1773">
        <v>0.29426151986240889</v>
      </c>
      <c r="K1773">
        <v>1.3862246682492461E-142</v>
      </c>
      <c r="L1773">
        <v>3.6796644335202503E-142</v>
      </c>
      <c r="M1773">
        <v>0.19848236620252671</v>
      </c>
      <c r="N1773">
        <v>1.451859500729621E-139</v>
      </c>
      <c r="O1773">
        <v>3.8438264588507449E-139</v>
      </c>
      <c r="P1773">
        <v>8.2729017632964363E-2</v>
      </c>
      <c r="Q1773">
        <v>0.59751942486544662</v>
      </c>
      <c r="R1773">
        <v>9.0872402764049944</v>
      </c>
      <c r="S1773">
        <v>0.24698606829891001</v>
      </c>
      <c r="T1773">
        <v>0.1950556499194071</v>
      </c>
      <c r="U1773">
        <v>4.2555146084885838</v>
      </c>
      <c r="V1773">
        <v>0.12414549193133841</v>
      </c>
      <c r="W1773">
        <v>11.629992917775599</v>
      </c>
      <c r="X1773">
        <v>0.2579016071303129</v>
      </c>
      <c r="Z1773" t="s">
        <v>392</v>
      </c>
      <c r="AA1773">
        <v>140</v>
      </c>
      <c r="AB1773" t="s">
        <v>2164</v>
      </c>
      <c r="AC1773" t="str">
        <f>HYPERLINK("plots/20251231112652_3FT6Y119H04_05543_B21P_N_UFLEX98_M5358A8BA201511/dpll_52094/txpa_53260.png","plot")</f>
        <v>plot</v>
      </c>
    </row>
    <row r="1774" spans="1:29" hidden="1" x14ac:dyDescent="0.35">
      <c r="A1774" t="s">
        <v>47</v>
      </c>
      <c r="B1774">
        <v>52094</v>
      </c>
      <c r="C1774" t="s">
        <v>53</v>
      </c>
      <c r="D1774">
        <v>53261</v>
      </c>
      <c r="E1774" t="s">
        <v>136</v>
      </c>
      <c r="F1774">
        <v>7139</v>
      </c>
      <c r="G1774">
        <v>0.35819203757162782</v>
      </c>
      <c r="H1774">
        <v>4.1467886221099422E-215</v>
      </c>
      <c r="I1774">
        <v>2.8998921812548149E-214</v>
      </c>
      <c r="J1774">
        <v>0.38273453678873071</v>
      </c>
      <c r="K1774">
        <v>8.2720897424398513E-248</v>
      </c>
      <c r="L1774">
        <v>1.035543086275804E-246</v>
      </c>
      <c r="M1774">
        <v>0.26277658633536582</v>
      </c>
      <c r="N1774">
        <v>4.5119524949721509E-243</v>
      </c>
      <c r="O1774">
        <v>5.4465712260735257E-242</v>
      </c>
      <c r="P1774">
        <v>0.1283015357797144</v>
      </c>
      <c r="Q1774">
        <v>0.61849915064442862</v>
      </c>
      <c r="R1774">
        <v>9.0789660417296769</v>
      </c>
      <c r="S1774">
        <v>0.2001275391208017</v>
      </c>
      <c r="T1774">
        <v>0.150338097724113</v>
      </c>
      <c r="U1774">
        <v>4.2555146084885838</v>
      </c>
      <c r="V1774">
        <v>0.12414549193133841</v>
      </c>
      <c r="W1774">
        <v>11.71099821263482</v>
      </c>
      <c r="X1774">
        <v>0.21436512613855371</v>
      </c>
      <c r="Z1774" t="s">
        <v>392</v>
      </c>
      <c r="AA1774">
        <v>140</v>
      </c>
      <c r="AB1774" t="s">
        <v>2165</v>
      </c>
      <c r="AC1774" t="str">
        <f>HYPERLINK("plots/20251231112652_3FT6Y119H04_05543_B21P_N_UFLEX98_M5358A8BA201511/dpll_52094/txpa_53261.png","plot")</f>
        <v>plot</v>
      </c>
    </row>
    <row r="1775" spans="1:29" hidden="1" x14ac:dyDescent="0.35">
      <c r="A1775" t="s">
        <v>47</v>
      </c>
      <c r="B1775">
        <v>52094</v>
      </c>
      <c r="C1775" t="s">
        <v>53</v>
      </c>
      <c r="D1775">
        <v>53262</v>
      </c>
      <c r="E1775" t="s">
        <v>137</v>
      </c>
      <c r="F1775">
        <v>7139</v>
      </c>
      <c r="G1775">
        <v>0.30563853149477882</v>
      </c>
      <c r="H1775">
        <v>3.1758296112917802E-154</v>
      </c>
      <c r="I1775">
        <v>8.4744505943417505E-154</v>
      </c>
      <c r="J1775">
        <v>0.30723499388964509</v>
      </c>
      <c r="K1775">
        <v>6.7004246198822528E-156</v>
      </c>
      <c r="L1775">
        <v>2.0841198050799402E-155</v>
      </c>
      <c r="M1775">
        <v>0.20848872780302169</v>
      </c>
      <c r="N1775">
        <v>8.796261759344012E-154</v>
      </c>
      <c r="O1775">
        <v>2.7360151607284748E-153</v>
      </c>
      <c r="P1775">
        <v>9.3414911934284903E-2</v>
      </c>
      <c r="Q1775">
        <v>0.59278384263918094</v>
      </c>
      <c r="R1775">
        <v>9.1519887706722258</v>
      </c>
      <c r="S1775">
        <v>0.2292414113295205</v>
      </c>
      <c r="T1775">
        <v>0.18071679604928029</v>
      </c>
      <c r="U1775">
        <v>4.2555146084885838</v>
      </c>
      <c r="V1775">
        <v>0.12414549193133841</v>
      </c>
      <c r="W1775">
        <v>11.674589072699259</v>
      </c>
      <c r="X1775">
        <v>0.2407793330031994</v>
      </c>
      <c r="Z1775" t="s">
        <v>392</v>
      </c>
      <c r="AA1775">
        <v>140</v>
      </c>
      <c r="AB1775" t="s">
        <v>2166</v>
      </c>
      <c r="AC1775" t="str">
        <f>HYPERLINK("plots/20251231112652_3FT6Y119H04_05543_B21P_N_UFLEX98_M5358A8BA201511/dpll_52094/txpa_53262.png","plot")</f>
        <v>plot</v>
      </c>
    </row>
    <row r="1776" spans="1:29" hidden="1" x14ac:dyDescent="0.35">
      <c r="A1776" t="s">
        <v>47</v>
      </c>
      <c r="B1776">
        <v>52094</v>
      </c>
      <c r="C1776" t="s">
        <v>53</v>
      </c>
      <c r="D1776">
        <v>53263</v>
      </c>
      <c r="E1776" t="s">
        <v>138</v>
      </c>
      <c r="F1776">
        <v>7139</v>
      </c>
      <c r="G1776">
        <v>0.37319092688821481</v>
      </c>
      <c r="H1776">
        <v>9.3949352078446961E-235</v>
      </c>
      <c r="I1776">
        <v>1.287360040642503E-233</v>
      </c>
      <c r="J1776">
        <v>0.37646437796274379</v>
      </c>
      <c r="K1776">
        <v>3.5021463451250999E-239</v>
      </c>
      <c r="L1776">
        <v>3.6610065917080942E-238</v>
      </c>
      <c r="M1776">
        <v>0.25875333697908609</v>
      </c>
      <c r="N1776">
        <v>9.454831164448314E-236</v>
      </c>
      <c r="O1776">
        <v>1.009178821131641E-234</v>
      </c>
      <c r="P1776">
        <v>0.13927146791168479</v>
      </c>
      <c r="Q1776">
        <v>0.63933868086228085</v>
      </c>
      <c r="R1776">
        <v>9.1137509200675186</v>
      </c>
      <c r="S1776">
        <v>0.1973029317058563</v>
      </c>
      <c r="T1776">
        <v>0.1508983339603267</v>
      </c>
      <c r="U1776">
        <v>4.2555146084885838</v>
      </c>
      <c r="V1776">
        <v>0.12414549193133841</v>
      </c>
      <c r="W1776">
        <v>11.834466016248779</v>
      </c>
      <c r="X1776">
        <v>0.2126820598458857</v>
      </c>
      <c r="Z1776" t="s">
        <v>392</v>
      </c>
      <c r="AA1776">
        <v>140</v>
      </c>
      <c r="AB1776" t="s">
        <v>2167</v>
      </c>
      <c r="AC1776" t="str">
        <f>HYPERLINK("plots/20251231112652_3FT6Y119H04_05543_B21P_N_UFLEX98_M5358A8BA201511/dpll_52094/txpa_53263.png","plot")</f>
        <v>plot</v>
      </c>
    </row>
    <row r="1777" spans="1:29" hidden="1" x14ac:dyDescent="0.35">
      <c r="A1777" t="s">
        <v>47</v>
      </c>
      <c r="B1777">
        <v>52094</v>
      </c>
      <c r="C1777" t="s">
        <v>53</v>
      </c>
      <c r="D1777">
        <v>53264</v>
      </c>
      <c r="E1777" t="s">
        <v>139</v>
      </c>
      <c r="F1777">
        <v>7139</v>
      </c>
      <c r="G1777">
        <v>0.33446816172167187</v>
      </c>
      <c r="H1777">
        <v>3.8966795043977741E-186</v>
      </c>
      <c r="I1777">
        <v>1.549503144101703E-185</v>
      </c>
      <c r="J1777">
        <v>0.34763615452790109</v>
      </c>
      <c r="K1777">
        <v>6.6186125486000667E-202</v>
      </c>
      <c r="L1777">
        <v>3.2421609296040911E-201</v>
      </c>
      <c r="M1777">
        <v>0.23843223207548381</v>
      </c>
      <c r="N1777">
        <v>1.7105205872192561E-200</v>
      </c>
      <c r="O1777">
        <v>8.804405459087947E-200</v>
      </c>
      <c r="P1777">
        <v>0.11186895120547451</v>
      </c>
      <c r="Q1777">
        <v>0.62268712428064954</v>
      </c>
      <c r="R1777">
        <v>9.1118650252626949</v>
      </c>
      <c r="S1777">
        <v>0.2177981384672725</v>
      </c>
      <c r="T1777">
        <v>0.16860095176283821</v>
      </c>
      <c r="U1777">
        <v>4.2555146084885838</v>
      </c>
      <c r="V1777">
        <v>0.12414549193133841</v>
      </c>
      <c r="W1777">
        <v>11.761719179156749</v>
      </c>
      <c r="X1777">
        <v>0.23112453802840621</v>
      </c>
      <c r="Z1777" t="s">
        <v>392</v>
      </c>
      <c r="AA1777">
        <v>140</v>
      </c>
      <c r="AB1777" t="s">
        <v>2168</v>
      </c>
      <c r="AC1777" t="str">
        <f>HYPERLINK("plots/20251231112652_3FT6Y119H04_05543_B21P_N_UFLEX98_M5358A8BA201511/dpll_52094/txpa_53264.png","plot")</f>
        <v>plot</v>
      </c>
    </row>
    <row r="1778" spans="1:29" hidden="1" x14ac:dyDescent="0.35">
      <c r="A1778" t="s">
        <v>47</v>
      </c>
      <c r="B1778">
        <v>52094</v>
      </c>
      <c r="C1778" t="s">
        <v>53</v>
      </c>
      <c r="D1778">
        <v>53265</v>
      </c>
      <c r="E1778" t="s">
        <v>140</v>
      </c>
      <c r="F1778">
        <v>7139</v>
      </c>
      <c r="G1778">
        <v>0.3490813090130222</v>
      </c>
      <c r="H1778">
        <v>1.10416418709502E-203</v>
      </c>
      <c r="I1778">
        <v>6.1857595895820458E-203</v>
      </c>
      <c r="J1778">
        <v>0.34922466907010968</v>
      </c>
      <c r="K1778">
        <v>7.3479985109580449E-204</v>
      </c>
      <c r="L1778">
        <v>3.744156025181637E-203</v>
      </c>
      <c r="M1778">
        <v>0.23938473628222359</v>
      </c>
      <c r="N1778">
        <v>4.4123932530136186E-202</v>
      </c>
      <c r="O1778">
        <v>2.2944444915670819E-201</v>
      </c>
      <c r="P1778">
        <v>0.1218577603022451</v>
      </c>
      <c r="Q1778">
        <v>0.62735799641260759</v>
      </c>
      <c r="R1778">
        <v>9.1837346358213452</v>
      </c>
      <c r="S1778">
        <v>0.20906041614371229</v>
      </c>
      <c r="T1778">
        <v>0.1609936284221436</v>
      </c>
      <c r="U1778">
        <v>4.2555146084885838</v>
      </c>
      <c r="V1778">
        <v>0.12414549193133841</v>
      </c>
      <c r="W1778">
        <v>11.853465754307329</v>
      </c>
      <c r="X1778">
        <v>0.2231103902466362</v>
      </c>
      <c r="Z1778" t="s">
        <v>392</v>
      </c>
      <c r="AA1778">
        <v>140</v>
      </c>
      <c r="AB1778" t="s">
        <v>2169</v>
      </c>
      <c r="AC1778" t="str">
        <f>HYPERLINK("plots/20251231112652_3FT6Y119H04_05543_B21P_N_UFLEX98_M5358A8BA201511/dpll_52094/txpa_53265.png","plot")</f>
        <v>plot</v>
      </c>
    </row>
    <row r="1779" spans="1:29" hidden="1" x14ac:dyDescent="0.35">
      <c r="A1779" t="s">
        <v>47</v>
      </c>
      <c r="B1779">
        <v>52094</v>
      </c>
      <c r="C1779" t="s">
        <v>53</v>
      </c>
      <c r="D1779">
        <v>53266</v>
      </c>
      <c r="E1779" t="s">
        <v>141</v>
      </c>
      <c r="F1779">
        <v>7139</v>
      </c>
      <c r="G1779">
        <v>0.36626150126486418</v>
      </c>
      <c r="H1779">
        <v>1.5122312138084039E-225</v>
      </c>
      <c r="I1779">
        <v>1.5182202483185371E-224</v>
      </c>
      <c r="J1779">
        <v>0.35890871190871693</v>
      </c>
      <c r="K1779">
        <v>5.0451230248741452E-216</v>
      </c>
      <c r="L1779">
        <v>3.3879170511406512E-215</v>
      </c>
      <c r="M1779">
        <v>0.24612531673785229</v>
      </c>
      <c r="N1779">
        <v>1.6742828285008909E-213</v>
      </c>
      <c r="O1779">
        <v>1.124319727218479E-212</v>
      </c>
      <c r="P1779">
        <v>0.13414748730879211</v>
      </c>
      <c r="Q1779">
        <v>0.64511675824236514</v>
      </c>
      <c r="R1779">
        <v>8.8104241211902572</v>
      </c>
      <c r="S1779">
        <v>0.2034555530790717</v>
      </c>
      <c r="T1779">
        <v>0.1566402405478243</v>
      </c>
      <c r="U1779">
        <v>4.2555146084885838</v>
      </c>
      <c r="V1779">
        <v>0.12414549193133841</v>
      </c>
      <c r="W1779">
        <v>11.55572791007144</v>
      </c>
      <c r="X1779">
        <v>0.21866436147006441</v>
      </c>
      <c r="Z1779" t="s">
        <v>392</v>
      </c>
      <c r="AA1779">
        <v>140</v>
      </c>
      <c r="AB1779" t="s">
        <v>2170</v>
      </c>
      <c r="AC1779" t="str">
        <f>HYPERLINK("plots/20251231112652_3FT6Y119H04_05543_B21P_N_UFLEX98_M5358A8BA201511/dpll_52094/txpa_53266.png","plot")</f>
        <v>plot</v>
      </c>
    </row>
    <row r="1780" spans="1:29" hidden="1" x14ac:dyDescent="0.35">
      <c r="A1780" t="s">
        <v>47</v>
      </c>
      <c r="B1780">
        <v>52094</v>
      </c>
      <c r="C1780" t="s">
        <v>53</v>
      </c>
      <c r="D1780">
        <v>53267</v>
      </c>
      <c r="E1780" t="s">
        <v>142</v>
      </c>
      <c r="F1780">
        <v>7139</v>
      </c>
      <c r="G1780">
        <v>0.33527237762128809</v>
      </c>
      <c r="H1780">
        <v>4.4615896012594282E-187</v>
      </c>
      <c r="I1780">
        <v>1.8168882954526339E-186</v>
      </c>
      <c r="J1780">
        <v>0.37055705075561512</v>
      </c>
      <c r="K1780">
        <v>3.1558348199252627E-231</v>
      </c>
      <c r="L1780">
        <v>2.857157595896623E-230</v>
      </c>
      <c r="M1780">
        <v>0.25392556906730968</v>
      </c>
      <c r="N1780">
        <v>4.0969348462261112E-227</v>
      </c>
      <c r="O1780">
        <v>3.8112770037369509E-226</v>
      </c>
      <c r="P1780">
        <v>0.1124075671958316</v>
      </c>
      <c r="Q1780">
        <v>0.60706122006254026</v>
      </c>
      <c r="R1780">
        <v>9.3791244322310838</v>
      </c>
      <c r="S1780">
        <v>0.21175908228327739</v>
      </c>
      <c r="T1780">
        <v>0.15653514940736241</v>
      </c>
      <c r="U1780">
        <v>4.2555146084885838</v>
      </c>
      <c r="V1780">
        <v>0.12414549193133841</v>
      </c>
      <c r="W1780">
        <v>11.962482322454131</v>
      </c>
      <c r="X1780">
        <v>0.22478414217061141</v>
      </c>
      <c r="Z1780" t="s">
        <v>392</v>
      </c>
      <c r="AA1780">
        <v>140</v>
      </c>
      <c r="AB1780" t="s">
        <v>2171</v>
      </c>
      <c r="AC1780" t="str">
        <f>HYPERLINK("plots/20251231112652_3FT6Y119H04_05543_B21P_N_UFLEX98_M5358A8BA201511/dpll_52094/txpa_53267.png","plot")</f>
        <v>plot</v>
      </c>
    </row>
    <row r="1781" spans="1:29" hidden="1" x14ac:dyDescent="0.35">
      <c r="A1781" t="s">
        <v>47</v>
      </c>
      <c r="B1781">
        <v>52094</v>
      </c>
      <c r="C1781" t="s">
        <v>53</v>
      </c>
      <c r="D1781">
        <v>53268</v>
      </c>
      <c r="E1781" t="s">
        <v>143</v>
      </c>
      <c r="F1781">
        <v>7139</v>
      </c>
      <c r="G1781">
        <v>0.29302352900413409</v>
      </c>
      <c r="H1781">
        <v>2.3809879691155389E-141</v>
      </c>
      <c r="I1781">
        <v>5.4499363446572392E-141</v>
      </c>
      <c r="J1781">
        <v>0.30131647715316362</v>
      </c>
      <c r="K1781">
        <v>9.6825016282093215E-150</v>
      </c>
      <c r="L1781">
        <v>2.7578810817427681E-149</v>
      </c>
      <c r="M1781">
        <v>0.20348545435936879</v>
      </c>
      <c r="N1781">
        <v>1.3818613003754379E-146</v>
      </c>
      <c r="O1781">
        <v>3.9359757263502658E-146</v>
      </c>
      <c r="P1781">
        <v>8.5862788550036609E-2</v>
      </c>
      <c r="Q1781">
        <v>0.60412403067730835</v>
      </c>
      <c r="R1781">
        <v>9.506868913591509</v>
      </c>
      <c r="S1781">
        <v>0.24469767641797821</v>
      </c>
      <c r="T1781">
        <v>0.19230256822891981</v>
      </c>
      <c r="U1781">
        <v>4.2555146084885838</v>
      </c>
      <c r="V1781">
        <v>0.12414549193133841</v>
      </c>
      <c r="W1781">
        <v>12.0777275514778</v>
      </c>
      <c r="X1781">
        <v>0.25594966803815711</v>
      </c>
      <c r="Z1781" t="s">
        <v>392</v>
      </c>
      <c r="AA1781">
        <v>140</v>
      </c>
      <c r="AB1781" t="s">
        <v>2172</v>
      </c>
      <c r="AC1781" t="str">
        <f>HYPERLINK("plots/20251231112652_3FT6Y119H04_05543_B21P_N_UFLEX98_M5358A8BA201511/dpll_52094/txpa_53268.png","plot")</f>
        <v>plot</v>
      </c>
    </row>
    <row r="1782" spans="1:29" hidden="1" x14ac:dyDescent="0.35">
      <c r="A1782" t="s">
        <v>47</v>
      </c>
      <c r="B1782">
        <v>52094</v>
      </c>
      <c r="C1782" t="s">
        <v>53</v>
      </c>
      <c r="D1782">
        <v>53269</v>
      </c>
      <c r="E1782" t="s">
        <v>144</v>
      </c>
      <c r="F1782">
        <v>7139</v>
      </c>
      <c r="G1782">
        <v>0.35996837704774992</v>
      </c>
      <c r="H1782">
        <v>2.2175046733427421E-217</v>
      </c>
      <c r="I1782">
        <v>1.7034467717951069E-216</v>
      </c>
      <c r="J1782">
        <v>0.38832149880113259</v>
      </c>
      <c r="K1782">
        <v>1.173468735716995E-255</v>
      </c>
      <c r="L1782">
        <v>1.6526351361347669E-254</v>
      </c>
      <c r="M1782">
        <v>0.26735110520204541</v>
      </c>
      <c r="N1782">
        <v>1.5577529160054349E-251</v>
      </c>
      <c r="O1782">
        <v>2.2565163668993021E-250</v>
      </c>
      <c r="P1782">
        <v>0.12957723247439101</v>
      </c>
      <c r="Q1782">
        <v>0.62666001365893864</v>
      </c>
      <c r="R1782">
        <v>9.4805579554697328</v>
      </c>
      <c r="S1782">
        <v>0.20161985103835631</v>
      </c>
      <c r="T1782">
        <v>0.1502990906568413</v>
      </c>
      <c r="U1782">
        <v>4.2555146084885838</v>
      </c>
      <c r="V1782">
        <v>0.12414549193133841</v>
      </c>
      <c r="W1782">
        <v>12.147318798151</v>
      </c>
      <c r="X1782">
        <v>0.21612180577481219</v>
      </c>
      <c r="Z1782" t="s">
        <v>392</v>
      </c>
      <c r="AA1782">
        <v>140</v>
      </c>
      <c r="AB1782" t="s">
        <v>2173</v>
      </c>
      <c r="AC1782" t="str">
        <f>HYPERLINK("plots/20251231112652_3FT6Y119H04_05543_B21P_N_UFLEX98_M5358A8BA201511/dpll_52094/txpa_53269.png","plot")</f>
        <v>plot</v>
      </c>
    </row>
    <row r="1783" spans="1:29" hidden="1" x14ac:dyDescent="0.35">
      <c r="A1783" t="s">
        <v>47</v>
      </c>
      <c r="B1783">
        <v>52094</v>
      </c>
      <c r="C1783" t="s">
        <v>53</v>
      </c>
      <c r="D1783">
        <v>53270</v>
      </c>
      <c r="E1783" t="s">
        <v>145</v>
      </c>
      <c r="F1783">
        <v>7139</v>
      </c>
      <c r="G1783">
        <v>0.31187415857572731</v>
      </c>
      <c r="H1783">
        <v>7.8821457353263258E-161</v>
      </c>
      <c r="I1783">
        <v>2.2139877494794719E-160</v>
      </c>
      <c r="J1783">
        <v>0.31537086930142888</v>
      </c>
      <c r="K1783">
        <v>1.323948035774226E-164</v>
      </c>
      <c r="L1783">
        <v>4.4899107300169399E-164</v>
      </c>
      <c r="M1783">
        <v>0.21435547144275779</v>
      </c>
      <c r="N1783">
        <v>1.9239763186501979E-162</v>
      </c>
      <c r="O1783">
        <v>6.5466845205077214E-162</v>
      </c>
      <c r="P1783">
        <v>9.7265490787317874E-2</v>
      </c>
      <c r="Q1783">
        <v>0.60251810871163325</v>
      </c>
      <c r="R1783">
        <v>9.5570837350069269</v>
      </c>
      <c r="S1783">
        <v>0.22786166677604441</v>
      </c>
      <c r="T1783">
        <v>0.17885395016509389</v>
      </c>
      <c r="U1783">
        <v>4.2555146084885838</v>
      </c>
      <c r="V1783">
        <v>0.12414549193133841</v>
      </c>
      <c r="W1783">
        <v>12.121108348508191</v>
      </c>
      <c r="X1783">
        <v>0.23984002825095521</v>
      </c>
      <c r="Z1783" t="s">
        <v>392</v>
      </c>
      <c r="AA1783">
        <v>140</v>
      </c>
      <c r="AB1783" t="s">
        <v>2174</v>
      </c>
      <c r="AC1783" t="str">
        <f>HYPERLINK("plots/20251231112652_3FT6Y119H04_05543_B21P_N_UFLEX98_M5358A8BA201511/dpll_52094/txpa_53270.png","plot")</f>
        <v>plot</v>
      </c>
    </row>
    <row r="1784" spans="1:29" hidden="1" x14ac:dyDescent="0.35">
      <c r="A1784" t="s">
        <v>47</v>
      </c>
      <c r="B1784">
        <v>52094</v>
      </c>
      <c r="C1784" t="s">
        <v>53</v>
      </c>
      <c r="D1784">
        <v>53271</v>
      </c>
      <c r="E1784" t="s">
        <v>146</v>
      </c>
      <c r="F1784">
        <v>7139</v>
      </c>
      <c r="G1784">
        <v>0.37520919282673842</v>
      </c>
      <c r="H1784">
        <v>1.772139563925522E-237</v>
      </c>
      <c r="I1784">
        <v>2.7645377197238141E-236</v>
      </c>
      <c r="J1784">
        <v>0.38129607865815113</v>
      </c>
      <c r="K1784">
        <v>8.1947338297701581E-246</v>
      </c>
      <c r="L1784">
        <v>1.001139771492402E-244</v>
      </c>
      <c r="M1784">
        <v>0.26272519059570959</v>
      </c>
      <c r="N1784">
        <v>5.6030692906866152E-243</v>
      </c>
      <c r="O1784">
        <v>6.6841320714779151E-242</v>
      </c>
      <c r="P1784">
        <v>0.14078193838169259</v>
      </c>
      <c r="Q1784">
        <v>0.64772736508954676</v>
      </c>
      <c r="R1784">
        <v>9.5142193619618833</v>
      </c>
      <c r="S1784">
        <v>0.1986419677096096</v>
      </c>
      <c r="T1784">
        <v>0.1508325901270845</v>
      </c>
      <c r="U1784">
        <v>4.2555146084885838</v>
      </c>
      <c r="V1784">
        <v>0.12414549193133841</v>
      </c>
      <c r="W1784">
        <v>12.270632626418269</v>
      </c>
      <c r="X1784">
        <v>0.21431359869043429</v>
      </c>
      <c r="Z1784" t="s">
        <v>392</v>
      </c>
      <c r="AA1784">
        <v>140</v>
      </c>
      <c r="AB1784" t="s">
        <v>2175</v>
      </c>
      <c r="AC1784" t="str">
        <f>HYPERLINK("plots/20251231112652_3FT6Y119H04_05543_B21P_N_UFLEX98_M5358A8BA201511/dpll_52094/txpa_53271.png","plot")</f>
        <v>plot</v>
      </c>
    </row>
    <row r="1785" spans="1:29" hidden="1" x14ac:dyDescent="0.35">
      <c r="A1785" t="s">
        <v>47</v>
      </c>
      <c r="B1785">
        <v>52094</v>
      </c>
      <c r="C1785" t="s">
        <v>53</v>
      </c>
      <c r="D1785">
        <v>53272</v>
      </c>
      <c r="E1785" t="s">
        <v>147</v>
      </c>
      <c r="F1785">
        <v>7139</v>
      </c>
      <c r="G1785">
        <v>0.33970300919643992</v>
      </c>
      <c r="H1785">
        <v>2.5900522801637801E-192</v>
      </c>
      <c r="I1785">
        <v>1.162085403577908E-191</v>
      </c>
      <c r="J1785">
        <v>0.35427568113259889</v>
      </c>
      <c r="K1785">
        <v>3.7613743677210058E-210</v>
      </c>
      <c r="L1785">
        <v>2.130745032887765E-209</v>
      </c>
      <c r="M1785">
        <v>0.24342795830000161</v>
      </c>
      <c r="N1785">
        <v>6.7952991213640795E-209</v>
      </c>
      <c r="O1785">
        <v>3.9600191431397567E-208</v>
      </c>
      <c r="P1785">
        <v>0.1153981344571165</v>
      </c>
      <c r="Q1785">
        <v>0.63121748901369079</v>
      </c>
      <c r="R1785">
        <v>9.5127473891915617</v>
      </c>
      <c r="S1785">
        <v>0.21694721996129451</v>
      </c>
      <c r="T1785">
        <v>0.16721789674747081</v>
      </c>
      <c r="U1785">
        <v>4.2555146084885838</v>
      </c>
      <c r="V1785">
        <v>0.12414549193133841</v>
      </c>
      <c r="W1785">
        <v>12.198902634822799</v>
      </c>
      <c r="X1785">
        <v>0.23068034008481211</v>
      </c>
      <c r="Z1785" t="s">
        <v>392</v>
      </c>
      <c r="AA1785">
        <v>140</v>
      </c>
      <c r="AB1785" t="s">
        <v>2176</v>
      </c>
      <c r="AC1785" t="str">
        <f>HYPERLINK("plots/20251231112652_3FT6Y119H04_05543_B21P_N_UFLEX98_M5358A8BA201511/dpll_52094/txpa_53272.png","plot")</f>
        <v>plot</v>
      </c>
    </row>
    <row r="1786" spans="1:29" hidden="1" x14ac:dyDescent="0.35">
      <c r="A1786" t="s">
        <v>47</v>
      </c>
      <c r="B1786">
        <v>52094</v>
      </c>
      <c r="C1786" t="s">
        <v>53</v>
      </c>
      <c r="D1786">
        <v>53273</v>
      </c>
      <c r="E1786" t="s">
        <v>148</v>
      </c>
      <c r="F1786">
        <v>7139</v>
      </c>
      <c r="G1786">
        <v>0.35389338054892799</v>
      </c>
      <c r="H1786">
        <v>1.136416041183269E-209</v>
      </c>
      <c r="I1786">
        <v>7.4343604242569958E-209</v>
      </c>
      <c r="J1786">
        <v>0.35613808178480538</v>
      </c>
      <c r="K1786">
        <v>1.684724238052745E-212</v>
      </c>
      <c r="L1786">
        <v>1.02294034573981E-211</v>
      </c>
      <c r="M1786">
        <v>0.24461682551785671</v>
      </c>
      <c r="N1786">
        <v>6.416122301141348E-211</v>
      </c>
      <c r="O1786">
        <v>4.0409614989797061E-210</v>
      </c>
      <c r="P1786">
        <v>0.1252405247963484</v>
      </c>
      <c r="Q1786">
        <v>0.6355917342343741</v>
      </c>
      <c r="R1786">
        <v>9.5811107454850273</v>
      </c>
      <c r="S1786">
        <v>0.2085214150816197</v>
      </c>
      <c r="T1786">
        <v>0.15948342505143759</v>
      </c>
      <c r="U1786">
        <v>4.2555146084885838</v>
      </c>
      <c r="V1786">
        <v>0.12414549193133841</v>
      </c>
      <c r="W1786">
        <v>12.285880655553999</v>
      </c>
      <c r="X1786">
        <v>0.22296503085654529</v>
      </c>
      <c r="Z1786" t="s">
        <v>392</v>
      </c>
      <c r="AA1786">
        <v>140</v>
      </c>
      <c r="AB1786" t="s">
        <v>2177</v>
      </c>
      <c r="AC1786" t="str">
        <f>HYPERLINK("plots/20251231112652_3FT6Y119H04_05543_B21P_N_UFLEX98_M5358A8BA201511/dpll_52094/txpa_53273.png","plot")</f>
        <v>plot</v>
      </c>
    </row>
    <row r="1787" spans="1:29" hidden="1" x14ac:dyDescent="0.35">
      <c r="A1787" t="s">
        <v>47</v>
      </c>
      <c r="B1787">
        <v>52094</v>
      </c>
      <c r="C1787" t="s">
        <v>53</v>
      </c>
      <c r="D1787">
        <v>53274</v>
      </c>
      <c r="E1787" t="s">
        <v>149</v>
      </c>
      <c r="F1787">
        <v>7139</v>
      </c>
      <c r="G1787">
        <v>0.36747865955667358</v>
      </c>
      <c r="H1787">
        <v>3.7917968491871448E-227</v>
      </c>
      <c r="I1787">
        <v>4.1792195707345277E-226</v>
      </c>
      <c r="J1787">
        <v>0.3614325794227633</v>
      </c>
      <c r="K1787">
        <v>2.8991567333542287E-219</v>
      </c>
      <c r="L1787">
        <v>2.070242906775485E-218</v>
      </c>
      <c r="M1787">
        <v>0.24808156277797139</v>
      </c>
      <c r="N1787">
        <v>7.0835715431802609E-217</v>
      </c>
      <c r="O1787">
        <v>5.2814276064594013E-216</v>
      </c>
      <c r="P1787">
        <v>0.13504056522956959</v>
      </c>
      <c r="Q1787">
        <v>0.64904686228737429</v>
      </c>
      <c r="R1787">
        <v>9.2428337741186155</v>
      </c>
      <c r="S1787">
        <v>0.20391178945443111</v>
      </c>
      <c r="T1787">
        <v>0.1564216227581364</v>
      </c>
      <c r="U1787">
        <v>4.2555146084885838</v>
      </c>
      <c r="V1787">
        <v>0.12414549193133841</v>
      </c>
      <c r="W1787">
        <v>12.004862178176211</v>
      </c>
      <c r="X1787">
        <v>0.2192678129999846</v>
      </c>
      <c r="Z1787" t="s">
        <v>392</v>
      </c>
      <c r="AA1787">
        <v>140</v>
      </c>
      <c r="AB1787" t="s">
        <v>2178</v>
      </c>
      <c r="AC1787" t="str">
        <f>HYPERLINK("plots/20251231112652_3FT6Y119H04_05543_B21P_N_UFLEX98_M5358A8BA201511/dpll_52094/txpa_53274.png","plot")</f>
        <v>plot</v>
      </c>
    </row>
    <row r="1788" spans="1:29" hidden="1" x14ac:dyDescent="0.35">
      <c r="A1788" t="s">
        <v>47</v>
      </c>
      <c r="B1788">
        <v>52094</v>
      </c>
      <c r="C1788" t="s">
        <v>53</v>
      </c>
      <c r="D1788">
        <v>53275</v>
      </c>
      <c r="E1788" t="s">
        <v>150</v>
      </c>
      <c r="F1788">
        <v>7139</v>
      </c>
      <c r="G1788">
        <v>0.33910101185366098</v>
      </c>
      <c r="H1788">
        <v>1.348422970070889E-191</v>
      </c>
      <c r="I1788">
        <v>5.9969337353152701E-191</v>
      </c>
      <c r="J1788">
        <v>0.39351936935150073</v>
      </c>
      <c r="K1788">
        <v>4.2596868779860271E-263</v>
      </c>
      <c r="L1788">
        <v>7.0808565479964445E-262</v>
      </c>
      <c r="M1788">
        <v>0.27243798094015359</v>
      </c>
      <c r="N1788">
        <v>4.0942398718717837E-261</v>
      </c>
      <c r="O1788">
        <v>7.1578607415137741E-260</v>
      </c>
      <c r="P1788">
        <v>0.11498949624017681</v>
      </c>
      <c r="Q1788">
        <v>0.63803420428247726</v>
      </c>
      <c r="R1788">
        <v>10.64921430758022</v>
      </c>
      <c r="S1788">
        <v>0.2197301351487817</v>
      </c>
      <c r="T1788">
        <v>0.1571579650570136</v>
      </c>
      <c r="U1788">
        <v>4.2555146084885838</v>
      </c>
      <c r="V1788">
        <v>0.12414549193133841</v>
      </c>
      <c r="W1788">
        <v>13.364378184619691</v>
      </c>
      <c r="X1788">
        <v>0.2335854727376952</v>
      </c>
      <c r="Z1788" t="s">
        <v>392</v>
      </c>
      <c r="AA1788">
        <v>140</v>
      </c>
      <c r="AB1788" t="s">
        <v>2179</v>
      </c>
      <c r="AC1788" t="str">
        <f>HYPERLINK("plots/20251231112652_3FT6Y119H04_05543_B21P_N_UFLEX98_M5358A8BA201511/dpll_52094/txpa_53275.png","plot")</f>
        <v>plot</v>
      </c>
    </row>
    <row r="1789" spans="1:29" hidden="1" x14ac:dyDescent="0.35">
      <c r="A1789" t="s">
        <v>47</v>
      </c>
      <c r="B1789">
        <v>52094</v>
      </c>
      <c r="C1789" t="s">
        <v>53</v>
      </c>
      <c r="D1789">
        <v>53276</v>
      </c>
      <c r="E1789" t="s">
        <v>151</v>
      </c>
      <c r="F1789">
        <v>7139</v>
      </c>
      <c r="G1789">
        <v>0.3303620390021822</v>
      </c>
      <c r="H1789">
        <v>2.2508339591823129E-181</v>
      </c>
      <c r="I1789">
        <v>8.2098763834923207E-181</v>
      </c>
      <c r="J1789">
        <v>0.360250991991453</v>
      </c>
      <c r="K1789">
        <v>9.6177274181329542E-218</v>
      </c>
      <c r="L1789">
        <v>6.6797093164293254E-217</v>
      </c>
      <c r="M1789">
        <v>0.24685164569606041</v>
      </c>
      <c r="N1789">
        <v>9.4205266755752967E-215</v>
      </c>
      <c r="O1789">
        <v>6.6800098244988469E-214</v>
      </c>
      <c r="P1789">
        <v>0.10913907681367931</v>
      </c>
      <c r="Q1789">
        <v>0.6509086574254016</v>
      </c>
      <c r="R1789">
        <v>10.67592766717704</v>
      </c>
      <c r="S1789">
        <v>0.2308529343889717</v>
      </c>
      <c r="T1789">
        <v>0.17428272107669829</v>
      </c>
      <c r="U1789">
        <v>4.2555146084885838</v>
      </c>
      <c r="V1789">
        <v>0.12414549193133841</v>
      </c>
      <c r="W1789">
        <v>13.44587896764253</v>
      </c>
      <c r="X1789">
        <v>0.2446024843608309</v>
      </c>
      <c r="Z1789" t="s">
        <v>392</v>
      </c>
      <c r="AA1789">
        <v>140</v>
      </c>
      <c r="AB1789" t="s">
        <v>2180</v>
      </c>
      <c r="AC1789" t="str">
        <f>HYPERLINK("plots/20251231112652_3FT6Y119H04_05543_B21P_N_UFLEX98_M5358A8BA201511/dpll_52094/txpa_53276.png","plot")</f>
        <v>plot</v>
      </c>
    </row>
    <row r="1790" spans="1:29" hidden="1" x14ac:dyDescent="0.35">
      <c r="A1790" t="s">
        <v>47</v>
      </c>
      <c r="B1790">
        <v>52094</v>
      </c>
      <c r="C1790" t="s">
        <v>53</v>
      </c>
      <c r="D1790">
        <v>53277</v>
      </c>
      <c r="E1790" t="s">
        <v>152</v>
      </c>
      <c r="F1790">
        <v>7139</v>
      </c>
      <c r="G1790">
        <v>0.36912147070591977</v>
      </c>
      <c r="H1790">
        <v>2.554006038003791E-229</v>
      </c>
      <c r="I1790">
        <v>2.9429115028816423E-228</v>
      </c>
      <c r="J1790">
        <v>0.42141818081411753</v>
      </c>
      <c r="K1790">
        <v>2.1720926954912929E-305</v>
      </c>
      <c r="L1790">
        <v>1.101250996614085E-303</v>
      </c>
      <c r="M1790">
        <v>0.29597463165990751</v>
      </c>
      <c r="N1790">
        <v>8.6371549046195765E-308</v>
      </c>
      <c r="O1790">
        <v>3.9809432151292053E-306</v>
      </c>
      <c r="P1790">
        <v>0.13625066013610121</v>
      </c>
      <c r="Q1790">
        <v>0.67746009028217413</v>
      </c>
      <c r="R1790">
        <v>10.59328244456414</v>
      </c>
      <c r="S1790">
        <v>0.21174287566335781</v>
      </c>
      <c r="T1790">
        <v>0.15054842180535391</v>
      </c>
      <c r="U1790">
        <v>4.2555146084885838</v>
      </c>
      <c r="V1790">
        <v>0.12414549193133841</v>
      </c>
      <c r="W1790">
        <v>13.476223755427929</v>
      </c>
      <c r="X1790">
        <v>0.2278480739987489</v>
      </c>
      <c r="Z1790" t="s">
        <v>392</v>
      </c>
      <c r="AA1790">
        <v>140</v>
      </c>
      <c r="AB1790" t="s">
        <v>2181</v>
      </c>
      <c r="AC1790" t="str">
        <f>HYPERLINK("plots/20251231112652_3FT6Y119H04_05543_B21P_N_UFLEX98_M5358A8BA201511/dpll_52094/txpa_53277.png","plot")</f>
        <v>plot</v>
      </c>
    </row>
    <row r="1791" spans="1:29" hidden="1" x14ac:dyDescent="0.35">
      <c r="A1791" t="s">
        <v>47</v>
      </c>
      <c r="B1791">
        <v>52094</v>
      </c>
      <c r="C1791" t="s">
        <v>53</v>
      </c>
      <c r="D1791">
        <v>53278</v>
      </c>
      <c r="E1791" t="s">
        <v>153</v>
      </c>
      <c r="F1791">
        <v>7139</v>
      </c>
      <c r="G1791">
        <v>0.34987409471452818</v>
      </c>
      <c r="H1791">
        <v>1.158260024555731E-204</v>
      </c>
      <c r="I1791">
        <v>6.5981778926938841E-204</v>
      </c>
      <c r="J1791">
        <v>0.37304873750451828</v>
      </c>
      <c r="K1791">
        <v>1.4591441019425169E-234</v>
      </c>
      <c r="L1791">
        <v>1.4364777857958381E-233</v>
      </c>
      <c r="M1791">
        <v>0.25739043644519971</v>
      </c>
      <c r="N1791">
        <v>2.692519188315857E-233</v>
      </c>
      <c r="O1791">
        <v>2.78593311933906E-232</v>
      </c>
      <c r="P1791">
        <v>0.12241188215231071</v>
      </c>
      <c r="Q1791">
        <v>0.66506995283018666</v>
      </c>
      <c r="R1791">
        <v>10.64655881907259</v>
      </c>
      <c r="S1791">
        <v>0.22105555926923151</v>
      </c>
      <c r="T1791">
        <v>0.1677344256937362</v>
      </c>
      <c r="U1791">
        <v>4.2555146084885838</v>
      </c>
      <c r="V1791">
        <v>0.12414549193133841</v>
      </c>
      <c r="W1791">
        <v>13.476773719008261</v>
      </c>
      <c r="X1791">
        <v>0.23598613818557471</v>
      </c>
      <c r="Z1791" t="s">
        <v>392</v>
      </c>
      <c r="AA1791">
        <v>140</v>
      </c>
      <c r="AB1791" t="s">
        <v>2182</v>
      </c>
      <c r="AC1791" t="str">
        <f>HYPERLINK("plots/20251231112652_3FT6Y119H04_05543_B21P_N_UFLEX98_M5358A8BA201511/dpll_52094/txpa_53278.png","plot")</f>
        <v>plot</v>
      </c>
    </row>
    <row r="1792" spans="1:29" hidden="1" x14ac:dyDescent="0.35">
      <c r="A1792" t="s">
        <v>47</v>
      </c>
      <c r="B1792">
        <v>52094</v>
      </c>
      <c r="C1792" t="s">
        <v>53</v>
      </c>
      <c r="D1792">
        <v>53279</v>
      </c>
      <c r="E1792" t="s">
        <v>154</v>
      </c>
      <c r="F1792">
        <v>7139</v>
      </c>
      <c r="G1792">
        <v>0.38680013247362022</v>
      </c>
      <c r="H1792">
        <v>1.6663652066680209E-253</v>
      </c>
      <c r="I1792">
        <v>4.0230817132413651E-252</v>
      </c>
      <c r="J1792">
        <v>0.41401535072676682</v>
      </c>
      <c r="K1792">
        <v>9.0249306391110304E-294</v>
      </c>
      <c r="L1792">
        <v>3.155613678640891E-292</v>
      </c>
      <c r="M1792">
        <v>0.29084552972688871</v>
      </c>
      <c r="N1792">
        <v>2.7362029032738811E-297</v>
      </c>
      <c r="O1792">
        <v>9.5672749790335005E-296</v>
      </c>
      <c r="P1792">
        <v>0.1496143424816101</v>
      </c>
      <c r="Q1792">
        <v>0.70054001954083156</v>
      </c>
      <c r="R1792">
        <v>10.60884607777008</v>
      </c>
      <c r="S1792">
        <v>0.20732650849718851</v>
      </c>
      <c r="T1792">
        <v>0.1507193594066607</v>
      </c>
      <c r="U1792">
        <v>4.2555146084885838</v>
      </c>
      <c r="V1792">
        <v>0.12414549193133841</v>
      </c>
      <c r="W1792">
        <v>13.59000436475697</v>
      </c>
      <c r="X1792">
        <v>0.22484192233159919</v>
      </c>
      <c r="Z1792" t="s">
        <v>392</v>
      </c>
      <c r="AA1792">
        <v>140</v>
      </c>
      <c r="AB1792" t="s">
        <v>2183</v>
      </c>
      <c r="AC1792" t="str">
        <f>HYPERLINK("plots/20251231112652_3FT6Y119H04_05543_B21P_N_UFLEX98_M5358A8BA201511/dpll_52094/txpa_53279.png","plot")</f>
        <v>plot</v>
      </c>
    </row>
    <row r="1793" spans="1:29" hidden="1" x14ac:dyDescent="0.35">
      <c r="A1793" t="s">
        <v>47</v>
      </c>
      <c r="B1793">
        <v>52094</v>
      </c>
      <c r="C1793" t="s">
        <v>53</v>
      </c>
      <c r="D1793">
        <v>53280</v>
      </c>
      <c r="E1793" t="s">
        <v>155</v>
      </c>
      <c r="F1793">
        <v>7139</v>
      </c>
      <c r="G1793">
        <v>0.36900357647287862</v>
      </c>
      <c r="H1793">
        <v>3.6600677811067357E-229</v>
      </c>
      <c r="I1793">
        <v>4.1700098090362139E-228</v>
      </c>
      <c r="J1793">
        <v>0.39697475128136089</v>
      </c>
      <c r="K1793">
        <v>4.0612866785249301E-268</v>
      </c>
      <c r="L1793">
        <v>7.6261938741190359E-267</v>
      </c>
      <c r="M1793">
        <v>0.27717914290054357</v>
      </c>
      <c r="N1793">
        <v>3.3092760948765971E-270</v>
      </c>
      <c r="O1793">
        <v>6.5796195298134695E-269</v>
      </c>
      <c r="P1793">
        <v>0.13616363944977561</v>
      </c>
      <c r="Q1793">
        <v>0.6875022232186847</v>
      </c>
      <c r="R1793">
        <v>10.595509260432451</v>
      </c>
      <c r="S1793">
        <v>0.2149610655500486</v>
      </c>
      <c r="T1793">
        <v>0.160631253859537</v>
      </c>
      <c r="U1793">
        <v>4.2555146084885838</v>
      </c>
      <c r="V1793">
        <v>0.12414549193133841</v>
      </c>
      <c r="W1793">
        <v>13.521185014707941</v>
      </c>
      <c r="X1793">
        <v>0.231299388805912</v>
      </c>
      <c r="Z1793" t="s">
        <v>392</v>
      </c>
      <c r="AA1793">
        <v>140</v>
      </c>
      <c r="AB1793" t="s">
        <v>2184</v>
      </c>
      <c r="AC1793" t="str">
        <f>HYPERLINK("plots/20251231112652_3FT6Y119H04_05543_B21P_N_UFLEX98_M5358A8BA201511/dpll_52094/txpa_53280.png","plot")</f>
        <v>plot</v>
      </c>
    </row>
    <row r="1794" spans="1:29" hidden="1" x14ac:dyDescent="0.35">
      <c r="A1794" t="s">
        <v>47</v>
      </c>
      <c r="B1794">
        <v>52094</v>
      </c>
      <c r="C1794" t="s">
        <v>53</v>
      </c>
      <c r="D1794">
        <v>53281</v>
      </c>
      <c r="E1794" t="s">
        <v>156</v>
      </c>
      <c r="F1794">
        <v>7139</v>
      </c>
      <c r="G1794">
        <v>0.37702807401183441</v>
      </c>
      <c r="H1794">
        <v>5.977847751200318E-240</v>
      </c>
      <c r="I1794">
        <v>9.9369469175690532E-239</v>
      </c>
      <c r="J1794">
        <v>0.40083028278706379</v>
      </c>
      <c r="K1794">
        <v>8.6155387267044917E-274</v>
      </c>
      <c r="L1794">
        <v>1.899164406277903E-272</v>
      </c>
      <c r="M1794">
        <v>0.28015409575630129</v>
      </c>
      <c r="N1794">
        <v>5.4330994037197743E-276</v>
      </c>
      <c r="O1794">
        <v>1.3117054274694881E-274</v>
      </c>
      <c r="P1794">
        <v>0.14215016859307331</v>
      </c>
      <c r="Q1794">
        <v>0.68789868483052286</v>
      </c>
      <c r="R1794">
        <v>10.663210761922389</v>
      </c>
      <c r="S1794">
        <v>0.20977655993935279</v>
      </c>
      <c r="T1794">
        <v>0.15340132617919769</v>
      </c>
      <c r="U1794">
        <v>4.2555146084885838</v>
      </c>
      <c r="V1794">
        <v>0.12414549193133841</v>
      </c>
      <c r="W1794">
        <v>13.590573664378759</v>
      </c>
      <c r="X1794">
        <v>0.2265070601202111</v>
      </c>
      <c r="Z1794" t="s">
        <v>392</v>
      </c>
      <c r="AA1794">
        <v>140</v>
      </c>
      <c r="AB1794" t="s">
        <v>2185</v>
      </c>
      <c r="AC1794" t="str">
        <f>HYPERLINK("plots/20251231112652_3FT6Y119H04_05543_B21P_N_UFLEX98_M5358A8BA201511/dpll_52094/txpa_53281.png","plot")</f>
        <v>plot</v>
      </c>
    </row>
    <row r="1795" spans="1:29" hidden="1" x14ac:dyDescent="0.35">
      <c r="A1795" t="s">
        <v>47</v>
      </c>
      <c r="B1795">
        <v>52094</v>
      </c>
      <c r="C1795" t="s">
        <v>53</v>
      </c>
      <c r="D1795">
        <v>53282</v>
      </c>
      <c r="E1795" t="s">
        <v>157</v>
      </c>
      <c r="F1795">
        <v>7139</v>
      </c>
      <c r="G1795">
        <v>0.37354570367558732</v>
      </c>
      <c r="H1795">
        <v>3.128957322374794E-235</v>
      </c>
      <c r="I1795">
        <v>4.406614895677835E-234</v>
      </c>
      <c r="J1795">
        <v>0.3801320762877255</v>
      </c>
      <c r="K1795">
        <v>3.3210564436927407E-244</v>
      </c>
      <c r="L1795">
        <v>3.9157572487260932E-243</v>
      </c>
      <c r="M1795">
        <v>0.26295262317177442</v>
      </c>
      <c r="N1795">
        <v>2.1436974264016209E-243</v>
      </c>
      <c r="O1795">
        <v>2.6508648663063949E-242</v>
      </c>
      <c r="P1795">
        <v>0.1395363927344897</v>
      </c>
      <c r="Q1795">
        <v>0.67334766374835153</v>
      </c>
      <c r="R1795">
        <v>10.54530869426476</v>
      </c>
      <c r="S1795">
        <v>0.20756895547187701</v>
      </c>
      <c r="T1795">
        <v>0.1558823294145758</v>
      </c>
      <c r="U1795">
        <v>4.2555146084885838</v>
      </c>
      <c r="V1795">
        <v>0.12414549193133841</v>
      </c>
      <c r="W1795">
        <v>13.41074951393753</v>
      </c>
      <c r="X1795">
        <v>0.22378272895210299</v>
      </c>
      <c r="Z1795" t="s">
        <v>392</v>
      </c>
      <c r="AA1795">
        <v>140</v>
      </c>
      <c r="AB1795" t="s">
        <v>2186</v>
      </c>
      <c r="AC1795" t="str">
        <f>HYPERLINK("plots/20251231112652_3FT6Y119H04_05543_B21P_N_UFLEX98_M5358A8BA201511/dpll_52094/txpa_53282.png","plot")</f>
        <v>plot</v>
      </c>
    </row>
    <row r="1796" spans="1:29" hidden="1" x14ac:dyDescent="0.35">
      <c r="A1796" t="s">
        <v>47</v>
      </c>
      <c r="B1796">
        <v>52094</v>
      </c>
      <c r="C1796" t="s">
        <v>53</v>
      </c>
      <c r="D1796">
        <v>53283</v>
      </c>
      <c r="E1796" t="s">
        <v>158</v>
      </c>
      <c r="F1796">
        <v>7139</v>
      </c>
      <c r="G1796">
        <v>0.34331224619791029</v>
      </c>
      <c r="H1796">
        <v>1.212975844023135E-196</v>
      </c>
      <c r="I1796">
        <v>6.0888985437596994E-196</v>
      </c>
      <c r="J1796">
        <v>0.40863697269033727</v>
      </c>
      <c r="K1796">
        <v>1.639286621055039E-285</v>
      </c>
      <c r="L1796">
        <v>4.4925314425670543E-284</v>
      </c>
      <c r="M1796">
        <v>0.2853344448499292</v>
      </c>
      <c r="N1796">
        <v>3.2686021466118678E-286</v>
      </c>
      <c r="O1796">
        <v>8.9577366936876601E-285</v>
      </c>
      <c r="P1796">
        <v>0.1178632983894546</v>
      </c>
      <c r="Q1796">
        <v>0.66263085672429956</v>
      </c>
      <c r="R1796">
        <v>11.001451956688101</v>
      </c>
      <c r="S1796">
        <v>0.22503539950543461</v>
      </c>
      <c r="T1796">
        <v>0.15781147798252351</v>
      </c>
      <c r="U1796">
        <v>4.2555146084885838</v>
      </c>
      <c r="V1796">
        <v>0.12414549193133841</v>
      </c>
      <c r="W1796">
        <v>13.821287247513659</v>
      </c>
      <c r="X1796">
        <v>0.2396146207656692</v>
      </c>
      <c r="Z1796" t="s">
        <v>392</v>
      </c>
      <c r="AA1796">
        <v>140</v>
      </c>
      <c r="AB1796" t="s">
        <v>2187</v>
      </c>
      <c r="AC1796" t="str">
        <f>HYPERLINK("plots/20251231112652_3FT6Y119H04_05543_B21P_N_UFLEX98_M5358A8BA201511/dpll_52094/txpa_53283.png","plot")</f>
        <v>plot</v>
      </c>
    </row>
    <row r="1797" spans="1:29" hidden="1" x14ac:dyDescent="0.35">
      <c r="A1797" t="s">
        <v>47</v>
      </c>
      <c r="B1797">
        <v>52094</v>
      </c>
      <c r="C1797" t="s">
        <v>53</v>
      </c>
      <c r="D1797">
        <v>53284</v>
      </c>
      <c r="E1797" t="s">
        <v>159</v>
      </c>
      <c r="F1797">
        <v>7139</v>
      </c>
      <c r="G1797">
        <v>0.35285273400999417</v>
      </c>
      <c r="H1797">
        <v>2.287056208769039E-208</v>
      </c>
      <c r="I1797">
        <v>1.4494218723073791E-207</v>
      </c>
      <c r="J1797">
        <v>0.4016604602987584</v>
      </c>
      <c r="K1797">
        <v>5.0557108058388897E-275</v>
      </c>
      <c r="L1797">
        <v>1.192207152818752E-273</v>
      </c>
      <c r="M1797">
        <v>0.27946031040873309</v>
      </c>
      <c r="N1797">
        <v>1.228206449974665E-274</v>
      </c>
      <c r="O1797">
        <v>2.830457591532523E-273</v>
      </c>
      <c r="P1797">
        <v>0.1245050518983277</v>
      </c>
      <c r="Q1797">
        <v>0.68754308579237267</v>
      </c>
      <c r="R1797">
        <v>10.94549531592444</v>
      </c>
      <c r="S1797">
        <v>0.22632565656829909</v>
      </c>
      <c r="T1797">
        <v>0.16552496634221661</v>
      </c>
      <c r="U1797">
        <v>4.2555146084885838</v>
      </c>
      <c r="V1797">
        <v>0.12414549193133841</v>
      </c>
      <c r="W1797">
        <v>13.871344961479201</v>
      </c>
      <c r="X1797">
        <v>0.24190084526103431</v>
      </c>
      <c r="Z1797" t="s">
        <v>392</v>
      </c>
      <c r="AA1797">
        <v>140</v>
      </c>
      <c r="AB1797" t="s">
        <v>2188</v>
      </c>
      <c r="AC1797" t="str">
        <f>HYPERLINK("plots/20251231112652_3FT6Y119H04_05543_B21P_N_UFLEX98_M5358A8BA201511/dpll_52094/txpa_53284.png","plot")</f>
        <v>plot</v>
      </c>
    </row>
    <row r="1798" spans="1:29" hidden="1" x14ac:dyDescent="0.35">
      <c r="A1798" t="s">
        <v>47</v>
      </c>
      <c r="B1798">
        <v>52094</v>
      </c>
      <c r="C1798" t="s">
        <v>53</v>
      </c>
      <c r="D1798">
        <v>53285</v>
      </c>
      <c r="E1798" t="s">
        <v>160</v>
      </c>
      <c r="F1798">
        <v>7139</v>
      </c>
      <c r="G1798">
        <v>0.37451181744033141</v>
      </c>
      <c r="H1798">
        <v>1.556193256087096E-236</v>
      </c>
      <c r="I1798">
        <v>2.3205587671651689E-235</v>
      </c>
      <c r="J1798">
        <v>0.43788028304656779</v>
      </c>
      <c r="K1798">
        <v>0</v>
      </c>
      <c r="L1798">
        <v>0</v>
      </c>
      <c r="M1798">
        <v>0.3115384303662237</v>
      </c>
      <c r="N1798">
        <v>0</v>
      </c>
      <c r="O1798">
        <v>0</v>
      </c>
      <c r="P1798">
        <v>0.14025910140246009</v>
      </c>
      <c r="Q1798">
        <v>0.7130859264401338</v>
      </c>
      <c r="R1798">
        <v>10.85358961020753</v>
      </c>
      <c r="S1798">
        <v>0.21915968482703271</v>
      </c>
      <c r="T1798">
        <v>0.15231169899314589</v>
      </c>
      <c r="U1798">
        <v>4.2555146084885838</v>
      </c>
      <c r="V1798">
        <v>0.12414549193133841</v>
      </c>
      <c r="W1798">
        <v>13.88813718728113</v>
      </c>
      <c r="X1798">
        <v>0.2363781301542747</v>
      </c>
      <c r="Z1798" t="s">
        <v>392</v>
      </c>
      <c r="AA1798">
        <v>140</v>
      </c>
      <c r="AB1798" t="s">
        <v>2189</v>
      </c>
      <c r="AC1798" t="str">
        <f>HYPERLINK("plots/20251231112652_3FT6Y119H04_05543_B21P_N_UFLEX98_M5358A8BA201511/dpll_52094/txpa_53285.png","plot")</f>
        <v>plot</v>
      </c>
    </row>
    <row r="1799" spans="1:29" hidden="1" x14ac:dyDescent="0.35">
      <c r="A1799" t="s">
        <v>47</v>
      </c>
      <c r="B1799">
        <v>52094</v>
      </c>
      <c r="C1799" t="s">
        <v>53</v>
      </c>
      <c r="D1799">
        <v>53286</v>
      </c>
      <c r="E1799" t="s">
        <v>161</v>
      </c>
      <c r="F1799">
        <v>7139</v>
      </c>
      <c r="G1799">
        <v>0.37159226550507679</v>
      </c>
      <c r="H1799">
        <v>1.309489853851861E-232</v>
      </c>
      <c r="I1799">
        <v>1.6392872985256631E-231</v>
      </c>
      <c r="J1799">
        <v>0.40918876408953792</v>
      </c>
      <c r="K1799">
        <v>2.3674507065710251E-286</v>
      </c>
      <c r="L1799">
        <v>6.668319490175053E-285</v>
      </c>
      <c r="M1799">
        <v>0.28633845410088499</v>
      </c>
      <c r="N1799">
        <v>3.2523920094485671E-288</v>
      </c>
      <c r="O1799">
        <v>9.422644278802421E-287</v>
      </c>
      <c r="P1799">
        <v>0.13808081178319551</v>
      </c>
      <c r="Q1799">
        <v>0.70897937219437435</v>
      </c>
      <c r="R1799">
        <v>10.8764261371446</v>
      </c>
      <c r="S1799">
        <v>0.21988760190248621</v>
      </c>
      <c r="T1799">
        <v>0.16256234371425879</v>
      </c>
      <c r="U1799">
        <v>4.2555146084885838</v>
      </c>
      <c r="V1799">
        <v>0.12414549193133841</v>
      </c>
      <c r="W1799">
        <v>13.893498212634819</v>
      </c>
      <c r="X1799">
        <v>0.2368633610029742</v>
      </c>
      <c r="Z1799" t="s">
        <v>392</v>
      </c>
      <c r="AA1799">
        <v>140</v>
      </c>
      <c r="AB1799" t="s">
        <v>2190</v>
      </c>
      <c r="AC1799" t="str">
        <f>HYPERLINK("plots/20251231112652_3FT6Y119H04_05543_B21P_N_UFLEX98_M5358A8BA201511/dpll_52094/txpa_53286.png","plot")</f>
        <v>plot</v>
      </c>
    </row>
    <row r="1800" spans="1:29" hidden="1" x14ac:dyDescent="0.35">
      <c r="A1800" t="s">
        <v>47</v>
      </c>
      <c r="B1800">
        <v>52094</v>
      </c>
      <c r="C1800" t="s">
        <v>53</v>
      </c>
      <c r="D1800">
        <v>53287</v>
      </c>
      <c r="E1800" t="s">
        <v>162</v>
      </c>
      <c r="F1800">
        <v>7139</v>
      </c>
      <c r="G1800">
        <v>0.39331319514215007</v>
      </c>
      <c r="H1800">
        <v>8.4538707198111959E-263</v>
      </c>
      <c r="I1800">
        <v>3.1748981147735379E-261</v>
      </c>
      <c r="J1800">
        <v>0.43130253396877599</v>
      </c>
      <c r="K1800">
        <v>0</v>
      </c>
      <c r="L1800">
        <v>0</v>
      </c>
      <c r="M1800">
        <v>0.30690819492986832</v>
      </c>
      <c r="N1800">
        <v>0</v>
      </c>
      <c r="O1800">
        <v>0</v>
      </c>
      <c r="P1800">
        <v>0.154695269472927</v>
      </c>
      <c r="Q1800">
        <v>0.73631481352512906</v>
      </c>
      <c r="R1800">
        <v>10.85896554675303</v>
      </c>
      <c r="S1800">
        <v>0.21366441865015931</v>
      </c>
      <c r="T1800">
        <v>0.15200337330366329</v>
      </c>
      <c r="U1800">
        <v>4.2555146084885838</v>
      </c>
      <c r="V1800">
        <v>0.12414549193133841</v>
      </c>
      <c r="W1800">
        <v>13.992363992155759</v>
      </c>
      <c r="X1800">
        <v>0.2324106230617857</v>
      </c>
      <c r="Z1800" t="s">
        <v>392</v>
      </c>
      <c r="AA1800">
        <v>140</v>
      </c>
      <c r="AB1800" t="s">
        <v>2191</v>
      </c>
      <c r="AC1800" t="str">
        <f>HYPERLINK("plots/20251231112652_3FT6Y119H04_05543_B21P_N_UFLEX98_M5358A8BA201511/dpll_52094/txpa_53287.png","plot")</f>
        <v>plot</v>
      </c>
    </row>
    <row r="1801" spans="1:29" hidden="1" x14ac:dyDescent="0.35">
      <c r="A1801" t="s">
        <v>47</v>
      </c>
      <c r="B1801">
        <v>52094</v>
      </c>
      <c r="C1801" t="s">
        <v>53</v>
      </c>
      <c r="D1801">
        <v>53288</v>
      </c>
      <c r="E1801" t="s">
        <v>163</v>
      </c>
      <c r="F1801">
        <v>7139</v>
      </c>
      <c r="G1801">
        <v>0.38413988967879042</v>
      </c>
      <c r="H1801">
        <v>9.075883457752283E-250</v>
      </c>
      <c r="I1801">
        <v>1.9172803804501698E-248</v>
      </c>
      <c r="J1801">
        <v>0.42136876101485071</v>
      </c>
      <c r="K1801">
        <v>2.6026454959478312E-305</v>
      </c>
      <c r="L1801">
        <v>1.256705968043381E-303</v>
      </c>
      <c r="M1801">
        <v>0.29813463112834598</v>
      </c>
      <c r="N1801">
        <v>0</v>
      </c>
      <c r="O1801">
        <v>0</v>
      </c>
      <c r="P1801">
        <v>0.14756345484243319</v>
      </c>
      <c r="Q1801">
        <v>0.72711533596497369</v>
      </c>
      <c r="R1801">
        <v>10.828556831398419</v>
      </c>
      <c r="S1801">
        <v>0.2169429103528836</v>
      </c>
      <c r="T1801">
        <v>0.15843155915274279</v>
      </c>
      <c r="U1801">
        <v>4.2555146084885838</v>
      </c>
      <c r="V1801">
        <v>0.12414549193133841</v>
      </c>
      <c r="W1801">
        <v>13.92280676565345</v>
      </c>
      <c r="X1801">
        <v>0.23498754880591111</v>
      </c>
      <c r="Z1801" t="s">
        <v>392</v>
      </c>
      <c r="AA1801">
        <v>140</v>
      </c>
      <c r="AB1801" t="s">
        <v>2192</v>
      </c>
      <c r="AC1801" t="str">
        <f>HYPERLINK("plots/20251231112652_3FT6Y119H04_05543_B21P_N_UFLEX98_M5358A8BA201511/dpll_52094/txpa_53288.png","plot")</f>
        <v>plot</v>
      </c>
    </row>
    <row r="1802" spans="1:29" hidden="1" x14ac:dyDescent="0.35">
      <c r="A1802" t="s">
        <v>47</v>
      </c>
      <c r="B1802">
        <v>52094</v>
      </c>
      <c r="C1802" t="s">
        <v>53</v>
      </c>
      <c r="D1802">
        <v>53289</v>
      </c>
      <c r="E1802" t="s">
        <v>164</v>
      </c>
      <c r="F1802">
        <v>7139</v>
      </c>
      <c r="G1802">
        <v>0.38678521856811687</v>
      </c>
      <c r="H1802">
        <v>1.7490918567264739E-253</v>
      </c>
      <c r="I1802">
        <v>4.1246026574898719E-252</v>
      </c>
      <c r="J1802">
        <v>0.4223679385670957</v>
      </c>
      <c r="K1802">
        <v>6.6832295612988519E-307</v>
      </c>
      <c r="L1802">
        <v>5.2129190578131049E-305</v>
      </c>
      <c r="M1802">
        <v>0.29902255022809421</v>
      </c>
      <c r="N1802">
        <v>0</v>
      </c>
      <c r="O1802">
        <v>0</v>
      </c>
      <c r="P1802">
        <v>0.149602805302786</v>
      </c>
      <c r="Q1802">
        <v>0.72340368635314278</v>
      </c>
      <c r="R1802">
        <v>10.90696087763939</v>
      </c>
      <c r="S1802">
        <v>0.21410277332264721</v>
      </c>
      <c r="T1802">
        <v>0.15263141819045201</v>
      </c>
      <c r="U1802">
        <v>4.2555146084885838</v>
      </c>
      <c r="V1802">
        <v>0.12414549193133841</v>
      </c>
      <c r="W1802">
        <v>13.98541583274968</v>
      </c>
      <c r="X1802">
        <v>0.23218908633510391</v>
      </c>
      <c r="Z1802" t="s">
        <v>392</v>
      </c>
      <c r="AA1802">
        <v>140</v>
      </c>
      <c r="AB1802" t="s">
        <v>2193</v>
      </c>
      <c r="AC1802" t="str">
        <f>HYPERLINK("plots/20251231112652_3FT6Y119H04_05543_B21P_N_UFLEX98_M5358A8BA201511/dpll_52094/txpa_53289.png","plot")</f>
        <v>plot</v>
      </c>
    </row>
    <row r="1803" spans="1:29" hidden="1" x14ac:dyDescent="0.35">
      <c r="A1803" t="s">
        <v>47</v>
      </c>
      <c r="B1803">
        <v>52094</v>
      </c>
      <c r="C1803" t="s">
        <v>53</v>
      </c>
      <c r="D1803">
        <v>53290</v>
      </c>
      <c r="E1803" t="s">
        <v>165</v>
      </c>
      <c r="F1803">
        <v>7139</v>
      </c>
      <c r="G1803">
        <v>0.3786494413225131</v>
      </c>
      <c r="H1803">
        <v>3.6275822977989712E-242</v>
      </c>
      <c r="I1803">
        <v>6.3420145689106152E-241</v>
      </c>
      <c r="J1803">
        <v>0.39553363000004937</v>
      </c>
      <c r="K1803">
        <v>5.1278447510303118E-266</v>
      </c>
      <c r="L1803">
        <v>9.1221659255170816E-265</v>
      </c>
      <c r="M1803">
        <v>0.27567041203526721</v>
      </c>
      <c r="N1803">
        <v>2.690309334587653E-267</v>
      </c>
      <c r="O1803">
        <v>4.8713815451283569E-266</v>
      </c>
      <c r="P1803">
        <v>0.1433753994138513</v>
      </c>
      <c r="Q1803">
        <v>0.69538557144208513</v>
      </c>
      <c r="R1803">
        <v>10.90538781828511</v>
      </c>
      <c r="S1803">
        <v>0.2110008285199281</v>
      </c>
      <c r="T1803">
        <v>0.15589286595106561</v>
      </c>
      <c r="U1803">
        <v>4.2555146084885838</v>
      </c>
      <c r="V1803">
        <v>0.12414549193133841</v>
      </c>
      <c r="W1803">
        <v>13.864611276089089</v>
      </c>
      <c r="X1803">
        <v>0.22799184265823899</v>
      </c>
      <c r="Z1803" t="s">
        <v>392</v>
      </c>
      <c r="AA1803">
        <v>140</v>
      </c>
      <c r="AB1803" t="s">
        <v>2194</v>
      </c>
      <c r="AC1803" t="str">
        <f>HYPERLINK("plots/20251231112652_3FT6Y119H04_05543_B21P_N_UFLEX98_M5358A8BA201511/dpll_52094/txpa_53290.png","plot")</f>
        <v>plot</v>
      </c>
    </row>
    <row r="1804" spans="1:29" hidden="1" x14ac:dyDescent="0.35">
      <c r="A1804" t="s">
        <v>47</v>
      </c>
      <c r="B1804">
        <v>52094</v>
      </c>
      <c r="C1804" t="s">
        <v>53</v>
      </c>
      <c r="D1804">
        <v>54146</v>
      </c>
      <c r="E1804" t="s">
        <v>166</v>
      </c>
      <c r="F1804">
        <v>7139</v>
      </c>
      <c r="G1804">
        <v>-9.0019985315838453E-3</v>
      </c>
      <c r="H1804">
        <v>0.44696502526589837</v>
      </c>
      <c r="I1804">
        <v>0.44696502526589837</v>
      </c>
      <c r="J1804">
        <v>-4.7283862138239744E-3</v>
      </c>
      <c r="K1804">
        <v>0.68956465341446216</v>
      </c>
      <c r="L1804">
        <v>0.6907770041139295</v>
      </c>
      <c r="M1804">
        <v>-3.1101048795703231E-3</v>
      </c>
      <c r="N1804">
        <v>0.69353193742166208</v>
      </c>
      <c r="O1804">
        <v>0.69421656914665875</v>
      </c>
      <c r="P1804">
        <v>8.1035977562637703E-5</v>
      </c>
      <c r="Q1804">
        <v>-0.33112106794118401</v>
      </c>
      <c r="R1804">
        <v>-10.024356363927041</v>
      </c>
      <c r="S1804">
        <v>4.5659464470969029</v>
      </c>
      <c r="T1804">
        <v>3.4657794907000081</v>
      </c>
      <c r="U1804">
        <v>4.2555146084885838</v>
      </c>
      <c r="V1804">
        <v>0.12414549193133841</v>
      </c>
      <c r="W1804">
        <v>-11.43344690572909</v>
      </c>
      <c r="X1804">
        <v>4.5664512968050834</v>
      </c>
      <c r="Z1804" t="s">
        <v>392</v>
      </c>
      <c r="AA1804">
        <v>140</v>
      </c>
      <c r="AB1804" t="s">
        <v>2195</v>
      </c>
      <c r="AC1804" t="str">
        <f>HYPERLINK("plots/20251231112652_3FT6Y119H04_05543_B21P_N_UFLEX98_M5358A8BA201511/dpll_52094/txpa_54146.png","plot")</f>
        <v>plot</v>
      </c>
    </row>
    <row r="1805" spans="1:29" hidden="1" x14ac:dyDescent="0.35">
      <c r="A1805" t="s">
        <v>47</v>
      </c>
      <c r="B1805">
        <v>52094</v>
      </c>
      <c r="C1805" t="s">
        <v>53</v>
      </c>
      <c r="D1805">
        <v>54147</v>
      </c>
      <c r="E1805" t="s">
        <v>167</v>
      </c>
      <c r="F1805">
        <v>7139</v>
      </c>
      <c r="G1805">
        <v>0.1225405162741591</v>
      </c>
      <c r="H1805">
        <v>2.720937668632217E-25</v>
      </c>
      <c r="I1805">
        <v>2.8210948834284939E-25</v>
      </c>
      <c r="J1805">
        <v>0.10866215000571421</v>
      </c>
      <c r="K1805">
        <v>3.3595436170131353E-20</v>
      </c>
      <c r="L1805">
        <v>3.4514460259891782E-20</v>
      </c>
      <c r="M1805">
        <v>7.208776063423708E-2</v>
      </c>
      <c r="N1805">
        <v>6.8145163144513221E-20</v>
      </c>
      <c r="O1805">
        <v>6.9867740574859865E-20</v>
      </c>
      <c r="P1805">
        <v>1.5016178128737449E-2</v>
      </c>
      <c r="Q1805">
        <v>0.85348224876072698</v>
      </c>
      <c r="R1805">
        <v>-23.02162669176456</v>
      </c>
      <c r="S1805">
        <v>0.85808413089051427</v>
      </c>
      <c r="T1805">
        <v>0.65599472116280577</v>
      </c>
      <c r="U1805">
        <v>4.2555146084885838</v>
      </c>
      <c r="V1805">
        <v>0.12414549193133841</v>
      </c>
      <c r="W1805">
        <v>-19.389620514077599</v>
      </c>
      <c r="X1805">
        <v>0.86466074118710867</v>
      </c>
      <c r="Z1805" t="s">
        <v>392</v>
      </c>
      <c r="AA1805">
        <v>140</v>
      </c>
      <c r="AB1805" t="s">
        <v>2196</v>
      </c>
      <c r="AC1805" t="str">
        <f>HYPERLINK("plots/20251231112652_3FT6Y119H04_05543_B21P_N_UFLEX98_M5358A8BA201511/dpll_52094/txpa_54147.png","plot")</f>
        <v>plot</v>
      </c>
    </row>
    <row r="1806" spans="1:29" hidden="1" x14ac:dyDescent="0.35">
      <c r="A1806" t="s">
        <v>47</v>
      </c>
      <c r="B1806">
        <v>52094</v>
      </c>
      <c r="C1806" t="s">
        <v>53</v>
      </c>
      <c r="D1806">
        <v>54148</v>
      </c>
      <c r="E1806" t="s">
        <v>168</v>
      </c>
      <c r="F1806">
        <v>7131</v>
      </c>
      <c r="G1806">
        <v>0.12874926161628009</v>
      </c>
      <c r="H1806">
        <v>9.6856863533368205E-28</v>
      </c>
      <c r="I1806">
        <v>1.0135486029188379E-27</v>
      </c>
      <c r="J1806">
        <v>0.1245963300166306</v>
      </c>
      <c r="K1806">
        <v>4.5231049692291592E-26</v>
      </c>
      <c r="L1806">
        <v>4.7975192874459911E-26</v>
      </c>
      <c r="M1806">
        <v>8.2694006025910219E-2</v>
      </c>
      <c r="N1806">
        <v>1.21763640201357E-25</v>
      </c>
      <c r="O1806">
        <v>1.291509740211047E-25</v>
      </c>
      <c r="P1806">
        <v>1.6576372366737341E-2</v>
      </c>
      <c r="Q1806">
        <v>0.71689542848326282</v>
      </c>
      <c r="R1806">
        <v>-21.947655517864639</v>
      </c>
      <c r="S1806">
        <v>0.68547925701086276</v>
      </c>
      <c r="T1806">
        <v>0.5217855286131472</v>
      </c>
      <c r="U1806">
        <v>4.2554765860328141</v>
      </c>
      <c r="V1806">
        <v>0.1241490462356829</v>
      </c>
      <c r="W1806">
        <v>-18.89692380732016</v>
      </c>
      <c r="X1806">
        <v>0.6912807310862602</v>
      </c>
      <c r="Z1806" t="s">
        <v>392</v>
      </c>
      <c r="AA1806">
        <v>140</v>
      </c>
      <c r="AB1806" t="s">
        <v>2197</v>
      </c>
      <c r="AC1806" t="str">
        <f>HYPERLINK("plots/20251231112652_3FT6Y119H04_05543_B21P_N_UFLEX98_M5358A8BA201511/dpll_52094/txpa_54148.png","plot")</f>
        <v>plot</v>
      </c>
    </row>
    <row r="1807" spans="1:29" hidden="1" x14ac:dyDescent="0.35">
      <c r="A1807" t="s">
        <v>47</v>
      </c>
      <c r="B1807">
        <v>52094</v>
      </c>
      <c r="C1807" t="s">
        <v>53</v>
      </c>
      <c r="D1807">
        <v>54149</v>
      </c>
      <c r="E1807" t="s">
        <v>169</v>
      </c>
      <c r="F1807">
        <v>7134</v>
      </c>
      <c r="G1807">
        <v>0.13629657913410911</v>
      </c>
      <c r="H1807">
        <v>6.2716256947730959E-31</v>
      </c>
      <c r="I1807">
        <v>6.6590873869109103E-31</v>
      </c>
      <c r="J1807">
        <v>0.1346143132525929</v>
      </c>
      <c r="K1807">
        <v>3.3242641779688741E-30</v>
      </c>
      <c r="L1807">
        <v>3.6323317634271967E-30</v>
      </c>
      <c r="M1807">
        <v>8.9843910607531344E-2</v>
      </c>
      <c r="N1807">
        <v>5.5442935735551227E-30</v>
      </c>
      <c r="O1807">
        <v>6.0777445227944809E-30</v>
      </c>
      <c r="P1807">
        <v>1.8576757483660479E-2</v>
      </c>
      <c r="Q1807">
        <v>0.7461609623857185</v>
      </c>
      <c r="R1807">
        <v>-21.688582670925239</v>
      </c>
      <c r="S1807">
        <v>0.67339262642020614</v>
      </c>
      <c r="T1807">
        <v>0.51519328017215915</v>
      </c>
      <c r="U1807">
        <v>4.255525599243061</v>
      </c>
      <c r="V1807">
        <v>0.1241718236606394</v>
      </c>
      <c r="W1807">
        <v>-18.513275594336982</v>
      </c>
      <c r="X1807">
        <v>0.67978351351465127</v>
      </c>
      <c r="Z1807" t="s">
        <v>392</v>
      </c>
      <c r="AA1807">
        <v>140</v>
      </c>
      <c r="AB1807" t="s">
        <v>2198</v>
      </c>
      <c r="AC1807" t="str">
        <f>HYPERLINK("plots/20251231112652_3FT6Y119H04_05543_B21P_N_UFLEX98_M5358A8BA201511/dpll_52094/txpa_54149.png","plot")</f>
        <v>plot</v>
      </c>
    </row>
    <row r="1808" spans="1:29" hidden="1" x14ac:dyDescent="0.35">
      <c r="A1808" t="s">
        <v>47</v>
      </c>
      <c r="B1808">
        <v>52094</v>
      </c>
      <c r="C1808" t="s">
        <v>53</v>
      </c>
      <c r="D1808">
        <v>54150</v>
      </c>
      <c r="E1808" t="s">
        <v>170</v>
      </c>
      <c r="F1808">
        <v>7135</v>
      </c>
      <c r="G1808">
        <v>0.15931074169407811</v>
      </c>
      <c r="H1808">
        <v>8.9545148024888371E-42</v>
      </c>
      <c r="I1808">
        <v>1.002194040808353E-41</v>
      </c>
      <c r="J1808">
        <v>0.15040893298745461</v>
      </c>
      <c r="K1808">
        <v>2.2500847912396381E-37</v>
      </c>
      <c r="L1808">
        <v>2.6075268323622768E-37</v>
      </c>
      <c r="M1808">
        <v>9.9972122970529848E-2</v>
      </c>
      <c r="N1808">
        <v>1.0080244428490179E-36</v>
      </c>
      <c r="O1808">
        <v>1.16549234327127E-36</v>
      </c>
      <c r="P1808">
        <v>2.537991241911727E-2</v>
      </c>
      <c r="Q1808">
        <v>0.8633656162962472</v>
      </c>
      <c r="R1808">
        <v>-22.54568045091839</v>
      </c>
      <c r="S1808">
        <v>0.66424078757227012</v>
      </c>
      <c r="T1808">
        <v>0.51214957593527544</v>
      </c>
      <c r="U1808">
        <v>4.255530948283111</v>
      </c>
      <c r="V1808">
        <v>0.1241619737312625</v>
      </c>
      <c r="W1808">
        <v>-18.871601351086191</v>
      </c>
      <c r="X1808">
        <v>0.67288104889310585</v>
      </c>
      <c r="Z1808" t="s">
        <v>392</v>
      </c>
      <c r="AA1808">
        <v>140</v>
      </c>
      <c r="AB1808" t="s">
        <v>2199</v>
      </c>
      <c r="AC1808" t="str">
        <f>HYPERLINK("plots/20251231112652_3FT6Y119H04_05543_B21P_N_UFLEX98_M5358A8BA201511/dpll_52094/txpa_54150.png","plot")</f>
        <v>plot</v>
      </c>
    </row>
    <row r="1809" spans="1:29" hidden="1" x14ac:dyDescent="0.35">
      <c r="A1809" t="s">
        <v>47</v>
      </c>
      <c r="B1809">
        <v>52094</v>
      </c>
      <c r="C1809" t="s">
        <v>53</v>
      </c>
      <c r="D1809">
        <v>54151</v>
      </c>
      <c r="E1809" t="s">
        <v>171</v>
      </c>
      <c r="F1809">
        <v>7133</v>
      </c>
      <c r="G1809">
        <v>0.14895348816079429</v>
      </c>
      <c r="H1809">
        <v>1.138966864021772E-36</v>
      </c>
      <c r="I1809">
        <v>1.249905194932984E-36</v>
      </c>
      <c r="J1809">
        <v>0.14188574934067241</v>
      </c>
      <c r="K1809">
        <v>2.1338839490425159E-33</v>
      </c>
      <c r="L1809">
        <v>2.4015075741721541E-33</v>
      </c>
      <c r="M1809">
        <v>9.4236621988597793E-2</v>
      </c>
      <c r="N1809">
        <v>8.2091674325075713E-33</v>
      </c>
      <c r="O1809">
        <v>9.2284875571648317E-33</v>
      </c>
      <c r="P1809">
        <v>2.218714163526788E-2</v>
      </c>
      <c r="Q1809">
        <v>0.77446239203703426</v>
      </c>
      <c r="R1809">
        <v>-21.886992267633691</v>
      </c>
      <c r="S1809">
        <v>0.63830784776395744</v>
      </c>
      <c r="T1809">
        <v>0.49104847944220331</v>
      </c>
      <c r="U1809">
        <v>4.255583845646993</v>
      </c>
      <c r="V1809">
        <v>0.1241603995191787</v>
      </c>
      <c r="W1809">
        <v>-18.591202623019761</v>
      </c>
      <c r="X1809">
        <v>0.64555426794769377</v>
      </c>
      <c r="Z1809" t="s">
        <v>392</v>
      </c>
      <c r="AA1809">
        <v>140</v>
      </c>
      <c r="AB1809" t="s">
        <v>2200</v>
      </c>
      <c r="AC1809" t="str">
        <f>HYPERLINK("plots/20251231112652_3FT6Y119H04_05543_B21P_N_UFLEX98_M5358A8BA201511/dpll_52094/txpa_54151.png","plot")</f>
        <v>plot</v>
      </c>
    </row>
    <row r="1810" spans="1:29" hidden="1" x14ac:dyDescent="0.35">
      <c r="A1810" t="s">
        <v>47</v>
      </c>
      <c r="B1810">
        <v>52094</v>
      </c>
      <c r="C1810" t="s">
        <v>53</v>
      </c>
      <c r="D1810">
        <v>54152</v>
      </c>
      <c r="E1810" t="s">
        <v>172</v>
      </c>
      <c r="F1810">
        <v>7135</v>
      </c>
      <c r="G1810">
        <v>0.1486650059037993</v>
      </c>
      <c r="H1810">
        <v>1.525933835225227E-36</v>
      </c>
      <c r="I1810">
        <v>1.6673458070241159E-36</v>
      </c>
      <c r="J1810">
        <v>0.14087112438414509</v>
      </c>
      <c r="K1810">
        <v>5.9811792658964017E-33</v>
      </c>
      <c r="L1810">
        <v>6.6941675227582235E-33</v>
      </c>
      <c r="M1810">
        <v>9.3527127006091892E-2</v>
      </c>
      <c r="N1810">
        <v>2.3683753730739429E-32</v>
      </c>
      <c r="O1810">
        <v>2.6506982652284519E-32</v>
      </c>
      <c r="P1810">
        <v>2.2101283980376678E-2</v>
      </c>
      <c r="Q1810">
        <v>0.7626349324679893</v>
      </c>
      <c r="R1810">
        <v>-21.984520338072819</v>
      </c>
      <c r="S1810">
        <v>0.62986519769104066</v>
      </c>
      <c r="T1810">
        <v>0.47968204698419581</v>
      </c>
      <c r="U1810">
        <v>4.255513099088998</v>
      </c>
      <c r="V1810">
        <v>0.12417185502289731</v>
      </c>
      <c r="W1810">
        <v>-18.739117393132439</v>
      </c>
      <c r="X1810">
        <v>0.63698779476786127</v>
      </c>
      <c r="Z1810" t="s">
        <v>392</v>
      </c>
      <c r="AA1810">
        <v>140</v>
      </c>
      <c r="AB1810" t="s">
        <v>2201</v>
      </c>
      <c r="AC1810" t="str">
        <f>HYPERLINK("plots/20251231112652_3FT6Y119H04_05543_B21P_N_UFLEX98_M5358A8BA201511/dpll_52094/txpa_54152.png","plot")</f>
        <v>plot</v>
      </c>
    </row>
    <row r="1811" spans="1:29" hidden="1" x14ac:dyDescent="0.35">
      <c r="A1811" t="s">
        <v>47</v>
      </c>
      <c r="B1811">
        <v>52094</v>
      </c>
      <c r="C1811" t="s">
        <v>53</v>
      </c>
      <c r="D1811">
        <v>54153</v>
      </c>
      <c r="E1811" t="s">
        <v>173</v>
      </c>
      <c r="F1811">
        <v>7129</v>
      </c>
      <c r="G1811">
        <v>0.13609300838926211</v>
      </c>
      <c r="H1811">
        <v>8.0531664288138818E-31</v>
      </c>
      <c r="I1811">
        <v>8.5417476556666075E-31</v>
      </c>
      <c r="J1811">
        <v>0.1204122669234375</v>
      </c>
      <c r="K1811">
        <v>1.9388389726961299E-24</v>
      </c>
      <c r="L1811">
        <v>2.0500341171156158E-24</v>
      </c>
      <c r="M1811">
        <v>7.9996999071194355E-2</v>
      </c>
      <c r="N1811">
        <v>4.2958591686662124E-24</v>
      </c>
      <c r="O1811">
        <v>4.5422327393405001E-24</v>
      </c>
      <c r="P1811">
        <v>1.8521306932439752E-2</v>
      </c>
      <c r="Q1811">
        <v>0.70743847334838417</v>
      </c>
      <c r="R1811">
        <v>-21.738801649563449</v>
      </c>
      <c r="S1811">
        <v>0.63948729061684506</v>
      </c>
      <c r="T1811">
        <v>0.48708723110032448</v>
      </c>
      <c r="U1811">
        <v>4.2555398875017536</v>
      </c>
      <c r="V1811">
        <v>0.1241849826844876</v>
      </c>
      <c r="W1811">
        <v>-18.728269008276051</v>
      </c>
      <c r="X1811">
        <v>0.64553819187996753</v>
      </c>
      <c r="Z1811" t="s">
        <v>392</v>
      </c>
      <c r="AA1811">
        <v>140</v>
      </c>
      <c r="AB1811" t="s">
        <v>2202</v>
      </c>
      <c r="AC1811" t="str">
        <f>HYPERLINK("plots/20251231112652_3FT6Y119H04_05543_B21P_N_UFLEX98_M5358A8BA201511/dpll_52094/txpa_54153.png","plot")</f>
        <v>plot</v>
      </c>
    </row>
    <row r="1812" spans="1:29" hidden="1" x14ac:dyDescent="0.35">
      <c r="A1812" t="s">
        <v>47</v>
      </c>
      <c r="B1812">
        <v>52094</v>
      </c>
      <c r="C1812" t="s">
        <v>53</v>
      </c>
      <c r="D1812">
        <v>54154</v>
      </c>
      <c r="E1812" t="s">
        <v>174</v>
      </c>
      <c r="F1812">
        <v>7139</v>
      </c>
      <c r="G1812">
        <v>0.1132591029714361</v>
      </c>
      <c r="H1812">
        <v>8.0896678538120129E-22</v>
      </c>
      <c r="I1812">
        <v>8.2524378307498796E-22</v>
      </c>
      <c r="J1812">
        <v>0.1051762215572897</v>
      </c>
      <c r="K1812">
        <v>5.1135325377002378E-19</v>
      </c>
      <c r="L1812">
        <v>5.2164205163259965E-19</v>
      </c>
      <c r="M1812">
        <v>6.9821593060328202E-2</v>
      </c>
      <c r="N1812">
        <v>9.2944344614066151E-19</v>
      </c>
      <c r="O1812">
        <v>9.4814452151572496E-19</v>
      </c>
      <c r="P1812">
        <v>1.2827624405894361E-2</v>
      </c>
      <c r="Q1812">
        <v>0.79349183229619613</v>
      </c>
      <c r="R1812">
        <v>-23.076516680775061</v>
      </c>
      <c r="S1812">
        <v>0.86410471448258608</v>
      </c>
      <c r="T1812">
        <v>0.66134462712677222</v>
      </c>
      <c r="U1812">
        <v>4.2555146084885838</v>
      </c>
      <c r="V1812">
        <v>0.12414549193133841</v>
      </c>
      <c r="W1812">
        <v>-19.69980059672223</v>
      </c>
      <c r="X1812">
        <v>0.86976173463738371</v>
      </c>
      <c r="Z1812" t="s">
        <v>392</v>
      </c>
      <c r="AA1812">
        <v>140</v>
      </c>
      <c r="AB1812" t="s">
        <v>2203</v>
      </c>
      <c r="AC1812" t="str">
        <f>HYPERLINK("plots/20251231112652_3FT6Y119H04_05543_B21P_N_UFLEX98_M5358A8BA201511/dpll_52094/txpa_54154.png","plot")</f>
        <v>plot</v>
      </c>
    </row>
    <row r="1813" spans="1:29" hidden="1" x14ac:dyDescent="0.35">
      <c r="A1813" t="s">
        <v>47</v>
      </c>
      <c r="B1813">
        <v>52094</v>
      </c>
      <c r="C1813" t="s">
        <v>53</v>
      </c>
      <c r="D1813">
        <v>54155</v>
      </c>
      <c r="E1813" t="s">
        <v>175</v>
      </c>
      <c r="F1813">
        <v>7139</v>
      </c>
      <c r="G1813">
        <v>0.1482578001177666</v>
      </c>
      <c r="H1813">
        <v>2.273969723503847E-36</v>
      </c>
      <c r="I1813">
        <v>2.479360537239678E-36</v>
      </c>
      <c r="J1813">
        <v>0.1106297694809789</v>
      </c>
      <c r="K1813">
        <v>6.9473151830971737E-21</v>
      </c>
      <c r="L1813">
        <v>7.1883444853678923E-21</v>
      </c>
      <c r="M1813">
        <v>7.326341262081644E-2</v>
      </c>
      <c r="N1813">
        <v>1.6556838119375771E-20</v>
      </c>
      <c r="O1813">
        <v>1.7096368485791271E-20</v>
      </c>
      <c r="P1813">
        <v>2.1980375295759639E-2</v>
      </c>
      <c r="Q1813">
        <v>0.654801037477863</v>
      </c>
      <c r="R1813">
        <v>-11.61389246440576</v>
      </c>
      <c r="S1813">
        <v>0.54220825632743352</v>
      </c>
      <c r="T1813">
        <v>0.4491406652391578</v>
      </c>
      <c r="U1813">
        <v>4.2555146084885838</v>
      </c>
      <c r="V1813">
        <v>0.12414549193133841</v>
      </c>
      <c r="W1813">
        <v>-8.8273770837652332</v>
      </c>
      <c r="X1813">
        <v>0.54830570027524972</v>
      </c>
      <c r="Z1813" t="s">
        <v>392</v>
      </c>
      <c r="AA1813">
        <v>140</v>
      </c>
      <c r="AB1813" t="s">
        <v>2204</v>
      </c>
      <c r="AC1813" t="str">
        <f>HYPERLINK("plots/20251231112652_3FT6Y119H04_05543_B21P_N_UFLEX98_M5358A8BA201511/dpll_52094/txpa_54155.png","plot")</f>
        <v>plot</v>
      </c>
    </row>
    <row r="1814" spans="1:29" hidden="1" x14ac:dyDescent="0.35">
      <c r="A1814" t="s">
        <v>47</v>
      </c>
      <c r="B1814">
        <v>52094</v>
      </c>
      <c r="C1814" t="s">
        <v>53</v>
      </c>
      <c r="D1814">
        <v>54156</v>
      </c>
      <c r="E1814" t="s">
        <v>176</v>
      </c>
      <c r="F1814">
        <v>7139</v>
      </c>
      <c r="G1814">
        <v>0.24411734383424691</v>
      </c>
      <c r="H1814">
        <v>2.3108845817858381E-97</v>
      </c>
      <c r="I1814">
        <v>3.6216954651172168E-97</v>
      </c>
      <c r="J1814">
        <v>0.22206287203040939</v>
      </c>
      <c r="K1814">
        <v>1.8042802749097009E-80</v>
      </c>
      <c r="L1814">
        <v>2.8146772288591339E-80</v>
      </c>
      <c r="M1814">
        <v>0.147188161183852</v>
      </c>
      <c r="N1814">
        <v>1.301346576647871E-77</v>
      </c>
      <c r="O1814">
        <v>1.990294764284979E-77</v>
      </c>
      <c r="P1814">
        <v>5.9593277560687899E-2</v>
      </c>
      <c r="Q1814">
        <v>0.68693072836766533</v>
      </c>
      <c r="R1814">
        <v>-11.18810477816373</v>
      </c>
      <c r="S1814">
        <v>0.33874485307377028</v>
      </c>
      <c r="T1814">
        <v>0.26574198176217517</v>
      </c>
      <c r="U1814">
        <v>4.2555146084885838</v>
      </c>
      <c r="V1814">
        <v>0.12414549193133841</v>
      </c>
      <c r="W1814">
        <v>-8.2648610285754316</v>
      </c>
      <c r="X1814">
        <v>0.34933754339822798</v>
      </c>
      <c r="Z1814" t="s">
        <v>392</v>
      </c>
      <c r="AA1814">
        <v>140</v>
      </c>
      <c r="AB1814" t="s">
        <v>2205</v>
      </c>
      <c r="AC1814" t="str">
        <f>HYPERLINK("plots/20251231112652_3FT6Y119H04_05543_B21P_N_UFLEX98_M5358A8BA201511/dpll_52094/txpa_54156.png","plot")</f>
        <v>plot</v>
      </c>
    </row>
    <row r="1815" spans="1:29" hidden="1" x14ac:dyDescent="0.35">
      <c r="A1815" t="s">
        <v>47</v>
      </c>
      <c r="B1815">
        <v>52094</v>
      </c>
      <c r="C1815" t="s">
        <v>53</v>
      </c>
      <c r="D1815">
        <v>54157</v>
      </c>
      <c r="E1815" t="s">
        <v>177</v>
      </c>
      <c r="F1815">
        <v>7139</v>
      </c>
      <c r="G1815">
        <v>0.19313388151149891</v>
      </c>
      <c r="H1815">
        <v>5.9451740773107467E-61</v>
      </c>
      <c r="I1815">
        <v>7.2110125770252357E-61</v>
      </c>
      <c r="J1815">
        <v>0.16375150588094969</v>
      </c>
      <c r="K1815">
        <v>4.3133679421606099E-44</v>
      </c>
      <c r="L1815">
        <v>5.1699232781925047E-44</v>
      </c>
      <c r="M1815">
        <v>0.1089657023665848</v>
      </c>
      <c r="N1815">
        <v>2.3483876738209419E-43</v>
      </c>
      <c r="O1815">
        <v>2.8147341622392849E-43</v>
      </c>
      <c r="P1815">
        <v>3.7300696187697678E-2</v>
      </c>
      <c r="Q1815">
        <v>0.62320864635519169</v>
      </c>
      <c r="R1815">
        <v>-10.5467918777456</v>
      </c>
      <c r="S1815">
        <v>0.39302562291614201</v>
      </c>
      <c r="T1815">
        <v>0.3181444472706409</v>
      </c>
      <c r="U1815">
        <v>4.2555146084885838</v>
      </c>
      <c r="V1815">
        <v>0.12414549193133841</v>
      </c>
      <c r="W1815">
        <v>-7.8947183790446838</v>
      </c>
      <c r="X1815">
        <v>0.40059539720389442</v>
      </c>
      <c r="Z1815" t="s">
        <v>392</v>
      </c>
      <c r="AA1815">
        <v>140</v>
      </c>
      <c r="AB1815" t="s">
        <v>2206</v>
      </c>
      <c r="AC1815" t="str">
        <f>HYPERLINK("plots/20251231112652_3FT6Y119H04_05543_B21P_N_UFLEX98_M5358A8BA201511/dpll_52094/txpa_54157.png","plot")</f>
        <v>plot</v>
      </c>
    </row>
    <row r="1816" spans="1:29" hidden="1" x14ac:dyDescent="0.35">
      <c r="A1816" t="s">
        <v>47</v>
      </c>
      <c r="B1816">
        <v>52094</v>
      </c>
      <c r="C1816" t="s">
        <v>53</v>
      </c>
      <c r="D1816">
        <v>54158</v>
      </c>
      <c r="E1816" t="s">
        <v>178</v>
      </c>
      <c r="F1816">
        <v>7139</v>
      </c>
      <c r="G1816">
        <v>0.27969842811267059</v>
      </c>
      <c r="H1816">
        <v>1.9114661469909201E-128</v>
      </c>
      <c r="I1816">
        <v>3.8533333460214581E-128</v>
      </c>
      <c r="J1816">
        <v>0.24623044386685289</v>
      </c>
      <c r="K1816">
        <v>4.482711679398301E-99</v>
      </c>
      <c r="L1816">
        <v>8.34031127139427E-99</v>
      </c>
      <c r="M1816">
        <v>0.16444410497661641</v>
      </c>
      <c r="N1816">
        <v>2.101226897826394E-96</v>
      </c>
      <c r="O1816">
        <v>3.9022785245347309E-96</v>
      </c>
      <c r="P1816">
        <v>7.823121068869876E-2</v>
      </c>
      <c r="Q1816">
        <v>0.75042276707329036</v>
      </c>
      <c r="R1816">
        <v>-11.459071859561149</v>
      </c>
      <c r="S1816">
        <v>0.31976248477386232</v>
      </c>
      <c r="T1816">
        <v>0.25488065360047751</v>
      </c>
      <c r="U1816">
        <v>4.2555146084885838</v>
      </c>
      <c r="V1816">
        <v>0.12414549193133841</v>
      </c>
      <c r="W1816">
        <v>-8.2656368117383376</v>
      </c>
      <c r="X1816">
        <v>0.33307875272456527</v>
      </c>
      <c r="Z1816" t="s">
        <v>392</v>
      </c>
      <c r="AA1816">
        <v>140</v>
      </c>
      <c r="AB1816" t="s">
        <v>2207</v>
      </c>
      <c r="AC1816" t="str">
        <f>HYPERLINK("plots/20251231112652_3FT6Y119H04_05543_B21P_N_UFLEX98_M5358A8BA201511/dpll_52094/txpa_54158.png","plot")</f>
        <v>plot</v>
      </c>
    </row>
    <row r="1817" spans="1:29" hidden="1" x14ac:dyDescent="0.35">
      <c r="A1817" t="s">
        <v>47</v>
      </c>
      <c r="B1817">
        <v>52094</v>
      </c>
      <c r="C1817" t="s">
        <v>53</v>
      </c>
      <c r="D1817">
        <v>54159</v>
      </c>
      <c r="E1817" t="s">
        <v>179</v>
      </c>
      <c r="F1817">
        <v>7139</v>
      </c>
      <c r="G1817">
        <v>0.21787124644239489</v>
      </c>
      <c r="H1817">
        <v>1.8523022523239669E-77</v>
      </c>
      <c r="I1817">
        <v>2.4844371479583371E-77</v>
      </c>
      <c r="J1817">
        <v>0.17828588316540561</v>
      </c>
      <c r="K1817">
        <v>4.5839297003613823E-52</v>
      </c>
      <c r="L1817">
        <v>5.7454940867323133E-52</v>
      </c>
      <c r="M1817">
        <v>0.1182525625880345</v>
      </c>
      <c r="N1817">
        <v>9.56832176632419E-51</v>
      </c>
      <c r="O1817">
        <v>1.191926077524905E-50</v>
      </c>
      <c r="P1817">
        <v>4.7467880026362763E-2</v>
      </c>
      <c r="Q1817">
        <v>0.6379299540699308</v>
      </c>
      <c r="R1817">
        <v>-10.717239743849801</v>
      </c>
      <c r="S1817">
        <v>0.35474266649371028</v>
      </c>
      <c r="T1817">
        <v>0.28693193749903961</v>
      </c>
      <c r="U1817">
        <v>4.2555146084885838</v>
      </c>
      <c r="V1817">
        <v>0.12414549193133841</v>
      </c>
      <c r="W1817">
        <v>-8.0025195051127618</v>
      </c>
      <c r="X1817">
        <v>0.36349967817661122</v>
      </c>
      <c r="Z1817" t="s">
        <v>392</v>
      </c>
      <c r="AA1817">
        <v>140</v>
      </c>
      <c r="AB1817" t="s">
        <v>2208</v>
      </c>
      <c r="AC1817" t="str">
        <f>HYPERLINK("plots/20251231112652_3FT6Y119H04_05543_B21P_N_UFLEX98_M5358A8BA201511/dpll_52094/txpa_54159.png","plot")</f>
        <v>plot</v>
      </c>
    </row>
    <row r="1818" spans="1:29" hidden="1" x14ac:dyDescent="0.35">
      <c r="A1818" t="s">
        <v>47</v>
      </c>
      <c r="B1818">
        <v>52094</v>
      </c>
      <c r="C1818" t="s">
        <v>53</v>
      </c>
      <c r="D1818">
        <v>54160</v>
      </c>
      <c r="E1818" t="s">
        <v>180</v>
      </c>
      <c r="F1818">
        <v>7139</v>
      </c>
      <c r="G1818">
        <v>0.28149887376883881</v>
      </c>
      <c r="H1818">
        <v>3.7918640398555244E-130</v>
      </c>
      <c r="I1818">
        <v>7.8468370130887769E-130</v>
      </c>
      <c r="J1818">
        <v>0.2396585645818097</v>
      </c>
      <c r="K1818">
        <v>8.3650748236898541E-94</v>
      </c>
      <c r="L1818">
        <v>1.4700495444058079E-93</v>
      </c>
      <c r="M1818">
        <v>0.15925749983088039</v>
      </c>
      <c r="N1818">
        <v>1.547207436247604E-90</v>
      </c>
      <c r="O1818">
        <v>2.709617168143472E-90</v>
      </c>
      <c r="P1818">
        <v>7.9241615933124648E-2</v>
      </c>
      <c r="Q1818">
        <v>0.67375244914468169</v>
      </c>
      <c r="R1818">
        <v>-10.985149179446539</v>
      </c>
      <c r="S1818">
        <v>0.28509990384728179</v>
      </c>
      <c r="T1818">
        <v>0.22678934455577221</v>
      </c>
      <c r="U1818">
        <v>4.2555146084885838</v>
      </c>
      <c r="V1818">
        <v>0.12414549193133841</v>
      </c>
      <c r="W1818">
        <v>-8.1179857896063883</v>
      </c>
      <c r="X1818">
        <v>0.29713557329432427</v>
      </c>
      <c r="Z1818" t="s">
        <v>392</v>
      </c>
      <c r="AA1818">
        <v>140</v>
      </c>
      <c r="AB1818" t="s">
        <v>2209</v>
      </c>
      <c r="AC1818" t="str">
        <f>HYPERLINK("plots/20251231112652_3FT6Y119H04_05543_B21P_N_UFLEX98_M5358A8BA201511/dpll_52094/txpa_54160.png","plot")</f>
        <v>plot</v>
      </c>
    </row>
    <row r="1819" spans="1:29" hidden="1" x14ac:dyDescent="0.35">
      <c r="A1819" t="s">
        <v>47</v>
      </c>
      <c r="B1819">
        <v>52094</v>
      </c>
      <c r="C1819" t="s">
        <v>53</v>
      </c>
      <c r="D1819">
        <v>54161</v>
      </c>
      <c r="E1819" t="s">
        <v>181</v>
      </c>
      <c r="F1819">
        <v>7139</v>
      </c>
      <c r="G1819">
        <v>0.20703678087068089</v>
      </c>
      <c r="H1819">
        <v>5.7793110093180409E-70</v>
      </c>
      <c r="I1819">
        <v>7.4086237211738233E-70</v>
      </c>
      <c r="J1819">
        <v>0.17718105997652131</v>
      </c>
      <c r="K1819">
        <v>1.9606956102401711E-51</v>
      </c>
      <c r="L1819">
        <v>2.4364526333131541E-51</v>
      </c>
      <c r="M1819">
        <v>0.1178285439253238</v>
      </c>
      <c r="N1819">
        <v>2.1463987199009241E-50</v>
      </c>
      <c r="O1819">
        <v>2.6639514100116732E-50</v>
      </c>
      <c r="P1819">
        <v>4.2864228633294338E-2</v>
      </c>
      <c r="Q1819">
        <v>0.56950432782218974</v>
      </c>
      <c r="R1819">
        <v>-10.504827372413111</v>
      </c>
      <c r="S1819">
        <v>0.33406950281261533</v>
      </c>
      <c r="T1819">
        <v>0.26442127870107268</v>
      </c>
      <c r="U1819">
        <v>4.2555146084885838</v>
      </c>
      <c r="V1819">
        <v>0.12414549193133841</v>
      </c>
      <c r="W1819">
        <v>-8.0812933857683138</v>
      </c>
      <c r="X1819">
        <v>0.34149195441110231</v>
      </c>
      <c r="Z1819" t="s">
        <v>392</v>
      </c>
      <c r="AA1819">
        <v>140</v>
      </c>
      <c r="AB1819" t="s">
        <v>2210</v>
      </c>
      <c r="AC1819" t="str">
        <f>HYPERLINK("plots/20251231112652_3FT6Y119H04_05543_B21P_N_UFLEX98_M5358A8BA201511/dpll_52094/txpa_54161.png","plot")</f>
        <v>plot</v>
      </c>
    </row>
    <row r="1820" spans="1:29" hidden="1" x14ac:dyDescent="0.35">
      <c r="A1820" t="s">
        <v>47</v>
      </c>
      <c r="B1820">
        <v>52094</v>
      </c>
      <c r="C1820" t="s">
        <v>53</v>
      </c>
      <c r="D1820">
        <v>54162</v>
      </c>
      <c r="E1820" t="s">
        <v>182</v>
      </c>
      <c r="F1820">
        <v>7139</v>
      </c>
      <c r="G1820">
        <v>0.16272466674694391</v>
      </c>
      <c r="H1820">
        <v>1.4835070483184831E-43</v>
      </c>
      <c r="I1820">
        <v>1.6797596919650201E-43</v>
      </c>
      <c r="J1820">
        <v>0.1264939034474952</v>
      </c>
      <c r="K1820">
        <v>7.4358029941991304E-27</v>
      </c>
      <c r="L1820">
        <v>7.9367413011767553E-27</v>
      </c>
      <c r="M1820">
        <v>8.3816627456476667E-2</v>
      </c>
      <c r="N1820">
        <v>2.4187556197435659E-26</v>
      </c>
      <c r="O1820">
        <v>2.578988641871689E-26</v>
      </c>
      <c r="P1820">
        <v>2.647931716790396E-2</v>
      </c>
      <c r="Q1820">
        <v>0.6861716449900469</v>
      </c>
      <c r="R1820">
        <v>-11.913330450921331</v>
      </c>
      <c r="S1820">
        <v>0.51647880355775633</v>
      </c>
      <c r="T1820">
        <v>0.42657939471318718</v>
      </c>
      <c r="U1820">
        <v>4.2555146084885838</v>
      </c>
      <c r="V1820">
        <v>0.12414549193133841</v>
      </c>
      <c r="W1820">
        <v>-8.9933169917355382</v>
      </c>
      <c r="X1820">
        <v>0.52349233905083337</v>
      </c>
      <c r="Z1820" t="s">
        <v>392</v>
      </c>
      <c r="AA1820">
        <v>140</v>
      </c>
      <c r="AB1820" t="s">
        <v>2211</v>
      </c>
      <c r="AC1820" t="str">
        <f>HYPERLINK("plots/20251231112652_3FT6Y119H04_05543_B21P_N_UFLEX98_M5358A8BA201511/dpll_52094/txpa_54162.png","plot")</f>
        <v>plot</v>
      </c>
    </row>
    <row r="1821" spans="1:29" hidden="1" x14ac:dyDescent="0.35">
      <c r="A1821" t="s">
        <v>47</v>
      </c>
      <c r="B1821">
        <v>52094</v>
      </c>
      <c r="C1821" t="s">
        <v>53</v>
      </c>
      <c r="D1821">
        <v>54163</v>
      </c>
      <c r="E1821" t="s">
        <v>183</v>
      </c>
      <c r="F1821">
        <v>7139</v>
      </c>
      <c r="G1821">
        <v>0.14416583130824259</v>
      </c>
      <c r="H1821">
        <v>1.835492308085099E-34</v>
      </c>
      <c r="I1821">
        <v>1.9884500004255241E-34</v>
      </c>
      <c r="J1821">
        <v>0.10752943681473651</v>
      </c>
      <c r="K1821">
        <v>8.2173153040872194E-20</v>
      </c>
      <c r="L1821">
        <v>8.3995541515568954E-20</v>
      </c>
      <c r="M1821">
        <v>7.1207576705538997E-2</v>
      </c>
      <c r="N1821">
        <v>1.841167459174782E-19</v>
      </c>
      <c r="O1821">
        <v>1.881999802019384E-19</v>
      </c>
      <c r="P1821">
        <v>2.0783786916796679E-2</v>
      </c>
      <c r="Q1821">
        <v>0.62986583177991851</v>
      </c>
      <c r="R1821">
        <v>-5.6091362137884966</v>
      </c>
      <c r="S1821">
        <v>0.53669251896972003</v>
      </c>
      <c r="T1821">
        <v>0.44681327905557128</v>
      </c>
      <c r="U1821">
        <v>4.2555146084885838</v>
      </c>
      <c r="V1821">
        <v>0.12414549193133841</v>
      </c>
      <c r="W1821">
        <v>-2.9287329652612408</v>
      </c>
      <c r="X1821">
        <v>0.54239623097563205</v>
      </c>
      <c r="Z1821" t="s">
        <v>392</v>
      </c>
      <c r="AA1821">
        <v>140</v>
      </c>
      <c r="AB1821" t="s">
        <v>2212</v>
      </c>
      <c r="AC1821" t="str">
        <f>HYPERLINK("plots/20251231112652_3FT6Y119H04_05543_B21P_N_UFLEX98_M5358A8BA201511/dpll_52094/txpa_54163.png","plot")</f>
        <v>plot</v>
      </c>
    </row>
    <row r="1822" spans="1:29" hidden="1" x14ac:dyDescent="0.35">
      <c r="A1822" t="s">
        <v>47</v>
      </c>
      <c r="B1822">
        <v>52094</v>
      </c>
      <c r="C1822" t="s">
        <v>53</v>
      </c>
      <c r="D1822">
        <v>54164</v>
      </c>
      <c r="E1822" t="s">
        <v>184</v>
      </c>
      <c r="F1822">
        <v>7139</v>
      </c>
      <c r="G1822">
        <v>0.25623552824880508</v>
      </c>
      <c r="H1822">
        <v>2.0802446241197599E-107</v>
      </c>
      <c r="I1822">
        <v>3.5097638084150371E-107</v>
      </c>
      <c r="J1822">
        <v>0.23488389355510239</v>
      </c>
      <c r="K1822">
        <v>4.4888794220394253E-90</v>
      </c>
      <c r="L1822">
        <v>7.7278840983836627E-90</v>
      </c>
      <c r="M1822">
        <v>0.15580191055165729</v>
      </c>
      <c r="N1822">
        <v>9.6446598350237711E-87</v>
      </c>
      <c r="O1822">
        <v>1.6245324041053329E-86</v>
      </c>
      <c r="P1822">
        <v>6.5656645936944216E-2</v>
      </c>
      <c r="Q1822">
        <v>0.69058325350478655</v>
      </c>
      <c r="R1822">
        <v>-5.3273341477602054</v>
      </c>
      <c r="S1822">
        <v>0.32339290012958832</v>
      </c>
      <c r="T1822">
        <v>0.25373704283852999</v>
      </c>
      <c r="U1822">
        <v>4.2555146084885838</v>
      </c>
      <c r="V1822">
        <v>0.12414549193133841</v>
      </c>
      <c r="W1822">
        <v>-2.3885470240930111</v>
      </c>
      <c r="X1822">
        <v>0.33458591129739501</v>
      </c>
      <c r="Z1822" t="s">
        <v>392</v>
      </c>
      <c r="AA1822">
        <v>140</v>
      </c>
      <c r="AB1822" t="s">
        <v>2213</v>
      </c>
      <c r="AC1822" t="str">
        <f>HYPERLINK("plots/20251231112652_3FT6Y119H04_05543_B21P_N_UFLEX98_M5358A8BA201511/dpll_52094/txpa_54164.png","plot")</f>
        <v>plot</v>
      </c>
    </row>
    <row r="1823" spans="1:29" hidden="1" x14ac:dyDescent="0.35">
      <c r="A1823" t="s">
        <v>47</v>
      </c>
      <c r="B1823">
        <v>52094</v>
      </c>
      <c r="C1823" t="s">
        <v>53</v>
      </c>
      <c r="D1823">
        <v>54165</v>
      </c>
      <c r="E1823" t="s">
        <v>185</v>
      </c>
      <c r="F1823">
        <v>7139</v>
      </c>
      <c r="G1823">
        <v>0.19796365912598249</v>
      </c>
      <c r="H1823">
        <v>5.2444710195373191E-64</v>
      </c>
      <c r="I1823">
        <v>6.5170264875132859E-64</v>
      </c>
      <c r="J1823">
        <v>0.17050027697794659</v>
      </c>
      <c r="K1823">
        <v>1.04948639409868E-47</v>
      </c>
      <c r="L1823">
        <v>1.2729416311196901E-47</v>
      </c>
      <c r="M1823">
        <v>0.1137221782855475</v>
      </c>
      <c r="N1823">
        <v>4.53544700235419E-47</v>
      </c>
      <c r="O1823">
        <v>5.5011283018985032E-47</v>
      </c>
      <c r="P1823">
        <v>3.9189610334548201E-2</v>
      </c>
      <c r="Q1823">
        <v>0.61574613504882791</v>
      </c>
      <c r="R1823">
        <v>-4.6659267563757911</v>
      </c>
      <c r="S1823">
        <v>0.37847360923008733</v>
      </c>
      <c r="T1823">
        <v>0.30677298579020351</v>
      </c>
      <c r="U1823">
        <v>4.2555146084885838</v>
      </c>
      <c r="V1823">
        <v>0.12414549193133841</v>
      </c>
      <c r="W1823">
        <v>-2.0456100835551201</v>
      </c>
      <c r="X1823">
        <v>0.38614211910383978</v>
      </c>
      <c r="Z1823" t="s">
        <v>392</v>
      </c>
      <c r="AA1823">
        <v>140</v>
      </c>
      <c r="AB1823" t="s">
        <v>2214</v>
      </c>
      <c r="AC1823" t="str">
        <f>HYPERLINK("plots/20251231112652_3FT6Y119H04_05543_B21P_N_UFLEX98_M5358A8BA201511/dpll_52094/txpa_54165.png","plot")</f>
        <v>plot</v>
      </c>
    </row>
    <row r="1824" spans="1:29" hidden="1" x14ac:dyDescent="0.35">
      <c r="A1824" t="s">
        <v>47</v>
      </c>
      <c r="B1824">
        <v>52094</v>
      </c>
      <c r="C1824" t="s">
        <v>53</v>
      </c>
      <c r="D1824">
        <v>54166</v>
      </c>
      <c r="E1824" t="s">
        <v>186</v>
      </c>
      <c r="F1824">
        <v>7139</v>
      </c>
      <c r="G1824">
        <v>0.28642002409156969</v>
      </c>
      <c r="H1824">
        <v>7.2458651811121546E-135</v>
      </c>
      <c r="I1824">
        <v>1.5500648298834859E-134</v>
      </c>
      <c r="J1824">
        <v>0.25654696533422522</v>
      </c>
      <c r="K1824">
        <v>1.128952229592082E-107</v>
      </c>
      <c r="L1824">
        <v>2.2358546109499431E-107</v>
      </c>
      <c r="M1824">
        <v>0.1715301136211676</v>
      </c>
      <c r="N1824">
        <v>9.9021101102558989E-105</v>
      </c>
      <c r="O1824">
        <v>1.9572591913839141E-104</v>
      </c>
      <c r="P1824">
        <v>8.2036430200615393E-2</v>
      </c>
      <c r="Q1824">
        <v>0.73463203100668928</v>
      </c>
      <c r="R1824">
        <v>-5.5188428117274384</v>
      </c>
      <c r="S1824">
        <v>0.30505611917346331</v>
      </c>
      <c r="T1824">
        <v>0.24316995734923821</v>
      </c>
      <c r="U1824">
        <v>4.2555146084885838</v>
      </c>
      <c r="V1824">
        <v>0.12414549193133841</v>
      </c>
      <c r="W1824">
        <v>-2.392605471914834</v>
      </c>
      <c r="X1824">
        <v>0.31841787307680081</v>
      </c>
      <c r="Z1824" t="s">
        <v>392</v>
      </c>
      <c r="AA1824">
        <v>140</v>
      </c>
      <c r="AB1824" t="s">
        <v>2215</v>
      </c>
      <c r="AC1824" t="str">
        <f>HYPERLINK("plots/20251231112652_3FT6Y119H04_05543_B21P_N_UFLEX98_M5358A8BA201511/dpll_52094/txpa_54166.png","plot")</f>
        <v>plot</v>
      </c>
    </row>
    <row r="1825" spans="1:29" hidden="1" x14ac:dyDescent="0.35">
      <c r="A1825" t="s">
        <v>47</v>
      </c>
      <c r="B1825">
        <v>52094</v>
      </c>
      <c r="C1825" t="s">
        <v>53</v>
      </c>
      <c r="D1825">
        <v>54167</v>
      </c>
      <c r="E1825" t="s">
        <v>187</v>
      </c>
      <c r="F1825">
        <v>7139</v>
      </c>
      <c r="G1825">
        <v>0.2212893332339621</v>
      </c>
      <c r="H1825">
        <v>6.5580684973878923E-80</v>
      </c>
      <c r="I1825">
        <v>8.9380127101496275E-80</v>
      </c>
      <c r="J1825">
        <v>0.1807212590857048</v>
      </c>
      <c r="K1825">
        <v>1.8000327204469899E-53</v>
      </c>
      <c r="L1825">
        <v>2.273017656952986E-53</v>
      </c>
      <c r="M1825">
        <v>0.1200270355381584</v>
      </c>
      <c r="N1825">
        <v>3.133852341652854E-52</v>
      </c>
      <c r="O1825">
        <v>3.9474860551999923E-52</v>
      </c>
      <c r="P1825">
        <v>4.896896900313151E-2</v>
      </c>
      <c r="Q1825">
        <v>0.62665818501223902</v>
      </c>
      <c r="R1825">
        <v>-4.813107727804681</v>
      </c>
      <c r="S1825">
        <v>0.34282155042793311</v>
      </c>
      <c r="T1825">
        <v>0.27800606341260747</v>
      </c>
      <c r="U1825">
        <v>4.2555146084885838</v>
      </c>
      <c r="V1825">
        <v>0.12414549193133841</v>
      </c>
      <c r="W1825">
        <v>-2.1463546669561562</v>
      </c>
      <c r="X1825">
        <v>0.35156140386076379</v>
      </c>
      <c r="Z1825" t="s">
        <v>392</v>
      </c>
      <c r="AA1825">
        <v>140</v>
      </c>
      <c r="AB1825" t="s">
        <v>2216</v>
      </c>
      <c r="AC1825" t="str">
        <f>HYPERLINK("plots/20251231112652_3FT6Y119H04_05543_B21P_N_UFLEX98_M5358A8BA201511/dpll_52094/txpa_54167.png","plot")</f>
        <v>plot</v>
      </c>
    </row>
    <row r="1826" spans="1:29" hidden="1" x14ac:dyDescent="0.35">
      <c r="A1826" t="s">
        <v>47</v>
      </c>
      <c r="B1826">
        <v>52094</v>
      </c>
      <c r="C1826" t="s">
        <v>53</v>
      </c>
      <c r="D1826">
        <v>54168</v>
      </c>
      <c r="E1826" t="s">
        <v>188</v>
      </c>
      <c r="F1826">
        <v>7139</v>
      </c>
      <c r="G1826">
        <v>0.29374680107628132</v>
      </c>
      <c r="H1826">
        <v>4.5292553416806068E-142</v>
      </c>
      <c r="I1826">
        <v>1.0485536338959209E-141</v>
      </c>
      <c r="J1826">
        <v>0.25369695471467502</v>
      </c>
      <c r="K1826">
        <v>2.9383367652611291E-105</v>
      </c>
      <c r="L1826">
        <v>5.6860180915549329E-105</v>
      </c>
      <c r="M1826">
        <v>0.1688024628471031</v>
      </c>
      <c r="N1826">
        <v>1.7348121521656952E-101</v>
      </c>
      <c r="O1826">
        <v>3.3442956697642867E-101</v>
      </c>
      <c r="P1826">
        <v>8.6287183142548393E-2</v>
      </c>
      <c r="Q1826">
        <v>0.67430060487466348</v>
      </c>
      <c r="R1826">
        <v>-5.1209503577897646</v>
      </c>
      <c r="S1826">
        <v>0.27238663620273551</v>
      </c>
      <c r="T1826">
        <v>0.21687454673297141</v>
      </c>
      <c r="U1826">
        <v>4.2555146084885838</v>
      </c>
      <c r="V1826">
        <v>0.12414549193133841</v>
      </c>
      <c r="W1826">
        <v>-2.2514542832329458</v>
      </c>
      <c r="X1826">
        <v>0.28497801506279419</v>
      </c>
      <c r="Z1826" t="s">
        <v>392</v>
      </c>
      <c r="AA1826">
        <v>140</v>
      </c>
      <c r="AB1826" t="s">
        <v>2217</v>
      </c>
      <c r="AC1826" t="str">
        <f>HYPERLINK("plots/20251231112652_3FT6Y119H04_05543_B21P_N_UFLEX98_M5358A8BA201511/dpll_52094/txpa_54168.png","plot")</f>
        <v>plot</v>
      </c>
    </row>
    <row r="1827" spans="1:29" hidden="1" x14ac:dyDescent="0.35">
      <c r="A1827" t="s">
        <v>47</v>
      </c>
      <c r="B1827">
        <v>52094</v>
      </c>
      <c r="C1827" t="s">
        <v>53</v>
      </c>
      <c r="D1827">
        <v>54169</v>
      </c>
      <c r="E1827" t="s">
        <v>189</v>
      </c>
      <c r="F1827">
        <v>7139</v>
      </c>
      <c r="G1827">
        <v>0.21287974983768451</v>
      </c>
      <c r="H1827">
        <v>5.9155883590032154E-74</v>
      </c>
      <c r="I1827">
        <v>7.7498793230352211E-74</v>
      </c>
      <c r="J1827">
        <v>0.18407901222408199</v>
      </c>
      <c r="K1827">
        <v>1.9216519914563391E-55</v>
      </c>
      <c r="L1827">
        <v>2.4571943497310559E-55</v>
      </c>
      <c r="M1827">
        <v>0.1225559094822187</v>
      </c>
      <c r="N1827">
        <v>2.2324601593945991E-54</v>
      </c>
      <c r="O1827">
        <v>2.8474397504731109E-54</v>
      </c>
      <c r="P1827">
        <v>4.5317787890955107E-2</v>
      </c>
      <c r="Q1827">
        <v>0.56696124859403241</v>
      </c>
      <c r="R1827">
        <v>-4.6343332777158466</v>
      </c>
      <c r="S1827">
        <v>0.32303455027322198</v>
      </c>
      <c r="T1827">
        <v>0.25544231455246558</v>
      </c>
      <c r="U1827">
        <v>4.2555146084885838</v>
      </c>
      <c r="V1827">
        <v>0.12414549193133841</v>
      </c>
      <c r="W1827">
        <v>-2.2216214018770142</v>
      </c>
      <c r="X1827">
        <v>0.33063587854823828</v>
      </c>
      <c r="Z1827" t="s">
        <v>392</v>
      </c>
      <c r="AA1827">
        <v>140</v>
      </c>
      <c r="AB1827" t="s">
        <v>2218</v>
      </c>
      <c r="AC1827" t="str">
        <f>HYPERLINK("plots/20251231112652_3FT6Y119H04_05543_B21P_N_UFLEX98_M5358A8BA201511/dpll_52094/txpa_54169.png","plot")</f>
        <v>plot</v>
      </c>
    </row>
    <row r="1828" spans="1:29" hidden="1" x14ac:dyDescent="0.35">
      <c r="A1828" t="s">
        <v>47</v>
      </c>
      <c r="B1828">
        <v>52094</v>
      </c>
      <c r="C1828" t="s">
        <v>53</v>
      </c>
      <c r="D1828">
        <v>54170</v>
      </c>
      <c r="E1828" t="s">
        <v>190</v>
      </c>
      <c r="F1828">
        <v>7139</v>
      </c>
      <c r="G1828">
        <v>0.16172706976133691</v>
      </c>
      <c r="H1828">
        <v>4.8877753573524153E-43</v>
      </c>
      <c r="I1828">
        <v>5.5130191461127349E-43</v>
      </c>
      <c r="J1828">
        <v>0.12696893716591889</v>
      </c>
      <c r="K1828">
        <v>4.7872114620981951E-27</v>
      </c>
      <c r="L1828">
        <v>5.1476483802413252E-27</v>
      </c>
      <c r="M1828">
        <v>8.433511717959738E-2</v>
      </c>
      <c r="N1828">
        <v>1.1882411297949931E-26</v>
      </c>
      <c r="O1828">
        <v>1.279062107868496E-26</v>
      </c>
      <c r="P1828">
        <v>2.6155645093588319E-2</v>
      </c>
      <c r="Q1828">
        <v>0.67571737513828289</v>
      </c>
      <c r="R1828">
        <v>-5.9411744876268422</v>
      </c>
      <c r="S1828">
        <v>0.51183228741196285</v>
      </c>
      <c r="T1828">
        <v>0.42635398528787333</v>
      </c>
      <c r="U1828">
        <v>4.2555146084885838</v>
      </c>
      <c r="V1828">
        <v>0.12414549193133841</v>
      </c>
      <c r="W1828">
        <v>-3.0656493265163189</v>
      </c>
      <c r="X1828">
        <v>0.51869650558121527</v>
      </c>
      <c r="Z1828" t="s">
        <v>392</v>
      </c>
      <c r="AA1828">
        <v>140</v>
      </c>
      <c r="AB1828" t="s">
        <v>2219</v>
      </c>
      <c r="AC1828" t="str">
        <f>HYPERLINK("plots/20251231112652_3FT6Y119H04_05543_B21P_N_UFLEX98_M5358A8BA201511/dpll_52094/txpa_54170.png","plot")</f>
        <v>plot</v>
      </c>
    </row>
    <row r="1829" spans="1:29" hidden="1" x14ac:dyDescent="0.35">
      <c r="A1829" t="s">
        <v>47</v>
      </c>
      <c r="B1829">
        <v>52094</v>
      </c>
      <c r="C1829" t="s">
        <v>53</v>
      </c>
      <c r="D1829">
        <v>54171</v>
      </c>
      <c r="E1829" t="s">
        <v>191</v>
      </c>
      <c r="F1829">
        <v>7139</v>
      </c>
      <c r="G1829">
        <v>0.1494984983932931</v>
      </c>
      <c r="H1829">
        <v>5.8573805129468737E-37</v>
      </c>
      <c r="I1829">
        <v>6.4558520001392717E-37</v>
      </c>
      <c r="J1829">
        <v>0.1128785204903357</v>
      </c>
      <c r="K1829">
        <v>1.107821143046518E-21</v>
      </c>
      <c r="L1829">
        <v>1.15807282376203E-21</v>
      </c>
      <c r="M1829">
        <v>7.4780207329717616E-2</v>
      </c>
      <c r="N1829">
        <v>2.666038841029217E-21</v>
      </c>
      <c r="O1829">
        <v>2.784102353041839E-21</v>
      </c>
      <c r="P1829">
        <v>2.2349801021849459E-2</v>
      </c>
      <c r="Q1829">
        <v>0.63044308816365013</v>
      </c>
      <c r="R1829">
        <v>-2.627575999844955</v>
      </c>
      <c r="S1829">
        <v>0.51760842696218823</v>
      </c>
      <c r="T1829">
        <v>0.43189848037223788</v>
      </c>
      <c r="U1829">
        <v>4.2555146084885838</v>
      </c>
      <c r="V1829">
        <v>0.12414549193133841</v>
      </c>
      <c r="W1829">
        <v>5.5283771656114297E-2</v>
      </c>
      <c r="X1829">
        <v>0.52352811670983157</v>
      </c>
      <c r="Z1829" t="s">
        <v>392</v>
      </c>
      <c r="AA1829">
        <v>140</v>
      </c>
      <c r="AB1829" t="s">
        <v>2220</v>
      </c>
      <c r="AC1829" t="str">
        <f>HYPERLINK("plots/20251231112652_3FT6Y119H04_05543_B21P_N_UFLEX98_M5358A8BA201511/dpll_52094/txpa_54171.png","plot")</f>
        <v>plot</v>
      </c>
    </row>
    <row r="1830" spans="1:29" hidden="1" x14ac:dyDescent="0.35">
      <c r="A1830" t="s">
        <v>47</v>
      </c>
      <c r="B1830">
        <v>52094</v>
      </c>
      <c r="C1830" t="s">
        <v>53</v>
      </c>
      <c r="D1830">
        <v>54172</v>
      </c>
      <c r="E1830" t="s">
        <v>192</v>
      </c>
      <c r="F1830">
        <v>7139</v>
      </c>
      <c r="G1830">
        <v>0.27121589436361798</v>
      </c>
      <c r="H1830">
        <v>1.354751386823126E-120</v>
      </c>
      <c r="I1830">
        <v>2.5725054423944749E-120</v>
      </c>
      <c r="J1830">
        <v>0.25155665654235948</v>
      </c>
      <c r="K1830">
        <v>1.827840692629225E-103</v>
      </c>
      <c r="L1830">
        <v>3.5102849665265788E-103</v>
      </c>
      <c r="M1830">
        <v>0.16728691864170231</v>
      </c>
      <c r="N1830">
        <v>1.038236475591124E-99</v>
      </c>
      <c r="O1830">
        <v>1.9714827457853932E-99</v>
      </c>
      <c r="P1830">
        <v>7.3558061355457185E-2</v>
      </c>
      <c r="Q1830">
        <v>0.69829951176833538</v>
      </c>
      <c r="R1830">
        <v>-2.406312659090494</v>
      </c>
      <c r="S1830">
        <v>0.30763535048506069</v>
      </c>
      <c r="T1830">
        <v>0.24129055137242431</v>
      </c>
      <c r="U1830">
        <v>4.2555146084885838</v>
      </c>
      <c r="V1830">
        <v>0.12414549193133841</v>
      </c>
      <c r="W1830">
        <v>0.56531111434010362</v>
      </c>
      <c r="X1830">
        <v>0.31963737452520952</v>
      </c>
      <c r="Z1830" t="s">
        <v>392</v>
      </c>
      <c r="AA1830">
        <v>140</v>
      </c>
      <c r="AB1830" t="s">
        <v>2221</v>
      </c>
      <c r="AC1830" t="str">
        <f>HYPERLINK("plots/20251231112652_3FT6Y119H04_05543_B21P_N_UFLEX98_M5358A8BA201511/dpll_52094/txpa_54172.png","plot")</f>
        <v>plot</v>
      </c>
    </row>
    <row r="1831" spans="1:29" hidden="1" x14ac:dyDescent="0.35">
      <c r="A1831" t="s">
        <v>47</v>
      </c>
      <c r="B1831">
        <v>52094</v>
      </c>
      <c r="C1831" t="s">
        <v>53</v>
      </c>
      <c r="D1831">
        <v>54173</v>
      </c>
      <c r="E1831" t="s">
        <v>193</v>
      </c>
      <c r="F1831">
        <v>7139</v>
      </c>
      <c r="G1831">
        <v>0.2106034335074975</v>
      </c>
      <c r="H1831">
        <v>2.1914153373891719E-72</v>
      </c>
      <c r="I1831">
        <v>2.8415539029573151E-72</v>
      </c>
      <c r="J1831">
        <v>0.1835054588012974</v>
      </c>
      <c r="K1831">
        <v>4.199340215697782E-55</v>
      </c>
      <c r="L1831">
        <v>5.3426988440621707E-55</v>
      </c>
      <c r="M1831">
        <v>0.1225784944634199</v>
      </c>
      <c r="N1831">
        <v>2.1283288593112179E-54</v>
      </c>
      <c r="O1831">
        <v>2.7180421452664668E-54</v>
      </c>
      <c r="P1831">
        <v>4.4353806205146909E-2</v>
      </c>
      <c r="Q1831">
        <v>0.62477086795995684</v>
      </c>
      <c r="R1831">
        <v>-1.7798953765465599</v>
      </c>
      <c r="S1831">
        <v>0.36000159537306681</v>
      </c>
      <c r="T1831">
        <v>0.29171087319099298</v>
      </c>
      <c r="U1831">
        <v>4.2555146084885838</v>
      </c>
      <c r="V1831">
        <v>0.12414549193133841</v>
      </c>
      <c r="W1831">
        <v>0.87882617901512805</v>
      </c>
      <c r="X1831">
        <v>0.36828690518237378</v>
      </c>
      <c r="Z1831" t="s">
        <v>392</v>
      </c>
      <c r="AA1831">
        <v>140</v>
      </c>
      <c r="AB1831" t="s">
        <v>2222</v>
      </c>
      <c r="AC1831" t="str">
        <f>HYPERLINK("plots/20251231112652_3FT6Y119H04_05543_B21P_N_UFLEX98_M5358A8BA201511/dpll_52094/txpa_54173.png","plot")</f>
        <v>plot</v>
      </c>
    </row>
    <row r="1832" spans="1:29" hidden="1" x14ac:dyDescent="0.35">
      <c r="A1832" t="s">
        <v>47</v>
      </c>
      <c r="B1832">
        <v>52094</v>
      </c>
      <c r="C1832" t="s">
        <v>53</v>
      </c>
      <c r="D1832">
        <v>54174</v>
      </c>
      <c r="E1832" t="s">
        <v>194</v>
      </c>
      <c r="F1832">
        <v>7139</v>
      </c>
      <c r="G1832">
        <v>0.300656196247574</v>
      </c>
      <c r="H1832">
        <v>4.6162964834646381E-149</v>
      </c>
      <c r="I1832">
        <v>1.152937102027868E-148</v>
      </c>
      <c r="J1832">
        <v>0.27270358742574341</v>
      </c>
      <c r="K1832">
        <v>5.9603529630905338E-122</v>
      </c>
      <c r="L1832">
        <v>1.3167315696239221E-121</v>
      </c>
      <c r="M1832">
        <v>0.1826734812862939</v>
      </c>
      <c r="N1832">
        <v>1.609733299101566E-118</v>
      </c>
      <c r="O1832">
        <v>3.556142843766858E-118</v>
      </c>
      <c r="P1832">
        <v>9.0394148342059735E-2</v>
      </c>
      <c r="Q1832">
        <v>0.7358694735154141</v>
      </c>
      <c r="R1832">
        <v>-2.5681658424845271</v>
      </c>
      <c r="S1832">
        <v>0.28977291250036752</v>
      </c>
      <c r="T1832">
        <v>0.2307915819203584</v>
      </c>
      <c r="U1832">
        <v>4.2555146084885838</v>
      </c>
      <c r="V1832">
        <v>0.12414549193133841</v>
      </c>
      <c r="W1832">
        <v>0.56333745200112062</v>
      </c>
      <c r="X1832">
        <v>0.30385163827323969</v>
      </c>
      <c r="Z1832" t="s">
        <v>392</v>
      </c>
      <c r="AA1832">
        <v>140</v>
      </c>
      <c r="AB1832" t="s">
        <v>2223</v>
      </c>
      <c r="AC1832" t="str">
        <f>HYPERLINK("plots/20251231112652_3FT6Y119H04_05543_B21P_N_UFLEX98_M5358A8BA201511/dpll_52094/txpa_54174.png","plot")</f>
        <v>plot</v>
      </c>
    </row>
    <row r="1833" spans="1:29" hidden="1" x14ac:dyDescent="0.35">
      <c r="A1833" t="s">
        <v>47</v>
      </c>
      <c r="B1833">
        <v>52094</v>
      </c>
      <c r="C1833" t="s">
        <v>53</v>
      </c>
      <c r="D1833">
        <v>54175</v>
      </c>
      <c r="E1833" t="s">
        <v>195</v>
      </c>
      <c r="F1833">
        <v>7139</v>
      </c>
      <c r="G1833">
        <v>0.23390875289360799</v>
      </c>
      <c r="H1833">
        <v>2.5327209685784299E-89</v>
      </c>
      <c r="I1833">
        <v>3.7274006707380663E-89</v>
      </c>
      <c r="J1833">
        <v>0.19448653243248529</v>
      </c>
      <c r="K1833">
        <v>8.4502368684086659E-62</v>
      </c>
      <c r="L1833">
        <v>1.1334047863183049E-61</v>
      </c>
      <c r="M1833">
        <v>0.12939441978156149</v>
      </c>
      <c r="N1833">
        <v>2.0784885792001319E-60</v>
      </c>
      <c r="O1833">
        <v>2.7767950188523498E-60</v>
      </c>
      <c r="P1833">
        <v>5.4713304680242963E-2</v>
      </c>
      <c r="Q1833">
        <v>0.63244595891738609</v>
      </c>
      <c r="R1833">
        <v>-1.9011135975804241</v>
      </c>
      <c r="S1833">
        <v>0.32633169423988978</v>
      </c>
      <c r="T1833">
        <v>0.26455897310924642</v>
      </c>
      <c r="U1833">
        <v>4.2555146084885838</v>
      </c>
      <c r="V1833">
        <v>0.12414549193133841</v>
      </c>
      <c r="W1833">
        <v>0.79026941967208297</v>
      </c>
      <c r="X1833">
        <v>0.33566642427228088</v>
      </c>
      <c r="Z1833" t="s">
        <v>392</v>
      </c>
      <c r="AA1833">
        <v>140</v>
      </c>
      <c r="AB1833" t="s">
        <v>2224</v>
      </c>
      <c r="AC1833" t="str">
        <f>HYPERLINK("plots/20251231112652_3FT6Y119H04_05543_B21P_N_UFLEX98_M5358A8BA201511/dpll_52094/txpa_54175.png","plot")</f>
        <v>plot</v>
      </c>
    </row>
    <row r="1834" spans="1:29" hidden="1" x14ac:dyDescent="0.35">
      <c r="A1834" t="s">
        <v>47</v>
      </c>
      <c r="B1834">
        <v>52094</v>
      </c>
      <c r="C1834" t="s">
        <v>53</v>
      </c>
      <c r="D1834">
        <v>54176</v>
      </c>
      <c r="E1834" t="s">
        <v>196</v>
      </c>
      <c r="F1834">
        <v>7139</v>
      </c>
      <c r="G1834">
        <v>0.31056700719232888</v>
      </c>
      <c r="H1834">
        <v>1.9707612001903741E-159</v>
      </c>
      <c r="I1834">
        <v>5.4303039592202166E-159</v>
      </c>
      <c r="J1834">
        <v>0.27265124089223008</v>
      </c>
      <c r="K1834">
        <v>6.6550459002751529E-122</v>
      </c>
      <c r="L1834">
        <v>1.467003596278045E-121</v>
      </c>
      <c r="M1834">
        <v>0.1818646204151925</v>
      </c>
      <c r="N1834">
        <v>1.7262747016910141E-117</v>
      </c>
      <c r="O1834">
        <v>3.7402618536638653E-117</v>
      </c>
      <c r="P1834">
        <v>9.6451865956400096E-2</v>
      </c>
      <c r="Q1834">
        <v>0.68002968571324007</v>
      </c>
      <c r="R1834">
        <v>-2.2036548551026192</v>
      </c>
      <c r="S1834">
        <v>0.25837395665404311</v>
      </c>
      <c r="T1834">
        <v>0.20557956085755</v>
      </c>
      <c r="U1834">
        <v>4.2555146084885838</v>
      </c>
      <c r="V1834">
        <v>0.12414549193133841</v>
      </c>
      <c r="W1834">
        <v>0.69022140665597431</v>
      </c>
      <c r="X1834">
        <v>0.27183383265338967</v>
      </c>
      <c r="Z1834" t="s">
        <v>392</v>
      </c>
      <c r="AA1834">
        <v>140</v>
      </c>
      <c r="AB1834" t="s">
        <v>2225</v>
      </c>
      <c r="AC1834" t="str">
        <f>HYPERLINK("plots/20251231112652_3FT6Y119H04_05543_B21P_N_UFLEX98_M5358A8BA201511/dpll_52094/txpa_54176.png","plot")</f>
        <v>plot</v>
      </c>
    </row>
    <row r="1835" spans="1:29" hidden="1" x14ac:dyDescent="0.35">
      <c r="A1835" t="s">
        <v>47</v>
      </c>
      <c r="B1835">
        <v>52094</v>
      </c>
      <c r="C1835" t="s">
        <v>53</v>
      </c>
      <c r="D1835">
        <v>54177</v>
      </c>
      <c r="E1835" t="s">
        <v>197</v>
      </c>
      <c r="F1835">
        <v>7139</v>
      </c>
      <c r="G1835">
        <v>0.22603864331656789</v>
      </c>
      <c r="H1835">
        <v>2.1963088017240142E-83</v>
      </c>
      <c r="I1835">
        <v>3.0718029309629661E-83</v>
      </c>
      <c r="J1835">
        <v>0.1982212491096132</v>
      </c>
      <c r="K1835">
        <v>3.5852631393476198E-64</v>
      </c>
      <c r="L1835">
        <v>4.8929432345874663E-64</v>
      </c>
      <c r="M1835">
        <v>0.1321922483018792</v>
      </c>
      <c r="N1835">
        <v>5.7194949857385634E-63</v>
      </c>
      <c r="O1835">
        <v>7.7846549201864467E-63</v>
      </c>
      <c r="P1835">
        <v>5.1093468272394603E-2</v>
      </c>
      <c r="Q1835">
        <v>0.57667506275397584</v>
      </c>
      <c r="R1835">
        <v>-1.7382576670420911</v>
      </c>
      <c r="S1835">
        <v>0.30850395225099297</v>
      </c>
      <c r="T1835">
        <v>0.24396254515959129</v>
      </c>
      <c r="U1835">
        <v>4.2555146084885838</v>
      </c>
      <c r="V1835">
        <v>0.12414549193133841</v>
      </c>
      <c r="W1835">
        <v>0.71579148685852367</v>
      </c>
      <c r="X1835">
        <v>0.31672287667141708</v>
      </c>
      <c r="Z1835" t="s">
        <v>392</v>
      </c>
      <c r="AA1835">
        <v>140</v>
      </c>
      <c r="AB1835" t="s">
        <v>2226</v>
      </c>
      <c r="AC1835" t="str">
        <f>HYPERLINK("plots/20251231112652_3FT6Y119H04_05543_B21P_N_UFLEX98_M5358A8BA201511/dpll_52094/txpa_54177.png","plot")</f>
        <v>plot</v>
      </c>
    </row>
    <row r="1836" spans="1:29" hidden="1" x14ac:dyDescent="0.35">
      <c r="A1836" t="s">
        <v>47</v>
      </c>
      <c r="B1836">
        <v>52094</v>
      </c>
      <c r="C1836" t="s">
        <v>53</v>
      </c>
      <c r="D1836">
        <v>54178</v>
      </c>
      <c r="E1836" t="s">
        <v>198</v>
      </c>
      <c r="F1836">
        <v>7139</v>
      </c>
      <c r="G1836">
        <v>0.16761985157903589</v>
      </c>
      <c r="H1836">
        <v>3.8202787867874901E-46</v>
      </c>
      <c r="I1836">
        <v>4.3721926521473093E-46</v>
      </c>
      <c r="J1836">
        <v>0.13249527056186439</v>
      </c>
      <c r="K1836">
        <v>2.5212154019377939E-29</v>
      </c>
      <c r="L1836">
        <v>2.7371653292986333E-29</v>
      </c>
      <c r="M1836">
        <v>8.808991434739849E-2</v>
      </c>
      <c r="N1836">
        <v>6.2942316050692612E-29</v>
      </c>
      <c r="O1836">
        <v>6.8333520851608468E-29</v>
      </c>
      <c r="P1836">
        <v>2.8096414643378032E-2</v>
      </c>
      <c r="Q1836">
        <v>0.67623431758961494</v>
      </c>
      <c r="R1836">
        <v>-2.9456879184151972</v>
      </c>
      <c r="S1836">
        <v>0.49372359376230052</v>
      </c>
      <c r="T1836">
        <v>0.41257145076912399</v>
      </c>
      <c r="U1836">
        <v>4.2555146084885838</v>
      </c>
      <c r="V1836">
        <v>0.12414549193133841</v>
      </c>
      <c r="W1836">
        <v>-6.7962901151281688E-2</v>
      </c>
      <c r="X1836">
        <v>0.50084426890469447</v>
      </c>
      <c r="Z1836" t="s">
        <v>392</v>
      </c>
      <c r="AA1836">
        <v>140</v>
      </c>
      <c r="AB1836" t="s">
        <v>2227</v>
      </c>
      <c r="AC1836" t="str">
        <f>HYPERLINK("plots/20251231112652_3FT6Y119H04_05543_B21P_N_UFLEX98_M5358A8BA201511/dpll_52094/txpa_54178.png","plot")</f>
        <v>plot</v>
      </c>
    </row>
    <row r="1837" spans="1:29" hidden="1" x14ac:dyDescent="0.35">
      <c r="A1837" t="s">
        <v>47</v>
      </c>
      <c r="B1837">
        <v>52094</v>
      </c>
      <c r="C1837" t="s">
        <v>53</v>
      </c>
      <c r="D1837">
        <v>54179</v>
      </c>
      <c r="E1837" t="s">
        <v>199</v>
      </c>
      <c r="F1837">
        <v>7139</v>
      </c>
      <c r="G1837">
        <v>0.16303398597994961</v>
      </c>
      <c r="H1837">
        <v>1.023425951735234E-43</v>
      </c>
      <c r="I1837">
        <v>1.1620984491148119E-43</v>
      </c>
      <c r="J1837">
        <v>0.12681565637674039</v>
      </c>
      <c r="K1837">
        <v>5.519147147031923E-27</v>
      </c>
      <c r="L1837">
        <v>5.9158723119348513E-27</v>
      </c>
      <c r="M1837">
        <v>8.4198387386855159E-2</v>
      </c>
      <c r="N1837">
        <v>1.430144209950757E-26</v>
      </c>
      <c r="O1837">
        <v>1.5329452736681469E-26</v>
      </c>
      <c r="P1837">
        <v>2.6580080584510411E-2</v>
      </c>
      <c r="Q1837">
        <v>0.63401210522379237</v>
      </c>
      <c r="R1837">
        <v>0.76662981776204076</v>
      </c>
      <c r="S1837">
        <v>0.47628845268683662</v>
      </c>
      <c r="T1837">
        <v>0.39801745524281268</v>
      </c>
      <c r="U1837">
        <v>4.2555146084885838</v>
      </c>
      <c r="V1837">
        <v>0.12414549193133841</v>
      </c>
      <c r="W1837">
        <v>3.4646775935004901</v>
      </c>
      <c r="X1837">
        <v>0.48278120798145202</v>
      </c>
      <c r="Z1837" t="s">
        <v>392</v>
      </c>
      <c r="AA1837">
        <v>140</v>
      </c>
      <c r="AB1837" t="s">
        <v>2228</v>
      </c>
      <c r="AC1837" t="str">
        <f>HYPERLINK("plots/20251231112652_3FT6Y119H04_05543_B21P_N_UFLEX98_M5358A8BA201511/dpll_52094/txpa_54179.png","plot")</f>
        <v>plot</v>
      </c>
    </row>
    <row r="1838" spans="1:29" hidden="1" x14ac:dyDescent="0.35">
      <c r="A1838" t="s">
        <v>47</v>
      </c>
      <c r="B1838">
        <v>52094</v>
      </c>
      <c r="C1838" t="s">
        <v>53</v>
      </c>
      <c r="D1838">
        <v>54180</v>
      </c>
      <c r="E1838" t="s">
        <v>200</v>
      </c>
      <c r="F1838">
        <v>7139</v>
      </c>
      <c r="G1838">
        <v>0.29664536632836452</v>
      </c>
      <c r="H1838">
        <v>5.5779683292126798E-145</v>
      </c>
      <c r="I1838">
        <v>1.3402985511425731E-144</v>
      </c>
      <c r="J1838">
        <v>0.2799210153151076</v>
      </c>
      <c r="K1838">
        <v>1.1791720859448231E-128</v>
      </c>
      <c r="L1838">
        <v>2.813365870936588E-128</v>
      </c>
      <c r="M1838">
        <v>0.18680578716317051</v>
      </c>
      <c r="N1838">
        <v>7.464385111280142E-124</v>
      </c>
      <c r="O1838">
        <v>1.7241199323093539E-123</v>
      </c>
      <c r="P1838">
        <v>8.7998473364089558E-2</v>
      </c>
      <c r="Q1838">
        <v>0.70610256477677524</v>
      </c>
      <c r="R1838">
        <v>0.91850810325786503</v>
      </c>
      <c r="S1838">
        <v>0.28218149969912493</v>
      </c>
      <c r="T1838">
        <v>0.22101859324719589</v>
      </c>
      <c r="U1838">
        <v>4.2555146084885838</v>
      </c>
      <c r="V1838">
        <v>0.12414549193133841</v>
      </c>
      <c r="W1838">
        <v>3.9233378827566892</v>
      </c>
      <c r="X1838">
        <v>0.29550250975826797</v>
      </c>
      <c r="Z1838" t="s">
        <v>392</v>
      </c>
      <c r="AA1838">
        <v>140</v>
      </c>
      <c r="AB1838" t="s">
        <v>2229</v>
      </c>
      <c r="AC1838" t="str">
        <f>HYPERLINK("plots/20251231112652_3FT6Y119H04_05543_B21P_N_UFLEX98_M5358A8BA201511/dpll_52094/txpa_54180.png","plot")</f>
        <v>plot</v>
      </c>
    </row>
    <row r="1839" spans="1:29" hidden="1" x14ac:dyDescent="0.35">
      <c r="A1839" t="s">
        <v>47</v>
      </c>
      <c r="B1839">
        <v>52094</v>
      </c>
      <c r="C1839" t="s">
        <v>53</v>
      </c>
      <c r="D1839">
        <v>54181</v>
      </c>
      <c r="E1839" t="s">
        <v>201</v>
      </c>
      <c r="F1839">
        <v>7139</v>
      </c>
      <c r="G1839">
        <v>0.23328321696138191</v>
      </c>
      <c r="H1839">
        <v>7.6524620536107338E-89</v>
      </c>
      <c r="I1839">
        <v>1.118097481608254E-88</v>
      </c>
      <c r="J1839">
        <v>0.2077715444294885</v>
      </c>
      <c r="K1839">
        <v>1.848263140424455E-70</v>
      </c>
      <c r="L1839">
        <v>2.650832849208483E-70</v>
      </c>
      <c r="M1839">
        <v>0.1392642670782657</v>
      </c>
      <c r="N1839">
        <v>1.1002480025080639E-69</v>
      </c>
      <c r="O1839">
        <v>1.586986450274789E-69</v>
      </c>
      <c r="P1839">
        <v>5.4421059315851179E-2</v>
      </c>
      <c r="Q1839">
        <v>0.63667461242209655</v>
      </c>
      <c r="R1839">
        <v>1.4843136607423311</v>
      </c>
      <c r="S1839">
        <v>0.32944541465181348</v>
      </c>
      <c r="T1839">
        <v>0.26639773670778039</v>
      </c>
      <c r="U1839">
        <v>4.2555146084885838</v>
      </c>
      <c r="V1839">
        <v>0.12414549193133841</v>
      </c>
      <c r="W1839">
        <v>4.1936917747583697</v>
      </c>
      <c r="X1839">
        <v>0.33881684241528559</v>
      </c>
      <c r="Z1839" t="s">
        <v>392</v>
      </c>
      <c r="AA1839">
        <v>140</v>
      </c>
      <c r="AB1839" t="s">
        <v>2230</v>
      </c>
      <c r="AC1839" t="str">
        <f>HYPERLINK("plots/20251231112652_3FT6Y119H04_05543_B21P_N_UFLEX98_M5358A8BA201511/dpll_52094/txpa_54181.png","plot")</f>
        <v>plot</v>
      </c>
    </row>
    <row r="1840" spans="1:29" hidden="1" x14ac:dyDescent="0.35">
      <c r="A1840" t="s">
        <v>47</v>
      </c>
      <c r="B1840">
        <v>52094</v>
      </c>
      <c r="C1840" t="s">
        <v>53</v>
      </c>
      <c r="D1840">
        <v>54182</v>
      </c>
      <c r="E1840" t="s">
        <v>202</v>
      </c>
      <c r="F1840">
        <v>7139</v>
      </c>
      <c r="G1840">
        <v>0.3263619071170798</v>
      </c>
      <c r="H1840">
        <v>8.3350237255183554E-177</v>
      </c>
      <c r="I1840">
        <v>2.87473267267878E-176</v>
      </c>
      <c r="J1840">
        <v>0.30235053769660508</v>
      </c>
      <c r="K1840">
        <v>8.3199043375727057E-151</v>
      </c>
      <c r="L1840">
        <v>2.389910197818335E-150</v>
      </c>
      <c r="M1840">
        <v>0.20325884534100599</v>
      </c>
      <c r="N1840">
        <v>2.9059775953006828E-146</v>
      </c>
      <c r="O1840">
        <v>8.2308974347343359E-146</v>
      </c>
      <c r="P1840">
        <v>0.1065120944170974</v>
      </c>
      <c r="Q1840">
        <v>0.73727957521305787</v>
      </c>
      <c r="R1840">
        <v>0.78599881490216594</v>
      </c>
      <c r="S1840">
        <v>0.26508039814354062</v>
      </c>
      <c r="T1840">
        <v>0.21041619319646271</v>
      </c>
      <c r="U1840">
        <v>4.2555146084885838</v>
      </c>
      <c r="V1840">
        <v>0.12414549193133841</v>
      </c>
      <c r="W1840">
        <v>3.9235028177615909</v>
      </c>
      <c r="X1840">
        <v>0.2804553275358746</v>
      </c>
      <c r="Z1840" t="s">
        <v>392</v>
      </c>
      <c r="AA1840">
        <v>140</v>
      </c>
      <c r="AB1840" t="s">
        <v>2231</v>
      </c>
      <c r="AC1840" t="str">
        <f>HYPERLINK("plots/20251231112652_3FT6Y119H04_05543_B21P_N_UFLEX98_M5358A8BA201511/dpll_52094/txpa_54182.png","plot")</f>
        <v>plot</v>
      </c>
    </row>
    <row r="1841" spans="1:29" hidden="1" x14ac:dyDescent="0.35">
      <c r="A1841" t="s">
        <v>47</v>
      </c>
      <c r="B1841">
        <v>52094</v>
      </c>
      <c r="C1841" t="s">
        <v>53</v>
      </c>
      <c r="D1841">
        <v>54183</v>
      </c>
      <c r="E1841" t="s">
        <v>203</v>
      </c>
      <c r="F1841">
        <v>7139</v>
      </c>
      <c r="G1841">
        <v>0.25911619644151018</v>
      </c>
      <c r="H1841">
        <v>7.0617203150468902E-110</v>
      </c>
      <c r="I1841">
        <v>1.2219427302828579E-109</v>
      </c>
      <c r="J1841">
        <v>0.22124686944040389</v>
      </c>
      <c r="K1841">
        <v>7.03851728969646E-80</v>
      </c>
      <c r="L1841">
        <v>1.0863099743915079E-79</v>
      </c>
      <c r="M1841">
        <v>0.1476224999007503</v>
      </c>
      <c r="N1841">
        <v>4.5399911915352096E-78</v>
      </c>
      <c r="O1841">
        <v>7.0176083356961927E-78</v>
      </c>
      <c r="P1841">
        <v>6.7141203258315324E-2</v>
      </c>
      <c r="Q1841">
        <v>0.64441793193458363</v>
      </c>
      <c r="R1841">
        <v>1.381134168990225</v>
      </c>
      <c r="S1841">
        <v>0.29818208486007902</v>
      </c>
      <c r="T1841">
        <v>0.24110560858428101</v>
      </c>
      <c r="U1841">
        <v>4.2555146084885838</v>
      </c>
      <c r="V1841">
        <v>0.12414549193133841</v>
      </c>
      <c r="W1841">
        <v>4.1234640923098471</v>
      </c>
      <c r="X1841">
        <v>0.30874789869591668</v>
      </c>
      <c r="Z1841" t="s">
        <v>392</v>
      </c>
      <c r="AA1841">
        <v>140</v>
      </c>
      <c r="AB1841" t="s">
        <v>2232</v>
      </c>
      <c r="AC1841" t="str">
        <f>HYPERLINK("plots/20251231112652_3FT6Y119H04_05543_B21P_N_UFLEX98_M5358A8BA201511/dpll_52094/txpa_54183.png","plot")</f>
        <v>plot</v>
      </c>
    </row>
    <row r="1842" spans="1:29" hidden="1" x14ac:dyDescent="0.35">
      <c r="A1842" t="s">
        <v>47</v>
      </c>
      <c r="B1842">
        <v>52094</v>
      </c>
      <c r="C1842" t="s">
        <v>53</v>
      </c>
      <c r="D1842">
        <v>54184</v>
      </c>
      <c r="E1842" t="s">
        <v>204</v>
      </c>
      <c r="F1842">
        <v>7139</v>
      </c>
      <c r="G1842">
        <v>0.34035684833521829</v>
      </c>
      <c r="H1842">
        <v>4.2980814952380752E-193</v>
      </c>
      <c r="I1842">
        <v>1.9456493911479501E-192</v>
      </c>
      <c r="J1842">
        <v>0.30615856404079822</v>
      </c>
      <c r="K1842">
        <v>9.0604605765992636E-155</v>
      </c>
      <c r="L1842">
        <v>2.758951058459956E-154</v>
      </c>
      <c r="M1842">
        <v>0.20525097687482499</v>
      </c>
      <c r="N1842">
        <v>4.1918569661347591E-149</v>
      </c>
      <c r="O1842">
        <v>1.228480625335447E-148</v>
      </c>
      <c r="P1842">
        <v>0.1158427842086828</v>
      </c>
      <c r="Q1842">
        <v>0.68880329451793043</v>
      </c>
      <c r="R1842">
        <v>1.098617785348357</v>
      </c>
      <c r="S1842">
        <v>0.23622507990461999</v>
      </c>
      <c r="T1842">
        <v>0.18745910996327131</v>
      </c>
      <c r="U1842">
        <v>4.2555146084885838</v>
      </c>
      <c r="V1842">
        <v>0.12414549193133841</v>
      </c>
      <c r="W1842">
        <v>4.0298302675444742</v>
      </c>
      <c r="X1842">
        <v>0.25124167255666391</v>
      </c>
      <c r="Z1842" t="s">
        <v>392</v>
      </c>
      <c r="AA1842">
        <v>140</v>
      </c>
      <c r="AB1842" t="s">
        <v>2233</v>
      </c>
      <c r="AC1842" t="str">
        <f>HYPERLINK("plots/20251231112652_3FT6Y119H04_05543_B21P_N_UFLEX98_M5358A8BA201511/dpll_52094/txpa_54184.png","plot")</f>
        <v>plot</v>
      </c>
    </row>
    <row r="1843" spans="1:29" hidden="1" x14ac:dyDescent="0.35">
      <c r="A1843" t="s">
        <v>47</v>
      </c>
      <c r="B1843">
        <v>52094</v>
      </c>
      <c r="C1843" t="s">
        <v>53</v>
      </c>
      <c r="D1843">
        <v>54185</v>
      </c>
      <c r="E1843" t="s">
        <v>205</v>
      </c>
      <c r="F1843">
        <v>7139</v>
      </c>
      <c r="G1843">
        <v>0.25162158364258069</v>
      </c>
      <c r="H1843">
        <v>1.613519537317286E-103</v>
      </c>
      <c r="I1843">
        <v>2.6603395298206961E-103</v>
      </c>
      <c r="J1843">
        <v>0.22514320629788681</v>
      </c>
      <c r="K1843">
        <v>1.0071618190341071E-82</v>
      </c>
      <c r="L1843">
        <v>1.615921019779405E-82</v>
      </c>
      <c r="M1843">
        <v>0.15076333031616851</v>
      </c>
      <c r="N1843">
        <v>2.4049478137290442E-81</v>
      </c>
      <c r="O1843">
        <v>3.8163021645089989E-81</v>
      </c>
      <c r="P1843">
        <v>6.3313421354800253E-2</v>
      </c>
      <c r="Q1843">
        <v>0.59302673349630575</v>
      </c>
      <c r="R1843">
        <v>1.5285327364808181</v>
      </c>
      <c r="S1843">
        <v>0.28315488834678793</v>
      </c>
      <c r="T1843">
        <v>0.22368323726255859</v>
      </c>
      <c r="U1843">
        <v>4.2555146084885838</v>
      </c>
      <c r="V1843">
        <v>0.12414549193133841</v>
      </c>
      <c r="W1843">
        <v>4.0521666640986131</v>
      </c>
      <c r="X1843">
        <v>0.29258855497432368</v>
      </c>
      <c r="Z1843" t="s">
        <v>392</v>
      </c>
      <c r="AA1843">
        <v>140</v>
      </c>
      <c r="AB1843" t="s">
        <v>2234</v>
      </c>
      <c r="AC1843" t="str">
        <f>HYPERLINK("plots/20251231112652_3FT6Y119H04_05543_B21P_N_UFLEX98_M5358A8BA201511/dpll_52094/txpa_54185.png","plot")</f>
        <v>plot</v>
      </c>
    </row>
    <row r="1844" spans="1:29" hidden="1" x14ac:dyDescent="0.35">
      <c r="A1844" t="s">
        <v>47</v>
      </c>
      <c r="B1844">
        <v>52094</v>
      </c>
      <c r="C1844" t="s">
        <v>53</v>
      </c>
      <c r="D1844">
        <v>54186</v>
      </c>
      <c r="E1844" t="s">
        <v>206</v>
      </c>
      <c r="F1844">
        <v>7139</v>
      </c>
      <c r="G1844">
        <v>0.18118349556426849</v>
      </c>
      <c r="H1844">
        <v>9.6860808637342824E-54</v>
      </c>
      <c r="I1844">
        <v>1.1460543752423061E-53</v>
      </c>
      <c r="J1844">
        <v>0.1453426481740227</v>
      </c>
      <c r="K1844">
        <v>5.2596786881981787E-35</v>
      </c>
      <c r="L1844">
        <v>6.012755569146508E-35</v>
      </c>
      <c r="M1844">
        <v>9.6739522599550709E-2</v>
      </c>
      <c r="N1844">
        <v>1.5320520377784529E-34</v>
      </c>
      <c r="O1844">
        <v>1.7494377998956661E-34</v>
      </c>
      <c r="P1844">
        <v>3.2827459064887293E-2</v>
      </c>
      <c r="Q1844">
        <v>0.67430096772362824</v>
      </c>
      <c r="R1844">
        <v>0.48996946748062958</v>
      </c>
      <c r="S1844">
        <v>0.45434699734680062</v>
      </c>
      <c r="T1844">
        <v>0.38056710809011901</v>
      </c>
      <c r="U1844">
        <v>4.2555146084885838</v>
      </c>
      <c r="V1844">
        <v>0.12414549193133841</v>
      </c>
      <c r="W1844">
        <v>3.3594670861465188</v>
      </c>
      <c r="X1844">
        <v>0.46202566678118701</v>
      </c>
      <c r="Z1844" t="s">
        <v>392</v>
      </c>
      <c r="AA1844">
        <v>140</v>
      </c>
      <c r="AB1844" t="s">
        <v>2235</v>
      </c>
      <c r="AC1844" t="str">
        <f>HYPERLINK("plots/20251231112652_3FT6Y119H04_05543_B21P_N_UFLEX98_M5358A8BA201511/dpll_52094/txpa_54186.png","plot")</f>
        <v>plot</v>
      </c>
    </row>
    <row r="1845" spans="1:29" hidden="1" x14ac:dyDescent="0.35">
      <c r="A1845" t="s">
        <v>47</v>
      </c>
      <c r="B1845">
        <v>52094</v>
      </c>
      <c r="C1845" t="s">
        <v>53</v>
      </c>
      <c r="D1845">
        <v>54187</v>
      </c>
      <c r="E1845" t="s">
        <v>207</v>
      </c>
      <c r="F1845">
        <v>7139</v>
      </c>
      <c r="G1845">
        <v>0.174488551584774</v>
      </c>
      <c r="H1845">
        <v>6.5053040412635276E-50</v>
      </c>
      <c r="I1845">
        <v>7.6258708645563197E-50</v>
      </c>
      <c r="J1845">
        <v>0.13787145762051639</v>
      </c>
      <c r="K1845">
        <v>1.2301868532003801E-31</v>
      </c>
      <c r="L1845">
        <v>1.36627543170338E-31</v>
      </c>
      <c r="M1845">
        <v>9.1583717163506412E-2</v>
      </c>
      <c r="N1845">
        <v>3.9223878444160301E-31</v>
      </c>
      <c r="O1845">
        <v>4.3610759585941393E-31</v>
      </c>
      <c r="P1845">
        <v>3.0446254634152341E-2</v>
      </c>
      <c r="Q1845">
        <v>0.63885318435133509</v>
      </c>
      <c r="R1845">
        <v>2.6388491470845601</v>
      </c>
      <c r="S1845">
        <v>0.4475284044233015</v>
      </c>
      <c r="T1845">
        <v>0.37381999804127392</v>
      </c>
      <c r="U1845">
        <v>4.2555146084885838</v>
      </c>
      <c r="V1845">
        <v>0.12414549193133841</v>
      </c>
      <c r="W1845">
        <v>5.3574982057711162</v>
      </c>
      <c r="X1845">
        <v>0.45453264482321037</v>
      </c>
      <c r="Z1845" t="s">
        <v>392</v>
      </c>
      <c r="AA1845">
        <v>140</v>
      </c>
      <c r="AB1845" t="s">
        <v>2236</v>
      </c>
      <c r="AC1845" t="str">
        <f>HYPERLINK("plots/20251231112652_3FT6Y119H04_05543_B21P_N_UFLEX98_M5358A8BA201511/dpll_52094/txpa_54187.png","plot")</f>
        <v>plot</v>
      </c>
    </row>
    <row r="1846" spans="1:29" hidden="1" x14ac:dyDescent="0.35">
      <c r="A1846" t="s">
        <v>47</v>
      </c>
      <c r="B1846">
        <v>52094</v>
      </c>
      <c r="C1846" t="s">
        <v>53</v>
      </c>
      <c r="D1846">
        <v>54188</v>
      </c>
      <c r="E1846" t="s">
        <v>208</v>
      </c>
      <c r="F1846">
        <v>7139</v>
      </c>
      <c r="G1846">
        <v>0.31260804116107749</v>
      </c>
      <c r="H1846">
        <v>1.284224216142029E-161</v>
      </c>
      <c r="I1846">
        <v>3.6785405513220832E-161</v>
      </c>
      <c r="J1846">
        <v>0.29842720522298438</v>
      </c>
      <c r="K1846">
        <v>8.7299000867369087E-147</v>
      </c>
      <c r="L1846">
        <v>2.3924645102570881E-146</v>
      </c>
      <c r="M1846">
        <v>0.19977342236808371</v>
      </c>
      <c r="N1846">
        <v>2.3294664739923211E-141</v>
      </c>
      <c r="O1846">
        <v>6.2821250123090791E-141</v>
      </c>
      <c r="P1846">
        <v>9.7723787398565951E-2</v>
      </c>
      <c r="Q1846">
        <v>0.70928816534066508</v>
      </c>
      <c r="R1846">
        <v>2.7653555318124989</v>
      </c>
      <c r="S1846">
        <v>0.26754254685333412</v>
      </c>
      <c r="T1846">
        <v>0.20923317405502909</v>
      </c>
      <c r="U1846">
        <v>4.2555146084885838</v>
      </c>
      <c r="V1846">
        <v>0.12414549193133841</v>
      </c>
      <c r="W1846">
        <v>5.7837416810477658</v>
      </c>
      <c r="X1846">
        <v>0.28167838511204912</v>
      </c>
      <c r="Z1846" t="s">
        <v>392</v>
      </c>
      <c r="AA1846">
        <v>140</v>
      </c>
      <c r="AB1846" t="s">
        <v>2237</v>
      </c>
      <c r="AC1846" t="str">
        <f>HYPERLINK("plots/20251231112652_3FT6Y119H04_05543_B21P_N_UFLEX98_M5358A8BA201511/dpll_52094/txpa_54188.png","plot")</f>
        <v>plot</v>
      </c>
    </row>
    <row r="1847" spans="1:29" hidden="1" x14ac:dyDescent="0.35">
      <c r="A1847" t="s">
        <v>47</v>
      </c>
      <c r="B1847">
        <v>52094</v>
      </c>
      <c r="C1847" t="s">
        <v>53</v>
      </c>
      <c r="D1847">
        <v>54189</v>
      </c>
      <c r="E1847" t="s">
        <v>209</v>
      </c>
      <c r="F1847">
        <v>7139</v>
      </c>
      <c r="G1847">
        <v>0.2496019275696392</v>
      </c>
      <c r="H1847">
        <v>7.6778161296225879E-102</v>
      </c>
      <c r="I1847">
        <v>1.2416755271829829E-101</v>
      </c>
      <c r="J1847">
        <v>0.22426710988406531</v>
      </c>
      <c r="K1847">
        <v>4.4403943345809739E-82</v>
      </c>
      <c r="L1847">
        <v>7.0462595544054899E-82</v>
      </c>
      <c r="M1847">
        <v>0.1506461639809594</v>
      </c>
      <c r="N1847">
        <v>3.191292821607349E-81</v>
      </c>
      <c r="O1847">
        <v>5.056204564234144E-81</v>
      </c>
      <c r="P1847">
        <v>6.2301122246479428E-2</v>
      </c>
      <c r="Q1847">
        <v>0.64543356316128841</v>
      </c>
      <c r="R1847">
        <v>3.2825648131540972</v>
      </c>
      <c r="S1847">
        <v>0.31083924338593311</v>
      </c>
      <c r="T1847">
        <v>0.25065955933067791</v>
      </c>
      <c r="U1847">
        <v>4.2555146084885838</v>
      </c>
      <c r="V1847">
        <v>0.12414549193133841</v>
      </c>
      <c r="W1847">
        <v>6.0292167699957986</v>
      </c>
      <c r="X1847">
        <v>0.32102182858863931</v>
      </c>
      <c r="Z1847" t="s">
        <v>392</v>
      </c>
      <c r="AA1847">
        <v>140</v>
      </c>
      <c r="AB1847" t="s">
        <v>2238</v>
      </c>
      <c r="AC1847" t="str">
        <f>HYPERLINK("plots/20251231112652_3FT6Y119H04_05543_B21P_N_UFLEX98_M5358A8BA201511/dpll_52094/txpa_54189.png","plot")</f>
        <v>plot</v>
      </c>
    </row>
    <row r="1848" spans="1:29" hidden="1" x14ac:dyDescent="0.35">
      <c r="A1848" t="s">
        <v>47</v>
      </c>
      <c r="B1848">
        <v>52094</v>
      </c>
      <c r="C1848" t="s">
        <v>53</v>
      </c>
      <c r="D1848">
        <v>54190</v>
      </c>
      <c r="E1848" t="s">
        <v>210</v>
      </c>
      <c r="F1848">
        <v>7139</v>
      </c>
      <c r="G1848">
        <v>0.34290921046569489</v>
      </c>
      <c r="H1848">
        <v>3.716887495435607E-196</v>
      </c>
      <c r="I1848">
        <v>1.829574718627041E-195</v>
      </c>
      <c r="J1848">
        <v>0.32094894964021459</v>
      </c>
      <c r="K1848">
        <v>9.8586977085353088E-171</v>
      </c>
      <c r="L1848">
        <v>3.5199716466390149E-170</v>
      </c>
      <c r="M1848">
        <v>0.21632822302472821</v>
      </c>
      <c r="N1848">
        <v>2.083041444311987E-165</v>
      </c>
      <c r="O1848">
        <v>7.334041751848455E-165</v>
      </c>
      <c r="P1848">
        <v>0.1175867266222063</v>
      </c>
      <c r="Q1848">
        <v>0.73846118109491021</v>
      </c>
      <c r="R1848">
        <v>2.6424737134798888</v>
      </c>
      <c r="S1848">
        <v>0.25112217888247518</v>
      </c>
      <c r="T1848">
        <v>0.19874194519123431</v>
      </c>
      <c r="U1848">
        <v>4.2555146084885838</v>
      </c>
      <c r="V1848">
        <v>0.12414549193133841</v>
      </c>
      <c r="W1848">
        <v>5.7850060574310129</v>
      </c>
      <c r="X1848">
        <v>0.26734956017868827</v>
      </c>
      <c r="Z1848" t="s">
        <v>392</v>
      </c>
      <c r="AA1848">
        <v>140</v>
      </c>
      <c r="AB1848" t="s">
        <v>2239</v>
      </c>
      <c r="AC1848" t="str">
        <f>HYPERLINK("plots/20251231112652_3FT6Y119H04_05543_B21P_N_UFLEX98_M5358A8BA201511/dpll_52094/txpa_54190.png","plot")</f>
        <v>plot</v>
      </c>
    </row>
    <row r="1849" spans="1:29" hidden="1" x14ac:dyDescent="0.35">
      <c r="A1849" t="s">
        <v>47</v>
      </c>
      <c r="B1849">
        <v>52094</v>
      </c>
      <c r="C1849" t="s">
        <v>53</v>
      </c>
      <c r="D1849">
        <v>54191</v>
      </c>
      <c r="E1849" t="s">
        <v>211</v>
      </c>
      <c r="F1849">
        <v>7139</v>
      </c>
      <c r="G1849">
        <v>0.27708505063548527</v>
      </c>
      <c r="H1849">
        <v>5.3697103408961053E-126</v>
      </c>
      <c r="I1849">
        <v>1.0450837400515651E-125</v>
      </c>
      <c r="J1849">
        <v>0.23996926984361991</v>
      </c>
      <c r="K1849">
        <v>4.75186882831784E-94</v>
      </c>
      <c r="L1849">
        <v>8.3798173772422423E-94</v>
      </c>
      <c r="M1849">
        <v>0.1604669894358183</v>
      </c>
      <c r="N1849">
        <v>6.6867084087707005E-92</v>
      </c>
      <c r="O1849">
        <v>1.179186491564085E-91</v>
      </c>
      <c r="P1849">
        <v>7.6776125285669433E-2</v>
      </c>
      <c r="Q1849">
        <v>0.65268939272037962</v>
      </c>
      <c r="R1849">
        <v>3.1918014321588331</v>
      </c>
      <c r="S1849">
        <v>0.28096194940401342</v>
      </c>
      <c r="T1849">
        <v>0.22667343016959979</v>
      </c>
      <c r="U1849">
        <v>4.2555146084885838</v>
      </c>
      <c r="V1849">
        <v>0.12414549193133841</v>
      </c>
      <c r="W1849">
        <v>5.9693306776859503</v>
      </c>
      <c r="X1849">
        <v>0.29243167594860142</v>
      </c>
      <c r="Z1849" t="s">
        <v>392</v>
      </c>
      <c r="AA1849">
        <v>140</v>
      </c>
      <c r="AB1849" t="s">
        <v>2240</v>
      </c>
      <c r="AC1849" t="str">
        <f>HYPERLINK("plots/20251231112652_3FT6Y119H04_05543_B21P_N_UFLEX98_M5358A8BA201511/dpll_52094/txpa_54191.png","plot")</f>
        <v>plot</v>
      </c>
    </row>
    <row r="1850" spans="1:29" hidden="1" x14ac:dyDescent="0.35">
      <c r="A1850" t="s">
        <v>47</v>
      </c>
      <c r="B1850">
        <v>52094</v>
      </c>
      <c r="C1850" t="s">
        <v>53</v>
      </c>
      <c r="D1850">
        <v>54192</v>
      </c>
      <c r="E1850" t="s">
        <v>212</v>
      </c>
      <c r="F1850">
        <v>7139</v>
      </c>
      <c r="G1850">
        <v>0.35879194694914418</v>
      </c>
      <c r="H1850">
        <v>7.1135165323874178E-216</v>
      </c>
      <c r="I1850">
        <v>5.1522184027434586E-215</v>
      </c>
      <c r="J1850">
        <v>0.32727796343667531</v>
      </c>
      <c r="K1850">
        <v>7.5990544527031199E-178</v>
      </c>
      <c r="L1850">
        <v>2.952276327601902E-177</v>
      </c>
      <c r="M1850">
        <v>0.22019043431042989</v>
      </c>
      <c r="N1850">
        <v>2.7148598855689238E-171</v>
      </c>
      <c r="O1850">
        <v>1.0310366756430301E-170</v>
      </c>
      <c r="P1850">
        <v>0.12873166119555751</v>
      </c>
      <c r="Q1850">
        <v>0.69346297729301198</v>
      </c>
      <c r="R1850">
        <v>2.9281970717707271</v>
      </c>
      <c r="S1850">
        <v>0.22395310795499859</v>
      </c>
      <c r="T1850">
        <v>0.17697294320785251</v>
      </c>
      <c r="U1850">
        <v>4.2555146084885838</v>
      </c>
      <c r="V1850">
        <v>0.12414549193133841</v>
      </c>
      <c r="W1850">
        <v>5.8792389020871267</v>
      </c>
      <c r="X1850">
        <v>0.2399449128784768</v>
      </c>
      <c r="Z1850" t="s">
        <v>392</v>
      </c>
      <c r="AA1850">
        <v>140</v>
      </c>
      <c r="AB1850" t="s">
        <v>2241</v>
      </c>
      <c r="AC1850" t="str">
        <f>HYPERLINK("plots/20251231112652_3FT6Y119H04_05543_B21P_N_UFLEX98_M5358A8BA201511/dpll_52094/txpa_54192.png","plot")</f>
        <v>plot</v>
      </c>
    </row>
    <row r="1851" spans="1:29" hidden="1" x14ac:dyDescent="0.35">
      <c r="A1851" t="s">
        <v>47</v>
      </c>
      <c r="B1851">
        <v>52094</v>
      </c>
      <c r="C1851" t="s">
        <v>53</v>
      </c>
      <c r="D1851">
        <v>54193</v>
      </c>
      <c r="E1851" t="s">
        <v>213</v>
      </c>
      <c r="F1851">
        <v>7139</v>
      </c>
      <c r="G1851">
        <v>0.26863587869749411</v>
      </c>
      <c r="H1851">
        <v>2.9121005447989939E-118</v>
      </c>
      <c r="I1851">
        <v>5.398299730212395E-118</v>
      </c>
      <c r="J1851">
        <v>0.2418254835379634</v>
      </c>
      <c r="K1851">
        <v>1.5927823878533628E-95</v>
      </c>
      <c r="L1851">
        <v>2.8434530656396299E-95</v>
      </c>
      <c r="M1851">
        <v>0.16221042403420469</v>
      </c>
      <c r="N1851">
        <v>7.2351813619717759E-94</v>
      </c>
      <c r="O1851">
        <v>1.303103712440387E-93</v>
      </c>
      <c r="P1851">
        <v>7.2165235323574745E-2</v>
      </c>
      <c r="Q1851">
        <v>0.60227747328055725</v>
      </c>
      <c r="R1851">
        <v>3.338810679674411</v>
      </c>
      <c r="S1851">
        <v>0.2680824961931067</v>
      </c>
      <c r="T1851">
        <v>0.21160385460808639</v>
      </c>
      <c r="U1851">
        <v>4.2555146084885838</v>
      </c>
      <c r="V1851">
        <v>0.12414549193133841</v>
      </c>
      <c r="W1851">
        <v>5.9018112655834152</v>
      </c>
      <c r="X1851">
        <v>0.27833226731331551</v>
      </c>
      <c r="Z1851" t="s">
        <v>392</v>
      </c>
      <c r="AA1851">
        <v>140</v>
      </c>
      <c r="AB1851" t="s">
        <v>2242</v>
      </c>
      <c r="AC1851" t="str">
        <f>HYPERLINK("plots/20251231112652_3FT6Y119H04_05543_B21P_N_UFLEX98_M5358A8BA201511/dpll_52094/txpa_54193.png","plot")</f>
        <v>plot</v>
      </c>
    </row>
    <row r="1852" spans="1:29" hidden="1" x14ac:dyDescent="0.35">
      <c r="A1852" t="s">
        <v>47</v>
      </c>
      <c r="B1852">
        <v>52094</v>
      </c>
      <c r="C1852" t="s">
        <v>53</v>
      </c>
      <c r="D1852">
        <v>54194</v>
      </c>
      <c r="E1852" t="s">
        <v>214</v>
      </c>
      <c r="F1852">
        <v>7139</v>
      </c>
      <c r="G1852">
        <v>0.19202727424054639</v>
      </c>
      <c r="H1852">
        <v>2.9015756537207748E-60</v>
      </c>
      <c r="I1852">
        <v>3.4901514980698292E-60</v>
      </c>
      <c r="J1852">
        <v>0.15562454885888549</v>
      </c>
      <c r="K1852">
        <v>6.0891798232085937E-40</v>
      </c>
      <c r="L1852">
        <v>7.1795678380622259E-40</v>
      </c>
      <c r="M1852">
        <v>0.10369923490970789</v>
      </c>
      <c r="N1852">
        <v>1.9596345920055531E-39</v>
      </c>
      <c r="O1852">
        <v>2.3132357116340289E-39</v>
      </c>
      <c r="P1852">
        <v>3.6874474052254018E-2</v>
      </c>
      <c r="Q1852">
        <v>0.67297059882976584</v>
      </c>
      <c r="R1852">
        <v>2.3989951468516999</v>
      </c>
      <c r="S1852">
        <v>0.42694816839691713</v>
      </c>
      <c r="T1852">
        <v>0.35756668431292282</v>
      </c>
      <c r="U1852">
        <v>4.2555146084885838</v>
      </c>
      <c r="V1852">
        <v>0.12414549193133841</v>
      </c>
      <c r="W1852">
        <v>5.2628313612550794</v>
      </c>
      <c r="X1852">
        <v>0.43507499847335712</v>
      </c>
      <c r="Z1852" t="s">
        <v>392</v>
      </c>
      <c r="AA1852">
        <v>140</v>
      </c>
      <c r="AB1852" t="s">
        <v>2243</v>
      </c>
      <c r="AC1852" t="str">
        <f>HYPERLINK("plots/20251231112652_3FT6Y119H04_05543_B21P_N_UFLEX98_M5358A8BA201511/dpll_52094/txpa_54194.png","plot")</f>
        <v>plot</v>
      </c>
    </row>
    <row r="1853" spans="1:29" hidden="1" x14ac:dyDescent="0.35">
      <c r="A1853" t="s">
        <v>47</v>
      </c>
      <c r="B1853">
        <v>52094</v>
      </c>
      <c r="C1853" t="s">
        <v>53</v>
      </c>
      <c r="D1853">
        <v>54195</v>
      </c>
      <c r="E1853" t="s">
        <v>215</v>
      </c>
      <c r="F1853">
        <v>7139</v>
      </c>
      <c r="G1853">
        <v>0.1924331248778719</v>
      </c>
      <c r="H1853">
        <v>1.6241555044863059E-60</v>
      </c>
      <c r="I1853">
        <v>1.9629245310478119E-60</v>
      </c>
      <c r="J1853">
        <v>0.1541218879435016</v>
      </c>
      <c r="K1853">
        <v>3.3712240836047938E-39</v>
      </c>
      <c r="L1853">
        <v>3.9473686152139278E-39</v>
      </c>
      <c r="M1853">
        <v>0.1024320570443195</v>
      </c>
      <c r="N1853">
        <v>1.6141552387289071E-38</v>
      </c>
      <c r="O1853">
        <v>1.890015487380037E-38</v>
      </c>
      <c r="P1853">
        <v>3.7030507550262631E-2</v>
      </c>
      <c r="Q1853">
        <v>0.64785512598452089</v>
      </c>
      <c r="R1853">
        <v>4.8729675971256254</v>
      </c>
      <c r="S1853">
        <v>0.41011425582345817</v>
      </c>
      <c r="T1853">
        <v>0.34159992154419289</v>
      </c>
      <c r="U1853">
        <v>4.2555146084885838</v>
      </c>
      <c r="V1853">
        <v>0.12414549193133841</v>
      </c>
      <c r="W1853">
        <v>7.6299245499369652</v>
      </c>
      <c r="X1853">
        <v>0.41795451467428768</v>
      </c>
      <c r="Z1853" t="s">
        <v>392</v>
      </c>
      <c r="AA1853">
        <v>140</v>
      </c>
      <c r="AB1853" t="s">
        <v>2244</v>
      </c>
      <c r="AC1853" t="str">
        <f>HYPERLINK("plots/20251231112652_3FT6Y119H04_05543_B21P_N_UFLEX98_M5358A8BA201511/dpll_52094/txpa_54195.png","plot")</f>
        <v>plot</v>
      </c>
    </row>
    <row r="1854" spans="1:29" hidden="1" x14ac:dyDescent="0.35">
      <c r="A1854" t="s">
        <v>47</v>
      </c>
      <c r="B1854">
        <v>52094</v>
      </c>
      <c r="C1854" t="s">
        <v>53</v>
      </c>
      <c r="D1854">
        <v>54196</v>
      </c>
      <c r="E1854" t="s">
        <v>216</v>
      </c>
      <c r="F1854">
        <v>7139</v>
      </c>
      <c r="G1854">
        <v>0.33237543679904868</v>
      </c>
      <c r="H1854">
        <v>1.063338280955087E-183</v>
      </c>
      <c r="I1854">
        <v>4.0687736486356944E-183</v>
      </c>
      <c r="J1854">
        <v>0.32202772422466519</v>
      </c>
      <c r="K1854">
        <v>6.2156551730019501E-172</v>
      </c>
      <c r="L1854">
        <v>2.2918815801541742E-171</v>
      </c>
      <c r="M1854">
        <v>0.21640068917170521</v>
      </c>
      <c r="N1854">
        <v>1.6161553712392361E-165</v>
      </c>
      <c r="O1854">
        <v>5.7100402314863591E-165</v>
      </c>
      <c r="P1854">
        <v>0.1104734309873584</v>
      </c>
      <c r="Q1854">
        <v>0.71575969053196975</v>
      </c>
      <c r="R1854">
        <v>4.9644630251498976</v>
      </c>
      <c r="S1854">
        <v>0.25212639390377278</v>
      </c>
      <c r="T1854">
        <v>0.19581221789022871</v>
      </c>
      <c r="U1854">
        <v>4.2555146084885838</v>
      </c>
      <c r="V1854">
        <v>0.12414549193133841</v>
      </c>
      <c r="W1854">
        <v>8.0103888443759637</v>
      </c>
      <c r="X1854">
        <v>0.2673432782562597</v>
      </c>
      <c r="Z1854" t="s">
        <v>392</v>
      </c>
      <c r="AA1854">
        <v>140</v>
      </c>
      <c r="AB1854" t="s">
        <v>2245</v>
      </c>
      <c r="AC1854" t="str">
        <f>HYPERLINK("plots/20251231112652_3FT6Y119H04_05543_B21P_N_UFLEX98_M5358A8BA201511/dpll_52094/txpa_54196.png","plot")</f>
        <v>plot</v>
      </c>
    </row>
    <row r="1855" spans="1:29" hidden="1" x14ac:dyDescent="0.35">
      <c r="A1855" t="s">
        <v>47</v>
      </c>
      <c r="B1855">
        <v>52094</v>
      </c>
      <c r="C1855" t="s">
        <v>53</v>
      </c>
      <c r="D1855">
        <v>54197</v>
      </c>
      <c r="E1855" t="s">
        <v>217</v>
      </c>
      <c r="F1855">
        <v>7139</v>
      </c>
      <c r="G1855">
        <v>0.27282449208421361</v>
      </c>
      <c r="H1855">
        <v>4.6200337397653158E-122</v>
      </c>
      <c r="I1855">
        <v>8.8058537821842683E-122</v>
      </c>
      <c r="J1855">
        <v>0.24826192704386521</v>
      </c>
      <c r="K1855">
        <v>9.7675054390962672E-101</v>
      </c>
      <c r="L1855">
        <v>1.8375232866871271E-100</v>
      </c>
      <c r="M1855">
        <v>0.1672024662133684</v>
      </c>
      <c r="N1855">
        <v>1.2972809315494299E-99</v>
      </c>
      <c r="O1855">
        <v>2.4587717095161162E-99</v>
      </c>
      <c r="P1855">
        <v>7.4433203481009139E-2</v>
      </c>
      <c r="Q1855">
        <v>0.65799300521481241</v>
      </c>
      <c r="R1855">
        <v>5.4220564787203971</v>
      </c>
      <c r="S1855">
        <v>0.28803306069419088</v>
      </c>
      <c r="T1855">
        <v>0.230425460891127</v>
      </c>
      <c r="U1855">
        <v>4.2555146084885838</v>
      </c>
      <c r="V1855">
        <v>0.12414549193133841</v>
      </c>
      <c r="W1855">
        <v>8.2221553246953363</v>
      </c>
      <c r="X1855">
        <v>0.29941177456515922</v>
      </c>
      <c r="Z1855" t="s">
        <v>392</v>
      </c>
      <c r="AA1855">
        <v>140</v>
      </c>
      <c r="AB1855" t="s">
        <v>2246</v>
      </c>
      <c r="AC1855" t="str">
        <f>HYPERLINK("plots/20251231112652_3FT6Y119H04_05543_B21P_N_UFLEX98_M5358A8BA201511/dpll_52094/txpa_54197.png","plot")</f>
        <v>plot</v>
      </c>
    </row>
    <row r="1856" spans="1:29" hidden="1" x14ac:dyDescent="0.35">
      <c r="A1856" t="s">
        <v>47</v>
      </c>
      <c r="B1856">
        <v>52094</v>
      </c>
      <c r="C1856" t="s">
        <v>53</v>
      </c>
      <c r="D1856">
        <v>54198</v>
      </c>
      <c r="E1856" t="s">
        <v>218</v>
      </c>
      <c r="F1856">
        <v>7139</v>
      </c>
      <c r="G1856">
        <v>0.36338124807758693</v>
      </c>
      <c r="H1856">
        <v>8.7103148055358887E-222</v>
      </c>
      <c r="I1856">
        <v>7.7475958007135015E-221</v>
      </c>
      <c r="J1856">
        <v>0.34439077597631262</v>
      </c>
      <c r="K1856">
        <v>6.0100305643277397E-198</v>
      </c>
      <c r="L1856">
        <v>2.821375459364967E-197</v>
      </c>
      <c r="M1856">
        <v>0.23309612162027901</v>
      </c>
      <c r="N1856">
        <v>1.033336301138656E-191</v>
      </c>
      <c r="O1856">
        <v>4.6362965015690132E-191</v>
      </c>
      <c r="P1856">
        <v>0.1320459314544247</v>
      </c>
      <c r="Q1856">
        <v>0.74340541088817114</v>
      </c>
      <c r="R1856">
        <v>4.8474470787349224</v>
      </c>
      <c r="S1856">
        <v>0.23659856800355711</v>
      </c>
      <c r="T1856">
        <v>0.18556778076390179</v>
      </c>
      <c r="U1856">
        <v>4.2555146084885838</v>
      </c>
      <c r="V1856">
        <v>0.12414549193133841</v>
      </c>
      <c r="W1856">
        <v>8.011019664798992</v>
      </c>
      <c r="X1856">
        <v>0.25397686569513211</v>
      </c>
      <c r="Z1856" t="s">
        <v>392</v>
      </c>
      <c r="AA1856">
        <v>140</v>
      </c>
      <c r="AB1856" t="s">
        <v>2247</v>
      </c>
      <c r="AC1856" t="str">
        <f>HYPERLINK("plots/20251231112652_3FT6Y119H04_05543_B21P_N_UFLEX98_M5358A8BA201511/dpll_52094/txpa_54198.png","plot")</f>
        <v>plot</v>
      </c>
    </row>
    <row r="1857" spans="1:29" hidden="1" x14ac:dyDescent="0.35">
      <c r="A1857" t="s">
        <v>47</v>
      </c>
      <c r="B1857">
        <v>52094</v>
      </c>
      <c r="C1857" t="s">
        <v>53</v>
      </c>
      <c r="D1857">
        <v>54199</v>
      </c>
      <c r="E1857" t="s">
        <v>219</v>
      </c>
      <c r="F1857">
        <v>7139</v>
      </c>
      <c r="G1857">
        <v>0.30182707073023901</v>
      </c>
      <c r="H1857">
        <v>2.8855866644070799E-150</v>
      </c>
      <c r="I1857">
        <v>7.3702389866719892E-150</v>
      </c>
      <c r="J1857">
        <v>0.26517637260015459</v>
      </c>
      <c r="K1857">
        <v>3.559347022581419E-115</v>
      </c>
      <c r="L1857">
        <v>7.3807318627761951E-115</v>
      </c>
      <c r="M1857">
        <v>0.17770831852988689</v>
      </c>
      <c r="N1857">
        <v>2.8468943459155582E-112</v>
      </c>
      <c r="O1857">
        <v>5.8554784315585722E-112</v>
      </c>
      <c r="P1857">
        <v>9.1099580625596671E-2</v>
      </c>
      <c r="Q1857">
        <v>0.66514845251972876</v>
      </c>
      <c r="R1857">
        <v>5.347192091254513</v>
      </c>
      <c r="S1857">
        <v>0.26080690334880807</v>
      </c>
      <c r="T1857">
        <v>0.20915127334884789</v>
      </c>
      <c r="U1857">
        <v>4.2555146084885838</v>
      </c>
      <c r="V1857">
        <v>0.12414549193133841</v>
      </c>
      <c r="W1857">
        <v>8.1777410477657941</v>
      </c>
      <c r="X1857">
        <v>0.27358441257653998</v>
      </c>
      <c r="Z1857" t="s">
        <v>392</v>
      </c>
      <c r="AA1857">
        <v>140</v>
      </c>
      <c r="AB1857" t="s">
        <v>2248</v>
      </c>
      <c r="AC1857" t="str">
        <f>HYPERLINK("plots/20251231112652_3FT6Y119H04_05543_B21P_N_UFLEX98_M5358A8BA201511/dpll_52094/txpa_54199.png","plot")</f>
        <v>plot</v>
      </c>
    </row>
    <row r="1858" spans="1:29" hidden="1" x14ac:dyDescent="0.35">
      <c r="A1858" t="s">
        <v>47</v>
      </c>
      <c r="B1858">
        <v>52094</v>
      </c>
      <c r="C1858" t="s">
        <v>53</v>
      </c>
      <c r="D1858">
        <v>54200</v>
      </c>
      <c r="E1858" t="s">
        <v>220</v>
      </c>
      <c r="F1858">
        <v>7139</v>
      </c>
      <c r="G1858">
        <v>0.38107907265839119</v>
      </c>
      <c r="H1858">
        <v>1.6359352474285681E-245</v>
      </c>
      <c r="I1858">
        <v>3.071922853504755E-244</v>
      </c>
      <c r="J1858">
        <v>0.35247550730782601</v>
      </c>
      <c r="K1858">
        <v>6.7710657510152222E-208</v>
      </c>
      <c r="L1858">
        <v>3.6913229416824918E-207</v>
      </c>
      <c r="M1858">
        <v>0.23831989641867429</v>
      </c>
      <c r="N1858">
        <v>2.6308303878088182E-200</v>
      </c>
      <c r="O1858">
        <v>1.3405336749940409E-199</v>
      </c>
      <c r="P1858">
        <v>0.14522125961817939</v>
      </c>
      <c r="Q1858">
        <v>0.7028327465105737</v>
      </c>
      <c r="R1858">
        <v>5.1013308868898743</v>
      </c>
      <c r="S1858">
        <v>0.21167242190228011</v>
      </c>
      <c r="T1858">
        <v>0.1655556631786467</v>
      </c>
      <c r="U1858">
        <v>4.2555146084885838</v>
      </c>
      <c r="V1858">
        <v>0.12414549193133841</v>
      </c>
      <c r="W1858">
        <v>8.0922459069897741</v>
      </c>
      <c r="X1858">
        <v>0.22896433659379939</v>
      </c>
      <c r="Z1858" t="s">
        <v>392</v>
      </c>
      <c r="AA1858">
        <v>140</v>
      </c>
      <c r="AB1858" t="s">
        <v>2249</v>
      </c>
      <c r="AC1858" t="str">
        <f>HYPERLINK("plots/20251231112652_3FT6Y119H04_05543_B21P_N_UFLEX98_M5358A8BA201511/dpll_52094/txpa_54200.png","plot")</f>
        <v>plot</v>
      </c>
    </row>
    <row r="1859" spans="1:29" hidden="1" x14ac:dyDescent="0.35">
      <c r="A1859" t="s">
        <v>47</v>
      </c>
      <c r="B1859">
        <v>52094</v>
      </c>
      <c r="C1859" t="s">
        <v>53</v>
      </c>
      <c r="D1859">
        <v>54201</v>
      </c>
      <c r="E1859" t="s">
        <v>221</v>
      </c>
      <c r="F1859">
        <v>7139</v>
      </c>
      <c r="G1859">
        <v>0.29310568702936091</v>
      </c>
      <c r="H1859">
        <v>1.9723949599062831E-141</v>
      </c>
      <c r="I1859">
        <v>4.5249060844908852E-141</v>
      </c>
      <c r="J1859">
        <v>0.26442879813641779</v>
      </c>
      <c r="K1859">
        <v>1.630980915217647E-114</v>
      </c>
      <c r="L1859">
        <v>3.3545936065531321E-114</v>
      </c>
      <c r="M1859">
        <v>0.17780625468776251</v>
      </c>
      <c r="N1859">
        <v>2.151382892294409E-112</v>
      </c>
      <c r="O1859">
        <v>4.4429781115815297E-112</v>
      </c>
      <c r="P1859">
        <v>8.5910943768953668E-2</v>
      </c>
      <c r="Q1859">
        <v>0.61736031665870561</v>
      </c>
      <c r="R1859">
        <v>5.4904503483228062</v>
      </c>
      <c r="S1859">
        <v>0.24998229699252461</v>
      </c>
      <c r="T1859">
        <v>0.1969981476872314</v>
      </c>
      <c r="U1859">
        <v>4.2555146084885838</v>
      </c>
      <c r="V1859">
        <v>0.12414549193133841</v>
      </c>
      <c r="W1859">
        <v>8.1176361945650655</v>
      </c>
      <c r="X1859">
        <v>0.26148417994634282</v>
      </c>
      <c r="Z1859" t="s">
        <v>392</v>
      </c>
      <c r="AA1859">
        <v>140</v>
      </c>
      <c r="AB1859" t="s">
        <v>2250</v>
      </c>
      <c r="AC1859" t="str">
        <f>HYPERLINK("plots/20251231112652_3FT6Y119H04_05543_B21P_N_UFLEX98_M5358A8BA201511/dpll_52094/txpa_54201.png","plot")</f>
        <v>plot</v>
      </c>
    </row>
    <row r="1860" spans="1:29" hidden="1" x14ac:dyDescent="0.35">
      <c r="A1860" t="s">
        <v>47</v>
      </c>
      <c r="B1860">
        <v>52094</v>
      </c>
      <c r="C1860" t="s">
        <v>53</v>
      </c>
      <c r="D1860">
        <v>54202</v>
      </c>
      <c r="E1860" t="s">
        <v>222</v>
      </c>
      <c r="F1860">
        <v>7139</v>
      </c>
      <c r="G1860">
        <v>0.209690996220325</v>
      </c>
      <c r="H1860">
        <v>9.2126948187890294E-72</v>
      </c>
      <c r="I1860">
        <v>1.1900219804142771E-71</v>
      </c>
      <c r="J1860">
        <v>0.17068738117673221</v>
      </c>
      <c r="K1860">
        <v>8.2909664735642464E-48</v>
      </c>
      <c r="L1860">
        <v>1.010461538965643E-47</v>
      </c>
      <c r="M1860">
        <v>0.1138405559430604</v>
      </c>
      <c r="N1860">
        <v>3.6390080062411669E-47</v>
      </c>
      <c r="O1860">
        <v>4.4350410076064223E-47</v>
      </c>
      <c r="P1860">
        <v>4.3970313895872352E-2</v>
      </c>
      <c r="Q1860">
        <v>0.67571771877901876</v>
      </c>
      <c r="R1860">
        <v>4.6725702222980239</v>
      </c>
      <c r="S1860">
        <v>0.39113055818676651</v>
      </c>
      <c r="T1860">
        <v>0.32688015319635261</v>
      </c>
      <c r="U1860">
        <v>4.2555146084885838</v>
      </c>
      <c r="V1860">
        <v>0.12414549193133841</v>
      </c>
      <c r="W1860">
        <v>7.548096845776719</v>
      </c>
      <c r="X1860">
        <v>0.4000520294939206</v>
      </c>
      <c r="Z1860" t="s">
        <v>392</v>
      </c>
      <c r="AA1860">
        <v>140</v>
      </c>
      <c r="AB1860" t="s">
        <v>2251</v>
      </c>
      <c r="AC1860" t="str">
        <f>HYPERLINK("plots/20251231112652_3FT6Y119H04_05543_B21P_N_UFLEX98_M5358A8BA201511/dpll_52094/txpa_54202.png","plot")</f>
        <v>plot</v>
      </c>
    </row>
    <row r="1861" spans="1:29" hidden="1" x14ac:dyDescent="0.35">
      <c r="A1861" t="s">
        <v>47</v>
      </c>
      <c r="B1861">
        <v>52094</v>
      </c>
      <c r="C1861" t="s">
        <v>53</v>
      </c>
      <c r="D1861">
        <v>54203</v>
      </c>
      <c r="E1861" t="s">
        <v>223</v>
      </c>
      <c r="F1861">
        <v>7139</v>
      </c>
      <c r="G1861">
        <v>0.20206177832622851</v>
      </c>
      <c r="H1861">
        <v>1.159694727493211E-66</v>
      </c>
      <c r="I1861">
        <v>1.464421486523183E-66</v>
      </c>
      <c r="J1861">
        <v>0.16263305669164099</v>
      </c>
      <c r="K1861">
        <v>1.655694290208391E-43</v>
      </c>
      <c r="L1861">
        <v>1.9798042573954109E-43</v>
      </c>
      <c r="M1861">
        <v>0.1080881423838872</v>
      </c>
      <c r="N1861">
        <v>1.0807617078269101E-42</v>
      </c>
      <c r="O1861">
        <v>1.292325910066612E-42</v>
      </c>
      <c r="P1861">
        <v>4.0828962260357891E-2</v>
      </c>
      <c r="Q1861">
        <v>0.65258248597198221</v>
      </c>
      <c r="R1861">
        <v>5.8509740823501426</v>
      </c>
      <c r="S1861">
        <v>0.39264476007149812</v>
      </c>
      <c r="T1861">
        <v>0.326238624753591</v>
      </c>
      <c r="U1861">
        <v>4.2555146084885838</v>
      </c>
      <c r="V1861">
        <v>0.12414549193133841</v>
      </c>
      <c r="W1861">
        <v>8.628048384647709</v>
      </c>
      <c r="X1861">
        <v>0.4009425949719625</v>
      </c>
      <c r="Z1861" t="s">
        <v>392</v>
      </c>
      <c r="AA1861">
        <v>140</v>
      </c>
      <c r="AB1861" t="s">
        <v>2252</v>
      </c>
      <c r="AC1861" t="str">
        <f>HYPERLINK("plots/20251231112652_3FT6Y119H04_05543_B21P_N_UFLEX98_M5358A8BA201511/dpll_52094/txpa_54203.png","plot")</f>
        <v>plot</v>
      </c>
    </row>
    <row r="1862" spans="1:29" hidden="1" x14ac:dyDescent="0.35">
      <c r="A1862" t="s">
        <v>47</v>
      </c>
      <c r="B1862">
        <v>52094</v>
      </c>
      <c r="C1862" t="s">
        <v>53</v>
      </c>
      <c r="D1862">
        <v>54204</v>
      </c>
      <c r="E1862" t="s">
        <v>224</v>
      </c>
      <c r="F1862">
        <v>7139</v>
      </c>
      <c r="G1862">
        <v>0.34122266679088908</v>
      </c>
      <c r="H1862">
        <v>3.9576700389367611E-194</v>
      </c>
      <c r="I1862">
        <v>1.8579062127230899E-193</v>
      </c>
      <c r="J1862">
        <v>0.3333816276867686</v>
      </c>
      <c r="K1862">
        <v>7.2081618465568338E-185</v>
      </c>
      <c r="L1862">
        <v>2.9832963724116848E-184</v>
      </c>
      <c r="M1862">
        <v>0.22462434267350501</v>
      </c>
      <c r="N1862">
        <v>3.5343974978447089E-178</v>
      </c>
      <c r="O1862">
        <v>1.427840264069536E-177</v>
      </c>
      <c r="P1862">
        <v>0.1164329083318861</v>
      </c>
      <c r="Q1862">
        <v>0.72017957498033869</v>
      </c>
      <c r="R1862">
        <v>5.9205613536861748</v>
      </c>
      <c r="S1862">
        <v>0.2462766446770501</v>
      </c>
      <c r="T1862">
        <v>0.1902511497481226</v>
      </c>
      <c r="U1862">
        <v>4.2555146084885838</v>
      </c>
      <c r="V1862">
        <v>0.12414549193133841</v>
      </c>
      <c r="W1862">
        <v>8.9852960557501049</v>
      </c>
      <c r="X1862">
        <v>0.26201966140082811</v>
      </c>
      <c r="Z1862" t="s">
        <v>392</v>
      </c>
      <c r="AA1862">
        <v>140</v>
      </c>
      <c r="AB1862" t="s">
        <v>2253</v>
      </c>
      <c r="AC1862" t="str">
        <f>HYPERLINK("plots/20251231112652_3FT6Y119H04_05543_B21P_N_UFLEX98_M5358A8BA201511/dpll_52094/txpa_54204.png","plot")</f>
        <v>plot</v>
      </c>
    </row>
    <row r="1863" spans="1:29" hidden="1" x14ac:dyDescent="0.35">
      <c r="A1863" t="s">
        <v>47</v>
      </c>
      <c r="B1863">
        <v>52094</v>
      </c>
      <c r="C1863" t="s">
        <v>53</v>
      </c>
      <c r="D1863">
        <v>54205</v>
      </c>
      <c r="E1863" t="s">
        <v>225</v>
      </c>
      <c r="F1863">
        <v>7139</v>
      </c>
      <c r="G1863">
        <v>0.28481758383035999</v>
      </c>
      <c r="H1863">
        <v>2.5536224699039019E-133</v>
      </c>
      <c r="I1863">
        <v>5.3945274676719919E-133</v>
      </c>
      <c r="J1863">
        <v>0.26176860317995138</v>
      </c>
      <c r="K1863">
        <v>3.5279546226201012E-112</v>
      </c>
      <c r="L1863">
        <v>7.1546919746735644E-112</v>
      </c>
      <c r="M1863">
        <v>0.1765558634080453</v>
      </c>
      <c r="N1863">
        <v>7.5893324257114289E-111</v>
      </c>
      <c r="O1863">
        <v>1.5422010179702179E-110</v>
      </c>
      <c r="P1863">
        <v>8.1121056058964178E-2</v>
      </c>
      <c r="Q1863">
        <v>0.66463636937112724</v>
      </c>
      <c r="R1863">
        <v>6.3515690529977373</v>
      </c>
      <c r="S1863">
        <v>0.27768152710089211</v>
      </c>
      <c r="T1863">
        <v>0.22076263688078371</v>
      </c>
      <c r="U1863">
        <v>4.2555146084885838</v>
      </c>
      <c r="V1863">
        <v>0.12414549193133841</v>
      </c>
      <c r="W1863">
        <v>9.179938832189384</v>
      </c>
      <c r="X1863">
        <v>0.28969984198792298</v>
      </c>
      <c r="Z1863" t="s">
        <v>392</v>
      </c>
      <c r="AA1863">
        <v>140</v>
      </c>
      <c r="AB1863" t="s">
        <v>2254</v>
      </c>
      <c r="AC1863" t="str">
        <f>HYPERLINK("plots/20251231112652_3FT6Y119H04_05543_B21P_N_UFLEX98_M5358A8BA201511/dpll_52094/txpa_54205.png","plot")</f>
        <v>plot</v>
      </c>
    </row>
    <row r="1864" spans="1:29" hidden="1" x14ac:dyDescent="0.35">
      <c r="A1864" t="s">
        <v>47</v>
      </c>
      <c r="B1864">
        <v>52094</v>
      </c>
      <c r="C1864" t="s">
        <v>53</v>
      </c>
      <c r="D1864">
        <v>54206</v>
      </c>
      <c r="E1864" t="s">
        <v>226</v>
      </c>
      <c r="F1864">
        <v>7139</v>
      </c>
      <c r="G1864">
        <v>0.37220845819373738</v>
      </c>
      <c r="H1864">
        <v>1.959165484324769E-233</v>
      </c>
      <c r="I1864">
        <v>2.5799919494874228E-232</v>
      </c>
      <c r="J1864">
        <v>0.35540820754988961</v>
      </c>
      <c r="K1864">
        <v>1.409022788106693E-211</v>
      </c>
      <c r="L1864">
        <v>8.3066808554662043E-211</v>
      </c>
      <c r="M1864">
        <v>0.24119575692309539</v>
      </c>
      <c r="N1864">
        <v>4.044717377509329E-205</v>
      </c>
      <c r="O1864">
        <v>2.2169423896186269E-204</v>
      </c>
      <c r="P1864">
        <v>0.13853913635095921</v>
      </c>
      <c r="Q1864">
        <v>0.74690784947618671</v>
      </c>
      <c r="R1864">
        <v>5.8069479278232254</v>
      </c>
      <c r="S1864">
        <v>0.23120599789318549</v>
      </c>
      <c r="T1864">
        <v>0.1801867079664379</v>
      </c>
      <c r="U1864">
        <v>4.2555146084885838</v>
      </c>
      <c r="V1864">
        <v>0.12414549193133841</v>
      </c>
      <c r="W1864">
        <v>8.9854251924639303</v>
      </c>
      <c r="X1864">
        <v>0.24912180354680449</v>
      </c>
      <c r="Z1864" t="s">
        <v>392</v>
      </c>
      <c r="AA1864">
        <v>140</v>
      </c>
      <c r="AB1864" t="s">
        <v>2255</v>
      </c>
      <c r="AC1864" t="str">
        <f>HYPERLINK("plots/20251231112652_3FT6Y119H04_05543_B21P_N_UFLEX98_M5358A8BA201511/dpll_52094/txpa_54206.png","plot")</f>
        <v>plot</v>
      </c>
    </row>
    <row r="1865" spans="1:29" hidden="1" x14ac:dyDescent="0.35">
      <c r="A1865" t="s">
        <v>47</v>
      </c>
      <c r="B1865">
        <v>52094</v>
      </c>
      <c r="C1865" t="s">
        <v>53</v>
      </c>
      <c r="D1865">
        <v>54207</v>
      </c>
      <c r="E1865" t="s">
        <v>227</v>
      </c>
      <c r="F1865">
        <v>7139</v>
      </c>
      <c r="G1865">
        <v>0.31405229624708569</v>
      </c>
      <c r="H1865">
        <v>3.5588331122824953E-163</v>
      </c>
      <c r="I1865">
        <v>1.03399907617606E-162</v>
      </c>
      <c r="J1865">
        <v>0.27847309258986258</v>
      </c>
      <c r="K1865">
        <v>2.708746432724433E-127</v>
      </c>
      <c r="L1865">
        <v>6.3141813397300577E-127</v>
      </c>
      <c r="M1865">
        <v>0.1868467849659371</v>
      </c>
      <c r="N1865">
        <v>6.5841591342392964E-124</v>
      </c>
      <c r="O1865">
        <v>1.5242779365567681E-123</v>
      </c>
      <c r="P1865">
        <v>9.8628844778067271E-2</v>
      </c>
      <c r="Q1865">
        <v>0.67173553616557269</v>
      </c>
      <c r="R1865">
        <v>6.2848299876489104</v>
      </c>
      <c r="S1865">
        <v>0.25208599204760701</v>
      </c>
      <c r="T1865">
        <v>0.20110293798912121</v>
      </c>
      <c r="U1865">
        <v>4.2555146084885838</v>
      </c>
      <c r="V1865">
        <v>0.12414549193133841</v>
      </c>
      <c r="W1865">
        <v>9.143410374842416</v>
      </c>
      <c r="X1865">
        <v>0.2655383819242183</v>
      </c>
      <c r="Z1865" t="s">
        <v>392</v>
      </c>
      <c r="AA1865">
        <v>140</v>
      </c>
      <c r="AB1865" t="s">
        <v>2256</v>
      </c>
      <c r="AC1865" t="str">
        <f>HYPERLINK("plots/20251231112652_3FT6Y119H04_05543_B21P_N_UFLEX98_M5358A8BA201511/dpll_52094/txpa_54207.png","plot")</f>
        <v>plot</v>
      </c>
    </row>
    <row r="1866" spans="1:29" hidden="1" x14ac:dyDescent="0.35">
      <c r="A1866" t="s">
        <v>47</v>
      </c>
      <c r="B1866">
        <v>52094</v>
      </c>
      <c r="C1866" t="s">
        <v>53</v>
      </c>
      <c r="D1866">
        <v>54208</v>
      </c>
      <c r="E1866" t="s">
        <v>228</v>
      </c>
      <c r="F1866">
        <v>7139</v>
      </c>
      <c r="G1866">
        <v>0.39011513449730417</v>
      </c>
      <c r="H1866">
        <v>3.2907115954590631E-258</v>
      </c>
      <c r="I1866">
        <v>9.8140634052808526E-257</v>
      </c>
      <c r="J1866">
        <v>0.36389364783301459</v>
      </c>
      <c r="K1866">
        <v>1.8788122576286181E-222</v>
      </c>
      <c r="L1866">
        <v>1.43241776634242E-221</v>
      </c>
      <c r="M1866">
        <v>0.24669563999221311</v>
      </c>
      <c r="N1866">
        <v>1.747883997299327E-214</v>
      </c>
      <c r="O1866">
        <v>1.2308016480982761E-213</v>
      </c>
      <c r="P1866">
        <v>0.1521898181638498</v>
      </c>
      <c r="Q1866">
        <v>0.70750109295411101</v>
      </c>
      <c r="R1866">
        <v>6.0489011152821526</v>
      </c>
      <c r="S1866">
        <v>0.2072927745934818</v>
      </c>
      <c r="T1866">
        <v>0.16093014318916929</v>
      </c>
      <c r="U1866">
        <v>4.2555146084885838</v>
      </c>
      <c r="V1866">
        <v>0.12414549193133841</v>
      </c>
      <c r="W1866">
        <v>9.0596823518700109</v>
      </c>
      <c r="X1866">
        <v>0.22514653613715321</v>
      </c>
      <c r="Z1866" t="s">
        <v>392</v>
      </c>
      <c r="AA1866">
        <v>140</v>
      </c>
      <c r="AB1866" t="s">
        <v>2257</v>
      </c>
      <c r="AC1866" t="str">
        <f>HYPERLINK("plots/20251231112652_3FT6Y119H04_05543_B21P_N_UFLEX98_M5358A8BA201511/dpll_52094/txpa_54208.png","plot")</f>
        <v>plot</v>
      </c>
    </row>
    <row r="1867" spans="1:29" hidden="1" x14ac:dyDescent="0.35">
      <c r="A1867" t="s">
        <v>47</v>
      </c>
      <c r="B1867">
        <v>52094</v>
      </c>
      <c r="C1867" t="s">
        <v>53</v>
      </c>
      <c r="D1867">
        <v>54209</v>
      </c>
      <c r="E1867" t="s">
        <v>229</v>
      </c>
      <c r="F1867">
        <v>7139</v>
      </c>
      <c r="G1867">
        <v>0.30527761551109089</v>
      </c>
      <c r="H1867">
        <v>7.5725641414995486E-154</v>
      </c>
      <c r="I1867">
        <v>2.0153753384463371E-153</v>
      </c>
      <c r="J1867">
        <v>0.27631373855428448</v>
      </c>
      <c r="K1867">
        <v>2.8023117981154462E-125</v>
      </c>
      <c r="L1867">
        <v>6.3854925017731736E-125</v>
      </c>
      <c r="M1867">
        <v>0.18606570592901189</v>
      </c>
      <c r="N1867">
        <v>6.8509472262875686E-123</v>
      </c>
      <c r="O1867">
        <v>1.5610922443720439E-122</v>
      </c>
      <c r="P1867">
        <v>9.3194422532137444E-2</v>
      </c>
      <c r="Q1867">
        <v>0.62529636574747105</v>
      </c>
      <c r="R1867">
        <v>6.4256480139566516</v>
      </c>
      <c r="S1867">
        <v>0.24212998193926741</v>
      </c>
      <c r="T1867">
        <v>0.19037407195833961</v>
      </c>
      <c r="U1867">
        <v>4.2555146084885838</v>
      </c>
      <c r="V1867">
        <v>0.12414549193133841</v>
      </c>
      <c r="W1867">
        <v>9.0866058330298358</v>
      </c>
      <c r="X1867">
        <v>0.25428567632983767</v>
      </c>
      <c r="Z1867" t="s">
        <v>392</v>
      </c>
      <c r="AA1867">
        <v>140</v>
      </c>
      <c r="AB1867" t="s">
        <v>2258</v>
      </c>
      <c r="AC1867" t="str">
        <f>HYPERLINK("plots/20251231112652_3FT6Y119H04_05543_B21P_N_UFLEX98_M5358A8BA201511/dpll_52094/txpa_54209.png","plot")</f>
        <v>plot</v>
      </c>
    </row>
    <row r="1868" spans="1:29" hidden="1" x14ac:dyDescent="0.35">
      <c r="A1868" t="s">
        <v>47</v>
      </c>
      <c r="B1868">
        <v>52094</v>
      </c>
      <c r="C1868" t="s">
        <v>53</v>
      </c>
      <c r="D1868">
        <v>54210</v>
      </c>
      <c r="E1868" t="s">
        <v>230</v>
      </c>
      <c r="F1868">
        <v>7139</v>
      </c>
      <c r="G1868">
        <v>0.21949620669936559</v>
      </c>
      <c r="H1868">
        <v>1.281585771508428E-78</v>
      </c>
      <c r="I1868">
        <v>1.7350173195054021E-78</v>
      </c>
      <c r="J1868">
        <v>0.17857581020219729</v>
      </c>
      <c r="K1868">
        <v>3.1254981656758919E-52</v>
      </c>
      <c r="L1868">
        <v>3.932078337463219E-52</v>
      </c>
      <c r="M1868">
        <v>0.1191229375642732</v>
      </c>
      <c r="N1868">
        <v>1.7836507503536859E-51</v>
      </c>
      <c r="O1868">
        <v>2.2383933921517801E-51</v>
      </c>
      <c r="P1868">
        <v>4.8178584755410647E-2</v>
      </c>
      <c r="Q1868">
        <v>0.67857313667179653</v>
      </c>
      <c r="R1868">
        <v>5.6637001206342497</v>
      </c>
      <c r="S1868">
        <v>0.3744104090062369</v>
      </c>
      <c r="T1868">
        <v>0.31238842303647218</v>
      </c>
      <c r="U1868">
        <v>4.2555146084885838</v>
      </c>
      <c r="V1868">
        <v>0.12414549193133841</v>
      </c>
      <c r="W1868">
        <v>8.5513780166690001</v>
      </c>
      <c r="X1868">
        <v>0.38379613538786012</v>
      </c>
      <c r="Z1868" t="s">
        <v>392</v>
      </c>
      <c r="AA1868">
        <v>140</v>
      </c>
      <c r="AB1868" t="s">
        <v>2259</v>
      </c>
      <c r="AC1868" t="str">
        <f>HYPERLINK("plots/20251231112652_3FT6Y119H04_05543_B21P_N_UFLEX98_M5358A8BA201511/dpll_52094/txpa_54210.png","plot")</f>
        <v>plot</v>
      </c>
    </row>
    <row r="1869" spans="1:29" hidden="1" x14ac:dyDescent="0.35">
      <c r="A1869" t="s">
        <v>47</v>
      </c>
      <c r="B1869">
        <v>52094</v>
      </c>
      <c r="C1869" t="s">
        <v>53</v>
      </c>
      <c r="D1869">
        <v>54211</v>
      </c>
      <c r="E1869" t="s">
        <v>231</v>
      </c>
      <c r="F1869">
        <v>7139</v>
      </c>
      <c r="G1869">
        <v>0.213589024626332</v>
      </c>
      <c r="H1869">
        <v>1.903043745855575E-74</v>
      </c>
      <c r="I1869">
        <v>2.5060861796072119E-74</v>
      </c>
      <c r="J1869">
        <v>0.173094723632949</v>
      </c>
      <c r="K1869">
        <v>3.898765831081332E-49</v>
      </c>
      <c r="L1869">
        <v>4.7919376396563282E-49</v>
      </c>
      <c r="M1869">
        <v>0.1150589938732033</v>
      </c>
      <c r="N1869">
        <v>3.8372548424618429E-48</v>
      </c>
      <c r="O1869">
        <v>4.6935782994647868E-48</v>
      </c>
      <c r="P1869">
        <v>4.5620271440827871E-2</v>
      </c>
      <c r="Q1869">
        <v>0.66136603403236061</v>
      </c>
      <c r="R1869">
        <v>6.7793287900862449</v>
      </c>
      <c r="S1869">
        <v>0.37551223524298089</v>
      </c>
      <c r="T1869">
        <v>0.31105188058860339</v>
      </c>
      <c r="U1869">
        <v>4.2555146084885838</v>
      </c>
      <c r="V1869">
        <v>0.12414549193133841</v>
      </c>
      <c r="W1869">
        <v>9.5937816094691133</v>
      </c>
      <c r="X1869">
        <v>0.38440931965145281</v>
      </c>
      <c r="Z1869" t="s">
        <v>392</v>
      </c>
      <c r="AA1869">
        <v>140</v>
      </c>
      <c r="AB1869" t="s">
        <v>2260</v>
      </c>
      <c r="AC1869" t="str">
        <f>HYPERLINK("plots/20251231112652_3FT6Y119H04_05543_B21P_N_UFLEX98_M5358A8BA201511/dpll_52094/txpa_54211.png","plot")</f>
        <v>plot</v>
      </c>
    </row>
    <row r="1870" spans="1:29" hidden="1" x14ac:dyDescent="0.35">
      <c r="A1870" t="s">
        <v>47</v>
      </c>
      <c r="B1870">
        <v>52094</v>
      </c>
      <c r="C1870" t="s">
        <v>53</v>
      </c>
      <c r="D1870">
        <v>54212</v>
      </c>
      <c r="E1870" t="s">
        <v>232</v>
      </c>
      <c r="F1870">
        <v>7139</v>
      </c>
      <c r="G1870">
        <v>0.35094449051688947</v>
      </c>
      <c r="H1870">
        <v>5.4598422044884741E-206</v>
      </c>
      <c r="I1870">
        <v>3.2375906405563229E-205</v>
      </c>
      <c r="J1870">
        <v>0.34619249884825481</v>
      </c>
      <c r="K1870">
        <v>3.8662595865443041E-200</v>
      </c>
      <c r="L1870">
        <v>1.849239255073549E-199</v>
      </c>
      <c r="M1870">
        <v>0.23402053441639151</v>
      </c>
      <c r="N1870">
        <v>3.2124663567860421E-193</v>
      </c>
      <c r="O1870">
        <v>1.473955151937125E-192</v>
      </c>
      <c r="P1870">
        <v>0.1231620354241591</v>
      </c>
      <c r="Q1870">
        <v>0.72785828619454163</v>
      </c>
      <c r="R1870">
        <v>6.8289116393225964</v>
      </c>
      <c r="S1870">
        <v>0.2410841223282279</v>
      </c>
      <c r="T1870">
        <v>0.18496861676429921</v>
      </c>
      <c r="U1870">
        <v>4.2555146084885838</v>
      </c>
      <c r="V1870">
        <v>0.12414549193133841</v>
      </c>
      <c r="W1870">
        <v>9.9263232091329332</v>
      </c>
      <c r="X1870">
        <v>0.25747754256758609</v>
      </c>
      <c r="Z1870" t="s">
        <v>392</v>
      </c>
      <c r="AA1870">
        <v>140</v>
      </c>
      <c r="AB1870" t="s">
        <v>2261</v>
      </c>
      <c r="AC1870" t="str">
        <f>HYPERLINK("plots/20251231112652_3FT6Y119H04_05543_B21P_N_UFLEX98_M5358A8BA201511/dpll_52094/txpa_54212.png","plot")</f>
        <v>plot</v>
      </c>
    </row>
    <row r="1871" spans="1:29" hidden="1" x14ac:dyDescent="0.35">
      <c r="A1871" t="s">
        <v>47</v>
      </c>
      <c r="B1871">
        <v>52094</v>
      </c>
      <c r="C1871" t="s">
        <v>53</v>
      </c>
      <c r="D1871">
        <v>54213</v>
      </c>
      <c r="E1871" t="s">
        <v>233</v>
      </c>
      <c r="F1871">
        <v>7139</v>
      </c>
      <c r="G1871">
        <v>0.29854450419106582</v>
      </c>
      <c r="H1871">
        <v>6.6328898360828412E-147</v>
      </c>
      <c r="I1871">
        <v>1.624577365649276E-146</v>
      </c>
      <c r="J1871">
        <v>0.27791406147070158</v>
      </c>
      <c r="K1871">
        <v>9.038851045872061E-127</v>
      </c>
      <c r="L1871">
        <v>2.092555927058052E-126</v>
      </c>
      <c r="M1871">
        <v>0.18776773281093581</v>
      </c>
      <c r="N1871">
        <v>4.1059482000987451E-125</v>
      </c>
      <c r="O1871">
        <v>9.682398778837506E-125</v>
      </c>
      <c r="P1871">
        <v>8.9128820982689289E-2</v>
      </c>
      <c r="Q1871">
        <v>0.67472580804101512</v>
      </c>
      <c r="R1871">
        <v>7.2309186655043032</v>
      </c>
      <c r="S1871">
        <v>0.26776095987424609</v>
      </c>
      <c r="T1871">
        <v>0.21115474373345181</v>
      </c>
      <c r="U1871">
        <v>4.2555146084885838</v>
      </c>
      <c r="V1871">
        <v>0.12414549193133841</v>
      </c>
      <c r="W1871">
        <v>10.102224198347111</v>
      </c>
      <c r="X1871">
        <v>0.28057514434904252</v>
      </c>
      <c r="Z1871" t="s">
        <v>392</v>
      </c>
      <c r="AA1871">
        <v>140</v>
      </c>
      <c r="AB1871" t="s">
        <v>2262</v>
      </c>
      <c r="AC1871" t="str">
        <f>HYPERLINK("plots/20251231112652_3FT6Y119H04_05543_B21P_N_UFLEX98_M5358A8BA201511/dpll_52094/txpa_54213.png","plot")</f>
        <v>plot</v>
      </c>
    </row>
    <row r="1872" spans="1:29" hidden="1" x14ac:dyDescent="0.35">
      <c r="A1872" t="s">
        <v>47</v>
      </c>
      <c r="B1872">
        <v>52094</v>
      </c>
      <c r="C1872" t="s">
        <v>53</v>
      </c>
      <c r="D1872">
        <v>54214</v>
      </c>
      <c r="E1872" t="s">
        <v>234</v>
      </c>
      <c r="F1872">
        <v>7139</v>
      </c>
      <c r="G1872">
        <v>0.38135853107129403</v>
      </c>
      <c r="H1872">
        <v>6.7156577771990722E-246</v>
      </c>
      <c r="I1872">
        <v>1.309553266553819E-244</v>
      </c>
      <c r="J1872">
        <v>0.36676360181181478</v>
      </c>
      <c r="K1872">
        <v>3.312162698231489E-226</v>
      </c>
      <c r="L1872">
        <v>2.8222966184930498E-225</v>
      </c>
      <c r="M1872">
        <v>0.2497506549393472</v>
      </c>
      <c r="N1872">
        <v>8.9013170019177467E-220</v>
      </c>
      <c r="O1872">
        <v>6.9968491782516239E-219</v>
      </c>
      <c r="P1872">
        <v>0.14543432922085511</v>
      </c>
      <c r="Q1872">
        <v>0.75312755345933458</v>
      </c>
      <c r="R1872">
        <v>6.7209495745739396</v>
      </c>
      <c r="S1872">
        <v>0.22662526579924511</v>
      </c>
      <c r="T1872">
        <v>0.17539541464776121</v>
      </c>
      <c r="U1872">
        <v>4.2555146084885838</v>
      </c>
      <c r="V1872">
        <v>0.12414549193133841</v>
      </c>
      <c r="W1872">
        <v>9.9258948803754041</v>
      </c>
      <c r="X1872">
        <v>0.2451692645988699</v>
      </c>
      <c r="Z1872" t="s">
        <v>392</v>
      </c>
      <c r="AA1872">
        <v>140</v>
      </c>
      <c r="AB1872" t="s">
        <v>2263</v>
      </c>
      <c r="AC1872" t="str">
        <f>HYPERLINK("plots/20251231112652_3FT6Y119H04_05543_B21P_N_UFLEX98_M5358A8BA201511/dpll_52094/txpa_54214.png","plot")</f>
        <v>plot</v>
      </c>
    </row>
    <row r="1873" spans="1:29" hidden="1" x14ac:dyDescent="0.35">
      <c r="A1873" t="s">
        <v>47</v>
      </c>
      <c r="B1873">
        <v>52094</v>
      </c>
      <c r="C1873" t="s">
        <v>53</v>
      </c>
      <c r="D1873">
        <v>54215</v>
      </c>
      <c r="E1873" t="s">
        <v>235</v>
      </c>
      <c r="F1873">
        <v>7139</v>
      </c>
      <c r="G1873">
        <v>0.32807507330831309</v>
      </c>
      <c r="H1873">
        <v>9.3915128182067886E-179</v>
      </c>
      <c r="I1873">
        <v>3.3065951380769741E-178</v>
      </c>
      <c r="J1873">
        <v>0.29409688529156702</v>
      </c>
      <c r="K1873">
        <v>2.02495892198966E-142</v>
      </c>
      <c r="L1873">
        <v>5.3611183992102239E-142</v>
      </c>
      <c r="M1873">
        <v>0.1977877712088433</v>
      </c>
      <c r="N1873">
        <v>1.327501662233736E-138</v>
      </c>
      <c r="O1873">
        <v>3.4872712059715232E-138</v>
      </c>
      <c r="P1873">
        <v>0.107633253726255</v>
      </c>
      <c r="Q1873">
        <v>0.682012387806612</v>
      </c>
      <c r="R1873">
        <v>7.172523345872472</v>
      </c>
      <c r="S1873">
        <v>0.24377617148326799</v>
      </c>
      <c r="T1873">
        <v>0.19307323742039159</v>
      </c>
      <c r="U1873">
        <v>4.2555146084885838</v>
      </c>
      <c r="V1873">
        <v>0.12414549193133841</v>
      </c>
      <c r="W1873">
        <v>10.074837025353689</v>
      </c>
      <c r="X1873">
        <v>0.25807740446025879</v>
      </c>
      <c r="Z1873" t="s">
        <v>392</v>
      </c>
      <c r="AA1873">
        <v>140</v>
      </c>
      <c r="AB1873" t="s">
        <v>2264</v>
      </c>
      <c r="AC1873" t="str">
        <f>HYPERLINK("plots/20251231112652_3FT6Y119H04_05543_B21P_N_UFLEX98_M5358A8BA201511/dpll_52094/txpa_54215.png","plot")</f>
        <v>plot</v>
      </c>
    </row>
    <row r="1874" spans="1:29" hidden="1" x14ac:dyDescent="0.35">
      <c r="A1874" t="s">
        <v>47</v>
      </c>
      <c r="B1874">
        <v>52094</v>
      </c>
      <c r="C1874" t="s">
        <v>53</v>
      </c>
      <c r="D1874">
        <v>54216</v>
      </c>
      <c r="E1874" t="s">
        <v>236</v>
      </c>
      <c r="F1874">
        <v>7139</v>
      </c>
      <c r="G1874">
        <v>0.40003222423237322</v>
      </c>
      <c r="H1874">
        <v>1.305631464444629E-272</v>
      </c>
      <c r="I1874">
        <v>1.103258587455711E-270</v>
      </c>
      <c r="J1874">
        <v>0.37679753963616669</v>
      </c>
      <c r="K1874">
        <v>1.232343165945715E-239</v>
      </c>
      <c r="L1874">
        <v>1.3016624690301611E-238</v>
      </c>
      <c r="M1874">
        <v>0.25645578156129673</v>
      </c>
      <c r="N1874">
        <v>1.2751348882541E-231</v>
      </c>
      <c r="O1874">
        <v>1.267634094793782E-230</v>
      </c>
      <c r="P1874">
        <v>0.16002578042429971</v>
      </c>
      <c r="Q1874">
        <v>0.7162074263004311</v>
      </c>
      <c r="R1874">
        <v>6.9455349635400951</v>
      </c>
      <c r="S1874">
        <v>0.20369358694627429</v>
      </c>
      <c r="T1874">
        <v>0.15668130129375771</v>
      </c>
      <c r="U1874">
        <v>4.2555146084885838</v>
      </c>
      <c r="V1874">
        <v>0.12414549193133841</v>
      </c>
      <c r="W1874">
        <v>9.9933661288695905</v>
      </c>
      <c r="X1874">
        <v>0.22226690220659809</v>
      </c>
      <c r="Z1874" t="s">
        <v>392</v>
      </c>
      <c r="AA1874">
        <v>140</v>
      </c>
      <c r="AB1874" t="s">
        <v>2265</v>
      </c>
      <c r="AC1874" t="str">
        <f>HYPERLINK("plots/20251231112652_3FT6Y119H04_05543_B21P_N_UFLEX98_M5358A8BA201511/dpll_52094/txpa_54216.png","plot")</f>
        <v>plot</v>
      </c>
    </row>
    <row r="1875" spans="1:29" hidden="1" x14ac:dyDescent="0.35">
      <c r="A1875" t="s">
        <v>47</v>
      </c>
      <c r="B1875">
        <v>52094</v>
      </c>
      <c r="C1875" t="s">
        <v>53</v>
      </c>
      <c r="D1875">
        <v>54217</v>
      </c>
      <c r="E1875" t="s">
        <v>237</v>
      </c>
      <c r="F1875">
        <v>7139</v>
      </c>
      <c r="G1875">
        <v>0.31932994258886882</v>
      </c>
      <c r="H1875">
        <v>6.1093055538153308E-169</v>
      </c>
      <c r="I1875">
        <v>1.9002563900517619E-168</v>
      </c>
      <c r="J1875">
        <v>0.29028448038555438</v>
      </c>
      <c r="K1875">
        <v>1.222164079615342E-138</v>
      </c>
      <c r="L1875">
        <v>3.1533699153434019E-138</v>
      </c>
      <c r="M1875">
        <v>0.19581348066421561</v>
      </c>
      <c r="N1875">
        <v>6.8629535641737767E-136</v>
      </c>
      <c r="O1875">
        <v>1.7573320490081339E-135</v>
      </c>
      <c r="P1875">
        <v>0.10197161223381029</v>
      </c>
      <c r="Q1875">
        <v>0.63725413022086508</v>
      </c>
      <c r="R1875">
        <v>7.3093096787325944</v>
      </c>
      <c r="S1875">
        <v>0.23475701749490921</v>
      </c>
      <c r="T1875">
        <v>0.18398368664807069</v>
      </c>
      <c r="U1875">
        <v>4.2555146084885838</v>
      </c>
      <c r="V1875">
        <v>0.12414549193133841</v>
      </c>
      <c r="W1875">
        <v>10.021153939207171</v>
      </c>
      <c r="X1875">
        <v>0.24774447031233121</v>
      </c>
      <c r="Z1875" t="s">
        <v>392</v>
      </c>
      <c r="AA1875">
        <v>140</v>
      </c>
      <c r="AB1875" t="s">
        <v>2266</v>
      </c>
      <c r="AC1875" t="str">
        <f>HYPERLINK("plots/20251231112652_3FT6Y119H04_05543_B21P_N_UFLEX98_M5358A8BA201511/dpll_52094/txpa_54217.png","plot")</f>
        <v>plot</v>
      </c>
    </row>
    <row r="1876" spans="1:29" hidden="1" x14ac:dyDescent="0.35">
      <c r="A1876" t="s">
        <v>47</v>
      </c>
      <c r="B1876">
        <v>52094</v>
      </c>
      <c r="C1876" t="s">
        <v>53</v>
      </c>
      <c r="D1876">
        <v>54218</v>
      </c>
      <c r="E1876" t="s">
        <v>238</v>
      </c>
      <c r="F1876">
        <v>7139</v>
      </c>
      <c r="G1876">
        <v>0.23117630369208311</v>
      </c>
      <c r="H1876">
        <v>3.095657334721627E-87</v>
      </c>
      <c r="I1876">
        <v>4.4461707328721382E-87</v>
      </c>
      <c r="J1876">
        <v>0.18804612900625811</v>
      </c>
      <c r="K1876">
        <v>8.026916234482219E-58</v>
      </c>
      <c r="L1876">
        <v>1.057051046982464E-57</v>
      </c>
      <c r="M1876">
        <v>0.12546790641057209</v>
      </c>
      <c r="N1876">
        <v>6.586221565938915E-57</v>
      </c>
      <c r="O1876">
        <v>8.6062225101315205E-57</v>
      </c>
      <c r="P1876">
        <v>5.3442483388734217E-2</v>
      </c>
      <c r="Q1876">
        <v>0.68513492445638102</v>
      </c>
      <c r="R1876">
        <v>6.6063407496620634</v>
      </c>
      <c r="S1876">
        <v>0.35793719421780967</v>
      </c>
      <c r="T1876">
        <v>0.29796184569531392</v>
      </c>
      <c r="U1876">
        <v>4.2555146084885838</v>
      </c>
      <c r="V1876">
        <v>0.12414549193133841</v>
      </c>
      <c r="W1876">
        <v>9.521942429471915</v>
      </c>
      <c r="X1876">
        <v>0.36792876638978222</v>
      </c>
      <c r="Z1876" t="s">
        <v>392</v>
      </c>
      <c r="AA1876">
        <v>140</v>
      </c>
      <c r="AB1876" t="s">
        <v>2267</v>
      </c>
      <c r="AC1876" t="str">
        <f>HYPERLINK("plots/20251231112652_3FT6Y119H04_05543_B21P_N_UFLEX98_M5358A8BA201511/dpll_52094/txpa_54218.png","plot")</f>
        <v>plot</v>
      </c>
    </row>
    <row r="1877" spans="1:29" hidden="1" x14ac:dyDescent="0.35">
      <c r="A1877" t="s">
        <v>47</v>
      </c>
      <c r="B1877">
        <v>52094</v>
      </c>
      <c r="C1877" t="s">
        <v>53</v>
      </c>
      <c r="D1877">
        <v>54219</v>
      </c>
      <c r="E1877" t="s">
        <v>239</v>
      </c>
      <c r="F1877">
        <v>7139</v>
      </c>
      <c r="G1877">
        <v>0.2253049371216326</v>
      </c>
      <c r="H1877">
        <v>7.6533639591877146E-83</v>
      </c>
      <c r="I1877">
        <v>1.064541982800596E-82</v>
      </c>
      <c r="J1877">
        <v>0.18421016148919209</v>
      </c>
      <c r="K1877">
        <v>1.606515258509337E-55</v>
      </c>
      <c r="L1877">
        <v>2.0568263536975599E-55</v>
      </c>
      <c r="M1877">
        <v>0.1224434311579318</v>
      </c>
      <c r="N1877">
        <v>2.7741810605956119E-54</v>
      </c>
      <c r="O1877">
        <v>3.5339442153818482E-54</v>
      </c>
      <c r="P1877">
        <v>5.0762314691382808E-2</v>
      </c>
      <c r="Q1877">
        <v>0.66752860301523231</v>
      </c>
      <c r="R1877">
        <v>7.7210626330963006</v>
      </c>
      <c r="S1877">
        <v>0.35833331837856658</v>
      </c>
      <c r="T1877">
        <v>0.29568771343734318</v>
      </c>
      <c r="U1877">
        <v>4.2555146084885838</v>
      </c>
      <c r="V1877">
        <v>0.12414549193133841</v>
      </c>
      <c r="W1877">
        <v>10.561740354811599</v>
      </c>
      <c r="X1877">
        <v>0.36781558299730788</v>
      </c>
      <c r="Z1877" t="s">
        <v>392</v>
      </c>
      <c r="AA1877">
        <v>140</v>
      </c>
      <c r="AB1877" t="s">
        <v>2268</v>
      </c>
      <c r="AC1877" t="str">
        <f>HYPERLINK("plots/20251231112652_3FT6Y119H04_05543_B21P_N_UFLEX98_M5358A8BA201511/dpll_52094/txpa_54219.png","plot")</f>
        <v>plot</v>
      </c>
    </row>
    <row r="1878" spans="1:29" hidden="1" x14ac:dyDescent="0.35">
      <c r="A1878" t="s">
        <v>47</v>
      </c>
      <c r="B1878">
        <v>52094</v>
      </c>
      <c r="C1878" t="s">
        <v>53</v>
      </c>
      <c r="D1878">
        <v>54220</v>
      </c>
      <c r="E1878" t="s">
        <v>240</v>
      </c>
      <c r="F1878">
        <v>7139</v>
      </c>
      <c r="G1878">
        <v>0.35892492017276811</v>
      </c>
      <c r="H1878">
        <v>4.8101037609054631E-216</v>
      </c>
      <c r="I1878">
        <v>3.5343805895348838E-215</v>
      </c>
      <c r="J1878">
        <v>0.35870521327618582</v>
      </c>
      <c r="K1878">
        <v>9.1807815351499794E-216</v>
      </c>
      <c r="L1878">
        <v>6.0845179585895948E-215</v>
      </c>
      <c r="M1878">
        <v>0.24346350447718609</v>
      </c>
      <c r="N1878">
        <v>5.9072853543375618E-209</v>
      </c>
      <c r="O1878">
        <v>3.4825507844757481E-208</v>
      </c>
      <c r="P1878">
        <v>0.12882709832102801</v>
      </c>
      <c r="Q1878">
        <v>0.73210462686990174</v>
      </c>
      <c r="R1878">
        <v>7.7513848863963801</v>
      </c>
      <c r="S1878">
        <v>0.23633184893779469</v>
      </c>
      <c r="T1878">
        <v>0.17967682704184021</v>
      </c>
      <c r="U1878">
        <v>4.2555146084885838</v>
      </c>
      <c r="V1878">
        <v>0.12414549193133841</v>
      </c>
      <c r="W1878">
        <v>10.866866820983329</v>
      </c>
      <c r="X1878">
        <v>0.2532214508934747</v>
      </c>
      <c r="Z1878" t="s">
        <v>392</v>
      </c>
      <c r="AA1878">
        <v>140</v>
      </c>
      <c r="AB1878" t="s">
        <v>2269</v>
      </c>
      <c r="AC1878" t="str">
        <f>HYPERLINK("plots/20251231112652_3FT6Y119H04_05543_B21P_N_UFLEX98_M5358A8BA201511/dpll_52094/txpa_54220.png","plot")</f>
        <v>plot</v>
      </c>
    </row>
    <row r="1879" spans="1:29" hidden="1" x14ac:dyDescent="0.35">
      <c r="A1879" t="s">
        <v>47</v>
      </c>
      <c r="B1879">
        <v>52094</v>
      </c>
      <c r="C1879" t="s">
        <v>53</v>
      </c>
      <c r="D1879">
        <v>54221</v>
      </c>
      <c r="E1879" t="s">
        <v>241</v>
      </c>
      <c r="F1879">
        <v>7139</v>
      </c>
      <c r="G1879">
        <v>0.3112401439425454</v>
      </c>
      <c r="H1879">
        <v>3.7636333175238239E-160</v>
      </c>
      <c r="I1879">
        <v>1.0455682695805909E-159</v>
      </c>
      <c r="J1879">
        <v>0.29590732370970052</v>
      </c>
      <c r="K1879">
        <v>3.0941207813106369E-144</v>
      </c>
      <c r="L1879">
        <v>8.3888729204518347E-144</v>
      </c>
      <c r="M1879">
        <v>0.20051473561628341</v>
      </c>
      <c r="N1879">
        <v>2.142305010996411E-142</v>
      </c>
      <c r="O1879">
        <v>5.8552487362543403E-142</v>
      </c>
      <c r="P1879">
        <v>9.6870427201376383E-2</v>
      </c>
      <c r="Q1879">
        <v>0.68115791485461818</v>
      </c>
      <c r="R1879">
        <v>8.1206705214971269</v>
      </c>
      <c r="S1879">
        <v>0.25818307328586138</v>
      </c>
      <c r="T1879">
        <v>0.20108264539081561</v>
      </c>
      <c r="U1879">
        <v>4.2555146084885838</v>
      </c>
      <c r="V1879">
        <v>0.12414549193133841</v>
      </c>
      <c r="W1879">
        <v>11.019347978848581</v>
      </c>
      <c r="X1879">
        <v>0.27169594304699168</v>
      </c>
      <c r="Z1879" t="s">
        <v>392</v>
      </c>
      <c r="AA1879">
        <v>140</v>
      </c>
      <c r="AB1879" t="s">
        <v>2270</v>
      </c>
      <c r="AC1879" t="str">
        <f>HYPERLINK("plots/20251231112652_3FT6Y119H04_05543_B21P_N_UFLEX98_M5358A8BA201511/dpll_52094/txpa_54221.png","plot")</f>
        <v>plot</v>
      </c>
    </row>
    <row r="1880" spans="1:29" hidden="1" x14ac:dyDescent="0.35">
      <c r="A1880" t="s">
        <v>47</v>
      </c>
      <c r="B1880">
        <v>52094</v>
      </c>
      <c r="C1880" t="s">
        <v>53</v>
      </c>
      <c r="D1880">
        <v>54222</v>
      </c>
      <c r="E1880" t="s">
        <v>242</v>
      </c>
      <c r="F1880">
        <v>7139</v>
      </c>
      <c r="G1880">
        <v>0.38934828281971029</v>
      </c>
      <c r="H1880">
        <v>4.0775689334185181E-257</v>
      </c>
      <c r="I1880">
        <v>1.1174742968882101E-255</v>
      </c>
      <c r="J1880">
        <v>0.37860228919674088</v>
      </c>
      <c r="K1880">
        <v>4.2098652700636247E-242</v>
      </c>
      <c r="L1880">
        <v>4.7431148709383518E-241</v>
      </c>
      <c r="M1880">
        <v>0.2588985424883371</v>
      </c>
      <c r="N1880">
        <v>5.1691093303237377E-236</v>
      </c>
      <c r="O1880">
        <v>5.6972574575524683E-235</v>
      </c>
      <c r="P1880">
        <v>0.1515920853346571</v>
      </c>
      <c r="Q1880">
        <v>0.75727812067874523</v>
      </c>
      <c r="R1880">
        <v>7.6442836899722311</v>
      </c>
      <c r="S1880">
        <v>0.2223924482846415</v>
      </c>
      <c r="T1880">
        <v>0.17044989741080649</v>
      </c>
      <c r="U1880">
        <v>4.2555146084885838</v>
      </c>
      <c r="V1880">
        <v>0.12414549193133841</v>
      </c>
      <c r="W1880">
        <v>10.86689179520941</v>
      </c>
      <c r="X1880">
        <v>0.2414616141097386</v>
      </c>
      <c r="Z1880" t="s">
        <v>392</v>
      </c>
      <c r="AA1880">
        <v>140</v>
      </c>
      <c r="AB1880" t="s">
        <v>2271</v>
      </c>
      <c r="AC1880" t="str">
        <f>HYPERLINK("plots/20251231112652_3FT6Y119H04_05543_B21P_N_UFLEX98_M5358A8BA201511/dpll_52094/txpa_54222.png","plot")</f>
        <v>plot</v>
      </c>
    </row>
    <row r="1881" spans="1:29" hidden="1" x14ac:dyDescent="0.35">
      <c r="A1881" t="s">
        <v>47</v>
      </c>
      <c r="B1881">
        <v>52094</v>
      </c>
      <c r="C1881" t="s">
        <v>53</v>
      </c>
      <c r="D1881">
        <v>54223</v>
      </c>
      <c r="E1881" t="s">
        <v>243</v>
      </c>
      <c r="F1881">
        <v>7139</v>
      </c>
      <c r="G1881">
        <v>0.3411458165366128</v>
      </c>
      <c r="H1881">
        <v>4.8923185477552261E-194</v>
      </c>
      <c r="I1881">
        <v>2.2860880218542849E-193</v>
      </c>
      <c r="J1881">
        <v>0.31136394043859428</v>
      </c>
      <c r="K1881">
        <v>2.7743795270335221E-160</v>
      </c>
      <c r="L1881">
        <v>8.8745136921513915E-160</v>
      </c>
      <c r="M1881">
        <v>0.2100587841648035</v>
      </c>
      <c r="N1881">
        <v>4.4670757936916188E-156</v>
      </c>
      <c r="O1881">
        <v>1.4289005851114519E-155</v>
      </c>
      <c r="P1881">
        <v>0.11638046814043231</v>
      </c>
      <c r="Q1881">
        <v>0.68973785739176974</v>
      </c>
      <c r="R1881">
        <v>8.0689042244681275</v>
      </c>
      <c r="S1881">
        <v>0.2359267590653692</v>
      </c>
      <c r="T1881">
        <v>0.1849272032181106</v>
      </c>
      <c r="U1881">
        <v>4.2555146084885838</v>
      </c>
      <c r="V1881">
        <v>0.12414549193133841</v>
      </c>
      <c r="W1881">
        <v>11.004093752626421</v>
      </c>
      <c r="X1881">
        <v>0.25100072009934421</v>
      </c>
      <c r="Z1881" t="s">
        <v>392</v>
      </c>
      <c r="AA1881">
        <v>140</v>
      </c>
      <c r="AB1881" t="s">
        <v>2272</v>
      </c>
      <c r="AC1881" t="str">
        <f>HYPERLINK("plots/20251231112652_3FT6Y119H04_05543_B21P_N_UFLEX98_M5358A8BA201511/dpll_52094/txpa_54223.png","plot")</f>
        <v>plot</v>
      </c>
    </row>
    <row r="1882" spans="1:29" hidden="1" x14ac:dyDescent="0.35">
      <c r="A1882" t="s">
        <v>47</v>
      </c>
      <c r="B1882">
        <v>52094</v>
      </c>
      <c r="C1882" t="s">
        <v>53</v>
      </c>
      <c r="D1882">
        <v>54224</v>
      </c>
      <c r="E1882" t="s">
        <v>244</v>
      </c>
      <c r="F1882">
        <v>7139</v>
      </c>
      <c r="G1882">
        <v>0.40767453785759977</v>
      </c>
      <c r="H1882">
        <v>4.7494192787365228E-284</v>
      </c>
      <c r="I1882">
        <v>5.3510123873764827E-282</v>
      </c>
      <c r="J1882">
        <v>0.38965465428418622</v>
      </c>
      <c r="K1882">
        <v>1.492907554084377E-257</v>
      </c>
      <c r="L1882">
        <v>2.2594153131963559E-256</v>
      </c>
      <c r="M1882">
        <v>0.26666226037078988</v>
      </c>
      <c r="N1882">
        <v>2.992404924440336E-250</v>
      </c>
      <c r="O1882">
        <v>4.1004035045709471E-249</v>
      </c>
      <c r="P1882">
        <v>0.16619852881740749</v>
      </c>
      <c r="Q1882">
        <v>0.72216876154351417</v>
      </c>
      <c r="R1882">
        <v>7.8533963801486006</v>
      </c>
      <c r="S1882">
        <v>0.20079688628252651</v>
      </c>
      <c r="T1882">
        <v>0.15263743090327289</v>
      </c>
      <c r="U1882">
        <v>4.2555146084885838</v>
      </c>
      <c r="V1882">
        <v>0.12414549193133841</v>
      </c>
      <c r="W1882">
        <v>10.92659609469113</v>
      </c>
      <c r="X1882">
        <v>0.21991561364222609</v>
      </c>
      <c r="Z1882" t="s">
        <v>392</v>
      </c>
      <c r="AA1882">
        <v>140</v>
      </c>
      <c r="AB1882" t="s">
        <v>2273</v>
      </c>
      <c r="AC1882" t="str">
        <f>HYPERLINK("plots/20251231112652_3FT6Y119H04_05543_B21P_N_UFLEX98_M5358A8BA201511/dpll_52094/txpa_54224.png","plot")</f>
        <v>plot</v>
      </c>
    </row>
    <row r="1883" spans="1:29" hidden="1" x14ac:dyDescent="0.35">
      <c r="A1883" t="s">
        <v>47</v>
      </c>
      <c r="B1883">
        <v>52094</v>
      </c>
      <c r="C1883" t="s">
        <v>53</v>
      </c>
      <c r="D1883">
        <v>54225</v>
      </c>
      <c r="E1883" t="s">
        <v>245</v>
      </c>
      <c r="F1883">
        <v>7139</v>
      </c>
      <c r="G1883">
        <v>0.33212069860881938</v>
      </c>
      <c r="H1883">
        <v>2.0984133258158349E-183</v>
      </c>
      <c r="I1883">
        <v>7.9692551025365424E-183</v>
      </c>
      <c r="J1883">
        <v>0.30503939519447099</v>
      </c>
      <c r="K1883">
        <v>1.3428895525605561E-153</v>
      </c>
      <c r="L1883">
        <v>3.946927554482331E-153</v>
      </c>
      <c r="M1883">
        <v>0.2063321360795847</v>
      </c>
      <c r="N1883">
        <v>1.1678872552575411E-150</v>
      </c>
      <c r="O1883">
        <v>3.5036617657726241E-150</v>
      </c>
      <c r="P1883">
        <v>0.1103041584444102</v>
      </c>
      <c r="Q1883">
        <v>0.64623145361891132</v>
      </c>
      <c r="R1883">
        <v>8.2021546691725877</v>
      </c>
      <c r="S1883">
        <v>0.22783133998628841</v>
      </c>
      <c r="T1883">
        <v>0.17745452479562279</v>
      </c>
      <c r="U1883">
        <v>4.2555146084885838</v>
      </c>
      <c r="V1883">
        <v>0.12414549193133841</v>
      </c>
      <c r="W1883">
        <v>10.952202060512681</v>
      </c>
      <c r="X1883">
        <v>0.24155893338498841</v>
      </c>
      <c r="Z1883" t="s">
        <v>392</v>
      </c>
      <c r="AA1883">
        <v>140</v>
      </c>
      <c r="AB1883" t="s">
        <v>2274</v>
      </c>
      <c r="AC1883" t="str">
        <f>HYPERLINK("plots/20251231112652_3FT6Y119H04_05543_B21P_N_UFLEX98_M5358A8BA201511/dpll_52094/txpa_54225.png","plot")</f>
        <v>plot</v>
      </c>
    </row>
    <row r="1884" spans="1:29" hidden="1" x14ac:dyDescent="0.35">
      <c r="A1884" t="s">
        <v>47</v>
      </c>
      <c r="B1884">
        <v>52094</v>
      </c>
      <c r="C1884" t="s">
        <v>53</v>
      </c>
      <c r="D1884">
        <v>54226</v>
      </c>
      <c r="E1884" t="s">
        <v>246</v>
      </c>
      <c r="F1884">
        <v>7139</v>
      </c>
      <c r="G1884">
        <v>0.24336530349168309</v>
      </c>
      <c r="H1884">
        <v>9.3144644676048135E-97</v>
      </c>
      <c r="I1884">
        <v>1.44196442292386E-96</v>
      </c>
      <c r="J1884">
        <v>0.1985424810375733</v>
      </c>
      <c r="K1884">
        <v>2.229493636407756E-64</v>
      </c>
      <c r="L1884">
        <v>3.0467743225302758E-64</v>
      </c>
      <c r="M1884">
        <v>0.1324725667606993</v>
      </c>
      <c r="N1884">
        <v>3.1371773703313952E-63</v>
      </c>
      <c r="O1884">
        <v>4.2871938726631188E-63</v>
      </c>
      <c r="P1884">
        <v>5.9226670943599007E-2</v>
      </c>
      <c r="Q1884">
        <v>0.68974286333580948</v>
      </c>
      <c r="R1884">
        <v>7.5602406455110476</v>
      </c>
      <c r="S1884">
        <v>0.34124915715474169</v>
      </c>
      <c r="T1884">
        <v>0.28331091639826289</v>
      </c>
      <c r="U1884">
        <v>4.2555146084885838</v>
      </c>
      <c r="V1884">
        <v>0.12414549193133841</v>
      </c>
      <c r="W1884">
        <v>10.49545147653733</v>
      </c>
      <c r="X1884">
        <v>0.3518515821540697</v>
      </c>
      <c r="Z1884" t="s">
        <v>392</v>
      </c>
      <c r="AA1884">
        <v>140</v>
      </c>
      <c r="AB1884" t="s">
        <v>2275</v>
      </c>
      <c r="AC1884" t="str">
        <f>HYPERLINK("plots/20251231112652_3FT6Y119H04_05543_B21P_N_UFLEX98_M5358A8BA201511/dpll_52094/txpa_54226.png","plot")</f>
        <v>plot</v>
      </c>
    </row>
    <row r="1885" spans="1:29" hidden="1" x14ac:dyDescent="0.35">
      <c r="A1885" t="s">
        <v>47</v>
      </c>
      <c r="B1885">
        <v>52094</v>
      </c>
      <c r="C1885" t="s">
        <v>53</v>
      </c>
      <c r="D1885">
        <v>54227</v>
      </c>
      <c r="E1885" t="s">
        <v>247</v>
      </c>
      <c r="F1885">
        <v>7139</v>
      </c>
      <c r="G1885">
        <v>0.23163988762989071</v>
      </c>
      <c r="H1885">
        <v>1.375822059565947E-87</v>
      </c>
      <c r="I1885">
        <v>1.981652796022543E-87</v>
      </c>
      <c r="J1885">
        <v>0.19021657932481911</v>
      </c>
      <c r="K1885">
        <v>3.802152319821994E-59</v>
      </c>
      <c r="L1885">
        <v>5.0265742533239918E-59</v>
      </c>
      <c r="M1885">
        <v>0.12641965555750961</v>
      </c>
      <c r="N1885">
        <v>9.5442291906212809E-58</v>
      </c>
      <c r="O1885">
        <v>1.260136510324216E-57</v>
      </c>
      <c r="P1885">
        <v>5.365703754118837E-2</v>
      </c>
      <c r="Q1885">
        <v>0.67131722106201563</v>
      </c>
      <c r="R1885">
        <v>8.1789230025722457</v>
      </c>
      <c r="S1885">
        <v>0.34997679971277568</v>
      </c>
      <c r="T1885">
        <v>0.28802668159943268</v>
      </c>
      <c r="U1885">
        <v>4.2555146084885838</v>
      </c>
      <c r="V1885">
        <v>0.12414549193133841</v>
      </c>
      <c r="W1885">
        <v>11.03572324373161</v>
      </c>
      <c r="X1885">
        <v>0.35978694128829608</v>
      </c>
      <c r="Z1885" t="s">
        <v>392</v>
      </c>
      <c r="AA1885">
        <v>140</v>
      </c>
      <c r="AB1885" t="s">
        <v>2276</v>
      </c>
      <c r="AC1885" t="str">
        <f>HYPERLINK("plots/20251231112652_3FT6Y119H04_05543_B21P_N_UFLEX98_M5358A8BA201511/dpll_52094/txpa_54227.png","plot")</f>
        <v>plot</v>
      </c>
    </row>
    <row r="1886" spans="1:29" hidden="1" x14ac:dyDescent="0.35">
      <c r="A1886" t="s">
        <v>47</v>
      </c>
      <c r="B1886">
        <v>52094</v>
      </c>
      <c r="C1886" t="s">
        <v>53</v>
      </c>
      <c r="D1886">
        <v>54228</v>
      </c>
      <c r="E1886" t="s">
        <v>248</v>
      </c>
      <c r="F1886">
        <v>7139</v>
      </c>
      <c r="G1886">
        <v>0.36202094015183239</v>
      </c>
      <c r="H1886">
        <v>5.041865876816537E-220</v>
      </c>
      <c r="I1886">
        <v>4.2961781504974531E-219</v>
      </c>
      <c r="J1886">
        <v>0.36502734908514523</v>
      </c>
      <c r="K1886">
        <v>6.2467390142420046E-224</v>
      </c>
      <c r="L1886">
        <v>5.0271375876518988E-223</v>
      </c>
      <c r="M1886">
        <v>0.24840539415105059</v>
      </c>
      <c r="N1886">
        <v>1.9440120761882151E-217</v>
      </c>
      <c r="O1886">
        <v>1.4710658546677988E-216</v>
      </c>
      <c r="P1886">
        <v>0.13105916110841659</v>
      </c>
      <c r="Q1886">
        <v>0.7344730292634345</v>
      </c>
      <c r="R1886">
        <v>8.1998894204966675</v>
      </c>
      <c r="S1886">
        <v>0.23476740511285041</v>
      </c>
      <c r="T1886">
        <v>0.1772842442898257</v>
      </c>
      <c r="U1886">
        <v>4.2555146084885838</v>
      </c>
      <c r="V1886">
        <v>0.12414549193133841</v>
      </c>
      <c r="W1886">
        <v>11.32545012606808</v>
      </c>
      <c r="X1886">
        <v>0.2518680700899999</v>
      </c>
      <c r="Z1886" t="s">
        <v>392</v>
      </c>
      <c r="AA1886">
        <v>140</v>
      </c>
      <c r="AB1886" t="s">
        <v>2277</v>
      </c>
      <c r="AC1886" t="str">
        <f>HYPERLINK("plots/20251231112652_3FT6Y119H04_05543_B21P_N_UFLEX98_M5358A8BA201511/dpll_52094/txpa_54228.png","plot")</f>
        <v>plot</v>
      </c>
    </row>
    <row r="1887" spans="1:29" hidden="1" x14ac:dyDescent="0.35">
      <c r="A1887" t="s">
        <v>47</v>
      </c>
      <c r="B1887">
        <v>52094</v>
      </c>
      <c r="C1887" t="s">
        <v>53</v>
      </c>
      <c r="D1887">
        <v>54229</v>
      </c>
      <c r="E1887" t="s">
        <v>249</v>
      </c>
      <c r="F1887">
        <v>7139</v>
      </c>
      <c r="G1887">
        <v>0.31730062963043759</v>
      </c>
      <c r="H1887">
        <v>1.039194634886888E-166</v>
      </c>
      <c r="I1887">
        <v>3.1175839046606652E-166</v>
      </c>
      <c r="J1887">
        <v>0.30625054840140331</v>
      </c>
      <c r="K1887">
        <v>7.2558022970019629E-155</v>
      </c>
      <c r="L1887">
        <v>2.2160793762530091E-154</v>
      </c>
      <c r="M1887">
        <v>0.20788232529448239</v>
      </c>
      <c r="N1887">
        <v>6.6942136403856253E-153</v>
      </c>
      <c r="O1887">
        <v>2.063201407705479E-152</v>
      </c>
      <c r="P1887">
        <v>0.1006796895638722</v>
      </c>
      <c r="Q1887">
        <v>0.68518091688149962</v>
      </c>
      <c r="R1887">
        <v>8.5464800199606294</v>
      </c>
      <c r="S1887">
        <v>0.25420966620173507</v>
      </c>
      <c r="T1887">
        <v>0.1961293075948698</v>
      </c>
      <c r="U1887">
        <v>4.2555146084885838</v>
      </c>
      <c r="V1887">
        <v>0.12414549193133841</v>
      </c>
      <c r="W1887">
        <v>11.46227742120745</v>
      </c>
      <c r="X1887">
        <v>0.26808053323843628</v>
      </c>
      <c r="Z1887" t="s">
        <v>392</v>
      </c>
      <c r="AA1887">
        <v>140</v>
      </c>
      <c r="AB1887" t="s">
        <v>2278</v>
      </c>
      <c r="AC1887" t="str">
        <f>HYPERLINK("plots/20251231112652_3FT6Y119H04_05543_B21P_N_UFLEX98_M5358A8BA201511/dpll_52094/txpa_54229.png","plot")</f>
        <v>plot</v>
      </c>
    </row>
    <row r="1888" spans="1:29" hidden="1" x14ac:dyDescent="0.35">
      <c r="A1888" t="s">
        <v>47</v>
      </c>
      <c r="B1888">
        <v>52094</v>
      </c>
      <c r="C1888" t="s">
        <v>53</v>
      </c>
      <c r="D1888">
        <v>54230</v>
      </c>
      <c r="E1888" t="s">
        <v>250</v>
      </c>
      <c r="F1888">
        <v>7139</v>
      </c>
      <c r="G1888">
        <v>0.39201652516068031</v>
      </c>
      <c r="H1888">
        <v>6.2278367504404619E-261</v>
      </c>
      <c r="I1888">
        <v>2.1050088216488759E-259</v>
      </c>
      <c r="J1888">
        <v>0.38392074603301318</v>
      </c>
      <c r="K1888">
        <v>1.8370194402248289E-249</v>
      </c>
      <c r="L1888">
        <v>2.4509706741947061E-248</v>
      </c>
      <c r="M1888">
        <v>0.26320111658766232</v>
      </c>
      <c r="N1888">
        <v>7.4959981243025828E-244</v>
      </c>
      <c r="O1888">
        <v>9.5011776225535247E-243</v>
      </c>
      <c r="P1888">
        <v>0.15367695599905429</v>
      </c>
      <c r="Q1888">
        <v>0.75862800919262308</v>
      </c>
      <c r="R1888">
        <v>8.0974284680357052</v>
      </c>
      <c r="S1888">
        <v>0.22100042866702219</v>
      </c>
      <c r="T1888">
        <v>0.16829265394885551</v>
      </c>
      <c r="U1888">
        <v>4.2555146084885838</v>
      </c>
      <c r="V1888">
        <v>0.12414549193133841</v>
      </c>
      <c r="W1888">
        <v>11.32578104356352</v>
      </c>
      <c r="X1888">
        <v>0.2402456053491811</v>
      </c>
      <c r="Z1888" t="s">
        <v>392</v>
      </c>
      <c r="AA1888">
        <v>140</v>
      </c>
      <c r="AB1888" t="s">
        <v>2279</v>
      </c>
      <c r="AC1888" t="str">
        <f>HYPERLINK("plots/20251231112652_3FT6Y119H04_05543_B21P_N_UFLEX98_M5358A8BA201511/dpll_52094/txpa_54230.png","plot")</f>
        <v>plot</v>
      </c>
    </row>
    <row r="1889" spans="1:29" hidden="1" x14ac:dyDescent="0.35">
      <c r="A1889" t="s">
        <v>47</v>
      </c>
      <c r="B1889">
        <v>52094</v>
      </c>
      <c r="C1889" t="s">
        <v>53</v>
      </c>
      <c r="D1889">
        <v>54231</v>
      </c>
      <c r="E1889" t="s">
        <v>251</v>
      </c>
      <c r="F1889">
        <v>7139</v>
      </c>
      <c r="G1889">
        <v>0.34707275824365902</v>
      </c>
      <c r="H1889">
        <v>3.2454644264958971E-201</v>
      </c>
      <c r="I1889">
        <v>1.7598400686988449E-200</v>
      </c>
      <c r="J1889">
        <v>0.32031976823701608</v>
      </c>
      <c r="K1889">
        <v>4.9160532865927209E-170</v>
      </c>
      <c r="L1889">
        <v>1.7368913005592401E-169</v>
      </c>
      <c r="M1889">
        <v>0.21644373094317851</v>
      </c>
      <c r="N1889">
        <v>1.391511284460441E-165</v>
      </c>
      <c r="O1889">
        <v>4.9335400085415614E-165</v>
      </c>
      <c r="P1889">
        <v>0.1204594995148614</v>
      </c>
      <c r="Q1889">
        <v>0.6935099919405936</v>
      </c>
      <c r="R1889">
        <v>8.5037074524152985</v>
      </c>
      <c r="S1889">
        <v>0.23262728454351719</v>
      </c>
      <c r="T1889">
        <v>0.18099748308081839</v>
      </c>
      <c r="U1889">
        <v>4.2555146084885838</v>
      </c>
      <c r="V1889">
        <v>0.12414549193133841</v>
      </c>
      <c r="W1889">
        <v>11.454949354251291</v>
      </c>
      <c r="X1889">
        <v>0.2480636611886449</v>
      </c>
      <c r="Z1889" t="s">
        <v>392</v>
      </c>
      <c r="AA1889">
        <v>140</v>
      </c>
      <c r="AB1889" t="s">
        <v>2280</v>
      </c>
      <c r="AC1889" t="str">
        <f>HYPERLINK("plots/20251231112652_3FT6Y119H04_05543_B21P_N_UFLEX98_M5358A8BA201511/dpll_52094/txpa_54231.png","plot")</f>
        <v>plot</v>
      </c>
    </row>
    <row r="1890" spans="1:29" hidden="1" x14ac:dyDescent="0.35">
      <c r="A1890" t="s">
        <v>47</v>
      </c>
      <c r="B1890">
        <v>52094</v>
      </c>
      <c r="C1890" t="s">
        <v>53</v>
      </c>
      <c r="D1890">
        <v>54232</v>
      </c>
      <c r="E1890" t="s">
        <v>252</v>
      </c>
      <c r="F1890">
        <v>7139</v>
      </c>
      <c r="G1890">
        <v>0.40943192216659352</v>
      </c>
      <c r="H1890">
        <v>1.007973140824764E-286</v>
      </c>
      <c r="I1890">
        <v>1.4601210925661579E-284</v>
      </c>
      <c r="J1890">
        <v>0.3950341606590107</v>
      </c>
      <c r="K1890">
        <v>2.7274677251628128E-265</v>
      </c>
      <c r="L1890">
        <v>4.6875462259577834E-264</v>
      </c>
      <c r="M1890">
        <v>0.27121178920593131</v>
      </c>
      <c r="N1890">
        <v>8.6639647463968209E-259</v>
      </c>
      <c r="O1890">
        <v>1.416977460136512E-257</v>
      </c>
      <c r="P1890">
        <v>0.16763449888903151</v>
      </c>
      <c r="Q1890">
        <v>0.7245922956019718</v>
      </c>
      <c r="R1890">
        <v>8.2961143977158294</v>
      </c>
      <c r="S1890">
        <v>0.20043316398039041</v>
      </c>
      <c r="T1890">
        <v>0.15103965649863951</v>
      </c>
      <c r="U1890">
        <v>4.2555146084885838</v>
      </c>
      <c r="V1890">
        <v>0.12414549193133841</v>
      </c>
      <c r="W1890">
        <v>11.3796274968483</v>
      </c>
      <c r="X1890">
        <v>0.2197065302362107</v>
      </c>
      <c r="Z1890" t="s">
        <v>392</v>
      </c>
      <c r="AA1890">
        <v>140</v>
      </c>
      <c r="AB1890" t="s">
        <v>2281</v>
      </c>
      <c r="AC1890" t="str">
        <f>HYPERLINK("plots/20251231112652_3FT6Y119H04_05543_B21P_N_UFLEX98_M5358A8BA201511/dpll_52094/txpa_54232.png","plot")</f>
        <v>plot</v>
      </c>
    </row>
    <row r="1891" spans="1:29" hidden="1" x14ac:dyDescent="0.35">
      <c r="A1891" t="s">
        <v>47</v>
      </c>
      <c r="B1891">
        <v>52094</v>
      </c>
      <c r="C1891" t="s">
        <v>53</v>
      </c>
      <c r="D1891">
        <v>54233</v>
      </c>
      <c r="E1891" t="s">
        <v>253</v>
      </c>
      <c r="F1891">
        <v>7139</v>
      </c>
      <c r="G1891">
        <v>0.33781825311346869</v>
      </c>
      <c r="H1891">
        <v>4.480043614536791E-190</v>
      </c>
      <c r="I1891">
        <v>1.949684216798415E-189</v>
      </c>
      <c r="J1891">
        <v>0.31268544424446287</v>
      </c>
      <c r="K1891">
        <v>1.0602262714860019E-161</v>
      </c>
      <c r="L1891">
        <v>3.4904851924896299E-161</v>
      </c>
      <c r="M1891">
        <v>0.21182464475647159</v>
      </c>
      <c r="N1891">
        <v>1.120498922063918E-158</v>
      </c>
      <c r="O1891">
        <v>3.6651158289445578E-158</v>
      </c>
      <c r="P1891">
        <v>0.1141211721366356</v>
      </c>
      <c r="Q1891">
        <v>0.65065485869994244</v>
      </c>
      <c r="R1891">
        <v>8.6338722021858914</v>
      </c>
      <c r="S1891">
        <v>0.225037689966503</v>
      </c>
      <c r="T1891">
        <v>0.17438953697029891</v>
      </c>
      <c r="U1891">
        <v>4.2555146084885838</v>
      </c>
      <c r="V1891">
        <v>0.12414549193133841</v>
      </c>
      <c r="W1891">
        <v>11.402743458467571</v>
      </c>
      <c r="X1891">
        <v>0.23911042925110479</v>
      </c>
      <c r="Z1891" t="s">
        <v>392</v>
      </c>
      <c r="AA1891">
        <v>140</v>
      </c>
      <c r="AB1891" t="s">
        <v>2282</v>
      </c>
      <c r="AC1891" t="str">
        <f>HYPERLINK("plots/20251231112652_3FT6Y119H04_05543_B21P_N_UFLEX98_M5358A8BA201511/dpll_52094/txpa_54233.png","plot")</f>
        <v>plot</v>
      </c>
    </row>
    <row r="1892" spans="1:29" hidden="1" x14ac:dyDescent="0.35">
      <c r="A1892" t="s">
        <v>47</v>
      </c>
      <c r="B1892">
        <v>52094</v>
      </c>
      <c r="C1892" t="s">
        <v>53</v>
      </c>
      <c r="D1892">
        <v>54234</v>
      </c>
      <c r="E1892" t="s">
        <v>254</v>
      </c>
      <c r="F1892">
        <v>7139</v>
      </c>
      <c r="G1892">
        <v>0.24962773307662919</v>
      </c>
      <c r="H1892">
        <v>7.3097196205497281E-102</v>
      </c>
      <c r="I1892">
        <v>1.184034456108215E-101</v>
      </c>
      <c r="J1892">
        <v>0.20346556223042139</v>
      </c>
      <c r="K1892">
        <v>1.384465163822418E-67</v>
      </c>
      <c r="L1892">
        <v>1.9416980305891171E-67</v>
      </c>
      <c r="M1892">
        <v>0.135752852868359</v>
      </c>
      <c r="N1892">
        <v>2.6224677160198922E-66</v>
      </c>
      <c r="O1892">
        <v>3.6678376055781668E-66</v>
      </c>
      <c r="P1892">
        <v>6.2314005120976818E-2</v>
      </c>
      <c r="Q1892">
        <v>0.69167462142086655</v>
      </c>
      <c r="R1892">
        <v>8.0283151361823499</v>
      </c>
      <c r="S1892">
        <v>0.33307210175741658</v>
      </c>
      <c r="T1892">
        <v>0.27601571004358638</v>
      </c>
      <c r="U1892">
        <v>4.2555146084885838</v>
      </c>
      <c r="V1892">
        <v>0.12414549193133841</v>
      </c>
      <c r="W1892">
        <v>10.97174659195966</v>
      </c>
      <c r="X1892">
        <v>0.34398536202047869</v>
      </c>
      <c r="Z1892" t="s">
        <v>392</v>
      </c>
      <c r="AA1892">
        <v>140</v>
      </c>
      <c r="AB1892" t="s">
        <v>2283</v>
      </c>
      <c r="AC1892" t="str">
        <f>HYPERLINK("plots/20251231112652_3FT6Y119H04_05543_B21P_N_UFLEX98_M5358A8BA201511/dpll_52094/txpa_54234.png","plot")</f>
        <v>plot</v>
      </c>
    </row>
    <row r="1893" spans="1:29" hidden="1" x14ac:dyDescent="0.35">
      <c r="A1893" t="s">
        <v>47</v>
      </c>
      <c r="B1893">
        <v>52094</v>
      </c>
      <c r="C1893" t="s">
        <v>53</v>
      </c>
      <c r="D1893">
        <v>54235</v>
      </c>
      <c r="E1893" t="s">
        <v>255</v>
      </c>
      <c r="F1893">
        <v>7139</v>
      </c>
      <c r="G1893">
        <v>0.23769005004468369</v>
      </c>
      <c r="H1893">
        <v>2.953131641002464E-92</v>
      </c>
      <c r="I1893">
        <v>4.4494435125950952E-92</v>
      </c>
      <c r="J1893">
        <v>0.1962240256105994</v>
      </c>
      <c r="K1893">
        <v>6.7485439791095333E-63</v>
      </c>
      <c r="L1893">
        <v>9.1606741563816153E-63</v>
      </c>
      <c r="M1893">
        <v>0.13034785854973041</v>
      </c>
      <c r="N1893">
        <v>2.8200462613876479E-61</v>
      </c>
      <c r="O1893">
        <v>3.7874528596649992E-61</v>
      </c>
      <c r="P1893">
        <v>5.6496559890244248E-2</v>
      </c>
      <c r="Q1893">
        <v>0.67352862536270464</v>
      </c>
      <c r="R1893">
        <v>8.6249589204392247</v>
      </c>
      <c r="S1893">
        <v>0.34167825049567868</v>
      </c>
      <c r="T1893">
        <v>0.28041369011833672</v>
      </c>
      <c r="U1893">
        <v>4.2555146084885838</v>
      </c>
      <c r="V1893">
        <v>0.12414549193133841</v>
      </c>
      <c r="W1893">
        <v>11.49116982490545</v>
      </c>
      <c r="X1893">
        <v>0.35178394093388438</v>
      </c>
      <c r="Z1893" t="s">
        <v>392</v>
      </c>
      <c r="AA1893">
        <v>140</v>
      </c>
      <c r="AB1893" t="s">
        <v>2284</v>
      </c>
      <c r="AC1893" t="str">
        <f>HYPERLINK("plots/20251231112652_3FT6Y119H04_05543_B21P_N_UFLEX98_M5358A8BA201511/dpll_52094/txpa_54235.png","plot")</f>
        <v>plot</v>
      </c>
    </row>
    <row r="1894" spans="1:29" hidden="1" x14ac:dyDescent="0.35">
      <c r="A1894" t="s">
        <v>47</v>
      </c>
      <c r="B1894">
        <v>52094</v>
      </c>
      <c r="C1894" t="s">
        <v>53</v>
      </c>
      <c r="D1894">
        <v>54236</v>
      </c>
      <c r="E1894" t="s">
        <v>256</v>
      </c>
      <c r="F1894">
        <v>7139</v>
      </c>
      <c r="G1894">
        <v>0.36454053146384729</v>
      </c>
      <c r="H1894">
        <v>2.6986608773240341E-223</v>
      </c>
      <c r="I1894">
        <v>2.5337427125986769E-222</v>
      </c>
      <c r="J1894">
        <v>0.37159348736655867</v>
      </c>
      <c r="K1894">
        <v>1.3045716906336319E-232</v>
      </c>
      <c r="L1894">
        <v>1.2248478650949101E-231</v>
      </c>
      <c r="M1894">
        <v>0.25357120282302292</v>
      </c>
      <c r="N1894">
        <v>1.7370869605485118E-226</v>
      </c>
      <c r="O1894">
        <v>1.5868524126091809E-225</v>
      </c>
      <c r="P1894">
        <v>0.13288979907994419</v>
      </c>
      <c r="Q1894">
        <v>0.73636371944748169</v>
      </c>
      <c r="R1894">
        <v>8.6311738941783531</v>
      </c>
      <c r="S1894">
        <v>0.23349857935695939</v>
      </c>
      <c r="T1894">
        <v>0.17495371649863661</v>
      </c>
      <c r="U1894">
        <v>4.2555146084885838</v>
      </c>
      <c r="V1894">
        <v>0.12414549193133841</v>
      </c>
      <c r="W1894">
        <v>11.764780459448099</v>
      </c>
      <c r="X1894">
        <v>0.25077111679216307</v>
      </c>
      <c r="Z1894" t="s">
        <v>392</v>
      </c>
      <c r="AA1894">
        <v>140</v>
      </c>
      <c r="AB1894" t="s">
        <v>2285</v>
      </c>
      <c r="AC1894" t="str">
        <f>HYPERLINK("plots/20251231112652_3FT6Y119H04_05543_B21P_N_UFLEX98_M5358A8BA201511/dpll_52094/txpa_54236.png","plot")</f>
        <v>plot</v>
      </c>
    </row>
    <row r="1895" spans="1:29" hidden="1" x14ac:dyDescent="0.35">
      <c r="A1895" t="s">
        <v>47</v>
      </c>
      <c r="B1895">
        <v>52094</v>
      </c>
      <c r="C1895" t="s">
        <v>53</v>
      </c>
      <c r="D1895">
        <v>54237</v>
      </c>
      <c r="E1895" t="s">
        <v>257</v>
      </c>
      <c r="F1895">
        <v>7139</v>
      </c>
      <c r="G1895">
        <v>0.32268677867283391</v>
      </c>
      <c r="H1895">
        <v>1.142177482509916E-172</v>
      </c>
      <c r="I1895">
        <v>3.7602856080034248E-172</v>
      </c>
      <c r="J1895">
        <v>0.31772748319162369</v>
      </c>
      <c r="K1895">
        <v>3.5393646883671303E-167</v>
      </c>
      <c r="L1895">
        <v>1.220719657824582E-166</v>
      </c>
      <c r="M1895">
        <v>0.2161313037939942</v>
      </c>
      <c r="N1895">
        <v>4.1238874700109972E-165</v>
      </c>
      <c r="O1895">
        <v>1.436983468931667E-164</v>
      </c>
      <c r="P1895">
        <v>0.10412675713025051</v>
      </c>
      <c r="Q1895">
        <v>0.68944295953380452</v>
      </c>
      <c r="R1895">
        <v>8.9485260583322415</v>
      </c>
      <c r="S1895">
        <v>0.25103887894861687</v>
      </c>
      <c r="T1895">
        <v>0.19137833468502211</v>
      </c>
      <c r="U1895">
        <v>4.2555146084885838</v>
      </c>
      <c r="V1895">
        <v>0.12414549193133841</v>
      </c>
      <c r="W1895">
        <v>11.882460644347949</v>
      </c>
      <c r="X1895">
        <v>0.26524556017431788</v>
      </c>
      <c r="Z1895" t="s">
        <v>392</v>
      </c>
      <c r="AA1895">
        <v>140</v>
      </c>
      <c r="AB1895" t="s">
        <v>2286</v>
      </c>
      <c r="AC1895" t="str">
        <f>HYPERLINK("plots/20251231112652_3FT6Y119H04_05543_B21P_N_UFLEX98_M5358A8BA201511/dpll_52094/txpa_54237.png","plot")</f>
        <v>plot</v>
      </c>
    </row>
    <row r="1896" spans="1:29" hidden="1" x14ac:dyDescent="0.35">
      <c r="A1896" t="s">
        <v>47</v>
      </c>
      <c r="B1896">
        <v>52094</v>
      </c>
      <c r="C1896" t="s">
        <v>53</v>
      </c>
      <c r="D1896">
        <v>54238</v>
      </c>
      <c r="E1896" t="s">
        <v>258</v>
      </c>
      <c r="F1896">
        <v>7139</v>
      </c>
      <c r="G1896">
        <v>0.39436526631529889</v>
      </c>
      <c r="H1896">
        <v>2.5458153850758642E-264</v>
      </c>
      <c r="I1896">
        <v>1.075607000194552E-262</v>
      </c>
      <c r="J1896">
        <v>0.38977534305854739</v>
      </c>
      <c r="K1896">
        <v>1.004631305702972E-257</v>
      </c>
      <c r="L1896">
        <v>1.543479006034567E-256</v>
      </c>
      <c r="M1896">
        <v>0.26805238651371488</v>
      </c>
      <c r="N1896">
        <v>7.6277877951316884E-253</v>
      </c>
      <c r="O1896">
        <v>1.154414451382617E-251</v>
      </c>
      <c r="P1896">
        <v>0.15552396327593659</v>
      </c>
      <c r="Q1896">
        <v>0.75979183780497273</v>
      </c>
      <c r="R1896">
        <v>8.5322433816798604</v>
      </c>
      <c r="S1896">
        <v>0.21978101057404081</v>
      </c>
      <c r="T1896">
        <v>0.16607859573528</v>
      </c>
      <c r="U1896">
        <v>4.2555146084885838</v>
      </c>
      <c r="V1896">
        <v>0.12414549193133841</v>
      </c>
      <c r="W1896">
        <v>11.765548646869309</v>
      </c>
      <c r="X1896">
        <v>0.23918113365060009</v>
      </c>
      <c r="Z1896" t="s">
        <v>392</v>
      </c>
      <c r="AA1896">
        <v>140</v>
      </c>
      <c r="AB1896" t="s">
        <v>2287</v>
      </c>
      <c r="AC1896" t="str">
        <f>HYPERLINK("plots/20251231112652_3FT6Y119H04_05543_B21P_N_UFLEX98_M5358A8BA201511/dpll_52094/txpa_54238.png","plot")</f>
        <v>plot</v>
      </c>
    </row>
    <row r="1897" spans="1:29" hidden="1" x14ac:dyDescent="0.35">
      <c r="A1897" t="s">
        <v>47</v>
      </c>
      <c r="B1897">
        <v>52094</v>
      </c>
      <c r="C1897" t="s">
        <v>53</v>
      </c>
      <c r="D1897">
        <v>54239</v>
      </c>
      <c r="E1897" t="s">
        <v>259</v>
      </c>
      <c r="F1897">
        <v>7139</v>
      </c>
      <c r="G1897">
        <v>0.35209517446653971</v>
      </c>
      <c r="H1897">
        <v>2.0195964340308959E-207</v>
      </c>
      <c r="I1897">
        <v>1.241133808549896E-206</v>
      </c>
      <c r="J1897">
        <v>0.33007561033249749</v>
      </c>
      <c r="K1897">
        <v>4.8058422479497242E-181</v>
      </c>
      <c r="L1897">
        <v>1.926135983960878E-180</v>
      </c>
      <c r="M1897">
        <v>0.22362649307567481</v>
      </c>
      <c r="N1897">
        <v>1.2884220075869519E-176</v>
      </c>
      <c r="O1897">
        <v>5.1233722184045843E-176</v>
      </c>
      <c r="P1897">
        <v>0.12397101188262299</v>
      </c>
      <c r="Q1897">
        <v>0.69655761531910976</v>
      </c>
      <c r="R1897">
        <v>8.9206282508091199</v>
      </c>
      <c r="S1897">
        <v>0.22985647639687781</v>
      </c>
      <c r="T1897">
        <v>0.17718310035357751</v>
      </c>
      <c r="U1897">
        <v>4.2555146084885838</v>
      </c>
      <c r="V1897">
        <v>0.12414549193133841</v>
      </c>
      <c r="W1897">
        <v>11.88483935845356</v>
      </c>
      <c r="X1897">
        <v>0.2455997528035668</v>
      </c>
      <c r="Z1897" t="s">
        <v>392</v>
      </c>
      <c r="AA1897">
        <v>140</v>
      </c>
      <c r="AB1897" t="s">
        <v>2288</v>
      </c>
      <c r="AC1897" t="str">
        <f>HYPERLINK("plots/20251231112652_3FT6Y119H04_05543_B21P_N_UFLEX98_M5358A8BA201511/dpll_52094/txpa_54239.png","plot")</f>
        <v>plot</v>
      </c>
    </row>
    <row r="1898" spans="1:29" hidden="1" x14ac:dyDescent="0.35">
      <c r="A1898" t="s">
        <v>47</v>
      </c>
      <c r="B1898">
        <v>52094</v>
      </c>
      <c r="C1898" t="s">
        <v>53</v>
      </c>
      <c r="D1898">
        <v>54240</v>
      </c>
      <c r="E1898" t="s">
        <v>260</v>
      </c>
      <c r="F1898">
        <v>7139</v>
      </c>
      <c r="G1898">
        <v>0.40988075171855132</v>
      </c>
      <c r="H1898">
        <v>2.0803842709761551E-287</v>
      </c>
      <c r="I1898">
        <v>4.2190193015396433E-285</v>
      </c>
      <c r="J1898">
        <v>0.40053554939698582</v>
      </c>
      <c r="K1898">
        <v>2.3531452628937492E-273</v>
      </c>
      <c r="L1898">
        <v>5.0767857373920459E-272</v>
      </c>
      <c r="M1898">
        <v>0.27604011778166171</v>
      </c>
      <c r="N1898">
        <v>5.2353780725741684E-268</v>
      </c>
      <c r="O1898">
        <v>9.8308766029448274E-267</v>
      </c>
      <c r="P1898">
        <v>0.1680022306293647</v>
      </c>
      <c r="Q1898">
        <v>0.72634415553903364</v>
      </c>
      <c r="R1898">
        <v>8.7219049267827309</v>
      </c>
      <c r="S1898">
        <v>0.20065340682538399</v>
      </c>
      <c r="T1898">
        <v>0.1496363032117857</v>
      </c>
      <c r="U1898">
        <v>4.2555146084885838</v>
      </c>
      <c r="V1898">
        <v>0.12414549193133841</v>
      </c>
      <c r="W1898">
        <v>11.81287309146939</v>
      </c>
      <c r="X1898">
        <v>0.21999655295539131</v>
      </c>
      <c r="Z1898" t="s">
        <v>392</v>
      </c>
      <c r="AA1898">
        <v>140</v>
      </c>
      <c r="AB1898" t="s">
        <v>2289</v>
      </c>
      <c r="AC1898" t="str">
        <f>HYPERLINK("plots/20251231112652_3FT6Y119H04_05543_B21P_N_UFLEX98_M5358A8BA201511/dpll_52094/txpa_54240.png","plot")</f>
        <v>plot</v>
      </c>
    </row>
    <row r="1899" spans="1:29" hidden="1" x14ac:dyDescent="0.35">
      <c r="A1899" t="s">
        <v>47</v>
      </c>
      <c r="B1899">
        <v>52094</v>
      </c>
      <c r="C1899" t="s">
        <v>53</v>
      </c>
      <c r="D1899">
        <v>54241</v>
      </c>
      <c r="E1899" t="s">
        <v>261</v>
      </c>
      <c r="F1899">
        <v>7139</v>
      </c>
      <c r="G1899">
        <v>0.34275811494119779</v>
      </c>
      <c r="H1899">
        <v>5.6534594859747907E-196</v>
      </c>
      <c r="I1899">
        <v>2.7560614994127101E-195</v>
      </c>
      <c r="J1899">
        <v>0.32134901578908509</v>
      </c>
      <c r="K1899">
        <v>3.542013356042665E-171</v>
      </c>
      <c r="L1899">
        <v>1.2736175684493841E-170</v>
      </c>
      <c r="M1899">
        <v>0.21810669449573239</v>
      </c>
      <c r="N1899">
        <v>4.1787850406313438E-168</v>
      </c>
      <c r="O1899">
        <v>1.518741229820854E-167</v>
      </c>
      <c r="P1899">
        <v>0.11748312535804339</v>
      </c>
      <c r="Q1899">
        <v>0.65524191579788493</v>
      </c>
      <c r="R1899">
        <v>9.0429926070700493</v>
      </c>
      <c r="S1899">
        <v>0.22293382600042461</v>
      </c>
      <c r="T1899">
        <v>0.17145215792478391</v>
      </c>
      <c r="U1899">
        <v>4.2555146084885838</v>
      </c>
      <c r="V1899">
        <v>0.12414549193133841</v>
      </c>
      <c r="W1899">
        <v>11.83138415184199</v>
      </c>
      <c r="X1899">
        <v>0.23732575955121091</v>
      </c>
      <c r="Z1899" t="s">
        <v>392</v>
      </c>
      <c r="AA1899">
        <v>140</v>
      </c>
      <c r="AB1899" t="s">
        <v>2290</v>
      </c>
      <c r="AC1899" t="str">
        <f>HYPERLINK("plots/20251231112652_3FT6Y119H04_05543_B21P_N_UFLEX98_M5358A8BA201511/dpll_52094/txpa_54241.png","plot")</f>
        <v>plot</v>
      </c>
    </row>
    <row r="1900" spans="1:29" hidden="1" x14ac:dyDescent="0.35">
      <c r="A1900" t="s">
        <v>47</v>
      </c>
      <c r="B1900">
        <v>52094</v>
      </c>
      <c r="C1900" t="s">
        <v>53</v>
      </c>
      <c r="D1900">
        <v>54242</v>
      </c>
      <c r="E1900" t="s">
        <v>262</v>
      </c>
      <c r="F1900">
        <v>7139</v>
      </c>
      <c r="G1900">
        <v>0.25602816674059292</v>
      </c>
      <c r="H1900">
        <v>3.1235331562020042E-107</v>
      </c>
      <c r="I1900">
        <v>5.2612335886857682E-107</v>
      </c>
      <c r="J1900">
        <v>0.2086040055291668</v>
      </c>
      <c r="K1900">
        <v>5.05267833955346E-71</v>
      </c>
      <c r="L1900">
        <v>7.2983131571327746E-71</v>
      </c>
      <c r="M1900">
        <v>0.13913772747495809</v>
      </c>
      <c r="N1900">
        <v>1.4597352761178099E-69</v>
      </c>
      <c r="O1900">
        <v>2.0935948656060241E-69</v>
      </c>
      <c r="P1900">
        <v>6.555042216454883E-2</v>
      </c>
      <c r="Q1900">
        <v>0.69293034899836459</v>
      </c>
      <c r="R1900">
        <v>8.4814649396601105</v>
      </c>
      <c r="S1900">
        <v>0.32477329174734232</v>
      </c>
      <c r="T1900">
        <v>0.26868151610321478</v>
      </c>
      <c r="U1900">
        <v>4.2555146084885838</v>
      </c>
      <c r="V1900">
        <v>0.12414549193133841</v>
      </c>
      <c r="W1900">
        <v>11.43024016248774</v>
      </c>
      <c r="X1900">
        <v>0.33599498112141502</v>
      </c>
      <c r="Z1900" t="s">
        <v>392</v>
      </c>
      <c r="AA1900">
        <v>140</v>
      </c>
      <c r="AB1900" t="s">
        <v>2291</v>
      </c>
      <c r="AC1900" t="str">
        <f>HYPERLINK("plots/20251231112652_3FT6Y119H04_05543_B21P_N_UFLEX98_M5358A8BA201511/dpll_52094/txpa_54242.png","plot")</f>
        <v>plot</v>
      </c>
    </row>
    <row r="1901" spans="1:29" hidden="1" x14ac:dyDescent="0.35">
      <c r="A1901" t="s">
        <v>47</v>
      </c>
      <c r="B1901">
        <v>52094</v>
      </c>
      <c r="C1901" t="s">
        <v>53</v>
      </c>
      <c r="D1901">
        <v>54243</v>
      </c>
      <c r="E1901" t="s">
        <v>263</v>
      </c>
      <c r="F1901">
        <v>7139</v>
      </c>
      <c r="G1901">
        <v>0.26136347821245809</v>
      </c>
      <c r="H1901">
        <v>7.95729884581455E-112</v>
      </c>
      <c r="I1901">
        <v>1.400816150981936E-111</v>
      </c>
      <c r="J1901">
        <v>0.22382716641045139</v>
      </c>
      <c r="K1901">
        <v>9.3311228517711391E-82</v>
      </c>
      <c r="L1901">
        <v>1.4692171695180021E-81</v>
      </c>
      <c r="M1901">
        <v>0.14858853525669821</v>
      </c>
      <c r="N1901">
        <v>4.5297491178269919E-79</v>
      </c>
      <c r="O1901">
        <v>7.066408623810109E-79</v>
      </c>
      <c r="P1901">
        <v>6.8310867743314088E-2</v>
      </c>
      <c r="Q1901">
        <v>0.68191902319627107</v>
      </c>
      <c r="R1901">
        <v>10.0457119190554</v>
      </c>
      <c r="S1901">
        <v>0.31262517961561481</v>
      </c>
      <c r="T1901">
        <v>0.25299046502166428</v>
      </c>
      <c r="U1901">
        <v>4.2555146084885838</v>
      </c>
      <c r="V1901">
        <v>0.12414549193133841</v>
      </c>
      <c r="W1901">
        <v>12.947628284073399</v>
      </c>
      <c r="X1901">
        <v>0.32390589982592127</v>
      </c>
      <c r="Z1901" t="s">
        <v>392</v>
      </c>
      <c r="AA1901">
        <v>140</v>
      </c>
      <c r="AB1901" t="s">
        <v>2292</v>
      </c>
      <c r="AC1901" t="str">
        <f>HYPERLINK("plots/20251231112652_3FT6Y119H04_05543_B21P_N_UFLEX98_M5358A8BA201511/dpll_52094/txpa_54243.png","plot")</f>
        <v>plot</v>
      </c>
    </row>
    <row r="1902" spans="1:29" hidden="1" x14ac:dyDescent="0.35">
      <c r="A1902" t="s">
        <v>47</v>
      </c>
      <c r="B1902">
        <v>52094</v>
      </c>
      <c r="C1902" t="s">
        <v>53</v>
      </c>
      <c r="D1902">
        <v>54244</v>
      </c>
      <c r="E1902" t="s">
        <v>264</v>
      </c>
      <c r="F1902">
        <v>7139</v>
      </c>
      <c r="G1902">
        <v>0.36644969032660651</v>
      </c>
      <c r="H1902">
        <v>8.5619225567713612E-226</v>
      </c>
      <c r="I1902">
        <v>8.6817894725661605E-225</v>
      </c>
      <c r="J1902">
        <v>0.39987102923584761</v>
      </c>
      <c r="K1902">
        <v>2.2587924774797948E-272</v>
      </c>
      <c r="L1902">
        <v>4.6743174942132889E-271</v>
      </c>
      <c r="M1902">
        <v>0.27748989264399332</v>
      </c>
      <c r="N1902">
        <v>8.2826668956699105E-271</v>
      </c>
      <c r="O1902">
        <v>1.7869413260019759E-269</v>
      </c>
      <c r="P1902">
        <v>0.1342853755404658</v>
      </c>
      <c r="Q1902">
        <v>0.74811130239467027</v>
      </c>
      <c r="R1902">
        <v>9.9500427784155079</v>
      </c>
      <c r="S1902">
        <v>0.2357978107829343</v>
      </c>
      <c r="T1902">
        <v>0.168876528655485</v>
      </c>
      <c r="U1902">
        <v>4.2555146084885838</v>
      </c>
      <c r="V1902">
        <v>0.12414549193133841</v>
      </c>
      <c r="W1902">
        <v>13.13364135453145</v>
      </c>
      <c r="X1902">
        <v>0.25344446483882682</v>
      </c>
      <c r="Z1902" t="s">
        <v>392</v>
      </c>
      <c r="AA1902">
        <v>140</v>
      </c>
      <c r="AB1902" t="s">
        <v>2293</v>
      </c>
      <c r="AC1902" t="str">
        <f>HYPERLINK("plots/20251231112652_3FT6Y119H04_05543_B21P_N_UFLEX98_M5358A8BA201511/dpll_52094/txpa_54244.png","plot")</f>
        <v>plot</v>
      </c>
    </row>
    <row r="1903" spans="1:29" hidden="1" x14ac:dyDescent="0.35">
      <c r="A1903" t="s">
        <v>47</v>
      </c>
      <c r="B1903">
        <v>52094</v>
      </c>
      <c r="C1903" t="s">
        <v>53</v>
      </c>
      <c r="D1903">
        <v>54245</v>
      </c>
      <c r="E1903" t="s">
        <v>265</v>
      </c>
      <c r="F1903">
        <v>7139</v>
      </c>
      <c r="G1903">
        <v>0.32868324687110501</v>
      </c>
      <c r="H1903">
        <v>1.8971299389324449E-179</v>
      </c>
      <c r="I1903">
        <v>6.7027517703048739E-179</v>
      </c>
      <c r="J1903">
        <v>0.35511943206159258</v>
      </c>
      <c r="K1903">
        <v>3.2597916938060562E-211</v>
      </c>
      <c r="L1903">
        <v>1.8674738856041469E-210</v>
      </c>
      <c r="M1903">
        <v>0.24452547374739991</v>
      </c>
      <c r="N1903">
        <v>9.1813698931595695E-211</v>
      </c>
      <c r="O1903">
        <v>5.7116006574624562E-210</v>
      </c>
      <c r="P1903">
        <v>0.1080326767737317</v>
      </c>
      <c r="Q1903">
        <v>0.72415644832250747</v>
      </c>
      <c r="R1903">
        <v>10.06076696279839</v>
      </c>
      <c r="S1903">
        <v>0.25830323218995888</v>
      </c>
      <c r="T1903">
        <v>0.1875158960815059</v>
      </c>
      <c r="U1903">
        <v>4.2555146084885838</v>
      </c>
      <c r="V1903">
        <v>0.12414549193133841</v>
      </c>
      <c r="W1903">
        <v>13.142425307466031</v>
      </c>
      <c r="X1903">
        <v>0.27351792148841592</v>
      </c>
      <c r="Z1903" t="s">
        <v>392</v>
      </c>
      <c r="AA1903">
        <v>140</v>
      </c>
      <c r="AB1903" t="s">
        <v>2294</v>
      </c>
      <c r="AC1903" t="str">
        <f>HYPERLINK("plots/20251231112652_3FT6Y119H04_05543_B21P_N_UFLEX98_M5358A8BA201511/dpll_52094/txpa_54245.png","plot")</f>
        <v>plot</v>
      </c>
    </row>
    <row r="1904" spans="1:29" hidden="1" x14ac:dyDescent="0.35">
      <c r="A1904" t="s">
        <v>47</v>
      </c>
      <c r="B1904">
        <v>52094</v>
      </c>
      <c r="C1904" t="s">
        <v>53</v>
      </c>
      <c r="D1904">
        <v>54246</v>
      </c>
      <c r="E1904" t="s">
        <v>266</v>
      </c>
      <c r="F1904">
        <v>7139</v>
      </c>
      <c r="G1904">
        <v>0.39527475086620811</v>
      </c>
      <c r="H1904">
        <v>1.219811119356579E-265</v>
      </c>
      <c r="I1904">
        <v>5.8899451191789083E-264</v>
      </c>
      <c r="J1904">
        <v>0.41615465965343679</v>
      </c>
      <c r="K1904">
        <v>4.244918086938669E-297</v>
      </c>
      <c r="L1904">
        <v>1.655518053906081E-295</v>
      </c>
      <c r="M1904">
        <v>0.2919213335373777</v>
      </c>
      <c r="N1904">
        <v>1.7743978525170431E-299</v>
      </c>
      <c r="O1904">
        <v>6.920151624816469E-298</v>
      </c>
      <c r="P1904">
        <v>0.15624212867234291</v>
      </c>
      <c r="Q1904">
        <v>0.76721819742649799</v>
      </c>
      <c r="R1904">
        <v>9.8715453290843698</v>
      </c>
      <c r="S1904">
        <v>0.22132438943604721</v>
      </c>
      <c r="T1904">
        <v>0.15932671204297191</v>
      </c>
      <c r="U1904">
        <v>4.2555146084885838</v>
      </c>
      <c r="V1904">
        <v>0.12414549193133841</v>
      </c>
      <c r="W1904">
        <v>13.13645357613111</v>
      </c>
      <c r="X1904">
        <v>0.240963229575031</v>
      </c>
      <c r="Z1904" t="s">
        <v>392</v>
      </c>
      <c r="AA1904">
        <v>140</v>
      </c>
      <c r="AB1904" t="s">
        <v>2295</v>
      </c>
      <c r="AC1904" t="str">
        <f>HYPERLINK("plots/20251231112652_3FT6Y119H04_05543_B21P_N_UFLEX98_M5358A8BA201511/dpll_52094/txpa_54246.png","plot")</f>
        <v>plot</v>
      </c>
    </row>
    <row r="1905" spans="1:29" hidden="1" x14ac:dyDescent="0.35">
      <c r="A1905" t="s">
        <v>47</v>
      </c>
      <c r="B1905">
        <v>52094</v>
      </c>
      <c r="C1905" t="s">
        <v>53</v>
      </c>
      <c r="D1905">
        <v>54247</v>
      </c>
      <c r="E1905" t="s">
        <v>267</v>
      </c>
      <c r="F1905">
        <v>7139</v>
      </c>
      <c r="G1905">
        <v>0.36141795458571768</v>
      </c>
      <c r="H1905">
        <v>3.0278515058712542E-219</v>
      </c>
      <c r="I1905">
        <v>2.516591333568403E-218</v>
      </c>
      <c r="J1905">
        <v>0.37122675007082678</v>
      </c>
      <c r="K1905">
        <v>4.0331607154209113E-232</v>
      </c>
      <c r="L1905">
        <v>3.7519495095750489E-231</v>
      </c>
      <c r="M1905">
        <v>0.25612980406035613</v>
      </c>
      <c r="N1905">
        <v>4.8865589235534289E-231</v>
      </c>
      <c r="O1905">
        <v>4.7190197604601691E-230</v>
      </c>
      <c r="P1905">
        <v>0.13062293789692389</v>
      </c>
      <c r="Q1905">
        <v>0.72226477294376468</v>
      </c>
      <c r="R1905">
        <v>10.1262640958308</v>
      </c>
      <c r="S1905">
        <v>0.2313083619477688</v>
      </c>
      <c r="T1905">
        <v>0.16926532697356531</v>
      </c>
      <c r="U1905">
        <v>4.2555146084885838</v>
      </c>
      <c r="V1905">
        <v>0.12414549193133841</v>
      </c>
      <c r="W1905">
        <v>13.19987238828968</v>
      </c>
      <c r="X1905">
        <v>0.2480948010581305</v>
      </c>
      <c r="Z1905" t="s">
        <v>392</v>
      </c>
      <c r="AA1905">
        <v>140</v>
      </c>
      <c r="AB1905" t="s">
        <v>2296</v>
      </c>
      <c r="AC1905" t="str">
        <f>HYPERLINK("plots/20251231112652_3FT6Y119H04_05543_B21P_N_UFLEX98_M5358A8BA201511/dpll_52094/txpa_54247.png","plot")</f>
        <v>plot</v>
      </c>
    </row>
    <row r="1906" spans="1:29" hidden="1" x14ac:dyDescent="0.35">
      <c r="A1906" t="s">
        <v>47</v>
      </c>
      <c r="B1906">
        <v>52094</v>
      </c>
      <c r="C1906" t="s">
        <v>53</v>
      </c>
      <c r="D1906">
        <v>54248</v>
      </c>
      <c r="E1906" t="s">
        <v>268</v>
      </c>
      <c r="F1906">
        <v>7139</v>
      </c>
      <c r="G1906">
        <v>0.39725225386963881</v>
      </c>
      <c r="H1906">
        <v>1.595286377706572E-268</v>
      </c>
      <c r="I1906">
        <v>1.01101274187154E-266</v>
      </c>
      <c r="J1906">
        <v>0.41972146245153519</v>
      </c>
      <c r="K1906">
        <v>1.061042719242618E-302</v>
      </c>
      <c r="L1906">
        <v>4.6778144230957146E-301</v>
      </c>
      <c r="M1906">
        <v>0.29573207323755379</v>
      </c>
      <c r="N1906">
        <v>2.7346686929186611E-307</v>
      </c>
      <c r="O1906">
        <v>1.2056321976606619E-305</v>
      </c>
      <c r="P1906">
        <v>0.15780935320450801</v>
      </c>
      <c r="Q1906">
        <v>0.74057246761730278</v>
      </c>
      <c r="R1906">
        <v>9.9978025761567313</v>
      </c>
      <c r="S1906">
        <v>0.21237673203943239</v>
      </c>
      <c r="T1906">
        <v>0.15083458948648371</v>
      </c>
      <c r="U1906">
        <v>4.2555146084885838</v>
      </c>
      <c r="V1906">
        <v>0.12414549193133841</v>
      </c>
      <c r="W1906">
        <v>13.149319530746601</v>
      </c>
      <c r="X1906">
        <v>0.23143665619912529</v>
      </c>
      <c r="Z1906" t="s">
        <v>392</v>
      </c>
      <c r="AA1906">
        <v>140</v>
      </c>
      <c r="AB1906" t="s">
        <v>2297</v>
      </c>
      <c r="AC1906" t="str">
        <f>HYPERLINK("plots/20251231112652_3FT6Y119H04_05543_B21P_N_UFLEX98_M5358A8BA201511/dpll_52094/txpa_54248.png","plot")</f>
        <v>plot</v>
      </c>
    </row>
    <row r="1907" spans="1:29" hidden="1" x14ac:dyDescent="0.35">
      <c r="A1907" t="s">
        <v>47</v>
      </c>
      <c r="B1907">
        <v>52094</v>
      </c>
      <c r="C1907" t="s">
        <v>53</v>
      </c>
      <c r="D1907">
        <v>54249</v>
      </c>
      <c r="E1907" t="s">
        <v>269</v>
      </c>
      <c r="F1907">
        <v>7139</v>
      </c>
      <c r="G1907">
        <v>0.34978134326809163</v>
      </c>
      <c r="H1907">
        <v>1.508400265900301E-204</v>
      </c>
      <c r="I1907">
        <v>8.5447925677257267E-204</v>
      </c>
      <c r="J1907">
        <v>0.35725543064606352</v>
      </c>
      <c r="K1907">
        <v>6.452639538976632E-214</v>
      </c>
      <c r="L1907">
        <v>4.0639605543616798E-213</v>
      </c>
      <c r="M1907">
        <v>0.24532353105648519</v>
      </c>
      <c r="N1907">
        <v>3.9696727601959378E-212</v>
      </c>
      <c r="O1907">
        <v>2.5316026282004291E-211</v>
      </c>
      <c r="P1907">
        <v>0.1223469880984305</v>
      </c>
      <c r="Q1907">
        <v>0.69263548965452004</v>
      </c>
      <c r="R1907">
        <v>10.18045638270428</v>
      </c>
      <c r="S1907">
        <v>0.23028733689735911</v>
      </c>
      <c r="T1907">
        <v>0.16988600307208629</v>
      </c>
      <c r="U1907">
        <v>4.2555146084885838</v>
      </c>
      <c r="V1907">
        <v>0.12414549193133841</v>
      </c>
      <c r="W1907">
        <v>13.127976827286741</v>
      </c>
      <c r="X1907">
        <v>0.2458323614085908</v>
      </c>
      <c r="Z1907" t="s">
        <v>392</v>
      </c>
      <c r="AA1907">
        <v>140</v>
      </c>
      <c r="AB1907" t="s">
        <v>2298</v>
      </c>
      <c r="AC1907" t="str">
        <f>HYPERLINK("plots/20251231112652_3FT6Y119H04_05543_B21P_N_UFLEX98_M5358A8BA201511/dpll_52094/txpa_54249.png","plot")</f>
        <v>plot</v>
      </c>
    </row>
    <row r="1908" spans="1:29" hidden="1" x14ac:dyDescent="0.35">
      <c r="A1908" t="s">
        <v>47</v>
      </c>
      <c r="B1908">
        <v>52094</v>
      </c>
      <c r="C1908" t="s">
        <v>53</v>
      </c>
      <c r="D1908">
        <v>54250</v>
      </c>
      <c r="E1908" t="s">
        <v>270</v>
      </c>
      <c r="F1908">
        <v>7139</v>
      </c>
      <c r="G1908">
        <v>0.28189960318645257</v>
      </c>
      <c r="H1908">
        <v>1.578279251187658E-130</v>
      </c>
      <c r="I1908">
        <v>3.2861912950806689E-130</v>
      </c>
      <c r="J1908">
        <v>0.23132385233376279</v>
      </c>
      <c r="K1908">
        <v>2.3919004959460461E-87</v>
      </c>
      <c r="L1908">
        <v>3.995695391909869E-87</v>
      </c>
      <c r="M1908">
        <v>0.1541670878519068</v>
      </c>
      <c r="N1908">
        <v>5.6524007753583285E-85</v>
      </c>
      <c r="O1908">
        <v>9.2593447273236587E-85</v>
      </c>
      <c r="P1908">
        <v>7.9467386276679416E-2</v>
      </c>
      <c r="Q1908">
        <v>0.69584568935328939</v>
      </c>
      <c r="R1908">
        <v>9.9374075063647069</v>
      </c>
      <c r="S1908">
        <v>0.29399409068591797</v>
      </c>
      <c r="T1908">
        <v>0.24151465024860461</v>
      </c>
      <c r="U1908">
        <v>4.2555146084885838</v>
      </c>
      <c r="V1908">
        <v>0.12414549193133841</v>
      </c>
      <c r="W1908">
        <v>12.89858900266144</v>
      </c>
      <c r="X1908">
        <v>0.3064428060082382</v>
      </c>
      <c r="Z1908" t="s">
        <v>392</v>
      </c>
      <c r="AA1908">
        <v>140</v>
      </c>
      <c r="AB1908" t="s">
        <v>2299</v>
      </c>
      <c r="AC1908" t="str">
        <f>HYPERLINK("plots/20251231112652_3FT6Y119H04_05543_B21P_N_UFLEX98_M5358A8BA201511/dpll_52094/txpa_54250.png","plot")</f>
        <v>plot</v>
      </c>
    </row>
    <row r="1909" spans="1:29" hidden="1" x14ac:dyDescent="0.35">
      <c r="A1909" t="s">
        <v>47</v>
      </c>
      <c r="B1909">
        <v>52094</v>
      </c>
      <c r="C1909" t="s">
        <v>53</v>
      </c>
      <c r="D1909">
        <v>54251</v>
      </c>
      <c r="E1909" t="s">
        <v>271</v>
      </c>
      <c r="F1909">
        <v>7139</v>
      </c>
      <c r="G1909">
        <v>0.27315330649722991</v>
      </c>
      <c r="H1909">
        <v>2.3093803054449371E-122</v>
      </c>
      <c r="I1909">
        <v>4.4183238296625769E-122</v>
      </c>
      <c r="J1909">
        <v>0.24224103353950441</v>
      </c>
      <c r="K1909">
        <v>7.4177428568433723E-96</v>
      </c>
      <c r="L1909">
        <v>1.331255089706049E-95</v>
      </c>
      <c r="M1909">
        <v>0.1612200292936411</v>
      </c>
      <c r="N1909">
        <v>9.5148305489977273E-93</v>
      </c>
      <c r="O1909">
        <v>1.701594034688482E-92</v>
      </c>
      <c r="P1909">
        <v>7.4612728850369625E-2</v>
      </c>
      <c r="Q1909">
        <v>0.68831800520588726</v>
      </c>
      <c r="R1909">
        <v>10.514199014784889</v>
      </c>
      <c r="S1909">
        <v>0.30091578047101297</v>
      </c>
      <c r="T1909">
        <v>0.24040303474037</v>
      </c>
      <c r="U1909">
        <v>4.2555146084885838</v>
      </c>
      <c r="V1909">
        <v>0.12414549193133841</v>
      </c>
      <c r="W1909">
        <v>13.44334634122426</v>
      </c>
      <c r="X1909">
        <v>0.31283376524804751</v>
      </c>
      <c r="Z1909" t="s">
        <v>392</v>
      </c>
      <c r="AA1909">
        <v>140</v>
      </c>
      <c r="AB1909" t="s">
        <v>2300</v>
      </c>
      <c r="AC1909" t="str">
        <f>HYPERLINK("plots/20251231112652_3FT6Y119H04_05543_B21P_N_UFLEX98_M5358A8BA201511/dpll_52094/txpa_54251.png","plot")</f>
        <v>plot</v>
      </c>
    </row>
    <row r="1910" spans="1:29" hidden="1" x14ac:dyDescent="0.35">
      <c r="A1910" t="s">
        <v>47</v>
      </c>
      <c r="B1910">
        <v>52094</v>
      </c>
      <c r="C1910" t="s">
        <v>53</v>
      </c>
      <c r="D1910">
        <v>54252</v>
      </c>
      <c r="E1910" t="s">
        <v>272</v>
      </c>
      <c r="F1910">
        <v>7137</v>
      </c>
      <c r="G1910">
        <v>0.36709359082875598</v>
      </c>
      <c r="H1910">
        <v>1.4091323075623899E-226</v>
      </c>
      <c r="I1910">
        <v>1.5040633261771191E-225</v>
      </c>
      <c r="J1910">
        <v>0.41146937577249237</v>
      </c>
      <c r="K1910">
        <v>9.2186914003977138E-290</v>
      </c>
      <c r="L1910">
        <v>2.9211728375010261E-288</v>
      </c>
      <c r="M1910">
        <v>0.28830924385371121</v>
      </c>
      <c r="N1910">
        <v>4.3873796045683067E-292</v>
      </c>
      <c r="O1910">
        <v>1.3481220966764429E-290</v>
      </c>
      <c r="P1910">
        <v>0.1347577044275502</v>
      </c>
      <c r="Q1910">
        <v>0.7658231058042515</v>
      </c>
      <c r="R1910">
        <v>10.319168597405421</v>
      </c>
      <c r="S1910">
        <v>0.24088356606333089</v>
      </c>
      <c r="T1910">
        <v>0.1695685141233842</v>
      </c>
      <c r="U1910">
        <v>4.2554763857363032</v>
      </c>
      <c r="V1910">
        <v>0.12414152207323779</v>
      </c>
      <c r="W1910">
        <v>13.57811073980664</v>
      </c>
      <c r="X1910">
        <v>0.258981492372998</v>
      </c>
      <c r="Z1910" t="s">
        <v>392</v>
      </c>
      <c r="AA1910">
        <v>140</v>
      </c>
      <c r="AB1910" t="s">
        <v>2301</v>
      </c>
      <c r="AC1910" t="str">
        <f>HYPERLINK("plots/20251231112652_3FT6Y119H04_05543_B21P_N_UFLEX98_M5358A8BA201511/dpll_52094/txpa_54252.png","plot")</f>
        <v>plot</v>
      </c>
    </row>
    <row r="1911" spans="1:29" hidden="1" x14ac:dyDescent="0.35">
      <c r="A1911" t="s">
        <v>47</v>
      </c>
      <c r="B1911">
        <v>52094</v>
      </c>
      <c r="C1911" t="s">
        <v>53</v>
      </c>
      <c r="D1911">
        <v>54253</v>
      </c>
      <c r="E1911" t="s">
        <v>273</v>
      </c>
      <c r="F1911">
        <v>7138</v>
      </c>
      <c r="G1911">
        <v>0.3237090200716119</v>
      </c>
      <c r="H1911">
        <v>8.6483307250906971E-174</v>
      </c>
      <c r="I1911">
        <v>2.8941938466145099E-173</v>
      </c>
      <c r="J1911">
        <v>0.35534944357286391</v>
      </c>
      <c r="K1911">
        <v>1.7882096854223329E-211</v>
      </c>
      <c r="L1911">
        <v>1.036139783438998E-210</v>
      </c>
      <c r="M1911">
        <v>0.24539071157534931</v>
      </c>
      <c r="N1911">
        <v>3.2575996844450408E-212</v>
      </c>
      <c r="O1911">
        <v>2.090636759510932E-211</v>
      </c>
      <c r="P1911">
        <v>0.1047875296757232</v>
      </c>
      <c r="Q1911">
        <v>0.75085203306303616</v>
      </c>
      <c r="R1911">
        <v>10.331170221372981</v>
      </c>
      <c r="S1911">
        <v>0.27243684326572137</v>
      </c>
      <c r="T1911">
        <v>0.19676358280033751</v>
      </c>
      <c r="U1911">
        <v>4.2554980033622858</v>
      </c>
      <c r="V1911">
        <v>0.1241462601862633</v>
      </c>
      <c r="W1911">
        <v>13.52641954889325</v>
      </c>
      <c r="X1911">
        <v>0.28796068715480061</v>
      </c>
      <c r="Z1911" t="s">
        <v>392</v>
      </c>
      <c r="AA1911">
        <v>140</v>
      </c>
      <c r="AB1911" t="s">
        <v>2302</v>
      </c>
      <c r="AC1911" t="str">
        <f>HYPERLINK("plots/20251231112652_3FT6Y119H04_05543_B21P_N_UFLEX98_M5358A8BA201511/dpll_52094/txpa_54253.png","plot")</f>
        <v>plot</v>
      </c>
    </row>
    <row r="1912" spans="1:29" hidden="1" x14ac:dyDescent="0.35">
      <c r="A1912" t="s">
        <v>47</v>
      </c>
      <c r="B1912">
        <v>52094</v>
      </c>
      <c r="C1912" t="s">
        <v>53</v>
      </c>
      <c r="D1912">
        <v>54254</v>
      </c>
      <c r="E1912" t="s">
        <v>274</v>
      </c>
      <c r="F1912">
        <v>7138</v>
      </c>
      <c r="G1912">
        <v>0.3931294648747336</v>
      </c>
      <c r="H1912">
        <v>1.692917803301583E-262</v>
      </c>
      <c r="I1912">
        <v>6.1307809019564479E-261</v>
      </c>
      <c r="J1912">
        <v>0.42796926826938009</v>
      </c>
      <c r="K1912">
        <v>0</v>
      </c>
      <c r="L1912">
        <v>0</v>
      </c>
      <c r="M1912">
        <v>0.30351298874193328</v>
      </c>
      <c r="N1912">
        <v>0</v>
      </c>
      <c r="O1912">
        <v>0</v>
      </c>
      <c r="P1912">
        <v>0.15455077615269441</v>
      </c>
      <c r="Q1912">
        <v>0.77953612422521734</v>
      </c>
      <c r="R1912">
        <v>10.2652566223158</v>
      </c>
      <c r="S1912">
        <v>0.22632283880417031</v>
      </c>
      <c r="T1912">
        <v>0.15925445321413151</v>
      </c>
      <c r="U1912">
        <v>4.2554929962174279</v>
      </c>
      <c r="V1912">
        <v>0.1241407572373364</v>
      </c>
      <c r="W1912">
        <v>13.582567139254691</v>
      </c>
      <c r="X1912">
        <v>0.24615861542205231</v>
      </c>
      <c r="Z1912" t="s">
        <v>392</v>
      </c>
      <c r="AA1912">
        <v>140</v>
      </c>
      <c r="AB1912" t="s">
        <v>2303</v>
      </c>
      <c r="AC1912" t="str">
        <f>HYPERLINK("plots/20251231112652_3FT6Y119H04_05543_B21P_N_UFLEX98_M5358A8BA201511/dpll_52094/txpa_54254.png","plot")</f>
        <v>plot</v>
      </c>
    </row>
    <row r="1913" spans="1:29" hidden="1" x14ac:dyDescent="0.35">
      <c r="A1913" t="s">
        <v>47</v>
      </c>
      <c r="B1913">
        <v>52094</v>
      </c>
      <c r="C1913" t="s">
        <v>53</v>
      </c>
      <c r="D1913">
        <v>54255</v>
      </c>
      <c r="E1913" t="s">
        <v>275</v>
      </c>
      <c r="F1913">
        <v>7139</v>
      </c>
      <c r="G1913">
        <v>0.35857575567505667</v>
      </c>
      <c r="H1913">
        <v>1.343343005811184E-215</v>
      </c>
      <c r="I1913">
        <v>9.6606369354080907E-215</v>
      </c>
      <c r="J1913">
        <v>0.38326260419723862</v>
      </c>
      <c r="K1913">
        <v>1.5218458149871451E-248</v>
      </c>
      <c r="L1913">
        <v>1.953356527084765E-247</v>
      </c>
      <c r="M1913">
        <v>0.26688014957146811</v>
      </c>
      <c r="N1913">
        <v>1.175659563286374E-250</v>
      </c>
      <c r="O1913">
        <v>1.633039448181347E-249</v>
      </c>
      <c r="P1913">
        <v>0.128576572557938</v>
      </c>
      <c r="Q1913">
        <v>0.74387876514058693</v>
      </c>
      <c r="R1913">
        <v>10.4454986902466</v>
      </c>
      <c r="S1913">
        <v>0.24040106614848719</v>
      </c>
      <c r="T1913">
        <v>0.17272292468981951</v>
      </c>
      <c r="U1913">
        <v>4.2555146084885838</v>
      </c>
      <c r="V1913">
        <v>0.12414549193133841</v>
      </c>
      <c r="W1913">
        <v>13.61108564224681</v>
      </c>
      <c r="X1913">
        <v>0.25754444848564167</v>
      </c>
      <c r="Z1913" t="s">
        <v>392</v>
      </c>
      <c r="AA1913">
        <v>140</v>
      </c>
      <c r="AB1913" t="s">
        <v>2304</v>
      </c>
      <c r="AC1913" t="str">
        <f>HYPERLINK("plots/20251231112652_3FT6Y119H04_05543_B21P_N_UFLEX98_M5358A8BA201511/dpll_52094/txpa_54255.png","plot")</f>
        <v>plot</v>
      </c>
    </row>
    <row r="1914" spans="1:29" hidden="1" x14ac:dyDescent="0.35">
      <c r="A1914" t="s">
        <v>47</v>
      </c>
      <c r="B1914">
        <v>52094</v>
      </c>
      <c r="C1914" t="s">
        <v>53</v>
      </c>
      <c r="D1914">
        <v>54256</v>
      </c>
      <c r="E1914" t="s">
        <v>276</v>
      </c>
      <c r="F1914">
        <v>7139</v>
      </c>
      <c r="G1914">
        <v>0.38546420321435598</v>
      </c>
      <c r="H1914">
        <v>1.2656920987979079E-251</v>
      </c>
      <c r="I1914">
        <v>2.7306633791086789E-250</v>
      </c>
      <c r="J1914">
        <v>0.42218238433995742</v>
      </c>
      <c r="K1914">
        <v>1.320528744249823E-306</v>
      </c>
      <c r="L1914">
        <v>9.5644010476380029E-305</v>
      </c>
      <c r="M1914">
        <v>0.29983089010970332</v>
      </c>
      <c r="N1914">
        <v>0</v>
      </c>
      <c r="O1914">
        <v>0</v>
      </c>
      <c r="P1914">
        <v>0.1485826519596784</v>
      </c>
      <c r="Q1914">
        <v>0.7562983820161111</v>
      </c>
      <c r="R1914">
        <v>10.35367566937467</v>
      </c>
      <c r="S1914">
        <v>0.22474027116446441</v>
      </c>
      <c r="T1914">
        <v>0.15779751558301061</v>
      </c>
      <c r="U1914">
        <v>4.2555146084885838</v>
      </c>
      <c r="V1914">
        <v>0.12414549193133841</v>
      </c>
      <c r="W1914">
        <v>13.57211448242051</v>
      </c>
      <c r="X1914">
        <v>0.24357912848797719</v>
      </c>
      <c r="Z1914" t="s">
        <v>392</v>
      </c>
      <c r="AA1914">
        <v>140</v>
      </c>
      <c r="AB1914" t="s">
        <v>2305</v>
      </c>
      <c r="AC1914" t="str">
        <f>HYPERLINK("plots/20251231112652_3FT6Y119H04_05543_B21P_N_UFLEX98_M5358A8BA201511/dpll_52094/txpa_54256.png","plot")</f>
        <v>plot</v>
      </c>
    </row>
    <row r="1915" spans="1:29" hidden="1" x14ac:dyDescent="0.35">
      <c r="A1915" t="s">
        <v>47</v>
      </c>
      <c r="B1915">
        <v>52094</v>
      </c>
      <c r="C1915" t="s">
        <v>53</v>
      </c>
      <c r="D1915">
        <v>54257</v>
      </c>
      <c r="E1915" t="s">
        <v>277</v>
      </c>
      <c r="F1915">
        <v>7139</v>
      </c>
      <c r="G1915">
        <v>0.34455107371953952</v>
      </c>
      <c r="H1915">
        <v>3.8413218494729028E-198</v>
      </c>
      <c r="I1915">
        <v>1.99748736172591E-197</v>
      </c>
      <c r="J1915">
        <v>0.36274810683574787</v>
      </c>
      <c r="K1915">
        <v>5.7738800910831709E-221</v>
      </c>
      <c r="L1915">
        <v>4.2425466756219823E-220</v>
      </c>
      <c r="M1915">
        <v>0.25019611469432501</v>
      </c>
      <c r="N1915">
        <v>1.4889775945059281E-220</v>
      </c>
      <c r="O1915">
        <v>1.207858624663209E-219</v>
      </c>
      <c r="P1915">
        <v>0.1187154424012876</v>
      </c>
      <c r="Q1915">
        <v>0.72074754088639215</v>
      </c>
      <c r="R1915">
        <v>10.45747118928016</v>
      </c>
      <c r="S1915">
        <v>0.24377444498681181</v>
      </c>
      <c r="T1915">
        <v>0.1777902302460139</v>
      </c>
      <c r="U1915">
        <v>4.2555146084885838</v>
      </c>
      <c r="V1915">
        <v>0.12414549193133841</v>
      </c>
      <c r="W1915">
        <v>13.524622878554419</v>
      </c>
      <c r="X1915">
        <v>0.25969316262957648</v>
      </c>
      <c r="Z1915" t="s">
        <v>392</v>
      </c>
      <c r="AA1915">
        <v>140</v>
      </c>
      <c r="AB1915" t="s">
        <v>2306</v>
      </c>
      <c r="AC1915" t="str">
        <f>HYPERLINK("plots/20251231112652_3FT6Y119H04_05543_B21P_N_UFLEX98_M5358A8BA201511/dpll_52094/txpa_54257.png","plot")</f>
        <v>plot</v>
      </c>
    </row>
    <row r="1916" spans="1:29" hidden="1" x14ac:dyDescent="0.35">
      <c r="A1916" t="s">
        <v>47</v>
      </c>
      <c r="B1916">
        <v>52094</v>
      </c>
      <c r="C1916" t="s">
        <v>53</v>
      </c>
      <c r="D1916">
        <v>54258</v>
      </c>
      <c r="E1916" t="s">
        <v>278</v>
      </c>
      <c r="F1916">
        <v>7139</v>
      </c>
      <c r="G1916">
        <v>0.2952225854049661</v>
      </c>
      <c r="H1916">
        <v>1.509695920984958E-143</v>
      </c>
      <c r="I1916">
        <v>3.5683721768735358E-143</v>
      </c>
      <c r="J1916">
        <v>0.24640845020919189</v>
      </c>
      <c r="K1916">
        <v>3.2102983093900159E-99</v>
      </c>
      <c r="L1916">
        <v>5.9839016281644788E-99</v>
      </c>
      <c r="M1916">
        <v>0.16420361157831859</v>
      </c>
      <c r="N1916">
        <v>3.8500342081792943E-96</v>
      </c>
      <c r="O1916">
        <v>7.1239684071054828E-96</v>
      </c>
      <c r="P1916">
        <v>8.7156374933192504E-2</v>
      </c>
      <c r="Q1916">
        <v>0.69866264575984705</v>
      </c>
      <c r="R1916">
        <v>10.426243417520681</v>
      </c>
      <c r="S1916">
        <v>0.28068336403635602</v>
      </c>
      <c r="T1916">
        <v>0.22871391306761549</v>
      </c>
      <c r="U1916">
        <v>4.2555146084885838</v>
      </c>
      <c r="V1916">
        <v>0.12414549193133841</v>
      </c>
      <c r="W1916">
        <v>13.399412512956999</v>
      </c>
      <c r="X1916">
        <v>0.29379804303565871</v>
      </c>
      <c r="Z1916" t="s">
        <v>392</v>
      </c>
      <c r="AA1916">
        <v>140</v>
      </c>
      <c r="AB1916" t="s">
        <v>2307</v>
      </c>
      <c r="AC1916" t="str">
        <f>HYPERLINK("plots/20251231112652_3FT6Y119H04_05543_B21P_N_UFLEX98_M5358A8BA201511/dpll_52094/txpa_54258.png","plot")</f>
        <v>plot</v>
      </c>
    </row>
    <row r="1917" spans="1:29" hidden="1" x14ac:dyDescent="0.35">
      <c r="A1917" t="s">
        <v>47</v>
      </c>
      <c r="B1917">
        <v>52094</v>
      </c>
      <c r="C1917" t="s">
        <v>53</v>
      </c>
      <c r="D1917">
        <v>55146</v>
      </c>
      <c r="E1917" t="s">
        <v>279</v>
      </c>
      <c r="F1917">
        <v>7139</v>
      </c>
      <c r="G1917">
        <v>-1.020039042825586E-2</v>
      </c>
      <c r="H1917">
        <v>0.38883664200546092</v>
      </c>
      <c r="I1917">
        <v>0.38999045993426051</v>
      </c>
      <c r="J1917">
        <v>-5.50553720580782E-3</v>
      </c>
      <c r="K1917">
        <v>0.64186039122563954</v>
      </c>
      <c r="L1917">
        <v>0.64504106709890829</v>
      </c>
      <c r="M1917">
        <v>-3.6314865208355702E-3</v>
      </c>
      <c r="N1917">
        <v>0.6454243400984323</v>
      </c>
      <c r="O1917">
        <v>0.64798047609882214</v>
      </c>
      <c r="P1917">
        <v>1.040479648888538E-4</v>
      </c>
      <c r="Q1917">
        <v>-0.3727350544865034</v>
      </c>
      <c r="R1917">
        <v>-9.8405080820146935</v>
      </c>
      <c r="S1917">
        <v>4.5358781906840191</v>
      </c>
      <c r="T1917">
        <v>3.4563444706828381</v>
      </c>
      <c r="U1917">
        <v>4.2555146084885838</v>
      </c>
      <c r="V1917">
        <v>0.12414549193133841</v>
      </c>
      <c r="W1917">
        <v>-11.4266875514778</v>
      </c>
      <c r="X1917">
        <v>4.5364319164784517</v>
      </c>
      <c r="Z1917" t="s">
        <v>392</v>
      </c>
      <c r="AA1917">
        <v>140</v>
      </c>
      <c r="AB1917" t="s">
        <v>2308</v>
      </c>
      <c r="AC1917" t="str">
        <f>HYPERLINK("plots/20251231112652_3FT6Y119H04_05543_B21P_N_UFLEX98_M5358A8BA201511/dpll_52094/txpa_55146.png","plot")</f>
        <v>plot</v>
      </c>
    </row>
    <row r="1918" spans="1:29" hidden="1" x14ac:dyDescent="0.35">
      <c r="A1918" t="s">
        <v>47</v>
      </c>
      <c r="B1918">
        <v>52094</v>
      </c>
      <c r="C1918" t="s">
        <v>53</v>
      </c>
      <c r="D1918">
        <v>55147</v>
      </c>
      <c r="E1918" t="s">
        <v>280</v>
      </c>
      <c r="F1918">
        <v>7138</v>
      </c>
      <c r="G1918">
        <v>0.11968914462266191</v>
      </c>
      <c r="H1918">
        <v>3.4219219208190852E-24</v>
      </c>
      <c r="I1918">
        <v>3.5370324441493907E-24</v>
      </c>
      <c r="J1918">
        <v>0.1113247150897583</v>
      </c>
      <c r="K1918">
        <v>3.9798359442852989E-21</v>
      </c>
      <c r="L1918">
        <v>4.1347885732636197E-21</v>
      </c>
      <c r="M1918">
        <v>7.4006465541866476E-2</v>
      </c>
      <c r="N1918">
        <v>7.0502770533580145E-21</v>
      </c>
      <c r="O1918">
        <v>7.3247755451895756E-21</v>
      </c>
      <c r="P1918">
        <v>1.432549134050448E-2</v>
      </c>
      <c r="Q1918">
        <v>0.78574453087054164</v>
      </c>
      <c r="R1918">
        <v>-22.392870088735439</v>
      </c>
      <c r="S1918">
        <v>0.80914098880128227</v>
      </c>
      <c r="T1918">
        <v>0.62788075957548095</v>
      </c>
      <c r="U1918">
        <v>4.2555156915102268</v>
      </c>
      <c r="V1918">
        <v>0.1241541552156686</v>
      </c>
      <c r="W1918">
        <v>-19.049121908097511</v>
      </c>
      <c r="X1918">
        <v>0.81505677689581602</v>
      </c>
      <c r="Z1918" t="s">
        <v>392</v>
      </c>
      <c r="AA1918">
        <v>140</v>
      </c>
      <c r="AB1918" t="s">
        <v>2309</v>
      </c>
      <c r="AC1918" t="str">
        <f>HYPERLINK("plots/20251231112652_3FT6Y119H04_05543_B21P_N_UFLEX98_M5358A8BA201511/dpll_52094/txpa_55147.png","plot")</f>
        <v>plot</v>
      </c>
    </row>
    <row r="1919" spans="1:29" hidden="1" x14ac:dyDescent="0.35">
      <c r="A1919" t="s">
        <v>47</v>
      </c>
      <c r="B1919">
        <v>52094</v>
      </c>
      <c r="C1919" t="s">
        <v>53</v>
      </c>
      <c r="D1919">
        <v>55148</v>
      </c>
      <c r="E1919" t="s">
        <v>281</v>
      </c>
      <c r="F1919">
        <v>7139</v>
      </c>
      <c r="G1919">
        <v>0.115797846066165</v>
      </c>
      <c r="H1919">
        <v>9.6671000258136167E-23</v>
      </c>
      <c r="I1919">
        <v>9.931549570592713E-23</v>
      </c>
      <c r="J1919">
        <v>0.1147174439947397</v>
      </c>
      <c r="K1919">
        <v>2.401339002284928E-22</v>
      </c>
      <c r="L1919">
        <v>2.5258897804117398E-22</v>
      </c>
      <c r="M1919">
        <v>7.64571439311129E-2</v>
      </c>
      <c r="N1919">
        <v>3.5496755589843648E-22</v>
      </c>
      <c r="O1919">
        <v>3.7337873618362522E-22</v>
      </c>
      <c r="P1919">
        <v>1.340914115356325E-2</v>
      </c>
      <c r="Q1919">
        <v>0.75288751336826365</v>
      </c>
      <c r="R1919">
        <v>-22.795572357702131</v>
      </c>
      <c r="S1919">
        <v>0.80167564776092448</v>
      </c>
      <c r="T1919">
        <v>0.60009204114944215</v>
      </c>
      <c r="U1919">
        <v>4.2555146084885838</v>
      </c>
      <c r="V1919">
        <v>0.12414549193133841</v>
      </c>
      <c r="W1919">
        <v>-19.591648546014849</v>
      </c>
      <c r="X1919">
        <v>0.80716173824735304</v>
      </c>
      <c r="Z1919" t="s">
        <v>392</v>
      </c>
      <c r="AA1919">
        <v>140</v>
      </c>
      <c r="AB1919" t="s">
        <v>2310</v>
      </c>
      <c r="AC1919" t="str">
        <f>HYPERLINK("plots/20251231112652_3FT6Y119H04_05543_B21P_N_UFLEX98_M5358A8BA201511/dpll_52094/txpa_55148.png","plot")</f>
        <v>plot</v>
      </c>
    </row>
    <row r="1920" spans="1:29" hidden="1" x14ac:dyDescent="0.35">
      <c r="A1920" t="s">
        <v>47</v>
      </c>
      <c r="B1920">
        <v>52094</v>
      </c>
      <c r="C1920" t="s">
        <v>53</v>
      </c>
      <c r="D1920">
        <v>55149</v>
      </c>
      <c r="E1920" t="s">
        <v>282</v>
      </c>
      <c r="F1920">
        <v>7139</v>
      </c>
      <c r="G1920">
        <v>0.12912406880864161</v>
      </c>
      <c r="H1920">
        <v>6.3575305733243904E-28</v>
      </c>
      <c r="I1920">
        <v>6.6803481879284253E-28</v>
      </c>
      <c r="J1920">
        <v>0.1121050169127752</v>
      </c>
      <c r="K1920">
        <v>2.0919493247159399E-21</v>
      </c>
      <c r="L1920">
        <v>2.1845897170566039E-21</v>
      </c>
      <c r="M1920">
        <v>7.4284036635484232E-2</v>
      </c>
      <c r="N1920">
        <v>5.0168603424364973E-21</v>
      </c>
      <c r="O1920">
        <v>5.2336382584677027E-21</v>
      </c>
      <c r="P1920">
        <v>1.6673025145698801E-2</v>
      </c>
      <c r="Q1920">
        <v>0.83254657605810278</v>
      </c>
      <c r="R1920">
        <v>-22.64107577515799</v>
      </c>
      <c r="S1920">
        <v>0.79368988860700029</v>
      </c>
      <c r="T1920">
        <v>0.61977047153761289</v>
      </c>
      <c r="U1920">
        <v>4.2555146084885838</v>
      </c>
      <c r="V1920">
        <v>0.12414549193133841</v>
      </c>
      <c r="W1920">
        <v>-19.098161658495581</v>
      </c>
      <c r="X1920">
        <v>0.80044646357649074</v>
      </c>
      <c r="Z1920" t="s">
        <v>392</v>
      </c>
      <c r="AA1920">
        <v>140</v>
      </c>
      <c r="AB1920" t="s">
        <v>2311</v>
      </c>
      <c r="AC1920" t="str">
        <f>HYPERLINK("plots/20251231112652_3FT6Y119H04_05543_B21P_N_UFLEX98_M5358A8BA201511/dpll_52094/txpa_55149.png","plot")</f>
        <v>plot</v>
      </c>
    </row>
    <row r="1921" spans="1:29" hidden="1" x14ac:dyDescent="0.35">
      <c r="A1921" t="s">
        <v>47</v>
      </c>
      <c r="B1921">
        <v>52094</v>
      </c>
      <c r="C1921" t="s">
        <v>53</v>
      </c>
      <c r="D1921">
        <v>55150</v>
      </c>
      <c r="E1921" t="s">
        <v>283</v>
      </c>
      <c r="F1921">
        <v>7129</v>
      </c>
      <c r="G1921">
        <v>0.14994821297245789</v>
      </c>
      <c r="H1921">
        <v>4.0050649692146737E-37</v>
      </c>
      <c r="I1921">
        <v>4.4335544528206102E-37</v>
      </c>
      <c r="J1921">
        <v>0.1419041136029677</v>
      </c>
      <c r="K1921">
        <v>2.1810659735191209E-33</v>
      </c>
      <c r="L1921">
        <v>2.451885695286462E-33</v>
      </c>
      <c r="M1921">
        <v>9.4510634901694271E-2</v>
      </c>
      <c r="N1921">
        <v>5.6308315922093712E-33</v>
      </c>
      <c r="O1921">
        <v>6.3370291170924543E-33</v>
      </c>
      <c r="P1921">
        <v>2.248446657363359E-2</v>
      </c>
      <c r="Q1921">
        <v>0.90523576526713678</v>
      </c>
      <c r="R1921">
        <v>-23.054907897575081</v>
      </c>
      <c r="S1921">
        <v>0.74119300095067076</v>
      </c>
      <c r="T1921">
        <v>0.5708659724085019</v>
      </c>
      <c r="U1921">
        <v>4.2555003447888904</v>
      </c>
      <c r="V1921">
        <v>0.1241879699349669</v>
      </c>
      <c r="W1921">
        <v>-19.202676786365551</v>
      </c>
      <c r="X1921">
        <v>0.74972145231034404</v>
      </c>
      <c r="Z1921" t="s">
        <v>392</v>
      </c>
      <c r="AA1921">
        <v>140</v>
      </c>
      <c r="AB1921" t="s">
        <v>2312</v>
      </c>
      <c r="AC1921" t="str">
        <f>HYPERLINK("plots/20251231112652_3FT6Y119H04_05543_B21P_N_UFLEX98_M5358A8BA201511/dpll_52094/txpa_55150.png","plot")</f>
        <v>plot</v>
      </c>
    </row>
    <row r="1922" spans="1:29" hidden="1" x14ac:dyDescent="0.35">
      <c r="A1922" t="s">
        <v>47</v>
      </c>
      <c r="B1922">
        <v>52094</v>
      </c>
      <c r="C1922" t="s">
        <v>53</v>
      </c>
      <c r="D1922">
        <v>55151</v>
      </c>
      <c r="E1922" t="s">
        <v>284</v>
      </c>
      <c r="F1922">
        <v>7139</v>
      </c>
      <c r="G1922">
        <v>0.1510734012577522</v>
      </c>
      <c r="H1922">
        <v>1.029514658042325E-37</v>
      </c>
      <c r="I1922">
        <v>1.142153023254833E-37</v>
      </c>
      <c r="J1922">
        <v>0.13549667975685731</v>
      </c>
      <c r="K1922">
        <v>1.3263643766840829E-30</v>
      </c>
      <c r="L1922">
        <v>1.458713099737158E-30</v>
      </c>
      <c r="M1922">
        <v>9.0332859837011475E-2</v>
      </c>
      <c r="N1922">
        <v>2.5949115963641352E-30</v>
      </c>
      <c r="O1922">
        <v>2.85383986845253E-30</v>
      </c>
      <c r="P1922">
        <v>2.28231725675858E-2</v>
      </c>
      <c r="Q1922">
        <v>1.054064784169608</v>
      </c>
      <c r="R1922">
        <v>-23.780251748904391</v>
      </c>
      <c r="S1922">
        <v>0.85618262732540584</v>
      </c>
      <c r="T1922">
        <v>0.64919137120991388</v>
      </c>
      <c r="U1922">
        <v>4.2555146084885838</v>
      </c>
      <c r="V1922">
        <v>0.12414549193133841</v>
      </c>
      <c r="W1922">
        <v>-19.29466366157725</v>
      </c>
      <c r="X1922">
        <v>0.86618418642058082</v>
      </c>
      <c r="Z1922" t="s">
        <v>392</v>
      </c>
      <c r="AA1922">
        <v>140</v>
      </c>
      <c r="AB1922" t="s">
        <v>2313</v>
      </c>
      <c r="AC1922" t="str">
        <f>HYPERLINK("plots/20251231112652_3FT6Y119H04_05543_B21P_N_UFLEX98_M5358A8BA201511/dpll_52094/txpa_55151.png","plot")</f>
        <v>plot</v>
      </c>
    </row>
    <row r="1923" spans="1:29" hidden="1" x14ac:dyDescent="0.35">
      <c r="A1923" t="s">
        <v>47</v>
      </c>
      <c r="B1923">
        <v>52094</v>
      </c>
      <c r="C1923" t="s">
        <v>53</v>
      </c>
      <c r="D1923">
        <v>55152</v>
      </c>
      <c r="E1923" t="s">
        <v>285</v>
      </c>
      <c r="F1923">
        <v>7121</v>
      </c>
      <c r="G1923">
        <v>0.14885318836585951</v>
      </c>
      <c r="H1923">
        <v>1.454953072207739E-36</v>
      </c>
      <c r="I1923">
        <v>1.5915020660395342E-36</v>
      </c>
      <c r="J1923">
        <v>0.1380113915672849</v>
      </c>
      <c r="K1923">
        <v>1.2713170512154211E-31</v>
      </c>
      <c r="L1923">
        <v>1.410410820495007E-31</v>
      </c>
      <c r="M1923">
        <v>9.1597727576623392E-2</v>
      </c>
      <c r="N1923">
        <v>4.8273465840823966E-31</v>
      </c>
      <c r="O1923">
        <v>5.349649657114263E-31</v>
      </c>
      <c r="P1923">
        <v>2.215727168668204E-2</v>
      </c>
      <c r="Q1923">
        <v>0.87214406478329298</v>
      </c>
      <c r="R1923">
        <v>-22.903384217858871</v>
      </c>
      <c r="S1923">
        <v>0.71972262439666845</v>
      </c>
      <c r="T1923">
        <v>0.55070671452701769</v>
      </c>
      <c r="U1923">
        <v>4.2556003639938211</v>
      </c>
      <c r="V1923">
        <v>0.1242313079245379</v>
      </c>
      <c r="W1923">
        <v>-19.191887618312041</v>
      </c>
      <c r="X1923">
        <v>0.72788227821058715</v>
      </c>
      <c r="Z1923" t="s">
        <v>392</v>
      </c>
      <c r="AA1923">
        <v>140</v>
      </c>
      <c r="AB1923" t="s">
        <v>2314</v>
      </c>
      <c r="AC1923" t="str">
        <f>HYPERLINK("plots/20251231112652_3FT6Y119H04_05543_B21P_N_UFLEX98_M5358A8BA201511/dpll_52094/txpa_55152.png","plot")</f>
        <v>plot</v>
      </c>
    </row>
    <row r="1924" spans="1:29" hidden="1" x14ac:dyDescent="0.35">
      <c r="A1924" t="s">
        <v>47</v>
      </c>
      <c r="B1924">
        <v>52094</v>
      </c>
      <c r="C1924" t="s">
        <v>53</v>
      </c>
      <c r="D1924">
        <v>55153</v>
      </c>
      <c r="E1924" t="s">
        <v>286</v>
      </c>
      <c r="F1924">
        <v>7139</v>
      </c>
      <c r="G1924">
        <v>0.13636184870074081</v>
      </c>
      <c r="H1924">
        <v>5.6048427318075887E-31</v>
      </c>
      <c r="I1924">
        <v>5.9635997167396604E-31</v>
      </c>
      <c r="J1924">
        <v>0.12630182875855761</v>
      </c>
      <c r="K1924">
        <v>8.880738234782847E-27</v>
      </c>
      <c r="L1924">
        <v>9.4690521241533201E-27</v>
      </c>
      <c r="M1924">
        <v>8.4023763799741066E-2</v>
      </c>
      <c r="N1924">
        <v>1.9016696612048511E-26</v>
      </c>
      <c r="O1924">
        <v>2.03406438445329E-26</v>
      </c>
      <c r="P1924">
        <v>1.8594553781083729E-2</v>
      </c>
      <c r="Q1924">
        <v>0.86541488970568314</v>
      </c>
      <c r="R1924">
        <v>-23.08659122732783</v>
      </c>
      <c r="S1924">
        <v>0.78047006272902242</v>
      </c>
      <c r="T1924">
        <v>0.59341954262059371</v>
      </c>
      <c r="U1924">
        <v>4.2555146084885838</v>
      </c>
      <c r="V1924">
        <v>0.12414549193133841</v>
      </c>
      <c r="W1924">
        <v>-19.403805521781759</v>
      </c>
      <c r="X1924">
        <v>0.78788428164389746</v>
      </c>
      <c r="Z1924" t="s">
        <v>392</v>
      </c>
      <c r="AA1924">
        <v>140</v>
      </c>
      <c r="AB1924" t="s">
        <v>2315</v>
      </c>
      <c r="AC1924" t="str">
        <f>HYPERLINK("plots/20251231112652_3FT6Y119H04_05543_B21P_N_UFLEX98_M5358A8BA201511/dpll_52094/txpa_55153.png","plot")</f>
        <v>plot</v>
      </c>
    </row>
    <row r="1925" spans="1:29" hidden="1" x14ac:dyDescent="0.35">
      <c r="A1925" t="s">
        <v>47</v>
      </c>
      <c r="B1925">
        <v>52094</v>
      </c>
      <c r="C1925" t="s">
        <v>53</v>
      </c>
      <c r="D1925">
        <v>55154</v>
      </c>
      <c r="E1925" t="s">
        <v>287</v>
      </c>
      <c r="F1925">
        <v>7136</v>
      </c>
      <c r="G1925">
        <v>0.12428187692374661</v>
      </c>
      <c r="H1925">
        <v>5.787892765569202E-26</v>
      </c>
      <c r="I1925">
        <v>6.0255885670299489E-26</v>
      </c>
      <c r="J1925">
        <v>0.1167786949727834</v>
      </c>
      <c r="K1925">
        <v>4.2889777945234058E-23</v>
      </c>
      <c r="L1925">
        <v>4.5161199207131182E-23</v>
      </c>
      <c r="M1925">
        <v>7.8129368408453539E-2</v>
      </c>
      <c r="N1925">
        <v>4.436876238170889E-23</v>
      </c>
      <c r="O1925">
        <v>4.671850992217322E-23</v>
      </c>
      <c r="P1925">
        <v>1.5445984931689289E-2</v>
      </c>
      <c r="Q1925">
        <v>0.77211558036483063</v>
      </c>
      <c r="R1925">
        <v>-22.269274852526092</v>
      </c>
      <c r="S1925">
        <v>0.76522245513654819</v>
      </c>
      <c r="T1925">
        <v>0.58881547522881594</v>
      </c>
      <c r="U1925">
        <v>4.2555036705437219</v>
      </c>
      <c r="V1925">
        <v>0.1241434616559097</v>
      </c>
      <c r="W1925">
        <v>-18.983534166199551</v>
      </c>
      <c r="X1925">
        <v>0.77125565945357222</v>
      </c>
      <c r="Z1925" t="s">
        <v>392</v>
      </c>
      <c r="AA1925">
        <v>140</v>
      </c>
      <c r="AB1925" t="s">
        <v>2316</v>
      </c>
      <c r="AC1925" t="str">
        <f>HYPERLINK("plots/20251231112652_3FT6Y119H04_05543_B21P_N_UFLEX98_M5358A8BA201511/dpll_52094/txpa_55154.png","plot")</f>
        <v>plot</v>
      </c>
    </row>
    <row r="1926" spans="1:29" hidden="1" x14ac:dyDescent="0.35">
      <c r="A1926" t="s">
        <v>47</v>
      </c>
      <c r="B1926">
        <v>52094</v>
      </c>
      <c r="C1926" t="s">
        <v>53</v>
      </c>
      <c r="D1926">
        <v>55155</v>
      </c>
      <c r="E1926" t="s">
        <v>288</v>
      </c>
      <c r="F1926">
        <v>7139</v>
      </c>
      <c r="G1926">
        <v>0.13081861409284781</v>
      </c>
      <c r="H1926">
        <v>1.2686205551350341E-28</v>
      </c>
      <c r="I1926">
        <v>1.334420376459465E-28</v>
      </c>
      <c r="J1926">
        <v>0.12712627040778199</v>
      </c>
      <c r="K1926">
        <v>4.1360023990388907E-27</v>
      </c>
      <c r="L1926">
        <v>4.452129970939953E-27</v>
      </c>
      <c r="M1926">
        <v>8.4245066140593711E-2</v>
      </c>
      <c r="N1926">
        <v>1.34872604627345E-26</v>
      </c>
      <c r="O1926">
        <v>1.448737511569151E-26</v>
      </c>
      <c r="P1926">
        <v>1.711350979317345E-2</v>
      </c>
      <c r="Q1926">
        <v>0.57748673581286014</v>
      </c>
      <c r="R1926">
        <v>-10.92470668267881</v>
      </c>
      <c r="S1926">
        <v>0.5432812128714446</v>
      </c>
      <c r="T1926">
        <v>0.45144821349625169</v>
      </c>
      <c r="U1926">
        <v>4.2555146084885838</v>
      </c>
      <c r="V1926">
        <v>0.12414549193133841</v>
      </c>
      <c r="W1926">
        <v>-8.4672034422187981</v>
      </c>
      <c r="X1926">
        <v>0.5480288519982871</v>
      </c>
      <c r="Z1926" t="s">
        <v>392</v>
      </c>
      <c r="AA1926">
        <v>140</v>
      </c>
      <c r="AB1926" t="s">
        <v>2317</v>
      </c>
      <c r="AC1926" t="str">
        <f>HYPERLINK("plots/20251231112652_3FT6Y119H04_05543_B21P_N_UFLEX98_M5358A8BA201511/dpll_52094/txpa_55155.png","plot")</f>
        <v>plot</v>
      </c>
    </row>
    <row r="1927" spans="1:29" hidden="1" x14ac:dyDescent="0.35">
      <c r="A1927" t="s">
        <v>47</v>
      </c>
      <c r="B1927">
        <v>52094</v>
      </c>
      <c r="C1927" t="s">
        <v>53</v>
      </c>
      <c r="D1927">
        <v>55156</v>
      </c>
      <c r="E1927" t="s">
        <v>289</v>
      </c>
      <c r="F1927">
        <v>7139</v>
      </c>
      <c r="G1927">
        <v>0.24015100936063119</v>
      </c>
      <c r="H1927">
        <v>3.4122331992540888E-94</v>
      </c>
      <c r="I1927">
        <v>5.2030142316445807E-94</v>
      </c>
      <c r="J1927">
        <v>0.20867635806877699</v>
      </c>
      <c r="K1927">
        <v>4.5128681616743226E-71</v>
      </c>
      <c r="L1927">
        <v>6.5278863280139289E-71</v>
      </c>
      <c r="M1927">
        <v>0.1393028412128974</v>
      </c>
      <c r="N1927">
        <v>1.030561609060172E-69</v>
      </c>
      <c r="O1927">
        <v>1.488588990864693E-69</v>
      </c>
      <c r="P1927">
        <v>5.7672507296929992E-2</v>
      </c>
      <c r="Q1927">
        <v>0.72325226438513712</v>
      </c>
      <c r="R1927">
        <v>-12.080750195987809</v>
      </c>
      <c r="S1927">
        <v>0.36291661482159882</v>
      </c>
      <c r="T1927">
        <v>0.29514682463370401</v>
      </c>
      <c r="U1927">
        <v>4.2555146084885838</v>
      </c>
      <c r="V1927">
        <v>0.12414549193133841</v>
      </c>
      <c r="W1927">
        <v>-9.0029396192744073</v>
      </c>
      <c r="X1927">
        <v>0.37388353432949012</v>
      </c>
      <c r="Z1927" t="s">
        <v>392</v>
      </c>
      <c r="AA1927">
        <v>140</v>
      </c>
      <c r="AB1927" t="s">
        <v>2318</v>
      </c>
      <c r="AC1927" t="str">
        <f>HYPERLINK("plots/20251231112652_3FT6Y119H04_05543_B21P_N_UFLEX98_M5358A8BA201511/dpll_52094/txpa_55156.png","plot")</f>
        <v>plot</v>
      </c>
    </row>
    <row r="1928" spans="1:29" hidden="1" x14ac:dyDescent="0.35">
      <c r="A1928" t="s">
        <v>47</v>
      </c>
      <c r="B1928">
        <v>52094</v>
      </c>
      <c r="C1928" t="s">
        <v>53</v>
      </c>
      <c r="D1928">
        <v>55157</v>
      </c>
      <c r="E1928" t="s">
        <v>290</v>
      </c>
      <c r="F1928">
        <v>7139</v>
      </c>
      <c r="G1928">
        <v>0.17016726816979991</v>
      </c>
      <c r="H1928">
        <v>1.595462316602617E-47</v>
      </c>
      <c r="I1928">
        <v>1.8404991911661591E-47</v>
      </c>
      <c r="J1928">
        <v>0.14491449469466641</v>
      </c>
      <c r="K1928">
        <v>8.2978594772281538E-35</v>
      </c>
      <c r="L1928">
        <v>9.4327685088669828E-35</v>
      </c>
      <c r="M1928">
        <v>9.6460975153223133E-2</v>
      </c>
      <c r="N1928">
        <v>2.3831176337397181E-34</v>
      </c>
      <c r="O1928">
        <v>2.709059731627886E-34</v>
      </c>
      <c r="P1928">
        <v>2.89568991563726E-2</v>
      </c>
      <c r="Q1928">
        <v>0.70800535216281724</v>
      </c>
      <c r="R1928">
        <v>-11.6008549940695</v>
      </c>
      <c r="S1928">
        <v>0.50895607431017631</v>
      </c>
      <c r="T1928">
        <v>0.44218378113249518</v>
      </c>
      <c r="U1928">
        <v>4.2555146084885838</v>
      </c>
      <c r="V1928">
        <v>0.12414549193133841</v>
      </c>
      <c r="W1928">
        <v>-8.587927875052527</v>
      </c>
      <c r="X1928">
        <v>0.51652514422789897</v>
      </c>
      <c r="Z1928" t="s">
        <v>392</v>
      </c>
      <c r="AA1928">
        <v>140</v>
      </c>
      <c r="AB1928" t="s">
        <v>2319</v>
      </c>
      <c r="AC1928" t="str">
        <f>HYPERLINK("plots/20251231112652_3FT6Y119H04_05543_B21P_N_UFLEX98_M5358A8BA201511/dpll_52094/txpa_55157.png","plot")</f>
        <v>plot</v>
      </c>
    </row>
    <row r="1929" spans="1:29" hidden="1" x14ac:dyDescent="0.35">
      <c r="A1929" t="s">
        <v>47</v>
      </c>
      <c r="B1929">
        <v>52094</v>
      </c>
      <c r="C1929" t="s">
        <v>53</v>
      </c>
      <c r="D1929">
        <v>55158</v>
      </c>
      <c r="E1929" t="s">
        <v>291</v>
      </c>
      <c r="F1929">
        <v>7139</v>
      </c>
      <c r="G1929">
        <v>0.21882202638676751</v>
      </c>
      <c r="H1929">
        <v>3.8918036050377911E-78</v>
      </c>
      <c r="I1929">
        <v>5.2617184740110938E-78</v>
      </c>
      <c r="J1929">
        <v>0.2054640409607669</v>
      </c>
      <c r="K1929">
        <v>6.5353253572127211E-69</v>
      </c>
      <c r="L1929">
        <v>9.2553350729241604E-69</v>
      </c>
      <c r="M1929">
        <v>0.1361586066193442</v>
      </c>
      <c r="N1929">
        <v>1.0981043704376639E-66</v>
      </c>
      <c r="O1929">
        <v>1.5422130631908459E-66</v>
      </c>
      <c r="P1929">
        <v>4.7883079232011162E-2</v>
      </c>
      <c r="Q1929">
        <v>0.76039523092445904</v>
      </c>
      <c r="R1929">
        <v>-11.93453554150925</v>
      </c>
      <c r="S1929">
        <v>0.42091463397792711</v>
      </c>
      <c r="T1929">
        <v>0.32584603510220261</v>
      </c>
      <c r="U1929">
        <v>4.2555146084885838</v>
      </c>
      <c r="V1929">
        <v>0.12414549193133841</v>
      </c>
      <c r="W1929">
        <v>-8.6986625280851655</v>
      </c>
      <c r="X1929">
        <v>0.43139916746090928</v>
      </c>
      <c r="Z1929" t="s">
        <v>392</v>
      </c>
      <c r="AA1929">
        <v>140</v>
      </c>
      <c r="AB1929" t="s">
        <v>2320</v>
      </c>
      <c r="AC1929" t="str">
        <f>HYPERLINK("plots/20251231112652_3FT6Y119H04_05543_B21P_N_UFLEX98_M5358A8BA201511/dpll_52094/txpa_55158.png","plot")</f>
        <v>plot</v>
      </c>
    </row>
    <row r="1930" spans="1:29" hidden="1" x14ac:dyDescent="0.35">
      <c r="A1930" t="s">
        <v>47</v>
      </c>
      <c r="B1930">
        <v>52094</v>
      </c>
      <c r="C1930" t="s">
        <v>53</v>
      </c>
      <c r="D1930">
        <v>55159</v>
      </c>
      <c r="E1930" t="s">
        <v>292</v>
      </c>
      <c r="F1930">
        <v>7139</v>
      </c>
      <c r="G1930">
        <v>0.1684119976142282</v>
      </c>
      <c r="H1930">
        <v>1.4307157025519751E-46</v>
      </c>
      <c r="I1930">
        <v>1.6448364199407059E-46</v>
      </c>
      <c r="J1930">
        <v>0.13457975618193169</v>
      </c>
      <c r="K1930">
        <v>3.2846058352830512E-30</v>
      </c>
      <c r="L1930">
        <v>3.592869813351687E-30</v>
      </c>
      <c r="M1930">
        <v>8.9062916375377776E-2</v>
      </c>
      <c r="N1930">
        <v>1.5687041891298269E-29</v>
      </c>
      <c r="O1930">
        <v>1.7103935997609079E-29</v>
      </c>
      <c r="P1930">
        <v>2.836260094041481E-2</v>
      </c>
      <c r="Q1930">
        <v>0.74891183449692489</v>
      </c>
      <c r="R1930">
        <v>-11.9612873185675</v>
      </c>
      <c r="S1930">
        <v>0.5441395738635848</v>
      </c>
      <c r="T1930">
        <v>0.43657136097773691</v>
      </c>
      <c r="U1930">
        <v>4.2555146084885838</v>
      </c>
      <c r="V1930">
        <v>0.12414549193133841</v>
      </c>
      <c r="W1930">
        <v>-8.7742820663958536</v>
      </c>
      <c r="X1930">
        <v>0.5520629730893174</v>
      </c>
      <c r="Z1930" t="s">
        <v>392</v>
      </c>
      <c r="AA1930">
        <v>140</v>
      </c>
      <c r="AB1930" t="s">
        <v>2321</v>
      </c>
      <c r="AC1930" t="str">
        <f>HYPERLINK("plots/20251231112652_3FT6Y119H04_05543_B21P_N_UFLEX98_M5358A8BA201511/dpll_52094/txpa_55159.png","plot")</f>
        <v>plot</v>
      </c>
    </row>
    <row r="1931" spans="1:29" hidden="1" x14ac:dyDescent="0.35">
      <c r="A1931" t="s">
        <v>47</v>
      </c>
      <c r="B1931">
        <v>52094</v>
      </c>
      <c r="C1931" t="s">
        <v>53</v>
      </c>
      <c r="D1931">
        <v>55160</v>
      </c>
      <c r="E1931" t="s">
        <v>293</v>
      </c>
      <c r="F1931">
        <v>7139</v>
      </c>
      <c r="G1931">
        <v>0.23245151407604689</v>
      </c>
      <c r="H1931">
        <v>3.3118905671098421E-88</v>
      </c>
      <c r="I1931">
        <v>4.7906662411546073E-88</v>
      </c>
      <c r="J1931">
        <v>0.2247520657384775</v>
      </c>
      <c r="K1931">
        <v>1.9548077646237561E-82</v>
      </c>
      <c r="L1931">
        <v>3.1282828987367889E-82</v>
      </c>
      <c r="M1931">
        <v>0.14952462891610999</v>
      </c>
      <c r="N1931">
        <v>4.9180837506485973E-80</v>
      </c>
      <c r="O1931">
        <v>7.7197165993152905E-80</v>
      </c>
      <c r="P1931">
        <v>5.4033706396246647E-2</v>
      </c>
      <c r="Q1931">
        <v>0.733920726031832</v>
      </c>
      <c r="R1931">
        <v>-11.8123652107144</v>
      </c>
      <c r="S1931">
        <v>0.38120197204726658</v>
      </c>
      <c r="T1931">
        <v>0.29392274040271138</v>
      </c>
      <c r="U1931">
        <v>4.2555146084885838</v>
      </c>
      <c r="V1931">
        <v>0.12414549193133841</v>
      </c>
      <c r="W1931">
        <v>-8.6891548396133906</v>
      </c>
      <c r="X1931">
        <v>0.39196539516631868</v>
      </c>
      <c r="Z1931" t="s">
        <v>392</v>
      </c>
      <c r="AA1931">
        <v>140</v>
      </c>
      <c r="AB1931" t="s">
        <v>2322</v>
      </c>
      <c r="AC1931" t="str">
        <f>HYPERLINK("plots/20251231112652_3FT6Y119H04_05543_B21P_N_UFLEX98_M5358A8BA201511/dpll_52094/txpa_55160.png","plot")</f>
        <v>plot</v>
      </c>
    </row>
    <row r="1932" spans="1:29" hidden="1" x14ac:dyDescent="0.35">
      <c r="A1932" t="s">
        <v>47</v>
      </c>
      <c r="B1932">
        <v>52094</v>
      </c>
      <c r="C1932" t="s">
        <v>53</v>
      </c>
      <c r="D1932">
        <v>55161</v>
      </c>
      <c r="E1932" t="s">
        <v>294</v>
      </c>
      <c r="F1932">
        <v>7139</v>
      </c>
      <c r="G1932">
        <v>0.1933015178496757</v>
      </c>
      <c r="H1932">
        <v>4.6719848948460242E-61</v>
      </c>
      <c r="I1932">
        <v>5.6939815905935912E-61</v>
      </c>
      <c r="J1932">
        <v>0.14825630100113149</v>
      </c>
      <c r="K1932">
        <v>2.2776835688551139E-36</v>
      </c>
      <c r="L1932">
        <v>2.6126370348632179E-36</v>
      </c>
      <c r="M1932">
        <v>9.8543062938035289E-2</v>
      </c>
      <c r="N1932">
        <v>8.9830948484717365E-36</v>
      </c>
      <c r="O1932">
        <v>1.0304138208541111E-35</v>
      </c>
      <c r="P1932">
        <v>3.736547680298849E-2</v>
      </c>
      <c r="Q1932">
        <v>0.66283349715034268</v>
      </c>
      <c r="R1932">
        <v>-11.64162105104616</v>
      </c>
      <c r="S1932">
        <v>0.41763841097009158</v>
      </c>
      <c r="T1932">
        <v>0.34430219437866388</v>
      </c>
      <c r="U1932">
        <v>4.2555146084885838</v>
      </c>
      <c r="V1932">
        <v>0.12414549193133841</v>
      </c>
      <c r="W1932">
        <v>-8.8209234209273006</v>
      </c>
      <c r="X1932">
        <v>0.42569655679729962</v>
      </c>
      <c r="Z1932" t="s">
        <v>392</v>
      </c>
      <c r="AA1932">
        <v>140</v>
      </c>
      <c r="AB1932" t="s">
        <v>2323</v>
      </c>
      <c r="AC1932" t="str">
        <f>HYPERLINK("plots/20251231112652_3FT6Y119H04_05543_B21P_N_UFLEX98_M5358A8BA201511/dpll_52094/txpa_55161.png","plot")</f>
        <v>plot</v>
      </c>
    </row>
    <row r="1933" spans="1:29" hidden="1" x14ac:dyDescent="0.35">
      <c r="A1933" t="s">
        <v>47</v>
      </c>
      <c r="B1933">
        <v>52094</v>
      </c>
      <c r="C1933" t="s">
        <v>53</v>
      </c>
      <c r="D1933">
        <v>55162</v>
      </c>
      <c r="E1933" t="s">
        <v>295</v>
      </c>
      <c r="F1933">
        <v>7139</v>
      </c>
      <c r="G1933">
        <v>0.14323914344803321</v>
      </c>
      <c r="H1933">
        <v>4.8750609043180664E-34</v>
      </c>
      <c r="I1933">
        <v>5.2588422946579994E-34</v>
      </c>
      <c r="J1933">
        <v>0.14413847685033451</v>
      </c>
      <c r="K1933">
        <v>1.8893632610912289E-34</v>
      </c>
      <c r="L1933">
        <v>2.1381856548510122E-34</v>
      </c>
      <c r="M1933">
        <v>9.5936095804194738E-2</v>
      </c>
      <c r="N1933">
        <v>5.3864382410284066E-34</v>
      </c>
      <c r="O1933">
        <v>6.0958129200924153E-34</v>
      </c>
      <c r="P1933">
        <v>2.0517452215726241E-2</v>
      </c>
      <c r="Q1933">
        <v>0.61521847712509592</v>
      </c>
      <c r="R1933">
        <v>-10.951768819283281</v>
      </c>
      <c r="S1933">
        <v>0.52767502659698662</v>
      </c>
      <c r="T1933">
        <v>0.41232310868631727</v>
      </c>
      <c r="U1933">
        <v>4.2555146084885838</v>
      </c>
      <c r="V1933">
        <v>0.12414549193133841</v>
      </c>
      <c r="W1933">
        <v>-8.33369760246533</v>
      </c>
      <c r="X1933">
        <v>0.53321039660959069</v>
      </c>
      <c r="Z1933" t="s">
        <v>392</v>
      </c>
      <c r="AA1933">
        <v>140</v>
      </c>
      <c r="AB1933" t="s">
        <v>2324</v>
      </c>
      <c r="AC1933" t="str">
        <f>HYPERLINK("plots/20251231112652_3FT6Y119H04_05543_B21P_N_UFLEX98_M5358A8BA201511/dpll_52094/txpa_55162.png","plot")</f>
        <v>plot</v>
      </c>
    </row>
    <row r="1934" spans="1:29" hidden="1" x14ac:dyDescent="0.35">
      <c r="A1934" t="s">
        <v>47</v>
      </c>
      <c r="B1934">
        <v>52094</v>
      </c>
      <c r="C1934" t="s">
        <v>53</v>
      </c>
      <c r="D1934">
        <v>55163</v>
      </c>
      <c r="E1934" t="s">
        <v>296</v>
      </c>
      <c r="F1934">
        <v>7139</v>
      </c>
      <c r="G1934">
        <v>0.12626804315789419</v>
      </c>
      <c r="H1934">
        <v>9.1622522128308638E-27</v>
      </c>
      <c r="I1934">
        <v>9.5581519998050368E-27</v>
      </c>
      <c r="J1934">
        <v>0.12913930214716679</v>
      </c>
      <c r="K1934">
        <v>6.2666796320712249E-28</v>
      </c>
      <c r="L1934">
        <v>6.7744276619618571E-28</v>
      </c>
      <c r="M1934">
        <v>8.565162767454812E-2</v>
      </c>
      <c r="N1934">
        <v>1.941465942598173E-27</v>
      </c>
      <c r="O1934">
        <v>2.0987702193971719E-27</v>
      </c>
      <c r="P1934">
        <v>1.5943618722923839E-2</v>
      </c>
      <c r="Q1934">
        <v>0.55655688003443804</v>
      </c>
      <c r="R1934">
        <v>-4.9832939718221043</v>
      </c>
      <c r="S1934">
        <v>0.5427834926873496</v>
      </c>
      <c r="T1934">
        <v>0.45339409795678631</v>
      </c>
      <c r="U1934">
        <v>4.2555146084885838</v>
      </c>
      <c r="V1934">
        <v>0.12414549193133841</v>
      </c>
      <c r="W1934">
        <v>-2.6148580383807252</v>
      </c>
      <c r="X1934">
        <v>0.54720122314120523</v>
      </c>
      <c r="Z1934" t="s">
        <v>392</v>
      </c>
      <c r="AA1934">
        <v>140</v>
      </c>
      <c r="AB1934" t="s">
        <v>2325</v>
      </c>
      <c r="AC1934" t="str">
        <f>HYPERLINK("plots/20251231112652_3FT6Y119H04_05543_B21P_N_UFLEX98_M5358A8BA201511/dpll_52094/txpa_55163.png","plot")</f>
        <v>plot</v>
      </c>
    </row>
    <row r="1935" spans="1:29" hidden="1" x14ac:dyDescent="0.35">
      <c r="A1935" t="s">
        <v>47</v>
      </c>
      <c r="B1935">
        <v>52094</v>
      </c>
      <c r="C1935" t="s">
        <v>53</v>
      </c>
      <c r="D1935">
        <v>55164</v>
      </c>
      <c r="E1935" t="s">
        <v>297</v>
      </c>
      <c r="F1935">
        <v>7139</v>
      </c>
      <c r="G1935">
        <v>0.24263335976496411</v>
      </c>
      <c r="H1935">
        <v>3.600388502795109E-96</v>
      </c>
      <c r="I1935">
        <v>5.5483190605383604E-96</v>
      </c>
      <c r="J1935">
        <v>0.21249267393637139</v>
      </c>
      <c r="K1935">
        <v>1.0965961899924059E-73</v>
      </c>
      <c r="L1935">
        <v>1.62565575533962E-73</v>
      </c>
      <c r="M1935">
        <v>0.14179935652712311</v>
      </c>
      <c r="N1935">
        <v>3.5640856302433802E-72</v>
      </c>
      <c r="O1935">
        <v>5.283600627290625E-72</v>
      </c>
      <c r="P1935">
        <v>5.8870947270834507E-2</v>
      </c>
      <c r="Q1935">
        <v>0.71343186386003987</v>
      </c>
      <c r="R1935">
        <v>-6.1882150723685552</v>
      </c>
      <c r="S1935">
        <v>0.35410096882822978</v>
      </c>
      <c r="T1935">
        <v>0.2887517412173719</v>
      </c>
      <c r="U1935">
        <v>4.2555146084885838</v>
      </c>
      <c r="V1935">
        <v>0.12414549193133841</v>
      </c>
      <c r="W1935">
        <v>-3.1521953535509168</v>
      </c>
      <c r="X1935">
        <v>0.36503368615178178</v>
      </c>
      <c r="Z1935" t="s">
        <v>392</v>
      </c>
      <c r="AA1935">
        <v>140</v>
      </c>
      <c r="AB1935" t="s">
        <v>2326</v>
      </c>
      <c r="AC1935" t="str">
        <f>HYPERLINK("plots/20251231112652_3FT6Y119H04_05543_B21P_N_UFLEX98_M5358A8BA201511/dpll_52094/txpa_55164.png","plot")</f>
        <v>plot</v>
      </c>
    </row>
    <row r="1936" spans="1:29" hidden="1" x14ac:dyDescent="0.35">
      <c r="A1936" t="s">
        <v>47</v>
      </c>
      <c r="B1936">
        <v>52094</v>
      </c>
      <c r="C1936" t="s">
        <v>53</v>
      </c>
      <c r="D1936">
        <v>55165</v>
      </c>
      <c r="E1936" t="s">
        <v>298</v>
      </c>
      <c r="F1936">
        <v>7139</v>
      </c>
      <c r="G1936">
        <v>0.17105663304624599</v>
      </c>
      <c r="H1936">
        <v>5.2026858441557697E-48</v>
      </c>
      <c r="I1936">
        <v>6.0360680159885017E-48</v>
      </c>
      <c r="J1936">
        <v>0.1501940160902972</v>
      </c>
      <c r="K1936">
        <v>2.7242914979734759E-37</v>
      </c>
      <c r="L1936">
        <v>3.1426980420308358E-37</v>
      </c>
      <c r="M1936">
        <v>0.1000732541370979</v>
      </c>
      <c r="N1936">
        <v>7.6589823532694158E-37</v>
      </c>
      <c r="O1936">
        <v>8.8756664071030711E-37</v>
      </c>
      <c r="P1936">
        <v>2.9260371709118081E-2</v>
      </c>
      <c r="Q1936">
        <v>0.69372589943623741</v>
      </c>
      <c r="R1936">
        <v>-5.7122681146620664</v>
      </c>
      <c r="S1936">
        <v>0.49602081700139322</v>
      </c>
      <c r="T1936">
        <v>0.43239706893072227</v>
      </c>
      <c r="U1936">
        <v>4.2555146084885838</v>
      </c>
      <c r="V1936">
        <v>0.12414549193133841</v>
      </c>
      <c r="W1936">
        <v>-2.7601074153242751</v>
      </c>
      <c r="X1936">
        <v>0.50347619684375577</v>
      </c>
      <c r="Z1936" t="s">
        <v>392</v>
      </c>
      <c r="AA1936">
        <v>140</v>
      </c>
      <c r="AB1936" t="s">
        <v>2327</v>
      </c>
      <c r="AC1936" t="str">
        <f>HYPERLINK("plots/20251231112652_3FT6Y119H04_05543_B21P_N_UFLEX98_M5358A8BA201511/dpll_52094/txpa_55165.png","plot")</f>
        <v>plot</v>
      </c>
    </row>
    <row r="1937" spans="1:29" hidden="1" x14ac:dyDescent="0.35">
      <c r="A1937" t="s">
        <v>47</v>
      </c>
      <c r="B1937">
        <v>52094</v>
      </c>
      <c r="C1937" t="s">
        <v>53</v>
      </c>
      <c r="D1937">
        <v>55166</v>
      </c>
      <c r="E1937" t="s">
        <v>299</v>
      </c>
      <c r="F1937">
        <v>7139</v>
      </c>
      <c r="G1937">
        <v>0.2219185110798618</v>
      </c>
      <c r="H1937">
        <v>2.2964897715963079E-80</v>
      </c>
      <c r="I1937">
        <v>3.1425649506054749E-80</v>
      </c>
      <c r="J1937">
        <v>0.21134420778164331</v>
      </c>
      <c r="K1937">
        <v>6.7956675385233659E-73</v>
      </c>
      <c r="L1937">
        <v>1.000117109443061E-72</v>
      </c>
      <c r="M1937">
        <v>0.14022565893932479</v>
      </c>
      <c r="N1937">
        <v>1.269743603111135E-70</v>
      </c>
      <c r="O1937">
        <v>1.8498850769463949E-70</v>
      </c>
      <c r="P1937">
        <v>4.924782555990273E-2</v>
      </c>
      <c r="Q1937">
        <v>0.74611246109565754</v>
      </c>
      <c r="R1937">
        <v>-6.0414381309406533</v>
      </c>
      <c r="S1937">
        <v>0.40695366276244171</v>
      </c>
      <c r="T1937">
        <v>0.31424926037310569</v>
      </c>
      <c r="U1937">
        <v>4.2555146084885838</v>
      </c>
      <c r="V1937">
        <v>0.12414549193133841</v>
      </c>
      <c r="W1937">
        <v>-2.8663456531727132</v>
      </c>
      <c r="X1937">
        <v>0.41738968988255559</v>
      </c>
      <c r="Z1937" t="s">
        <v>392</v>
      </c>
      <c r="AA1937">
        <v>140</v>
      </c>
      <c r="AB1937" t="s">
        <v>2328</v>
      </c>
      <c r="AC1937" t="str">
        <f>HYPERLINK("plots/20251231112652_3FT6Y119H04_05543_B21P_N_UFLEX98_M5358A8BA201511/dpll_52094/txpa_55166.png","plot")</f>
        <v>plot</v>
      </c>
    </row>
    <row r="1938" spans="1:29" hidden="1" x14ac:dyDescent="0.35">
      <c r="A1938" t="s">
        <v>47</v>
      </c>
      <c r="B1938">
        <v>52094</v>
      </c>
      <c r="C1938" t="s">
        <v>53</v>
      </c>
      <c r="D1938">
        <v>55167</v>
      </c>
      <c r="E1938" t="s">
        <v>300</v>
      </c>
      <c r="F1938">
        <v>7139</v>
      </c>
      <c r="G1938">
        <v>0.1662522142642443</v>
      </c>
      <c r="H1938">
        <v>2.058536623226946E-45</v>
      </c>
      <c r="I1938">
        <v>2.342711712628645E-45</v>
      </c>
      <c r="J1938">
        <v>0.13452654968247429</v>
      </c>
      <c r="K1938">
        <v>3.4613988530626787E-30</v>
      </c>
      <c r="L1938">
        <v>3.7781038073256813E-30</v>
      </c>
      <c r="M1938">
        <v>8.909970043789904E-2</v>
      </c>
      <c r="N1938">
        <v>1.4811834555479049E-29</v>
      </c>
      <c r="O1938">
        <v>1.6167061613838279E-29</v>
      </c>
      <c r="P1938">
        <v>2.7639798747764191E-2</v>
      </c>
      <c r="Q1938">
        <v>0.72516477817071656</v>
      </c>
      <c r="R1938">
        <v>-6.0234910056240878</v>
      </c>
      <c r="S1938">
        <v>0.53392884721316669</v>
      </c>
      <c r="T1938">
        <v>0.43032484077406441</v>
      </c>
      <c r="U1938">
        <v>4.2555146084885838</v>
      </c>
      <c r="V1938">
        <v>0.12414549193133841</v>
      </c>
      <c r="W1938">
        <v>-2.93754169855722</v>
      </c>
      <c r="X1938">
        <v>0.54150219000508848</v>
      </c>
      <c r="Z1938" t="s">
        <v>392</v>
      </c>
      <c r="AA1938">
        <v>140</v>
      </c>
      <c r="AB1938" t="s">
        <v>2329</v>
      </c>
      <c r="AC1938" t="str">
        <f>HYPERLINK("plots/20251231112652_3FT6Y119H04_05543_B21P_N_UFLEX98_M5358A8BA201511/dpll_52094/txpa_55167.png","plot")</f>
        <v>plot</v>
      </c>
    </row>
    <row r="1939" spans="1:29" hidden="1" x14ac:dyDescent="0.35">
      <c r="A1939" t="s">
        <v>47</v>
      </c>
      <c r="B1939">
        <v>52094</v>
      </c>
      <c r="C1939" t="s">
        <v>53</v>
      </c>
      <c r="D1939">
        <v>55168</v>
      </c>
      <c r="E1939" t="s">
        <v>301</v>
      </c>
      <c r="F1939">
        <v>7139</v>
      </c>
      <c r="G1939">
        <v>0.2344092664302313</v>
      </c>
      <c r="H1939">
        <v>1.0430916447348129E-89</v>
      </c>
      <c r="I1939">
        <v>1.539585047687192E-89</v>
      </c>
      <c r="J1939">
        <v>0.23238022441384129</v>
      </c>
      <c r="K1939">
        <v>3.7540250148820552E-88</v>
      </c>
      <c r="L1939">
        <v>6.3127385822394749E-88</v>
      </c>
      <c r="M1939">
        <v>0.15460577948688009</v>
      </c>
      <c r="N1939">
        <v>1.9150729451762251E-85</v>
      </c>
      <c r="O1939">
        <v>3.1678368130647489E-85</v>
      </c>
      <c r="P1939">
        <v>5.4947704188359148E-2</v>
      </c>
      <c r="Q1939">
        <v>0.71879338631169876</v>
      </c>
      <c r="R1939">
        <v>-5.9240645109421166</v>
      </c>
      <c r="S1939">
        <v>0.37004773643697969</v>
      </c>
      <c r="T1939">
        <v>0.2838158022350904</v>
      </c>
      <c r="U1939">
        <v>4.2555146084885838</v>
      </c>
      <c r="V1939">
        <v>0.12414549193133841</v>
      </c>
      <c r="W1939">
        <v>-2.865228755007704</v>
      </c>
      <c r="X1939">
        <v>0.38068016635860241</v>
      </c>
      <c r="Z1939" t="s">
        <v>392</v>
      </c>
      <c r="AA1939">
        <v>140</v>
      </c>
      <c r="AB1939" t="s">
        <v>2330</v>
      </c>
      <c r="AC1939" t="str">
        <f>HYPERLINK("plots/20251231112652_3FT6Y119H04_05543_B21P_N_UFLEX98_M5358A8BA201511/dpll_52094/txpa_55168.png","plot")</f>
        <v>plot</v>
      </c>
    </row>
    <row r="1940" spans="1:29" hidden="1" x14ac:dyDescent="0.35">
      <c r="A1940" t="s">
        <v>47</v>
      </c>
      <c r="B1940">
        <v>52094</v>
      </c>
      <c r="C1940" t="s">
        <v>53</v>
      </c>
      <c r="D1940">
        <v>55169</v>
      </c>
      <c r="E1940" t="s">
        <v>302</v>
      </c>
      <c r="F1940">
        <v>7139</v>
      </c>
      <c r="G1940">
        <v>0.19002874322770391</v>
      </c>
      <c r="H1940">
        <v>4.9578986418941298E-59</v>
      </c>
      <c r="I1940">
        <v>5.942445889929844E-59</v>
      </c>
      <c r="J1940">
        <v>0.1472005460717157</v>
      </c>
      <c r="K1940">
        <v>7.1575920020872075E-36</v>
      </c>
      <c r="L1940">
        <v>8.2009020227304266E-36</v>
      </c>
      <c r="M1940">
        <v>9.8037477578453935E-2</v>
      </c>
      <c r="N1940">
        <v>1.9913057769457849E-35</v>
      </c>
      <c r="O1940">
        <v>2.281563907144662E-35</v>
      </c>
      <c r="P1940">
        <v>3.6110923252700607E-2</v>
      </c>
      <c r="Q1940">
        <v>0.63892898064131998</v>
      </c>
      <c r="R1940">
        <v>-5.69394379202366</v>
      </c>
      <c r="S1940">
        <v>0.40977678914401089</v>
      </c>
      <c r="T1940">
        <v>0.33943914108209999</v>
      </c>
      <c r="U1940">
        <v>4.2555146084885838</v>
      </c>
      <c r="V1940">
        <v>0.12414549193133841</v>
      </c>
      <c r="W1940">
        <v>-2.974972181117804</v>
      </c>
      <c r="X1940">
        <v>0.41741134137723079</v>
      </c>
      <c r="Z1940" t="s">
        <v>392</v>
      </c>
      <c r="AA1940">
        <v>140</v>
      </c>
      <c r="AB1940" t="s">
        <v>2331</v>
      </c>
      <c r="AC1940" t="str">
        <f>HYPERLINK("plots/20251231112652_3FT6Y119H04_05543_B21P_N_UFLEX98_M5358A8BA201511/dpll_52094/txpa_55169.png","plot")</f>
        <v>plot</v>
      </c>
    </row>
    <row r="1941" spans="1:29" hidden="1" x14ac:dyDescent="0.35">
      <c r="A1941" t="s">
        <v>47</v>
      </c>
      <c r="B1941">
        <v>52094</v>
      </c>
      <c r="C1941" t="s">
        <v>53</v>
      </c>
      <c r="D1941">
        <v>55170</v>
      </c>
      <c r="E1941" t="s">
        <v>303</v>
      </c>
      <c r="F1941">
        <v>7139</v>
      </c>
      <c r="G1941">
        <v>0.14132471470532121</v>
      </c>
      <c r="H1941">
        <v>3.5931551595938633E-33</v>
      </c>
      <c r="I1941">
        <v>3.855512520453098E-33</v>
      </c>
      <c r="J1941">
        <v>0.14482333848054921</v>
      </c>
      <c r="K1941">
        <v>9.1420823301957745E-35</v>
      </c>
      <c r="L1941">
        <v>1.0380819129695981E-34</v>
      </c>
      <c r="M1941">
        <v>9.6603902147496701E-2</v>
      </c>
      <c r="N1941">
        <v>1.896676613187844E-34</v>
      </c>
      <c r="O1941">
        <v>2.1609326806432298E-34</v>
      </c>
      <c r="P1941">
        <v>1.9972674986540439E-2</v>
      </c>
      <c r="Q1941">
        <v>0.6046935147276139</v>
      </c>
      <c r="R1941">
        <v>-5.0518300988888534</v>
      </c>
      <c r="S1941">
        <v>0.52581966049498841</v>
      </c>
      <c r="T1941">
        <v>0.41246880185300372</v>
      </c>
      <c r="U1941">
        <v>4.2555146084885838</v>
      </c>
      <c r="V1941">
        <v>0.12414549193133841</v>
      </c>
      <c r="W1941">
        <v>-2.478548013307186</v>
      </c>
      <c r="X1941">
        <v>0.53118786767112469</v>
      </c>
      <c r="Z1941" t="s">
        <v>392</v>
      </c>
      <c r="AA1941">
        <v>140</v>
      </c>
      <c r="AB1941" t="s">
        <v>2332</v>
      </c>
      <c r="AC1941" t="str">
        <f>HYPERLINK("plots/20251231112652_3FT6Y119H04_05543_B21P_N_UFLEX98_M5358A8BA201511/dpll_52094/txpa_55170.png","plot")</f>
        <v>plot</v>
      </c>
    </row>
    <row r="1942" spans="1:29" hidden="1" x14ac:dyDescent="0.35">
      <c r="A1942" t="s">
        <v>47</v>
      </c>
      <c r="B1942">
        <v>52094</v>
      </c>
      <c r="C1942" t="s">
        <v>53</v>
      </c>
      <c r="D1942">
        <v>55171</v>
      </c>
      <c r="E1942" t="s">
        <v>304</v>
      </c>
      <c r="F1942">
        <v>7139</v>
      </c>
      <c r="G1942">
        <v>0.13093617137815319</v>
      </c>
      <c r="H1942">
        <v>1.13351727148067E-28</v>
      </c>
      <c r="I1942">
        <v>1.1935477811852539E-28</v>
      </c>
      <c r="J1942">
        <v>0.1367585688358873</v>
      </c>
      <c r="K1942">
        <v>3.768831220595147E-31</v>
      </c>
      <c r="L1942">
        <v>4.1629573613109793E-31</v>
      </c>
      <c r="M1942">
        <v>9.0959072266182703E-2</v>
      </c>
      <c r="N1942">
        <v>9.8709994853684989E-31</v>
      </c>
      <c r="O1942">
        <v>1.089139660300725E-30</v>
      </c>
      <c r="P1942">
        <v>1.71442809751691E-2</v>
      </c>
      <c r="Q1942">
        <v>0.55959797572815095</v>
      </c>
      <c r="R1942">
        <v>-2.0568299475144651</v>
      </c>
      <c r="S1942">
        <v>0.52597114118750199</v>
      </c>
      <c r="T1942">
        <v>0.44001954950873862</v>
      </c>
      <c r="U1942">
        <v>4.2555146084885838</v>
      </c>
      <c r="V1942">
        <v>0.12414549193133841</v>
      </c>
      <c r="W1942">
        <v>0.32454741307732171</v>
      </c>
      <c r="X1942">
        <v>0.53057581605860094</v>
      </c>
      <c r="Z1942" t="s">
        <v>392</v>
      </c>
      <c r="AA1942">
        <v>140</v>
      </c>
      <c r="AB1942" t="s">
        <v>2333</v>
      </c>
      <c r="AC1942" t="str">
        <f>HYPERLINK("plots/20251231112652_3FT6Y119H04_05543_B21P_N_UFLEX98_M5358A8BA201511/dpll_52094/txpa_55171.png","plot")</f>
        <v>plot</v>
      </c>
    </row>
    <row r="1943" spans="1:29" hidden="1" x14ac:dyDescent="0.35">
      <c r="A1943" t="s">
        <v>47</v>
      </c>
      <c r="B1943">
        <v>52094</v>
      </c>
      <c r="C1943" t="s">
        <v>53</v>
      </c>
      <c r="D1943">
        <v>55172</v>
      </c>
      <c r="E1943" t="s">
        <v>305</v>
      </c>
      <c r="F1943">
        <v>7139</v>
      </c>
      <c r="G1943">
        <v>0.2500353233616403</v>
      </c>
      <c r="H1943">
        <v>3.3617013863072321E-102</v>
      </c>
      <c r="I1943">
        <v>5.4715332354984489E-102</v>
      </c>
      <c r="J1943">
        <v>0.22115867367598871</v>
      </c>
      <c r="K1943">
        <v>8.1514370860527783E-80</v>
      </c>
      <c r="L1943">
        <v>1.252357152311745E-79</v>
      </c>
      <c r="M1943">
        <v>0.14765943097945811</v>
      </c>
      <c r="N1943">
        <v>4.168124683211884E-78</v>
      </c>
      <c r="O1943">
        <v>6.4526388225600767E-78</v>
      </c>
      <c r="P1943">
        <v>6.2517662928560036E-2</v>
      </c>
      <c r="Q1943">
        <v>0.71312974363048909</v>
      </c>
      <c r="R1943">
        <v>-3.2215790326958258</v>
      </c>
      <c r="S1943">
        <v>0.3428066711757769</v>
      </c>
      <c r="T1943">
        <v>0.27961699148514713</v>
      </c>
      <c r="U1943">
        <v>4.2555146084885838</v>
      </c>
      <c r="V1943">
        <v>0.12414549193133841</v>
      </c>
      <c r="W1943">
        <v>-0.18684499092856141</v>
      </c>
      <c r="X1943">
        <v>0.35407734252743012</v>
      </c>
      <c r="Z1943" t="s">
        <v>392</v>
      </c>
      <c r="AA1943">
        <v>140</v>
      </c>
      <c r="AB1943" t="s">
        <v>2334</v>
      </c>
      <c r="AC1943" t="str">
        <f>HYPERLINK("plots/20251231112652_3FT6Y119H04_05543_B21P_N_UFLEX98_M5358A8BA201511/dpll_52094/txpa_55172.png","plot")</f>
        <v>plot</v>
      </c>
    </row>
    <row r="1944" spans="1:29" hidden="1" x14ac:dyDescent="0.35">
      <c r="A1944" t="s">
        <v>47</v>
      </c>
      <c r="B1944">
        <v>52094</v>
      </c>
      <c r="C1944" t="s">
        <v>53</v>
      </c>
      <c r="D1944">
        <v>55173</v>
      </c>
      <c r="E1944" t="s">
        <v>306</v>
      </c>
      <c r="F1944">
        <v>7139</v>
      </c>
      <c r="G1944">
        <v>0.17744749191981241</v>
      </c>
      <c r="H1944">
        <v>1.3822291979600521E-51</v>
      </c>
      <c r="I1944">
        <v>1.6278518080505141E-51</v>
      </c>
      <c r="J1944">
        <v>0.1578979158851562</v>
      </c>
      <c r="K1944">
        <v>4.4247845281650972E-41</v>
      </c>
      <c r="L1944">
        <v>5.2537839713810404E-41</v>
      </c>
      <c r="M1944">
        <v>0.10535980247771259</v>
      </c>
      <c r="N1944">
        <v>1.1899872149987741E-40</v>
      </c>
      <c r="O1944">
        <v>1.4129356393545159E-40</v>
      </c>
      <c r="P1944">
        <v>3.1487612388631889E-2</v>
      </c>
      <c r="Q1944">
        <v>0.69100020922890615</v>
      </c>
      <c r="R1944">
        <v>-2.7568961913815691</v>
      </c>
      <c r="S1944">
        <v>0.4757309844860747</v>
      </c>
      <c r="T1944">
        <v>0.4142963946628922</v>
      </c>
      <c r="U1944">
        <v>4.2555146084885838</v>
      </c>
      <c r="V1944">
        <v>0.12414549193133841</v>
      </c>
      <c r="W1944">
        <v>0.18366529346070881</v>
      </c>
      <c r="X1944">
        <v>0.48343631105333362</v>
      </c>
      <c r="Z1944" t="s">
        <v>392</v>
      </c>
      <c r="AA1944">
        <v>140</v>
      </c>
      <c r="AB1944" t="s">
        <v>2335</v>
      </c>
      <c r="AC1944" t="str">
        <f>HYPERLINK("plots/20251231112652_3FT6Y119H04_05543_B21P_N_UFLEX98_M5358A8BA201511/dpll_52094/txpa_55173.png","plot")</f>
        <v>plot</v>
      </c>
    </row>
    <row r="1945" spans="1:29" hidden="1" x14ac:dyDescent="0.35">
      <c r="A1945" t="s">
        <v>47</v>
      </c>
      <c r="B1945">
        <v>52094</v>
      </c>
      <c r="C1945" t="s">
        <v>53</v>
      </c>
      <c r="D1945">
        <v>55174</v>
      </c>
      <c r="E1945" t="s">
        <v>307</v>
      </c>
      <c r="F1945">
        <v>7139</v>
      </c>
      <c r="G1945">
        <v>0.2300996471763031</v>
      </c>
      <c r="H1945">
        <v>2.0215679281979532E-86</v>
      </c>
      <c r="I1945">
        <v>2.8790307292032639E-86</v>
      </c>
      <c r="J1945">
        <v>0.22163426413660459</v>
      </c>
      <c r="K1945">
        <v>3.6907915202539192E-80</v>
      </c>
      <c r="L1945">
        <v>5.7224198800267191E-80</v>
      </c>
      <c r="M1945">
        <v>0.14720251085384661</v>
      </c>
      <c r="N1945">
        <v>1.232450958868579E-77</v>
      </c>
      <c r="O1945">
        <v>1.8906282485517991E-77</v>
      </c>
      <c r="P1945">
        <v>5.2945847630659168E-2</v>
      </c>
      <c r="Q1945">
        <v>0.74263511215127953</v>
      </c>
      <c r="R1945">
        <v>-3.075057549639423</v>
      </c>
      <c r="S1945">
        <v>0.38989482161361899</v>
      </c>
      <c r="T1945">
        <v>0.30097661700977041</v>
      </c>
      <c r="U1945">
        <v>4.2555146084885838</v>
      </c>
      <c r="V1945">
        <v>0.12414549193133841</v>
      </c>
      <c r="W1945">
        <v>8.5237018896904326E-2</v>
      </c>
      <c r="X1945">
        <v>0.40067337110197881</v>
      </c>
      <c r="Z1945" t="s">
        <v>392</v>
      </c>
      <c r="AA1945">
        <v>140</v>
      </c>
      <c r="AB1945" t="s">
        <v>2336</v>
      </c>
      <c r="AC1945" t="str">
        <f>HYPERLINK("plots/20251231112652_3FT6Y119H04_05543_B21P_N_UFLEX98_M5358A8BA201511/dpll_52094/txpa_55174.png","plot")</f>
        <v>plot</v>
      </c>
    </row>
    <row r="1946" spans="1:29" hidden="1" x14ac:dyDescent="0.35">
      <c r="A1946" t="s">
        <v>47</v>
      </c>
      <c r="B1946">
        <v>52094</v>
      </c>
      <c r="C1946" t="s">
        <v>53</v>
      </c>
      <c r="D1946">
        <v>55175</v>
      </c>
      <c r="E1946" t="s">
        <v>308</v>
      </c>
      <c r="F1946">
        <v>7139</v>
      </c>
      <c r="G1946">
        <v>0.1714100004104491</v>
      </c>
      <c r="H1946">
        <v>3.3275573073333752E-48</v>
      </c>
      <c r="I1946">
        <v>3.8649978346346417E-48</v>
      </c>
      <c r="J1946">
        <v>0.14070910200641651</v>
      </c>
      <c r="K1946">
        <v>6.7902199621787166E-33</v>
      </c>
      <c r="L1946">
        <v>7.59127126973453E-33</v>
      </c>
      <c r="M1946">
        <v>9.3268766767910835E-2</v>
      </c>
      <c r="N1946">
        <v>3.1636038410941548E-32</v>
      </c>
      <c r="O1946">
        <v>3.5368184066918108E-32</v>
      </c>
      <c r="P1946">
        <v>2.9381388240710161E-2</v>
      </c>
      <c r="Q1946">
        <v>0.71939716830592226</v>
      </c>
      <c r="R1946">
        <v>-3.0423363835624788</v>
      </c>
      <c r="S1946">
        <v>0.51328362565712604</v>
      </c>
      <c r="T1946">
        <v>0.41453864375304778</v>
      </c>
      <c r="U1946">
        <v>4.2555146084885838</v>
      </c>
      <c r="V1946">
        <v>0.12414549193133841</v>
      </c>
      <c r="W1946">
        <v>1.9068775468693101E-2</v>
      </c>
      <c r="X1946">
        <v>0.52103094999996435</v>
      </c>
      <c r="Z1946" t="s">
        <v>392</v>
      </c>
      <c r="AA1946">
        <v>140</v>
      </c>
      <c r="AB1946" t="s">
        <v>2337</v>
      </c>
      <c r="AC1946" t="str">
        <f>HYPERLINK("plots/20251231112652_3FT6Y119H04_05543_B21P_N_UFLEX98_M5358A8BA201511/dpll_52094/txpa_55175.png","plot")</f>
        <v>plot</v>
      </c>
    </row>
    <row r="1947" spans="1:29" hidden="1" x14ac:dyDescent="0.35">
      <c r="A1947" t="s">
        <v>47</v>
      </c>
      <c r="B1947">
        <v>52094</v>
      </c>
      <c r="C1947" t="s">
        <v>53</v>
      </c>
      <c r="D1947">
        <v>55176</v>
      </c>
      <c r="E1947" t="s">
        <v>309</v>
      </c>
      <c r="F1947">
        <v>7139</v>
      </c>
      <c r="G1947">
        <v>0.24380548495055079</v>
      </c>
      <c r="H1947">
        <v>4.1216736357056902E-97</v>
      </c>
      <c r="I1947">
        <v>6.4199340500853608E-97</v>
      </c>
      <c r="J1947">
        <v>0.2452145327199364</v>
      </c>
      <c r="K1947">
        <v>2.9977754339991622E-98</v>
      </c>
      <c r="L1947">
        <v>5.5167772959621602E-98</v>
      </c>
      <c r="M1947">
        <v>0.16343978876907331</v>
      </c>
      <c r="N1947">
        <v>2.897551723966983E-95</v>
      </c>
      <c r="O1947">
        <v>5.313051443223365E-95</v>
      </c>
      <c r="P1947">
        <v>5.9441114491973278E-2</v>
      </c>
      <c r="Q1947">
        <v>0.71854554482738942</v>
      </c>
      <c r="R1947">
        <v>-2.9808085678991958</v>
      </c>
      <c r="S1947">
        <v>0.35481695052314038</v>
      </c>
      <c r="T1947">
        <v>0.2716441527738116</v>
      </c>
      <c r="U1947">
        <v>4.2555146084885838</v>
      </c>
      <c r="V1947">
        <v>0.12414549193133841</v>
      </c>
      <c r="W1947">
        <v>7.697249497814819E-2</v>
      </c>
      <c r="X1947">
        <v>0.3658826221885878</v>
      </c>
      <c r="Z1947" t="s">
        <v>392</v>
      </c>
      <c r="AA1947">
        <v>140</v>
      </c>
      <c r="AB1947" t="s">
        <v>2338</v>
      </c>
      <c r="AC1947" t="str">
        <f>HYPERLINK("plots/20251231112652_3FT6Y119H04_05543_B21P_N_UFLEX98_M5358A8BA201511/dpll_52094/txpa_55176.png","plot")</f>
        <v>plot</v>
      </c>
    </row>
    <row r="1948" spans="1:29" hidden="1" x14ac:dyDescent="0.35">
      <c r="A1948" t="s">
        <v>47</v>
      </c>
      <c r="B1948">
        <v>52094</v>
      </c>
      <c r="C1948" t="s">
        <v>53</v>
      </c>
      <c r="D1948">
        <v>55177</v>
      </c>
      <c r="E1948" t="s">
        <v>310</v>
      </c>
      <c r="F1948">
        <v>7139</v>
      </c>
      <c r="G1948">
        <v>0.1968980598878752</v>
      </c>
      <c r="H1948">
        <v>2.5151870712458112E-63</v>
      </c>
      <c r="I1948">
        <v>3.106455164729906E-63</v>
      </c>
      <c r="J1948">
        <v>0.1546848169673942</v>
      </c>
      <c r="K1948">
        <v>1.779240853520395E-39</v>
      </c>
      <c r="L1948">
        <v>2.0881368350343529E-39</v>
      </c>
      <c r="M1948">
        <v>0.10308704793867129</v>
      </c>
      <c r="N1948">
        <v>5.4520072619804379E-39</v>
      </c>
      <c r="O1948">
        <v>6.4059505951890658E-39</v>
      </c>
      <c r="P1948">
        <v>3.8768845987609303E-2</v>
      </c>
      <c r="Q1948">
        <v>0.64031295152792678</v>
      </c>
      <c r="R1948">
        <v>-2.742548813135723</v>
      </c>
      <c r="S1948">
        <v>0.39579044280893949</v>
      </c>
      <c r="T1948">
        <v>0.32813497094462701</v>
      </c>
      <c r="U1948">
        <v>4.2555146084885838</v>
      </c>
      <c r="V1948">
        <v>0.12414549193133841</v>
      </c>
      <c r="W1948">
        <v>-1.768769390418826E-2</v>
      </c>
      <c r="X1948">
        <v>0.40372143028077001</v>
      </c>
      <c r="Z1948" t="s">
        <v>392</v>
      </c>
      <c r="AA1948">
        <v>140</v>
      </c>
      <c r="AB1948" t="s">
        <v>2339</v>
      </c>
      <c r="AC1948" t="str">
        <f>HYPERLINK("plots/20251231112652_3FT6Y119H04_05543_B21P_N_UFLEX98_M5358A8BA201511/dpll_52094/txpa_55177.png","plot")</f>
        <v>plot</v>
      </c>
    </row>
    <row r="1949" spans="1:29" hidden="1" x14ac:dyDescent="0.35">
      <c r="A1949" t="s">
        <v>47</v>
      </c>
      <c r="B1949">
        <v>52094</v>
      </c>
      <c r="C1949" t="s">
        <v>53</v>
      </c>
      <c r="D1949">
        <v>55178</v>
      </c>
      <c r="E1949" t="s">
        <v>311</v>
      </c>
      <c r="F1949">
        <v>7139</v>
      </c>
      <c r="G1949">
        <v>0.1469694155497355</v>
      </c>
      <c r="H1949">
        <v>9.1863492305157856E-36</v>
      </c>
      <c r="I1949">
        <v>9.9838779418467379E-36</v>
      </c>
      <c r="J1949">
        <v>0.15150483678832699</v>
      </c>
      <c r="K1949">
        <v>6.3731883474155807E-38</v>
      </c>
      <c r="L1949">
        <v>7.4280609014705737E-38</v>
      </c>
      <c r="M1949">
        <v>0.1012628766559787</v>
      </c>
      <c r="N1949">
        <v>1.1055928047676941E-37</v>
      </c>
      <c r="O1949">
        <v>1.288587475901658E-37</v>
      </c>
      <c r="P1949">
        <v>2.1600009107030839E-2</v>
      </c>
      <c r="Q1949">
        <v>0.60828123530022282</v>
      </c>
      <c r="R1949">
        <v>-2.1293760613572918</v>
      </c>
      <c r="S1949">
        <v>0.50820180903692391</v>
      </c>
      <c r="T1949">
        <v>0.40012747632286028</v>
      </c>
      <c r="U1949">
        <v>4.2555146084885838</v>
      </c>
      <c r="V1949">
        <v>0.12414549193133841</v>
      </c>
      <c r="W1949">
        <v>0.45917362153228752</v>
      </c>
      <c r="X1949">
        <v>0.51381692515061661</v>
      </c>
      <c r="Z1949" t="s">
        <v>392</v>
      </c>
      <c r="AA1949">
        <v>140</v>
      </c>
      <c r="AB1949" t="s">
        <v>2340</v>
      </c>
      <c r="AC1949" t="str">
        <f>HYPERLINK("plots/20251231112652_3FT6Y119H04_05543_B21P_N_UFLEX98_M5358A8BA201511/dpll_52094/txpa_55178.png","plot")</f>
        <v>plot</v>
      </c>
    </row>
    <row r="1950" spans="1:29" hidden="1" x14ac:dyDescent="0.35">
      <c r="A1950" t="s">
        <v>47</v>
      </c>
      <c r="B1950">
        <v>52094</v>
      </c>
      <c r="C1950" t="s">
        <v>53</v>
      </c>
      <c r="D1950">
        <v>55179</v>
      </c>
      <c r="E1950" t="s">
        <v>312</v>
      </c>
      <c r="F1950">
        <v>7139</v>
      </c>
      <c r="G1950">
        <v>0.1423876185832382</v>
      </c>
      <c r="H1950">
        <v>1.1893724744779391E-33</v>
      </c>
      <c r="I1950">
        <v>1.2789222578161509E-33</v>
      </c>
      <c r="J1950">
        <v>0.151092491313469</v>
      </c>
      <c r="K1950">
        <v>1.007928661168667E-37</v>
      </c>
      <c r="L1950">
        <v>1.172063833056225E-37</v>
      </c>
      <c r="M1950">
        <v>0.1010690081825094</v>
      </c>
      <c r="N1950">
        <v>1.516701447758148E-37</v>
      </c>
      <c r="O1950">
        <v>1.763687233975644E-37</v>
      </c>
      <c r="P1950">
        <v>2.027423392580573E-2</v>
      </c>
      <c r="Q1950">
        <v>0.56752444919290235</v>
      </c>
      <c r="R1950">
        <v>1.2596141821389979</v>
      </c>
      <c r="S1950">
        <v>0.48973951722372588</v>
      </c>
      <c r="T1950">
        <v>0.40993670290610751</v>
      </c>
      <c r="U1950">
        <v>4.2555146084885838</v>
      </c>
      <c r="V1950">
        <v>0.12414549193133841</v>
      </c>
      <c r="W1950">
        <v>3.6747227663538311</v>
      </c>
      <c r="X1950">
        <v>0.49481550874402158</v>
      </c>
      <c r="Z1950" t="s">
        <v>392</v>
      </c>
      <c r="AA1950">
        <v>140</v>
      </c>
      <c r="AB1950" t="s">
        <v>2341</v>
      </c>
      <c r="AC1950" t="str">
        <f>HYPERLINK("plots/20251231112652_3FT6Y119H04_05543_B21P_N_UFLEX98_M5358A8BA201511/dpll_52094/txpa_55179.png","plot")</f>
        <v>plot</v>
      </c>
    </row>
    <row r="1951" spans="1:29" hidden="1" x14ac:dyDescent="0.35">
      <c r="A1951" t="s">
        <v>47</v>
      </c>
      <c r="B1951">
        <v>52094</v>
      </c>
      <c r="C1951" t="s">
        <v>53</v>
      </c>
      <c r="D1951">
        <v>55180</v>
      </c>
      <c r="E1951" t="s">
        <v>313</v>
      </c>
      <c r="F1951">
        <v>7139</v>
      </c>
      <c r="G1951">
        <v>0.26651729409081742</v>
      </c>
      <c r="H1951">
        <v>2.292072552875863E-116</v>
      </c>
      <c r="I1951">
        <v>4.2104376243045737E-116</v>
      </c>
      <c r="J1951">
        <v>0.2406107028022054</v>
      </c>
      <c r="K1951">
        <v>1.474692277936109E-94</v>
      </c>
      <c r="L1951">
        <v>2.6142272199776471E-94</v>
      </c>
      <c r="M1951">
        <v>0.16091669854469551</v>
      </c>
      <c r="N1951">
        <v>2.0915066999688191E-92</v>
      </c>
      <c r="O1951">
        <v>3.7206803399445307E-92</v>
      </c>
      <c r="P1951">
        <v>7.1031468049491231E-2</v>
      </c>
      <c r="Q1951">
        <v>0.71360276081120999</v>
      </c>
      <c r="R1951">
        <v>0.17659701606436279</v>
      </c>
      <c r="S1951">
        <v>0.32035548358573868</v>
      </c>
      <c r="T1951">
        <v>0.26087853606755368</v>
      </c>
      <c r="U1951">
        <v>4.2555146084885838</v>
      </c>
      <c r="V1951">
        <v>0.12414549193133841</v>
      </c>
      <c r="W1951">
        <v>3.213343989354251</v>
      </c>
      <c r="X1951">
        <v>0.33240081506411029</v>
      </c>
      <c r="Z1951" t="s">
        <v>392</v>
      </c>
      <c r="AA1951">
        <v>140</v>
      </c>
      <c r="AB1951" t="s">
        <v>2342</v>
      </c>
      <c r="AC1951" t="str">
        <f>HYPERLINK("plots/20251231112652_3FT6Y119H04_05543_B21P_N_UFLEX98_M5358A8BA201511/dpll_52094/txpa_55180.png","plot")</f>
        <v>plot</v>
      </c>
    </row>
    <row r="1952" spans="1:29" hidden="1" x14ac:dyDescent="0.35">
      <c r="A1952" t="s">
        <v>47</v>
      </c>
      <c r="B1952">
        <v>52094</v>
      </c>
      <c r="C1952" t="s">
        <v>53</v>
      </c>
      <c r="D1952">
        <v>55181</v>
      </c>
      <c r="E1952" t="s">
        <v>314</v>
      </c>
      <c r="F1952">
        <v>7139</v>
      </c>
      <c r="G1952">
        <v>0.19264798362237009</v>
      </c>
      <c r="H1952">
        <v>1.193944775471604E-60</v>
      </c>
      <c r="I1952">
        <v>1.4464277208222299E-60</v>
      </c>
      <c r="J1952">
        <v>0.17388182838171851</v>
      </c>
      <c r="K1952">
        <v>1.4209687948666841E-49</v>
      </c>
      <c r="L1952">
        <v>1.755008962234857E-49</v>
      </c>
      <c r="M1952">
        <v>0.1163436860035834</v>
      </c>
      <c r="N1952">
        <v>3.4932354622351187E-49</v>
      </c>
      <c r="O1952">
        <v>4.3144223613963594E-49</v>
      </c>
      <c r="P1952">
        <v>3.7113245593764978E-2</v>
      </c>
      <c r="Q1952">
        <v>0.69129083632689137</v>
      </c>
      <c r="R1952">
        <v>0.60731335158293787</v>
      </c>
      <c r="S1952">
        <v>0.43710369023908158</v>
      </c>
      <c r="T1952">
        <v>0.37968809479214471</v>
      </c>
      <c r="U1952">
        <v>4.2555146084885838</v>
      </c>
      <c r="V1952">
        <v>0.12414549193133841</v>
      </c>
      <c r="W1952">
        <v>3.5491116042863151</v>
      </c>
      <c r="X1952">
        <v>0.44547905111560621</v>
      </c>
      <c r="Z1952" t="s">
        <v>392</v>
      </c>
      <c r="AA1952">
        <v>140</v>
      </c>
      <c r="AB1952" t="s">
        <v>2343</v>
      </c>
      <c r="AC1952" t="str">
        <f>HYPERLINK("plots/20251231112652_3FT6Y119H04_05543_B21P_N_UFLEX98_M5358A8BA201511/dpll_52094/txpa_55181.png","plot")</f>
        <v>plot</v>
      </c>
    </row>
    <row r="1953" spans="1:29" hidden="1" x14ac:dyDescent="0.35">
      <c r="A1953" t="s">
        <v>47</v>
      </c>
      <c r="B1953">
        <v>52094</v>
      </c>
      <c r="C1953" t="s">
        <v>53</v>
      </c>
      <c r="D1953">
        <v>55182</v>
      </c>
      <c r="E1953" t="s">
        <v>315</v>
      </c>
      <c r="F1953">
        <v>7139</v>
      </c>
      <c r="G1953">
        <v>0.24837580806365259</v>
      </c>
      <c r="H1953">
        <v>7.8736037340012738E-101</v>
      </c>
      <c r="I1953">
        <v>1.2632649028919771E-100</v>
      </c>
      <c r="J1953">
        <v>0.2419287040871177</v>
      </c>
      <c r="K1953">
        <v>1.317581543790015E-95</v>
      </c>
      <c r="L1953">
        <v>2.356309850799074E-95</v>
      </c>
      <c r="M1953">
        <v>0.1610771682142253</v>
      </c>
      <c r="N1953">
        <v>1.379857165025593E-92</v>
      </c>
      <c r="O1953">
        <v>2.463336558690055E-92</v>
      </c>
      <c r="P1953">
        <v>6.1690542031272402E-2</v>
      </c>
      <c r="Q1953">
        <v>0.74054453768874218</v>
      </c>
      <c r="R1953">
        <v>0.31170004534674017</v>
      </c>
      <c r="S1953">
        <v>0.35852172009377847</v>
      </c>
      <c r="T1953">
        <v>0.2770010608850374</v>
      </c>
      <c r="U1953">
        <v>4.2555146084885838</v>
      </c>
      <c r="V1953">
        <v>0.12414549193133841</v>
      </c>
      <c r="W1953">
        <v>3.4630981437176072</v>
      </c>
      <c r="X1953">
        <v>0.37014581510641209</v>
      </c>
      <c r="Z1953" t="s">
        <v>392</v>
      </c>
      <c r="AA1953">
        <v>140</v>
      </c>
      <c r="AB1953" t="s">
        <v>2344</v>
      </c>
      <c r="AC1953" t="str">
        <f>HYPERLINK("plots/20251231112652_3FT6Y119H04_05543_B21P_N_UFLEX98_M5358A8BA201511/dpll_52094/txpa_55182.png","plot")</f>
        <v>plot</v>
      </c>
    </row>
    <row r="1954" spans="1:29" hidden="1" x14ac:dyDescent="0.35">
      <c r="A1954" t="s">
        <v>47</v>
      </c>
      <c r="B1954">
        <v>52094</v>
      </c>
      <c r="C1954" t="s">
        <v>53</v>
      </c>
      <c r="D1954">
        <v>55183</v>
      </c>
      <c r="E1954" t="s">
        <v>316</v>
      </c>
      <c r="F1954">
        <v>7139</v>
      </c>
      <c r="G1954">
        <v>0.1852844124825265</v>
      </c>
      <c r="H1954">
        <v>3.685424996689892E-56</v>
      </c>
      <c r="I1954">
        <v>4.3707847329164331E-56</v>
      </c>
      <c r="J1954">
        <v>0.1556638993095775</v>
      </c>
      <c r="K1954">
        <v>5.8209671983434284E-40</v>
      </c>
      <c r="L1954">
        <v>6.8713163435625553E-40</v>
      </c>
      <c r="M1954">
        <v>0.10333071932159919</v>
      </c>
      <c r="N1954">
        <v>3.6287214954777901E-39</v>
      </c>
      <c r="O1954">
        <v>4.2685888589495122E-39</v>
      </c>
      <c r="P1954">
        <v>3.4330313508995021E-2</v>
      </c>
      <c r="Q1954">
        <v>0.71862818396699701</v>
      </c>
      <c r="R1954">
        <v>0.34549674271475789</v>
      </c>
      <c r="S1954">
        <v>0.47312968245635428</v>
      </c>
      <c r="T1954">
        <v>0.38246841711126361</v>
      </c>
      <c r="U1954">
        <v>4.2555146084885838</v>
      </c>
      <c r="V1954">
        <v>0.12414549193133841</v>
      </c>
      <c r="W1954">
        <v>3.403629477657935</v>
      </c>
      <c r="X1954">
        <v>0.48150002592754881</v>
      </c>
      <c r="Z1954" t="s">
        <v>392</v>
      </c>
      <c r="AA1954">
        <v>140</v>
      </c>
      <c r="AB1954" t="s">
        <v>2345</v>
      </c>
      <c r="AC1954" t="str">
        <f>HYPERLINK("plots/20251231112652_3FT6Y119H04_05543_B21P_N_UFLEX98_M5358A8BA201511/dpll_52094/txpa_55183.png","plot")</f>
        <v>plot</v>
      </c>
    </row>
    <row r="1955" spans="1:29" hidden="1" x14ac:dyDescent="0.35">
      <c r="A1955" t="s">
        <v>47</v>
      </c>
      <c r="B1955">
        <v>52094</v>
      </c>
      <c r="C1955" t="s">
        <v>53</v>
      </c>
      <c r="D1955">
        <v>55184</v>
      </c>
      <c r="E1955" t="s">
        <v>317</v>
      </c>
      <c r="F1955">
        <v>7139</v>
      </c>
      <c r="G1955">
        <v>0.26381725930309718</v>
      </c>
      <c r="H1955">
        <v>5.6446972724343972E-114</v>
      </c>
      <c r="I1955">
        <v>1.020271485605789E-113</v>
      </c>
      <c r="J1955">
        <v>0.26820501282683951</v>
      </c>
      <c r="K1955">
        <v>7.0991788020523136E-118</v>
      </c>
      <c r="L1955">
        <v>1.4997015219335511E-117</v>
      </c>
      <c r="M1955">
        <v>0.17949031585228231</v>
      </c>
      <c r="N1955">
        <v>1.7058745664351742E-114</v>
      </c>
      <c r="O1955">
        <v>3.5887070754466106E-114</v>
      </c>
      <c r="P1955">
        <v>6.9599546306197621E-2</v>
      </c>
      <c r="Q1955">
        <v>0.71961633446608242</v>
      </c>
      <c r="R1955">
        <v>0.38072014017313988</v>
      </c>
      <c r="S1955">
        <v>0.32661287444186082</v>
      </c>
      <c r="T1955">
        <v>0.24989231829323311</v>
      </c>
      <c r="U1955">
        <v>4.2555146084885838</v>
      </c>
      <c r="V1955">
        <v>0.12414549193133841</v>
      </c>
      <c r="W1955">
        <v>3.4430579640005599</v>
      </c>
      <c r="X1955">
        <v>0.33863259773114279</v>
      </c>
      <c r="Z1955" t="s">
        <v>392</v>
      </c>
      <c r="AA1955">
        <v>140</v>
      </c>
      <c r="AB1955" t="s">
        <v>2346</v>
      </c>
      <c r="AC1955" t="str">
        <f>HYPERLINK("plots/20251231112652_3FT6Y119H04_05543_B21P_N_UFLEX98_M5358A8BA201511/dpll_52094/txpa_55184.png","plot")</f>
        <v>plot</v>
      </c>
    </row>
    <row r="1956" spans="1:29" hidden="1" x14ac:dyDescent="0.35">
      <c r="A1956" t="s">
        <v>47</v>
      </c>
      <c r="B1956">
        <v>52094</v>
      </c>
      <c r="C1956" t="s">
        <v>53</v>
      </c>
      <c r="D1956">
        <v>55185</v>
      </c>
      <c r="E1956" t="s">
        <v>318</v>
      </c>
      <c r="F1956">
        <v>7139</v>
      </c>
      <c r="G1956">
        <v>0.21334846350874229</v>
      </c>
      <c r="H1956">
        <v>2.797075291093538E-74</v>
      </c>
      <c r="I1956">
        <v>3.6738786854518742E-74</v>
      </c>
      <c r="J1956">
        <v>0.17142690057143309</v>
      </c>
      <c r="K1956">
        <v>3.2571057642734337E-48</v>
      </c>
      <c r="L1956">
        <v>3.9791629457509183E-48</v>
      </c>
      <c r="M1956">
        <v>0.1143943014614686</v>
      </c>
      <c r="N1956">
        <v>1.3141209880863079E-47</v>
      </c>
      <c r="O1956">
        <v>1.6054441950837539E-47</v>
      </c>
      <c r="P1956">
        <v>4.5517566881541148E-2</v>
      </c>
      <c r="Q1956">
        <v>0.64486113189541316</v>
      </c>
      <c r="R1956">
        <v>0.62435222481628916</v>
      </c>
      <c r="S1956">
        <v>0.36657360132404088</v>
      </c>
      <c r="T1956">
        <v>0.30400098817728449</v>
      </c>
      <c r="U1956">
        <v>4.2555146084885838</v>
      </c>
      <c r="V1956">
        <v>0.12414549193133841</v>
      </c>
      <c r="W1956">
        <v>3.3685681920437029</v>
      </c>
      <c r="X1956">
        <v>0.37523871102673911</v>
      </c>
      <c r="Z1956" t="s">
        <v>392</v>
      </c>
      <c r="AA1956">
        <v>140</v>
      </c>
      <c r="AB1956" t="s">
        <v>2347</v>
      </c>
      <c r="AC1956" t="str">
        <f>HYPERLINK("plots/20251231112652_3FT6Y119H04_05543_B21P_N_UFLEX98_M5358A8BA201511/dpll_52094/txpa_55185.png","plot")</f>
        <v>plot</v>
      </c>
    </row>
    <row r="1957" spans="1:29" hidden="1" x14ac:dyDescent="0.35">
      <c r="A1957" t="s">
        <v>47</v>
      </c>
      <c r="B1957">
        <v>52094</v>
      </c>
      <c r="C1957" t="s">
        <v>53</v>
      </c>
      <c r="D1957">
        <v>55186</v>
      </c>
      <c r="E1957" t="s">
        <v>319</v>
      </c>
      <c r="F1957">
        <v>7139</v>
      </c>
      <c r="G1957">
        <v>0.16024758067797851</v>
      </c>
      <c r="H1957">
        <v>2.8245749165139671E-42</v>
      </c>
      <c r="I1957">
        <v>3.1682731917534992E-42</v>
      </c>
      <c r="J1957">
        <v>0.16577016254103871</v>
      </c>
      <c r="K1957">
        <v>3.7143452939080467E-45</v>
      </c>
      <c r="L1957">
        <v>4.4730951639225183E-45</v>
      </c>
      <c r="M1957">
        <v>0.1111402814351517</v>
      </c>
      <c r="N1957">
        <v>4.8909520546381252E-45</v>
      </c>
      <c r="O1957">
        <v>5.9040778373845938E-45</v>
      </c>
      <c r="P1957">
        <v>2.5679287113145211E-2</v>
      </c>
      <c r="Q1957">
        <v>0.6157826936504166</v>
      </c>
      <c r="R1957">
        <v>1.1830249407583919</v>
      </c>
      <c r="S1957">
        <v>0.4708553395237734</v>
      </c>
      <c r="T1957">
        <v>0.37202114420888888</v>
      </c>
      <c r="U1957">
        <v>4.2555146084885838</v>
      </c>
      <c r="V1957">
        <v>0.12414549193133841</v>
      </c>
      <c r="W1957">
        <v>3.80349718924219</v>
      </c>
      <c r="X1957">
        <v>0.47705335146155542</v>
      </c>
      <c r="Z1957" t="s">
        <v>392</v>
      </c>
      <c r="AA1957">
        <v>140</v>
      </c>
      <c r="AB1957" t="s">
        <v>2348</v>
      </c>
      <c r="AC1957" t="str">
        <f>HYPERLINK("plots/20251231112652_3FT6Y119H04_05543_B21P_N_UFLEX98_M5358A8BA201511/dpll_52094/txpa_55186.png","plot")</f>
        <v>plot</v>
      </c>
    </row>
    <row r="1958" spans="1:29" hidden="1" x14ac:dyDescent="0.35">
      <c r="A1958" t="s">
        <v>47</v>
      </c>
      <c r="B1958">
        <v>52094</v>
      </c>
      <c r="C1958" t="s">
        <v>53</v>
      </c>
      <c r="D1958">
        <v>55187</v>
      </c>
      <c r="E1958" t="s">
        <v>320</v>
      </c>
      <c r="F1958">
        <v>7139</v>
      </c>
      <c r="G1958">
        <v>0.15198411671916509</v>
      </c>
      <c r="H1958">
        <v>3.7347638669014332E-38</v>
      </c>
      <c r="I1958">
        <v>4.1615940231187401E-38</v>
      </c>
      <c r="J1958">
        <v>0.16028340380860229</v>
      </c>
      <c r="K1958">
        <v>2.7076511268182961E-42</v>
      </c>
      <c r="L1958">
        <v>3.2262729055155717E-42</v>
      </c>
      <c r="M1958">
        <v>0.1075585754322609</v>
      </c>
      <c r="N1958">
        <v>2.7171745730097431E-42</v>
      </c>
      <c r="O1958">
        <v>3.2414294318022108E-42</v>
      </c>
      <c r="P1958">
        <v>2.3099171734904819E-2</v>
      </c>
      <c r="Q1958">
        <v>0.57440242924141027</v>
      </c>
      <c r="R1958">
        <v>3.0947090258273411</v>
      </c>
      <c r="S1958">
        <v>0.46370719818951012</v>
      </c>
      <c r="T1958">
        <v>0.38776964443510309</v>
      </c>
      <c r="U1958">
        <v>4.2555146084885838</v>
      </c>
      <c r="V1958">
        <v>0.12414549193133841</v>
      </c>
      <c r="W1958">
        <v>5.5390869546154926</v>
      </c>
      <c r="X1958">
        <v>0.46919029227570969</v>
      </c>
      <c r="Z1958" t="s">
        <v>392</v>
      </c>
      <c r="AA1958">
        <v>140</v>
      </c>
      <c r="AB1958" t="s">
        <v>2349</v>
      </c>
      <c r="AC1958" t="str">
        <f>HYPERLINK("plots/20251231112652_3FT6Y119H04_05543_B21P_N_UFLEX98_M5358A8BA201511/dpll_52094/txpa_55187.png","plot")</f>
        <v>plot</v>
      </c>
    </row>
    <row r="1959" spans="1:29" hidden="1" x14ac:dyDescent="0.35">
      <c r="A1959" t="s">
        <v>47</v>
      </c>
      <c r="B1959">
        <v>52094</v>
      </c>
      <c r="C1959" t="s">
        <v>53</v>
      </c>
      <c r="D1959">
        <v>55188</v>
      </c>
      <c r="E1959" t="s">
        <v>321</v>
      </c>
      <c r="F1959">
        <v>7139</v>
      </c>
      <c r="G1959">
        <v>0.27893996591783587</v>
      </c>
      <c r="H1959">
        <v>9.8800621811041665E-128</v>
      </c>
      <c r="I1959">
        <v>1.9760124362208329E-127</v>
      </c>
      <c r="J1959">
        <v>0.25428722157446337</v>
      </c>
      <c r="K1959">
        <v>9.3401782255433098E-106</v>
      </c>
      <c r="L1959">
        <v>1.828366934498247E-105</v>
      </c>
      <c r="M1959">
        <v>0.17032378154758571</v>
      </c>
      <c r="N1959">
        <v>2.7082396059844072E-103</v>
      </c>
      <c r="O1959">
        <v>5.3014574526412907E-103</v>
      </c>
      <c r="P1959">
        <v>7.7807504586243442E-2</v>
      </c>
      <c r="Q1959">
        <v>0.71397167151476593</v>
      </c>
      <c r="R1959">
        <v>2.070842284869947</v>
      </c>
      <c r="S1959">
        <v>0.30512764940402509</v>
      </c>
      <c r="T1959">
        <v>0.24807976224599521</v>
      </c>
      <c r="U1959">
        <v>4.2555146084885838</v>
      </c>
      <c r="V1959">
        <v>0.12414549193133841</v>
      </c>
      <c r="W1959">
        <v>5.1091591630480462</v>
      </c>
      <c r="X1959">
        <v>0.31776143692277192</v>
      </c>
      <c r="Z1959" t="s">
        <v>392</v>
      </c>
      <c r="AA1959">
        <v>140</v>
      </c>
      <c r="AB1959" t="s">
        <v>2350</v>
      </c>
      <c r="AC1959" t="str">
        <f>HYPERLINK("plots/20251231112652_3FT6Y119H04_05543_B21P_N_UFLEX98_M5358A8BA201511/dpll_52094/txpa_55188.png","plot")</f>
        <v>plot</v>
      </c>
    </row>
    <row r="1960" spans="1:29" hidden="1" x14ac:dyDescent="0.35">
      <c r="A1960" t="s">
        <v>47</v>
      </c>
      <c r="B1960">
        <v>52094</v>
      </c>
      <c r="C1960" t="s">
        <v>53</v>
      </c>
      <c r="D1960">
        <v>55189</v>
      </c>
      <c r="E1960" t="s">
        <v>322</v>
      </c>
      <c r="F1960">
        <v>7139</v>
      </c>
      <c r="G1960">
        <v>0.2049866857962912</v>
      </c>
      <c r="H1960">
        <v>1.359163253595731E-68</v>
      </c>
      <c r="I1960">
        <v>1.724895543361791E-68</v>
      </c>
      <c r="J1960">
        <v>0.1850760213895879</v>
      </c>
      <c r="K1960">
        <v>4.9071739752423991E-56</v>
      </c>
      <c r="L1960">
        <v>6.33062902149592E-56</v>
      </c>
      <c r="M1960">
        <v>0.1240565274250202</v>
      </c>
      <c r="N1960">
        <v>1.1256855099324049E-55</v>
      </c>
      <c r="O1960">
        <v>1.4577843002189769E-55</v>
      </c>
      <c r="P1960">
        <v>4.20195413537474E-2</v>
      </c>
      <c r="Q1960">
        <v>0.69512443397836532</v>
      </c>
      <c r="R1960">
        <v>2.464006703866894</v>
      </c>
      <c r="S1960">
        <v>0.41201759262975618</v>
      </c>
      <c r="T1960">
        <v>0.3570086328588889</v>
      </c>
      <c r="U1960">
        <v>4.2555146084885838</v>
      </c>
      <c r="V1960">
        <v>0.12414549193133841</v>
      </c>
      <c r="W1960">
        <v>5.4221188873791846</v>
      </c>
      <c r="X1960">
        <v>0.42098619466191028</v>
      </c>
      <c r="Z1960" t="s">
        <v>392</v>
      </c>
      <c r="AA1960">
        <v>140</v>
      </c>
      <c r="AB1960" t="s">
        <v>2351</v>
      </c>
      <c r="AC1960" t="str">
        <f>HYPERLINK("plots/20251231112652_3FT6Y119H04_05543_B21P_N_UFLEX98_M5358A8BA201511/dpll_52094/txpa_55189.png","plot")</f>
        <v>plot</v>
      </c>
    </row>
    <row r="1961" spans="1:29" hidden="1" x14ac:dyDescent="0.35">
      <c r="A1961" t="s">
        <v>47</v>
      </c>
      <c r="B1961">
        <v>52094</v>
      </c>
      <c r="C1961" t="s">
        <v>53</v>
      </c>
      <c r="D1961">
        <v>55190</v>
      </c>
      <c r="E1961" t="s">
        <v>323</v>
      </c>
      <c r="F1961">
        <v>7139</v>
      </c>
      <c r="G1961">
        <v>0.26123603090330999</v>
      </c>
      <c r="H1961">
        <v>1.0274535209145259E-111</v>
      </c>
      <c r="I1961">
        <v>1.7993745599435741E-111</v>
      </c>
      <c r="J1961">
        <v>0.25505694845654631</v>
      </c>
      <c r="K1961">
        <v>2.0859643205576961E-106</v>
      </c>
      <c r="L1961">
        <v>4.099162443886635E-106</v>
      </c>
      <c r="M1961">
        <v>0.17012626403841241</v>
      </c>
      <c r="N1961">
        <v>4.6499977061113987E-103</v>
      </c>
      <c r="O1961">
        <v>9.0327541647451313E-103</v>
      </c>
      <c r="P1961">
        <v>6.8244263842115155E-2</v>
      </c>
      <c r="Q1961">
        <v>0.73892896077721337</v>
      </c>
      <c r="R1961">
        <v>2.200335870180278</v>
      </c>
      <c r="S1961">
        <v>0.33893871888719779</v>
      </c>
      <c r="T1961">
        <v>0.26207957314063152</v>
      </c>
      <c r="U1961">
        <v>4.2555146084885838</v>
      </c>
      <c r="V1961">
        <v>0.12414549193133841</v>
      </c>
      <c r="W1961">
        <v>5.3448588574029978</v>
      </c>
      <c r="X1961">
        <v>0.35115638153281042</v>
      </c>
      <c r="Z1961" t="s">
        <v>392</v>
      </c>
      <c r="AA1961">
        <v>140</v>
      </c>
      <c r="AB1961" t="s">
        <v>2352</v>
      </c>
      <c r="AC1961" t="str">
        <f>HYPERLINK("plots/20251231112652_3FT6Y119H04_05543_B21P_N_UFLEX98_M5358A8BA201511/dpll_52094/txpa_55190.png","plot")</f>
        <v>plot</v>
      </c>
    </row>
    <row r="1962" spans="1:29" hidden="1" x14ac:dyDescent="0.35">
      <c r="A1962" t="s">
        <v>47</v>
      </c>
      <c r="B1962">
        <v>52094</v>
      </c>
      <c r="C1962" t="s">
        <v>53</v>
      </c>
      <c r="D1962">
        <v>55191</v>
      </c>
      <c r="E1962" t="s">
        <v>324</v>
      </c>
      <c r="F1962">
        <v>7139</v>
      </c>
      <c r="G1962">
        <v>0.19666461522458231</v>
      </c>
      <c r="H1962">
        <v>3.5416344855703821E-63</v>
      </c>
      <c r="I1962">
        <v>4.3635690988680038E-63</v>
      </c>
      <c r="J1962">
        <v>0.1668418638513432</v>
      </c>
      <c r="K1962">
        <v>9.9761213709713575E-46</v>
      </c>
      <c r="L1962">
        <v>1.205695717540519E-45</v>
      </c>
      <c r="M1962">
        <v>0.1108895714799997</v>
      </c>
      <c r="N1962">
        <v>7.6603155497680686E-45</v>
      </c>
      <c r="O1962">
        <v>9.2360998424076354E-45</v>
      </c>
      <c r="P1962">
        <v>3.8676970881432987E-2</v>
      </c>
      <c r="Q1962">
        <v>0.7200770192128243</v>
      </c>
      <c r="R1962">
        <v>2.2244958440069031</v>
      </c>
      <c r="S1962">
        <v>0.44564386470760592</v>
      </c>
      <c r="T1962">
        <v>0.36022665078420929</v>
      </c>
      <c r="U1962">
        <v>4.2555146084885838</v>
      </c>
      <c r="V1962">
        <v>0.12414549193133841</v>
      </c>
      <c r="W1962">
        <v>5.2887941185039917</v>
      </c>
      <c r="X1962">
        <v>0.45455210982689243</v>
      </c>
      <c r="Z1962" t="s">
        <v>392</v>
      </c>
      <c r="AA1962">
        <v>140</v>
      </c>
      <c r="AB1962" t="s">
        <v>2353</v>
      </c>
      <c r="AC1962" t="str">
        <f>HYPERLINK("plots/20251231112652_3FT6Y119H04_05543_B21P_N_UFLEX98_M5358A8BA201511/dpll_52094/txpa_55191.png","plot")</f>
        <v>plot</v>
      </c>
    </row>
    <row r="1963" spans="1:29" hidden="1" x14ac:dyDescent="0.35">
      <c r="A1963" t="s">
        <v>47</v>
      </c>
      <c r="B1963">
        <v>52094</v>
      </c>
      <c r="C1963" t="s">
        <v>53</v>
      </c>
      <c r="D1963">
        <v>55192</v>
      </c>
      <c r="E1963" t="s">
        <v>325</v>
      </c>
      <c r="F1963">
        <v>7139</v>
      </c>
      <c r="G1963">
        <v>0.27786528265727939</v>
      </c>
      <c r="H1963">
        <v>1.0039686233211189E-126</v>
      </c>
      <c r="I1963">
        <v>1.9729150853635949E-126</v>
      </c>
      <c r="J1963">
        <v>0.2825662774973699</v>
      </c>
      <c r="K1963">
        <v>3.6599912873744921E-131</v>
      </c>
      <c r="L1963">
        <v>9.0078426344605217E-131</v>
      </c>
      <c r="M1963">
        <v>0.1896858282095801</v>
      </c>
      <c r="N1963">
        <v>1.2187501077467561E-127</v>
      </c>
      <c r="O1963">
        <v>2.9922823468649162E-127</v>
      </c>
      <c r="P1963">
        <v>7.7209115306209775E-2</v>
      </c>
      <c r="Q1963">
        <v>0.71958523556784759</v>
      </c>
      <c r="R1963">
        <v>2.255988895632254</v>
      </c>
      <c r="S1963">
        <v>0.30881624530794571</v>
      </c>
      <c r="T1963">
        <v>0.2364621544891593</v>
      </c>
      <c r="U1963">
        <v>4.2555146084885838</v>
      </c>
      <c r="V1963">
        <v>0.12414549193133841</v>
      </c>
      <c r="W1963">
        <v>5.3181943776439278</v>
      </c>
      <c r="X1963">
        <v>0.32149846933660509</v>
      </c>
      <c r="Z1963" t="s">
        <v>392</v>
      </c>
      <c r="AA1963">
        <v>140</v>
      </c>
      <c r="AB1963" t="s">
        <v>2354</v>
      </c>
      <c r="AC1963" t="str">
        <f>HYPERLINK("plots/20251231112652_3FT6Y119H04_05543_B21P_N_UFLEX98_M5358A8BA201511/dpll_52094/txpa_55192.png","plot")</f>
        <v>plot</v>
      </c>
    </row>
    <row r="1964" spans="1:29" hidden="1" x14ac:dyDescent="0.35">
      <c r="A1964" t="s">
        <v>47</v>
      </c>
      <c r="B1964">
        <v>52094</v>
      </c>
      <c r="C1964" t="s">
        <v>53</v>
      </c>
      <c r="D1964">
        <v>55193</v>
      </c>
      <c r="E1964" t="s">
        <v>326</v>
      </c>
      <c r="F1964">
        <v>7139</v>
      </c>
      <c r="G1964">
        <v>0.22556255136821099</v>
      </c>
      <c r="H1964">
        <v>4.9398550909053249E-83</v>
      </c>
      <c r="I1964">
        <v>6.8805124480467021E-83</v>
      </c>
      <c r="J1964">
        <v>0.1832753993379069</v>
      </c>
      <c r="K1964">
        <v>5.7417628369881829E-55</v>
      </c>
      <c r="L1964">
        <v>7.2959242063985187E-55</v>
      </c>
      <c r="M1964">
        <v>0.12239843001601811</v>
      </c>
      <c r="N1964">
        <v>3.0333359033617389E-54</v>
      </c>
      <c r="O1964">
        <v>3.8592253525831922E-54</v>
      </c>
      <c r="P1964">
        <v>5.0878464579736833E-2</v>
      </c>
      <c r="Q1964">
        <v>0.6465463312520513</v>
      </c>
      <c r="R1964">
        <v>2.5035297537924071</v>
      </c>
      <c r="S1964">
        <v>0.34665231253927331</v>
      </c>
      <c r="T1964">
        <v>0.2871703383334841</v>
      </c>
      <c r="U1964">
        <v>4.2555146084885838</v>
      </c>
      <c r="V1964">
        <v>0.12414549193133841</v>
      </c>
      <c r="W1964">
        <v>5.2549171115002098</v>
      </c>
      <c r="X1964">
        <v>0.35584724442428001</v>
      </c>
      <c r="Z1964" t="s">
        <v>392</v>
      </c>
      <c r="AA1964">
        <v>140</v>
      </c>
      <c r="AB1964" t="s">
        <v>2355</v>
      </c>
      <c r="AC1964" t="str">
        <f>HYPERLINK("plots/20251231112652_3FT6Y119H04_05543_B21P_N_UFLEX98_M5358A8BA201511/dpll_52094/txpa_55193.png","plot")</f>
        <v>plot</v>
      </c>
    </row>
    <row r="1965" spans="1:29" hidden="1" x14ac:dyDescent="0.35">
      <c r="A1965" t="s">
        <v>47</v>
      </c>
      <c r="B1965">
        <v>52094</v>
      </c>
      <c r="C1965" t="s">
        <v>53</v>
      </c>
      <c r="D1965">
        <v>55194</v>
      </c>
      <c r="E1965" t="s">
        <v>327</v>
      </c>
      <c r="F1965">
        <v>7139</v>
      </c>
      <c r="G1965">
        <v>0.17022077483841461</v>
      </c>
      <c r="H1965">
        <v>1.491705630472525E-47</v>
      </c>
      <c r="I1965">
        <v>1.722767094873737E-47</v>
      </c>
      <c r="J1965">
        <v>0.17503778845439011</v>
      </c>
      <c r="K1965">
        <v>3.1990895555171778E-50</v>
      </c>
      <c r="L1965">
        <v>3.965619571264571E-50</v>
      </c>
      <c r="M1965">
        <v>0.11748637810027709</v>
      </c>
      <c r="N1965">
        <v>4.0493118594850339E-50</v>
      </c>
      <c r="O1965">
        <v>5.0195626228824272E-50</v>
      </c>
      <c r="P1965">
        <v>2.8975112186590251E-2</v>
      </c>
      <c r="Q1965">
        <v>0.61874059178311647</v>
      </c>
      <c r="R1965">
        <v>3.0283971869216999</v>
      </c>
      <c r="S1965">
        <v>0.44464330800189739</v>
      </c>
      <c r="T1965">
        <v>0.3517918180481121</v>
      </c>
      <c r="U1965">
        <v>4.2555146084885838</v>
      </c>
      <c r="V1965">
        <v>0.12414549193133841</v>
      </c>
      <c r="W1965">
        <v>5.6614568141196244</v>
      </c>
      <c r="X1965">
        <v>0.45126016620309389</v>
      </c>
      <c r="Z1965" t="s">
        <v>392</v>
      </c>
      <c r="AA1965">
        <v>140</v>
      </c>
      <c r="AB1965" t="s">
        <v>2356</v>
      </c>
      <c r="AC1965" t="str">
        <f>HYPERLINK("plots/20251231112652_3FT6Y119H04_05543_B21P_N_UFLEX98_M5358A8BA201511/dpll_52094/txpa_55194.png","plot")</f>
        <v>plot</v>
      </c>
    </row>
    <row r="1966" spans="1:29" hidden="1" x14ac:dyDescent="0.35">
      <c r="A1966" t="s">
        <v>47</v>
      </c>
      <c r="B1966">
        <v>52094</v>
      </c>
      <c r="C1966" t="s">
        <v>53</v>
      </c>
      <c r="D1966">
        <v>55195</v>
      </c>
      <c r="E1966" t="s">
        <v>328</v>
      </c>
      <c r="F1966">
        <v>7139</v>
      </c>
      <c r="G1966">
        <v>0.1671507382130232</v>
      </c>
      <c r="H1966">
        <v>6.8187030760789717E-46</v>
      </c>
      <c r="I1966">
        <v>7.7949999088433794E-46</v>
      </c>
      <c r="J1966">
        <v>0.17193674563920561</v>
      </c>
      <c r="K1966">
        <v>1.7061081819420751E-48</v>
      </c>
      <c r="L1966">
        <v>2.086844024715639E-48</v>
      </c>
      <c r="M1966">
        <v>0.1158294601257836</v>
      </c>
      <c r="N1966">
        <v>9.1425055698228762E-49</v>
      </c>
      <c r="O1966">
        <v>1.12369704821823E-48</v>
      </c>
      <c r="P1966">
        <v>2.7939369285158611E-2</v>
      </c>
      <c r="Q1966">
        <v>0.58363213929958224</v>
      </c>
      <c r="R1966">
        <v>5.2982186703203347</v>
      </c>
      <c r="S1966">
        <v>0.42734449340324931</v>
      </c>
      <c r="T1966">
        <v>0.35631678435352571</v>
      </c>
      <c r="U1966">
        <v>4.2555146084885838</v>
      </c>
      <c r="V1966">
        <v>0.12414549193133841</v>
      </c>
      <c r="W1966">
        <v>7.7818737650931507</v>
      </c>
      <c r="X1966">
        <v>0.4334728031409964</v>
      </c>
      <c r="Z1966" t="s">
        <v>392</v>
      </c>
      <c r="AA1966">
        <v>140</v>
      </c>
      <c r="AB1966" t="s">
        <v>2357</v>
      </c>
      <c r="AC1966" t="str">
        <f>HYPERLINK("plots/20251231112652_3FT6Y119H04_05543_B21P_N_UFLEX98_M5358A8BA201511/dpll_52094/txpa_55195.png","plot")</f>
        <v>plot</v>
      </c>
    </row>
    <row r="1967" spans="1:29" hidden="1" x14ac:dyDescent="0.35">
      <c r="A1967" t="s">
        <v>47</v>
      </c>
      <c r="B1967">
        <v>52094</v>
      </c>
      <c r="C1967" t="s">
        <v>53</v>
      </c>
      <c r="D1967">
        <v>55196</v>
      </c>
      <c r="E1967" t="s">
        <v>329</v>
      </c>
      <c r="F1967">
        <v>7139</v>
      </c>
      <c r="G1967">
        <v>0.29553013563863051</v>
      </c>
      <c r="H1967">
        <v>7.4122570108061556E-144</v>
      </c>
      <c r="I1967">
        <v>1.76019405362001E-143</v>
      </c>
      <c r="J1967">
        <v>0.27169007097752179</v>
      </c>
      <c r="K1967">
        <v>5.0165116525695461E-121</v>
      </c>
      <c r="L1967">
        <v>1.091575711524789E-120</v>
      </c>
      <c r="M1967">
        <v>0.18224078393926549</v>
      </c>
      <c r="N1967">
        <v>5.7010740351669052E-118</v>
      </c>
      <c r="O1967">
        <v>1.2485721537060999E-117</v>
      </c>
      <c r="P1967">
        <v>8.7338061070587308E-2</v>
      </c>
      <c r="Q1967">
        <v>0.71434693396753146</v>
      </c>
      <c r="R1967">
        <v>4.349373729485098</v>
      </c>
      <c r="S1967">
        <v>0.28665724073037557</v>
      </c>
      <c r="T1967">
        <v>0.23215514708693641</v>
      </c>
      <c r="U1967">
        <v>4.2555146084885838</v>
      </c>
      <c r="V1967">
        <v>0.12414549193133841</v>
      </c>
      <c r="W1967">
        <v>7.3892875425129576</v>
      </c>
      <c r="X1967">
        <v>0.30008090828166029</v>
      </c>
      <c r="Z1967" t="s">
        <v>392</v>
      </c>
      <c r="AA1967">
        <v>140</v>
      </c>
      <c r="AB1967" t="s">
        <v>2358</v>
      </c>
      <c r="AC1967" t="str">
        <f>HYPERLINK("plots/20251231112652_3FT6Y119H04_05543_B21P_N_UFLEX98_M5358A8BA201511/dpll_52094/txpa_55196.png","plot")</f>
        <v>plot</v>
      </c>
    </row>
    <row r="1968" spans="1:29" hidden="1" x14ac:dyDescent="0.35">
      <c r="A1968" t="s">
        <v>47</v>
      </c>
      <c r="B1968">
        <v>52094</v>
      </c>
      <c r="C1968" t="s">
        <v>53</v>
      </c>
      <c r="D1968">
        <v>55197</v>
      </c>
      <c r="E1968" t="s">
        <v>330</v>
      </c>
      <c r="F1968">
        <v>7139</v>
      </c>
      <c r="G1968">
        <v>0.22297546318722511</v>
      </c>
      <c r="H1968">
        <v>3.9112783339057582E-81</v>
      </c>
      <c r="I1968">
        <v>5.3667607991616222E-81</v>
      </c>
      <c r="J1968">
        <v>0.19926124717069141</v>
      </c>
      <c r="K1968">
        <v>7.6783774744380927E-65</v>
      </c>
      <c r="L1968">
        <v>1.059302688310235E-64</v>
      </c>
      <c r="M1968">
        <v>0.1339298690785716</v>
      </c>
      <c r="N1968">
        <v>1.375053695755109E-64</v>
      </c>
      <c r="O1968">
        <v>1.8970128537356191E-64</v>
      </c>
      <c r="P1968">
        <v>4.9718057183557589E-2</v>
      </c>
      <c r="Q1968">
        <v>0.69969986310002341</v>
      </c>
      <c r="R1968">
        <v>4.692269800906927</v>
      </c>
      <c r="S1968">
        <v>0.37973575152064759</v>
      </c>
      <c r="T1968">
        <v>0.32740570479443237</v>
      </c>
      <c r="U1968">
        <v>4.2555146084885838</v>
      </c>
      <c r="V1968">
        <v>0.12414549193133841</v>
      </c>
      <c r="W1968">
        <v>7.669852789886539</v>
      </c>
      <c r="X1968">
        <v>0.38957014582319849</v>
      </c>
      <c r="Z1968" t="s">
        <v>392</v>
      </c>
      <c r="AA1968">
        <v>140</v>
      </c>
      <c r="AB1968" t="s">
        <v>2359</v>
      </c>
      <c r="AC1968" t="str">
        <f>HYPERLINK("plots/20251231112652_3FT6Y119H04_05543_B21P_N_UFLEX98_M5358A8BA201511/dpll_52094/txpa_55197.png","plot")</f>
        <v>plot</v>
      </c>
    </row>
    <row r="1969" spans="1:29" hidden="1" x14ac:dyDescent="0.35">
      <c r="A1969" t="s">
        <v>47</v>
      </c>
      <c r="B1969">
        <v>52094</v>
      </c>
      <c r="C1969" t="s">
        <v>53</v>
      </c>
      <c r="D1969">
        <v>55198</v>
      </c>
      <c r="E1969" t="s">
        <v>331</v>
      </c>
      <c r="F1969">
        <v>7139</v>
      </c>
      <c r="G1969">
        <v>0.28014796656471419</v>
      </c>
      <c r="H1969">
        <v>7.2023494260935979E-129</v>
      </c>
      <c r="I1969">
        <v>1.4606364636117819E-128</v>
      </c>
      <c r="J1969">
        <v>0.27233122947723881</v>
      </c>
      <c r="K1969">
        <v>1.305029367245685E-121</v>
      </c>
      <c r="L1969">
        <v>2.8704984346792289E-121</v>
      </c>
      <c r="M1969">
        <v>0.18224612172577809</v>
      </c>
      <c r="N1969">
        <v>5.6125661842976167E-118</v>
      </c>
      <c r="O1969">
        <v>1.2318489417484379E-117</v>
      </c>
      <c r="P1969">
        <v>7.8482883170344256E-2</v>
      </c>
      <c r="Q1969">
        <v>0.7402343353332892</v>
      </c>
      <c r="R1969">
        <v>4.4537427656727804</v>
      </c>
      <c r="S1969">
        <v>0.31487196106861182</v>
      </c>
      <c r="T1969">
        <v>0.24391876453706621</v>
      </c>
      <c r="U1969">
        <v>4.2555146084885838</v>
      </c>
      <c r="V1969">
        <v>0.12414549193133841</v>
      </c>
      <c r="W1969">
        <v>7.6038207933884294</v>
      </c>
      <c r="X1969">
        <v>0.32802935117214321</v>
      </c>
      <c r="Z1969" t="s">
        <v>392</v>
      </c>
      <c r="AA1969">
        <v>140</v>
      </c>
      <c r="AB1969" t="s">
        <v>2360</v>
      </c>
      <c r="AC1969" t="str">
        <f>HYPERLINK("plots/20251231112652_3FT6Y119H04_05543_B21P_N_UFLEX98_M5358A8BA201511/dpll_52094/txpa_55198.png","plot")</f>
        <v>plot</v>
      </c>
    </row>
    <row r="1970" spans="1:29" hidden="1" x14ac:dyDescent="0.35">
      <c r="A1970" t="s">
        <v>47</v>
      </c>
      <c r="B1970">
        <v>52094</v>
      </c>
      <c r="C1970" t="s">
        <v>53</v>
      </c>
      <c r="D1970">
        <v>55199</v>
      </c>
      <c r="E1970" t="s">
        <v>332</v>
      </c>
      <c r="F1970">
        <v>7139</v>
      </c>
      <c r="G1970">
        <v>0.21417966761267451</v>
      </c>
      <c r="H1970">
        <v>7.3776834554973788E-75</v>
      </c>
      <c r="I1970">
        <v>9.7408476873363821E-75</v>
      </c>
      <c r="J1970">
        <v>0.18266674641904951</v>
      </c>
      <c r="K1970">
        <v>1.3110517704972851E-54</v>
      </c>
      <c r="L1970">
        <v>1.6617581191053089E-54</v>
      </c>
      <c r="M1970">
        <v>0.1215275424930012</v>
      </c>
      <c r="N1970">
        <v>1.680353794953696E-53</v>
      </c>
      <c r="O1970">
        <v>2.1298484351038089E-53</v>
      </c>
      <c r="P1970">
        <v>4.5872930018675727E-2</v>
      </c>
      <c r="Q1970">
        <v>0.72407554111483086</v>
      </c>
      <c r="R1970">
        <v>4.4723116365034201</v>
      </c>
      <c r="S1970">
        <v>0.40992960172930037</v>
      </c>
      <c r="T1970">
        <v>0.33100946481617849</v>
      </c>
      <c r="U1970">
        <v>4.2555146084885838</v>
      </c>
      <c r="V1970">
        <v>0.12414549193133841</v>
      </c>
      <c r="W1970">
        <v>7.553625679366859</v>
      </c>
      <c r="X1970">
        <v>0.41969770169645759</v>
      </c>
      <c r="Z1970" t="s">
        <v>392</v>
      </c>
      <c r="AA1970">
        <v>140</v>
      </c>
      <c r="AB1970" t="s">
        <v>2361</v>
      </c>
      <c r="AC1970" t="str">
        <f>HYPERLINK("plots/20251231112652_3FT6Y119H04_05543_B21P_N_UFLEX98_M5358A8BA201511/dpll_52094/txpa_55199.png","plot")</f>
        <v>plot</v>
      </c>
    </row>
    <row r="1971" spans="1:29" hidden="1" x14ac:dyDescent="0.35">
      <c r="A1971" t="s">
        <v>47</v>
      </c>
      <c r="B1971">
        <v>52094</v>
      </c>
      <c r="C1971" t="s">
        <v>53</v>
      </c>
      <c r="D1971">
        <v>55200</v>
      </c>
      <c r="E1971" t="s">
        <v>333</v>
      </c>
      <c r="F1971">
        <v>7139</v>
      </c>
      <c r="G1971">
        <v>0.29788795954764802</v>
      </c>
      <c r="H1971">
        <v>3.0815190028795902E-146</v>
      </c>
      <c r="I1971">
        <v>7.4931900933331043E-146</v>
      </c>
      <c r="J1971">
        <v>0.29875675303227173</v>
      </c>
      <c r="K1971">
        <v>4.0334739706349781E-147</v>
      </c>
      <c r="L1971">
        <v>1.1144257782626341E-146</v>
      </c>
      <c r="M1971">
        <v>0.201449151218031</v>
      </c>
      <c r="N1971">
        <v>1.045918236362918E-143</v>
      </c>
      <c r="O1971">
        <v>2.8898122388882799E-143</v>
      </c>
      <c r="P1971">
        <v>8.8737236443461154E-2</v>
      </c>
      <c r="Q1971">
        <v>0.72104516884770353</v>
      </c>
      <c r="R1971">
        <v>4.5040955766145352</v>
      </c>
      <c r="S1971">
        <v>0.28683481834464031</v>
      </c>
      <c r="T1971">
        <v>0.22025485483178689</v>
      </c>
      <c r="U1971">
        <v>4.2555146084885838</v>
      </c>
      <c r="V1971">
        <v>0.12414549193133841</v>
      </c>
      <c r="W1971">
        <v>7.5725138260260536</v>
      </c>
      <c r="X1971">
        <v>0.3004972316680527</v>
      </c>
      <c r="Z1971" t="s">
        <v>392</v>
      </c>
      <c r="AA1971">
        <v>140</v>
      </c>
      <c r="AB1971" t="s">
        <v>2362</v>
      </c>
      <c r="AC1971" t="str">
        <f>HYPERLINK("plots/20251231112652_3FT6Y119H04_05543_B21P_N_UFLEX98_M5358A8BA201511/dpll_52094/txpa_55200.png","plot")</f>
        <v>plot</v>
      </c>
    </row>
    <row r="1972" spans="1:29" hidden="1" x14ac:dyDescent="0.35">
      <c r="A1972" t="s">
        <v>47</v>
      </c>
      <c r="B1972">
        <v>52094</v>
      </c>
      <c r="C1972" t="s">
        <v>53</v>
      </c>
      <c r="D1972">
        <v>55201</v>
      </c>
      <c r="E1972" t="s">
        <v>334</v>
      </c>
      <c r="F1972">
        <v>7139</v>
      </c>
      <c r="G1972">
        <v>0.24476824471772859</v>
      </c>
      <c r="H1972">
        <v>6.8884560332814574E-98</v>
      </c>
      <c r="I1972">
        <v>1.08292936709262E-97</v>
      </c>
      <c r="J1972">
        <v>0.20021941840972809</v>
      </c>
      <c r="K1972">
        <v>1.842211251590337E-65</v>
      </c>
      <c r="L1972">
        <v>2.5519155862194022E-65</v>
      </c>
      <c r="M1972">
        <v>0.13378732982287431</v>
      </c>
      <c r="N1972">
        <v>1.8702344389193561E-64</v>
      </c>
      <c r="O1972">
        <v>2.5766545123155269E-64</v>
      </c>
      <c r="P1972">
        <v>5.9911493622197873E-2</v>
      </c>
      <c r="Q1972">
        <v>0.65290275159999844</v>
      </c>
      <c r="R1972">
        <v>4.7456837499753739</v>
      </c>
      <c r="S1972">
        <v>0.3210541821288051</v>
      </c>
      <c r="T1972">
        <v>0.26516510192419901</v>
      </c>
      <c r="U1972">
        <v>4.2555146084885838</v>
      </c>
      <c r="V1972">
        <v>0.12414549193133841</v>
      </c>
      <c r="W1972">
        <v>7.5241209473315598</v>
      </c>
      <c r="X1972">
        <v>0.33114971010304189</v>
      </c>
      <c r="Z1972" t="s">
        <v>392</v>
      </c>
      <c r="AA1972">
        <v>140</v>
      </c>
      <c r="AB1972" t="s">
        <v>2363</v>
      </c>
      <c r="AC1972" t="str">
        <f>HYPERLINK("plots/20251231112652_3FT6Y119H04_05543_B21P_N_UFLEX98_M5358A8BA201511/dpll_52094/txpa_55201.png","plot")</f>
        <v>plot</v>
      </c>
    </row>
    <row r="1973" spans="1:29" hidden="1" x14ac:dyDescent="0.35">
      <c r="A1973" t="s">
        <v>47</v>
      </c>
      <c r="B1973">
        <v>52094</v>
      </c>
      <c r="C1973" t="s">
        <v>53</v>
      </c>
      <c r="D1973">
        <v>55202</v>
      </c>
      <c r="E1973" t="s">
        <v>335</v>
      </c>
      <c r="F1973">
        <v>7139</v>
      </c>
      <c r="G1973">
        <v>0.18637825497281391</v>
      </c>
      <c r="H1973">
        <v>8.1539366346919336E-57</v>
      </c>
      <c r="I1973">
        <v>9.7043330370629346E-57</v>
      </c>
      <c r="J1973">
        <v>0.18786965794004179</v>
      </c>
      <c r="K1973">
        <v>1.026899878932447E-57</v>
      </c>
      <c r="L1973">
        <v>1.3488037269915821E-57</v>
      </c>
      <c r="M1973">
        <v>0.12627008454377231</v>
      </c>
      <c r="N1973">
        <v>1.294138829343888E-57</v>
      </c>
      <c r="O1973">
        <v>1.7064457385626821E-57</v>
      </c>
      <c r="P1973">
        <v>3.4736853926711227E-2</v>
      </c>
      <c r="Q1973">
        <v>0.6255885596270776</v>
      </c>
      <c r="R1973">
        <v>5.2311487044214022</v>
      </c>
      <c r="S1973">
        <v>0.40937088697557128</v>
      </c>
      <c r="T1973">
        <v>0.32431289692810661</v>
      </c>
      <c r="U1973">
        <v>4.2555146084885838</v>
      </c>
      <c r="V1973">
        <v>0.12414549193133841</v>
      </c>
      <c r="W1973">
        <v>7.8933499588177618</v>
      </c>
      <c r="X1973">
        <v>0.41670096918146088</v>
      </c>
      <c r="Z1973" t="s">
        <v>392</v>
      </c>
      <c r="AA1973">
        <v>140</v>
      </c>
      <c r="AB1973" t="s">
        <v>2364</v>
      </c>
      <c r="AC1973" t="str">
        <f>HYPERLINK("plots/20251231112652_3FT6Y119H04_05543_B21P_N_UFLEX98_M5358A8BA201511/dpll_52094/txpa_55202.png","plot")</f>
        <v>plot</v>
      </c>
    </row>
    <row r="1974" spans="1:29" hidden="1" x14ac:dyDescent="0.35">
      <c r="A1974" t="s">
        <v>47</v>
      </c>
      <c r="B1974">
        <v>52094</v>
      </c>
      <c r="C1974" t="s">
        <v>53</v>
      </c>
      <c r="D1974">
        <v>55203</v>
      </c>
      <c r="E1974" t="s">
        <v>336</v>
      </c>
      <c r="F1974">
        <v>7139</v>
      </c>
      <c r="G1974">
        <v>0.17573676700990179</v>
      </c>
      <c r="H1974">
        <v>1.2920236440691959E-50</v>
      </c>
      <c r="I1974">
        <v>1.516333304497876E-50</v>
      </c>
      <c r="J1974">
        <v>0.17801350162483681</v>
      </c>
      <c r="K1974">
        <v>6.5649483070824228E-52</v>
      </c>
      <c r="L1974">
        <v>8.1880167077264166E-52</v>
      </c>
      <c r="M1974">
        <v>0.1201564799966103</v>
      </c>
      <c r="N1974">
        <v>2.428942076032873E-52</v>
      </c>
      <c r="O1974">
        <v>3.0633672451459358E-52</v>
      </c>
      <c r="P1974">
        <v>3.088341127909253E-2</v>
      </c>
      <c r="Q1974">
        <v>0.58817063971604255</v>
      </c>
      <c r="R1974">
        <v>6.264511404487509</v>
      </c>
      <c r="S1974">
        <v>0.40900560298223848</v>
      </c>
      <c r="T1974">
        <v>0.3402538520057925</v>
      </c>
      <c r="U1974">
        <v>4.2555146084885838</v>
      </c>
      <c r="V1974">
        <v>0.12414549193133841</v>
      </c>
      <c r="W1974">
        <v>8.7674801540832039</v>
      </c>
      <c r="X1974">
        <v>0.41550060724062299</v>
      </c>
      <c r="Z1974" t="s">
        <v>392</v>
      </c>
      <c r="AA1974">
        <v>140</v>
      </c>
      <c r="AB1974" t="s">
        <v>2365</v>
      </c>
      <c r="AC1974" t="str">
        <f>HYPERLINK("plots/20251231112652_3FT6Y119H04_05543_B21P_N_UFLEX98_M5358A8BA201511/dpll_52094/txpa_55203.png","plot")</f>
        <v>plot</v>
      </c>
    </row>
    <row r="1975" spans="1:29" hidden="1" x14ac:dyDescent="0.35">
      <c r="A1975" t="s">
        <v>47</v>
      </c>
      <c r="B1975">
        <v>52094</v>
      </c>
      <c r="C1975" t="s">
        <v>53</v>
      </c>
      <c r="D1975">
        <v>55204</v>
      </c>
      <c r="E1975" t="s">
        <v>337</v>
      </c>
      <c r="F1975">
        <v>7139</v>
      </c>
      <c r="G1975">
        <v>0.30390660095086902</v>
      </c>
      <c r="H1975">
        <v>2.0320658041727359E-152</v>
      </c>
      <c r="I1975">
        <v>5.2969530216739183E-152</v>
      </c>
      <c r="J1975">
        <v>0.28054190293457731</v>
      </c>
      <c r="K1975">
        <v>3.0574453313565697E-129</v>
      </c>
      <c r="L1975">
        <v>7.4168649904200056E-129</v>
      </c>
      <c r="M1975">
        <v>0.18832853122743681</v>
      </c>
      <c r="N1975">
        <v>7.5329298371240032E-126</v>
      </c>
      <c r="O1975">
        <v>1.8015072770857869E-125</v>
      </c>
      <c r="P1975">
        <v>9.2359222101510707E-2</v>
      </c>
      <c r="Q1975">
        <v>0.71609225577466218</v>
      </c>
      <c r="R1975">
        <v>5.344881181813518</v>
      </c>
      <c r="S1975">
        <v>0.27866753634484931</v>
      </c>
      <c r="T1975">
        <v>0.22492674950782529</v>
      </c>
      <c r="U1975">
        <v>4.2555146084885838</v>
      </c>
      <c r="V1975">
        <v>0.12414549193133841</v>
      </c>
      <c r="W1975">
        <v>8.3922222372881361</v>
      </c>
      <c r="X1975">
        <v>0.29252285104442072</v>
      </c>
      <c r="Z1975" t="s">
        <v>392</v>
      </c>
      <c r="AA1975">
        <v>140</v>
      </c>
      <c r="AB1975" t="s">
        <v>2366</v>
      </c>
      <c r="AC1975" t="str">
        <f>HYPERLINK("plots/20251231112652_3FT6Y119H04_05543_B21P_N_UFLEX98_M5358A8BA201511/dpll_52094/txpa_55204.png","plot")</f>
        <v>plot</v>
      </c>
    </row>
    <row r="1976" spans="1:29" hidden="1" x14ac:dyDescent="0.35">
      <c r="A1976" t="s">
        <v>47</v>
      </c>
      <c r="B1976">
        <v>52094</v>
      </c>
      <c r="C1976" t="s">
        <v>53</v>
      </c>
      <c r="D1976">
        <v>55205</v>
      </c>
      <c r="E1976" t="s">
        <v>338</v>
      </c>
      <c r="F1976">
        <v>7139</v>
      </c>
      <c r="G1976">
        <v>0.2329199002003888</v>
      </c>
      <c r="H1976">
        <v>1.4523066289331239E-88</v>
      </c>
      <c r="I1976">
        <v>2.1158605197387759E-88</v>
      </c>
      <c r="J1976">
        <v>0.20662534333497401</v>
      </c>
      <c r="K1976">
        <v>1.09216668053137E-69</v>
      </c>
      <c r="L1976">
        <v>1.5554171545769791E-69</v>
      </c>
      <c r="M1976">
        <v>0.13908331867546669</v>
      </c>
      <c r="N1976">
        <v>1.6485071453522771E-69</v>
      </c>
      <c r="O1976">
        <v>2.360997521733346E-69</v>
      </c>
      <c r="P1976">
        <v>5.4251679909359078E-2</v>
      </c>
      <c r="Q1976">
        <v>0.70327247114400582</v>
      </c>
      <c r="R1976">
        <v>5.6632493906581107</v>
      </c>
      <c r="S1976">
        <v>0.36450655793283693</v>
      </c>
      <c r="T1976">
        <v>0.31319575746229111</v>
      </c>
      <c r="U1976">
        <v>4.2555146084885838</v>
      </c>
      <c r="V1976">
        <v>0.12414549193133841</v>
      </c>
      <c r="W1976">
        <v>8.656035665359294</v>
      </c>
      <c r="X1976">
        <v>0.37484176670532021</v>
      </c>
      <c r="Z1976" t="s">
        <v>392</v>
      </c>
      <c r="AA1976">
        <v>140</v>
      </c>
      <c r="AB1976" t="s">
        <v>2367</v>
      </c>
      <c r="AC1976" t="str">
        <f>HYPERLINK("plots/20251231112652_3FT6Y119H04_05543_B21P_N_UFLEX98_M5358A8BA201511/dpll_52094/txpa_55205.png","plot")</f>
        <v>plot</v>
      </c>
    </row>
    <row r="1977" spans="1:29" hidden="1" x14ac:dyDescent="0.35">
      <c r="A1977" t="s">
        <v>47</v>
      </c>
      <c r="B1977">
        <v>52094</v>
      </c>
      <c r="C1977" t="s">
        <v>53</v>
      </c>
      <c r="D1977">
        <v>55206</v>
      </c>
      <c r="E1977" t="s">
        <v>339</v>
      </c>
      <c r="F1977">
        <v>7139</v>
      </c>
      <c r="G1977">
        <v>0.2896076213621756</v>
      </c>
      <c r="H1977">
        <v>5.6528729390082266E-138</v>
      </c>
      <c r="I1977">
        <v>1.240695489210897E-137</v>
      </c>
      <c r="J1977">
        <v>0.28070640487457871</v>
      </c>
      <c r="K1977">
        <v>2.136919567801949E-129</v>
      </c>
      <c r="L1977">
        <v>5.2087414465172508E-129</v>
      </c>
      <c r="M1977">
        <v>0.18816723508258459</v>
      </c>
      <c r="N1977">
        <v>1.2276099556856941E-125</v>
      </c>
      <c r="O1977">
        <v>2.9220575001532722E-125</v>
      </c>
      <c r="P1977">
        <v>8.3872574351057272E-2</v>
      </c>
      <c r="Q1977">
        <v>0.7416040109738572</v>
      </c>
      <c r="R1977">
        <v>5.4398455429995458</v>
      </c>
      <c r="S1977">
        <v>0.30425698702379078</v>
      </c>
      <c r="T1977">
        <v>0.23594370969278919</v>
      </c>
      <c r="U1977">
        <v>4.2555146084885838</v>
      </c>
      <c r="V1977">
        <v>0.12414549193133841</v>
      </c>
      <c r="W1977">
        <v>8.5957522454125233</v>
      </c>
      <c r="X1977">
        <v>0.31790183672503181</v>
      </c>
      <c r="Z1977" t="s">
        <v>392</v>
      </c>
      <c r="AA1977">
        <v>140</v>
      </c>
      <c r="AB1977" t="s">
        <v>2368</v>
      </c>
      <c r="AC1977" t="str">
        <f>HYPERLINK("plots/20251231112652_3FT6Y119H04_05543_B21P_N_UFLEX98_M5358A8BA201511/dpll_52094/txpa_55206.png","plot")</f>
        <v>plot</v>
      </c>
    </row>
    <row r="1978" spans="1:29" hidden="1" x14ac:dyDescent="0.35">
      <c r="A1978" t="s">
        <v>47</v>
      </c>
      <c r="B1978">
        <v>52094</v>
      </c>
      <c r="C1978" t="s">
        <v>53</v>
      </c>
      <c r="D1978">
        <v>55207</v>
      </c>
      <c r="E1978" t="s">
        <v>340</v>
      </c>
      <c r="F1978">
        <v>7139</v>
      </c>
      <c r="G1978">
        <v>0.2238005095246518</v>
      </c>
      <c r="H1978">
        <v>9.7600730429113327E-82</v>
      </c>
      <c r="I1978">
        <v>1.346491709593482E-81</v>
      </c>
      <c r="J1978">
        <v>0.19113480746627509</v>
      </c>
      <c r="K1978">
        <v>1.034656747599811E-59</v>
      </c>
      <c r="L1978">
        <v>1.3732224372594351E-59</v>
      </c>
      <c r="M1978">
        <v>0.12719615090057121</v>
      </c>
      <c r="N1978">
        <v>1.9519235372109381E-58</v>
      </c>
      <c r="O1978">
        <v>2.5906419721621609E-58</v>
      </c>
      <c r="P1978">
        <v>5.0086668063493753E-2</v>
      </c>
      <c r="Q1978">
        <v>0.72716559157683425</v>
      </c>
      <c r="R1978">
        <v>5.4534502008537826</v>
      </c>
      <c r="S1978">
        <v>0.39311061914535711</v>
      </c>
      <c r="T1978">
        <v>0.3171187346486144</v>
      </c>
      <c r="U1978">
        <v>4.2555146084885838</v>
      </c>
      <c r="V1978">
        <v>0.12414549193133841</v>
      </c>
      <c r="W1978">
        <v>8.5479139985992436</v>
      </c>
      <c r="X1978">
        <v>0.40336963608165971</v>
      </c>
      <c r="Z1978" t="s">
        <v>392</v>
      </c>
      <c r="AA1978">
        <v>140</v>
      </c>
      <c r="AB1978" t="s">
        <v>2369</v>
      </c>
      <c r="AC1978" t="str">
        <f>HYPERLINK("plots/20251231112652_3FT6Y119H04_05543_B21P_N_UFLEX98_M5358A8BA201511/dpll_52094/txpa_55207.png","plot")</f>
        <v>plot</v>
      </c>
    </row>
    <row r="1979" spans="1:29" hidden="1" x14ac:dyDescent="0.35">
      <c r="A1979" t="s">
        <v>47</v>
      </c>
      <c r="B1979">
        <v>52094</v>
      </c>
      <c r="C1979" t="s">
        <v>53</v>
      </c>
      <c r="D1979">
        <v>55208</v>
      </c>
      <c r="E1979" t="s">
        <v>341</v>
      </c>
      <c r="F1979">
        <v>7139</v>
      </c>
      <c r="G1979">
        <v>0.30805459407504671</v>
      </c>
      <c r="H1979">
        <v>9.1560027363393536E-157</v>
      </c>
      <c r="I1979">
        <v>2.4757831399061621E-156</v>
      </c>
      <c r="J1979">
        <v>0.30605672584984711</v>
      </c>
      <c r="K1979">
        <v>1.15853249541228E-154</v>
      </c>
      <c r="L1979">
        <v>3.5067222398449323E-154</v>
      </c>
      <c r="M1979">
        <v>0.20682660158427901</v>
      </c>
      <c r="N1979">
        <v>2.2589237095275218E-151</v>
      </c>
      <c r="O1979">
        <v>6.8785244488315527E-151</v>
      </c>
      <c r="P1979">
        <v>9.4897632930741771E-2</v>
      </c>
      <c r="Q1979">
        <v>0.72239546241547037</v>
      </c>
      <c r="R1979">
        <v>5.4880961276734874</v>
      </c>
      <c r="S1979">
        <v>0.27694702508502472</v>
      </c>
      <c r="T1979">
        <v>0.21304101578407389</v>
      </c>
      <c r="U1979">
        <v>4.2555146084885838</v>
      </c>
      <c r="V1979">
        <v>0.12414549193133841</v>
      </c>
      <c r="W1979">
        <v>8.5622605710883875</v>
      </c>
      <c r="X1979">
        <v>0.29112417660840761</v>
      </c>
      <c r="Z1979" t="s">
        <v>392</v>
      </c>
      <c r="AA1979">
        <v>140</v>
      </c>
      <c r="AB1979" t="s">
        <v>2370</v>
      </c>
      <c r="AC1979" t="str">
        <f>HYPERLINK("plots/20251231112652_3FT6Y119H04_05543_B21P_N_UFLEX98_M5358A8BA201511/dpll_52094/txpa_55208.png","plot")</f>
        <v>plot</v>
      </c>
    </row>
    <row r="1980" spans="1:29" hidden="1" x14ac:dyDescent="0.35">
      <c r="A1980" t="s">
        <v>47</v>
      </c>
      <c r="B1980">
        <v>52094</v>
      </c>
      <c r="C1980" t="s">
        <v>53</v>
      </c>
      <c r="D1980">
        <v>55209</v>
      </c>
      <c r="E1980" t="s">
        <v>342</v>
      </c>
      <c r="F1980">
        <v>7139</v>
      </c>
      <c r="G1980">
        <v>0.25474671022294282</v>
      </c>
      <c r="H1980">
        <v>3.819269326903167E-106</v>
      </c>
      <c r="I1980">
        <v>6.3696366734865323E-106</v>
      </c>
      <c r="J1980">
        <v>0.2086835655279021</v>
      </c>
      <c r="K1980">
        <v>4.4623495314117339E-71</v>
      </c>
      <c r="L1980">
        <v>6.4640320355021401E-71</v>
      </c>
      <c r="M1980">
        <v>0.13943378087514521</v>
      </c>
      <c r="N1980">
        <v>7.5115992970641539E-70</v>
      </c>
      <c r="O1980">
        <v>1.088108812460436E-69</v>
      </c>
      <c r="P1980">
        <v>6.4895886369411973E-2</v>
      </c>
      <c r="Q1980">
        <v>0.65597863291293157</v>
      </c>
      <c r="R1980">
        <v>5.729420651688379</v>
      </c>
      <c r="S1980">
        <v>0.30910898384927649</v>
      </c>
      <c r="T1980">
        <v>0.25470305628422119</v>
      </c>
      <c r="U1980">
        <v>4.2555146084885838</v>
      </c>
      <c r="V1980">
        <v>0.12414549193133841</v>
      </c>
      <c r="W1980">
        <v>8.5209473069057289</v>
      </c>
      <c r="X1980">
        <v>0.31967749459120759</v>
      </c>
      <c r="Z1980" t="s">
        <v>392</v>
      </c>
      <c r="AA1980">
        <v>140</v>
      </c>
      <c r="AB1980" t="s">
        <v>2371</v>
      </c>
      <c r="AC1980" t="str">
        <f>HYPERLINK("plots/20251231112652_3FT6Y119H04_05543_B21P_N_UFLEX98_M5358A8BA201511/dpll_52094/txpa_55209.png","plot")</f>
        <v>plot</v>
      </c>
    </row>
    <row r="1981" spans="1:29" hidden="1" x14ac:dyDescent="0.35">
      <c r="A1981" t="s">
        <v>47</v>
      </c>
      <c r="B1981">
        <v>52094</v>
      </c>
      <c r="C1981" t="s">
        <v>53</v>
      </c>
      <c r="D1981">
        <v>55210</v>
      </c>
      <c r="E1981" t="s">
        <v>343</v>
      </c>
      <c r="F1981">
        <v>7139</v>
      </c>
      <c r="G1981">
        <v>0.19559603627477351</v>
      </c>
      <c r="H1981">
        <v>1.6871334278795049E-62</v>
      </c>
      <c r="I1981">
        <v>2.0711298981474791E-62</v>
      </c>
      <c r="J1981">
        <v>0.1945773401724987</v>
      </c>
      <c r="K1981">
        <v>7.4090131542730366E-62</v>
      </c>
      <c r="L1981">
        <v>9.9638452764361523E-62</v>
      </c>
      <c r="M1981">
        <v>0.13081663310167951</v>
      </c>
      <c r="N1981">
        <v>1.051452122114836E-61</v>
      </c>
      <c r="O1981">
        <v>1.417782515723994E-61</v>
      </c>
      <c r="P1981">
        <v>3.8257809406402492E-2</v>
      </c>
      <c r="Q1981">
        <v>0.62982346481201279</v>
      </c>
      <c r="R1981">
        <v>6.1920930151676243</v>
      </c>
      <c r="S1981">
        <v>0.39200233679895102</v>
      </c>
      <c r="T1981">
        <v>0.31086524227486778</v>
      </c>
      <c r="U1981">
        <v>4.2555146084885838</v>
      </c>
      <c r="V1981">
        <v>0.12414549193133841</v>
      </c>
      <c r="W1981">
        <v>8.8723159704440402</v>
      </c>
      <c r="X1981">
        <v>0.3997511675499717</v>
      </c>
      <c r="Z1981" t="s">
        <v>392</v>
      </c>
      <c r="AA1981">
        <v>140</v>
      </c>
      <c r="AB1981" t="s">
        <v>2372</v>
      </c>
      <c r="AC1981" t="str">
        <f>HYPERLINK("plots/20251231112652_3FT6Y119H04_05543_B21P_N_UFLEX98_M5358A8BA201511/dpll_52094/txpa_55210.png","plot")</f>
        <v>plot</v>
      </c>
    </row>
    <row r="1982" spans="1:29" hidden="1" x14ac:dyDescent="0.35">
      <c r="A1982" t="s">
        <v>47</v>
      </c>
      <c r="B1982">
        <v>52094</v>
      </c>
      <c r="C1982" t="s">
        <v>53</v>
      </c>
      <c r="D1982">
        <v>55211</v>
      </c>
      <c r="E1982" t="s">
        <v>344</v>
      </c>
      <c r="F1982">
        <v>7139</v>
      </c>
      <c r="G1982">
        <v>0.18641957735737169</v>
      </c>
      <c r="H1982">
        <v>7.7008428879491918E-57</v>
      </c>
      <c r="I1982">
        <v>9.175857448155676E-57</v>
      </c>
      <c r="J1982">
        <v>0.18577162946537909</v>
      </c>
      <c r="K1982">
        <v>1.8844814454279631E-56</v>
      </c>
      <c r="L1982">
        <v>2.4498258790563521E-56</v>
      </c>
      <c r="M1982">
        <v>0.12559528451711771</v>
      </c>
      <c r="N1982">
        <v>5.090097048453573E-57</v>
      </c>
      <c r="O1982">
        <v>6.6684217146407285E-57</v>
      </c>
      <c r="P1982">
        <v>3.4752258822101097E-2</v>
      </c>
      <c r="Q1982">
        <v>0.59664606240664564</v>
      </c>
      <c r="R1982">
        <v>7.1807718528505866</v>
      </c>
      <c r="S1982">
        <v>0.39034191763605441</v>
      </c>
      <c r="T1982">
        <v>0.32361994046263531</v>
      </c>
      <c r="U1982">
        <v>4.2555146084885838</v>
      </c>
      <c r="V1982">
        <v>0.12414549193133841</v>
      </c>
      <c r="W1982">
        <v>9.7198078875192593</v>
      </c>
      <c r="X1982">
        <v>0.39733444296128267</v>
      </c>
      <c r="Z1982" t="s">
        <v>392</v>
      </c>
      <c r="AA1982">
        <v>140</v>
      </c>
      <c r="AB1982" t="s">
        <v>2373</v>
      </c>
      <c r="AC1982" t="str">
        <f>HYPERLINK("plots/20251231112652_3FT6Y119H04_05543_B21P_N_UFLEX98_M5358A8BA201511/dpll_52094/txpa_55211.png","plot")</f>
        <v>plot</v>
      </c>
    </row>
    <row r="1983" spans="1:29" hidden="1" x14ac:dyDescent="0.35">
      <c r="A1983" t="s">
        <v>47</v>
      </c>
      <c r="B1983">
        <v>52094</v>
      </c>
      <c r="C1983" t="s">
        <v>53</v>
      </c>
      <c r="D1983">
        <v>55212</v>
      </c>
      <c r="E1983" t="s">
        <v>345</v>
      </c>
      <c r="F1983">
        <v>7139</v>
      </c>
      <c r="G1983">
        <v>0.31337828597381162</v>
      </c>
      <c r="H1983">
        <v>1.901844155824302E-162</v>
      </c>
      <c r="I1983">
        <v>5.4942164501590938E-162</v>
      </c>
      <c r="J1983">
        <v>0.29034972132987552</v>
      </c>
      <c r="K1983">
        <v>1.05419587376136E-138</v>
      </c>
      <c r="L1983">
        <v>2.7269250408010692E-138</v>
      </c>
      <c r="M1983">
        <v>0.1950949397094677</v>
      </c>
      <c r="N1983">
        <v>6.5633305880240282E-135</v>
      </c>
      <c r="O1983">
        <v>1.6721651297126539E-134</v>
      </c>
      <c r="P1983">
        <v>9.820595011988402E-2</v>
      </c>
      <c r="Q1983">
        <v>0.72066134504595891</v>
      </c>
      <c r="R1983">
        <v>6.2957306131310524</v>
      </c>
      <c r="S1983">
        <v>0.27109190184504822</v>
      </c>
      <c r="T1983">
        <v>0.21788932661472379</v>
      </c>
      <c r="U1983">
        <v>4.2555146084885838</v>
      </c>
      <c r="V1983">
        <v>0.12414549193133841</v>
      </c>
      <c r="W1983">
        <v>9.3625154947471625</v>
      </c>
      <c r="X1983">
        <v>0.28549156467116282</v>
      </c>
      <c r="Z1983" t="s">
        <v>392</v>
      </c>
      <c r="AA1983">
        <v>140</v>
      </c>
      <c r="AB1983" t="s">
        <v>2374</v>
      </c>
      <c r="AC1983" t="str">
        <f>HYPERLINK("plots/20251231112652_3FT6Y119H04_05543_B21P_N_UFLEX98_M5358A8BA201511/dpll_52094/txpa_55212.png","plot")</f>
        <v>plot</v>
      </c>
    </row>
    <row r="1984" spans="1:29" hidden="1" x14ac:dyDescent="0.35">
      <c r="A1984" t="s">
        <v>47</v>
      </c>
      <c r="B1984">
        <v>52094</v>
      </c>
      <c r="C1984" t="s">
        <v>53</v>
      </c>
      <c r="D1984">
        <v>55213</v>
      </c>
      <c r="E1984" t="s">
        <v>346</v>
      </c>
      <c r="F1984">
        <v>7139</v>
      </c>
      <c r="G1984">
        <v>0.244641194343727</v>
      </c>
      <c r="H1984">
        <v>8.7266791085397974E-98</v>
      </c>
      <c r="I1984">
        <v>1.3697914266345751E-97</v>
      </c>
      <c r="J1984">
        <v>0.21539016037341471</v>
      </c>
      <c r="K1984">
        <v>1.048672609083918E-75</v>
      </c>
      <c r="L1984">
        <v>1.5774129204079719E-75</v>
      </c>
      <c r="M1984">
        <v>0.14515637636566131</v>
      </c>
      <c r="N1984">
        <v>1.5164080917419011E-75</v>
      </c>
      <c r="O1984">
        <v>2.2813617285256489E-75</v>
      </c>
      <c r="P1984">
        <v>5.9849313969925197E-2</v>
      </c>
      <c r="Q1984">
        <v>0.70972070491451666</v>
      </c>
      <c r="R1984">
        <v>6.5881990500034249</v>
      </c>
      <c r="S1984">
        <v>0.34918626695551491</v>
      </c>
      <c r="T1984">
        <v>0.29871879966924592</v>
      </c>
      <c r="U1984">
        <v>4.2555146084885838</v>
      </c>
      <c r="V1984">
        <v>0.12414549193133841</v>
      </c>
      <c r="W1984">
        <v>9.6084258777139659</v>
      </c>
      <c r="X1984">
        <v>0.36015449598269239</v>
      </c>
      <c r="Z1984" t="s">
        <v>392</v>
      </c>
      <c r="AA1984">
        <v>140</v>
      </c>
      <c r="AB1984" t="s">
        <v>2375</v>
      </c>
      <c r="AC1984" t="str">
        <f>HYPERLINK("plots/20251231112652_3FT6Y119H04_05543_B21P_N_UFLEX98_M5358A8BA201511/dpll_52094/txpa_55213.png","plot")</f>
        <v>plot</v>
      </c>
    </row>
    <row r="1985" spans="1:29" hidden="1" x14ac:dyDescent="0.35">
      <c r="A1985" t="s">
        <v>47</v>
      </c>
      <c r="B1985">
        <v>52094</v>
      </c>
      <c r="C1985" t="s">
        <v>53</v>
      </c>
      <c r="D1985">
        <v>55214</v>
      </c>
      <c r="E1985" t="s">
        <v>347</v>
      </c>
      <c r="F1985">
        <v>7139</v>
      </c>
      <c r="G1985">
        <v>0.30066982992443908</v>
      </c>
      <c r="H1985">
        <v>4.4699824711999329E-149</v>
      </c>
      <c r="I1985">
        <v>1.1191511668633899E-148</v>
      </c>
      <c r="J1985">
        <v>0.29013699556834399</v>
      </c>
      <c r="K1985">
        <v>1.7069347298718339E-138</v>
      </c>
      <c r="L1985">
        <v>4.3818526989621262E-138</v>
      </c>
      <c r="M1985">
        <v>0.19491516792607411</v>
      </c>
      <c r="N1985">
        <v>1.1525585116948911E-134</v>
      </c>
      <c r="O1985">
        <v>2.9217358271465491E-134</v>
      </c>
      <c r="P1985">
        <v>9.0402346626791127E-2</v>
      </c>
      <c r="Q1985">
        <v>0.74652705157446264</v>
      </c>
      <c r="R1985">
        <v>6.3771634223587848</v>
      </c>
      <c r="S1985">
        <v>0.29395503132147199</v>
      </c>
      <c r="T1985">
        <v>0.22816376162200419</v>
      </c>
      <c r="U1985">
        <v>4.2555146084885838</v>
      </c>
      <c r="V1985">
        <v>0.12414549193133841</v>
      </c>
      <c r="W1985">
        <v>9.5540201959658209</v>
      </c>
      <c r="X1985">
        <v>0.308238335988197</v>
      </c>
      <c r="Z1985" t="s">
        <v>392</v>
      </c>
      <c r="AA1985">
        <v>140</v>
      </c>
      <c r="AB1985" t="s">
        <v>2376</v>
      </c>
      <c r="AC1985" t="str">
        <f>HYPERLINK("plots/20251231112652_3FT6Y119H04_05543_B21P_N_UFLEX98_M5358A8BA201511/dpll_52094/txpa_55214.png","plot")</f>
        <v>plot</v>
      </c>
    </row>
    <row r="1986" spans="1:29" hidden="1" x14ac:dyDescent="0.35">
      <c r="A1986" t="s">
        <v>47</v>
      </c>
      <c r="B1986">
        <v>52094</v>
      </c>
      <c r="C1986" t="s">
        <v>53</v>
      </c>
      <c r="D1986">
        <v>55215</v>
      </c>
      <c r="E1986" t="s">
        <v>348</v>
      </c>
      <c r="F1986">
        <v>7139</v>
      </c>
      <c r="G1986">
        <v>0.2351951117170937</v>
      </c>
      <c r="H1986">
        <v>2.5797625930298809E-90</v>
      </c>
      <c r="I1986">
        <v>3.835600101660264E-90</v>
      </c>
      <c r="J1986">
        <v>0.20117279668864149</v>
      </c>
      <c r="K1986">
        <v>4.4190815798912058E-66</v>
      </c>
      <c r="L1986">
        <v>6.1382859205612095E-66</v>
      </c>
      <c r="M1986">
        <v>0.1339956068589741</v>
      </c>
      <c r="N1986">
        <v>1.192869907803222E-64</v>
      </c>
      <c r="O1986">
        <v>1.6479156491995469E-64</v>
      </c>
      <c r="P1986">
        <v>5.531674057561619E-2</v>
      </c>
      <c r="Q1986">
        <v>0.73279933119881024</v>
      </c>
      <c r="R1986">
        <v>6.3905268957763823</v>
      </c>
      <c r="S1986">
        <v>0.37592431531046372</v>
      </c>
      <c r="T1986">
        <v>0.30286879086502161</v>
      </c>
      <c r="U1986">
        <v>4.2555146084885838</v>
      </c>
      <c r="V1986">
        <v>0.12414549193133841</v>
      </c>
      <c r="W1986">
        <v>9.5089651547835832</v>
      </c>
      <c r="X1986">
        <v>0.38680112352020529</v>
      </c>
      <c r="Z1986" t="s">
        <v>392</v>
      </c>
      <c r="AA1986">
        <v>140</v>
      </c>
      <c r="AB1986" t="s">
        <v>2377</v>
      </c>
      <c r="AC1986" t="str">
        <f>HYPERLINK("plots/20251231112652_3FT6Y119H04_05543_B21P_N_UFLEX98_M5358A8BA201511/dpll_52094/txpa_55215.png","plot")</f>
        <v>plot</v>
      </c>
    </row>
    <row r="1987" spans="1:29" hidden="1" x14ac:dyDescent="0.35">
      <c r="A1987" t="s">
        <v>47</v>
      </c>
      <c r="B1987">
        <v>52094</v>
      </c>
      <c r="C1987" t="s">
        <v>53</v>
      </c>
      <c r="D1987">
        <v>55216</v>
      </c>
      <c r="E1987" t="s">
        <v>349</v>
      </c>
      <c r="F1987">
        <v>7139</v>
      </c>
      <c r="G1987">
        <v>0.31981160164310068</v>
      </c>
      <c r="H1987">
        <v>1.7946353909939691E-169</v>
      </c>
      <c r="I1987">
        <v>5.6165440940366815E-169</v>
      </c>
      <c r="J1987">
        <v>0.31449723688071779</v>
      </c>
      <c r="K1987">
        <v>1.174280234906486E-163</v>
      </c>
      <c r="L1987">
        <v>3.942781980778732E-163</v>
      </c>
      <c r="M1987">
        <v>0.2131456705695397</v>
      </c>
      <c r="N1987">
        <v>1.227314295026501E-160</v>
      </c>
      <c r="O1987">
        <v>4.1208499839631522E-160</v>
      </c>
      <c r="P1987">
        <v>0.10227946054552529</v>
      </c>
      <c r="Q1987">
        <v>0.72729162237377476</v>
      </c>
      <c r="R1987">
        <v>6.4239469692271864</v>
      </c>
      <c r="S1987">
        <v>0.26747641029769031</v>
      </c>
      <c r="T1987">
        <v>0.20613982342587869</v>
      </c>
      <c r="U1987">
        <v>4.2555146084885838</v>
      </c>
      <c r="V1987">
        <v>0.12414549193133841</v>
      </c>
      <c r="W1987">
        <v>9.5189470928701478</v>
      </c>
      <c r="X1987">
        <v>0.28232239159945832</v>
      </c>
      <c r="Z1987" t="s">
        <v>392</v>
      </c>
      <c r="AA1987">
        <v>140</v>
      </c>
      <c r="AB1987" t="s">
        <v>2378</v>
      </c>
      <c r="AC1987" t="str">
        <f>HYPERLINK("plots/20251231112652_3FT6Y119H04_05543_B21P_N_UFLEX98_M5358A8BA201511/dpll_52094/txpa_55216.png","plot")</f>
        <v>plot</v>
      </c>
    </row>
    <row r="1988" spans="1:29" hidden="1" x14ac:dyDescent="0.35">
      <c r="A1988" t="s">
        <v>47</v>
      </c>
      <c r="B1988">
        <v>52094</v>
      </c>
      <c r="C1988" t="s">
        <v>53</v>
      </c>
      <c r="D1988">
        <v>55217</v>
      </c>
      <c r="E1988" t="s">
        <v>350</v>
      </c>
      <c r="F1988">
        <v>7139</v>
      </c>
      <c r="G1988">
        <v>0.26684035993302119</v>
      </c>
      <c r="H1988">
        <v>1.1809101606080149E-116</v>
      </c>
      <c r="I1988">
        <v>2.177168914284594E-116</v>
      </c>
      <c r="J1988">
        <v>0.21935651958916191</v>
      </c>
      <c r="K1988">
        <v>1.613737674242536E-78</v>
      </c>
      <c r="L1988">
        <v>2.4532683683387281E-78</v>
      </c>
      <c r="M1988">
        <v>0.14655241572242059</v>
      </c>
      <c r="N1988">
        <v>5.7147164016112537E-77</v>
      </c>
      <c r="O1988">
        <v>8.687739776962236E-77</v>
      </c>
      <c r="P1988">
        <v>7.1203777689184303E-2</v>
      </c>
      <c r="Q1988">
        <v>0.66330887162940966</v>
      </c>
      <c r="R1988">
        <v>6.662666594822479</v>
      </c>
      <c r="S1988">
        <v>0.29738909747114378</v>
      </c>
      <c r="T1988">
        <v>0.24431039489838871</v>
      </c>
      <c r="U1988">
        <v>4.2555146084885838</v>
      </c>
      <c r="V1988">
        <v>0.12414549193133841</v>
      </c>
      <c r="W1988">
        <v>9.4853871879815106</v>
      </c>
      <c r="X1988">
        <v>0.30859951692286602</v>
      </c>
      <c r="Z1988" t="s">
        <v>392</v>
      </c>
      <c r="AA1988">
        <v>140</v>
      </c>
      <c r="AB1988" t="s">
        <v>2379</v>
      </c>
      <c r="AC1988" t="str">
        <f>HYPERLINK("plots/20251231112652_3FT6Y119H04_05543_B21P_N_UFLEX98_M5358A8BA201511/dpll_52094/txpa_55217.png","plot")</f>
        <v>plot</v>
      </c>
    </row>
    <row r="1989" spans="1:29" hidden="1" x14ac:dyDescent="0.35">
      <c r="A1989" t="s">
        <v>47</v>
      </c>
      <c r="B1989">
        <v>52094</v>
      </c>
      <c r="C1989" t="s">
        <v>53</v>
      </c>
      <c r="D1989">
        <v>55218</v>
      </c>
      <c r="E1989" t="s">
        <v>351</v>
      </c>
      <c r="F1989">
        <v>7139</v>
      </c>
      <c r="G1989">
        <v>0.20674081192218299</v>
      </c>
      <c r="H1989">
        <v>9.1363908593122098E-70</v>
      </c>
      <c r="I1989">
        <v>1.1697348903210331E-69</v>
      </c>
      <c r="J1989">
        <v>0.20272828388735631</v>
      </c>
      <c r="K1989">
        <v>4.2358544799712888E-67</v>
      </c>
      <c r="L1989">
        <v>5.9243537140563969E-67</v>
      </c>
      <c r="M1989">
        <v>0.13639322872729071</v>
      </c>
      <c r="N1989">
        <v>6.4412871236308014E-67</v>
      </c>
      <c r="O1989">
        <v>9.071479365780046E-67</v>
      </c>
      <c r="P1989">
        <v>4.2741763314243439E-2</v>
      </c>
      <c r="Q1989">
        <v>0.63753653654150533</v>
      </c>
      <c r="R1989">
        <v>7.1049734866093139</v>
      </c>
      <c r="S1989">
        <v>0.37453633099430539</v>
      </c>
      <c r="T1989">
        <v>0.29735781691369439</v>
      </c>
      <c r="U1989">
        <v>4.2555146084885838</v>
      </c>
      <c r="V1989">
        <v>0.12414549193133841</v>
      </c>
      <c r="W1989">
        <v>9.8180195313069056</v>
      </c>
      <c r="X1989">
        <v>0.38283339519309728</v>
      </c>
      <c r="Z1989" t="s">
        <v>392</v>
      </c>
      <c r="AA1989">
        <v>140</v>
      </c>
      <c r="AB1989" t="s">
        <v>2380</v>
      </c>
      <c r="AC1989" t="str">
        <f>HYPERLINK("plots/20251231112652_3FT6Y119H04_05543_B21P_N_UFLEX98_M5358A8BA201511/dpll_52094/txpa_55218.png","plot")</f>
        <v>plot</v>
      </c>
    </row>
    <row r="1990" spans="1:29" hidden="1" x14ac:dyDescent="0.35">
      <c r="A1990" t="s">
        <v>47</v>
      </c>
      <c r="B1990">
        <v>52094</v>
      </c>
      <c r="C1990" t="s">
        <v>53</v>
      </c>
      <c r="D1990">
        <v>55219</v>
      </c>
      <c r="E1990" t="s">
        <v>352</v>
      </c>
      <c r="F1990">
        <v>7139</v>
      </c>
      <c r="G1990">
        <v>0.1976984025130962</v>
      </c>
      <c r="H1990">
        <v>7.7545643193765639E-64</v>
      </c>
      <c r="I1990">
        <v>9.6126261856330514E-64</v>
      </c>
      <c r="J1990">
        <v>0.19455412976363839</v>
      </c>
      <c r="K1990">
        <v>7.6623147682848887E-62</v>
      </c>
      <c r="L1990">
        <v>1.029084394045149E-61</v>
      </c>
      <c r="M1990">
        <v>0.1318899531074896</v>
      </c>
      <c r="N1990">
        <v>1.084956186940792E-62</v>
      </c>
      <c r="O1990">
        <v>1.4747259699168401E-62</v>
      </c>
      <c r="P1990">
        <v>3.9084658356230213E-2</v>
      </c>
      <c r="Q1990">
        <v>0.60296319648080776</v>
      </c>
      <c r="R1990">
        <v>8.1030480810918846</v>
      </c>
      <c r="S1990">
        <v>0.37113400030252702</v>
      </c>
      <c r="T1990">
        <v>0.30656614973318769</v>
      </c>
      <c r="U1990">
        <v>4.2555146084885838</v>
      </c>
      <c r="V1990">
        <v>0.12414549193133841</v>
      </c>
      <c r="W1990">
        <v>10.66896677209693</v>
      </c>
      <c r="X1990">
        <v>0.37863311838669739</v>
      </c>
      <c r="Z1990" t="s">
        <v>392</v>
      </c>
      <c r="AA1990">
        <v>140</v>
      </c>
      <c r="AB1990" t="s">
        <v>2381</v>
      </c>
      <c r="AC1990" t="str">
        <f>HYPERLINK("plots/20251231112652_3FT6Y119H04_05543_B21P_N_UFLEX98_M5358A8BA201511/dpll_52094/txpa_55219.png","plot")</f>
        <v>plot</v>
      </c>
    </row>
    <row r="1991" spans="1:29" hidden="1" x14ac:dyDescent="0.35">
      <c r="A1991" t="s">
        <v>47</v>
      </c>
      <c r="B1991">
        <v>52094</v>
      </c>
      <c r="C1991" t="s">
        <v>53</v>
      </c>
      <c r="D1991">
        <v>55220</v>
      </c>
      <c r="E1991" t="s">
        <v>353</v>
      </c>
      <c r="F1991">
        <v>7139</v>
      </c>
      <c r="G1991">
        <v>0.32185012097941362</v>
      </c>
      <c r="H1991">
        <v>9.8048947630059122E-172</v>
      </c>
      <c r="I1991">
        <v>3.186590797976922E-171</v>
      </c>
      <c r="J1991">
        <v>0.30060467614804298</v>
      </c>
      <c r="K1991">
        <v>5.2136925189175416E-149</v>
      </c>
      <c r="L1991">
        <v>1.460410003917787E-148</v>
      </c>
      <c r="M1991">
        <v>0.20229511331541219</v>
      </c>
      <c r="N1991">
        <v>6.7079206839853793E-145</v>
      </c>
      <c r="O1991">
        <v>1.8789589982213189E-144</v>
      </c>
      <c r="P1991">
        <v>0.1035875003744632</v>
      </c>
      <c r="Q1991">
        <v>0.72175107606473343</v>
      </c>
      <c r="R1991">
        <v>7.2631070045304771</v>
      </c>
      <c r="S1991">
        <v>0.26356531070075873</v>
      </c>
      <c r="T1991">
        <v>0.21066415325670371</v>
      </c>
      <c r="U1991">
        <v>4.2555146084885838</v>
      </c>
      <c r="V1991">
        <v>0.12414549193133841</v>
      </c>
      <c r="W1991">
        <v>10.334529252416299</v>
      </c>
      <c r="X1991">
        <v>0.27839710644620308</v>
      </c>
      <c r="Z1991" t="s">
        <v>392</v>
      </c>
      <c r="AA1991">
        <v>140</v>
      </c>
      <c r="AB1991" t="s">
        <v>2382</v>
      </c>
      <c r="AC1991" t="str">
        <f>HYPERLINK("plots/20251231112652_3FT6Y119H04_05543_B21P_N_UFLEX98_M5358A8BA201511/dpll_52094/txpa_55220.png","plot")</f>
        <v>plot</v>
      </c>
    </row>
    <row r="1992" spans="1:29" hidden="1" x14ac:dyDescent="0.35">
      <c r="A1992" t="s">
        <v>47</v>
      </c>
      <c r="B1992">
        <v>52094</v>
      </c>
      <c r="C1992" t="s">
        <v>53</v>
      </c>
      <c r="D1992">
        <v>55221</v>
      </c>
      <c r="E1992" t="s">
        <v>354</v>
      </c>
      <c r="F1992">
        <v>7139</v>
      </c>
      <c r="G1992">
        <v>0.25677538871473632</v>
      </c>
      <c r="H1992">
        <v>7.2070341709470783E-108</v>
      </c>
      <c r="I1992">
        <v>1.2241093214975439E-107</v>
      </c>
      <c r="J1992">
        <v>0.2247517214442295</v>
      </c>
      <c r="K1992">
        <v>1.9559480846145209E-82</v>
      </c>
      <c r="L1992">
        <v>3.1282828987367889E-82</v>
      </c>
      <c r="M1992">
        <v>0.15160558809013461</v>
      </c>
      <c r="N1992">
        <v>3.0898793618755832E-82</v>
      </c>
      <c r="O1992">
        <v>4.9970297814064453E-82</v>
      </c>
      <c r="P1992">
        <v>6.593360024960393E-2</v>
      </c>
      <c r="Q1992">
        <v>0.71237233675329215</v>
      </c>
      <c r="R1992">
        <v>7.5284867758404692</v>
      </c>
      <c r="S1992">
        <v>0.33284578416090482</v>
      </c>
      <c r="T1992">
        <v>0.28287060340498699</v>
      </c>
      <c r="U1992">
        <v>4.2555146084885838</v>
      </c>
      <c r="V1992">
        <v>0.12414549193133841</v>
      </c>
      <c r="W1992">
        <v>10.559997661577251</v>
      </c>
      <c r="X1992">
        <v>0.34441701997680241</v>
      </c>
      <c r="Z1992" t="s">
        <v>392</v>
      </c>
      <c r="AA1992">
        <v>140</v>
      </c>
      <c r="AB1992" t="s">
        <v>2383</v>
      </c>
      <c r="AC1992" t="str">
        <f>HYPERLINK("plots/20251231112652_3FT6Y119H04_05543_B21P_N_UFLEX98_M5358A8BA201511/dpll_52094/txpa_55221.png","plot")</f>
        <v>plot</v>
      </c>
    </row>
    <row r="1993" spans="1:29" hidden="1" x14ac:dyDescent="0.35">
      <c r="A1993" t="s">
        <v>47</v>
      </c>
      <c r="B1993">
        <v>52094</v>
      </c>
      <c r="C1993" t="s">
        <v>53</v>
      </c>
      <c r="D1993">
        <v>55222</v>
      </c>
      <c r="E1993" t="s">
        <v>355</v>
      </c>
      <c r="F1993">
        <v>7139</v>
      </c>
      <c r="G1993">
        <v>0.31127581846599572</v>
      </c>
      <c r="H1993">
        <v>3.4470541745592559E-160</v>
      </c>
      <c r="I1993">
        <v>9.6025080577007844E-160</v>
      </c>
      <c r="J1993">
        <v>0.29947443475163321</v>
      </c>
      <c r="K1993">
        <v>7.4795766278623825E-148</v>
      </c>
      <c r="L1993">
        <v>2.0722105739487579E-147</v>
      </c>
      <c r="M1993">
        <v>0.20172676970767861</v>
      </c>
      <c r="N1993">
        <v>4.250514958863827E-144</v>
      </c>
      <c r="O1993">
        <v>1.177601685324569E-143</v>
      </c>
      <c r="P1993">
        <v>9.6892635161675525E-2</v>
      </c>
      <c r="Q1993">
        <v>0.74786392987067807</v>
      </c>
      <c r="R1993">
        <v>7.3301480873753428</v>
      </c>
      <c r="S1993">
        <v>0.28343105291895759</v>
      </c>
      <c r="T1993">
        <v>0.21999566645149821</v>
      </c>
      <c r="U1993">
        <v>4.2555146084885838</v>
      </c>
      <c r="V1993">
        <v>0.12414549193133841</v>
      </c>
      <c r="W1993">
        <v>10.5126939661017</v>
      </c>
      <c r="X1993">
        <v>0.29826902690046803</v>
      </c>
      <c r="Z1993" t="s">
        <v>392</v>
      </c>
      <c r="AA1993">
        <v>140</v>
      </c>
      <c r="AB1993" t="s">
        <v>2384</v>
      </c>
      <c r="AC1993" t="str">
        <f>HYPERLINK("plots/20251231112652_3FT6Y119H04_05543_B21P_N_UFLEX98_M5358A8BA201511/dpll_52094/txpa_55222.png","plot")</f>
        <v>plot</v>
      </c>
    </row>
    <row r="1994" spans="1:29" hidden="1" x14ac:dyDescent="0.35">
      <c r="A1994" t="s">
        <v>47</v>
      </c>
      <c r="B1994">
        <v>52094</v>
      </c>
      <c r="C1994" t="s">
        <v>53</v>
      </c>
      <c r="D1994">
        <v>55223</v>
      </c>
      <c r="E1994" t="s">
        <v>356</v>
      </c>
      <c r="F1994">
        <v>7139</v>
      </c>
      <c r="G1994">
        <v>0.2475969049727906</v>
      </c>
      <c r="H1994">
        <v>3.431353610832825E-100</v>
      </c>
      <c r="I1994">
        <v>5.4707430210447872E-100</v>
      </c>
      <c r="J1994">
        <v>0.21258234202821399</v>
      </c>
      <c r="K1994">
        <v>9.506029023284796E-74</v>
      </c>
      <c r="L1994">
        <v>1.411290399650188E-73</v>
      </c>
      <c r="M1994">
        <v>0.1416923635529902</v>
      </c>
      <c r="N1994">
        <v>4.5215874293776762E-72</v>
      </c>
      <c r="O1994">
        <v>6.6803318349594774E-72</v>
      </c>
      <c r="P1994">
        <v>6.1304227352105077E-2</v>
      </c>
      <c r="Q1994">
        <v>0.73593279509601717</v>
      </c>
      <c r="R1994">
        <v>7.338326616126384</v>
      </c>
      <c r="S1994">
        <v>0.35748342538422712</v>
      </c>
      <c r="T1994">
        <v>0.28774026039040329</v>
      </c>
      <c r="U1994">
        <v>4.2555146084885838</v>
      </c>
      <c r="V1994">
        <v>0.12414549193133841</v>
      </c>
      <c r="W1994">
        <v>10.47009937652332</v>
      </c>
      <c r="X1994">
        <v>0.36899790361127538</v>
      </c>
      <c r="Z1994" t="s">
        <v>392</v>
      </c>
      <c r="AA1994">
        <v>140</v>
      </c>
      <c r="AB1994" t="s">
        <v>2385</v>
      </c>
      <c r="AC1994" t="str">
        <f>HYPERLINK("plots/20251231112652_3FT6Y119H04_05543_B21P_N_UFLEX98_M5358A8BA201511/dpll_52094/txpa_55223.png","plot")</f>
        <v>plot</v>
      </c>
    </row>
    <row r="1995" spans="1:29" hidden="1" x14ac:dyDescent="0.35">
      <c r="A1995" t="s">
        <v>47</v>
      </c>
      <c r="B1995">
        <v>52094</v>
      </c>
      <c r="C1995" t="s">
        <v>53</v>
      </c>
      <c r="D1995">
        <v>55224</v>
      </c>
      <c r="E1995" t="s">
        <v>357</v>
      </c>
      <c r="F1995">
        <v>7139</v>
      </c>
      <c r="G1995">
        <v>0.331106005065888</v>
      </c>
      <c r="H1995">
        <v>3.1263472886005968E-182</v>
      </c>
      <c r="I1995">
        <v>1.156976697314236E-181</v>
      </c>
      <c r="J1995">
        <v>0.32278292246125068</v>
      </c>
      <c r="K1995">
        <v>8.9175647873997493E-173</v>
      </c>
      <c r="L1995">
        <v>3.3244156964791711E-172</v>
      </c>
      <c r="M1995">
        <v>0.21951058593581671</v>
      </c>
      <c r="N1995">
        <v>2.995325658287792E-170</v>
      </c>
      <c r="O1995">
        <v>1.129093017659413E-169</v>
      </c>
      <c r="P1995">
        <v>0.10963118659069181</v>
      </c>
      <c r="Q1995">
        <v>0.72880970339325313</v>
      </c>
      <c r="R1995">
        <v>7.3745122208444176</v>
      </c>
      <c r="S1995">
        <v>0.25782949221619061</v>
      </c>
      <c r="T1995">
        <v>0.1989912870314835</v>
      </c>
      <c r="U1995">
        <v>4.2555146084885838</v>
      </c>
      <c r="V1995">
        <v>0.12414549193133841</v>
      </c>
      <c r="W1995">
        <v>10.47597256044264</v>
      </c>
      <c r="X1995">
        <v>0.27326124494203491</v>
      </c>
      <c r="Z1995" t="s">
        <v>392</v>
      </c>
      <c r="AA1995">
        <v>140</v>
      </c>
      <c r="AB1995" t="s">
        <v>2386</v>
      </c>
      <c r="AC1995" t="str">
        <f>HYPERLINK("plots/20251231112652_3FT6Y119H04_05543_B21P_N_UFLEX98_M5358A8BA201511/dpll_52094/txpa_55224.png","plot")</f>
        <v>plot</v>
      </c>
    </row>
    <row r="1996" spans="1:29" hidden="1" x14ac:dyDescent="0.35">
      <c r="A1996" t="s">
        <v>47</v>
      </c>
      <c r="B1996">
        <v>52094</v>
      </c>
      <c r="C1996" t="s">
        <v>53</v>
      </c>
      <c r="D1996">
        <v>55225</v>
      </c>
      <c r="E1996" t="s">
        <v>358</v>
      </c>
      <c r="F1996">
        <v>7139</v>
      </c>
      <c r="G1996">
        <v>0.2791739912563308</v>
      </c>
      <c r="H1996">
        <v>5.9549948013091386E-128</v>
      </c>
      <c r="I1996">
        <v>1.195715787827221E-127</v>
      </c>
      <c r="J1996">
        <v>0.23072000927561029</v>
      </c>
      <c r="K1996">
        <v>6.8650294331418133E-87</v>
      </c>
      <c r="L1996">
        <v>1.143044309557602E-86</v>
      </c>
      <c r="M1996">
        <v>0.15416740200258661</v>
      </c>
      <c r="N1996">
        <v>5.6490978003175742E-85</v>
      </c>
      <c r="O1996">
        <v>9.2593447273236587E-85</v>
      </c>
      <c r="P1996">
        <v>7.793811739398987E-2</v>
      </c>
      <c r="Q1996">
        <v>0.66821483605253174</v>
      </c>
      <c r="R1996">
        <v>7.6074871248751528</v>
      </c>
      <c r="S1996">
        <v>0.28531310972351409</v>
      </c>
      <c r="T1996">
        <v>0.23362444428745771</v>
      </c>
      <c r="U1996">
        <v>4.2555146084885838</v>
      </c>
      <c r="V1996">
        <v>0.12414549193133841</v>
      </c>
      <c r="W1996">
        <v>10.45108512130551</v>
      </c>
      <c r="X1996">
        <v>0.29714752138709127</v>
      </c>
      <c r="Z1996" t="s">
        <v>392</v>
      </c>
      <c r="AA1996">
        <v>140</v>
      </c>
      <c r="AB1996" t="s">
        <v>2387</v>
      </c>
      <c r="AC1996" t="str">
        <f>HYPERLINK("plots/20251231112652_3FT6Y119H04_05543_B21P_N_UFLEX98_M5358A8BA201511/dpll_52094/txpa_55225.png","plot")</f>
        <v>plot</v>
      </c>
    </row>
    <row r="1997" spans="1:29" hidden="1" x14ac:dyDescent="0.35">
      <c r="A1997" t="s">
        <v>47</v>
      </c>
      <c r="B1997">
        <v>52094</v>
      </c>
      <c r="C1997" t="s">
        <v>53</v>
      </c>
      <c r="D1997">
        <v>55226</v>
      </c>
      <c r="E1997" t="s">
        <v>359</v>
      </c>
      <c r="F1997">
        <v>7139</v>
      </c>
      <c r="G1997">
        <v>0.2180565662282202</v>
      </c>
      <c r="H1997">
        <v>1.36741210192079E-77</v>
      </c>
      <c r="I1997">
        <v>1.83649784284461E-77</v>
      </c>
      <c r="J1997">
        <v>0.21048293553257891</v>
      </c>
      <c r="K1997">
        <v>2.6500563833518178E-72</v>
      </c>
      <c r="L1997">
        <v>3.877571677804825E-72</v>
      </c>
      <c r="M1997">
        <v>0.14170731996055341</v>
      </c>
      <c r="N1997">
        <v>4.3698993801212761E-72</v>
      </c>
      <c r="O1997">
        <v>6.4687269656101803E-72</v>
      </c>
      <c r="P1997">
        <v>4.7548666075242177E-2</v>
      </c>
      <c r="Q1997">
        <v>0.64182834397050914</v>
      </c>
      <c r="R1997">
        <v>8.0306655883718943</v>
      </c>
      <c r="S1997">
        <v>0.35659204870627348</v>
      </c>
      <c r="T1997">
        <v>0.28386095663381611</v>
      </c>
      <c r="U1997">
        <v>4.2555146084885838</v>
      </c>
      <c r="V1997">
        <v>0.12414549193133841</v>
      </c>
      <c r="W1997">
        <v>10.76197548228043</v>
      </c>
      <c r="X1997">
        <v>0.36541020926790702</v>
      </c>
      <c r="Z1997" t="s">
        <v>392</v>
      </c>
      <c r="AA1997">
        <v>140</v>
      </c>
      <c r="AB1997" t="s">
        <v>2388</v>
      </c>
      <c r="AC1997" t="str">
        <f>HYPERLINK("plots/20251231112652_3FT6Y119H04_05543_B21P_N_UFLEX98_M5358A8BA201511/dpll_52094/txpa_55226.png","plot")</f>
        <v>plot</v>
      </c>
    </row>
    <row r="1998" spans="1:29" hidden="1" x14ac:dyDescent="0.35">
      <c r="A1998" t="s">
        <v>47</v>
      </c>
      <c r="B1998">
        <v>52094</v>
      </c>
      <c r="C1998" t="s">
        <v>53</v>
      </c>
      <c r="D1998">
        <v>55227</v>
      </c>
      <c r="E1998" t="s">
        <v>360</v>
      </c>
      <c r="F1998">
        <v>7139</v>
      </c>
      <c r="G1998">
        <v>0.20370856992551151</v>
      </c>
      <c r="H1998">
        <v>9.5673409321540854E-68</v>
      </c>
      <c r="I1998">
        <v>1.211146529988045E-67</v>
      </c>
      <c r="J1998">
        <v>0.19904123408627419</v>
      </c>
      <c r="K1998">
        <v>1.064546629362875E-64</v>
      </c>
      <c r="L1998">
        <v>1.464654385582029E-64</v>
      </c>
      <c r="M1998">
        <v>0.13506808298989381</v>
      </c>
      <c r="N1998">
        <v>1.1677870360773571E-65</v>
      </c>
      <c r="O1998">
        <v>1.624329292980028E-65</v>
      </c>
      <c r="P1998">
        <v>4.1497181461096988E-2</v>
      </c>
      <c r="Q1998">
        <v>0.60620525399335756</v>
      </c>
      <c r="R1998">
        <v>8.5492217637707917</v>
      </c>
      <c r="S1998">
        <v>0.36166595413215968</v>
      </c>
      <c r="T1998">
        <v>0.29822425908691752</v>
      </c>
      <c r="U1998">
        <v>4.2555146084885838</v>
      </c>
      <c r="V1998">
        <v>0.12414549193133841</v>
      </c>
      <c r="W1998">
        <v>11.12893707788206</v>
      </c>
      <c r="X1998">
        <v>0.36943781744619869</v>
      </c>
      <c r="Z1998" t="s">
        <v>392</v>
      </c>
      <c r="AA1998">
        <v>140</v>
      </c>
      <c r="AB1998" t="s">
        <v>2389</v>
      </c>
      <c r="AC1998" t="str">
        <f>HYPERLINK("plots/20251231112652_3FT6Y119H04_05543_B21P_N_UFLEX98_M5358A8BA201511/dpll_52094/txpa_55227.png","plot")</f>
        <v>plot</v>
      </c>
    </row>
    <row r="1999" spans="1:29" hidden="1" x14ac:dyDescent="0.35">
      <c r="A1999" t="s">
        <v>47</v>
      </c>
      <c r="B1999">
        <v>52094</v>
      </c>
      <c r="C1999" t="s">
        <v>53</v>
      </c>
      <c r="D1999">
        <v>55228</v>
      </c>
      <c r="E1999" t="s">
        <v>361</v>
      </c>
      <c r="F1999">
        <v>7139</v>
      </c>
      <c r="G1999">
        <v>0.32593145190597139</v>
      </c>
      <c r="H1999">
        <v>2.5611095143369571E-176</v>
      </c>
      <c r="I1999">
        <v>8.7146478105291097E-176</v>
      </c>
      <c r="J1999">
        <v>0.30580050491954858</v>
      </c>
      <c r="K1999">
        <v>2.149403675805437E-154</v>
      </c>
      <c r="L1999">
        <v>6.4673451847676951E-154</v>
      </c>
      <c r="M1999">
        <v>0.205972615636621</v>
      </c>
      <c r="N1999">
        <v>3.843134764683198E-150</v>
      </c>
      <c r="O1999">
        <v>1.1427972584717781E-149</v>
      </c>
      <c r="P1999">
        <v>0.1062313113415346</v>
      </c>
      <c r="Q1999">
        <v>0.72277670038582331</v>
      </c>
      <c r="R1999">
        <v>7.7341626905217051</v>
      </c>
      <c r="S1999">
        <v>0.26025014213722719</v>
      </c>
      <c r="T1999">
        <v>0.2072645002054663</v>
      </c>
      <c r="U1999">
        <v>4.2555146084885838</v>
      </c>
      <c r="V1999">
        <v>0.12414549193133841</v>
      </c>
      <c r="W1999">
        <v>10.80994949768875</v>
      </c>
      <c r="X1999">
        <v>0.27530165776021459</v>
      </c>
      <c r="Z1999" t="s">
        <v>392</v>
      </c>
      <c r="AA1999">
        <v>140</v>
      </c>
      <c r="AB1999" t="s">
        <v>2390</v>
      </c>
      <c r="AC1999" t="str">
        <f>HYPERLINK("plots/20251231112652_3FT6Y119H04_05543_B21P_N_UFLEX98_M5358A8BA201511/dpll_52094/txpa_55228.png","plot")</f>
        <v>plot</v>
      </c>
    </row>
    <row r="2000" spans="1:29" hidden="1" x14ac:dyDescent="0.35">
      <c r="A2000" t="s">
        <v>47</v>
      </c>
      <c r="B2000">
        <v>52094</v>
      </c>
      <c r="C2000" t="s">
        <v>53</v>
      </c>
      <c r="D2000">
        <v>55229</v>
      </c>
      <c r="E2000" t="s">
        <v>362</v>
      </c>
      <c r="F2000">
        <v>7139</v>
      </c>
      <c r="G2000">
        <v>0.26310314315869371</v>
      </c>
      <c r="H2000">
        <v>2.395878140660163E-113</v>
      </c>
      <c r="I2000">
        <v>4.2998591763352299E-113</v>
      </c>
      <c r="J2000">
        <v>0.22961431512171371</v>
      </c>
      <c r="K2000">
        <v>4.6953283271047603E-86</v>
      </c>
      <c r="L2000">
        <v>7.7541741428081868E-86</v>
      </c>
      <c r="M2000">
        <v>0.15487300921774269</v>
      </c>
      <c r="N2000">
        <v>9.766089338646293E-86</v>
      </c>
      <c r="O2000">
        <v>1.618106959050219E-85</v>
      </c>
      <c r="P2000">
        <v>6.9223263939984042E-2</v>
      </c>
      <c r="Q2000">
        <v>0.71258137261564036</v>
      </c>
      <c r="R2000">
        <v>7.9904753082218241</v>
      </c>
      <c r="S2000">
        <v>0.32436330996230089</v>
      </c>
      <c r="T2000">
        <v>0.27428032268573171</v>
      </c>
      <c r="U2000">
        <v>4.2555146084885838</v>
      </c>
      <c r="V2000">
        <v>0.12414549193133841</v>
      </c>
      <c r="W2000">
        <v>11.02287574912453</v>
      </c>
      <c r="X2000">
        <v>0.33623226230755859</v>
      </c>
      <c r="Z2000" t="s">
        <v>392</v>
      </c>
      <c r="AA2000">
        <v>140</v>
      </c>
      <c r="AB2000" t="s">
        <v>2391</v>
      </c>
      <c r="AC2000" t="str">
        <f>HYPERLINK("plots/20251231112652_3FT6Y119H04_05543_B21P_N_UFLEX98_M5358A8BA201511/dpll_52094/txpa_55229.png","plot")</f>
        <v>plot</v>
      </c>
    </row>
    <row r="2001" spans="1:29" hidden="1" x14ac:dyDescent="0.35">
      <c r="A2001" t="s">
        <v>47</v>
      </c>
      <c r="B2001">
        <v>52094</v>
      </c>
      <c r="C2001" t="s">
        <v>53</v>
      </c>
      <c r="D2001">
        <v>55230</v>
      </c>
      <c r="E2001" t="s">
        <v>363</v>
      </c>
      <c r="F2001">
        <v>7139</v>
      </c>
      <c r="G2001">
        <v>0.31662422439808968</v>
      </c>
      <c r="H2001">
        <v>5.7065023570397607E-166</v>
      </c>
      <c r="I2001">
        <v>1.6919278918240691E-165</v>
      </c>
      <c r="J2001">
        <v>0.30420227098323871</v>
      </c>
      <c r="K2001">
        <v>1.0011101492145431E-152</v>
      </c>
      <c r="L2001">
        <v>2.91702784857341E-152</v>
      </c>
      <c r="M2001">
        <v>0.2052411600828557</v>
      </c>
      <c r="N2001">
        <v>4.3141452322028502E-149</v>
      </c>
      <c r="O2001">
        <v>1.260675292637951E-148</v>
      </c>
      <c r="P2001">
        <v>0.10025089947569189</v>
      </c>
      <c r="Q2001">
        <v>0.74810654162907797</v>
      </c>
      <c r="R2001">
        <v>7.7963204476442813</v>
      </c>
      <c r="S2001">
        <v>0.27821501101701801</v>
      </c>
      <c r="T2001">
        <v>0.21582772070290071</v>
      </c>
      <c r="U2001">
        <v>4.2555146084885838</v>
      </c>
      <c r="V2001">
        <v>0.12414549193133841</v>
      </c>
      <c r="W2001">
        <v>10.979898764252701</v>
      </c>
      <c r="X2001">
        <v>0.29332580223180971</v>
      </c>
      <c r="Z2001" t="s">
        <v>392</v>
      </c>
      <c r="AA2001">
        <v>140</v>
      </c>
      <c r="AB2001" t="s">
        <v>2392</v>
      </c>
      <c r="AC2001" t="str">
        <f>HYPERLINK("plots/20251231112652_3FT6Y119H04_05543_B21P_N_UFLEX98_M5358A8BA201511/dpll_52094/txpa_55230.png","plot")</f>
        <v>plot</v>
      </c>
    </row>
    <row r="2002" spans="1:29" hidden="1" x14ac:dyDescent="0.35">
      <c r="A2002" t="s">
        <v>47</v>
      </c>
      <c r="B2002">
        <v>52094</v>
      </c>
      <c r="C2002" t="s">
        <v>53</v>
      </c>
      <c r="D2002">
        <v>55231</v>
      </c>
      <c r="E2002" t="s">
        <v>364</v>
      </c>
      <c r="F2002">
        <v>7139</v>
      </c>
      <c r="G2002">
        <v>0.25425385014149038</v>
      </c>
      <c r="H2002">
        <v>9.966228051292329E-106</v>
      </c>
      <c r="I2002">
        <v>1.6594015178999049E-105</v>
      </c>
      <c r="J2002">
        <v>0.21860716236181851</v>
      </c>
      <c r="K2002">
        <v>5.5405563396524506E-78</v>
      </c>
      <c r="L2002">
        <v>8.4103654616880025E-78</v>
      </c>
      <c r="M2002">
        <v>0.1457584119094652</v>
      </c>
      <c r="N2002">
        <v>3.7018602445741399E-76</v>
      </c>
      <c r="O2002">
        <v>5.5941673442595799E-76</v>
      </c>
      <c r="P2002">
        <v>6.4645020311771453E-2</v>
      </c>
      <c r="Q2002">
        <v>0.73647904267635256</v>
      </c>
      <c r="R2002">
        <v>7.8043776097698467</v>
      </c>
      <c r="S2002">
        <v>0.34776159640160498</v>
      </c>
      <c r="T2002">
        <v>0.27988141183234649</v>
      </c>
      <c r="U2002">
        <v>4.2555146084885838</v>
      </c>
      <c r="V2002">
        <v>0.12414549193133841</v>
      </c>
      <c r="W2002">
        <v>10.93847493472475</v>
      </c>
      <c r="X2002">
        <v>0.35960341603203472</v>
      </c>
      <c r="Z2002" t="s">
        <v>392</v>
      </c>
      <c r="AA2002">
        <v>140</v>
      </c>
      <c r="AB2002" t="s">
        <v>2393</v>
      </c>
      <c r="AC2002" t="str">
        <f>HYPERLINK("plots/20251231112652_3FT6Y119H04_05543_B21P_N_UFLEX98_M5358A8BA201511/dpll_52094/txpa_55231.png","plot")</f>
        <v>plot</v>
      </c>
    </row>
    <row r="2003" spans="1:29" hidden="1" x14ac:dyDescent="0.35">
      <c r="A2003" t="s">
        <v>47</v>
      </c>
      <c r="B2003">
        <v>52094</v>
      </c>
      <c r="C2003" t="s">
        <v>53</v>
      </c>
      <c r="D2003">
        <v>55232</v>
      </c>
      <c r="E2003" t="s">
        <v>365</v>
      </c>
      <c r="F2003">
        <v>7139</v>
      </c>
      <c r="G2003">
        <v>0.33655008690679322</v>
      </c>
      <c r="H2003">
        <v>1.4070804661956959E-188</v>
      </c>
      <c r="I2003">
        <v>5.9202472727072025E-188</v>
      </c>
      <c r="J2003">
        <v>0.32658333782587712</v>
      </c>
      <c r="K2003">
        <v>4.6753162743758908E-177</v>
      </c>
      <c r="L2003">
        <v>1.8094544664950969E-176</v>
      </c>
      <c r="M2003">
        <v>0.2225151769819094</v>
      </c>
      <c r="N2003">
        <v>6.9262275638205941E-175</v>
      </c>
      <c r="O2003">
        <v>2.7012287498900322E-174</v>
      </c>
      <c r="P2003">
        <v>0.11326596099697001</v>
      </c>
      <c r="Q2003">
        <v>0.7287677328953438</v>
      </c>
      <c r="R2003">
        <v>7.8398051710772449</v>
      </c>
      <c r="S2003">
        <v>0.25312593979580222</v>
      </c>
      <c r="T2003">
        <v>0.19535258261519259</v>
      </c>
      <c r="U2003">
        <v>4.2555146084885838</v>
      </c>
      <c r="V2003">
        <v>0.12414549193133841</v>
      </c>
      <c r="W2003">
        <v>10.94108690460849</v>
      </c>
      <c r="X2003">
        <v>0.26882545042704148</v>
      </c>
      <c r="Z2003" t="s">
        <v>392</v>
      </c>
      <c r="AA2003">
        <v>140</v>
      </c>
      <c r="AB2003" t="s">
        <v>2394</v>
      </c>
      <c r="AC2003" t="str">
        <f>HYPERLINK("plots/20251231112652_3FT6Y119H04_05543_B21P_N_UFLEX98_M5358A8BA201511/dpll_52094/txpa_55232.png","plot")</f>
        <v>plot</v>
      </c>
    </row>
    <row r="2004" spans="1:29" hidden="1" x14ac:dyDescent="0.35">
      <c r="A2004" t="s">
        <v>47</v>
      </c>
      <c r="B2004">
        <v>52094</v>
      </c>
      <c r="C2004" t="s">
        <v>53</v>
      </c>
      <c r="D2004">
        <v>55233</v>
      </c>
      <c r="E2004" t="s">
        <v>366</v>
      </c>
      <c r="F2004">
        <v>7139</v>
      </c>
      <c r="G2004">
        <v>0.28523934640669851</v>
      </c>
      <c r="H2004">
        <v>1.002204945800707E-133</v>
      </c>
      <c r="I2004">
        <v>2.130473406796472E-133</v>
      </c>
      <c r="J2004">
        <v>0.2364294936228209</v>
      </c>
      <c r="K2004">
        <v>2.8442331506808069E-91</v>
      </c>
      <c r="L2004">
        <v>4.9469166634482647E-91</v>
      </c>
      <c r="M2004">
        <v>0.15794583719934521</v>
      </c>
      <c r="N2004">
        <v>4.2674893857438408E-89</v>
      </c>
      <c r="O2004">
        <v>7.3592418999051956E-89</v>
      </c>
      <c r="P2004">
        <v>8.136148473852052E-2</v>
      </c>
      <c r="Q2004">
        <v>0.6700478775438744</v>
      </c>
      <c r="R2004">
        <v>8.0704752216318436</v>
      </c>
      <c r="S2004">
        <v>0.27949192360258318</v>
      </c>
      <c r="T2004">
        <v>0.22827547549578181</v>
      </c>
      <c r="U2004">
        <v>4.2555146084885838</v>
      </c>
      <c r="V2004">
        <v>0.12414549193133841</v>
      </c>
      <c r="W2004">
        <v>10.921873752906571</v>
      </c>
      <c r="X2004">
        <v>0.29162674933572907</v>
      </c>
      <c r="Z2004" t="s">
        <v>392</v>
      </c>
      <c r="AA2004">
        <v>140</v>
      </c>
      <c r="AB2004" t="s">
        <v>2395</v>
      </c>
      <c r="AC2004" t="str">
        <f>HYPERLINK("plots/20251231112652_3FT6Y119H04_05543_B21P_N_UFLEX98_M5358A8BA201511/dpll_52094/txpa_55233.png","plot")</f>
        <v>plot</v>
      </c>
    </row>
    <row r="2005" spans="1:29" hidden="1" x14ac:dyDescent="0.35">
      <c r="A2005" t="s">
        <v>47</v>
      </c>
      <c r="B2005">
        <v>52094</v>
      </c>
      <c r="C2005" t="s">
        <v>53</v>
      </c>
      <c r="D2005">
        <v>55234</v>
      </c>
      <c r="E2005" t="s">
        <v>367</v>
      </c>
      <c r="F2005">
        <v>7139</v>
      </c>
      <c r="G2005">
        <v>0.22425669117876351</v>
      </c>
      <c r="H2005">
        <v>4.5192597831408949E-82</v>
      </c>
      <c r="I2005">
        <v>6.2517454571689884E-82</v>
      </c>
      <c r="J2005">
        <v>0.21398544004733749</v>
      </c>
      <c r="K2005">
        <v>1.007822804729427E-74</v>
      </c>
      <c r="L2005">
        <v>1.5028416529347631E-74</v>
      </c>
      <c r="M2005">
        <v>0.14410335730323021</v>
      </c>
      <c r="N2005">
        <v>1.7615364761363799E-74</v>
      </c>
      <c r="O2005">
        <v>2.6267617452974841E-74</v>
      </c>
      <c r="P2005">
        <v>5.0291063538447277E-2</v>
      </c>
      <c r="Q2005">
        <v>0.6445569528008368</v>
      </c>
      <c r="R2005">
        <v>8.4767525797716985</v>
      </c>
      <c r="S2005">
        <v>0.34770559921543981</v>
      </c>
      <c r="T2005">
        <v>0.27738765179585301</v>
      </c>
      <c r="U2005">
        <v>4.2555146084885838</v>
      </c>
      <c r="V2005">
        <v>0.12414549193133841</v>
      </c>
      <c r="W2005">
        <v>11.21967410841855</v>
      </c>
      <c r="X2005">
        <v>0.35681807112474651</v>
      </c>
      <c r="Z2005" t="s">
        <v>392</v>
      </c>
      <c r="AA2005">
        <v>140</v>
      </c>
      <c r="AB2005" t="s">
        <v>2396</v>
      </c>
      <c r="AC2005" t="str">
        <f>HYPERLINK("plots/20251231112652_3FT6Y119H04_05543_B21P_N_UFLEX98_M5358A8BA201511/dpll_52094/txpa_55234.png","plot")</f>
        <v>plot</v>
      </c>
    </row>
    <row r="2006" spans="1:29" hidden="1" x14ac:dyDescent="0.35">
      <c r="A2006" t="s">
        <v>47</v>
      </c>
      <c r="B2006">
        <v>52094</v>
      </c>
      <c r="C2006" t="s">
        <v>53</v>
      </c>
      <c r="D2006">
        <v>55235</v>
      </c>
      <c r="E2006" t="s">
        <v>368</v>
      </c>
      <c r="F2006">
        <v>7139</v>
      </c>
      <c r="G2006">
        <v>0.20984442467428141</v>
      </c>
      <c r="H2006">
        <v>7.2397262326143633E-72</v>
      </c>
      <c r="I2006">
        <v>9.3755841633090231E-72</v>
      </c>
      <c r="J2006">
        <v>0.20378508548396049</v>
      </c>
      <c r="K2006">
        <v>8.5155925723034684E-68</v>
      </c>
      <c r="L2006">
        <v>1.2009472695849399E-67</v>
      </c>
      <c r="M2006">
        <v>0.13845572577738691</v>
      </c>
      <c r="N2006">
        <v>6.7046230769054913E-69</v>
      </c>
      <c r="O2006">
        <v>9.5350460027800388E-69</v>
      </c>
      <c r="P2006">
        <v>4.4034682566880153E-2</v>
      </c>
      <c r="Q2006">
        <v>0.60996719220150797</v>
      </c>
      <c r="R2006">
        <v>8.9692881766235377</v>
      </c>
      <c r="S2006">
        <v>0.35280167983368799</v>
      </c>
      <c r="T2006">
        <v>0.29047354639277029</v>
      </c>
      <c r="U2006">
        <v>4.2555146084885838</v>
      </c>
      <c r="V2006">
        <v>0.12414549193133841</v>
      </c>
      <c r="W2006">
        <v>11.56501247373582</v>
      </c>
      <c r="X2006">
        <v>0.36086103910252848</v>
      </c>
      <c r="Z2006" t="s">
        <v>392</v>
      </c>
      <c r="AA2006">
        <v>140</v>
      </c>
      <c r="AB2006" t="s">
        <v>2397</v>
      </c>
      <c r="AC2006" t="str">
        <f>HYPERLINK("plots/20251231112652_3FT6Y119H04_05543_B21P_N_UFLEX98_M5358A8BA201511/dpll_52094/txpa_55235.png","plot")</f>
        <v>plot</v>
      </c>
    </row>
    <row r="2007" spans="1:29" hidden="1" x14ac:dyDescent="0.35">
      <c r="A2007" t="s">
        <v>47</v>
      </c>
      <c r="B2007">
        <v>52094</v>
      </c>
      <c r="C2007" t="s">
        <v>53</v>
      </c>
      <c r="D2007">
        <v>55236</v>
      </c>
      <c r="E2007" t="s">
        <v>369</v>
      </c>
      <c r="F2007">
        <v>7139</v>
      </c>
      <c r="G2007">
        <v>0.329225535195728</v>
      </c>
      <c r="H2007">
        <v>4.5432389437083276E-180</v>
      </c>
      <c r="I2007">
        <v>1.616436592603595E-179</v>
      </c>
      <c r="J2007">
        <v>0.3108220609902842</v>
      </c>
      <c r="K2007">
        <v>1.052965621759087E-159</v>
      </c>
      <c r="L2007">
        <v>3.3365848139491078E-159</v>
      </c>
      <c r="M2007">
        <v>0.209557036499808</v>
      </c>
      <c r="N2007">
        <v>2.426237639804611E-155</v>
      </c>
      <c r="O2007">
        <v>7.6641899276070885E-155</v>
      </c>
      <c r="P2007">
        <v>0.1083894530249135</v>
      </c>
      <c r="Q2007">
        <v>0.72197065060836974</v>
      </c>
      <c r="R2007">
        <v>8.1947389510609554</v>
      </c>
      <c r="S2007">
        <v>0.25704796139217079</v>
      </c>
      <c r="T2007">
        <v>0.2037893087359518</v>
      </c>
      <c r="U2007">
        <v>4.2555146084885838</v>
      </c>
      <c r="V2007">
        <v>0.12414549193133841</v>
      </c>
      <c r="W2007">
        <v>11.267095601624881</v>
      </c>
      <c r="X2007">
        <v>0.27224316463326242</v>
      </c>
      <c r="Z2007" t="s">
        <v>392</v>
      </c>
      <c r="AA2007">
        <v>140</v>
      </c>
      <c r="AB2007" t="s">
        <v>2398</v>
      </c>
      <c r="AC2007" t="str">
        <f>HYPERLINK("plots/20251231112652_3FT6Y119H04_05543_B21P_N_UFLEX98_M5358A8BA201511/dpll_52094/txpa_55236.png","plot")</f>
        <v>plot</v>
      </c>
    </row>
    <row r="2008" spans="1:29" hidden="1" x14ac:dyDescent="0.35">
      <c r="A2008" t="s">
        <v>47</v>
      </c>
      <c r="B2008">
        <v>52094</v>
      </c>
      <c r="C2008" t="s">
        <v>53</v>
      </c>
      <c r="D2008">
        <v>55237</v>
      </c>
      <c r="E2008" t="s">
        <v>370</v>
      </c>
      <c r="F2008">
        <v>7139</v>
      </c>
      <c r="G2008">
        <v>0.26957925722784792</v>
      </c>
      <c r="H2008">
        <v>4.1149913910554801E-119</v>
      </c>
      <c r="I2008">
        <v>7.6702229237688536E-119</v>
      </c>
      <c r="J2008">
        <v>0.23482697968088659</v>
      </c>
      <c r="K2008">
        <v>4.9669707543320674E-90</v>
      </c>
      <c r="L2008">
        <v>8.5364548218520617E-90</v>
      </c>
      <c r="M2008">
        <v>0.1583577955476024</v>
      </c>
      <c r="N2008">
        <v>1.4956678443801711E-89</v>
      </c>
      <c r="O2008">
        <v>2.5880668843028892E-89</v>
      </c>
      <c r="P2008">
        <v>7.2672975927518202E-2</v>
      </c>
      <c r="Q2008">
        <v>0.71171364884726085</v>
      </c>
      <c r="R2008">
        <v>8.4367902792486156</v>
      </c>
      <c r="S2008">
        <v>0.31559914271273393</v>
      </c>
      <c r="T2008">
        <v>0.26508992274786353</v>
      </c>
      <c r="U2008">
        <v>4.2555146084885838</v>
      </c>
      <c r="V2008">
        <v>0.12414549193133841</v>
      </c>
      <c r="W2008">
        <v>11.465498108978849</v>
      </c>
      <c r="X2008">
        <v>0.32775533978013988</v>
      </c>
      <c r="Z2008" t="s">
        <v>392</v>
      </c>
      <c r="AA2008">
        <v>140</v>
      </c>
      <c r="AB2008" t="s">
        <v>2399</v>
      </c>
      <c r="AC2008" t="str">
        <f>HYPERLINK("plots/20251231112652_3FT6Y119H04_05543_B21P_N_UFLEX98_M5358A8BA201511/dpll_52094/txpa_55237.png","plot")</f>
        <v>plot</v>
      </c>
    </row>
    <row r="2009" spans="1:29" hidden="1" x14ac:dyDescent="0.35">
      <c r="A2009" t="s">
        <v>47</v>
      </c>
      <c r="B2009">
        <v>52094</v>
      </c>
      <c r="C2009" t="s">
        <v>53</v>
      </c>
      <c r="D2009">
        <v>55238</v>
      </c>
      <c r="E2009" t="s">
        <v>371</v>
      </c>
      <c r="F2009">
        <v>7139</v>
      </c>
      <c r="G2009">
        <v>0.32207182910154308</v>
      </c>
      <c r="H2009">
        <v>5.5501785760006898E-172</v>
      </c>
      <c r="I2009">
        <v>1.8154455084079681E-171</v>
      </c>
      <c r="J2009">
        <v>0.30936280487079559</v>
      </c>
      <c r="K2009">
        <v>3.7690508601125607E-158</v>
      </c>
      <c r="L2009">
        <v>1.1832252545368841E-157</v>
      </c>
      <c r="M2009">
        <v>0.20917767036678889</v>
      </c>
      <c r="N2009">
        <v>8.6954871976176631E-155</v>
      </c>
      <c r="O2009">
        <v>2.72979071776604E-154</v>
      </c>
      <c r="P2009">
        <v>0.1037302631008136</v>
      </c>
      <c r="Q2009">
        <v>0.74764701879275697</v>
      </c>
      <c r="R2009">
        <v>8.2457381812700223</v>
      </c>
      <c r="S2009">
        <v>0.27281218692272968</v>
      </c>
      <c r="T2009">
        <v>0.21143194035239851</v>
      </c>
      <c r="U2009">
        <v>4.2555146084885838</v>
      </c>
      <c r="V2009">
        <v>0.12414549193133841</v>
      </c>
      <c r="W2009">
        <v>11.42736099173554</v>
      </c>
      <c r="X2009">
        <v>0.28818728790391052</v>
      </c>
      <c r="Z2009" t="s">
        <v>392</v>
      </c>
      <c r="AA2009">
        <v>140</v>
      </c>
      <c r="AB2009" t="s">
        <v>2400</v>
      </c>
      <c r="AC2009" t="str">
        <f>HYPERLINK("plots/20251231112652_3FT6Y119H04_05543_B21P_N_UFLEX98_M5358A8BA201511/dpll_52094/txpa_55238.png","plot")</f>
        <v>plot</v>
      </c>
    </row>
    <row r="2010" spans="1:29" hidden="1" x14ac:dyDescent="0.35">
      <c r="A2010" t="s">
        <v>47</v>
      </c>
      <c r="B2010">
        <v>52094</v>
      </c>
      <c r="C2010" t="s">
        <v>53</v>
      </c>
      <c r="D2010">
        <v>55239</v>
      </c>
      <c r="E2010" t="s">
        <v>372</v>
      </c>
      <c r="F2010">
        <v>7139</v>
      </c>
      <c r="G2010">
        <v>0.26143548969663222</v>
      </c>
      <c r="H2010">
        <v>6.8868721039569477E-112</v>
      </c>
      <c r="I2010">
        <v>1.216600751465565E-111</v>
      </c>
      <c r="J2010">
        <v>0.22529481588433739</v>
      </c>
      <c r="K2010">
        <v>7.7860590624551981E-83</v>
      </c>
      <c r="L2010">
        <v>1.2511987146322619E-82</v>
      </c>
      <c r="M2010">
        <v>0.15027934432291751</v>
      </c>
      <c r="N2010">
        <v>7.7529516317595901E-81</v>
      </c>
      <c r="O2010">
        <v>1.2245316128667019E-80</v>
      </c>
      <c r="P2010">
        <v>6.8348515272917867E-2</v>
      </c>
      <c r="Q2010">
        <v>0.7362368100012201</v>
      </c>
      <c r="R2010">
        <v>8.2541671346956527</v>
      </c>
      <c r="S2010">
        <v>0.33742733324252733</v>
      </c>
      <c r="T2010">
        <v>0.27153635246951779</v>
      </c>
      <c r="U2010">
        <v>4.2555146084885838</v>
      </c>
      <c r="V2010">
        <v>0.12414549193133841</v>
      </c>
      <c r="W2010">
        <v>11.387233634962881</v>
      </c>
      <c r="X2010">
        <v>0.3496100742160953</v>
      </c>
      <c r="Z2010" t="s">
        <v>392</v>
      </c>
      <c r="AA2010">
        <v>140</v>
      </c>
      <c r="AB2010" t="s">
        <v>2401</v>
      </c>
      <c r="AC2010" t="str">
        <f>HYPERLINK("plots/20251231112652_3FT6Y119H04_05543_B21P_N_UFLEX98_M5358A8BA201511/dpll_52094/txpa_55239.png","plot")</f>
        <v>plot</v>
      </c>
    </row>
    <row r="2011" spans="1:29" hidden="1" x14ac:dyDescent="0.35">
      <c r="A2011" t="s">
        <v>47</v>
      </c>
      <c r="B2011">
        <v>52094</v>
      </c>
      <c r="C2011" t="s">
        <v>53</v>
      </c>
      <c r="D2011">
        <v>55240</v>
      </c>
      <c r="E2011" t="s">
        <v>373</v>
      </c>
      <c r="F2011">
        <v>7139</v>
      </c>
      <c r="G2011">
        <v>0.34190468387232731</v>
      </c>
      <c r="H2011">
        <v>6.0139628202129331E-195</v>
      </c>
      <c r="I2011">
        <v>2.8764897640075067E-194</v>
      </c>
      <c r="J2011">
        <v>0.33056689735546652</v>
      </c>
      <c r="K2011">
        <v>1.3077204603489199E-181</v>
      </c>
      <c r="L2011">
        <v>5.2620180428325583E-181</v>
      </c>
      <c r="M2011">
        <v>0.22574366163486301</v>
      </c>
      <c r="N2011">
        <v>6.1578803387638423E-180</v>
      </c>
      <c r="O2011">
        <v>2.51777849334941E-179</v>
      </c>
      <c r="P2011">
        <v>0.1168988128538361</v>
      </c>
      <c r="Q2011">
        <v>0.72791026593332842</v>
      </c>
      <c r="R2011">
        <v>8.2883826211633274</v>
      </c>
      <c r="S2011">
        <v>0.2483582339000058</v>
      </c>
      <c r="T2011">
        <v>0.1915774144441291</v>
      </c>
      <c r="U2011">
        <v>4.2555146084885838</v>
      </c>
      <c r="V2011">
        <v>0.12414549193133841</v>
      </c>
      <c r="W2011">
        <v>11.386015391511419</v>
      </c>
      <c r="X2011">
        <v>0.26430400725340403</v>
      </c>
      <c r="Z2011" t="s">
        <v>392</v>
      </c>
      <c r="AA2011">
        <v>140</v>
      </c>
      <c r="AB2011" t="s">
        <v>2402</v>
      </c>
      <c r="AC2011" t="str">
        <f>HYPERLINK("plots/20251231112652_3FT6Y119H04_05543_B21P_N_UFLEX98_M5358A8BA201511/dpll_52094/txpa_55240.png","plot")</f>
        <v>plot</v>
      </c>
    </row>
    <row r="2012" spans="1:29" hidden="1" x14ac:dyDescent="0.35">
      <c r="A2012" t="s">
        <v>47</v>
      </c>
      <c r="B2012">
        <v>52094</v>
      </c>
      <c r="C2012" t="s">
        <v>53</v>
      </c>
      <c r="D2012">
        <v>55241</v>
      </c>
      <c r="E2012" t="s">
        <v>374</v>
      </c>
      <c r="F2012">
        <v>7139</v>
      </c>
      <c r="G2012">
        <v>0.29090594735550418</v>
      </c>
      <c r="H2012">
        <v>2.9840634783643219E-139</v>
      </c>
      <c r="I2012">
        <v>6.6648466234833103E-139</v>
      </c>
      <c r="J2012">
        <v>0.24221942225059109</v>
      </c>
      <c r="K2012">
        <v>7.718762069166498E-96</v>
      </c>
      <c r="L2012">
        <v>1.382831225818874E-95</v>
      </c>
      <c r="M2012">
        <v>0.16178047566160511</v>
      </c>
      <c r="N2012">
        <v>2.2169202622227262E-93</v>
      </c>
      <c r="O2012">
        <v>3.9857396203791557E-93</v>
      </c>
      <c r="P2012">
        <v>8.462627020680337E-2</v>
      </c>
      <c r="Q2012">
        <v>0.67040909783284419</v>
      </c>
      <c r="R2012">
        <v>8.5207127230622568</v>
      </c>
      <c r="S2012">
        <v>0.27370772564717571</v>
      </c>
      <c r="T2012">
        <v>0.22292904654081511</v>
      </c>
      <c r="U2012">
        <v>4.2555146084885838</v>
      </c>
      <c r="V2012">
        <v>0.12414549193133841</v>
      </c>
      <c r="W2012">
        <v>11.37364843255358</v>
      </c>
      <c r="X2012">
        <v>0.28610026024663349</v>
      </c>
      <c r="Z2012" t="s">
        <v>392</v>
      </c>
      <c r="AA2012">
        <v>140</v>
      </c>
      <c r="AB2012" t="s">
        <v>2403</v>
      </c>
      <c r="AC2012" t="str">
        <f>HYPERLINK("plots/20251231112652_3FT6Y119H04_05543_B21P_N_UFLEX98_M5358A8BA201511/dpll_52094/txpa_55241.png","plot")</f>
        <v>plot</v>
      </c>
    </row>
    <row r="2013" spans="1:29" hidden="1" x14ac:dyDescent="0.35">
      <c r="A2013" t="s">
        <v>47</v>
      </c>
      <c r="B2013">
        <v>52094</v>
      </c>
      <c r="C2013" t="s">
        <v>53</v>
      </c>
      <c r="D2013">
        <v>55242</v>
      </c>
      <c r="E2013" t="s">
        <v>375</v>
      </c>
      <c r="F2013">
        <v>7139</v>
      </c>
      <c r="G2013">
        <v>0.23043350658530909</v>
      </c>
      <c r="H2013">
        <v>1.13093139507645E-86</v>
      </c>
      <c r="I2013">
        <v>1.6128895001512239E-86</v>
      </c>
      <c r="J2013">
        <v>0.21683567600869361</v>
      </c>
      <c r="K2013">
        <v>1.004677520129631E-76</v>
      </c>
      <c r="L2013">
        <v>1.518245909704092E-76</v>
      </c>
      <c r="M2013">
        <v>0.14610331279466149</v>
      </c>
      <c r="N2013">
        <v>1.6467004585595239E-76</v>
      </c>
      <c r="O2013">
        <v>2.4958957623009821E-76</v>
      </c>
      <c r="P2013">
        <v>5.3099600957201697E-2</v>
      </c>
      <c r="Q2013">
        <v>0.64691998578073262</v>
      </c>
      <c r="R2013">
        <v>8.9022562255716799</v>
      </c>
      <c r="S2013">
        <v>0.33912329555252191</v>
      </c>
      <c r="T2013">
        <v>0.27142656968380302</v>
      </c>
      <c r="U2013">
        <v>4.2555146084885838</v>
      </c>
      <c r="V2013">
        <v>0.12414549193133841</v>
      </c>
      <c r="W2013">
        <v>11.65523367558481</v>
      </c>
      <c r="X2013">
        <v>0.34852657091876088</v>
      </c>
      <c r="Z2013" t="s">
        <v>392</v>
      </c>
      <c r="AA2013">
        <v>140</v>
      </c>
      <c r="AB2013" t="s">
        <v>2404</v>
      </c>
      <c r="AC2013" t="str">
        <f>HYPERLINK("plots/20251231112652_3FT6Y119H04_05543_B21P_N_UFLEX98_M5358A8BA201511/dpll_52094/txpa_55242.png","plot")</f>
        <v>plot</v>
      </c>
    </row>
    <row r="2014" spans="1:29" hidden="1" x14ac:dyDescent="0.35">
      <c r="A2014" t="s">
        <v>47</v>
      </c>
      <c r="B2014">
        <v>52094</v>
      </c>
      <c r="C2014" t="s">
        <v>53</v>
      </c>
      <c r="D2014">
        <v>55243</v>
      </c>
      <c r="E2014" t="s">
        <v>376</v>
      </c>
      <c r="F2014">
        <v>7139</v>
      </c>
      <c r="G2014">
        <v>0.22996823039925379</v>
      </c>
      <c r="H2014">
        <v>2.540218564296627E-86</v>
      </c>
      <c r="I2014">
        <v>3.6024917820933983E-86</v>
      </c>
      <c r="J2014">
        <v>0.22118112310718571</v>
      </c>
      <c r="K2014">
        <v>7.8525205184424286E-80</v>
      </c>
      <c r="L2014">
        <v>1.208263399954571E-79</v>
      </c>
      <c r="M2014">
        <v>0.15082664045613589</v>
      </c>
      <c r="N2014">
        <v>2.058037481040572E-81</v>
      </c>
      <c r="O2014">
        <v>3.2760596636972362E-81</v>
      </c>
      <c r="P2014">
        <v>5.2885386992964301E-2</v>
      </c>
      <c r="Q2014">
        <v>0.64042158876891642</v>
      </c>
      <c r="R2014">
        <v>10.155907390043399</v>
      </c>
      <c r="S2014">
        <v>0.33643403444393433</v>
      </c>
      <c r="T2014">
        <v>0.27526713722014168</v>
      </c>
      <c r="U2014">
        <v>4.2555146084885838</v>
      </c>
      <c r="V2014">
        <v>0.12414549193133841</v>
      </c>
      <c r="W2014">
        <v>12.88123081664099</v>
      </c>
      <c r="X2014">
        <v>0.34572363775263631</v>
      </c>
      <c r="Z2014" t="s">
        <v>392</v>
      </c>
      <c r="AA2014">
        <v>140</v>
      </c>
      <c r="AB2014" t="s">
        <v>2405</v>
      </c>
      <c r="AC2014" t="str">
        <f>HYPERLINK("plots/20251231112652_3FT6Y119H04_05543_B21P_N_UFLEX98_M5358A8BA201511/dpll_52094/txpa_55243.png","plot")</f>
        <v>plot</v>
      </c>
    </row>
    <row r="2015" spans="1:29" hidden="1" x14ac:dyDescent="0.35">
      <c r="A2015" t="s">
        <v>47</v>
      </c>
      <c r="B2015">
        <v>52094</v>
      </c>
      <c r="C2015" t="s">
        <v>53</v>
      </c>
      <c r="D2015">
        <v>55244</v>
      </c>
      <c r="E2015" t="s">
        <v>377</v>
      </c>
      <c r="F2015">
        <v>7139</v>
      </c>
      <c r="G2015">
        <v>0.33731063748528689</v>
      </c>
      <c r="H2015">
        <v>1.783843225250667E-189</v>
      </c>
      <c r="I2015">
        <v>7.6644789423905785E-189</v>
      </c>
      <c r="J2015">
        <v>0.33399967258051338</v>
      </c>
      <c r="K2015">
        <v>1.3730425236926121E-185</v>
      </c>
      <c r="L2015">
        <v>5.8011046626012839E-185</v>
      </c>
      <c r="M2015">
        <v>0.22664918907475121</v>
      </c>
      <c r="N2015">
        <v>2.286556649199083E-181</v>
      </c>
      <c r="O2015">
        <v>9.5023296815076629E-181</v>
      </c>
      <c r="P2015">
        <v>0.1137784661607307</v>
      </c>
      <c r="Q2015">
        <v>0.71809701305296625</v>
      </c>
      <c r="R2015">
        <v>9.6547701093579938</v>
      </c>
      <c r="S2015">
        <v>0.24878532928795721</v>
      </c>
      <c r="T2015">
        <v>0.1916806789730949</v>
      </c>
      <c r="U2015">
        <v>4.2555146084885838</v>
      </c>
      <c r="V2015">
        <v>0.12414549193133841</v>
      </c>
      <c r="W2015">
        <v>12.71064243871691</v>
      </c>
      <c r="X2015">
        <v>0.26429201167358302</v>
      </c>
      <c r="Z2015" t="s">
        <v>392</v>
      </c>
      <c r="AA2015">
        <v>140</v>
      </c>
      <c r="AB2015" t="s">
        <v>2406</v>
      </c>
      <c r="AC2015" t="str">
        <f>HYPERLINK("plots/20251231112652_3FT6Y119H04_05543_B21P_N_UFLEX98_M5358A8BA201511/dpll_52094/txpa_55244.png","plot")</f>
        <v>plot</v>
      </c>
    </row>
    <row r="2016" spans="1:29" hidden="1" x14ac:dyDescent="0.35">
      <c r="A2016" t="s">
        <v>47</v>
      </c>
      <c r="B2016">
        <v>52094</v>
      </c>
      <c r="C2016" t="s">
        <v>53</v>
      </c>
      <c r="D2016">
        <v>55245</v>
      </c>
      <c r="E2016" t="s">
        <v>378</v>
      </c>
      <c r="F2016">
        <v>7139</v>
      </c>
      <c r="G2016">
        <v>0.28869421311414278</v>
      </c>
      <c r="H2016">
        <v>4.4356721657064697E-137</v>
      </c>
      <c r="I2016">
        <v>9.6726270452179793E-137</v>
      </c>
      <c r="J2016">
        <v>0.263917937495523</v>
      </c>
      <c r="K2016">
        <v>4.6022625829217818E-114</v>
      </c>
      <c r="L2016">
        <v>9.4467495123131318E-114</v>
      </c>
      <c r="M2016">
        <v>0.17784097729706441</v>
      </c>
      <c r="N2016">
        <v>1.9474656614183399E-112</v>
      </c>
      <c r="O2016">
        <v>4.0300615932208098E-112</v>
      </c>
      <c r="P2016">
        <v>8.3344348685594094E-2</v>
      </c>
      <c r="Q2016">
        <v>0.70863499632579408</v>
      </c>
      <c r="R2016">
        <v>9.818467416006607</v>
      </c>
      <c r="S2016">
        <v>0.29173474957354961</v>
      </c>
      <c r="T2016">
        <v>0.23480171859653659</v>
      </c>
      <c r="U2016">
        <v>4.2555146084885838</v>
      </c>
      <c r="V2016">
        <v>0.12414549193133841</v>
      </c>
      <c r="W2016">
        <v>12.834073994957279</v>
      </c>
      <c r="X2016">
        <v>0.30473018239491051</v>
      </c>
      <c r="Z2016" t="s">
        <v>392</v>
      </c>
      <c r="AA2016">
        <v>140</v>
      </c>
      <c r="AB2016" t="s">
        <v>2407</v>
      </c>
      <c r="AC2016" t="str">
        <f>HYPERLINK("plots/20251231112652_3FT6Y119H04_05543_B21P_N_UFLEX98_M5358A8BA201511/dpll_52094/txpa_55245.png","plot")</f>
        <v>plot</v>
      </c>
    </row>
    <row r="2017" spans="1:29" hidden="1" x14ac:dyDescent="0.35">
      <c r="A2017" t="s">
        <v>47</v>
      </c>
      <c r="B2017">
        <v>52094</v>
      </c>
      <c r="C2017" t="s">
        <v>53</v>
      </c>
      <c r="D2017">
        <v>55246</v>
      </c>
      <c r="E2017" t="s">
        <v>379</v>
      </c>
      <c r="F2017">
        <v>7139</v>
      </c>
      <c r="G2017">
        <v>0.34280202895459833</v>
      </c>
      <c r="H2017">
        <v>5.0048323594493871E-196</v>
      </c>
      <c r="I2017">
        <v>2.451642518107091E-195</v>
      </c>
      <c r="J2017">
        <v>0.33589728707224259</v>
      </c>
      <c r="K2017">
        <v>8.2448259167279341E-188</v>
      </c>
      <c r="L2017">
        <v>3.6035575342940188E-187</v>
      </c>
      <c r="M2017">
        <v>0.23010034547518929</v>
      </c>
      <c r="N2017">
        <v>7.1979910559619402E-187</v>
      </c>
      <c r="O2017">
        <v>3.1733751872806119E-186</v>
      </c>
      <c r="P2017">
        <v>0.1175132310553893</v>
      </c>
      <c r="Q2017">
        <v>0.74693295669869553</v>
      </c>
      <c r="R2017">
        <v>9.6382883663437049</v>
      </c>
      <c r="S2017">
        <v>0.2540931014927682</v>
      </c>
      <c r="T2017">
        <v>0.19350682715047329</v>
      </c>
      <c r="U2017">
        <v>4.2555146084885838</v>
      </c>
      <c r="V2017">
        <v>0.12414549193133841</v>
      </c>
      <c r="W2017">
        <v>12.81687247513657</v>
      </c>
      <c r="X2017">
        <v>0.27050119753337237</v>
      </c>
      <c r="Z2017" t="s">
        <v>392</v>
      </c>
      <c r="AA2017">
        <v>140</v>
      </c>
      <c r="AB2017" t="s">
        <v>2408</v>
      </c>
      <c r="AC2017" t="str">
        <f>HYPERLINK("plots/20251231112652_3FT6Y119H04_05543_B21P_N_UFLEX98_M5358A8BA201511/dpll_52094/txpa_55246.png","plot")</f>
        <v>plot</v>
      </c>
    </row>
    <row r="2018" spans="1:29" hidden="1" x14ac:dyDescent="0.35">
      <c r="A2018" t="s">
        <v>47</v>
      </c>
      <c r="B2018">
        <v>52094</v>
      </c>
      <c r="C2018" t="s">
        <v>53</v>
      </c>
      <c r="D2018">
        <v>55247</v>
      </c>
      <c r="E2018" t="s">
        <v>380</v>
      </c>
      <c r="F2018">
        <v>7139</v>
      </c>
      <c r="G2018">
        <v>0.29117013642792772</v>
      </c>
      <c r="H2018">
        <v>1.6369601222171611E-139</v>
      </c>
      <c r="I2018">
        <v>3.6641888828437107E-139</v>
      </c>
      <c r="J2018">
        <v>0.25792296164813522</v>
      </c>
      <c r="K2018">
        <v>7.5079223555088349E-109</v>
      </c>
      <c r="L2018">
        <v>1.501584471101767E-108</v>
      </c>
      <c r="M2018">
        <v>0.17292116171170169</v>
      </c>
      <c r="N2018">
        <v>2.0776279853049421E-106</v>
      </c>
      <c r="O2018">
        <v>4.1389288351654442E-106</v>
      </c>
      <c r="P2018">
        <v>8.4780048347458004E-2</v>
      </c>
      <c r="Q2018">
        <v>0.73227408258194782</v>
      </c>
      <c r="R2018">
        <v>9.6723155910242546</v>
      </c>
      <c r="S2018">
        <v>0.29866897229443728</v>
      </c>
      <c r="T2018">
        <v>0.23869339128033859</v>
      </c>
      <c r="U2018">
        <v>4.2555146084885838</v>
      </c>
      <c r="V2018">
        <v>0.12414549193133841</v>
      </c>
      <c r="W2018">
        <v>12.78851864686931</v>
      </c>
      <c r="X2018">
        <v>0.31221789200626932</v>
      </c>
      <c r="Z2018" t="s">
        <v>392</v>
      </c>
      <c r="AA2018">
        <v>140</v>
      </c>
      <c r="AB2018" t="s">
        <v>2409</v>
      </c>
      <c r="AC2018" t="str">
        <f>HYPERLINK("plots/20251231112652_3FT6Y119H04_05543_B21P_N_UFLEX98_M5358A8BA201511/dpll_52094/txpa_55247.png","plot")</f>
        <v>plot</v>
      </c>
    </row>
    <row r="2019" spans="1:29" hidden="1" x14ac:dyDescent="0.35">
      <c r="A2019" t="s">
        <v>47</v>
      </c>
      <c r="B2019">
        <v>52094</v>
      </c>
      <c r="C2019" t="s">
        <v>53</v>
      </c>
      <c r="D2019">
        <v>55248</v>
      </c>
      <c r="E2019" t="s">
        <v>381</v>
      </c>
      <c r="F2019">
        <v>7139</v>
      </c>
      <c r="G2019">
        <v>0.35922964493514342</v>
      </c>
      <c r="H2019">
        <v>1.9607922153611368E-216</v>
      </c>
      <c r="I2019">
        <v>1.4619436076295539E-215</v>
      </c>
      <c r="J2019">
        <v>0.35116836724691097</v>
      </c>
      <c r="K2019">
        <v>2.8777754788479407E-206</v>
      </c>
      <c r="L2019">
        <v>1.5358233345009539E-205</v>
      </c>
      <c r="M2019">
        <v>0.24251202454679691</v>
      </c>
      <c r="N2019">
        <v>2.4268523592640972E-207</v>
      </c>
      <c r="O2019">
        <v>1.3671268290521081E-206</v>
      </c>
      <c r="P2019">
        <v>0.12904593780022919</v>
      </c>
      <c r="Q2019">
        <v>0.72873272876511463</v>
      </c>
      <c r="R2019">
        <v>9.6573974231622035</v>
      </c>
      <c r="S2019">
        <v>0.23501428716154471</v>
      </c>
      <c r="T2019">
        <v>0.17883646362954589</v>
      </c>
      <c r="U2019">
        <v>4.2555146084885838</v>
      </c>
      <c r="V2019">
        <v>0.12414549193133841</v>
      </c>
      <c r="W2019">
        <v>12.7585301961059</v>
      </c>
      <c r="X2019">
        <v>0.25184136213297581</v>
      </c>
      <c r="Z2019" t="s">
        <v>392</v>
      </c>
      <c r="AA2019">
        <v>140</v>
      </c>
      <c r="AB2019" t="s">
        <v>2410</v>
      </c>
      <c r="AC2019" t="str">
        <f>HYPERLINK("plots/20251231112652_3FT6Y119H04_05543_B21P_N_UFLEX98_M5358A8BA201511/dpll_52094/txpa_55248.png","plot")</f>
        <v>plot</v>
      </c>
    </row>
    <row r="2020" spans="1:29" hidden="1" x14ac:dyDescent="0.35">
      <c r="A2020" t="s">
        <v>47</v>
      </c>
      <c r="B2020">
        <v>52094</v>
      </c>
      <c r="C2020" t="s">
        <v>53</v>
      </c>
      <c r="D2020">
        <v>55249</v>
      </c>
      <c r="E2020" t="s">
        <v>382</v>
      </c>
      <c r="F2020">
        <v>7139</v>
      </c>
      <c r="G2020">
        <v>0.30964718222154308</v>
      </c>
      <c r="H2020">
        <v>1.8798381333601661E-158</v>
      </c>
      <c r="I2020">
        <v>5.1378864345746863E-158</v>
      </c>
      <c r="J2020">
        <v>0.27017993933846163</v>
      </c>
      <c r="K2020">
        <v>1.1788479409039821E-119</v>
      </c>
      <c r="L2020">
        <v>2.5379019364684459E-119</v>
      </c>
      <c r="M2020">
        <v>0.1803907126747413</v>
      </c>
      <c r="N2020">
        <v>1.2567556615958889E-115</v>
      </c>
      <c r="O2020">
        <v>2.6604389161967252E-115</v>
      </c>
      <c r="P2020">
        <v>9.5881377457741543E-2</v>
      </c>
      <c r="Q2020">
        <v>0.67564626020700591</v>
      </c>
      <c r="R2020">
        <v>9.9110325052376957</v>
      </c>
      <c r="S2020">
        <v>0.25755233217936208</v>
      </c>
      <c r="T2020">
        <v>0.20502166676295719</v>
      </c>
      <c r="U2020">
        <v>4.2555146084885838</v>
      </c>
      <c r="V2020">
        <v>0.12414549193133841</v>
      </c>
      <c r="W2020">
        <v>12.786255035719289</v>
      </c>
      <c r="X2020">
        <v>0.27088390323201877</v>
      </c>
      <c r="Z2020" t="s">
        <v>392</v>
      </c>
      <c r="AA2020">
        <v>140</v>
      </c>
      <c r="AB2020" t="s">
        <v>2411</v>
      </c>
      <c r="AC2020" t="str">
        <f>HYPERLINK("plots/20251231112652_3FT6Y119H04_05543_B21P_N_UFLEX98_M5358A8BA201511/dpll_52094/txpa_55249.png","plot")</f>
        <v>plot</v>
      </c>
    </row>
    <row r="2021" spans="1:29" hidden="1" x14ac:dyDescent="0.35">
      <c r="A2021" t="s">
        <v>47</v>
      </c>
      <c r="B2021">
        <v>52094</v>
      </c>
      <c r="C2021" t="s">
        <v>53</v>
      </c>
      <c r="D2021">
        <v>55250</v>
      </c>
      <c r="E2021" t="s">
        <v>383</v>
      </c>
      <c r="F2021">
        <v>7139</v>
      </c>
      <c r="G2021">
        <v>0.25177724032673782</v>
      </c>
      <c r="H2021">
        <v>1.1963449728367149E-103</v>
      </c>
      <c r="I2021">
        <v>1.975722805303631E-103</v>
      </c>
      <c r="J2021">
        <v>0.22436898829335161</v>
      </c>
      <c r="K2021">
        <v>3.7379842675470389E-82</v>
      </c>
      <c r="L2021">
        <v>5.940934243405482E-82</v>
      </c>
      <c r="M2021">
        <v>0.15158488759358901</v>
      </c>
      <c r="N2021">
        <v>3.2507800432205222E-82</v>
      </c>
      <c r="O2021">
        <v>5.2488709615057468E-82</v>
      </c>
      <c r="P2021">
        <v>6.3391778746547889E-2</v>
      </c>
      <c r="Q2021">
        <v>0.67158216202638166</v>
      </c>
      <c r="R2021">
        <v>10.12732111925949</v>
      </c>
      <c r="S2021">
        <v>0.32045142014457628</v>
      </c>
      <c r="T2021">
        <v>0.26259380526491799</v>
      </c>
      <c r="U2021">
        <v>4.2555146084885838</v>
      </c>
      <c r="V2021">
        <v>0.12414549193133841</v>
      </c>
      <c r="W2021">
        <v>12.9852488205631</v>
      </c>
      <c r="X2021">
        <v>0.33114151926075802</v>
      </c>
      <c r="Z2021" t="s">
        <v>392</v>
      </c>
      <c r="AA2021">
        <v>140</v>
      </c>
      <c r="AB2021" t="s">
        <v>2412</v>
      </c>
      <c r="AC2021" t="str">
        <f>HYPERLINK("plots/20251231112652_3FT6Y119H04_05543_B21P_N_UFLEX98_M5358A8BA201511/dpll_52094/txpa_55250.png","plot")</f>
        <v>plot</v>
      </c>
    </row>
    <row r="2022" spans="1:29" hidden="1" x14ac:dyDescent="0.35">
      <c r="A2022" t="s">
        <v>47</v>
      </c>
      <c r="B2022">
        <v>52094</v>
      </c>
      <c r="C2022" t="s">
        <v>53</v>
      </c>
      <c r="D2022">
        <v>55251</v>
      </c>
      <c r="E2022" t="s">
        <v>384</v>
      </c>
      <c r="F2022">
        <v>7139</v>
      </c>
      <c r="G2022">
        <v>0.2352197021091624</v>
      </c>
      <c r="H2022">
        <v>2.4692060400436882E-90</v>
      </c>
      <c r="I2022">
        <v>3.6766151609461081E-90</v>
      </c>
      <c r="J2022">
        <v>0.22808655168986569</v>
      </c>
      <c r="K2022">
        <v>6.5787036989525162E-85</v>
      </c>
      <c r="L2022">
        <v>1.070755305094358E-84</v>
      </c>
      <c r="M2022">
        <v>0.15569606561061891</v>
      </c>
      <c r="N2022">
        <v>1.248199449980298E-86</v>
      </c>
      <c r="O2022">
        <v>2.0989622591708489E-86</v>
      </c>
      <c r="P2022">
        <v>5.5328308260323103E-2</v>
      </c>
      <c r="Q2022">
        <v>0.66510976585623982</v>
      </c>
      <c r="R2022">
        <v>10.45053984660294</v>
      </c>
      <c r="S2022">
        <v>0.34116197059231063</v>
      </c>
      <c r="T2022">
        <v>0.27729341108537442</v>
      </c>
      <c r="U2022">
        <v>4.2555146084885838</v>
      </c>
      <c r="V2022">
        <v>0.12414549193133841</v>
      </c>
      <c r="W2022">
        <v>13.28092417145259</v>
      </c>
      <c r="X2022">
        <v>0.35103513153945048</v>
      </c>
      <c r="Z2022" t="s">
        <v>392</v>
      </c>
      <c r="AA2022">
        <v>140</v>
      </c>
      <c r="AB2022" t="s">
        <v>2413</v>
      </c>
      <c r="AC2022" t="str">
        <f>HYPERLINK("plots/20251231112652_3FT6Y119H04_05543_B21P_N_UFLEX98_M5358A8BA201511/dpll_52094/txpa_55251.png","plot")</f>
        <v>plot</v>
      </c>
    </row>
    <row r="2023" spans="1:29" hidden="1" x14ac:dyDescent="0.35">
      <c r="A2023" t="s">
        <v>47</v>
      </c>
      <c r="B2023">
        <v>52094</v>
      </c>
      <c r="C2023" t="s">
        <v>53</v>
      </c>
      <c r="D2023">
        <v>55252</v>
      </c>
      <c r="E2023" t="s">
        <v>385</v>
      </c>
      <c r="F2023">
        <v>7139</v>
      </c>
      <c r="G2023">
        <v>0.3386119063924834</v>
      </c>
      <c r="H2023">
        <v>5.1380645108429452E-191</v>
      </c>
      <c r="I2023">
        <v>2.2554101359284611E-190</v>
      </c>
      <c r="J2023">
        <v>0.34814223374714309</v>
      </c>
      <c r="K2023">
        <v>1.5823065280313421E-202</v>
      </c>
      <c r="L2023">
        <v>7.903738026718132E-202</v>
      </c>
      <c r="M2023">
        <v>0.2376620031348986</v>
      </c>
      <c r="N2023">
        <v>3.2511614958067119E-199</v>
      </c>
      <c r="O2023">
        <v>1.616018508209807E-198</v>
      </c>
      <c r="P2023">
        <v>0.11465802315075189</v>
      </c>
      <c r="Q2023">
        <v>0.72072418108280933</v>
      </c>
      <c r="R2023">
        <v>10.125255058674711</v>
      </c>
      <c r="S2023">
        <v>0.24861248298895711</v>
      </c>
      <c r="T2023">
        <v>0.18748853463646201</v>
      </c>
      <c r="U2023">
        <v>4.2555146084885838</v>
      </c>
      <c r="V2023">
        <v>0.12414549193133841</v>
      </c>
      <c r="W2023">
        <v>13.19230733996358</v>
      </c>
      <c r="X2023">
        <v>0.26423955070152422</v>
      </c>
      <c r="Z2023" t="s">
        <v>392</v>
      </c>
      <c r="AA2023">
        <v>140</v>
      </c>
      <c r="AB2023" t="s">
        <v>2414</v>
      </c>
      <c r="AC2023" t="str">
        <f>HYPERLINK("plots/20251231112652_3FT6Y119H04_05543_B21P_N_UFLEX98_M5358A8BA201511/dpll_52094/txpa_55252.png","plot")</f>
        <v>plot</v>
      </c>
    </row>
    <row r="2024" spans="1:29" hidden="1" x14ac:dyDescent="0.35">
      <c r="A2024" t="s">
        <v>47</v>
      </c>
      <c r="B2024">
        <v>52094</v>
      </c>
      <c r="C2024" t="s">
        <v>53</v>
      </c>
      <c r="D2024">
        <v>55253</v>
      </c>
      <c r="E2024" t="s">
        <v>386</v>
      </c>
      <c r="F2024">
        <v>7139</v>
      </c>
      <c r="G2024">
        <v>0.2878540202958827</v>
      </c>
      <c r="H2024">
        <v>2.930854722460944E-136</v>
      </c>
      <c r="I2024">
        <v>6.3501852319987123E-136</v>
      </c>
      <c r="J2024">
        <v>0.27529715028313828</v>
      </c>
      <c r="K2024">
        <v>2.453119572972955E-124</v>
      </c>
      <c r="L2024">
        <v>5.5523733191843236E-124</v>
      </c>
      <c r="M2024">
        <v>0.18555685225820609</v>
      </c>
      <c r="N2024">
        <v>3.1338459993825172E-122</v>
      </c>
      <c r="O2024">
        <v>7.0931246503881088E-122</v>
      </c>
      <c r="P2024">
        <v>8.285993700050244E-2</v>
      </c>
      <c r="Q2024">
        <v>0.71206743618887369</v>
      </c>
      <c r="R2024">
        <v>10.24464510184778</v>
      </c>
      <c r="S2024">
        <v>0.29408115337939272</v>
      </c>
      <c r="T2024">
        <v>0.23027846990416531</v>
      </c>
      <c r="U2024">
        <v>4.2555146084885838</v>
      </c>
      <c r="V2024">
        <v>0.12414549193133841</v>
      </c>
      <c r="W2024">
        <v>13.27485847877854</v>
      </c>
      <c r="X2024">
        <v>0.3070999740183899</v>
      </c>
      <c r="Z2024" t="s">
        <v>392</v>
      </c>
      <c r="AA2024">
        <v>140</v>
      </c>
      <c r="AB2024" t="s">
        <v>2415</v>
      </c>
      <c r="AC2024" t="str">
        <f>HYPERLINK("plots/20251231112652_3FT6Y119H04_05543_B21P_N_UFLEX98_M5358A8BA201511/dpll_52094/txpa_55253.png","plot")</f>
        <v>plot</v>
      </c>
    </row>
    <row r="2025" spans="1:29" hidden="1" x14ac:dyDescent="0.35">
      <c r="A2025" t="s">
        <v>47</v>
      </c>
      <c r="B2025">
        <v>52094</v>
      </c>
      <c r="C2025" t="s">
        <v>53</v>
      </c>
      <c r="D2025">
        <v>55254</v>
      </c>
      <c r="E2025" t="s">
        <v>387</v>
      </c>
      <c r="F2025">
        <v>7139</v>
      </c>
      <c r="G2025">
        <v>0.35037120416477768</v>
      </c>
      <c r="H2025">
        <v>2.8076503391140119E-205</v>
      </c>
      <c r="I2025">
        <v>1.6084505332551459E-204</v>
      </c>
      <c r="J2025">
        <v>0.35183114819504813</v>
      </c>
      <c r="K2025">
        <v>4.3087400172377777E-207</v>
      </c>
      <c r="L2025">
        <v>2.3239693497229291E-206</v>
      </c>
      <c r="M2025">
        <v>0.2426502324633584</v>
      </c>
      <c r="N2025">
        <v>1.415127728635194E-207</v>
      </c>
      <c r="O2025">
        <v>8.0164218817658478E-207</v>
      </c>
      <c r="P2025">
        <v>0.1227599807078764</v>
      </c>
      <c r="Q2025">
        <v>0.75314940463612945</v>
      </c>
      <c r="R2025">
        <v>10.061427666414991</v>
      </c>
      <c r="S2025">
        <v>0.24992660157016261</v>
      </c>
      <c r="T2025">
        <v>0.18709611736705109</v>
      </c>
      <c r="U2025">
        <v>4.2555146084885838</v>
      </c>
      <c r="V2025">
        <v>0.12414549193133841</v>
      </c>
      <c r="W2025">
        <v>13.26646596021852</v>
      </c>
      <c r="X2025">
        <v>0.26686012499010708</v>
      </c>
      <c r="Z2025" t="s">
        <v>392</v>
      </c>
      <c r="AA2025">
        <v>140</v>
      </c>
      <c r="AB2025" t="s">
        <v>2416</v>
      </c>
      <c r="AC2025" t="str">
        <f>HYPERLINK("plots/20251231112652_3FT6Y119H04_05543_B21P_N_UFLEX98_M5358A8BA201511/dpll_52094/txpa_55254.png","plot")</f>
        <v>plot</v>
      </c>
    </row>
    <row r="2026" spans="1:29" hidden="1" x14ac:dyDescent="0.35">
      <c r="A2026" t="s">
        <v>47</v>
      </c>
      <c r="B2026">
        <v>52094</v>
      </c>
      <c r="C2026" t="s">
        <v>53</v>
      </c>
      <c r="D2026">
        <v>55255</v>
      </c>
      <c r="E2026" t="s">
        <v>388</v>
      </c>
      <c r="F2026">
        <v>7139</v>
      </c>
      <c r="G2026">
        <v>0.30324649509338358</v>
      </c>
      <c r="H2026">
        <v>9.8415099237976631E-152</v>
      </c>
      <c r="I2026">
        <v>2.552248353639599E-151</v>
      </c>
      <c r="J2026">
        <v>0.27399962616090551</v>
      </c>
      <c r="K2026">
        <v>3.8587693078546492E-123</v>
      </c>
      <c r="L2026">
        <v>8.6950935070324768E-123</v>
      </c>
      <c r="M2026">
        <v>0.18413738021809831</v>
      </c>
      <c r="N2026">
        <v>2.1321903290670281E-120</v>
      </c>
      <c r="O2026">
        <v>4.7727174253288441E-120</v>
      </c>
      <c r="P2026">
        <v>9.1958436786421544E-2</v>
      </c>
      <c r="Q2026">
        <v>0.73502443039720577</v>
      </c>
      <c r="R2026">
        <v>10.11840186594492</v>
      </c>
      <c r="S2026">
        <v>0.28672092071214123</v>
      </c>
      <c r="T2026">
        <v>0.22743739500859139</v>
      </c>
      <c r="U2026">
        <v>4.2555146084885838</v>
      </c>
      <c r="V2026">
        <v>0.12414549193133841</v>
      </c>
      <c r="W2026">
        <v>13.246309067096229</v>
      </c>
      <c r="X2026">
        <v>0.30091021980357208</v>
      </c>
      <c r="Z2026" t="s">
        <v>392</v>
      </c>
      <c r="AA2026">
        <v>140</v>
      </c>
      <c r="AB2026" t="s">
        <v>2417</v>
      </c>
      <c r="AC2026" t="str">
        <f>HYPERLINK("plots/20251231112652_3FT6Y119H04_05543_B21P_N_UFLEX98_M5358A8BA201511/dpll_52094/txpa_55255.png","plot")</f>
        <v>plot</v>
      </c>
    </row>
    <row r="2027" spans="1:29" hidden="1" x14ac:dyDescent="0.35">
      <c r="A2027" t="s">
        <v>47</v>
      </c>
      <c r="B2027">
        <v>52094</v>
      </c>
      <c r="C2027" t="s">
        <v>53</v>
      </c>
      <c r="D2027">
        <v>55256</v>
      </c>
      <c r="E2027" t="s">
        <v>389</v>
      </c>
      <c r="F2027">
        <v>7139</v>
      </c>
      <c r="G2027">
        <v>0.36265747953460931</v>
      </c>
      <c r="H2027">
        <v>7.5664928393173848E-221</v>
      </c>
      <c r="I2027">
        <v>6.6141583957481267E-220</v>
      </c>
      <c r="J2027">
        <v>0.3635261549739407</v>
      </c>
      <c r="K2027">
        <v>5.6463809089958433E-222</v>
      </c>
      <c r="L2027">
        <v>4.272709135613272E-221</v>
      </c>
      <c r="M2027">
        <v>0.25217059671980152</v>
      </c>
      <c r="N2027">
        <v>5.1474009160736872E-224</v>
      </c>
      <c r="O2027">
        <v>4.4610807939305293E-223</v>
      </c>
      <c r="P2027">
        <v>0.13152044746239561</v>
      </c>
      <c r="Q2027">
        <v>0.73883087579933249</v>
      </c>
      <c r="R2027">
        <v>10.0488528347803</v>
      </c>
      <c r="S2027">
        <v>0.23568325686109931</v>
      </c>
      <c r="T2027">
        <v>0.17678277828459471</v>
      </c>
      <c r="U2027">
        <v>4.2555146084885838</v>
      </c>
      <c r="V2027">
        <v>0.12414549193133841</v>
      </c>
      <c r="W2027">
        <v>13.19295841994677</v>
      </c>
      <c r="X2027">
        <v>0.25291777422562828</v>
      </c>
      <c r="Z2027" t="s">
        <v>392</v>
      </c>
      <c r="AA2027">
        <v>140</v>
      </c>
      <c r="AB2027" t="s">
        <v>2418</v>
      </c>
      <c r="AC2027" t="str">
        <f>HYPERLINK("plots/20251231112652_3FT6Y119H04_05543_B21P_N_UFLEX98_M5358A8BA201511/dpll_52094/txpa_55256.png","plot")</f>
        <v>plot</v>
      </c>
    </row>
    <row r="2028" spans="1:29" hidden="1" x14ac:dyDescent="0.35">
      <c r="A2028" t="s">
        <v>47</v>
      </c>
      <c r="B2028">
        <v>52094</v>
      </c>
      <c r="C2028" t="s">
        <v>53</v>
      </c>
      <c r="D2028">
        <v>55257</v>
      </c>
      <c r="E2028" t="s">
        <v>390</v>
      </c>
      <c r="F2028">
        <v>7139</v>
      </c>
      <c r="G2028">
        <v>0.31324383629620972</v>
      </c>
      <c r="H2028">
        <v>2.6554646449124049E-162</v>
      </c>
      <c r="I2028">
        <v>7.6278786117313846E-162</v>
      </c>
      <c r="J2028">
        <v>0.28548286885045432</v>
      </c>
      <c r="K2028">
        <v>5.8357737941746635E-134</v>
      </c>
      <c r="L2028">
        <v>1.4503614282581151E-133</v>
      </c>
      <c r="M2028">
        <v>0.19130113048070599</v>
      </c>
      <c r="N2028">
        <v>8.633556057883675E-130</v>
      </c>
      <c r="O2028">
        <v>2.145692608503443E-129</v>
      </c>
      <c r="P2028">
        <v>9.8121700977566603E-2</v>
      </c>
      <c r="Q2028">
        <v>0.68428532400499387</v>
      </c>
      <c r="R2028">
        <v>10.3336748775003</v>
      </c>
      <c r="S2028">
        <v>0.25753081050651139</v>
      </c>
      <c r="T2028">
        <v>0.20138436755458869</v>
      </c>
      <c r="U2028">
        <v>4.2555146084885838</v>
      </c>
      <c r="V2028">
        <v>0.12414549193133841</v>
      </c>
      <c r="W2028">
        <v>13.24566107017789</v>
      </c>
      <c r="X2028">
        <v>0.27119747725750598</v>
      </c>
      <c r="Z2028" t="s">
        <v>392</v>
      </c>
      <c r="AA2028">
        <v>140</v>
      </c>
      <c r="AB2028" t="s">
        <v>2419</v>
      </c>
      <c r="AC2028" t="str">
        <f>HYPERLINK("plots/20251231112652_3FT6Y119H04_05543_B21P_N_UFLEX98_M5358A8BA201511/dpll_52094/txpa_55257.png","plot")</f>
        <v>plot</v>
      </c>
    </row>
    <row r="2029" spans="1:29" hidden="1" x14ac:dyDescent="0.35">
      <c r="A2029" t="s">
        <v>47</v>
      </c>
      <c r="B2029">
        <v>52094</v>
      </c>
      <c r="C2029" t="s">
        <v>53</v>
      </c>
      <c r="D2029">
        <v>55258</v>
      </c>
      <c r="E2029" t="s">
        <v>391</v>
      </c>
      <c r="F2029">
        <v>7139</v>
      </c>
      <c r="G2029">
        <v>0.25710218663715229</v>
      </c>
      <c r="H2029">
        <v>3.7892157491647418E-108</v>
      </c>
      <c r="I2029">
        <v>6.4467529692165233E-108</v>
      </c>
      <c r="J2029">
        <v>0.228086866388999</v>
      </c>
      <c r="K2029">
        <v>6.5751405178290349E-85</v>
      </c>
      <c r="L2029">
        <v>1.070755305094358E-84</v>
      </c>
      <c r="M2029">
        <v>0.15434580074402701</v>
      </c>
      <c r="N2029">
        <v>3.626559909981969E-85</v>
      </c>
      <c r="O2029">
        <v>5.9696943972755135E-85</v>
      </c>
      <c r="P2029">
        <v>6.6101534373605123E-2</v>
      </c>
      <c r="Q2029">
        <v>0.69421280288364273</v>
      </c>
      <c r="R2029">
        <v>10.443604145238281</v>
      </c>
      <c r="S2029">
        <v>0.32391958995521553</v>
      </c>
      <c r="T2029">
        <v>0.266857004821621</v>
      </c>
      <c r="U2029">
        <v>4.2555146084885838</v>
      </c>
      <c r="V2029">
        <v>0.12414549193133841</v>
      </c>
      <c r="W2029">
        <v>13.39783686930943</v>
      </c>
      <c r="X2029">
        <v>0.33521064541023687</v>
      </c>
      <c r="Z2029" t="s">
        <v>392</v>
      </c>
      <c r="AA2029">
        <v>140</v>
      </c>
      <c r="AB2029" t="s">
        <v>2420</v>
      </c>
      <c r="AC2029" t="str">
        <f>HYPERLINK("plots/20251231112652_3FT6Y119H04_05543_B21P_N_UFLEX98_M5358A8BA201511/dpll_52094/txpa_55258.png","plot")</f>
        <v>plot</v>
      </c>
    </row>
    <row r="2030" spans="1:29" x14ac:dyDescent="0.35">
      <c r="A2030" s="2" t="s">
        <v>48</v>
      </c>
      <c r="B2030">
        <v>52046</v>
      </c>
      <c r="C2030" t="s">
        <v>51</v>
      </c>
      <c r="D2030">
        <v>53179</v>
      </c>
      <c r="E2030" t="s">
        <v>54</v>
      </c>
      <c r="F2030">
        <v>12243</v>
      </c>
      <c r="G2030">
        <v>0.29384717898338769</v>
      </c>
      <c r="H2030">
        <v>2.2584441938224989E-242</v>
      </c>
      <c r="I2030">
        <v>2.385481679725014E-242</v>
      </c>
      <c r="J2030">
        <v>0.25496023692674752</v>
      </c>
      <c r="K2030">
        <v>6.1670941255409022E-181</v>
      </c>
      <c r="L2030">
        <v>6.5139931701025776E-181</v>
      </c>
      <c r="M2030">
        <v>0.17322465204211909</v>
      </c>
      <c r="N2030">
        <v>4.0293024868856117E-179</v>
      </c>
      <c r="O2030">
        <v>4.2559507517729283E-179</v>
      </c>
      <c r="P2030">
        <v>8.634616459649512E-2</v>
      </c>
      <c r="Q2030">
        <v>2.1146729715276522</v>
      </c>
      <c r="R2030">
        <v>-33.399272748733402</v>
      </c>
      <c r="S2030">
        <v>1.378037040983741</v>
      </c>
      <c r="T2030">
        <v>1.1432236583482911</v>
      </c>
      <c r="U2030">
        <v>4.492205754635302</v>
      </c>
      <c r="V2030">
        <v>0.20033927554587111</v>
      </c>
      <c r="W2030">
        <v>-23.899726656865148</v>
      </c>
      <c r="X2030">
        <v>1.44174278820024</v>
      </c>
      <c r="Z2030" t="s">
        <v>392</v>
      </c>
      <c r="AA2030">
        <v>9400</v>
      </c>
      <c r="AB2030" t="s">
        <v>2421</v>
      </c>
      <c r="AC2030" t="str">
        <f>HYPERLINK("plots/3FT6Y578R01_012_S11P_20251111092011_M5358ACSH101811_RBGEUFRF26/dpll_52046/txpa_53179.png","plot")</f>
        <v>plot</v>
      </c>
    </row>
    <row r="2031" spans="1:29" x14ac:dyDescent="0.35">
      <c r="A2031" s="2" t="s">
        <v>48</v>
      </c>
      <c r="B2031">
        <v>52046</v>
      </c>
      <c r="C2031" t="s">
        <v>51</v>
      </c>
      <c r="D2031">
        <v>53180</v>
      </c>
      <c r="E2031" t="s">
        <v>55</v>
      </c>
      <c r="F2031">
        <v>12243</v>
      </c>
      <c r="G2031">
        <v>0.30814564261830241</v>
      </c>
      <c r="H2031">
        <v>1.4874243952341229E-267</v>
      </c>
      <c r="I2031">
        <v>1.5960299859972489E-267</v>
      </c>
      <c r="J2031">
        <v>0.27210490714278779</v>
      </c>
      <c r="K2031">
        <v>8.8605966272571611E-207</v>
      </c>
      <c r="L2031">
        <v>9.5683120128208321E-207</v>
      </c>
      <c r="M2031">
        <v>0.1842484771286188</v>
      </c>
      <c r="N2031">
        <v>6.9512934986076834E-203</v>
      </c>
      <c r="O2031">
        <v>7.5065086342792234E-203</v>
      </c>
      <c r="P2031">
        <v>9.4953737064646548E-2</v>
      </c>
      <c r="Q2031">
        <v>2.202237472953422</v>
      </c>
      <c r="R2031">
        <v>-33.70837956336058</v>
      </c>
      <c r="S2031">
        <v>1.362046294048384</v>
      </c>
      <c r="T2031">
        <v>1.1243603108586191</v>
      </c>
      <c r="U2031">
        <v>4.492205754635302</v>
      </c>
      <c r="V2031">
        <v>0.20033927554587111</v>
      </c>
      <c r="W2031">
        <v>-23.815475714285711</v>
      </c>
      <c r="X2031">
        <v>1.431773158181447</v>
      </c>
      <c r="Z2031" t="s">
        <v>392</v>
      </c>
      <c r="AA2031">
        <v>9400</v>
      </c>
      <c r="AB2031" t="s">
        <v>2422</v>
      </c>
      <c r="AC2031" t="str">
        <f>HYPERLINK("plots/3FT6Y578R01_012_S11P_20251111092011_M5358ACSH101811_RBGEUFRF26/dpll_52046/txpa_53180.png","plot")</f>
        <v>plot</v>
      </c>
    </row>
    <row r="2032" spans="1:29" x14ac:dyDescent="0.35">
      <c r="A2032" s="2" t="s">
        <v>48</v>
      </c>
      <c r="B2032">
        <v>52046</v>
      </c>
      <c r="C2032" t="s">
        <v>51</v>
      </c>
      <c r="D2032">
        <v>53181</v>
      </c>
      <c r="E2032" t="s">
        <v>56</v>
      </c>
      <c r="F2032">
        <v>12243</v>
      </c>
      <c r="G2032">
        <v>0.30807875364216741</v>
      </c>
      <c r="H2032">
        <v>1.9660038721226629E-267</v>
      </c>
      <c r="I2032">
        <v>2.1073233893576959E-267</v>
      </c>
      <c r="J2032">
        <v>0.26666896829332032</v>
      </c>
      <c r="K2032">
        <v>2.2403581950894151E-198</v>
      </c>
      <c r="L2032">
        <v>2.3988629459563529E-198</v>
      </c>
      <c r="M2032">
        <v>0.18038897766810769</v>
      </c>
      <c r="N2032">
        <v>5.193718127928247E-195</v>
      </c>
      <c r="O2032">
        <v>5.5553060988599597E-195</v>
      </c>
      <c r="P2032">
        <v>9.4912518445711275E-2</v>
      </c>
      <c r="Q2032">
        <v>2.1830039037975539</v>
      </c>
      <c r="R2032">
        <v>-33.569535458975153</v>
      </c>
      <c r="S2032">
        <v>1.350474551080842</v>
      </c>
      <c r="T2032">
        <v>1.109267583017056</v>
      </c>
      <c r="U2032">
        <v>4.492205754635302</v>
      </c>
      <c r="V2032">
        <v>0.20033927554587111</v>
      </c>
      <c r="W2032">
        <v>-23.763032759944451</v>
      </c>
      <c r="X2032">
        <v>1.4195767005360631</v>
      </c>
      <c r="Z2032" t="s">
        <v>392</v>
      </c>
      <c r="AA2032">
        <v>9400</v>
      </c>
      <c r="AB2032" t="s">
        <v>2423</v>
      </c>
      <c r="AC2032" t="str">
        <f>HYPERLINK("plots/3FT6Y578R01_012_S11P_20251111092011_M5358ACSH101811_RBGEUFRF26/dpll_52046/txpa_53181.png","plot")</f>
        <v>plot</v>
      </c>
    </row>
    <row r="2033" spans="1:29" x14ac:dyDescent="0.35">
      <c r="A2033" s="2" t="s">
        <v>48</v>
      </c>
      <c r="B2033">
        <v>52046</v>
      </c>
      <c r="C2033" t="s">
        <v>51</v>
      </c>
      <c r="D2033">
        <v>53182</v>
      </c>
      <c r="E2033" t="s">
        <v>57</v>
      </c>
      <c r="F2033">
        <v>12243</v>
      </c>
      <c r="G2033">
        <v>0.3069278892366949</v>
      </c>
      <c r="H2033">
        <v>2.3608053436773201E-265</v>
      </c>
      <c r="I2033">
        <v>2.5251652093763741E-265</v>
      </c>
      <c r="J2033">
        <v>0.26531254201074561</v>
      </c>
      <c r="K2033">
        <v>2.6099588756812968E-196</v>
      </c>
      <c r="L2033">
        <v>2.782858359559238E-196</v>
      </c>
      <c r="M2033">
        <v>0.1797243227642816</v>
      </c>
      <c r="N2033">
        <v>1.004718880889898E-193</v>
      </c>
      <c r="O2033">
        <v>1.072405205497217E-193</v>
      </c>
      <c r="P2033">
        <v>9.4204729191292844E-2</v>
      </c>
      <c r="Q2033">
        <v>2.1843650618639292</v>
      </c>
      <c r="R2033">
        <v>-33.521403146918871</v>
      </c>
      <c r="S2033">
        <v>1.3569137866843359</v>
      </c>
      <c r="T2033">
        <v>1.113383873973872</v>
      </c>
      <c r="U2033">
        <v>4.492205754635302</v>
      </c>
      <c r="V2033">
        <v>0.20033927554587111</v>
      </c>
      <c r="W2033">
        <v>-23.708785845789428</v>
      </c>
      <c r="X2033">
        <v>1.425788041320855</v>
      </c>
      <c r="Z2033" t="s">
        <v>392</v>
      </c>
      <c r="AA2033">
        <v>9400</v>
      </c>
      <c r="AB2033" t="s">
        <v>2424</v>
      </c>
      <c r="AC2033" t="str">
        <f>HYPERLINK("plots/3FT6Y578R01_012_S11P_20251111092011_M5358ACSH101811_RBGEUFRF26/dpll_52046/txpa_53182.png","plot")</f>
        <v>plot</v>
      </c>
    </row>
    <row r="2034" spans="1:29" x14ac:dyDescent="0.35">
      <c r="A2034" s="2" t="s">
        <v>48</v>
      </c>
      <c r="B2034">
        <v>52046</v>
      </c>
      <c r="C2034" t="s">
        <v>51</v>
      </c>
      <c r="D2034">
        <v>53183</v>
      </c>
      <c r="E2034" t="s">
        <v>58</v>
      </c>
      <c r="F2034">
        <v>12242</v>
      </c>
      <c r="G2034">
        <v>0.30505353792832179</v>
      </c>
      <c r="H2034">
        <v>5.7668730166820437E-262</v>
      </c>
      <c r="I2034">
        <v>6.1489056140016751E-262</v>
      </c>
      <c r="J2034">
        <v>0.26233427025971912</v>
      </c>
      <c r="K2034">
        <v>8.4462990309132781E-192</v>
      </c>
      <c r="L2034">
        <v>8.9493701330679874E-192</v>
      </c>
      <c r="M2034">
        <v>0.17740366086681611</v>
      </c>
      <c r="N2034">
        <v>1.3735467415153001E-188</v>
      </c>
      <c r="O2034">
        <v>1.4553567355240481E-188</v>
      </c>
      <c r="P2034">
        <v>9.305766100258607E-2</v>
      </c>
      <c r="Q2034">
        <v>2.1867382772425681</v>
      </c>
      <c r="R2034">
        <v>-33.553819446220032</v>
      </c>
      <c r="S2034">
        <v>1.3676121484940349</v>
      </c>
      <c r="T2034">
        <v>1.123572925932627</v>
      </c>
      <c r="U2034">
        <v>4.4922201507106676</v>
      </c>
      <c r="V2034">
        <v>0.20034112557569189</v>
      </c>
      <c r="W2034">
        <v>-23.73050969286064</v>
      </c>
      <c r="X2034">
        <v>1.4361203963651901</v>
      </c>
      <c r="Z2034" t="s">
        <v>392</v>
      </c>
      <c r="AA2034">
        <v>9400</v>
      </c>
      <c r="AB2034" t="s">
        <v>2425</v>
      </c>
      <c r="AC2034" t="str">
        <f>HYPERLINK("plots/3FT6Y578R01_012_S11P_20251111092011_M5358ACSH101811_RBGEUFRF26/dpll_52046/txpa_53183.png","plot")</f>
        <v>plot</v>
      </c>
    </row>
    <row r="2035" spans="1:29" x14ac:dyDescent="0.35">
      <c r="A2035" s="2" t="s">
        <v>48</v>
      </c>
      <c r="B2035">
        <v>52046</v>
      </c>
      <c r="C2035" t="s">
        <v>51</v>
      </c>
      <c r="D2035">
        <v>53184</v>
      </c>
      <c r="E2035" t="s">
        <v>59</v>
      </c>
      <c r="F2035">
        <v>12243</v>
      </c>
      <c r="G2035">
        <v>0.30234638936741159</v>
      </c>
      <c r="H2035">
        <v>3.6178567272514457E-257</v>
      </c>
      <c r="I2035">
        <v>3.8373501270219306E-257</v>
      </c>
      <c r="J2035">
        <v>0.26393487283730732</v>
      </c>
      <c r="K2035">
        <v>3.1836149997578158E-194</v>
      </c>
      <c r="L2035">
        <v>3.3767631901196917E-194</v>
      </c>
      <c r="M2035">
        <v>0.17879512935892641</v>
      </c>
      <c r="N2035">
        <v>3.9193865415661722E-191</v>
      </c>
      <c r="O2035">
        <v>4.1571735911590988E-191</v>
      </c>
      <c r="P2035">
        <v>9.1413339163510493E-2</v>
      </c>
      <c r="Q2035">
        <v>2.1571717797835608</v>
      </c>
      <c r="R2035">
        <v>-33.54685849374394</v>
      </c>
      <c r="S2035">
        <v>1.3624214848652241</v>
      </c>
      <c r="T2035">
        <v>1.1242976365364019</v>
      </c>
      <c r="U2035">
        <v>4.492205754635302</v>
      </c>
      <c r="V2035">
        <v>0.20033927554587111</v>
      </c>
      <c r="W2035">
        <v>-23.856399010863349</v>
      </c>
      <c r="X2035">
        <v>1.429374541214274</v>
      </c>
      <c r="Z2035" t="s">
        <v>392</v>
      </c>
      <c r="AA2035">
        <v>9400</v>
      </c>
      <c r="AB2035" t="s">
        <v>2426</v>
      </c>
      <c r="AC2035" t="str">
        <f>HYPERLINK("plots/3FT6Y578R01_012_S11P_20251111092011_M5358ACSH101811_RBGEUFRF26/dpll_52046/txpa_53184.png","plot")</f>
        <v>plot</v>
      </c>
    </row>
    <row r="2036" spans="1:29" x14ac:dyDescent="0.35">
      <c r="A2036" s="2" t="s">
        <v>48</v>
      </c>
      <c r="B2036">
        <v>52046</v>
      </c>
      <c r="C2036" t="s">
        <v>51</v>
      </c>
      <c r="D2036">
        <v>53185</v>
      </c>
      <c r="E2036" t="s">
        <v>60</v>
      </c>
      <c r="F2036">
        <v>12243</v>
      </c>
      <c r="G2036">
        <v>0.30174739150352609</v>
      </c>
      <c r="H2036">
        <v>4.1467389794298661E-256</v>
      </c>
      <c r="I2036">
        <v>4.3937234327501402E-256</v>
      </c>
      <c r="J2036">
        <v>0.26514116974954488</v>
      </c>
      <c r="K2036">
        <v>4.751517681174977E-196</v>
      </c>
      <c r="L2036">
        <v>5.0609652612514984E-196</v>
      </c>
      <c r="M2036">
        <v>0.17983741988910429</v>
      </c>
      <c r="N2036">
        <v>1.517363263532844E-193</v>
      </c>
      <c r="O2036">
        <v>1.617882596448269E-193</v>
      </c>
      <c r="P2036">
        <v>9.1051488279182247E-2</v>
      </c>
      <c r="Q2036">
        <v>2.1468142455049972</v>
      </c>
      <c r="R2036">
        <v>-33.47251038563099</v>
      </c>
      <c r="S2036">
        <v>1.358841954196216</v>
      </c>
      <c r="T2036">
        <v>1.123045397233311</v>
      </c>
      <c r="U2036">
        <v>4.492205754635302</v>
      </c>
      <c r="V2036">
        <v>0.20033927554587111</v>
      </c>
      <c r="W2036">
        <v>-23.828579077840399</v>
      </c>
      <c r="X2036">
        <v>1.425335306240755</v>
      </c>
      <c r="Z2036" t="s">
        <v>392</v>
      </c>
      <c r="AA2036">
        <v>9400</v>
      </c>
      <c r="AB2036" t="s">
        <v>2427</v>
      </c>
      <c r="AC2036" t="str">
        <f>HYPERLINK("plots/3FT6Y578R01_012_S11P_20251111092011_M5358ACSH101811_RBGEUFRF26/dpll_52046/txpa_53185.png","plot")</f>
        <v>plot</v>
      </c>
    </row>
    <row r="2037" spans="1:29" x14ac:dyDescent="0.35">
      <c r="A2037" s="2" t="s">
        <v>48</v>
      </c>
      <c r="B2037">
        <v>52046</v>
      </c>
      <c r="C2037" t="s">
        <v>51</v>
      </c>
      <c r="D2037">
        <v>53186</v>
      </c>
      <c r="E2037" t="s">
        <v>61</v>
      </c>
      <c r="F2037">
        <v>12243</v>
      </c>
      <c r="G2037">
        <v>0.30765753357308018</v>
      </c>
      <c r="H2037">
        <v>1.137023161145806E-266</v>
      </c>
      <c r="I2037">
        <v>1.2174672496323631E-266</v>
      </c>
      <c r="J2037">
        <v>0.2674606808293935</v>
      </c>
      <c r="K2037">
        <v>1.3761149156809339E-199</v>
      </c>
      <c r="L2037">
        <v>1.4765931476195419E-199</v>
      </c>
      <c r="M2037">
        <v>0.18222134433115789</v>
      </c>
      <c r="N2037">
        <v>1.9556320561345121E-197</v>
      </c>
      <c r="O2037">
        <v>2.1051071177498891E-197</v>
      </c>
      <c r="P2037">
        <v>9.4653157964270956E-2</v>
      </c>
      <c r="Q2037">
        <v>2.2201781713901161</v>
      </c>
      <c r="R2037">
        <v>-33.972786116422938</v>
      </c>
      <c r="S2037">
        <v>1.375549209533613</v>
      </c>
      <c r="T2037">
        <v>1.1390059871188629</v>
      </c>
      <c r="U2037">
        <v>4.492205754635302</v>
      </c>
      <c r="V2037">
        <v>0.20033927554587111</v>
      </c>
      <c r="W2037">
        <v>-23.999288958588579</v>
      </c>
      <c r="X2037">
        <v>1.44572727107753</v>
      </c>
      <c r="Z2037" t="s">
        <v>392</v>
      </c>
      <c r="AA2037">
        <v>9400</v>
      </c>
      <c r="AB2037" t="s">
        <v>2428</v>
      </c>
      <c r="AC2037" t="str">
        <f>HYPERLINK("plots/3FT6Y578R01_012_S11P_20251111092011_M5358ACSH101811_RBGEUFRF26/dpll_52046/txpa_53186.png","plot")</f>
        <v>plot</v>
      </c>
    </row>
    <row r="2038" spans="1:29" x14ac:dyDescent="0.35">
      <c r="A2038" s="2" t="s">
        <v>48</v>
      </c>
      <c r="B2038">
        <v>52046</v>
      </c>
      <c r="C2038" t="s">
        <v>51</v>
      </c>
      <c r="D2038">
        <v>53187</v>
      </c>
      <c r="E2038" t="s">
        <v>62</v>
      </c>
      <c r="F2038">
        <v>12243</v>
      </c>
      <c r="G2038">
        <v>0.76626022126448634</v>
      </c>
      <c r="H2038">
        <v>0</v>
      </c>
      <c r="I2038">
        <v>0</v>
      </c>
      <c r="J2038">
        <v>0.63567842387103868</v>
      </c>
      <c r="K2038">
        <v>0</v>
      </c>
      <c r="L2038">
        <v>0</v>
      </c>
      <c r="M2038">
        <v>0.4542858339678113</v>
      </c>
      <c r="N2038">
        <v>0</v>
      </c>
      <c r="O2038">
        <v>0</v>
      </c>
      <c r="P2038">
        <v>0.58715472669229951</v>
      </c>
      <c r="Q2038">
        <v>1.434204375465143</v>
      </c>
      <c r="R2038">
        <v>-16.687372414245459</v>
      </c>
      <c r="S2038">
        <v>0.24092217906907881</v>
      </c>
      <c r="T2038">
        <v>0.18752151942413789</v>
      </c>
      <c r="U2038">
        <v>4.492205754635302</v>
      </c>
      <c r="V2038">
        <v>0.20033927554587111</v>
      </c>
      <c r="W2038">
        <v>-10.24463126545781</v>
      </c>
      <c r="X2038">
        <v>0.37497374598312871</v>
      </c>
      <c r="Z2038" t="s">
        <v>392</v>
      </c>
      <c r="AA2038">
        <v>9400</v>
      </c>
      <c r="AB2038" t="s">
        <v>2429</v>
      </c>
      <c r="AC2038" t="str">
        <f>HYPERLINK("plots/3FT6Y578R01_012_S11P_20251111092011_M5358ACSH101811_RBGEUFRF26/dpll_52046/txpa_53187.png","plot")</f>
        <v>plot</v>
      </c>
    </row>
    <row r="2039" spans="1:29" x14ac:dyDescent="0.35">
      <c r="A2039" s="2" t="s">
        <v>48</v>
      </c>
      <c r="B2039">
        <v>52046</v>
      </c>
      <c r="C2039" t="s">
        <v>51</v>
      </c>
      <c r="D2039">
        <v>53188</v>
      </c>
      <c r="E2039" t="s">
        <v>63</v>
      </c>
      <c r="F2039">
        <v>12242</v>
      </c>
      <c r="G2039">
        <v>0.7802509504964219</v>
      </c>
      <c r="H2039">
        <v>0</v>
      </c>
      <c r="I2039">
        <v>0</v>
      </c>
      <c r="J2039">
        <v>0.64968266794602048</v>
      </c>
      <c r="K2039">
        <v>0</v>
      </c>
      <c r="L2039">
        <v>0</v>
      </c>
      <c r="M2039">
        <v>0.4673908663887526</v>
      </c>
      <c r="N2039">
        <v>0</v>
      </c>
      <c r="O2039">
        <v>0</v>
      </c>
      <c r="P2039">
        <v>0.60879154575056982</v>
      </c>
      <c r="Q2039">
        <v>1.4416714733118421</v>
      </c>
      <c r="R2039">
        <v>-16.660453840431192</v>
      </c>
      <c r="S2039">
        <v>0.2315195348786708</v>
      </c>
      <c r="T2039">
        <v>0.18071497286298371</v>
      </c>
      <c r="U2039">
        <v>4.492190922643359</v>
      </c>
      <c r="V2039">
        <v>0.20034073623739329</v>
      </c>
      <c r="W2039">
        <v>-10.18419033458585</v>
      </c>
      <c r="X2039">
        <v>0.37017003848823471</v>
      </c>
      <c r="Z2039" t="s">
        <v>392</v>
      </c>
      <c r="AA2039">
        <v>9400</v>
      </c>
      <c r="AB2039" t="s">
        <v>2430</v>
      </c>
      <c r="AC2039" t="str">
        <f>HYPERLINK("plots/3FT6Y578R01_012_S11P_20251111092011_M5358ACSH101811_RBGEUFRF26/dpll_52046/txpa_53188.png","plot")</f>
        <v>plot</v>
      </c>
    </row>
    <row r="2040" spans="1:29" x14ac:dyDescent="0.35">
      <c r="A2040" s="2" t="s">
        <v>48</v>
      </c>
      <c r="B2040">
        <v>52046</v>
      </c>
      <c r="C2040" t="s">
        <v>51</v>
      </c>
      <c r="D2040">
        <v>53189</v>
      </c>
      <c r="E2040" t="s">
        <v>64</v>
      </c>
      <c r="F2040">
        <v>12243</v>
      </c>
      <c r="G2040">
        <v>0.77823860798481992</v>
      </c>
      <c r="H2040">
        <v>0</v>
      </c>
      <c r="I2040">
        <v>0</v>
      </c>
      <c r="J2040">
        <v>0.6447689837315661</v>
      </c>
      <c r="K2040">
        <v>0</v>
      </c>
      <c r="L2040">
        <v>0</v>
      </c>
      <c r="M2040">
        <v>0.46334596154575147</v>
      </c>
      <c r="N2040">
        <v>0</v>
      </c>
      <c r="O2040">
        <v>0</v>
      </c>
      <c r="P2040">
        <v>0.60565533095815016</v>
      </c>
      <c r="Q2040">
        <v>1.4335868409518531</v>
      </c>
      <c r="R2040">
        <v>-16.607408686032571</v>
      </c>
      <c r="S2040">
        <v>0.23173817512362149</v>
      </c>
      <c r="T2040">
        <v>0.18062484615038801</v>
      </c>
      <c r="U2040">
        <v>4.492205754635302</v>
      </c>
      <c r="V2040">
        <v>0.20033927554587111</v>
      </c>
      <c r="W2040">
        <v>-10.16744162933921</v>
      </c>
      <c r="X2040">
        <v>0.36904330651505068</v>
      </c>
      <c r="Z2040" t="s">
        <v>392</v>
      </c>
      <c r="AA2040">
        <v>9400</v>
      </c>
      <c r="AB2040" t="s">
        <v>2431</v>
      </c>
      <c r="AC2040" t="str">
        <f>HYPERLINK("plots/3FT6Y578R01_012_S11P_20251111092011_M5358ACSH101811_RBGEUFRF26/dpll_52046/txpa_53189.png","plot")</f>
        <v>plot</v>
      </c>
    </row>
    <row r="2041" spans="1:29" x14ac:dyDescent="0.35">
      <c r="A2041" s="2" t="s">
        <v>48</v>
      </c>
      <c r="B2041">
        <v>52046</v>
      </c>
      <c r="C2041" t="s">
        <v>51</v>
      </c>
      <c r="D2041">
        <v>53190</v>
      </c>
      <c r="E2041" t="s">
        <v>65</v>
      </c>
      <c r="F2041">
        <v>12242</v>
      </c>
      <c r="G2041">
        <v>0.78425935905097266</v>
      </c>
      <c r="H2041">
        <v>0</v>
      </c>
      <c r="I2041">
        <v>0</v>
      </c>
      <c r="J2041">
        <v>0.64615952608160743</v>
      </c>
      <c r="K2041">
        <v>0</v>
      </c>
      <c r="L2041">
        <v>0</v>
      </c>
      <c r="M2041">
        <v>0.46458988280231439</v>
      </c>
      <c r="N2041">
        <v>0</v>
      </c>
      <c r="O2041">
        <v>0</v>
      </c>
      <c r="P2041">
        <v>0.61506274225904245</v>
      </c>
      <c r="Q2041">
        <v>1.446673846257748</v>
      </c>
      <c r="R2041">
        <v>-16.61722889982455</v>
      </c>
      <c r="S2041">
        <v>0.22928164399380471</v>
      </c>
      <c r="T2041">
        <v>0.17978079415541801</v>
      </c>
      <c r="U2041">
        <v>4.4922121462179394</v>
      </c>
      <c r="V2041">
        <v>0.20034621017914711</v>
      </c>
      <c r="W2041">
        <v>-10.11846307604967</v>
      </c>
      <c r="X2041">
        <v>0.36956603592688769</v>
      </c>
      <c r="Z2041" t="s">
        <v>392</v>
      </c>
      <c r="AA2041">
        <v>9400</v>
      </c>
      <c r="AB2041" t="s">
        <v>2432</v>
      </c>
      <c r="AC2041" t="str">
        <f>HYPERLINK("plots/3FT6Y578R01_012_S11P_20251111092011_M5358ACSH101811_RBGEUFRF26/dpll_52046/txpa_53190.png","plot")</f>
        <v>plot</v>
      </c>
    </row>
    <row r="2042" spans="1:29" x14ac:dyDescent="0.35">
      <c r="A2042" s="2" t="s">
        <v>48</v>
      </c>
      <c r="B2042">
        <v>52046</v>
      </c>
      <c r="C2042" t="s">
        <v>51</v>
      </c>
      <c r="D2042">
        <v>53191</v>
      </c>
      <c r="E2042" t="s">
        <v>66</v>
      </c>
      <c r="F2042">
        <v>12240</v>
      </c>
      <c r="G2042">
        <v>0.78737106481151597</v>
      </c>
      <c r="H2042">
        <v>0</v>
      </c>
      <c r="I2042">
        <v>0</v>
      </c>
      <c r="J2042">
        <v>0.64730362989905854</v>
      </c>
      <c r="K2042">
        <v>0</v>
      </c>
      <c r="L2042">
        <v>0</v>
      </c>
      <c r="M2042">
        <v>0.46467967206383248</v>
      </c>
      <c r="N2042">
        <v>0</v>
      </c>
      <c r="O2042">
        <v>0</v>
      </c>
      <c r="P2042">
        <v>0.61995319370242052</v>
      </c>
      <c r="Q2042">
        <v>1.4559380466657079</v>
      </c>
      <c r="R2042">
        <v>-16.6783692475666</v>
      </c>
      <c r="S2042">
        <v>0.22833384194887199</v>
      </c>
      <c r="T2042">
        <v>0.1801603153493164</v>
      </c>
      <c r="U2042">
        <v>4.492228153022876</v>
      </c>
      <c r="V2042">
        <v>0.2003115712750779</v>
      </c>
      <c r="W2042">
        <v>-10.137963365277781</v>
      </c>
      <c r="X2042">
        <v>0.37039872410931168</v>
      </c>
      <c r="Z2042" t="s">
        <v>392</v>
      </c>
      <c r="AA2042">
        <v>9400</v>
      </c>
      <c r="AB2042" t="s">
        <v>2433</v>
      </c>
      <c r="AC2042" t="str">
        <f>HYPERLINK("plots/3FT6Y578R01_012_S11P_20251111092011_M5358ACSH101811_RBGEUFRF26/dpll_52046/txpa_53191.png","plot")</f>
        <v>plot</v>
      </c>
    </row>
    <row r="2043" spans="1:29" x14ac:dyDescent="0.35">
      <c r="A2043" s="2" t="s">
        <v>48</v>
      </c>
      <c r="B2043">
        <v>52046</v>
      </c>
      <c r="C2043" t="s">
        <v>51</v>
      </c>
      <c r="D2043">
        <v>53192</v>
      </c>
      <c r="E2043" t="s">
        <v>67</v>
      </c>
      <c r="F2043">
        <v>12240</v>
      </c>
      <c r="G2043">
        <v>0.79064995800941318</v>
      </c>
      <c r="H2043">
        <v>0</v>
      </c>
      <c r="I2043">
        <v>0</v>
      </c>
      <c r="J2043">
        <v>0.65892063194057704</v>
      </c>
      <c r="K2043">
        <v>0</v>
      </c>
      <c r="L2043">
        <v>0</v>
      </c>
      <c r="M2043">
        <v>0.47512065320666269</v>
      </c>
      <c r="N2043">
        <v>0</v>
      </c>
      <c r="O2043">
        <v>0</v>
      </c>
      <c r="P2043">
        <v>0.6251273561002868</v>
      </c>
      <c r="Q2043">
        <v>1.4581977845237779</v>
      </c>
      <c r="R2043">
        <v>-16.723459317572669</v>
      </c>
      <c r="S2043">
        <v>0.2261588697071325</v>
      </c>
      <c r="T2043">
        <v>0.1776767310839566</v>
      </c>
      <c r="U2043">
        <v>4.4921825285947721</v>
      </c>
      <c r="V2043">
        <v>0.20028909768291919</v>
      </c>
      <c r="W2043">
        <v>-10.172968706699351</v>
      </c>
      <c r="X2043">
        <v>0.3693937064650073</v>
      </c>
      <c r="Z2043" t="s">
        <v>392</v>
      </c>
      <c r="AA2043">
        <v>9400</v>
      </c>
      <c r="AB2043" t="s">
        <v>2434</v>
      </c>
      <c r="AC2043" t="str">
        <f>HYPERLINK("plots/3FT6Y578R01_012_S11P_20251111092011_M5358ACSH101811_RBGEUFRF26/dpll_52046/txpa_53192.png","plot")</f>
        <v>plot</v>
      </c>
    </row>
    <row r="2044" spans="1:29" x14ac:dyDescent="0.35">
      <c r="A2044" s="2" t="s">
        <v>48</v>
      </c>
      <c r="B2044">
        <v>52046</v>
      </c>
      <c r="C2044" t="s">
        <v>51</v>
      </c>
      <c r="D2044">
        <v>53193</v>
      </c>
      <c r="E2044" t="s">
        <v>68</v>
      </c>
      <c r="F2044">
        <v>12242</v>
      </c>
      <c r="G2044">
        <v>0.78939409212445977</v>
      </c>
      <c r="H2044">
        <v>0</v>
      </c>
      <c r="I2044">
        <v>0</v>
      </c>
      <c r="J2044">
        <v>0.65722647536308865</v>
      </c>
      <c r="K2044">
        <v>0</v>
      </c>
      <c r="L2044">
        <v>0</v>
      </c>
      <c r="M2044">
        <v>0.47454317382932593</v>
      </c>
      <c r="N2044">
        <v>0</v>
      </c>
      <c r="O2044">
        <v>0</v>
      </c>
      <c r="P2044">
        <v>0.62314303268100002</v>
      </c>
      <c r="Q2044">
        <v>1.4565572308824311</v>
      </c>
      <c r="R2044">
        <v>-16.70226652222512</v>
      </c>
      <c r="S2044">
        <v>0.22689447119118361</v>
      </c>
      <c r="T2044">
        <v>0.17710060021641191</v>
      </c>
      <c r="U2044">
        <v>4.4922368706093776</v>
      </c>
      <c r="V2044">
        <v>0.20031787099771459</v>
      </c>
      <c r="W2044">
        <v>-10.15906642550237</v>
      </c>
      <c r="X2044">
        <v>0.36961822540558459</v>
      </c>
      <c r="Z2044" t="s">
        <v>392</v>
      </c>
      <c r="AA2044">
        <v>9400</v>
      </c>
      <c r="AB2044" t="s">
        <v>2435</v>
      </c>
      <c r="AC2044" t="str">
        <f>HYPERLINK("plots/3FT6Y578R01_012_S11P_20251111092011_M5358ACSH101811_RBGEUFRF26/dpll_52046/txpa_53193.png","plot")</f>
        <v>plot</v>
      </c>
    </row>
    <row r="2045" spans="1:29" x14ac:dyDescent="0.35">
      <c r="A2045" s="2" t="s">
        <v>48</v>
      </c>
      <c r="B2045">
        <v>52046</v>
      </c>
      <c r="C2045" t="s">
        <v>51</v>
      </c>
      <c r="D2045">
        <v>53194</v>
      </c>
      <c r="E2045" t="s">
        <v>69</v>
      </c>
      <c r="F2045">
        <v>12239</v>
      </c>
      <c r="G2045">
        <v>0.78429165768006137</v>
      </c>
      <c r="H2045">
        <v>0</v>
      </c>
      <c r="I2045">
        <v>0</v>
      </c>
      <c r="J2045">
        <v>0.64576697094293922</v>
      </c>
      <c r="K2045">
        <v>0</v>
      </c>
      <c r="L2045">
        <v>0</v>
      </c>
      <c r="M2045">
        <v>0.46514108457594622</v>
      </c>
      <c r="N2045">
        <v>0</v>
      </c>
      <c r="O2045">
        <v>0</v>
      </c>
      <c r="P2045">
        <v>0.6151134043065386</v>
      </c>
      <c r="Q2045">
        <v>1.4541943730912501</v>
      </c>
      <c r="R2045">
        <v>-16.7455214535157</v>
      </c>
      <c r="S2045">
        <v>0.23041859943803161</v>
      </c>
      <c r="T2045">
        <v>0.1803037490630833</v>
      </c>
      <c r="U2045">
        <v>4.4922816766075657</v>
      </c>
      <c r="V2045">
        <v>0.2003198646137857</v>
      </c>
      <c r="W2045">
        <v>-10.21287071705205</v>
      </c>
      <c r="X2045">
        <v>0.37142307595295232</v>
      </c>
      <c r="Z2045" t="s">
        <v>392</v>
      </c>
      <c r="AA2045">
        <v>9400</v>
      </c>
      <c r="AB2045" t="s">
        <v>2436</v>
      </c>
      <c r="AC2045" t="str">
        <f>HYPERLINK("plots/3FT6Y578R01_012_S11P_20251111092011_M5358ACSH101811_RBGEUFRF26/dpll_52046/txpa_53194.png","plot")</f>
        <v>plot</v>
      </c>
    </row>
    <row r="2046" spans="1:29" x14ac:dyDescent="0.35">
      <c r="A2046" s="2" t="s">
        <v>48</v>
      </c>
      <c r="B2046">
        <v>52046</v>
      </c>
      <c r="C2046" t="s">
        <v>51</v>
      </c>
      <c r="D2046">
        <v>53195</v>
      </c>
      <c r="E2046" t="s">
        <v>70</v>
      </c>
      <c r="F2046">
        <v>12242</v>
      </c>
      <c r="G2046">
        <v>0.80536315936100122</v>
      </c>
      <c r="H2046">
        <v>0</v>
      </c>
      <c r="I2046">
        <v>0</v>
      </c>
      <c r="J2046">
        <v>0.68359929898952754</v>
      </c>
      <c r="K2046">
        <v>0</v>
      </c>
      <c r="L2046">
        <v>0</v>
      </c>
      <c r="M2046">
        <v>0.49389756282180569</v>
      </c>
      <c r="N2046">
        <v>0</v>
      </c>
      <c r="O2046">
        <v>0</v>
      </c>
      <c r="P2046">
        <v>0.64860981845593346</v>
      </c>
      <c r="Q2046">
        <v>1.3186971377175849</v>
      </c>
      <c r="R2046">
        <v>-9.9194716481379039</v>
      </c>
      <c r="S2046">
        <v>0.1944311612988707</v>
      </c>
      <c r="T2046">
        <v>0.14858514010949311</v>
      </c>
      <c r="U2046">
        <v>4.4922327689103092</v>
      </c>
      <c r="V2046">
        <v>0.2003251577115534</v>
      </c>
      <c r="W2046">
        <v>-3.995577153814736</v>
      </c>
      <c r="X2046">
        <v>0.32801129405602331</v>
      </c>
      <c r="Z2046" t="s">
        <v>392</v>
      </c>
      <c r="AA2046">
        <v>9400</v>
      </c>
      <c r="AB2046" t="s">
        <v>2437</v>
      </c>
      <c r="AC2046" t="str">
        <f>HYPERLINK("plots/3FT6Y578R01_012_S11P_20251111092011_M5358ACSH101811_RBGEUFRF26/dpll_52046/txpa_53195.png","plot")</f>
        <v>plot</v>
      </c>
    </row>
    <row r="2047" spans="1:29" x14ac:dyDescent="0.35">
      <c r="A2047" s="2" t="s">
        <v>48</v>
      </c>
      <c r="B2047">
        <v>52046</v>
      </c>
      <c r="C2047" t="s">
        <v>51</v>
      </c>
      <c r="D2047">
        <v>53196</v>
      </c>
      <c r="E2047" t="s">
        <v>71</v>
      </c>
      <c r="F2047">
        <v>12240</v>
      </c>
      <c r="G2047">
        <v>0.8187357639335735</v>
      </c>
      <c r="H2047">
        <v>0</v>
      </c>
      <c r="I2047">
        <v>0</v>
      </c>
      <c r="J2047">
        <v>0.69557287385825706</v>
      </c>
      <c r="K2047">
        <v>0</v>
      </c>
      <c r="L2047">
        <v>0</v>
      </c>
      <c r="M2047">
        <v>0.50642571943814885</v>
      </c>
      <c r="N2047">
        <v>0</v>
      </c>
      <c r="O2047">
        <v>0</v>
      </c>
      <c r="P2047">
        <v>0.67032825114389216</v>
      </c>
      <c r="Q2047">
        <v>1.330920996016647</v>
      </c>
      <c r="R2047">
        <v>-9.9340073749940849</v>
      </c>
      <c r="S2047">
        <v>0.18695492463267571</v>
      </c>
      <c r="T2047">
        <v>0.14439016753171879</v>
      </c>
      <c r="U2047">
        <v>4.4922457209967321</v>
      </c>
      <c r="V2047">
        <v>0.2003112173522193</v>
      </c>
      <c r="W2047">
        <v>-3.9551832256535948</v>
      </c>
      <c r="X2047">
        <v>0.32562203418458779</v>
      </c>
      <c r="Z2047" t="s">
        <v>392</v>
      </c>
      <c r="AA2047">
        <v>9400</v>
      </c>
      <c r="AB2047" t="s">
        <v>2438</v>
      </c>
      <c r="AC2047" t="str">
        <f>HYPERLINK("plots/3FT6Y578R01_012_S11P_20251111092011_M5358ACSH101811_RBGEUFRF26/dpll_52046/txpa_53196.png","plot")</f>
        <v>plot</v>
      </c>
    </row>
    <row r="2048" spans="1:29" x14ac:dyDescent="0.35">
      <c r="A2048" s="2" t="s">
        <v>48</v>
      </c>
      <c r="B2048">
        <v>52046</v>
      </c>
      <c r="C2048" t="s">
        <v>51</v>
      </c>
      <c r="D2048">
        <v>53197</v>
      </c>
      <c r="E2048" t="s">
        <v>72</v>
      </c>
      <c r="F2048">
        <v>12243</v>
      </c>
      <c r="G2048">
        <v>0.81520952000684044</v>
      </c>
      <c r="H2048">
        <v>0</v>
      </c>
      <c r="I2048">
        <v>0</v>
      </c>
      <c r="J2048">
        <v>0.6909813172365068</v>
      </c>
      <c r="K2048">
        <v>0</v>
      </c>
      <c r="L2048">
        <v>0</v>
      </c>
      <c r="M2048">
        <v>0.50180186296073659</v>
      </c>
      <c r="N2048">
        <v>0</v>
      </c>
      <c r="O2048">
        <v>0</v>
      </c>
      <c r="P2048">
        <v>0.66456656150978322</v>
      </c>
      <c r="Q2048">
        <v>1.3151673758966049</v>
      </c>
      <c r="R2048">
        <v>-9.8508230972093198</v>
      </c>
      <c r="S2048">
        <v>0.18718167245776171</v>
      </c>
      <c r="T2048">
        <v>0.14380468396830851</v>
      </c>
      <c r="U2048">
        <v>4.492205754635302</v>
      </c>
      <c r="V2048">
        <v>0.20033927554587111</v>
      </c>
      <c r="W2048">
        <v>-3.9428206428979831</v>
      </c>
      <c r="X2048">
        <v>0.32320486064303983</v>
      </c>
      <c r="Z2048" t="s">
        <v>392</v>
      </c>
      <c r="AA2048">
        <v>9400</v>
      </c>
      <c r="AB2048" t="s">
        <v>2439</v>
      </c>
      <c r="AC2048" t="str">
        <f>HYPERLINK("plots/3FT6Y578R01_012_S11P_20251111092011_M5358ACSH101811_RBGEUFRF26/dpll_52046/txpa_53197.png","plot")</f>
        <v>plot</v>
      </c>
    </row>
    <row r="2049" spans="1:29" x14ac:dyDescent="0.35">
      <c r="A2049" s="2" t="s">
        <v>48</v>
      </c>
      <c r="B2049">
        <v>52046</v>
      </c>
      <c r="C2049" t="s">
        <v>51</v>
      </c>
      <c r="D2049">
        <v>53198</v>
      </c>
      <c r="E2049" t="s">
        <v>73</v>
      </c>
      <c r="F2049">
        <v>12242</v>
      </c>
      <c r="G2049">
        <v>0.82483273290300563</v>
      </c>
      <c r="H2049">
        <v>0</v>
      </c>
      <c r="I2049">
        <v>0</v>
      </c>
      <c r="J2049">
        <v>0.69762922932206206</v>
      </c>
      <c r="K2049">
        <v>0</v>
      </c>
      <c r="L2049">
        <v>0</v>
      </c>
      <c r="M2049">
        <v>0.5083681509084228</v>
      </c>
      <c r="N2049">
        <v>0</v>
      </c>
      <c r="O2049">
        <v>0</v>
      </c>
      <c r="P2049">
        <v>0.68034903726824103</v>
      </c>
      <c r="Q2049">
        <v>1.3333953621376551</v>
      </c>
      <c r="R2049">
        <v>-9.8978816205448119</v>
      </c>
      <c r="S2049">
        <v>0.1831025760071899</v>
      </c>
      <c r="T2049">
        <v>0.14220816014561399</v>
      </c>
      <c r="U2049">
        <v>4.4922121462179394</v>
      </c>
      <c r="V2049">
        <v>0.20034621017914711</v>
      </c>
      <c r="W2049">
        <v>-3.9079867790393732</v>
      </c>
      <c r="X2049">
        <v>0.32387258266839952</v>
      </c>
      <c r="Z2049" t="s">
        <v>392</v>
      </c>
      <c r="AA2049">
        <v>9400</v>
      </c>
      <c r="AB2049" t="s">
        <v>2440</v>
      </c>
      <c r="AC2049" t="str">
        <f>HYPERLINK("plots/3FT6Y578R01_012_S11P_20251111092011_M5358ACSH101811_RBGEUFRF26/dpll_52046/txpa_53198.png","plot")</f>
        <v>plot</v>
      </c>
    </row>
    <row r="2050" spans="1:29" x14ac:dyDescent="0.35">
      <c r="A2050" s="2" t="s">
        <v>48</v>
      </c>
      <c r="B2050">
        <v>52046</v>
      </c>
      <c r="C2050" t="s">
        <v>51</v>
      </c>
      <c r="D2050">
        <v>53199</v>
      </c>
      <c r="E2050" t="s">
        <v>74</v>
      </c>
      <c r="F2050">
        <v>12240</v>
      </c>
      <c r="G2050">
        <v>0.82566510745340826</v>
      </c>
      <c r="H2050">
        <v>0</v>
      </c>
      <c r="I2050">
        <v>0</v>
      </c>
      <c r="J2050">
        <v>0.69621936841853538</v>
      </c>
      <c r="K2050">
        <v>0</v>
      </c>
      <c r="L2050">
        <v>0</v>
      </c>
      <c r="M2050">
        <v>0.50644823798102512</v>
      </c>
      <c r="N2050">
        <v>0</v>
      </c>
      <c r="O2050">
        <v>0</v>
      </c>
      <c r="P2050">
        <v>0.68172286966604823</v>
      </c>
      <c r="Q2050">
        <v>1.347037719358021</v>
      </c>
      <c r="R2050">
        <v>-9.9802094033387299</v>
      </c>
      <c r="S2050">
        <v>0.18436005886801191</v>
      </c>
      <c r="T2050">
        <v>0.1434877891753111</v>
      </c>
      <c r="U2050">
        <v>4.492228153022876</v>
      </c>
      <c r="V2050">
        <v>0.2003115712750779</v>
      </c>
      <c r="W2050">
        <v>-3.9290086372549018</v>
      </c>
      <c r="X2050">
        <v>0.32679986073727679</v>
      </c>
      <c r="Z2050" t="s">
        <v>392</v>
      </c>
      <c r="AA2050">
        <v>9400</v>
      </c>
      <c r="AB2050" t="s">
        <v>2441</v>
      </c>
      <c r="AC2050" t="str">
        <f>HYPERLINK("plots/3FT6Y578R01_012_S11P_20251111092011_M5358ACSH101811_RBGEUFRF26/dpll_52046/txpa_53199.png","plot")</f>
        <v>plot</v>
      </c>
    </row>
    <row r="2051" spans="1:29" x14ac:dyDescent="0.35">
      <c r="A2051" s="2" t="s">
        <v>48</v>
      </c>
      <c r="B2051">
        <v>52046</v>
      </c>
      <c r="C2051" t="s">
        <v>51</v>
      </c>
      <c r="D2051">
        <v>53200</v>
      </c>
      <c r="E2051" t="s">
        <v>75</v>
      </c>
      <c r="F2051">
        <v>12240</v>
      </c>
      <c r="G2051">
        <v>0.82869009153371698</v>
      </c>
      <c r="H2051">
        <v>0</v>
      </c>
      <c r="I2051">
        <v>0</v>
      </c>
      <c r="J2051">
        <v>0.70605481869186038</v>
      </c>
      <c r="K2051">
        <v>0</v>
      </c>
      <c r="L2051">
        <v>0</v>
      </c>
      <c r="M2051">
        <v>0.51542558294791663</v>
      </c>
      <c r="N2051">
        <v>0</v>
      </c>
      <c r="O2051">
        <v>0</v>
      </c>
      <c r="P2051">
        <v>0.68672726780616022</v>
      </c>
      <c r="Q2051">
        <v>1.349614187345318</v>
      </c>
      <c r="R2051">
        <v>-10.009633352311431</v>
      </c>
      <c r="S2051">
        <v>0.18256535029002921</v>
      </c>
      <c r="T2051">
        <v>0.14224088807971871</v>
      </c>
      <c r="U2051">
        <v>4.4921825285947721</v>
      </c>
      <c r="V2051">
        <v>0.20028909768291919</v>
      </c>
      <c r="W2051">
        <v>-3.9469200795751629</v>
      </c>
      <c r="X2051">
        <v>0.32619312160855229</v>
      </c>
      <c r="Z2051" t="s">
        <v>392</v>
      </c>
      <c r="AA2051">
        <v>9400</v>
      </c>
      <c r="AB2051" t="s">
        <v>2442</v>
      </c>
      <c r="AC2051" t="str">
        <f>HYPERLINK("plots/3FT6Y578R01_012_S11P_20251111092011_M5358ACSH101811_RBGEUFRF26/dpll_52046/txpa_53200.png","plot")</f>
        <v>plot</v>
      </c>
    </row>
    <row r="2052" spans="1:29" x14ac:dyDescent="0.35">
      <c r="A2052" s="2" t="s">
        <v>48</v>
      </c>
      <c r="B2052">
        <v>52046</v>
      </c>
      <c r="C2052" t="s">
        <v>51</v>
      </c>
      <c r="D2052">
        <v>53201</v>
      </c>
      <c r="E2052" t="s">
        <v>76</v>
      </c>
      <c r="F2052">
        <v>12241</v>
      </c>
      <c r="G2052">
        <v>0.82783325277150088</v>
      </c>
      <c r="H2052">
        <v>0</v>
      </c>
      <c r="I2052">
        <v>0</v>
      </c>
      <c r="J2052">
        <v>0.7021362797798224</v>
      </c>
      <c r="K2052">
        <v>0</v>
      </c>
      <c r="L2052">
        <v>0</v>
      </c>
      <c r="M2052">
        <v>0.51284954574351604</v>
      </c>
      <c r="N2052">
        <v>0</v>
      </c>
      <c r="O2052">
        <v>0</v>
      </c>
      <c r="P2052">
        <v>0.68530789439424367</v>
      </c>
      <c r="Q2052">
        <v>1.347204542171299</v>
      </c>
      <c r="R2052">
        <v>-9.9880315553150432</v>
      </c>
      <c r="S2052">
        <v>0.18285842996627291</v>
      </c>
      <c r="T2052">
        <v>0.14165066338344759</v>
      </c>
      <c r="U2052">
        <v>4.4922609154480844</v>
      </c>
      <c r="V2052">
        <v>0.2003083859160831</v>
      </c>
      <c r="W2052">
        <v>-3.9360372454047869</v>
      </c>
      <c r="X2052">
        <v>0.32597913461158651</v>
      </c>
      <c r="Z2052" t="s">
        <v>392</v>
      </c>
      <c r="AA2052">
        <v>9400</v>
      </c>
      <c r="AB2052" t="s">
        <v>2443</v>
      </c>
      <c r="AC2052" t="str">
        <f>HYPERLINK("plots/3FT6Y578R01_012_S11P_20251111092011_M5358ACSH101811_RBGEUFRF26/dpll_52046/txpa_53201.png","plot")</f>
        <v>plot</v>
      </c>
    </row>
    <row r="2053" spans="1:29" x14ac:dyDescent="0.35">
      <c r="A2053" s="2" t="s">
        <v>48</v>
      </c>
      <c r="B2053">
        <v>52046</v>
      </c>
      <c r="C2053" t="s">
        <v>51</v>
      </c>
      <c r="D2053">
        <v>53202</v>
      </c>
      <c r="E2053" t="s">
        <v>77</v>
      </c>
      <c r="F2053">
        <v>12237</v>
      </c>
      <c r="G2053">
        <v>0.82349692251007156</v>
      </c>
      <c r="H2053">
        <v>0</v>
      </c>
      <c r="I2053">
        <v>0</v>
      </c>
      <c r="J2053">
        <v>0.69381271142619616</v>
      </c>
      <c r="K2053">
        <v>0</v>
      </c>
      <c r="L2053">
        <v>0</v>
      </c>
      <c r="M2053">
        <v>0.50541735924449116</v>
      </c>
      <c r="N2053">
        <v>0</v>
      </c>
      <c r="O2053">
        <v>0</v>
      </c>
      <c r="P2053">
        <v>0.67814718138355878</v>
      </c>
      <c r="Q2053">
        <v>1.338299729247207</v>
      </c>
      <c r="R2053">
        <v>-9.9755859563345126</v>
      </c>
      <c r="S2053">
        <v>0.18467013058365739</v>
      </c>
      <c r="T2053">
        <v>0.14334185982131201</v>
      </c>
      <c r="U2053">
        <v>4.4923258647544344</v>
      </c>
      <c r="V2053">
        <v>0.20030617329777281</v>
      </c>
      <c r="W2053">
        <v>-3.9635074678434261</v>
      </c>
      <c r="X2053">
        <v>0.32552604650161882</v>
      </c>
      <c r="Z2053" t="s">
        <v>392</v>
      </c>
      <c r="AA2053">
        <v>9400</v>
      </c>
      <c r="AB2053" t="s">
        <v>2444</v>
      </c>
      <c r="AC2053" t="str">
        <f>HYPERLINK("plots/3FT6Y578R01_012_S11P_20251111092011_M5358ACSH101811_RBGEUFRF26/dpll_52046/txpa_53202.png","plot")</f>
        <v>plot</v>
      </c>
    </row>
    <row r="2054" spans="1:29" x14ac:dyDescent="0.35">
      <c r="A2054" s="2" t="s">
        <v>48</v>
      </c>
      <c r="B2054">
        <v>52046</v>
      </c>
      <c r="C2054" t="s">
        <v>51</v>
      </c>
      <c r="D2054">
        <v>53203</v>
      </c>
      <c r="E2054" t="s">
        <v>78</v>
      </c>
      <c r="F2054">
        <v>12241</v>
      </c>
      <c r="G2054">
        <v>0.81740984658392213</v>
      </c>
      <c r="H2054">
        <v>0</v>
      </c>
      <c r="I2054">
        <v>0</v>
      </c>
      <c r="J2054">
        <v>0.70142027904155091</v>
      </c>
      <c r="K2054">
        <v>0</v>
      </c>
      <c r="L2054">
        <v>0</v>
      </c>
      <c r="M2054">
        <v>0.5094392224213109</v>
      </c>
      <c r="N2054">
        <v>0</v>
      </c>
      <c r="O2054">
        <v>0</v>
      </c>
      <c r="P2054">
        <v>0.66815885729235114</v>
      </c>
      <c r="Q2054">
        <v>1.3718915239607941</v>
      </c>
      <c r="R2054">
        <v>-7.2007132136728593</v>
      </c>
      <c r="S2054">
        <v>0.1936632378888431</v>
      </c>
      <c r="T2054">
        <v>0.14695587067097809</v>
      </c>
      <c r="U2054">
        <v>4.4922551983498087</v>
      </c>
      <c r="V2054">
        <v>0.20031796777918809</v>
      </c>
      <c r="W2054">
        <v>-1.037826383587942</v>
      </c>
      <c r="X2054">
        <v>0.3362016291359966</v>
      </c>
      <c r="Z2054" t="s">
        <v>392</v>
      </c>
      <c r="AA2054">
        <v>9400</v>
      </c>
      <c r="AB2054" t="s">
        <v>2445</v>
      </c>
      <c r="AC2054" t="str">
        <f>HYPERLINK("plots/3FT6Y578R01_012_S11P_20251111092011_M5358ACSH101811_RBGEUFRF26/dpll_52046/txpa_53203.png","plot")</f>
        <v>plot</v>
      </c>
    </row>
    <row r="2055" spans="1:29" x14ac:dyDescent="0.35">
      <c r="A2055" s="2" t="s">
        <v>48</v>
      </c>
      <c r="B2055">
        <v>52046</v>
      </c>
      <c r="C2055" t="s">
        <v>51</v>
      </c>
      <c r="D2055">
        <v>53204</v>
      </c>
      <c r="E2055" t="s">
        <v>79</v>
      </c>
      <c r="F2055">
        <v>12239</v>
      </c>
      <c r="G2055">
        <v>0.83040388082438266</v>
      </c>
      <c r="H2055">
        <v>0</v>
      </c>
      <c r="I2055">
        <v>0</v>
      </c>
      <c r="J2055">
        <v>0.71311437106314612</v>
      </c>
      <c r="K2055">
        <v>0</v>
      </c>
      <c r="L2055">
        <v>0</v>
      </c>
      <c r="M2055">
        <v>0.52177303522338903</v>
      </c>
      <c r="N2055">
        <v>0</v>
      </c>
      <c r="O2055">
        <v>0</v>
      </c>
      <c r="P2055">
        <v>0.68957060528819547</v>
      </c>
      <c r="Q2055">
        <v>1.388064500627934</v>
      </c>
      <c r="R2055">
        <v>-7.2375746260926661</v>
      </c>
      <c r="S2055">
        <v>0.18652526002601649</v>
      </c>
      <c r="T2055">
        <v>0.1432046148489895</v>
      </c>
      <c r="U2055">
        <v>4.4922780661001713</v>
      </c>
      <c r="V2055">
        <v>0.2002874331574139</v>
      </c>
      <c r="W2055">
        <v>-1.0020029155895089</v>
      </c>
      <c r="X2055">
        <v>0.33479115681841531</v>
      </c>
      <c r="Z2055" t="s">
        <v>392</v>
      </c>
      <c r="AA2055">
        <v>9400</v>
      </c>
      <c r="AB2055" t="s">
        <v>2446</v>
      </c>
      <c r="AC2055" t="str">
        <f>HYPERLINK("plots/3FT6Y578R01_012_S11P_20251111092011_M5358ACSH101811_RBGEUFRF26/dpll_52046/txpa_53204.png","plot")</f>
        <v>plot</v>
      </c>
    </row>
    <row r="2056" spans="1:29" x14ac:dyDescent="0.35">
      <c r="A2056" s="2" t="s">
        <v>48</v>
      </c>
      <c r="B2056">
        <v>52046</v>
      </c>
      <c r="C2056" t="s">
        <v>51</v>
      </c>
      <c r="D2056">
        <v>53205</v>
      </c>
      <c r="E2056" t="s">
        <v>80</v>
      </c>
      <c r="F2056">
        <v>12242</v>
      </c>
      <c r="G2056">
        <v>0.82726198215809421</v>
      </c>
      <c r="H2056">
        <v>0</v>
      </c>
      <c r="I2056">
        <v>0</v>
      </c>
      <c r="J2056">
        <v>0.70733583392231358</v>
      </c>
      <c r="K2056">
        <v>0</v>
      </c>
      <c r="L2056">
        <v>0</v>
      </c>
      <c r="M2056">
        <v>0.51628010491974663</v>
      </c>
      <c r="N2056">
        <v>0</v>
      </c>
      <c r="O2056">
        <v>0</v>
      </c>
      <c r="P2056">
        <v>0.68436238712413899</v>
      </c>
      <c r="Q2056">
        <v>1.3715059726745971</v>
      </c>
      <c r="R2056">
        <v>-7.1521789747299662</v>
      </c>
      <c r="S2056">
        <v>0.1866000468418772</v>
      </c>
      <c r="T2056">
        <v>0.1426450092569933</v>
      </c>
      <c r="U2056">
        <v>4.4922128795948373</v>
      </c>
      <c r="V2056">
        <v>0.2003459072749037</v>
      </c>
      <c r="W2056">
        <v>-0.99108217983989544</v>
      </c>
      <c r="X2056">
        <v>0.3321506540305757</v>
      </c>
      <c r="Z2056" t="s">
        <v>392</v>
      </c>
      <c r="AA2056">
        <v>9400</v>
      </c>
      <c r="AB2056" t="s">
        <v>2447</v>
      </c>
      <c r="AC2056" t="str">
        <f>HYPERLINK("plots/3FT6Y578R01_012_S11P_20251111092011_M5358ACSH101811_RBGEUFRF26/dpll_52046/txpa_53205.png","plot")</f>
        <v>plot</v>
      </c>
    </row>
    <row r="2057" spans="1:29" x14ac:dyDescent="0.35">
      <c r="A2057" s="2" t="s">
        <v>48</v>
      </c>
      <c r="B2057">
        <v>52046</v>
      </c>
      <c r="C2057" t="s">
        <v>51</v>
      </c>
      <c r="D2057">
        <v>53206</v>
      </c>
      <c r="E2057" t="s">
        <v>81</v>
      </c>
      <c r="F2057">
        <v>12241</v>
      </c>
      <c r="G2057">
        <v>0.83651693783203518</v>
      </c>
      <c r="H2057">
        <v>0</v>
      </c>
      <c r="I2057">
        <v>0</v>
      </c>
      <c r="J2057">
        <v>0.71568628145554747</v>
      </c>
      <c r="K2057">
        <v>0</v>
      </c>
      <c r="L2057">
        <v>0</v>
      </c>
      <c r="M2057">
        <v>0.52405413630042685</v>
      </c>
      <c r="N2057">
        <v>0</v>
      </c>
      <c r="O2057">
        <v>0</v>
      </c>
      <c r="P2057">
        <v>0.69976058727988499</v>
      </c>
      <c r="Q2057">
        <v>1.3905180215603661</v>
      </c>
      <c r="R2057">
        <v>-7.2068726845041571</v>
      </c>
      <c r="S2057">
        <v>0.1824591921802409</v>
      </c>
      <c r="T2057">
        <v>0.14099414367264701</v>
      </c>
      <c r="U2057">
        <v>4.4922399265582884</v>
      </c>
      <c r="V2057">
        <v>0.200330813227552</v>
      </c>
      <c r="W2057">
        <v>-0.96033210945184222</v>
      </c>
      <c r="X2057">
        <v>0.33300414309445558</v>
      </c>
      <c r="Z2057" t="s">
        <v>392</v>
      </c>
      <c r="AA2057">
        <v>9400</v>
      </c>
      <c r="AB2057" t="s">
        <v>2448</v>
      </c>
      <c r="AC2057" t="str">
        <f>HYPERLINK("plots/3FT6Y578R01_012_S11P_20251111092011_M5358ACSH101811_RBGEUFRF26/dpll_52046/txpa_53206.png","plot")</f>
        <v>plot</v>
      </c>
    </row>
    <row r="2058" spans="1:29" x14ac:dyDescent="0.35">
      <c r="A2058" s="2" t="s">
        <v>48</v>
      </c>
      <c r="B2058">
        <v>52046</v>
      </c>
      <c r="C2058" t="s">
        <v>51</v>
      </c>
      <c r="D2058">
        <v>53207</v>
      </c>
      <c r="E2058" t="s">
        <v>82</v>
      </c>
      <c r="F2058">
        <v>12240</v>
      </c>
      <c r="G2058">
        <v>0.83667349717877515</v>
      </c>
      <c r="H2058">
        <v>0</v>
      </c>
      <c r="I2058">
        <v>0</v>
      </c>
      <c r="J2058">
        <v>0.71367853117094404</v>
      </c>
      <c r="K2058">
        <v>0</v>
      </c>
      <c r="L2058">
        <v>0</v>
      </c>
      <c r="M2058">
        <v>0.52181009315420546</v>
      </c>
      <c r="N2058">
        <v>0</v>
      </c>
      <c r="O2058">
        <v>0</v>
      </c>
      <c r="P2058">
        <v>0.70002254088136184</v>
      </c>
      <c r="Q2058">
        <v>1.40183425155796</v>
      </c>
      <c r="R2058">
        <v>-7.2784799416191142</v>
      </c>
      <c r="S2058">
        <v>0.18381174668752009</v>
      </c>
      <c r="T2058">
        <v>0.14241321434689111</v>
      </c>
      <c r="U2058">
        <v>4.492228153022876</v>
      </c>
      <c r="V2058">
        <v>0.2003115712750779</v>
      </c>
      <c r="W2058">
        <v>-0.98112065089869283</v>
      </c>
      <c r="X2058">
        <v>0.33561911850160769</v>
      </c>
      <c r="Z2058" t="s">
        <v>392</v>
      </c>
      <c r="AA2058">
        <v>9400</v>
      </c>
      <c r="AB2058" t="s">
        <v>2449</v>
      </c>
      <c r="AC2058" t="str">
        <f>HYPERLINK("plots/3FT6Y578R01_012_S11P_20251111092011_M5358ACSH101811_RBGEUFRF26/dpll_52046/txpa_53207.png","plot")</f>
        <v>plot</v>
      </c>
    </row>
    <row r="2059" spans="1:29" x14ac:dyDescent="0.35">
      <c r="A2059" s="2" t="s">
        <v>48</v>
      </c>
      <c r="B2059">
        <v>52046</v>
      </c>
      <c r="C2059" t="s">
        <v>51</v>
      </c>
      <c r="D2059">
        <v>53208</v>
      </c>
      <c r="E2059" t="s">
        <v>83</v>
      </c>
      <c r="F2059">
        <v>12240</v>
      </c>
      <c r="G2059">
        <v>0.84016410996466406</v>
      </c>
      <c r="H2059">
        <v>0</v>
      </c>
      <c r="I2059">
        <v>0</v>
      </c>
      <c r="J2059">
        <v>0.72397548807331924</v>
      </c>
      <c r="K2059">
        <v>0</v>
      </c>
      <c r="L2059">
        <v>0</v>
      </c>
      <c r="M2059">
        <v>0.53135646270458825</v>
      </c>
      <c r="N2059">
        <v>0</v>
      </c>
      <c r="O2059">
        <v>0</v>
      </c>
      <c r="P2059">
        <v>0.70587573167271611</v>
      </c>
      <c r="Q2059">
        <v>1.407872914862289</v>
      </c>
      <c r="R2059">
        <v>-7.3187965431996984</v>
      </c>
      <c r="S2059">
        <v>0.18201380424113561</v>
      </c>
      <c r="T2059">
        <v>0.1410528810533668</v>
      </c>
      <c r="U2059">
        <v>4.4921825285947721</v>
      </c>
      <c r="V2059">
        <v>0.20028909768291919</v>
      </c>
      <c r="W2059">
        <v>-0.99437443257352942</v>
      </c>
      <c r="X2059">
        <v>0.3356268048415551</v>
      </c>
      <c r="Z2059" t="s">
        <v>392</v>
      </c>
      <c r="AA2059">
        <v>9400</v>
      </c>
      <c r="AB2059" t="s">
        <v>2450</v>
      </c>
      <c r="AC2059" t="str">
        <f>HYPERLINK("plots/3FT6Y578R01_012_S11P_20251111092011_M5358ACSH101811_RBGEUFRF26/dpll_52046/txpa_53208.png","plot")</f>
        <v>plot</v>
      </c>
    </row>
    <row r="2060" spans="1:29" x14ac:dyDescent="0.35">
      <c r="A2060" s="2" t="s">
        <v>48</v>
      </c>
      <c r="B2060">
        <v>52046</v>
      </c>
      <c r="C2060" t="s">
        <v>51</v>
      </c>
      <c r="D2060">
        <v>53209</v>
      </c>
      <c r="E2060" t="s">
        <v>84</v>
      </c>
      <c r="F2060">
        <v>12241</v>
      </c>
      <c r="G2060">
        <v>0.83874852972492286</v>
      </c>
      <c r="H2060">
        <v>0</v>
      </c>
      <c r="I2060">
        <v>0</v>
      </c>
      <c r="J2060">
        <v>0.71947172518099189</v>
      </c>
      <c r="K2060">
        <v>0</v>
      </c>
      <c r="L2060">
        <v>0</v>
      </c>
      <c r="M2060">
        <v>0.52796179779849195</v>
      </c>
      <c r="N2060">
        <v>0</v>
      </c>
      <c r="O2060">
        <v>0</v>
      </c>
      <c r="P2060">
        <v>0.70349909611571981</v>
      </c>
      <c r="Q2060">
        <v>1.4034780947842</v>
      </c>
      <c r="R2060">
        <v>-7.2888947069718899</v>
      </c>
      <c r="S2060">
        <v>0.18250226927363311</v>
      </c>
      <c r="T2060">
        <v>0.14081120636655259</v>
      </c>
      <c r="U2060">
        <v>4.4922609154480844</v>
      </c>
      <c r="V2060">
        <v>0.2003083859160831</v>
      </c>
      <c r="W2060">
        <v>-0.98410491608528716</v>
      </c>
      <c r="X2060">
        <v>0.33517606513957388</v>
      </c>
      <c r="Z2060" t="s">
        <v>392</v>
      </c>
      <c r="AA2060">
        <v>9400</v>
      </c>
      <c r="AB2060" t="s">
        <v>2451</v>
      </c>
      <c r="AC2060" t="str">
        <f>HYPERLINK("plots/3FT6Y578R01_012_S11P_20251111092011_M5358ACSH101811_RBGEUFRF26/dpll_52046/txpa_53209.png","plot")</f>
        <v>plot</v>
      </c>
    </row>
    <row r="2061" spans="1:29" x14ac:dyDescent="0.35">
      <c r="A2061" s="2" t="s">
        <v>48</v>
      </c>
      <c r="B2061">
        <v>52046</v>
      </c>
      <c r="C2061" t="s">
        <v>51</v>
      </c>
      <c r="D2061">
        <v>53210</v>
      </c>
      <c r="E2061" t="s">
        <v>85</v>
      </c>
      <c r="F2061">
        <v>12235</v>
      </c>
      <c r="G2061">
        <v>0.83485210526406362</v>
      </c>
      <c r="H2061">
        <v>0</v>
      </c>
      <c r="I2061">
        <v>0</v>
      </c>
      <c r="J2061">
        <v>0.71036862826774361</v>
      </c>
      <c r="K2061">
        <v>0</v>
      </c>
      <c r="L2061">
        <v>0</v>
      </c>
      <c r="M2061">
        <v>0.52007094924693531</v>
      </c>
      <c r="N2061">
        <v>0</v>
      </c>
      <c r="O2061">
        <v>0</v>
      </c>
      <c r="P2061">
        <v>0.69697803766383915</v>
      </c>
      <c r="Q2061">
        <v>1.389602820261046</v>
      </c>
      <c r="R2061">
        <v>-7.2482440645056494</v>
      </c>
      <c r="S2061">
        <v>0.1835177533296185</v>
      </c>
      <c r="T2061">
        <v>0.14199970066809611</v>
      </c>
      <c r="U2061">
        <v>4.492365550143032</v>
      </c>
      <c r="V2061">
        <v>0.20029847339670609</v>
      </c>
      <c r="W2061">
        <v>-1.005640226383326</v>
      </c>
      <c r="X2061">
        <v>0.33339476749358798</v>
      </c>
      <c r="Z2061" t="s">
        <v>392</v>
      </c>
      <c r="AA2061">
        <v>9400</v>
      </c>
      <c r="AB2061" t="s">
        <v>2452</v>
      </c>
      <c r="AC2061" t="str">
        <f>HYPERLINK("plots/3FT6Y578R01_012_S11P_20251111092011_M5358ACSH101811_RBGEUFRF26/dpll_52046/txpa_53210.png","plot")</f>
        <v>plot</v>
      </c>
    </row>
    <row r="2062" spans="1:29" x14ac:dyDescent="0.35">
      <c r="A2062" s="2" t="s">
        <v>48</v>
      </c>
      <c r="B2062">
        <v>52046</v>
      </c>
      <c r="C2062" t="s">
        <v>51</v>
      </c>
      <c r="D2062">
        <v>53211</v>
      </c>
      <c r="E2062" t="s">
        <v>86</v>
      </c>
      <c r="F2062">
        <v>12238</v>
      </c>
      <c r="G2062">
        <v>0.833289174969994</v>
      </c>
      <c r="H2062">
        <v>0</v>
      </c>
      <c r="I2062">
        <v>0</v>
      </c>
      <c r="J2062">
        <v>0.7229664530147577</v>
      </c>
      <c r="K2062">
        <v>0</v>
      </c>
      <c r="L2062">
        <v>0</v>
      </c>
      <c r="M2062">
        <v>0.52886910285259481</v>
      </c>
      <c r="N2062">
        <v>0</v>
      </c>
      <c r="O2062">
        <v>0</v>
      </c>
      <c r="P2062">
        <v>0.69437084912217328</v>
      </c>
      <c r="Q2062">
        <v>1.5500851176228381</v>
      </c>
      <c r="R2062">
        <v>-4.6618771549248326</v>
      </c>
      <c r="S2062">
        <v>0.2059475607634228</v>
      </c>
      <c r="T2062">
        <v>0.15506081498504259</v>
      </c>
      <c r="U2062">
        <v>4.4923384648635407</v>
      </c>
      <c r="V2062">
        <v>0.2002706018626684</v>
      </c>
      <c r="W2062">
        <v>2.3016298427847679</v>
      </c>
      <c r="X2062">
        <v>0.37254351642797912</v>
      </c>
      <c r="Z2062" t="s">
        <v>392</v>
      </c>
      <c r="AA2062">
        <v>9400</v>
      </c>
      <c r="AB2062" t="s">
        <v>2453</v>
      </c>
      <c r="AC2062" t="str">
        <f>HYPERLINK("plots/3FT6Y578R01_012_S11P_20251111092011_M5358ACSH101811_RBGEUFRF26/dpll_52046/txpa_53211.png","plot")</f>
        <v>plot</v>
      </c>
    </row>
    <row r="2063" spans="1:29" x14ac:dyDescent="0.35">
      <c r="A2063" s="2" t="s">
        <v>48</v>
      </c>
      <c r="B2063">
        <v>52046</v>
      </c>
      <c r="C2063" t="s">
        <v>51</v>
      </c>
      <c r="D2063">
        <v>53212</v>
      </c>
      <c r="E2063" t="s">
        <v>87</v>
      </c>
      <c r="F2063">
        <v>12235</v>
      </c>
      <c r="G2063">
        <v>0.84531804090704998</v>
      </c>
      <c r="H2063">
        <v>0</v>
      </c>
      <c r="I2063">
        <v>0</v>
      </c>
      <c r="J2063">
        <v>0.73381918438763694</v>
      </c>
      <c r="K2063">
        <v>0</v>
      </c>
      <c r="L2063">
        <v>0</v>
      </c>
      <c r="M2063">
        <v>0.5407113844395689</v>
      </c>
      <c r="N2063">
        <v>0</v>
      </c>
      <c r="O2063">
        <v>0</v>
      </c>
      <c r="P2063">
        <v>0.71456259028293301</v>
      </c>
      <c r="Q2063">
        <v>1.5687927143387881</v>
      </c>
      <c r="R2063">
        <v>-4.7115508518490996</v>
      </c>
      <c r="S2063">
        <v>0.19853149422698599</v>
      </c>
      <c r="T2063">
        <v>0.15171649513505481</v>
      </c>
      <c r="U2063">
        <v>4.4923809756436457</v>
      </c>
      <c r="V2063">
        <v>0.20023790294912711</v>
      </c>
      <c r="W2063">
        <v>2.3360636927748271</v>
      </c>
      <c r="X2063">
        <v>0.37161369813424971</v>
      </c>
      <c r="Z2063" t="s">
        <v>392</v>
      </c>
      <c r="AA2063">
        <v>9400</v>
      </c>
      <c r="AB2063" t="s">
        <v>2454</v>
      </c>
      <c r="AC2063" t="str">
        <f>HYPERLINK("plots/3FT6Y578R01_012_S11P_20251111092011_M5358ACSH101811_RBGEUFRF26/dpll_52046/txpa_53212.png","plot")</f>
        <v>plot</v>
      </c>
    </row>
    <row r="2064" spans="1:29" x14ac:dyDescent="0.35">
      <c r="A2064" s="2" t="s">
        <v>48</v>
      </c>
      <c r="B2064">
        <v>52046</v>
      </c>
      <c r="C2064" t="s">
        <v>51</v>
      </c>
      <c r="D2064">
        <v>53213</v>
      </c>
      <c r="E2064" t="s">
        <v>88</v>
      </c>
      <c r="F2064">
        <v>12239</v>
      </c>
      <c r="G2064">
        <v>0.84294094255261487</v>
      </c>
      <c r="H2064">
        <v>0</v>
      </c>
      <c r="I2064">
        <v>0</v>
      </c>
      <c r="J2064">
        <v>0.72845892524875389</v>
      </c>
      <c r="K2064">
        <v>0</v>
      </c>
      <c r="L2064">
        <v>0</v>
      </c>
      <c r="M2064">
        <v>0.53536076925791876</v>
      </c>
      <c r="N2064">
        <v>0</v>
      </c>
      <c r="O2064">
        <v>0</v>
      </c>
      <c r="P2064">
        <v>0.71054943263149073</v>
      </c>
      <c r="Q2064">
        <v>1.5537799155802019</v>
      </c>
      <c r="R2064">
        <v>-4.6337661110405737</v>
      </c>
      <c r="S2064">
        <v>0.19862902160283069</v>
      </c>
      <c r="T2064">
        <v>0.15077038629494091</v>
      </c>
      <c r="U2064">
        <v>4.4922950978838143</v>
      </c>
      <c r="V2064">
        <v>0.20029997212919529</v>
      </c>
      <c r="W2064">
        <v>2.346271786910695</v>
      </c>
      <c r="X2064">
        <v>0.36920982013658948</v>
      </c>
      <c r="Z2064" t="s">
        <v>392</v>
      </c>
      <c r="AA2064">
        <v>9400</v>
      </c>
      <c r="AB2064" t="s">
        <v>2455</v>
      </c>
      <c r="AC2064" t="str">
        <f>HYPERLINK("plots/3FT6Y578R01_012_S11P_20251111092011_M5358ACSH101811_RBGEUFRF26/dpll_52046/txpa_53213.png","plot")</f>
        <v>plot</v>
      </c>
    </row>
    <row r="2065" spans="1:29" x14ac:dyDescent="0.35">
      <c r="A2065" s="2" t="s">
        <v>48</v>
      </c>
      <c r="B2065">
        <v>52046</v>
      </c>
      <c r="C2065" t="s">
        <v>51</v>
      </c>
      <c r="D2065">
        <v>53214</v>
      </c>
      <c r="E2065" t="s">
        <v>89</v>
      </c>
      <c r="F2065">
        <v>12240</v>
      </c>
      <c r="G2065">
        <v>0.85104039982143842</v>
      </c>
      <c r="H2065">
        <v>0</v>
      </c>
      <c r="I2065">
        <v>0</v>
      </c>
      <c r="J2065">
        <v>0.73730588393668639</v>
      </c>
      <c r="K2065">
        <v>0</v>
      </c>
      <c r="L2065">
        <v>0</v>
      </c>
      <c r="M2065">
        <v>0.54398971211592806</v>
      </c>
      <c r="N2065">
        <v>0</v>
      </c>
      <c r="O2065">
        <v>0</v>
      </c>
      <c r="P2065">
        <v>0.7242697621282338</v>
      </c>
      <c r="Q2065">
        <v>1.5713719435924129</v>
      </c>
      <c r="R2065">
        <v>-4.6865468335791141</v>
      </c>
      <c r="S2065">
        <v>0.19422055925809961</v>
      </c>
      <c r="T2065">
        <v>0.1489979001207731</v>
      </c>
      <c r="U2065">
        <v>4.4922587900326798</v>
      </c>
      <c r="V2065">
        <v>0.2003281251120857</v>
      </c>
      <c r="W2065">
        <v>2.372462592434641</v>
      </c>
      <c r="X2065">
        <v>0.36988842759950041</v>
      </c>
      <c r="Z2065" t="s">
        <v>392</v>
      </c>
      <c r="AA2065">
        <v>9400</v>
      </c>
      <c r="AB2065" t="s">
        <v>2456</v>
      </c>
      <c r="AC2065" t="str">
        <f>HYPERLINK("plots/3FT6Y578R01_012_S11P_20251111092011_M5358ACSH101811_RBGEUFRF26/dpll_52046/txpa_53214.png","plot")</f>
        <v>plot</v>
      </c>
    </row>
    <row r="2066" spans="1:29" x14ac:dyDescent="0.35">
      <c r="A2066" s="2" t="s">
        <v>48</v>
      </c>
      <c r="B2066">
        <v>52046</v>
      </c>
      <c r="C2066" t="s">
        <v>51</v>
      </c>
      <c r="D2066">
        <v>53215</v>
      </c>
      <c r="E2066" t="s">
        <v>90</v>
      </c>
      <c r="F2066">
        <v>12237</v>
      </c>
      <c r="G2066">
        <v>0.85128946732093713</v>
      </c>
      <c r="H2066">
        <v>0</v>
      </c>
      <c r="I2066">
        <v>0</v>
      </c>
      <c r="J2066">
        <v>0.73625052114723866</v>
      </c>
      <c r="K2066">
        <v>0</v>
      </c>
      <c r="L2066">
        <v>0</v>
      </c>
      <c r="M2066">
        <v>0.54246863106235932</v>
      </c>
      <c r="N2066">
        <v>0</v>
      </c>
      <c r="O2066">
        <v>0</v>
      </c>
      <c r="P2066">
        <v>0.72469375717156492</v>
      </c>
      <c r="Q2066">
        <v>1.581875138920156</v>
      </c>
      <c r="R2066">
        <v>-4.7556056343159181</v>
      </c>
      <c r="S2066">
        <v>0.1952563165272326</v>
      </c>
      <c r="T2066">
        <v>0.15030690000621921</v>
      </c>
      <c r="U2066">
        <v>4.4923065995750591</v>
      </c>
      <c r="V2066">
        <v>0.20027183066745249</v>
      </c>
      <c r="W2066">
        <v>2.350662491958813</v>
      </c>
      <c r="X2066">
        <v>0.37214724499749352</v>
      </c>
      <c r="Z2066" t="s">
        <v>392</v>
      </c>
      <c r="AA2066">
        <v>9400</v>
      </c>
      <c r="AB2066" t="s">
        <v>2457</v>
      </c>
      <c r="AC2066" t="str">
        <f>HYPERLINK("plots/3FT6Y578R01_012_S11P_20251111092011_M5358ACSH101811_RBGEUFRF26/dpll_52046/txpa_53215.png","plot")</f>
        <v>plot</v>
      </c>
    </row>
    <row r="2067" spans="1:29" x14ac:dyDescent="0.35">
      <c r="A2067" s="2" t="s">
        <v>48</v>
      </c>
      <c r="B2067">
        <v>52046</v>
      </c>
      <c r="C2067" t="s">
        <v>51</v>
      </c>
      <c r="D2067">
        <v>53216</v>
      </c>
      <c r="E2067" t="s">
        <v>91</v>
      </c>
      <c r="F2067">
        <v>12237</v>
      </c>
      <c r="G2067">
        <v>0.85378609568192709</v>
      </c>
      <c r="H2067">
        <v>0</v>
      </c>
      <c r="I2067">
        <v>0</v>
      </c>
      <c r="J2067">
        <v>0.74216091133427353</v>
      </c>
      <c r="K2067">
        <v>0</v>
      </c>
      <c r="L2067">
        <v>0</v>
      </c>
      <c r="M2067">
        <v>0.54823019460406208</v>
      </c>
      <c r="N2067">
        <v>0</v>
      </c>
      <c r="O2067">
        <v>0</v>
      </c>
      <c r="P2067">
        <v>0.72895069717978878</v>
      </c>
      <c r="Q2067">
        <v>1.58920463150789</v>
      </c>
      <c r="R2067">
        <v>-4.7970152308558767</v>
      </c>
      <c r="S2067">
        <v>0.19407811428571931</v>
      </c>
      <c r="T2067">
        <v>0.14988345978750431</v>
      </c>
      <c r="U2067">
        <v>4.4922384689057777</v>
      </c>
      <c r="V2067">
        <v>0.20028084643712901</v>
      </c>
      <c r="W2067">
        <v>2.3420709497671002</v>
      </c>
      <c r="X2067">
        <v>0.37279507170468368</v>
      </c>
      <c r="Z2067" t="s">
        <v>392</v>
      </c>
      <c r="AA2067">
        <v>9400</v>
      </c>
      <c r="AB2067" t="s">
        <v>2458</v>
      </c>
      <c r="AC2067" t="str">
        <f>HYPERLINK("plots/3FT6Y578R01_012_S11P_20251111092011_M5358ACSH101811_RBGEUFRF26/dpll_52046/txpa_53216.png","plot")</f>
        <v>plot</v>
      </c>
    </row>
    <row r="2068" spans="1:29" x14ac:dyDescent="0.35">
      <c r="A2068" s="2" t="s">
        <v>48</v>
      </c>
      <c r="B2068">
        <v>52046</v>
      </c>
      <c r="C2068" t="s">
        <v>51</v>
      </c>
      <c r="D2068">
        <v>53217</v>
      </c>
      <c r="E2068" t="s">
        <v>92</v>
      </c>
      <c r="F2068">
        <v>12236</v>
      </c>
      <c r="G2068">
        <v>0.85293625395742889</v>
      </c>
      <c r="H2068">
        <v>0</v>
      </c>
      <c r="I2068">
        <v>0</v>
      </c>
      <c r="J2068">
        <v>0.73780750880900769</v>
      </c>
      <c r="K2068">
        <v>0</v>
      </c>
      <c r="L2068">
        <v>0</v>
      </c>
      <c r="M2068">
        <v>0.54504702958325502</v>
      </c>
      <c r="N2068">
        <v>0</v>
      </c>
      <c r="O2068">
        <v>0</v>
      </c>
      <c r="P2068">
        <v>0.72750025331493162</v>
      </c>
      <c r="Q2068">
        <v>1.583927798484873</v>
      </c>
      <c r="R2068">
        <v>-4.7635629530728902</v>
      </c>
      <c r="S2068">
        <v>0.19414098780013259</v>
      </c>
      <c r="T2068">
        <v>0.14933063997251819</v>
      </c>
      <c r="U2068">
        <v>4.4923642552304681</v>
      </c>
      <c r="V2068">
        <v>0.2002779440097977</v>
      </c>
      <c r="W2068">
        <v>2.3520176717064398</v>
      </c>
      <c r="X2068">
        <v>0.37192205334063422</v>
      </c>
      <c r="Z2068" t="s">
        <v>392</v>
      </c>
      <c r="AA2068">
        <v>9400</v>
      </c>
      <c r="AB2068" t="s">
        <v>2459</v>
      </c>
      <c r="AC2068" t="str">
        <f>HYPERLINK("plots/3FT6Y578R01_012_S11P_20251111092011_M5358ACSH101811_RBGEUFRF26/dpll_52046/txpa_53217.png","plot")</f>
        <v>plot</v>
      </c>
    </row>
    <row r="2069" spans="1:29" x14ac:dyDescent="0.35">
      <c r="A2069" s="2" t="s">
        <v>48</v>
      </c>
      <c r="B2069">
        <v>52046</v>
      </c>
      <c r="C2069" t="s">
        <v>51</v>
      </c>
      <c r="D2069">
        <v>53218</v>
      </c>
      <c r="E2069" t="s">
        <v>93</v>
      </c>
      <c r="F2069">
        <v>12232</v>
      </c>
      <c r="G2069">
        <v>0.84958228858505147</v>
      </c>
      <c r="H2069">
        <v>0</v>
      </c>
      <c r="I2069">
        <v>0</v>
      </c>
      <c r="J2069">
        <v>0.73152516282538671</v>
      </c>
      <c r="K2069">
        <v>0</v>
      </c>
      <c r="L2069">
        <v>0</v>
      </c>
      <c r="M2069">
        <v>0.53936017219856236</v>
      </c>
      <c r="N2069">
        <v>0</v>
      </c>
      <c r="O2069">
        <v>0</v>
      </c>
      <c r="P2069">
        <v>0.72179006507741372</v>
      </c>
      <c r="Q2069">
        <v>1.567940524196012</v>
      </c>
      <c r="R2069">
        <v>-4.7110086615853399</v>
      </c>
      <c r="S2069">
        <v>0.1949264558827852</v>
      </c>
      <c r="T2069">
        <v>0.15010648620978781</v>
      </c>
      <c r="U2069">
        <v>4.492448706671027</v>
      </c>
      <c r="V2069">
        <v>0.20025256499292851</v>
      </c>
      <c r="W2069">
        <v>2.3328837184761282</v>
      </c>
      <c r="X2069">
        <v>0.36957469093374989</v>
      </c>
      <c r="Z2069" t="s">
        <v>392</v>
      </c>
      <c r="AA2069">
        <v>9400</v>
      </c>
      <c r="AB2069" t="s">
        <v>2460</v>
      </c>
      <c r="AC2069" t="str">
        <f>HYPERLINK("plots/3FT6Y578R01_012_S11P_20251111092011_M5358ACSH101811_RBGEUFRF26/dpll_52046/txpa_53218.png","plot")</f>
        <v>plot</v>
      </c>
    </row>
    <row r="2070" spans="1:29" x14ac:dyDescent="0.35">
      <c r="A2070" s="2" t="s">
        <v>48</v>
      </c>
      <c r="B2070">
        <v>52046</v>
      </c>
      <c r="C2070" t="s">
        <v>51</v>
      </c>
      <c r="D2070">
        <v>53219</v>
      </c>
      <c r="E2070" t="s">
        <v>94</v>
      </c>
      <c r="F2070">
        <v>12229</v>
      </c>
      <c r="G2070">
        <v>0.84147368823605417</v>
      </c>
      <c r="H2070">
        <v>0</v>
      </c>
      <c r="I2070">
        <v>0</v>
      </c>
      <c r="J2070">
        <v>0.73051175201909935</v>
      </c>
      <c r="K2070">
        <v>0</v>
      </c>
      <c r="L2070">
        <v>0</v>
      </c>
      <c r="M2070">
        <v>0.53621471795986153</v>
      </c>
      <c r="N2070">
        <v>0</v>
      </c>
      <c r="O2070">
        <v>0</v>
      </c>
      <c r="P2070">
        <v>0.70807796799358813</v>
      </c>
      <c r="Q2070">
        <v>1.707685281248243</v>
      </c>
      <c r="R2070">
        <v>-3.5110684053528138</v>
      </c>
      <c r="S2070">
        <v>0.21939182107047561</v>
      </c>
      <c r="T2070">
        <v>0.16528763394287271</v>
      </c>
      <c r="U2070">
        <v>4.492607924605446</v>
      </c>
      <c r="V2070">
        <v>0.20009556336990039</v>
      </c>
      <c r="W2070">
        <v>4.16089202191512</v>
      </c>
      <c r="X2070">
        <v>0.40607359824422518</v>
      </c>
      <c r="Z2070" t="s">
        <v>392</v>
      </c>
      <c r="AA2070">
        <v>9400</v>
      </c>
      <c r="AB2070" t="s">
        <v>2461</v>
      </c>
      <c r="AC2070" t="str">
        <f>HYPERLINK("plots/3FT6Y578R01_012_S11P_20251111092011_M5358ACSH101811_RBGEUFRF26/dpll_52046/txpa_53219.png","plot")</f>
        <v>plot</v>
      </c>
    </row>
    <row r="2071" spans="1:29" x14ac:dyDescent="0.35">
      <c r="A2071" s="2" t="s">
        <v>48</v>
      </c>
      <c r="B2071">
        <v>52046</v>
      </c>
      <c r="C2071" t="s">
        <v>51</v>
      </c>
      <c r="D2071">
        <v>53220</v>
      </c>
      <c r="E2071" t="s">
        <v>95</v>
      </c>
      <c r="F2071">
        <v>12230</v>
      </c>
      <c r="G2071">
        <v>0.85284649943129964</v>
      </c>
      <c r="H2071">
        <v>0</v>
      </c>
      <c r="I2071">
        <v>0</v>
      </c>
      <c r="J2071">
        <v>0.74093488811997466</v>
      </c>
      <c r="K2071">
        <v>0</v>
      </c>
      <c r="L2071">
        <v>0</v>
      </c>
      <c r="M2071">
        <v>0.5477202912040684</v>
      </c>
      <c r="N2071">
        <v>0</v>
      </c>
      <c r="O2071">
        <v>0</v>
      </c>
      <c r="P2071">
        <v>0.72734715159222174</v>
      </c>
      <c r="Q2071">
        <v>1.7319219897774329</v>
      </c>
      <c r="R2071">
        <v>-3.5852675075436231</v>
      </c>
      <c r="S2071">
        <v>0.21228385533019051</v>
      </c>
      <c r="T2071">
        <v>0.1624167820086006</v>
      </c>
      <c r="U2071">
        <v>4.4924888164349959</v>
      </c>
      <c r="V2071">
        <v>0.20020376828487879</v>
      </c>
      <c r="W2071">
        <v>4.1953726624693379</v>
      </c>
      <c r="X2071">
        <v>0.40656473229367879</v>
      </c>
      <c r="Z2071" t="s">
        <v>392</v>
      </c>
      <c r="AA2071">
        <v>9400</v>
      </c>
      <c r="AB2071" t="s">
        <v>2462</v>
      </c>
      <c r="AC2071" t="str">
        <f>HYPERLINK("plots/3FT6Y578R01_012_S11P_20251111092011_M5358ACSH101811_RBGEUFRF26/dpll_52046/txpa_53220.png","plot")</f>
        <v>plot</v>
      </c>
    </row>
    <row r="2072" spans="1:29" x14ac:dyDescent="0.35">
      <c r="A2072" s="2" t="s">
        <v>48</v>
      </c>
      <c r="B2072">
        <v>52046</v>
      </c>
      <c r="C2072" t="s">
        <v>51</v>
      </c>
      <c r="D2072">
        <v>53221</v>
      </c>
      <c r="E2072" t="s">
        <v>96</v>
      </c>
      <c r="F2072">
        <v>12231</v>
      </c>
      <c r="G2072">
        <v>0.85098848483350542</v>
      </c>
      <c r="H2072">
        <v>0</v>
      </c>
      <c r="I2072">
        <v>0</v>
      </c>
      <c r="J2072">
        <v>0.73576821603015041</v>
      </c>
      <c r="K2072">
        <v>0</v>
      </c>
      <c r="L2072">
        <v>0</v>
      </c>
      <c r="M2072">
        <v>0.54255869781199784</v>
      </c>
      <c r="N2072">
        <v>0</v>
      </c>
      <c r="O2072">
        <v>0</v>
      </c>
      <c r="P2072">
        <v>0.72418140131922526</v>
      </c>
      <c r="Q2072">
        <v>1.714714142767455</v>
      </c>
      <c r="R2072">
        <v>-3.497098951685766</v>
      </c>
      <c r="S2072">
        <v>0.21185315902997501</v>
      </c>
      <c r="T2072">
        <v>0.16117894252297549</v>
      </c>
      <c r="U2072">
        <v>4.4924966534216333</v>
      </c>
      <c r="V2072">
        <v>0.20020405917880421</v>
      </c>
      <c r="W2072">
        <v>4.2062485962717684</v>
      </c>
      <c r="X2072">
        <v>0.4034046733082563</v>
      </c>
      <c r="Z2072" t="s">
        <v>392</v>
      </c>
      <c r="AA2072">
        <v>9400</v>
      </c>
      <c r="AB2072" t="s">
        <v>2463</v>
      </c>
      <c r="AC2072" t="str">
        <f>HYPERLINK("plots/3FT6Y578R01_012_S11P_20251111092011_M5358ACSH101811_RBGEUFRF26/dpll_52046/txpa_53221.png","plot")</f>
        <v>plot</v>
      </c>
    </row>
    <row r="2073" spans="1:29" x14ac:dyDescent="0.35">
      <c r="A2073" s="2" t="s">
        <v>48</v>
      </c>
      <c r="B2073">
        <v>52046</v>
      </c>
      <c r="C2073" t="s">
        <v>51</v>
      </c>
      <c r="D2073">
        <v>53222</v>
      </c>
      <c r="E2073" t="s">
        <v>97</v>
      </c>
      <c r="F2073">
        <v>12234</v>
      </c>
      <c r="G2073">
        <v>0.85835953442150381</v>
      </c>
      <c r="H2073">
        <v>0</v>
      </c>
      <c r="I2073">
        <v>0</v>
      </c>
      <c r="J2073">
        <v>0.74479162186232895</v>
      </c>
      <c r="K2073">
        <v>0</v>
      </c>
      <c r="L2073">
        <v>0</v>
      </c>
      <c r="M2073">
        <v>0.55130713186190383</v>
      </c>
      <c r="N2073">
        <v>0</v>
      </c>
      <c r="O2073">
        <v>0</v>
      </c>
      <c r="P2073">
        <v>0.73678109033230077</v>
      </c>
      <c r="Q2073">
        <v>1.733821148300259</v>
      </c>
      <c r="R2073">
        <v>-3.5592091237610028</v>
      </c>
      <c r="S2073">
        <v>0.20752860165775319</v>
      </c>
      <c r="T2073">
        <v>0.15930437479071349</v>
      </c>
      <c r="U2073">
        <v>4.4923977948340692</v>
      </c>
      <c r="V2073">
        <v>0.20026364046031581</v>
      </c>
      <c r="W2073">
        <v>4.2298051794997553</v>
      </c>
      <c r="X2073">
        <v>0.40451736264537069</v>
      </c>
      <c r="Z2073" t="s">
        <v>392</v>
      </c>
      <c r="AA2073">
        <v>9400</v>
      </c>
      <c r="AB2073" t="s">
        <v>2464</v>
      </c>
      <c r="AC2073" t="str">
        <f>HYPERLINK("plots/3FT6Y578R01_012_S11P_20251111092011_M5358ACSH101811_RBGEUFRF26/dpll_52046/txpa_53222.png","plot")</f>
        <v>plot</v>
      </c>
    </row>
    <row r="2074" spans="1:29" x14ac:dyDescent="0.35">
      <c r="A2074" s="2" t="s">
        <v>48</v>
      </c>
      <c r="B2074">
        <v>52046</v>
      </c>
      <c r="C2074" t="s">
        <v>51</v>
      </c>
      <c r="D2074">
        <v>53223</v>
      </c>
      <c r="E2074" t="s">
        <v>98</v>
      </c>
      <c r="F2074">
        <v>12234</v>
      </c>
      <c r="G2074">
        <v>0.85792389239452627</v>
      </c>
      <c r="H2074">
        <v>0</v>
      </c>
      <c r="I2074">
        <v>0</v>
      </c>
      <c r="J2074">
        <v>0.74381388827592965</v>
      </c>
      <c r="K2074">
        <v>0</v>
      </c>
      <c r="L2074">
        <v>0</v>
      </c>
      <c r="M2074">
        <v>0.54986077513315079</v>
      </c>
      <c r="N2074">
        <v>0</v>
      </c>
      <c r="O2074">
        <v>0</v>
      </c>
      <c r="P2074">
        <v>0.73603340514137472</v>
      </c>
      <c r="Q2074">
        <v>1.7456522643407699</v>
      </c>
      <c r="R2074">
        <v>-3.6360138139270028</v>
      </c>
      <c r="S2074">
        <v>0.2093013396467745</v>
      </c>
      <c r="T2074">
        <v>0.1609460672300039</v>
      </c>
      <c r="U2074">
        <v>4.4923933996239986</v>
      </c>
      <c r="V2074">
        <v>0.20021946650673089</v>
      </c>
      <c r="W2074">
        <v>4.2061428964361616</v>
      </c>
      <c r="X2074">
        <v>0.40739460477905443</v>
      </c>
      <c r="Z2074" t="s">
        <v>392</v>
      </c>
      <c r="AA2074">
        <v>9400</v>
      </c>
      <c r="AB2074" t="s">
        <v>2465</v>
      </c>
      <c r="AC2074" t="str">
        <f>HYPERLINK("plots/3FT6Y578R01_012_S11P_20251111092011_M5358ACSH101811_RBGEUFRF26/dpll_52046/txpa_53223.png","plot")</f>
        <v>plot</v>
      </c>
    </row>
    <row r="2075" spans="1:29" x14ac:dyDescent="0.35">
      <c r="A2075" s="2" t="s">
        <v>48</v>
      </c>
      <c r="B2075">
        <v>52046</v>
      </c>
      <c r="C2075" t="s">
        <v>51</v>
      </c>
      <c r="D2075">
        <v>53224</v>
      </c>
      <c r="E2075" t="s">
        <v>99</v>
      </c>
      <c r="F2075">
        <v>12231</v>
      </c>
      <c r="G2075">
        <v>0.86063682193716606</v>
      </c>
      <c r="H2075">
        <v>0</v>
      </c>
      <c r="I2075">
        <v>0</v>
      </c>
      <c r="J2075">
        <v>0.74849030413515738</v>
      </c>
      <c r="K2075">
        <v>0</v>
      </c>
      <c r="L2075">
        <v>0</v>
      </c>
      <c r="M2075">
        <v>0.55468966488670268</v>
      </c>
      <c r="N2075">
        <v>0</v>
      </c>
      <c r="O2075">
        <v>0</v>
      </c>
      <c r="P2075">
        <v>0.74069573927410526</v>
      </c>
      <c r="Q2075">
        <v>1.751724315855496</v>
      </c>
      <c r="R2075">
        <v>-3.6685279276981588</v>
      </c>
      <c r="S2075">
        <v>0.20750612099483179</v>
      </c>
      <c r="T2075">
        <v>0.1604183035503719</v>
      </c>
      <c r="U2075">
        <v>4.4923859513531186</v>
      </c>
      <c r="V2075">
        <v>0.20021564237402259</v>
      </c>
      <c r="W2075">
        <v>4.2008937794947263</v>
      </c>
      <c r="X2075">
        <v>0.40751522619236641</v>
      </c>
      <c r="Z2075" t="s">
        <v>392</v>
      </c>
      <c r="AA2075">
        <v>9400</v>
      </c>
      <c r="AB2075" t="s">
        <v>2466</v>
      </c>
      <c r="AC2075" t="str">
        <f>HYPERLINK("plots/3FT6Y578R01_012_S11P_20251111092011_M5358ACSH101811_RBGEUFRF26/dpll_52046/txpa_53224.png","plot")</f>
        <v>plot</v>
      </c>
    </row>
    <row r="2076" spans="1:29" x14ac:dyDescent="0.35">
      <c r="A2076" s="2" t="s">
        <v>48</v>
      </c>
      <c r="B2076">
        <v>52046</v>
      </c>
      <c r="C2076" t="s">
        <v>51</v>
      </c>
      <c r="D2076">
        <v>53225</v>
      </c>
      <c r="E2076" t="s">
        <v>100</v>
      </c>
      <c r="F2076">
        <v>12227</v>
      </c>
      <c r="G2076">
        <v>0.86022230065011929</v>
      </c>
      <c r="H2076">
        <v>0</v>
      </c>
      <c r="I2076">
        <v>0</v>
      </c>
      <c r="J2076">
        <v>0.7441198577700302</v>
      </c>
      <c r="K2076">
        <v>0</v>
      </c>
      <c r="L2076">
        <v>0</v>
      </c>
      <c r="M2076">
        <v>0.55148775140295181</v>
      </c>
      <c r="N2076">
        <v>0</v>
      </c>
      <c r="O2076">
        <v>0</v>
      </c>
      <c r="P2076">
        <v>0.73998240653578418</v>
      </c>
      <c r="Q2076">
        <v>1.745403631446885</v>
      </c>
      <c r="R2076">
        <v>-3.6308779342679429</v>
      </c>
      <c r="S2076">
        <v>0.20711070402290049</v>
      </c>
      <c r="T2076">
        <v>0.15960296581981939</v>
      </c>
      <c r="U2076">
        <v>4.49257624756686</v>
      </c>
      <c r="V2076">
        <v>0.20018602681931591</v>
      </c>
      <c r="W2076">
        <v>4.2104809627872726</v>
      </c>
      <c r="X2076">
        <v>0.40618037675992802</v>
      </c>
      <c r="Z2076" t="s">
        <v>392</v>
      </c>
      <c r="AA2076">
        <v>9400</v>
      </c>
      <c r="AB2076" t="s">
        <v>2467</v>
      </c>
      <c r="AC2076" t="str">
        <f>HYPERLINK("plots/3FT6Y578R01_012_S11P_20251111092011_M5358ACSH101811_RBGEUFRF26/dpll_52046/txpa_53225.png","plot")</f>
        <v>plot</v>
      </c>
    </row>
    <row r="2077" spans="1:29" x14ac:dyDescent="0.35">
      <c r="A2077" s="2" t="s">
        <v>48</v>
      </c>
      <c r="B2077">
        <v>52046</v>
      </c>
      <c r="C2077" t="s">
        <v>51</v>
      </c>
      <c r="D2077">
        <v>53226</v>
      </c>
      <c r="E2077" t="s">
        <v>101</v>
      </c>
      <c r="F2077">
        <v>12225</v>
      </c>
      <c r="G2077">
        <v>0.85690870890390403</v>
      </c>
      <c r="H2077">
        <v>0</v>
      </c>
      <c r="I2077">
        <v>0</v>
      </c>
      <c r="J2077">
        <v>0.73912002740868965</v>
      </c>
      <c r="K2077">
        <v>0</v>
      </c>
      <c r="L2077">
        <v>0</v>
      </c>
      <c r="M2077">
        <v>0.54670684468621344</v>
      </c>
      <c r="N2077">
        <v>0</v>
      </c>
      <c r="O2077">
        <v>0</v>
      </c>
      <c r="P2077">
        <v>0.73429253539535577</v>
      </c>
      <c r="Q2077">
        <v>1.7279871578020429</v>
      </c>
      <c r="R2077">
        <v>-3.5715145841973999</v>
      </c>
      <c r="S2077">
        <v>0.2080493892207381</v>
      </c>
      <c r="T2077">
        <v>0.1603514423448571</v>
      </c>
      <c r="U2077">
        <v>4.4926308103885484</v>
      </c>
      <c r="V2077">
        <v>0.20015957807810411</v>
      </c>
      <c r="W2077">
        <v>4.1916937608997964</v>
      </c>
      <c r="X2077">
        <v>0.40362897101659201</v>
      </c>
      <c r="Z2077" t="s">
        <v>392</v>
      </c>
      <c r="AA2077">
        <v>9400</v>
      </c>
      <c r="AB2077" t="s">
        <v>2468</v>
      </c>
      <c r="AC2077" t="str">
        <f>HYPERLINK("plots/3FT6Y578R01_012_S11P_20251111092011_M5358ACSH101811_RBGEUFRF26/dpll_52046/txpa_53226.png","plot")</f>
        <v>plot</v>
      </c>
    </row>
    <row r="2078" spans="1:29" x14ac:dyDescent="0.35">
      <c r="A2078" s="2" t="s">
        <v>48</v>
      </c>
      <c r="B2078">
        <v>52046</v>
      </c>
      <c r="C2078" t="s">
        <v>51</v>
      </c>
      <c r="D2078">
        <v>53227</v>
      </c>
      <c r="E2078" t="s">
        <v>102</v>
      </c>
      <c r="F2078">
        <v>12200</v>
      </c>
      <c r="G2078">
        <v>0.85210874055015751</v>
      </c>
      <c r="H2078">
        <v>0</v>
      </c>
      <c r="I2078">
        <v>0</v>
      </c>
      <c r="J2078">
        <v>0.73517966613483188</v>
      </c>
      <c r="K2078">
        <v>0</v>
      </c>
      <c r="L2078">
        <v>0</v>
      </c>
      <c r="M2078">
        <v>0.54158451473738156</v>
      </c>
      <c r="N2078">
        <v>0</v>
      </c>
      <c r="O2078">
        <v>0</v>
      </c>
      <c r="P2078">
        <v>0.72608930572197561</v>
      </c>
      <c r="Q2078">
        <v>1.9369151818433159</v>
      </c>
      <c r="R2078">
        <v>-2.3223802429814211</v>
      </c>
      <c r="S2078">
        <v>0.23775479041111111</v>
      </c>
      <c r="T2078">
        <v>0.18120137700144681</v>
      </c>
      <c r="U2078">
        <v>4.4932325730327856</v>
      </c>
      <c r="V2078">
        <v>0.19986051322691431</v>
      </c>
      <c r="W2078">
        <v>6.3806301432786876</v>
      </c>
      <c r="X2078">
        <v>0.45429983744829422</v>
      </c>
      <c r="Z2078" t="s">
        <v>392</v>
      </c>
      <c r="AA2078">
        <v>9400</v>
      </c>
      <c r="AB2078" t="s">
        <v>2469</v>
      </c>
      <c r="AC2078" t="str">
        <f>HYPERLINK("plots/3FT6Y578R01_012_S11P_20251111092011_M5358ACSH101811_RBGEUFRF26/dpll_52046/txpa_53227.png","plot")</f>
        <v>plot</v>
      </c>
    </row>
    <row r="2079" spans="1:29" x14ac:dyDescent="0.35">
      <c r="A2079" s="2" t="s">
        <v>48</v>
      </c>
      <c r="B2079">
        <v>52046</v>
      </c>
      <c r="C2079" t="s">
        <v>51</v>
      </c>
      <c r="D2079">
        <v>53228</v>
      </c>
      <c r="E2079" t="s">
        <v>103</v>
      </c>
      <c r="F2079">
        <v>12215</v>
      </c>
      <c r="G2079">
        <v>0.86009371505974597</v>
      </c>
      <c r="H2079">
        <v>0</v>
      </c>
      <c r="I2079">
        <v>0</v>
      </c>
      <c r="J2079">
        <v>0.74531837021179537</v>
      </c>
      <c r="K2079">
        <v>0</v>
      </c>
      <c r="L2079">
        <v>0</v>
      </c>
      <c r="M2079">
        <v>0.55251371837043139</v>
      </c>
      <c r="N2079">
        <v>0</v>
      </c>
      <c r="O2079">
        <v>0</v>
      </c>
      <c r="P2079">
        <v>0.73976119868527546</v>
      </c>
      <c r="Q2079">
        <v>1.969828940365572</v>
      </c>
      <c r="R2079">
        <v>-2.4353142500390321</v>
      </c>
      <c r="S2079">
        <v>0.23374984891435191</v>
      </c>
      <c r="T2079">
        <v>0.17975930771698639</v>
      </c>
      <c r="U2079">
        <v>4.4928157504707329</v>
      </c>
      <c r="V2079">
        <v>0.20007846745309821</v>
      </c>
      <c r="W2079">
        <v>6.4147642389684814</v>
      </c>
      <c r="X2079">
        <v>0.45822954944593047</v>
      </c>
      <c r="Z2079" t="s">
        <v>392</v>
      </c>
      <c r="AA2079">
        <v>9400</v>
      </c>
      <c r="AB2079" t="s">
        <v>2470</v>
      </c>
      <c r="AC2079" t="str">
        <f>HYPERLINK("plots/3FT6Y578R01_012_S11P_20251111092011_M5358ACSH101811_RBGEUFRF26/dpll_52046/txpa_53228.png","plot")</f>
        <v>plot</v>
      </c>
    </row>
    <row r="2080" spans="1:29" x14ac:dyDescent="0.35">
      <c r="A2080" s="2" t="s">
        <v>48</v>
      </c>
      <c r="B2080">
        <v>52046</v>
      </c>
      <c r="C2080" t="s">
        <v>51</v>
      </c>
      <c r="D2080">
        <v>53229</v>
      </c>
      <c r="E2080" t="s">
        <v>104</v>
      </c>
      <c r="F2080">
        <v>12207</v>
      </c>
      <c r="G2080">
        <v>0.85988866037829048</v>
      </c>
      <c r="H2080">
        <v>0</v>
      </c>
      <c r="I2080">
        <v>0</v>
      </c>
      <c r="J2080">
        <v>0.73997858783669779</v>
      </c>
      <c r="K2080">
        <v>0</v>
      </c>
      <c r="L2080">
        <v>0</v>
      </c>
      <c r="M2080">
        <v>0.54733188829155865</v>
      </c>
      <c r="N2080">
        <v>0</v>
      </c>
      <c r="O2080">
        <v>0</v>
      </c>
      <c r="P2080">
        <v>0.73940850824717097</v>
      </c>
      <c r="Q2080">
        <v>1.947205112699987</v>
      </c>
      <c r="R2080">
        <v>-2.3216405276946741</v>
      </c>
      <c r="S2080">
        <v>0.231185326760044</v>
      </c>
      <c r="T2080">
        <v>0.17768833876050091</v>
      </c>
      <c r="U2080">
        <v>4.4930258648316537</v>
      </c>
      <c r="V2080">
        <v>0.19999929290024049</v>
      </c>
      <c r="W2080">
        <v>6.4272024077988039</v>
      </c>
      <c r="X2080">
        <v>0.45289543125316301</v>
      </c>
      <c r="Z2080" t="s">
        <v>392</v>
      </c>
      <c r="AA2080">
        <v>9400</v>
      </c>
      <c r="AB2080" t="s">
        <v>2471</v>
      </c>
      <c r="AC2080" t="str">
        <f>HYPERLINK("plots/3FT6Y578R01_012_S11P_20251111092011_M5358ACSH101811_RBGEUFRF26/dpll_52046/txpa_53229.png","plot")</f>
        <v>plot</v>
      </c>
    </row>
    <row r="2081" spans="1:29" x14ac:dyDescent="0.35">
      <c r="A2081" s="2" t="s">
        <v>48</v>
      </c>
      <c r="B2081">
        <v>52046</v>
      </c>
      <c r="C2081" t="s">
        <v>51</v>
      </c>
      <c r="D2081">
        <v>53230</v>
      </c>
      <c r="E2081" t="s">
        <v>105</v>
      </c>
      <c r="F2081">
        <v>12215</v>
      </c>
      <c r="G2081">
        <v>0.86549836317062845</v>
      </c>
      <c r="H2081">
        <v>0</v>
      </c>
      <c r="I2081">
        <v>0</v>
      </c>
      <c r="J2081">
        <v>0.74853271529420651</v>
      </c>
      <c r="K2081">
        <v>0</v>
      </c>
      <c r="L2081">
        <v>0</v>
      </c>
      <c r="M2081">
        <v>0.55576225991924366</v>
      </c>
      <c r="N2081">
        <v>0</v>
      </c>
      <c r="O2081">
        <v>0</v>
      </c>
      <c r="P2081">
        <v>0.74908741665103706</v>
      </c>
      <c r="Q2081">
        <v>1.969594337800374</v>
      </c>
      <c r="R2081">
        <v>-2.4009547887203402</v>
      </c>
      <c r="S2081">
        <v>0.22806245414380999</v>
      </c>
      <c r="T2081">
        <v>0.1762362214422406</v>
      </c>
      <c r="U2081">
        <v>4.4928405621776504</v>
      </c>
      <c r="V2081">
        <v>0.20007821955883701</v>
      </c>
      <c r="W2081">
        <v>6.4481185431846084</v>
      </c>
      <c r="X2081">
        <v>0.45531331441995571</v>
      </c>
      <c r="Z2081" t="s">
        <v>392</v>
      </c>
      <c r="AA2081">
        <v>9400</v>
      </c>
      <c r="AB2081" t="s">
        <v>2472</v>
      </c>
      <c r="AC2081" t="str">
        <f>HYPERLINK("plots/3FT6Y578R01_012_S11P_20251111092011_M5358ACSH101811_RBGEUFRF26/dpll_52046/txpa_53230.png","plot")</f>
        <v>plot</v>
      </c>
    </row>
    <row r="2082" spans="1:29" x14ac:dyDescent="0.35">
      <c r="A2082" s="2" t="s">
        <v>48</v>
      </c>
      <c r="B2082">
        <v>52046</v>
      </c>
      <c r="C2082" t="s">
        <v>51</v>
      </c>
      <c r="D2082">
        <v>53231</v>
      </c>
      <c r="E2082" t="s">
        <v>106</v>
      </c>
      <c r="F2082">
        <v>12208</v>
      </c>
      <c r="G2082">
        <v>0.86532564462368455</v>
      </c>
      <c r="H2082">
        <v>0</v>
      </c>
      <c r="I2082">
        <v>0</v>
      </c>
      <c r="J2082">
        <v>0.74751394533307813</v>
      </c>
      <c r="K2082">
        <v>0</v>
      </c>
      <c r="L2082">
        <v>0</v>
      </c>
      <c r="M2082">
        <v>0.55441026195915211</v>
      </c>
      <c r="N2082">
        <v>0</v>
      </c>
      <c r="O2082">
        <v>0</v>
      </c>
      <c r="P2082">
        <v>0.7487884712433952</v>
      </c>
      <c r="Q2082">
        <v>1.977423768283733</v>
      </c>
      <c r="R2082">
        <v>-2.4610485015718941</v>
      </c>
      <c r="S2082">
        <v>0.22897313381556861</v>
      </c>
      <c r="T2082">
        <v>0.17731881671484229</v>
      </c>
      <c r="U2082">
        <v>4.4930391592398431</v>
      </c>
      <c r="V2082">
        <v>0.1999228146624642</v>
      </c>
      <c r="W2082">
        <v>6.4235939237385322</v>
      </c>
      <c r="X2082">
        <v>0.45685936617267769</v>
      </c>
      <c r="Z2082" t="s">
        <v>392</v>
      </c>
      <c r="AA2082">
        <v>9400</v>
      </c>
      <c r="AB2082" t="s">
        <v>2473</v>
      </c>
      <c r="AC2082" t="str">
        <f>HYPERLINK("plots/3FT6Y578R01_012_S11P_20251111092011_M5358ACSH101811_RBGEUFRF26/dpll_52046/txpa_53231.png","plot")</f>
        <v>plot</v>
      </c>
    </row>
    <row r="2083" spans="1:29" x14ac:dyDescent="0.35">
      <c r="A2083" s="2" t="s">
        <v>48</v>
      </c>
      <c r="B2083">
        <v>52046</v>
      </c>
      <c r="C2083" t="s">
        <v>51</v>
      </c>
      <c r="D2083">
        <v>53232</v>
      </c>
      <c r="E2083" t="s">
        <v>107</v>
      </c>
      <c r="F2083">
        <v>12217</v>
      </c>
      <c r="G2083">
        <v>0.86614739797917051</v>
      </c>
      <c r="H2083">
        <v>0</v>
      </c>
      <c r="I2083">
        <v>0</v>
      </c>
      <c r="J2083">
        <v>0.75133271596590456</v>
      </c>
      <c r="K2083">
        <v>0</v>
      </c>
      <c r="L2083">
        <v>0</v>
      </c>
      <c r="M2083">
        <v>0.55825643181798679</v>
      </c>
      <c r="N2083">
        <v>0</v>
      </c>
      <c r="O2083">
        <v>0</v>
      </c>
      <c r="P2083">
        <v>0.75021131502608762</v>
      </c>
      <c r="Q2083">
        <v>1.9895752883818241</v>
      </c>
      <c r="R2083">
        <v>-2.5191864213630129</v>
      </c>
      <c r="S2083">
        <v>0.2296325688119118</v>
      </c>
      <c r="T2083">
        <v>0.1779601130456768</v>
      </c>
      <c r="U2083">
        <v>4.49275232037325</v>
      </c>
      <c r="V2083">
        <v>0.20003053897660431</v>
      </c>
      <c r="W2083">
        <v>6.4194825720717041</v>
      </c>
      <c r="X2083">
        <v>0.45947816526156671</v>
      </c>
      <c r="Z2083" t="s">
        <v>392</v>
      </c>
      <c r="AA2083">
        <v>9400</v>
      </c>
      <c r="AB2083" t="s">
        <v>2474</v>
      </c>
      <c r="AC2083" t="str">
        <f>HYPERLINK("plots/3FT6Y578R01_012_S11P_20251111092011_M5358ACSH101811_RBGEUFRF26/dpll_52046/txpa_53232.png","plot")</f>
        <v>plot</v>
      </c>
    </row>
    <row r="2084" spans="1:29" x14ac:dyDescent="0.35">
      <c r="A2084" s="2" t="s">
        <v>48</v>
      </c>
      <c r="B2084">
        <v>52046</v>
      </c>
      <c r="C2084" t="s">
        <v>51</v>
      </c>
      <c r="D2084">
        <v>53233</v>
      </c>
      <c r="E2084" t="s">
        <v>108</v>
      </c>
      <c r="F2084">
        <v>12205</v>
      </c>
      <c r="G2084">
        <v>0.86747680018093587</v>
      </c>
      <c r="H2084">
        <v>0</v>
      </c>
      <c r="I2084">
        <v>0</v>
      </c>
      <c r="J2084">
        <v>0.74722890147201271</v>
      </c>
      <c r="K2084">
        <v>0</v>
      </c>
      <c r="L2084">
        <v>0</v>
      </c>
      <c r="M2084">
        <v>0.55548098738515939</v>
      </c>
      <c r="N2084">
        <v>0</v>
      </c>
      <c r="O2084">
        <v>0</v>
      </c>
      <c r="P2084">
        <v>0.75251599885215537</v>
      </c>
      <c r="Q2084">
        <v>1.979702419816207</v>
      </c>
      <c r="R2084">
        <v>-2.4650887156435788</v>
      </c>
      <c r="S2084">
        <v>0.22702846721944181</v>
      </c>
      <c r="T2084">
        <v>0.1761453437229627</v>
      </c>
      <c r="U2084">
        <v>4.4930835769766491</v>
      </c>
      <c r="V2084">
        <v>0.19997812860569711</v>
      </c>
      <c r="W2084">
        <v>6.4298797141335511</v>
      </c>
      <c r="X2084">
        <v>0.45637783630460221</v>
      </c>
      <c r="Z2084" t="s">
        <v>392</v>
      </c>
      <c r="AA2084">
        <v>9400</v>
      </c>
      <c r="AB2084" t="s">
        <v>2475</v>
      </c>
      <c r="AC2084" t="str">
        <f>HYPERLINK("plots/3FT6Y578R01_012_S11P_20251111092011_M5358ACSH101811_RBGEUFRF26/dpll_52046/txpa_53233.png","plot")</f>
        <v>plot</v>
      </c>
    </row>
    <row r="2085" spans="1:29" x14ac:dyDescent="0.35">
      <c r="A2085" s="2" t="s">
        <v>48</v>
      </c>
      <c r="B2085">
        <v>52046</v>
      </c>
      <c r="C2085" t="s">
        <v>51</v>
      </c>
      <c r="D2085">
        <v>53234</v>
      </c>
      <c r="E2085" t="s">
        <v>109</v>
      </c>
      <c r="F2085">
        <v>12195</v>
      </c>
      <c r="G2085">
        <v>0.86423763346863514</v>
      </c>
      <c r="H2085">
        <v>0</v>
      </c>
      <c r="I2085">
        <v>0</v>
      </c>
      <c r="J2085">
        <v>0.74234165028055832</v>
      </c>
      <c r="K2085">
        <v>0</v>
      </c>
      <c r="L2085">
        <v>0</v>
      </c>
      <c r="M2085">
        <v>0.55067815661959862</v>
      </c>
      <c r="N2085">
        <v>0</v>
      </c>
      <c r="O2085">
        <v>0</v>
      </c>
      <c r="P2085">
        <v>0.74690668710346697</v>
      </c>
      <c r="Q2085">
        <v>1.955485988969224</v>
      </c>
      <c r="R2085">
        <v>-2.3748764852202111</v>
      </c>
      <c r="S2085">
        <v>0.22739082064511179</v>
      </c>
      <c r="T2085">
        <v>0.1766851177546771</v>
      </c>
      <c r="U2085">
        <v>4.4933939275932753</v>
      </c>
      <c r="V2085">
        <v>0.19976935434918999</v>
      </c>
      <c r="W2085">
        <v>6.4118923831078316</v>
      </c>
      <c r="X2085">
        <v>0.45201245389812839</v>
      </c>
      <c r="Z2085" t="s">
        <v>392</v>
      </c>
      <c r="AA2085">
        <v>9400</v>
      </c>
      <c r="AB2085" t="s">
        <v>2476</v>
      </c>
      <c r="AC2085" t="str">
        <f>HYPERLINK("plots/3FT6Y578R01_012_S11P_20251111092011_M5358ACSH101811_RBGEUFRF26/dpll_52046/txpa_53234.png","plot")</f>
        <v>plot</v>
      </c>
    </row>
    <row r="2086" spans="1:29" x14ac:dyDescent="0.35">
      <c r="A2086" s="2" t="s">
        <v>48</v>
      </c>
      <c r="B2086">
        <v>52046</v>
      </c>
      <c r="C2086" t="s">
        <v>51</v>
      </c>
      <c r="D2086">
        <v>53235</v>
      </c>
      <c r="E2086" t="s">
        <v>110</v>
      </c>
      <c r="F2086">
        <v>12187</v>
      </c>
      <c r="G2086">
        <v>0.8552161717708443</v>
      </c>
      <c r="H2086">
        <v>0</v>
      </c>
      <c r="I2086">
        <v>0</v>
      </c>
      <c r="J2086">
        <v>0.73552518024518798</v>
      </c>
      <c r="K2086">
        <v>0</v>
      </c>
      <c r="L2086">
        <v>0</v>
      </c>
      <c r="M2086">
        <v>0.54237081676702947</v>
      </c>
      <c r="N2086">
        <v>0</v>
      </c>
      <c r="O2086">
        <v>0</v>
      </c>
      <c r="P2086">
        <v>0.73139470045837829</v>
      </c>
      <c r="Q2086">
        <v>2.050529689111285</v>
      </c>
      <c r="R2086">
        <v>-1.8590117303160409</v>
      </c>
      <c r="S2086">
        <v>0.24820891897183839</v>
      </c>
      <c r="T2086">
        <v>0.19004377708304401</v>
      </c>
      <c r="U2086">
        <v>4.4935167773036842</v>
      </c>
      <c r="V2086">
        <v>0.1997504453030487</v>
      </c>
      <c r="W2086">
        <v>7.3550778300648236</v>
      </c>
      <c r="X2086">
        <v>0.4789364748084442</v>
      </c>
      <c r="Z2086" t="s">
        <v>392</v>
      </c>
      <c r="AA2086">
        <v>9400</v>
      </c>
      <c r="AB2086" t="s">
        <v>2477</v>
      </c>
      <c r="AC2086" t="str">
        <f>HYPERLINK("plots/3FT6Y578R01_012_S11P_20251111092011_M5358ACSH101811_RBGEUFRF26/dpll_52046/txpa_53235.png","plot")</f>
        <v>plot</v>
      </c>
    </row>
    <row r="2087" spans="1:29" x14ac:dyDescent="0.35">
      <c r="A2087" s="2" t="s">
        <v>48</v>
      </c>
      <c r="B2087">
        <v>52046</v>
      </c>
      <c r="C2087" t="s">
        <v>51</v>
      </c>
      <c r="D2087">
        <v>53236</v>
      </c>
      <c r="E2087" t="s">
        <v>111</v>
      </c>
      <c r="F2087">
        <v>12192</v>
      </c>
      <c r="G2087">
        <v>0.86330733612168209</v>
      </c>
      <c r="H2087">
        <v>0</v>
      </c>
      <c r="I2087">
        <v>0</v>
      </c>
      <c r="J2087">
        <v>0.74501527017297797</v>
      </c>
      <c r="K2087">
        <v>0</v>
      </c>
      <c r="L2087">
        <v>0</v>
      </c>
      <c r="M2087">
        <v>0.55273052803932954</v>
      </c>
      <c r="N2087">
        <v>0</v>
      </c>
      <c r="O2087">
        <v>0</v>
      </c>
      <c r="P2087">
        <v>0.74529955660151492</v>
      </c>
      <c r="Q2087">
        <v>2.0782412113388489</v>
      </c>
      <c r="R2087">
        <v>-1.947270430855031</v>
      </c>
      <c r="S2087">
        <v>0.2427361938040199</v>
      </c>
      <c r="T2087">
        <v>0.18795095393828939</v>
      </c>
      <c r="U2087">
        <v>4.4933764730971131</v>
      </c>
      <c r="V2087">
        <v>0.1998052877565861</v>
      </c>
      <c r="W2087">
        <v>7.3910497335957999</v>
      </c>
      <c r="X2087">
        <v>0.48099160737425561</v>
      </c>
      <c r="Z2087" t="s">
        <v>392</v>
      </c>
      <c r="AA2087">
        <v>9400</v>
      </c>
      <c r="AB2087" t="s">
        <v>2478</v>
      </c>
      <c r="AC2087" t="str">
        <f>HYPERLINK("plots/3FT6Y578R01_012_S11P_20251111092011_M5358ACSH101811_RBGEUFRF26/dpll_52046/txpa_53236.png","plot")</f>
        <v>plot</v>
      </c>
    </row>
    <row r="2088" spans="1:29" x14ac:dyDescent="0.35">
      <c r="A2088" s="2" t="s">
        <v>48</v>
      </c>
      <c r="B2088">
        <v>52046</v>
      </c>
      <c r="C2088" t="s">
        <v>51</v>
      </c>
      <c r="D2088">
        <v>53237</v>
      </c>
      <c r="E2088" t="s">
        <v>112</v>
      </c>
      <c r="F2088">
        <v>12188</v>
      </c>
      <c r="G2088">
        <v>0.86270918600933377</v>
      </c>
      <c r="H2088">
        <v>0</v>
      </c>
      <c r="I2088">
        <v>0</v>
      </c>
      <c r="J2088">
        <v>0.7399791694321104</v>
      </c>
      <c r="K2088">
        <v>0</v>
      </c>
      <c r="L2088">
        <v>0</v>
      </c>
      <c r="M2088">
        <v>0.54779467619646982</v>
      </c>
      <c r="N2088">
        <v>0</v>
      </c>
      <c r="O2088">
        <v>0</v>
      </c>
      <c r="P2088">
        <v>0.74426713962488722</v>
      </c>
      <c r="Q2088">
        <v>2.0567694842033961</v>
      </c>
      <c r="R2088">
        <v>-1.838852907086411</v>
      </c>
      <c r="S2088">
        <v>0.24083195836706431</v>
      </c>
      <c r="T2088">
        <v>0.18608940883870839</v>
      </c>
      <c r="U2088">
        <v>4.4935062913521504</v>
      </c>
      <c r="V2088">
        <v>0.1997641117466683</v>
      </c>
      <c r="W2088">
        <v>7.403253710042665</v>
      </c>
      <c r="X2088">
        <v>0.47625403292633861</v>
      </c>
      <c r="Z2088" t="s">
        <v>392</v>
      </c>
      <c r="AA2088">
        <v>9400</v>
      </c>
      <c r="AB2088" t="s">
        <v>2479</v>
      </c>
      <c r="AC2088" t="str">
        <f>HYPERLINK("plots/3FT6Y578R01_012_S11P_20251111092011_M5358ACSH101811_RBGEUFRF26/dpll_52046/txpa_53237.png","plot")</f>
        <v>plot</v>
      </c>
    </row>
    <row r="2089" spans="1:29" x14ac:dyDescent="0.35">
      <c r="A2089" s="2" t="s">
        <v>48</v>
      </c>
      <c r="B2089">
        <v>52046</v>
      </c>
      <c r="C2089" t="s">
        <v>51</v>
      </c>
      <c r="D2089">
        <v>53238</v>
      </c>
      <c r="E2089" t="s">
        <v>113</v>
      </c>
      <c r="F2089">
        <v>12200</v>
      </c>
      <c r="G2089">
        <v>0.86782624927956054</v>
      </c>
      <c r="H2089">
        <v>0</v>
      </c>
      <c r="I2089">
        <v>0</v>
      </c>
      <c r="J2089">
        <v>0.74838473795814919</v>
      </c>
      <c r="K2089">
        <v>0</v>
      </c>
      <c r="L2089">
        <v>0</v>
      </c>
      <c r="M2089">
        <v>0.55609372896895415</v>
      </c>
      <c r="N2089">
        <v>0</v>
      </c>
      <c r="O2089">
        <v>0</v>
      </c>
      <c r="P2089">
        <v>0.75312239893862998</v>
      </c>
      <c r="Q2089">
        <v>2.0833296487565232</v>
      </c>
      <c r="R2089">
        <v>-1.937670989194539</v>
      </c>
      <c r="S2089">
        <v>0.23844864653459319</v>
      </c>
      <c r="T2089">
        <v>0.18506424792754919</v>
      </c>
      <c r="U2089">
        <v>4.4932033120491814</v>
      </c>
      <c r="V2089">
        <v>0.1999155631501264</v>
      </c>
      <c r="W2089">
        <v>7.423152688688524</v>
      </c>
      <c r="X2089">
        <v>0.47992327992414491</v>
      </c>
      <c r="Z2089" t="s">
        <v>392</v>
      </c>
      <c r="AA2089">
        <v>9400</v>
      </c>
      <c r="AB2089" t="s">
        <v>2480</v>
      </c>
      <c r="AC2089" t="str">
        <f>HYPERLINK("plots/3FT6Y578R01_012_S11P_20251111092011_M5358ACSH101811_RBGEUFRF26/dpll_52046/txpa_53238.png","plot")</f>
        <v>plot</v>
      </c>
    </row>
    <row r="2090" spans="1:29" x14ac:dyDescent="0.35">
      <c r="A2090" s="2" t="s">
        <v>48</v>
      </c>
      <c r="B2090">
        <v>52046</v>
      </c>
      <c r="C2090" t="s">
        <v>51</v>
      </c>
      <c r="D2090">
        <v>53239</v>
      </c>
      <c r="E2090" t="s">
        <v>114</v>
      </c>
      <c r="F2090">
        <v>12190</v>
      </c>
      <c r="G2090">
        <v>0.86831394010102869</v>
      </c>
      <c r="H2090">
        <v>0</v>
      </c>
      <c r="I2090">
        <v>0</v>
      </c>
      <c r="J2090">
        <v>0.74729156694635301</v>
      </c>
      <c r="K2090">
        <v>0</v>
      </c>
      <c r="L2090">
        <v>0</v>
      </c>
      <c r="M2090">
        <v>0.55470826886844216</v>
      </c>
      <c r="N2090">
        <v>0</v>
      </c>
      <c r="O2090">
        <v>0</v>
      </c>
      <c r="P2090">
        <v>0.75396909857377281</v>
      </c>
      <c r="Q2090">
        <v>2.090460920698038</v>
      </c>
      <c r="R2090">
        <v>-1.995271400168561</v>
      </c>
      <c r="S2090">
        <v>0.238516803008616</v>
      </c>
      <c r="T2090">
        <v>0.18583787823843539</v>
      </c>
      <c r="U2090">
        <v>4.4934414866283836</v>
      </c>
      <c r="V2090">
        <v>0.19974535331345619</v>
      </c>
      <c r="W2090">
        <v>7.3980924270713686</v>
      </c>
      <c r="X2090">
        <v>0.48088581319357743</v>
      </c>
      <c r="Z2090" t="s">
        <v>392</v>
      </c>
      <c r="AA2090">
        <v>9400</v>
      </c>
      <c r="AB2090" t="s">
        <v>2481</v>
      </c>
      <c r="AC2090" t="str">
        <f>HYPERLINK("plots/3FT6Y578R01_012_S11P_20251111092011_M5358ACSH101811_RBGEUFRF26/dpll_52046/txpa_53239.png","plot")</f>
        <v>plot</v>
      </c>
    </row>
    <row r="2091" spans="1:29" x14ac:dyDescent="0.35">
      <c r="A2091" s="2" t="s">
        <v>48</v>
      </c>
      <c r="B2091">
        <v>52046</v>
      </c>
      <c r="C2091" t="s">
        <v>51</v>
      </c>
      <c r="D2091">
        <v>53240</v>
      </c>
      <c r="E2091" t="s">
        <v>115</v>
      </c>
      <c r="F2091">
        <v>12204</v>
      </c>
      <c r="G2091">
        <v>0.86846773181907366</v>
      </c>
      <c r="H2091">
        <v>0</v>
      </c>
      <c r="I2091">
        <v>0</v>
      </c>
      <c r="J2091">
        <v>0.75102921441741177</v>
      </c>
      <c r="K2091">
        <v>0</v>
      </c>
      <c r="L2091">
        <v>0</v>
      </c>
      <c r="M2091">
        <v>0.55850233770556423</v>
      </c>
      <c r="N2091">
        <v>0</v>
      </c>
      <c r="O2091">
        <v>0</v>
      </c>
      <c r="P2091">
        <v>0.75423620121096646</v>
      </c>
      <c r="Q2091">
        <v>2.1050120527213241</v>
      </c>
      <c r="R2091">
        <v>-2.0640473750029309</v>
      </c>
      <c r="S2091">
        <v>0.2401955144218402</v>
      </c>
      <c r="T2091">
        <v>0.18683600657559679</v>
      </c>
      <c r="U2091">
        <v>4.4930475962799079</v>
      </c>
      <c r="V2091">
        <v>0.19990461986160979</v>
      </c>
      <c r="W2091">
        <v>7.393871968616847</v>
      </c>
      <c r="X2091">
        <v>0.48453341302843927</v>
      </c>
      <c r="Z2091" t="s">
        <v>392</v>
      </c>
      <c r="AA2091">
        <v>9400</v>
      </c>
      <c r="AB2091" t="s">
        <v>2482</v>
      </c>
      <c r="AC2091" t="str">
        <f>HYPERLINK("plots/3FT6Y578R01_012_S11P_20251111092011_M5358ACSH101811_RBGEUFRF26/dpll_52046/txpa_53240.png","plot")</f>
        <v>plot</v>
      </c>
    </row>
    <row r="2092" spans="1:29" x14ac:dyDescent="0.35">
      <c r="A2092" s="2" t="s">
        <v>48</v>
      </c>
      <c r="B2092">
        <v>52046</v>
      </c>
      <c r="C2092" t="s">
        <v>51</v>
      </c>
      <c r="D2092">
        <v>53241</v>
      </c>
      <c r="E2092" t="s">
        <v>116</v>
      </c>
      <c r="F2092">
        <v>12186</v>
      </c>
      <c r="G2092">
        <v>0.86935803768780529</v>
      </c>
      <c r="H2092">
        <v>0</v>
      </c>
      <c r="I2092">
        <v>0</v>
      </c>
      <c r="J2092">
        <v>0.74679241661978513</v>
      </c>
      <c r="K2092">
        <v>0</v>
      </c>
      <c r="L2092">
        <v>0</v>
      </c>
      <c r="M2092">
        <v>0.55557126836461157</v>
      </c>
      <c r="N2092">
        <v>0</v>
      </c>
      <c r="O2092">
        <v>0</v>
      </c>
      <c r="P2092">
        <v>0.75578339769239145</v>
      </c>
      <c r="Q2092">
        <v>2.0910727467927268</v>
      </c>
      <c r="R2092">
        <v>-1.991397539400682</v>
      </c>
      <c r="S2092">
        <v>0.23730535210757919</v>
      </c>
      <c r="T2092">
        <v>0.18479263253124009</v>
      </c>
      <c r="U2092">
        <v>4.493613965616281</v>
      </c>
      <c r="V2092">
        <v>0.1996490706494006</v>
      </c>
      <c r="W2092">
        <v>7.4050761587067138</v>
      </c>
      <c r="X2092">
        <v>0.48021725509988211</v>
      </c>
      <c r="Z2092" t="s">
        <v>392</v>
      </c>
      <c r="AA2092">
        <v>9400</v>
      </c>
      <c r="AB2092" t="s">
        <v>2483</v>
      </c>
      <c r="AC2092" t="str">
        <f>HYPERLINK("plots/3FT6Y578R01_012_S11P_20251111092011_M5358ACSH101811_RBGEUFRF26/dpll_52046/txpa_53241.png","plot")</f>
        <v>plot</v>
      </c>
    </row>
    <row r="2093" spans="1:29" x14ac:dyDescent="0.35">
      <c r="A2093" s="2" t="s">
        <v>48</v>
      </c>
      <c r="B2093">
        <v>52046</v>
      </c>
      <c r="C2093" t="s">
        <v>51</v>
      </c>
      <c r="D2093">
        <v>53242</v>
      </c>
      <c r="E2093" t="s">
        <v>117</v>
      </c>
      <c r="F2093">
        <v>12177</v>
      </c>
      <c r="G2093">
        <v>0.86643283985405661</v>
      </c>
      <c r="H2093">
        <v>0</v>
      </c>
      <c r="I2093">
        <v>0</v>
      </c>
      <c r="J2093">
        <v>0.74178637555543681</v>
      </c>
      <c r="K2093">
        <v>0</v>
      </c>
      <c r="L2093">
        <v>0</v>
      </c>
      <c r="M2093">
        <v>0.55068611568519676</v>
      </c>
      <c r="N2093">
        <v>0</v>
      </c>
      <c r="O2093">
        <v>0</v>
      </c>
      <c r="P2093">
        <v>0.75070586597756528</v>
      </c>
      <c r="Q2093">
        <v>2.066029394163992</v>
      </c>
      <c r="R2093">
        <v>-1.897354932774447</v>
      </c>
      <c r="S2093">
        <v>0.23755846339865111</v>
      </c>
      <c r="T2093">
        <v>0.18529887662612701</v>
      </c>
      <c r="U2093">
        <v>4.4938518203991134</v>
      </c>
      <c r="V2093">
        <v>0.19954034539592869</v>
      </c>
      <c r="W2093">
        <v>7.387075021187484</v>
      </c>
      <c r="X2093">
        <v>0.47580862583540279</v>
      </c>
      <c r="Z2093" t="s">
        <v>392</v>
      </c>
      <c r="AA2093">
        <v>9400</v>
      </c>
      <c r="AB2093" t="s">
        <v>2484</v>
      </c>
      <c r="AC2093" t="str">
        <f>HYPERLINK("plots/3FT6Y578R01_012_S11P_20251111092011_M5358ACSH101811_RBGEUFRF26/dpll_52046/txpa_53242.png","plot")</f>
        <v>plot</v>
      </c>
    </row>
    <row r="2094" spans="1:29" x14ac:dyDescent="0.35">
      <c r="A2094" s="2" t="s">
        <v>48</v>
      </c>
      <c r="B2094">
        <v>52046</v>
      </c>
      <c r="C2094" t="s">
        <v>51</v>
      </c>
      <c r="D2094">
        <v>53243</v>
      </c>
      <c r="E2094" t="s">
        <v>118</v>
      </c>
      <c r="F2094">
        <v>12162</v>
      </c>
      <c r="G2094">
        <v>0.85801524471712776</v>
      </c>
      <c r="H2094">
        <v>0</v>
      </c>
      <c r="I2094">
        <v>0</v>
      </c>
      <c r="J2094">
        <v>0.73488104128267728</v>
      </c>
      <c r="K2094">
        <v>0</v>
      </c>
      <c r="L2094">
        <v>0</v>
      </c>
      <c r="M2094">
        <v>0.54243677863550099</v>
      </c>
      <c r="N2094">
        <v>0</v>
      </c>
      <c r="O2094">
        <v>0</v>
      </c>
      <c r="P2094">
        <v>0.73619016016699268</v>
      </c>
      <c r="Q2094">
        <v>2.1674792268151428</v>
      </c>
      <c r="R2094">
        <v>-1.4460415234923529</v>
      </c>
      <c r="S2094">
        <v>0.25877710541888582</v>
      </c>
      <c r="T2094">
        <v>0.19930448251401939</v>
      </c>
      <c r="U2094">
        <v>4.4941451563887522</v>
      </c>
      <c r="V2094">
        <v>0.1994519429015543</v>
      </c>
      <c r="W2094">
        <v>8.2949247452721586</v>
      </c>
      <c r="X2094">
        <v>0.50384645919614535</v>
      </c>
      <c r="Z2094" t="s">
        <v>392</v>
      </c>
      <c r="AA2094">
        <v>9400</v>
      </c>
      <c r="AB2094" t="s">
        <v>2485</v>
      </c>
      <c r="AC2094" t="str">
        <f>HYPERLINK("plots/3FT6Y578R01_012_S11P_20251111092011_M5358ACSH101811_RBGEUFRF26/dpll_52046/txpa_53243.png","plot")</f>
        <v>plot</v>
      </c>
    </row>
    <row r="2095" spans="1:29" x14ac:dyDescent="0.35">
      <c r="A2095" s="2" t="s">
        <v>48</v>
      </c>
      <c r="B2095">
        <v>52046</v>
      </c>
      <c r="C2095" t="s">
        <v>51</v>
      </c>
      <c r="D2095">
        <v>53244</v>
      </c>
      <c r="E2095" t="s">
        <v>119</v>
      </c>
      <c r="F2095">
        <v>12173</v>
      </c>
      <c r="G2095">
        <v>0.86519224047808008</v>
      </c>
      <c r="H2095">
        <v>0</v>
      </c>
      <c r="I2095">
        <v>0</v>
      </c>
      <c r="J2095">
        <v>0.7440132073036323</v>
      </c>
      <c r="K2095">
        <v>0</v>
      </c>
      <c r="L2095">
        <v>0</v>
      </c>
      <c r="M2095">
        <v>0.55232470946814916</v>
      </c>
      <c r="N2095">
        <v>0</v>
      </c>
      <c r="O2095">
        <v>0</v>
      </c>
      <c r="P2095">
        <v>0.74855761298347989</v>
      </c>
      <c r="Q2095">
        <v>2.1993534211766899</v>
      </c>
      <c r="R2095">
        <v>-1.5528073064685921</v>
      </c>
      <c r="S2095">
        <v>0.25436111850077792</v>
      </c>
      <c r="T2095">
        <v>0.19775272543628181</v>
      </c>
      <c r="U2095">
        <v>4.4938639159615539</v>
      </c>
      <c r="V2095">
        <v>0.1995569751655375</v>
      </c>
      <c r="W2095">
        <v>8.3307876714039271</v>
      </c>
      <c r="X2095">
        <v>0.50728184502380147</v>
      </c>
      <c r="Z2095" t="s">
        <v>392</v>
      </c>
      <c r="AA2095">
        <v>9400</v>
      </c>
      <c r="AB2095" t="s">
        <v>2486</v>
      </c>
      <c r="AC2095" t="str">
        <f>HYPERLINK("plots/3FT6Y578R01_012_S11P_20251111092011_M5358ACSH101811_RBGEUFRF26/dpll_52046/txpa_53244.png","plot")</f>
        <v>plot</v>
      </c>
    </row>
    <row r="2096" spans="1:29" x14ac:dyDescent="0.35">
      <c r="A2096" s="2" t="s">
        <v>48</v>
      </c>
      <c r="B2096">
        <v>52046</v>
      </c>
      <c r="C2096" t="s">
        <v>51</v>
      </c>
      <c r="D2096">
        <v>53245</v>
      </c>
      <c r="E2096" t="s">
        <v>120</v>
      </c>
      <c r="F2096">
        <v>12158</v>
      </c>
      <c r="G2096">
        <v>0.86511033536800153</v>
      </c>
      <c r="H2096">
        <v>0</v>
      </c>
      <c r="I2096">
        <v>0</v>
      </c>
      <c r="J2096">
        <v>0.73867116480249317</v>
      </c>
      <c r="K2096">
        <v>0</v>
      </c>
      <c r="L2096">
        <v>0</v>
      </c>
      <c r="M2096">
        <v>0.54714202411424284</v>
      </c>
      <c r="N2096">
        <v>0</v>
      </c>
      <c r="O2096">
        <v>0</v>
      </c>
      <c r="P2096">
        <v>0.74841589236053607</v>
      </c>
      <c r="Q2096">
        <v>2.1712713994642061</v>
      </c>
      <c r="R2096">
        <v>-1.4135827169088271</v>
      </c>
      <c r="S2096">
        <v>0.25086366705938928</v>
      </c>
      <c r="T2096">
        <v>0.1951774568705322</v>
      </c>
      <c r="U2096">
        <v>4.4943210178483302</v>
      </c>
      <c r="V2096">
        <v>0.199283533232713</v>
      </c>
      <c r="W2096">
        <v>8.3448079691561112</v>
      </c>
      <c r="X2096">
        <v>0.5001658382780767</v>
      </c>
      <c r="Z2096" t="s">
        <v>392</v>
      </c>
      <c r="AA2096">
        <v>9400</v>
      </c>
      <c r="AB2096" t="s">
        <v>2487</v>
      </c>
      <c r="AC2096" t="str">
        <f>HYPERLINK("plots/3FT6Y578R01_012_S11P_20251111092011_M5358ACSH101811_RBGEUFRF26/dpll_52046/txpa_53245.png","plot")</f>
        <v>plot</v>
      </c>
    </row>
    <row r="2097" spans="1:29" x14ac:dyDescent="0.35">
      <c r="A2097" s="2" t="s">
        <v>48</v>
      </c>
      <c r="B2097">
        <v>52046</v>
      </c>
      <c r="C2097" t="s">
        <v>51</v>
      </c>
      <c r="D2097">
        <v>53246</v>
      </c>
      <c r="E2097" t="s">
        <v>121</v>
      </c>
      <c r="F2097">
        <v>12183</v>
      </c>
      <c r="G2097">
        <v>0.8692938120903807</v>
      </c>
      <c r="H2097">
        <v>0</v>
      </c>
      <c r="I2097">
        <v>0</v>
      </c>
      <c r="J2097">
        <v>0.74733456742076587</v>
      </c>
      <c r="K2097">
        <v>0</v>
      </c>
      <c r="L2097">
        <v>0</v>
      </c>
      <c r="M2097">
        <v>0.55555819610771873</v>
      </c>
      <c r="N2097">
        <v>0</v>
      </c>
      <c r="O2097">
        <v>0</v>
      </c>
      <c r="P2097">
        <v>0.75567173173862612</v>
      </c>
      <c r="Q2097">
        <v>2.2066576466708989</v>
      </c>
      <c r="R2097">
        <v>-1.5534575572361811</v>
      </c>
      <c r="S2097">
        <v>0.25050735849361488</v>
      </c>
      <c r="T2097">
        <v>0.1950921056100744</v>
      </c>
      <c r="U2097">
        <v>4.4936566642863003</v>
      </c>
      <c r="V2097">
        <v>0.19965632930713059</v>
      </c>
      <c r="W2097">
        <v>8.3625042825248297</v>
      </c>
      <c r="X2097">
        <v>0.50681732648295508</v>
      </c>
      <c r="Z2097" t="s">
        <v>392</v>
      </c>
      <c r="AA2097">
        <v>9400</v>
      </c>
      <c r="AB2097" t="s">
        <v>2488</v>
      </c>
      <c r="AC2097" t="str">
        <f>HYPERLINK("plots/3FT6Y578R01_012_S11P_20251111092011_M5358ACSH101811_RBGEUFRF26/dpll_52046/txpa_53246.png","plot")</f>
        <v>plot</v>
      </c>
    </row>
    <row r="2098" spans="1:29" x14ac:dyDescent="0.35">
      <c r="A2098" s="2" t="s">
        <v>48</v>
      </c>
      <c r="B2098">
        <v>52046</v>
      </c>
      <c r="C2098" t="s">
        <v>51</v>
      </c>
      <c r="D2098">
        <v>53247</v>
      </c>
      <c r="E2098" t="s">
        <v>122</v>
      </c>
      <c r="F2098">
        <v>12170</v>
      </c>
      <c r="G2098">
        <v>0.87041997178854802</v>
      </c>
      <c r="H2098">
        <v>0</v>
      </c>
      <c r="I2098">
        <v>0</v>
      </c>
      <c r="J2098">
        <v>0.74606049244306805</v>
      </c>
      <c r="K2098">
        <v>0</v>
      </c>
      <c r="L2098">
        <v>0</v>
      </c>
      <c r="M2098">
        <v>0.5541651392419561</v>
      </c>
      <c r="N2098">
        <v>0</v>
      </c>
      <c r="O2098">
        <v>0</v>
      </c>
      <c r="P2098">
        <v>0.75763092728837678</v>
      </c>
      <c r="Q2098">
        <v>2.2128957644669351</v>
      </c>
      <c r="R2098">
        <v>-1.6076774251365791</v>
      </c>
      <c r="S2098">
        <v>0.24973275784450311</v>
      </c>
      <c r="T2098">
        <v>0.19562253159694751</v>
      </c>
      <c r="U2098">
        <v>4.4939165676253081</v>
      </c>
      <c r="V2098">
        <v>0.19953663590064041</v>
      </c>
      <c r="W2098">
        <v>8.3368915132292525</v>
      </c>
      <c r="X2098">
        <v>0.50728819506886869</v>
      </c>
      <c r="Z2098" t="s">
        <v>392</v>
      </c>
      <c r="AA2098">
        <v>9400</v>
      </c>
      <c r="AB2098" t="s">
        <v>2489</v>
      </c>
      <c r="AC2098" t="str">
        <f>HYPERLINK("plots/3FT6Y578R01_012_S11P_20251111092011_M5358ACSH101811_RBGEUFRF26/dpll_52046/txpa_53247.png","plot")</f>
        <v>plot</v>
      </c>
    </row>
    <row r="2099" spans="1:29" x14ac:dyDescent="0.35">
      <c r="A2099" s="2" t="s">
        <v>48</v>
      </c>
      <c r="B2099">
        <v>52046</v>
      </c>
      <c r="C2099" t="s">
        <v>51</v>
      </c>
      <c r="D2099">
        <v>53248</v>
      </c>
      <c r="E2099" t="s">
        <v>123</v>
      </c>
      <c r="F2099">
        <v>12180</v>
      </c>
      <c r="G2099">
        <v>0.8702269712458478</v>
      </c>
      <c r="H2099">
        <v>0</v>
      </c>
      <c r="I2099">
        <v>0</v>
      </c>
      <c r="J2099">
        <v>0.74951422449757354</v>
      </c>
      <c r="K2099">
        <v>0</v>
      </c>
      <c r="L2099">
        <v>0</v>
      </c>
      <c r="M2099">
        <v>0.5576760062447369</v>
      </c>
      <c r="N2099">
        <v>0</v>
      </c>
      <c r="O2099">
        <v>0</v>
      </c>
      <c r="P2099">
        <v>0.75729498148372165</v>
      </c>
      <c r="Q2099">
        <v>2.2236646412473702</v>
      </c>
      <c r="R2099">
        <v>-1.658523527431111</v>
      </c>
      <c r="S2099">
        <v>0.25116232312669062</v>
      </c>
      <c r="T2099">
        <v>0.19628311849285729</v>
      </c>
      <c r="U2099">
        <v>4.4937585026272577</v>
      </c>
      <c r="V2099">
        <v>0.19952448160265951</v>
      </c>
      <c r="W2099">
        <v>8.3340883611658469</v>
      </c>
      <c r="X2099">
        <v>0.50983886901122311</v>
      </c>
      <c r="Z2099" t="s">
        <v>392</v>
      </c>
      <c r="AA2099">
        <v>9400</v>
      </c>
      <c r="AB2099" t="s">
        <v>2490</v>
      </c>
      <c r="AC2099" t="str">
        <f>HYPERLINK("plots/3FT6Y578R01_012_S11P_20251111092011_M5358ACSH101811_RBGEUFRF26/dpll_52046/txpa_53248.png","plot")</f>
        <v>plot</v>
      </c>
    </row>
    <row r="2100" spans="1:29" x14ac:dyDescent="0.35">
      <c r="A2100" s="2" t="s">
        <v>48</v>
      </c>
      <c r="B2100">
        <v>52046</v>
      </c>
      <c r="C2100" t="s">
        <v>51</v>
      </c>
      <c r="D2100">
        <v>53249</v>
      </c>
      <c r="E2100" t="s">
        <v>124</v>
      </c>
      <c r="F2100">
        <v>12155</v>
      </c>
      <c r="G2100">
        <v>0.87113456233540665</v>
      </c>
      <c r="H2100">
        <v>0</v>
      </c>
      <c r="I2100">
        <v>0</v>
      </c>
      <c r="J2100">
        <v>0.74489164340626368</v>
      </c>
      <c r="K2100">
        <v>0</v>
      </c>
      <c r="L2100">
        <v>0</v>
      </c>
      <c r="M2100">
        <v>0.55453592298248477</v>
      </c>
      <c r="N2100">
        <v>0</v>
      </c>
      <c r="O2100">
        <v>0</v>
      </c>
      <c r="P2100">
        <v>0.75887542569530053</v>
      </c>
      <c r="Q2100">
        <v>2.205725326062101</v>
      </c>
      <c r="R2100">
        <v>-1.567221276486684</v>
      </c>
      <c r="S2100">
        <v>0.2476010854946365</v>
      </c>
      <c r="T2100">
        <v>0.1939723877616242</v>
      </c>
      <c r="U2100">
        <v>4.4944695763060469</v>
      </c>
      <c r="V2100">
        <v>0.19915145693031891</v>
      </c>
      <c r="W2100">
        <v>8.346344095187165</v>
      </c>
      <c r="X2100">
        <v>0.50425437270647511</v>
      </c>
      <c r="Z2100" t="s">
        <v>392</v>
      </c>
      <c r="AA2100">
        <v>9400</v>
      </c>
      <c r="AB2100" t="s">
        <v>2491</v>
      </c>
      <c r="AC2100" t="str">
        <f>HYPERLINK("plots/3FT6Y578R01_012_S11P_20251111092011_M5358ACSH101811_RBGEUFRF26/dpll_52046/txpa_53249.png","plot")</f>
        <v>plot</v>
      </c>
    </row>
    <row r="2101" spans="1:29" x14ac:dyDescent="0.35">
      <c r="A2101" s="2" t="s">
        <v>48</v>
      </c>
      <c r="B2101">
        <v>52046</v>
      </c>
      <c r="C2101" t="s">
        <v>51</v>
      </c>
      <c r="D2101">
        <v>53250</v>
      </c>
      <c r="E2101" t="s">
        <v>125</v>
      </c>
      <c r="F2101">
        <v>12164</v>
      </c>
      <c r="G2101">
        <v>0.86734068546952603</v>
      </c>
      <c r="H2101">
        <v>0</v>
      </c>
      <c r="I2101">
        <v>0</v>
      </c>
      <c r="J2101">
        <v>0.74111825605474946</v>
      </c>
      <c r="K2101">
        <v>0</v>
      </c>
      <c r="L2101">
        <v>0</v>
      </c>
      <c r="M2101">
        <v>0.5504323933729901</v>
      </c>
      <c r="N2101">
        <v>0</v>
      </c>
      <c r="O2101">
        <v>0</v>
      </c>
      <c r="P2101">
        <v>0.75227986467074726</v>
      </c>
      <c r="Q2101">
        <v>2.1898631866905491</v>
      </c>
      <c r="R2101">
        <v>-1.516399740063761</v>
      </c>
      <c r="S2101">
        <v>0.2504323341742189</v>
      </c>
      <c r="T2101">
        <v>0.19562195671170921</v>
      </c>
      <c r="U2101">
        <v>4.4942315015619858</v>
      </c>
      <c r="V2101">
        <v>0.19929680459071619</v>
      </c>
      <c r="W2101">
        <v>8.3253523776718179</v>
      </c>
      <c r="X2101">
        <v>0.50318489944007527</v>
      </c>
      <c r="Z2101" t="s">
        <v>392</v>
      </c>
      <c r="AA2101">
        <v>9400</v>
      </c>
      <c r="AB2101" t="s">
        <v>2492</v>
      </c>
      <c r="AC2101" t="str">
        <f>HYPERLINK("plots/3FT6Y578R01_012_S11P_20251111092011_M5358ACSH101811_RBGEUFRF26/dpll_52046/txpa_53250.png","plot")</f>
        <v>plot</v>
      </c>
    </row>
    <row r="2102" spans="1:29" x14ac:dyDescent="0.35">
      <c r="A2102" s="2" t="s">
        <v>48</v>
      </c>
      <c r="B2102">
        <v>52046</v>
      </c>
      <c r="C2102" t="s">
        <v>51</v>
      </c>
      <c r="D2102">
        <v>53251</v>
      </c>
      <c r="E2102" t="s">
        <v>126</v>
      </c>
      <c r="F2102">
        <v>12131</v>
      </c>
      <c r="G2102">
        <v>0.86019566720525942</v>
      </c>
      <c r="H2102">
        <v>0</v>
      </c>
      <c r="I2102">
        <v>0</v>
      </c>
      <c r="J2102">
        <v>0.73354519254067252</v>
      </c>
      <c r="K2102">
        <v>0</v>
      </c>
      <c r="L2102">
        <v>0</v>
      </c>
      <c r="M2102">
        <v>0.54185150528863935</v>
      </c>
      <c r="N2102">
        <v>0</v>
      </c>
      <c r="O2102">
        <v>0</v>
      </c>
      <c r="P2102">
        <v>0.73993658587870137</v>
      </c>
      <c r="Q2102">
        <v>2.3107280426256618</v>
      </c>
      <c r="R2102">
        <v>-1.1506714684915651</v>
      </c>
      <c r="S2102">
        <v>0.27250061020394029</v>
      </c>
      <c r="T2102">
        <v>0.211013209102699</v>
      </c>
      <c r="U2102">
        <v>4.4950171473085483</v>
      </c>
      <c r="V2102">
        <v>0.19892719827273919</v>
      </c>
      <c r="W2102">
        <v>9.236090705877503</v>
      </c>
      <c r="X2102">
        <v>0.53437453013825531</v>
      </c>
      <c r="Z2102" t="s">
        <v>392</v>
      </c>
      <c r="AA2102">
        <v>9400</v>
      </c>
      <c r="AB2102" t="s">
        <v>2493</v>
      </c>
      <c r="AC2102" t="str">
        <f>HYPERLINK("plots/3FT6Y578R01_012_S11P_20251111092011_M5358ACSH101811_RBGEUFRF26/dpll_52046/txpa_53251.png","plot")</f>
        <v>plot</v>
      </c>
    </row>
    <row r="2103" spans="1:29" x14ac:dyDescent="0.35">
      <c r="A2103" s="2" t="s">
        <v>48</v>
      </c>
      <c r="B2103">
        <v>52046</v>
      </c>
      <c r="C2103" t="s">
        <v>51</v>
      </c>
      <c r="D2103">
        <v>53252</v>
      </c>
      <c r="E2103" t="s">
        <v>127</v>
      </c>
      <c r="F2103">
        <v>12142</v>
      </c>
      <c r="G2103">
        <v>0.8676330862581747</v>
      </c>
      <c r="H2103">
        <v>0</v>
      </c>
      <c r="I2103">
        <v>0</v>
      </c>
      <c r="J2103">
        <v>0.74243036828697717</v>
      </c>
      <c r="K2103">
        <v>0</v>
      </c>
      <c r="L2103">
        <v>0</v>
      </c>
      <c r="M2103">
        <v>0.55154338281017279</v>
      </c>
      <c r="N2103">
        <v>0</v>
      </c>
      <c r="O2103">
        <v>0</v>
      </c>
      <c r="P2103">
        <v>0.75278717236988524</v>
      </c>
      <c r="Q2103">
        <v>2.3441463179467541</v>
      </c>
      <c r="R2103">
        <v>-1.2642879706702439</v>
      </c>
      <c r="S2103">
        <v>0.26745996083421669</v>
      </c>
      <c r="T2103">
        <v>0.20940362556018141</v>
      </c>
      <c r="U2103">
        <v>4.4946815544391363</v>
      </c>
      <c r="V2103">
        <v>0.1991097601327334</v>
      </c>
      <c r="W2103">
        <v>9.2719032455114476</v>
      </c>
      <c r="X2103">
        <v>0.53794906911090667</v>
      </c>
      <c r="Z2103" t="s">
        <v>392</v>
      </c>
      <c r="AA2103">
        <v>9400</v>
      </c>
      <c r="AB2103" t="s">
        <v>2494</v>
      </c>
      <c r="AC2103" t="str">
        <f>HYPERLINK("plots/3FT6Y578R01_012_S11P_20251111092011_M5358ACSH101811_RBGEUFRF26/dpll_52046/txpa_53252.png","plot")</f>
        <v>plot</v>
      </c>
    </row>
    <row r="2104" spans="1:29" x14ac:dyDescent="0.35">
      <c r="A2104" s="2" t="s">
        <v>48</v>
      </c>
      <c r="B2104">
        <v>52046</v>
      </c>
      <c r="C2104" t="s">
        <v>51</v>
      </c>
      <c r="D2104">
        <v>53253</v>
      </c>
      <c r="E2104" t="s">
        <v>128</v>
      </c>
      <c r="F2104">
        <v>12128</v>
      </c>
      <c r="G2104">
        <v>0.86726729428871263</v>
      </c>
      <c r="H2104">
        <v>0</v>
      </c>
      <c r="I2104">
        <v>0</v>
      </c>
      <c r="J2104">
        <v>0.73727130617507897</v>
      </c>
      <c r="K2104">
        <v>0</v>
      </c>
      <c r="L2104">
        <v>0</v>
      </c>
      <c r="M2104">
        <v>0.5465536823847873</v>
      </c>
      <c r="N2104">
        <v>0</v>
      </c>
      <c r="O2104">
        <v>0</v>
      </c>
      <c r="P2104">
        <v>0.75215255974286443</v>
      </c>
      <c r="Q2104">
        <v>2.3164011811734748</v>
      </c>
      <c r="R2104">
        <v>-1.1265430415849771</v>
      </c>
      <c r="S2104">
        <v>0.26433827624626188</v>
      </c>
      <c r="T2104">
        <v>0.2069354467396344</v>
      </c>
      <c r="U2104">
        <v>4.495146858014512</v>
      </c>
      <c r="V2104">
        <v>0.1988039143736364</v>
      </c>
      <c r="W2104">
        <v>9.2860204498680741</v>
      </c>
      <c r="X2104">
        <v>0.53098926375943645</v>
      </c>
      <c r="Z2104" t="s">
        <v>392</v>
      </c>
      <c r="AA2104">
        <v>9400</v>
      </c>
      <c r="AB2104" t="s">
        <v>2495</v>
      </c>
      <c r="AC2104" t="str">
        <f>HYPERLINK("plots/3FT6Y578R01_012_S11P_20251111092011_M5358ACSH101811_RBGEUFRF26/dpll_52046/txpa_53253.png","plot")</f>
        <v>plot</v>
      </c>
    </row>
    <row r="2105" spans="1:29" x14ac:dyDescent="0.35">
      <c r="A2105" s="2" t="s">
        <v>48</v>
      </c>
      <c r="B2105">
        <v>52046</v>
      </c>
      <c r="C2105" t="s">
        <v>51</v>
      </c>
      <c r="D2105">
        <v>53254</v>
      </c>
      <c r="E2105" t="s">
        <v>129</v>
      </c>
      <c r="F2105">
        <v>12150</v>
      </c>
      <c r="G2105">
        <v>0.87181751862360601</v>
      </c>
      <c r="H2105">
        <v>0</v>
      </c>
      <c r="I2105">
        <v>0</v>
      </c>
      <c r="J2105">
        <v>0.74541647920662624</v>
      </c>
      <c r="K2105">
        <v>0</v>
      </c>
      <c r="L2105">
        <v>0</v>
      </c>
      <c r="M2105">
        <v>0.55451620969029269</v>
      </c>
      <c r="N2105">
        <v>0</v>
      </c>
      <c r="O2105">
        <v>0</v>
      </c>
      <c r="P2105">
        <v>0.76006578577902162</v>
      </c>
      <c r="Q2105">
        <v>2.351997491140227</v>
      </c>
      <c r="R2105">
        <v>-1.2669239955846989</v>
      </c>
      <c r="S2105">
        <v>0.26323281019028277</v>
      </c>
      <c r="T2105">
        <v>0.2066919973723767</v>
      </c>
      <c r="U2105">
        <v>4.4945089353909466</v>
      </c>
      <c r="V2105">
        <v>0.19920513975093801</v>
      </c>
      <c r="W2105">
        <v>9.3041497443621388</v>
      </c>
      <c r="X2105">
        <v>0.53741749724889998</v>
      </c>
      <c r="Z2105" t="s">
        <v>392</v>
      </c>
      <c r="AA2105">
        <v>9400</v>
      </c>
      <c r="AB2105" t="s">
        <v>2496</v>
      </c>
      <c r="AC2105" t="str">
        <f>HYPERLINK("plots/3FT6Y578R01_012_S11P_20251111092011_M5358ACSH101811_RBGEUFRF26/dpll_52046/txpa_53254.png","plot")</f>
        <v>plot</v>
      </c>
    </row>
    <row r="2106" spans="1:29" x14ac:dyDescent="0.35">
      <c r="A2106" s="2" t="s">
        <v>48</v>
      </c>
      <c r="B2106">
        <v>52046</v>
      </c>
      <c r="C2106" t="s">
        <v>51</v>
      </c>
      <c r="D2106">
        <v>53255</v>
      </c>
      <c r="E2106" t="s">
        <v>130</v>
      </c>
      <c r="F2106">
        <v>12131</v>
      </c>
      <c r="G2106">
        <v>0.87228125018586855</v>
      </c>
      <c r="H2106">
        <v>0</v>
      </c>
      <c r="I2106">
        <v>0</v>
      </c>
      <c r="J2106">
        <v>0.74354243161510414</v>
      </c>
      <c r="K2106">
        <v>0</v>
      </c>
      <c r="L2106">
        <v>0</v>
      </c>
      <c r="M2106">
        <v>0.55258519512743709</v>
      </c>
      <c r="N2106">
        <v>0</v>
      </c>
      <c r="O2106">
        <v>0</v>
      </c>
      <c r="P2106">
        <v>0.76087457942582182</v>
      </c>
      <c r="Q2106">
        <v>2.3535085025612572</v>
      </c>
      <c r="R2106">
        <v>-1.3007089546649291</v>
      </c>
      <c r="S2106">
        <v>0.26238288615695737</v>
      </c>
      <c r="T2106">
        <v>0.2069673983895795</v>
      </c>
      <c r="U2106">
        <v>4.495009742230649</v>
      </c>
      <c r="V2106">
        <v>0.19887550622299791</v>
      </c>
      <c r="W2106">
        <v>9.2783346927705868</v>
      </c>
      <c r="X2106">
        <v>0.53658747651318284</v>
      </c>
      <c r="Z2106" t="s">
        <v>392</v>
      </c>
      <c r="AA2106">
        <v>9400</v>
      </c>
      <c r="AB2106" t="s">
        <v>2497</v>
      </c>
      <c r="AC2106" t="str">
        <f>HYPERLINK("plots/3FT6Y578R01_012_S11P_20251111092011_M5358ACSH101811_RBGEUFRF26/dpll_52046/txpa_53255.png","plot")</f>
        <v>plot</v>
      </c>
    </row>
    <row r="2107" spans="1:29" x14ac:dyDescent="0.35">
      <c r="A2107" s="2" t="s">
        <v>48</v>
      </c>
      <c r="B2107">
        <v>52046</v>
      </c>
      <c r="C2107" t="s">
        <v>51</v>
      </c>
      <c r="D2107">
        <v>53256</v>
      </c>
      <c r="E2107" t="s">
        <v>131</v>
      </c>
      <c r="F2107">
        <v>12147</v>
      </c>
      <c r="G2107">
        <v>0.87264882990253601</v>
      </c>
      <c r="H2107">
        <v>0</v>
      </c>
      <c r="I2107">
        <v>0</v>
      </c>
      <c r="J2107">
        <v>0.74752448444754438</v>
      </c>
      <c r="K2107">
        <v>0</v>
      </c>
      <c r="L2107">
        <v>0</v>
      </c>
      <c r="M2107">
        <v>0.55660876296573414</v>
      </c>
      <c r="N2107">
        <v>0</v>
      </c>
      <c r="O2107">
        <v>0</v>
      </c>
      <c r="P2107">
        <v>0.76151598033026524</v>
      </c>
      <c r="Q2107">
        <v>2.3687704191508701</v>
      </c>
      <c r="R2107">
        <v>-1.371515436499793</v>
      </c>
      <c r="S2107">
        <v>0.26387474633839969</v>
      </c>
      <c r="T2107">
        <v>0.20771244971792879</v>
      </c>
      <c r="U2107">
        <v>4.4946094439779367</v>
      </c>
      <c r="V2107">
        <v>0.1990685276275575</v>
      </c>
      <c r="W2107">
        <v>9.2751824600312833</v>
      </c>
      <c r="X2107">
        <v>0.5403635729171169</v>
      </c>
      <c r="Z2107" t="s">
        <v>392</v>
      </c>
      <c r="AA2107">
        <v>9400</v>
      </c>
      <c r="AB2107" t="s">
        <v>2498</v>
      </c>
      <c r="AC2107" t="str">
        <f>HYPERLINK("plots/3FT6Y578R01_012_S11P_20251111092011_M5358ACSH101811_RBGEUFRF26/dpll_52046/txpa_53256.png","plot")</f>
        <v>plot</v>
      </c>
    </row>
    <row r="2108" spans="1:29" x14ac:dyDescent="0.35">
      <c r="A2108" s="2" t="s">
        <v>48</v>
      </c>
      <c r="B2108">
        <v>52046</v>
      </c>
      <c r="C2108" t="s">
        <v>51</v>
      </c>
      <c r="D2108">
        <v>53257</v>
      </c>
      <c r="E2108" t="s">
        <v>132</v>
      </c>
      <c r="F2108">
        <v>12116</v>
      </c>
      <c r="G2108">
        <v>0.87304913610318491</v>
      </c>
      <c r="H2108">
        <v>0</v>
      </c>
      <c r="I2108">
        <v>0</v>
      </c>
      <c r="J2108">
        <v>0.74250227809243619</v>
      </c>
      <c r="K2108">
        <v>0</v>
      </c>
      <c r="L2108">
        <v>0</v>
      </c>
      <c r="M2108">
        <v>0.5531772261002561</v>
      </c>
      <c r="N2108">
        <v>0</v>
      </c>
      <c r="O2108">
        <v>0</v>
      </c>
      <c r="P2108">
        <v>0.76221479405051751</v>
      </c>
      <c r="Q2108">
        <v>2.3463155241288352</v>
      </c>
      <c r="R2108">
        <v>-1.259143836650743</v>
      </c>
      <c r="S2108">
        <v>0.26014674757883183</v>
      </c>
      <c r="T2108">
        <v>0.20537492753845371</v>
      </c>
      <c r="U2108">
        <v>4.4955475186530212</v>
      </c>
      <c r="V2108">
        <v>0.19851630408117679</v>
      </c>
      <c r="W2108">
        <v>9.2888290958237043</v>
      </c>
      <c r="X2108">
        <v>0.5335116510593455</v>
      </c>
      <c r="Z2108" t="s">
        <v>392</v>
      </c>
      <c r="AA2108">
        <v>9400</v>
      </c>
      <c r="AB2108" t="s">
        <v>2499</v>
      </c>
      <c r="AC2108" t="str">
        <f>HYPERLINK("plots/3FT6Y578R01_012_S11P_20251111092011_M5358ACSH101811_RBGEUFRF26/dpll_52046/txpa_53257.png","plot")</f>
        <v>plot</v>
      </c>
    </row>
    <row r="2109" spans="1:29" x14ac:dyDescent="0.35">
      <c r="A2109" s="2" t="s">
        <v>48</v>
      </c>
      <c r="B2109">
        <v>52046</v>
      </c>
      <c r="C2109" t="s">
        <v>51</v>
      </c>
      <c r="D2109">
        <v>53258</v>
      </c>
      <c r="E2109" t="s">
        <v>133</v>
      </c>
      <c r="F2109">
        <v>12137</v>
      </c>
      <c r="G2109">
        <v>0.86889086128620752</v>
      </c>
      <c r="H2109">
        <v>0</v>
      </c>
      <c r="I2109">
        <v>0</v>
      </c>
      <c r="J2109">
        <v>0.73933253232241147</v>
      </c>
      <c r="K2109">
        <v>0</v>
      </c>
      <c r="L2109">
        <v>0</v>
      </c>
      <c r="M2109">
        <v>0.54934851923168626</v>
      </c>
      <c r="N2109">
        <v>0</v>
      </c>
      <c r="O2109">
        <v>0</v>
      </c>
      <c r="P2109">
        <v>0.75497132882668749</v>
      </c>
      <c r="Q2109">
        <v>2.338037992056007</v>
      </c>
      <c r="R2109">
        <v>-1.243298717375191</v>
      </c>
      <c r="S2109">
        <v>0.26484589600031888</v>
      </c>
      <c r="T2109">
        <v>0.20787826926349001</v>
      </c>
      <c r="U2109">
        <v>4.4949737107192878</v>
      </c>
      <c r="V2109">
        <v>0.19884576816904001</v>
      </c>
      <c r="W2109">
        <v>9.2661205915794689</v>
      </c>
      <c r="X2109">
        <v>0.53506024893687776</v>
      </c>
      <c r="Z2109" t="s">
        <v>392</v>
      </c>
      <c r="AA2109">
        <v>9400</v>
      </c>
      <c r="AB2109" t="s">
        <v>2500</v>
      </c>
      <c r="AC2109" t="str">
        <f>HYPERLINK("plots/3FT6Y578R01_012_S11P_20251111092011_M5358ACSH101811_RBGEUFRF26/dpll_52046/txpa_53258.png","plot")</f>
        <v>plot</v>
      </c>
    </row>
    <row r="2110" spans="1:29" x14ac:dyDescent="0.35">
      <c r="A2110" s="2" t="s">
        <v>48</v>
      </c>
      <c r="B2110">
        <v>52046</v>
      </c>
      <c r="C2110" t="s">
        <v>51</v>
      </c>
      <c r="D2110">
        <v>53259</v>
      </c>
      <c r="E2110" t="s">
        <v>134</v>
      </c>
      <c r="F2110">
        <v>12114</v>
      </c>
      <c r="G2110">
        <v>0.8611647770779346</v>
      </c>
      <c r="H2110">
        <v>0</v>
      </c>
      <c r="I2110">
        <v>0</v>
      </c>
      <c r="J2110">
        <v>0.73212594691527988</v>
      </c>
      <c r="K2110">
        <v>0</v>
      </c>
      <c r="L2110">
        <v>0</v>
      </c>
      <c r="M2110">
        <v>0.54096402598558113</v>
      </c>
      <c r="N2110">
        <v>0</v>
      </c>
      <c r="O2110">
        <v>0</v>
      </c>
      <c r="P2110">
        <v>0.74160477327968877</v>
      </c>
      <c r="Q2110">
        <v>2.3943698061553129</v>
      </c>
      <c r="R2110">
        <v>-1.0746784579606969</v>
      </c>
      <c r="S2110">
        <v>0.28081325665918161</v>
      </c>
      <c r="T2110">
        <v>0.21819193972938761</v>
      </c>
      <c r="U2110">
        <v>4.4954614798580153</v>
      </c>
      <c r="V2110">
        <v>0.19869563192285489</v>
      </c>
      <c r="W2110">
        <v>9.6891187741456175</v>
      </c>
      <c r="X2110">
        <v>0.55245039550424913</v>
      </c>
      <c r="Z2110" t="s">
        <v>392</v>
      </c>
      <c r="AA2110">
        <v>9400</v>
      </c>
      <c r="AB2110" t="s">
        <v>2501</v>
      </c>
      <c r="AC2110" t="str">
        <f>HYPERLINK("plots/3FT6Y578R01_012_S11P_20251111092011_M5358ACSH101811_RBGEUFRF26/dpll_52046/txpa_53259.png","plot")</f>
        <v>plot</v>
      </c>
    </row>
    <row r="2111" spans="1:29" x14ac:dyDescent="0.35">
      <c r="A2111" s="2" t="s">
        <v>48</v>
      </c>
      <c r="B2111">
        <v>52046</v>
      </c>
      <c r="C2111" t="s">
        <v>51</v>
      </c>
      <c r="D2111">
        <v>53260</v>
      </c>
      <c r="E2111" t="s">
        <v>135</v>
      </c>
      <c r="F2111">
        <v>12130</v>
      </c>
      <c r="G2111">
        <v>0.86811555471858326</v>
      </c>
      <c r="H2111">
        <v>0</v>
      </c>
      <c r="I2111">
        <v>0</v>
      </c>
      <c r="J2111">
        <v>0.7409625227832618</v>
      </c>
      <c r="K2111">
        <v>0</v>
      </c>
      <c r="L2111">
        <v>0</v>
      </c>
      <c r="M2111">
        <v>0.55049732950744912</v>
      </c>
      <c r="N2111">
        <v>0</v>
      </c>
      <c r="O2111">
        <v>0</v>
      </c>
      <c r="P2111">
        <v>0.75362461634435352</v>
      </c>
      <c r="Q2111">
        <v>2.4313559760648742</v>
      </c>
      <c r="R2111">
        <v>-1.204542820799746</v>
      </c>
      <c r="S2111">
        <v>0.27652854603452198</v>
      </c>
      <c r="T2111">
        <v>0.2169872251339863</v>
      </c>
      <c r="U2111">
        <v>4.4950075929101398</v>
      </c>
      <c r="V2111">
        <v>0.19892446783292661</v>
      </c>
      <c r="W2111">
        <v>9.7244207526793076</v>
      </c>
      <c r="X2111">
        <v>0.55713342656081954</v>
      </c>
      <c r="Z2111" t="s">
        <v>392</v>
      </c>
      <c r="AA2111">
        <v>9400</v>
      </c>
      <c r="AB2111" t="s">
        <v>2502</v>
      </c>
      <c r="AC2111" t="str">
        <f>HYPERLINK("plots/3FT6Y578R01_012_S11P_20251111092011_M5358ACSH101811_RBGEUFRF26/dpll_52046/txpa_53260.png","plot")</f>
        <v>plot</v>
      </c>
    </row>
    <row r="2112" spans="1:29" x14ac:dyDescent="0.35">
      <c r="A2112" s="2" t="s">
        <v>48</v>
      </c>
      <c r="B2112">
        <v>52046</v>
      </c>
      <c r="C2112" t="s">
        <v>51</v>
      </c>
      <c r="D2112">
        <v>53261</v>
      </c>
      <c r="E2112" t="s">
        <v>136</v>
      </c>
      <c r="F2112">
        <v>12112</v>
      </c>
      <c r="G2112">
        <v>0.86776753119675998</v>
      </c>
      <c r="H2112">
        <v>0</v>
      </c>
      <c r="I2112">
        <v>0</v>
      </c>
      <c r="J2112">
        <v>0.7357110814009693</v>
      </c>
      <c r="K2112">
        <v>0</v>
      </c>
      <c r="L2112">
        <v>0</v>
      </c>
      <c r="M2112">
        <v>0.54545283494831132</v>
      </c>
      <c r="N2112">
        <v>0</v>
      </c>
      <c r="O2112">
        <v>0</v>
      </c>
      <c r="P2112">
        <v>0.75302048819931977</v>
      </c>
      <c r="Q2112">
        <v>2.4010394040719341</v>
      </c>
      <c r="R2112">
        <v>-1.054885613954893</v>
      </c>
      <c r="S2112">
        <v>0.27299842261805157</v>
      </c>
      <c r="T2112">
        <v>0.21431804597116161</v>
      </c>
      <c r="U2112">
        <v>4.4955942679986789</v>
      </c>
      <c r="V2112">
        <v>0.19854168880631029</v>
      </c>
      <c r="W2112">
        <v>9.739213368229855</v>
      </c>
      <c r="X2112">
        <v>0.54934806965812688</v>
      </c>
      <c r="Z2112" t="s">
        <v>392</v>
      </c>
      <c r="AA2112">
        <v>9400</v>
      </c>
      <c r="AB2112" t="s">
        <v>2503</v>
      </c>
      <c r="AC2112" t="str">
        <f>HYPERLINK("plots/3FT6Y578R01_012_S11P_20251111092011_M5358ACSH101811_RBGEUFRF26/dpll_52046/txpa_53261.png","plot")</f>
        <v>plot</v>
      </c>
    </row>
    <row r="2113" spans="1:29" x14ac:dyDescent="0.35">
      <c r="A2113" s="2" t="s">
        <v>48</v>
      </c>
      <c r="B2113">
        <v>52046</v>
      </c>
      <c r="C2113" t="s">
        <v>51</v>
      </c>
      <c r="D2113">
        <v>53262</v>
      </c>
      <c r="E2113" t="s">
        <v>137</v>
      </c>
      <c r="F2113">
        <v>12133</v>
      </c>
      <c r="G2113">
        <v>0.87183988836395587</v>
      </c>
      <c r="H2113">
        <v>0</v>
      </c>
      <c r="I2113">
        <v>0</v>
      </c>
      <c r="J2113">
        <v>0.74354033179860912</v>
      </c>
      <c r="K2113">
        <v>0</v>
      </c>
      <c r="L2113">
        <v>0</v>
      </c>
      <c r="M2113">
        <v>0.5531096989197295</v>
      </c>
      <c r="N2113">
        <v>0</v>
      </c>
      <c r="O2113">
        <v>0</v>
      </c>
      <c r="P2113">
        <v>0.76010479094247507</v>
      </c>
      <c r="Q2113">
        <v>2.436562023225012</v>
      </c>
      <c r="R2113">
        <v>-1.1948289171038069</v>
      </c>
      <c r="S2113">
        <v>0.27218542875990609</v>
      </c>
      <c r="T2113">
        <v>0.21420365477952291</v>
      </c>
      <c r="U2113">
        <v>4.4950262789087612</v>
      </c>
      <c r="V2113">
        <v>0.19885258751198881</v>
      </c>
      <c r="W2113">
        <v>9.7575814074837233</v>
      </c>
      <c r="X2113">
        <v>0.55574041681088493</v>
      </c>
      <c r="Z2113" t="s">
        <v>392</v>
      </c>
      <c r="AA2113">
        <v>9400</v>
      </c>
      <c r="AB2113" t="s">
        <v>2504</v>
      </c>
      <c r="AC2113" t="str">
        <f>HYPERLINK("plots/3FT6Y578R01_012_S11P_20251111092011_M5358ACSH101811_RBGEUFRF26/dpll_52046/txpa_53262.png","plot")</f>
        <v>plot</v>
      </c>
    </row>
    <row r="2114" spans="1:29" x14ac:dyDescent="0.35">
      <c r="A2114" s="2" t="s">
        <v>48</v>
      </c>
      <c r="B2114">
        <v>52046</v>
      </c>
      <c r="C2114" t="s">
        <v>51</v>
      </c>
      <c r="D2114">
        <v>53263</v>
      </c>
      <c r="E2114" t="s">
        <v>138</v>
      </c>
      <c r="F2114">
        <v>12123</v>
      </c>
      <c r="G2114">
        <v>0.87159144148040246</v>
      </c>
      <c r="H2114">
        <v>0</v>
      </c>
      <c r="I2114">
        <v>0</v>
      </c>
      <c r="J2114">
        <v>0.74173089612260767</v>
      </c>
      <c r="K2114">
        <v>0</v>
      </c>
      <c r="L2114">
        <v>0</v>
      </c>
      <c r="M2114">
        <v>0.5512515053484639</v>
      </c>
      <c r="N2114">
        <v>0</v>
      </c>
      <c r="O2114">
        <v>0</v>
      </c>
      <c r="P2114">
        <v>0.75967164086188588</v>
      </c>
      <c r="Q2114">
        <v>2.4422899795493569</v>
      </c>
      <c r="R2114">
        <v>-1.248606698423657</v>
      </c>
      <c r="S2114">
        <v>0.27292628275587072</v>
      </c>
      <c r="T2114">
        <v>0.2151330452287093</v>
      </c>
      <c r="U2114">
        <v>4.4952690984079853</v>
      </c>
      <c r="V2114">
        <v>0.1986902205060915</v>
      </c>
      <c r="W2114">
        <v>9.7301439759960395</v>
      </c>
      <c r="X2114">
        <v>0.55675068785928405</v>
      </c>
      <c r="Z2114" t="s">
        <v>392</v>
      </c>
      <c r="AA2114">
        <v>9400</v>
      </c>
      <c r="AB2114" t="s">
        <v>2505</v>
      </c>
      <c r="AC2114" t="str">
        <f>HYPERLINK("plots/3FT6Y578R01_012_S11P_20251111092011_M5358ACSH101811_RBGEUFRF26/dpll_52046/txpa_53263.png","plot")</f>
        <v>plot</v>
      </c>
    </row>
    <row r="2115" spans="1:29" x14ac:dyDescent="0.35">
      <c r="A2115" s="2" t="s">
        <v>48</v>
      </c>
      <c r="B2115">
        <v>52046</v>
      </c>
      <c r="C2115" t="s">
        <v>51</v>
      </c>
      <c r="D2115">
        <v>53264</v>
      </c>
      <c r="E2115" t="s">
        <v>139</v>
      </c>
      <c r="F2115">
        <v>12129</v>
      </c>
      <c r="G2115">
        <v>0.87314594195436734</v>
      </c>
      <c r="H2115">
        <v>0</v>
      </c>
      <c r="I2115">
        <v>0</v>
      </c>
      <c r="J2115">
        <v>0.74561045747726828</v>
      </c>
      <c r="K2115">
        <v>0</v>
      </c>
      <c r="L2115">
        <v>0</v>
      </c>
      <c r="M2115">
        <v>0.55523519781373665</v>
      </c>
      <c r="N2115">
        <v>0</v>
      </c>
      <c r="O2115">
        <v>0</v>
      </c>
      <c r="P2115">
        <v>0.76238383595137937</v>
      </c>
      <c r="Q2115">
        <v>2.4536410930228558</v>
      </c>
      <c r="R2115">
        <v>-1.301243153237079</v>
      </c>
      <c r="S2115">
        <v>0.27224802389952069</v>
      </c>
      <c r="T2115">
        <v>0.2150053945940735</v>
      </c>
      <c r="U2115">
        <v>4.4951134634347429</v>
      </c>
      <c r="V2115">
        <v>0.1987560939236736</v>
      </c>
      <c r="W2115">
        <v>9.7281519584466984</v>
      </c>
      <c r="X2115">
        <v>0.55852761389266448</v>
      </c>
      <c r="Z2115" t="s">
        <v>392</v>
      </c>
      <c r="AA2115">
        <v>9400</v>
      </c>
      <c r="AB2115" t="s">
        <v>2506</v>
      </c>
      <c r="AC2115" t="str">
        <f>HYPERLINK("plots/3FT6Y578R01_012_S11P_20251111092011_M5358ACSH101811_RBGEUFRF26/dpll_52046/txpa_53264.png","plot")</f>
        <v>plot</v>
      </c>
    </row>
    <row r="2116" spans="1:29" x14ac:dyDescent="0.35">
      <c r="A2116" s="2" t="s">
        <v>48</v>
      </c>
      <c r="B2116">
        <v>52046</v>
      </c>
      <c r="C2116" t="s">
        <v>51</v>
      </c>
      <c r="D2116">
        <v>53265</v>
      </c>
      <c r="E2116" t="s">
        <v>140</v>
      </c>
      <c r="F2116">
        <v>12105</v>
      </c>
      <c r="G2116">
        <v>0.87318273519520573</v>
      </c>
      <c r="H2116">
        <v>0</v>
      </c>
      <c r="I2116">
        <v>0</v>
      </c>
      <c r="J2116">
        <v>0.7411387370123631</v>
      </c>
      <c r="K2116">
        <v>0</v>
      </c>
      <c r="L2116">
        <v>0</v>
      </c>
      <c r="M2116">
        <v>0.55222180733056758</v>
      </c>
      <c r="N2116">
        <v>0</v>
      </c>
      <c r="O2116">
        <v>0</v>
      </c>
      <c r="P2116">
        <v>0.76244808904298078</v>
      </c>
      <c r="Q2116">
        <v>2.4346744708584471</v>
      </c>
      <c r="R2116">
        <v>-1.2048638359339829</v>
      </c>
      <c r="S2116">
        <v>0.26948311088097332</v>
      </c>
      <c r="T2116">
        <v>0.21310465461555511</v>
      </c>
      <c r="U2116">
        <v>4.4958708769929778</v>
      </c>
      <c r="V2116">
        <v>0.19830536577126689</v>
      </c>
      <c r="W2116">
        <v>9.7411182125567954</v>
      </c>
      <c r="X2116">
        <v>0.55293009357269807</v>
      </c>
      <c r="Z2116" t="s">
        <v>392</v>
      </c>
      <c r="AA2116">
        <v>9400</v>
      </c>
      <c r="AB2116" t="s">
        <v>2507</v>
      </c>
      <c r="AC2116" t="str">
        <f>HYPERLINK("plots/3FT6Y578R01_012_S11P_20251111092011_M5358ACSH101811_RBGEUFRF26/dpll_52046/txpa_53265.png","plot")</f>
        <v>plot</v>
      </c>
    </row>
    <row r="2117" spans="1:29" x14ac:dyDescent="0.35">
      <c r="A2117" s="2" t="s">
        <v>48</v>
      </c>
      <c r="B2117">
        <v>52046</v>
      </c>
      <c r="C2117" t="s">
        <v>51</v>
      </c>
      <c r="D2117">
        <v>53266</v>
      </c>
      <c r="E2117" t="s">
        <v>141</v>
      </c>
      <c r="F2117">
        <v>12117</v>
      </c>
      <c r="G2117">
        <v>0.86917678690307953</v>
      </c>
      <c r="H2117">
        <v>0</v>
      </c>
      <c r="I2117">
        <v>0</v>
      </c>
      <c r="J2117">
        <v>0.73733553690674958</v>
      </c>
      <c r="K2117">
        <v>0</v>
      </c>
      <c r="L2117">
        <v>0</v>
      </c>
      <c r="M2117">
        <v>0.54783274723397979</v>
      </c>
      <c r="N2117">
        <v>0</v>
      </c>
      <c r="O2117">
        <v>0</v>
      </c>
      <c r="P2117">
        <v>0.7554682868911613</v>
      </c>
      <c r="Q2117">
        <v>2.4212860733960411</v>
      </c>
      <c r="R2117">
        <v>-1.1656548658910479</v>
      </c>
      <c r="S2117">
        <v>0.27339439385111919</v>
      </c>
      <c r="T2117">
        <v>0.21525677765932211</v>
      </c>
      <c r="U2117">
        <v>4.4955483781464061</v>
      </c>
      <c r="V2117">
        <v>0.19847323396498431</v>
      </c>
      <c r="W2117">
        <v>9.7193538143930027</v>
      </c>
      <c r="X2117">
        <v>0.55289152285526644</v>
      </c>
      <c r="Z2117" t="s">
        <v>392</v>
      </c>
      <c r="AA2117">
        <v>9400</v>
      </c>
      <c r="AB2117" t="s">
        <v>2508</v>
      </c>
      <c r="AC2117" t="str">
        <f>HYPERLINK("plots/3FT6Y578R01_012_S11P_20251111092011_M5358ACSH101811_RBGEUFRF26/dpll_52046/txpa_53266.png","plot")</f>
        <v>plot</v>
      </c>
    </row>
    <row r="2118" spans="1:29" x14ac:dyDescent="0.35">
      <c r="A2118" s="2" t="s">
        <v>48</v>
      </c>
      <c r="B2118">
        <v>52046</v>
      </c>
      <c r="C2118" t="s">
        <v>51</v>
      </c>
      <c r="D2118">
        <v>53267</v>
      </c>
      <c r="E2118" t="s">
        <v>142</v>
      </c>
      <c r="F2118">
        <v>12103</v>
      </c>
      <c r="G2118">
        <v>0.86140786372904976</v>
      </c>
      <c r="H2118">
        <v>0</v>
      </c>
      <c r="I2118">
        <v>0</v>
      </c>
      <c r="J2118">
        <v>0.73081517087738601</v>
      </c>
      <c r="K2118">
        <v>0</v>
      </c>
      <c r="L2118">
        <v>0</v>
      </c>
      <c r="M2118">
        <v>0.54003890543038913</v>
      </c>
      <c r="N2118">
        <v>0</v>
      </c>
      <c r="O2118">
        <v>0</v>
      </c>
      <c r="P2118">
        <v>0.74202350769424519</v>
      </c>
      <c r="Q2118">
        <v>2.4918630347688202</v>
      </c>
      <c r="R2118">
        <v>-1.08445706394245</v>
      </c>
      <c r="S2118">
        <v>0.2915715389445922</v>
      </c>
      <c r="T2118">
        <v>0.22690739595856849</v>
      </c>
      <c r="U2118">
        <v>4.4958050449475326</v>
      </c>
      <c r="V2118">
        <v>0.19845300032162039</v>
      </c>
      <c r="W2118">
        <v>10.11847333908948</v>
      </c>
      <c r="X2118">
        <v>0.57408077690356218</v>
      </c>
      <c r="Z2118" t="s">
        <v>392</v>
      </c>
      <c r="AA2118">
        <v>9400</v>
      </c>
      <c r="AB2118" t="s">
        <v>2509</v>
      </c>
      <c r="AC2118" t="str">
        <f>HYPERLINK("plots/3FT6Y578R01_012_S11P_20251111092011_M5358ACSH101811_RBGEUFRF26/dpll_52046/txpa_53267.png","plot")</f>
        <v>plot</v>
      </c>
    </row>
    <row r="2119" spans="1:29" x14ac:dyDescent="0.35">
      <c r="A2119" s="2" t="s">
        <v>48</v>
      </c>
      <c r="B2119">
        <v>52046</v>
      </c>
      <c r="C2119" t="s">
        <v>51</v>
      </c>
      <c r="D2119">
        <v>53268</v>
      </c>
      <c r="E2119" t="s">
        <v>143</v>
      </c>
      <c r="F2119">
        <v>12119</v>
      </c>
      <c r="G2119">
        <v>0.86837091741749561</v>
      </c>
      <c r="H2119">
        <v>0</v>
      </c>
      <c r="I2119">
        <v>0</v>
      </c>
      <c r="J2119">
        <v>0.73945695286106627</v>
      </c>
      <c r="K2119">
        <v>0</v>
      </c>
      <c r="L2119">
        <v>0</v>
      </c>
      <c r="M2119">
        <v>0.5493698479870196</v>
      </c>
      <c r="N2119">
        <v>0</v>
      </c>
      <c r="O2119">
        <v>0</v>
      </c>
      <c r="P2119">
        <v>0.75406805021650303</v>
      </c>
      <c r="Q2119">
        <v>2.5295084517686819</v>
      </c>
      <c r="R2119">
        <v>-1.216405692787214</v>
      </c>
      <c r="S2119">
        <v>0.28705928317745077</v>
      </c>
      <c r="T2119">
        <v>0.22570285567643619</v>
      </c>
      <c r="U2119">
        <v>4.4953257854608459</v>
      </c>
      <c r="V2119">
        <v>0.19872439041054929</v>
      </c>
      <c r="W2119">
        <v>10.154558874989689</v>
      </c>
      <c r="X2119">
        <v>0.57887132679546827</v>
      </c>
      <c r="Z2119" t="s">
        <v>392</v>
      </c>
      <c r="AA2119">
        <v>9400</v>
      </c>
      <c r="AB2119" t="s">
        <v>2510</v>
      </c>
      <c r="AC2119" t="str">
        <f>HYPERLINK("plots/3FT6Y578R01_012_S11P_20251111092011_M5358ACSH101811_RBGEUFRF26/dpll_52046/txpa_53268.png","plot")</f>
        <v>plot</v>
      </c>
    </row>
    <row r="2120" spans="1:29" x14ac:dyDescent="0.35">
      <c r="A2120" s="2" t="s">
        <v>48</v>
      </c>
      <c r="B2120">
        <v>52046</v>
      </c>
      <c r="C2120" t="s">
        <v>51</v>
      </c>
      <c r="D2120">
        <v>53269</v>
      </c>
      <c r="E2120" t="s">
        <v>144</v>
      </c>
      <c r="F2120">
        <v>12095</v>
      </c>
      <c r="G2120">
        <v>0.86837099565018139</v>
      </c>
      <c r="H2120">
        <v>0</v>
      </c>
      <c r="I2120">
        <v>0</v>
      </c>
      <c r="J2120">
        <v>0.73421697164262978</v>
      </c>
      <c r="K2120">
        <v>0</v>
      </c>
      <c r="L2120">
        <v>0</v>
      </c>
      <c r="M2120">
        <v>0.54450257907338739</v>
      </c>
      <c r="N2120">
        <v>0</v>
      </c>
      <c r="O2120">
        <v>0</v>
      </c>
      <c r="P2120">
        <v>0.75406818608648729</v>
      </c>
      <c r="Q2120">
        <v>2.4954468431633421</v>
      </c>
      <c r="R2120">
        <v>-1.0492680837253201</v>
      </c>
      <c r="S2120">
        <v>0.28252978473287232</v>
      </c>
      <c r="T2120">
        <v>0.22255194359199679</v>
      </c>
      <c r="U2120">
        <v>4.4960709154195948</v>
      </c>
      <c r="V2120">
        <v>0.19825850287236871</v>
      </c>
      <c r="W2120">
        <v>10.17043788879702</v>
      </c>
      <c r="X2120">
        <v>0.56973754029256829</v>
      </c>
      <c r="Z2120" t="s">
        <v>392</v>
      </c>
      <c r="AA2120">
        <v>9400</v>
      </c>
      <c r="AB2120" t="s">
        <v>2511</v>
      </c>
      <c r="AC2120" t="str">
        <f>HYPERLINK("plots/3FT6Y578R01_012_S11P_20251111092011_M5358ACSH101811_RBGEUFRF26/dpll_52046/txpa_53269.png","plot")</f>
        <v>plot</v>
      </c>
    </row>
    <row r="2121" spans="1:29" x14ac:dyDescent="0.35">
      <c r="A2121" s="2" t="s">
        <v>48</v>
      </c>
      <c r="B2121">
        <v>52046</v>
      </c>
      <c r="C2121" t="s">
        <v>51</v>
      </c>
      <c r="D2121">
        <v>53270</v>
      </c>
      <c r="E2121" t="s">
        <v>145</v>
      </c>
      <c r="F2121">
        <v>12114</v>
      </c>
      <c r="G2121">
        <v>0.87215507262527592</v>
      </c>
      <c r="H2121">
        <v>0</v>
      </c>
      <c r="I2121">
        <v>0</v>
      </c>
      <c r="J2121">
        <v>0.7414911694620715</v>
      </c>
      <c r="K2121">
        <v>0</v>
      </c>
      <c r="L2121">
        <v>0</v>
      </c>
      <c r="M2121">
        <v>0.55158845010236401</v>
      </c>
      <c r="N2121">
        <v>0</v>
      </c>
      <c r="O2121">
        <v>0</v>
      </c>
      <c r="P2121">
        <v>0.76065447070600034</v>
      </c>
      <c r="Q2121">
        <v>2.5304736143606958</v>
      </c>
      <c r="R2121">
        <v>-1.1869966026312539</v>
      </c>
      <c r="S2121">
        <v>0.28175796961211591</v>
      </c>
      <c r="T2121">
        <v>0.2225200971933792</v>
      </c>
      <c r="U2121">
        <v>4.4955746911012051</v>
      </c>
      <c r="V2121">
        <v>0.1985058788261527</v>
      </c>
      <c r="W2121">
        <v>10.18893653458808</v>
      </c>
      <c r="X2121">
        <v>0.57594561383796672</v>
      </c>
      <c r="Z2121" t="s">
        <v>392</v>
      </c>
      <c r="AA2121">
        <v>9400</v>
      </c>
      <c r="AB2121" t="s">
        <v>2512</v>
      </c>
      <c r="AC2121" t="str">
        <f>HYPERLINK("plots/3FT6Y578R01_012_S11P_20251111092011_M5358ACSH101811_RBGEUFRF26/dpll_52046/txpa_53270.png","plot")</f>
        <v>plot</v>
      </c>
    </row>
    <row r="2122" spans="1:29" x14ac:dyDescent="0.35">
      <c r="A2122" s="2" t="s">
        <v>48</v>
      </c>
      <c r="B2122">
        <v>52046</v>
      </c>
      <c r="C2122" t="s">
        <v>51</v>
      </c>
      <c r="D2122">
        <v>53271</v>
      </c>
      <c r="E2122" t="s">
        <v>146</v>
      </c>
      <c r="F2122">
        <v>12104</v>
      </c>
      <c r="G2122">
        <v>0.8719335937854279</v>
      </c>
      <c r="H2122">
        <v>0</v>
      </c>
      <c r="I2122">
        <v>0</v>
      </c>
      <c r="J2122">
        <v>0.7396836096504682</v>
      </c>
      <c r="K2122">
        <v>0</v>
      </c>
      <c r="L2122">
        <v>0</v>
      </c>
      <c r="M2122">
        <v>0.54975511562608959</v>
      </c>
      <c r="N2122">
        <v>0</v>
      </c>
      <c r="O2122">
        <v>0</v>
      </c>
      <c r="P2122">
        <v>0.76026819197157158</v>
      </c>
      <c r="Q2122">
        <v>2.5362246139640132</v>
      </c>
      <c r="R2122">
        <v>-1.2414250682278849</v>
      </c>
      <c r="S2122">
        <v>0.28243748032644339</v>
      </c>
      <c r="T2122">
        <v>0.22342911091965451</v>
      </c>
      <c r="U2122">
        <v>4.4958290421348313</v>
      </c>
      <c r="V2122">
        <v>0.19832302419404621</v>
      </c>
      <c r="W2122">
        <v>10.161007208608719</v>
      </c>
      <c r="X2122">
        <v>0.57686931557829202</v>
      </c>
      <c r="Z2122" t="s">
        <v>392</v>
      </c>
      <c r="AA2122">
        <v>9400</v>
      </c>
      <c r="AB2122" t="s">
        <v>2513</v>
      </c>
      <c r="AC2122" t="str">
        <f>HYPERLINK("plots/3FT6Y578R01_012_S11P_20251111092011_M5358ACSH101811_RBGEUFRF26/dpll_52046/txpa_53271.png","plot")</f>
        <v>plot</v>
      </c>
    </row>
    <row r="2123" spans="1:29" x14ac:dyDescent="0.35">
      <c r="A2123" s="2" t="s">
        <v>48</v>
      </c>
      <c r="B2123">
        <v>52046</v>
      </c>
      <c r="C2123" t="s">
        <v>51</v>
      </c>
      <c r="D2123">
        <v>53272</v>
      </c>
      <c r="E2123" t="s">
        <v>147</v>
      </c>
      <c r="F2123">
        <v>12105</v>
      </c>
      <c r="G2123">
        <v>0.87325861028164042</v>
      </c>
      <c r="H2123">
        <v>0</v>
      </c>
      <c r="I2123">
        <v>0</v>
      </c>
      <c r="J2123">
        <v>0.74312803254909088</v>
      </c>
      <c r="K2123">
        <v>0</v>
      </c>
      <c r="L2123">
        <v>0</v>
      </c>
      <c r="M2123">
        <v>0.55338336309516301</v>
      </c>
      <c r="N2123">
        <v>0</v>
      </c>
      <c r="O2123">
        <v>0</v>
      </c>
      <c r="P2123">
        <v>0.76258060043102194</v>
      </c>
      <c r="Q2123">
        <v>2.5439009042173581</v>
      </c>
      <c r="R2123">
        <v>-1.2769153524883681</v>
      </c>
      <c r="S2123">
        <v>0.28143732904760932</v>
      </c>
      <c r="T2123">
        <v>0.2229501954409345</v>
      </c>
      <c r="U2123">
        <v>4.4958315292028077</v>
      </c>
      <c r="V2123">
        <v>0.1982824267301351</v>
      </c>
      <c r="W2123">
        <v>10.160034539859559</v>
      </c>
      <c r="X2123">
        <v>0.57761909096610198</v>
      </c>
      <c r="Z2123" t="s">
        <v>392</v>
      </c>
      <c r="AA2123">
        <v>9400</v>
      </c>
      <c r="AB2123" t="s">
        <v>2514</v>
      </c>
      <c r="AC2123" t="str">
        <f>HYPERLINK("plots/3FT6Y578R01_012_S11P_20251111092011_M5358ACSH101811_RBGEUFRF26/dpll_52046/txpa_53272.png","plot")</f>
        <v>plot</v>
      </c>
    </row>
    <row r="2124" spans="1:29" x14ac:dyDescent="0.35">
      <c r="A2124" s="2" t="s">
        <v>48</v>
      </c>
      <c r="B2124">
        <v>52046</v>
      </c>
      <c r="C2124" t="s">
        <v>51</v>
      </c>
      <c r="D2124">
        <v>53273</v>
      </c>
      <c r="E2124" t="s">
        <v>148</v>
      </c>
      <c r="F2124">
        <v>12089</v>
      </c>
      <c r="G2124">
        <v>0.87293099854079748</v>
      </c>
      <c r="H2124">
        <v>0</v>
      </c>
      <c r="I2124">
        <v>0</v>
      </c>
      <c r="J2124">
        <v>0.739345898555545</v>
      </c>
      <c r="K2124">
        <v>0</v>
      </c>
      <c r="L2124">
        <v>0</v>
      </c>
      <c r="M2124">
        <v>0.55091684907761729</v>
      </c>
      <c r="N2124">
        <v>0</v>
      </c>
      <c r="O2124">
        <v>0</v>
      </c>
      <c r="P2124">
        <v>0.76200852821343379</v>
      </c>
      <c r="Q2124">
        <v>2.5300163362708852</v>
      </c>
      <c r="R2124">
        <v>-1.2039948543019821</v>
      </c>
      <c r="S2124">
        <v>0.27983596730671012</v>
      </c>
      <c r="T2124">
        <v>0.22165590338960231</v>
      </c>
      <c r="U2124">
        <v>4.4963861431880217</v>
      </c>
      <c r="V2124">
        <v>0.19792351258593721</v>
      </c>
      <c r="W2124">
        <v>10.17193554214575</v>
      </c>
      <c r="X2124">
        <v>0.57364181248185342</v>
      </c>
      <c r="Z2124" t="s">
        <v>392</v>
      </c>
      <c r="AA2124">
        <v>9400</v>
      </c>
      <c r="AB2124" t="s">
        <v>2515</v>
      </c>
      <c r="AC2124" t="str">
        <f>HYPERLINK("plots/3FT6Y578R01_012_S11P_20251111092011_M5358ACSH101811_RBGEUFRF26/dpll_52046/txpa_53273.png","plot")</f>
        <v>plot</v>
      </c>
    </row>
    <row r="2125" spans="1:29" x14ac:dyDescent="0.35">
      <c r="A2125" s="2" t="s">
        <v>48</v>
      </c>
      <c r="B2125">
        <v>52046</v>
      </c>
      <c r="C2125" t="s">
        <v>51</v>
      </c>
      <c r="D2125">
        <v>53274</v>
      </c>
      <c r="E2125" t="s">
        <v>149</v>
      </c>
      <c r="F2125">
        <v>12101</v>
      </c>
      <c r="G2125">
        <v>0.86922899302782508</v>
      </c>
      <c r="H2125">
        <v>0</v>
      </c>
      <c r="I2125">
        <v>0</v>
      </c>
      <c r="J2125">
        <v>0.73531537419092319</v>
      </c>
      <c r="K2125">
        <v>0</v>
      </c>
      <c r="L2125">
        <v>0</v>
      </c>
      <c r="M2125">
        <v>0.54635923447385548</v>
      </c>
      <c r="N2125">
        <v>0</v>
      </c>
      <c r="O2125">
        <v>0</v>
      </c>
      <c r="P2125">
        <v>0.7555590423201668</v>
      </c>
      <c r="Q2125">
        <v>2.5171514415818681</v>
      </c>
      <c r="R2125">
        <v>-1.1677473699738781</v>
      </c>
      <c r="S2125">
        <v>0.2837466111671389</v>
      </c>
      <c r="T2125">
        <v>0.2239208340714032</v>
      </c>
      <c r="U2125">
        <v>4.4960079032311384</v>
      </c>
      <c r="V2125">
        <v>0.19819217283331031</v>
      </c>
      <c r="W2125">
        <v>10.14938540500785</v>
      </c>
      <c r="X2125">
        <v>0.57393358661431559</v>
      </c>
      <c r="Z2125" t="s">
        <v>392</v>
      </c>
      <c r="AA2125">
        <v>9400</v>
      </c>
      <c r="AB2125" t="s">
        <v>2516</v>
      </c>
      <c r="AC2125" t="str">
        <f>HYPERLINK("plots/3FT6Y578R01_012_S11P_20251111092011_M5358ACSH101811_RBGEUFRF26/dpll_52046/txpa_53274.png","plot")</f>
        <v>plot</v>
      </c>
    </row>
    <row r="2126" spans="1:29" x14ac:dyDescent="0.35">
      <c r="A2126" s="2" t="s">
        <v>48</v>
      </c>
      <c r="B2126">
        <v>52046</v>
      </c>
      <c r="C2126" t="s">
        <v>51</v>
      </c>
      <c r="D2126">
        <v>53275</v>
      </c>
      <c r="E2126" t="s">
        <v>150</v>
      </c>
      <c r="F2126">
        <v>12051</v>
      </c>
      <c r="G2126">
        <v>0.86193488723816769</v>
      </c>
      <c r="H2126">
        <v>0</v>
      </c>
      <c r="I2126">
        <v>0</v>
      </c>
      <c r="J2126">
        <v>0.72442379608202057</v>
      </c>
      <c r="K2126">
        <v>0</v>
      </c>
      <c r="L2126">
        <v>0</v>
      </c>
      <c r="M2126">
        <v>0.53569705462942441</v>
      </c>
      <c r="N2126">
        <v>0</v>
      </c>
      <c r="O2126">
        <v>0</v>
      </c>
      <c r="P2126">
        <v>0.74293174983827281</v>
      </c>
      <c r="Q2126">
        <v>2.8959472518381379</v>
      </c>
      <c r="R2126">
        <v>-1.61786751567691</v>
      </c>
      <c r="S2126">
        <v>0.33625527363310548</v>
      </c>
      <c r="T2126">
        <v>0.26454914465859719</v>
      </c>
      <c r="U2126">
        <v>4.4973766904821177</v>
      </c>
      <c r="V2126">
        <v>0.19739980329878151</v>
      </c>
      <c r="W2126">
        <v>11.406298151605681</v>
      </c>
      <c r="X2126">
        <v>0.66322807713262411</v>
      </c>
      <c r="Z2126" t="s">
        <v>392</v>
      </c>
      <c r="AA2126">
        <v>9400</v>
      </c>
      <c r="AB2126" t="s">
        <v>2517</v>
      </c>
      <c r="AC2126" t="str">
        <f>HYPERLINK("plots/3FT6Y578R01_012_S11P_20251111092011_M5358ACSH101811_RBGEUFRF26/dpll_52046/txpa_53275.png","plot")</f>
        <v>plot</v>
      </c>
    </row>
    <row r="2127" spans="1:29" x14ac:dyDescent="0.35">
      <c r="A2127" s="2" t="s">
        <v>48</v>
      </c>
      <c r="B2127">
        <v>52046</v>
      </c>
      <c r="C2127" t="s">
        <v>51</v>
      </c>
      <c r="D2127">
        <v>53276</v>
      </c>
      <c r="E2127" t="s">
        <v>151</v>
      </c>
      <c r="F2127">
        <v>12073</v>
      </c>
      <c r="G2127">
        <v>0.86822218263093864</v>
      </c>
      <c r="H2127">
        <v>0</v>
      </c>
      <c r="I2127">
        <v>0</v>
      </c>
      <c r="J2127">
        <v>0.73302963730617055</v>
      </c>
      <c r="K2127">
        <v>0</v>
      </c>
      <c r="L2127">
        <v>0</v>
      </c>
      <c r="M2127">
        <v>0.54469109375281022</v>
      </c>
      <c r="N2127">
        <v>0</v>
      </c>
      <c r="O2127">
        <v>0</v>
      </c>
      <c r="P2127">
        <v>0.75380975841243103</v>
      </c>
      <c r="Q2127">
        <v>2.9383160901626999</v>
      </c>
      <c r="R2127">
        <v>-1.768013125513431</v>
      </c>
      <c r="S2127">
        <v>0.33209584331226638</v>
      </c>
      <c r="T2127">
        <v>0.26344843823279013</v>
      </c>
      <c r="U2127">
        <v>4.4967209713410092</v>
      </c>
      <c r="V2127">
        <v>0.19777817894539859</v>
      </c>
      <c r="W2127">
        <v>11.444774457549901</v>
      </c>
      <c r="X2127">
        <v>0.66933881338685997</v>
      </c>
      <c r="Z2127" t="s">
        <v>392</v>
      </c>
      <c r="AA2127">
        <v>9400</v>
      </c>
      <c r="AB2127" t="s">
        <v>2518</v>
      </c>
      <c r="AC2127" t="str">
        <f>HYPERLINK("plots/3FT6Y578R01_012_S11P_20251111092011_M5358ACSH101811_RBGEUFRF26/dpll_52046/txpa_53276.png","plot")</f>
        <v>plot</v>
      </c>
    </row>
    <row r="2128" spans="1:29" x14ac:dyDescent="0.35">
      <c r="A2128" s="2" t="s">
        <v>48</v>
      </c>
      <c r="B2128">
        <v>52046</v>
      </c>
      <c r="C2128" t="s">
        <v>51</v>
      </c>
      <c r="D2128">
        <v>53277</v>
      </c>
      <c r="E2128" t="s">
        <v>152</v>
      </c>
      <c r="F2128">
        <v>12042</v>
      </c>
      <c r="G2128">
        <v>0.86824330796637827</v>
      </c>
      <c r="H2128">
        <v>0</v>
      </c>
      <c r="I2128">
        <v>0</v>
      </c>
      <c r="J2128">
        <v>0.72785932792556185</v>
      </c>
      <c r="K2128">
        <v>0</v>
      </c>
      <c r="L2128">
        <v>0</v>
      </c>
      <c r="M2128">
        <v>0.54008107449693576</v>
      </c>
      <c r="N2128">
        <v>0</v>
      </c>
      <c r="O2128">
        <v>0</v>
      </c>
      <c r="P2128">
        <v>0.75384644182839922</v>
      </c>
      <c r="Q2128">
        <v>2.8986127165232429</v>
      </c>
      <c r="R2128">
        <v>-1.575455026255304</v>
      </c>
      <c r="S2128">
        <v>0.32656271930011582</v>
      </c>
      <c r="T2128">
        <v>0.25993269363875687</v>
      </c>
      <c r="U2128">
        <v>4.4976814642086032</v>
      </c>
      <c r="V2128">
        <v>0.1971663648905948</v>
      </c>
      <c r="W2128">
        <v>11.46158166077063</v>
      </c>
      <c r="X2128">
        <v>0.65823591993025843</v>
      </c>
      <c r="Z2128" t="s">
        <v>392</v>
      </c>
      <c r="AA2128">
        <v>9400</v>
      </c>
      <c r="AB2128" t="s">
        <v>2519</v>
      </c>
      <c r="AC2128" t="str">
        <f>HYPERLINK("plots/3FT6Y578R01_012_S11P_20251111092011_M5358ACSH101811_RBGEUFRF26/dpll_52046/txpa_53277.png","plot")</f>
        <v>plot</v>
      </c>
    </row>
    <row r="2129" spans="1:29" x14ac:dyDescent="0.35">
      <c r="A2129" s="2" t="s">
        <v>48</v>
      </c>
      <c r="B2129">
        <v>52046</v>
      </c>
      <c r="C2129" t="s">
        <v>51</v>
      </c>
      <c r="D2129">
        <v>53278</v>
      </c>
      <c r="E2129" t="s">
        <v>153</v>
      </c>
      <c r="F2129">
        <v>12055</v>
      </c>
      <c r="G2129">
        <v>0.87200376130894663</v>
      </c>
      <c r="H2129">
        <v>0</v>
      </c>
      <c r="I2129">
        <v>0</v>
      </c>
      <c r="J2129">
        <v>0.73348167473295356</v>
      </c>
      <c r="K2129">
        <v>0</v>
      </c>
      <c r="L2129">
        <v>0</v>
      </c>
      <c r="M2129">
        <v>0.5457593105458457</v>
      </c>
      <c r="N2129">
        <v>0</v>
      </c>
      <c r="O2129">
        <v>0</v>
      </c>
      <c r="P2129">
        <v>0.76039055973695036</v>
      </c>
      <c r="Q2129">
        <v>2.9336620864376419</v>
      </c>
      <c r="R2129">
        <v>-1.7128342011741471</v>
      </c>
      <c r="S2129">
        <v>0.32507521207847351</v>
      </c>
      <c r="T2129">
        <v>0.25977831760812059</v>
      </c>
      <c r="U2129">
        <v>4.4972965217751977</v>
      </c>
      <c r="V2129">
        <v>0.19740501248788861</v>
      </c>
      <c r="W2129">
        <v>11.480714096225631</v>
      </c>
      <c r="X2129">
        <v>0.66412511792284445</v>
      </c>
      <c r="Z2129" t="s">
        <v>392</v>
      </c>
      <c r="AA2129">
        <v>9400</v>
      </c>
      <c r="AB2129" t="s">
        <v>2520</v>
      </c>
      <c r="AC2129" t="str">
        <f>HYPERLINK("plots/3FT6Y578R01_012_S11P_20251111092011_M5358ACSH101811_RBGEUFRF26/dpll_52046/txpa_53278.png","plot")</f>
        <v>plot</v>
      </c>
    </row>
    <row r="2130" spans="1:29" x14ac:dyDescent="0.35">
      <c r="A2130" s="2" t="s">
        <v>48</v>
      </c>
      <c r="B2130">
        <v>52046</v>
      </c>
      <c r="C2130" t="s">
        <v>51</v>
      </c>
      <c r="D2130">
        <v>53279</v>
      </c>
      <c r="E2130" t="s">
        <v>154</v>
      </c>
      <c r="F2130">
        <v>12040</v>
      </c>
      <c r="G2130">
        <v>0.87163428452835623</v>
      </c>
      <c r="H2130">
        <v>0</v>
      </c>
      <c r="I2130">
        <v>0</v>
      </c>
      <c r="J2130">
        <v>0.73160526575902685</v>
      </c>
      <c r="K2130">
        <v>0</v>
      </c>
      <c r="L2130">
        <v>0</v>
      </c>
      <c r="M2130">
        <v>0.54391681634927158</v>
      </c>
      <c r="N2130">
        <v>0</v>
      </c>
      <c r="O2130">
        <v>0</v>
      </c>
      <c r="P2130">
        <v>0.75974632596525948</v>
      </c>
      <c r="Q2130">
        <v>2.932681950793075</v>
      </c>
      <c r="R2130">
        <v>-1.737074003519099</v>
      </c>
      <c r="S2130">
        <v>0.32493888716987451</v>
      </c>
      <c r="T2130">
        <v>0.26021025995736441</v>
      </c>
      <c r="U2130">
        <v>4.4977486422757478</v>
      </c>
      <c r="V2130">
        <v>0.1970398390624549</v>
      </c>
      <c r="W2130">
        <v>11.453392258887041</v>
      </c>
      <c r="X2130">
        <v>0.66295600100025076</v>
      </c>
      <c r="Z2130" t="s">
        <v>392</v>
      </c>
      <c r="AA2130">
        <v>9400</v>
      </c>
      <c r="AB2130" t="s">
        <v>2521</v>
      </c>
      <c r="AC2130" t="str">
        <f>HYPERLINK("plots/3FT6Y578R01_012_S11P_20251111092011_M5358ACSH101811_RBGEUFRF26/dpll_52046/txpa_53279.png","plot")</f>
        <v>plot</v>
      </c>
    </row>
    <row r="2131" spans="1:29" x14ac:dyDescent="0.35">
      <c r="A2131" s="2" t="s">
        <v>48</v>
      </c>
      <c r="B2131">
        <v>52046</v>
      </c>
      <c r="C2131" t="s">
        <v>51</v>
      </c>
      <c r="D2131">
        <v>53280</v>
      </c>
      <c r="E2131" t="s">
        <v>155</v>
      </c>
      <c r="F2131">
        <v>12050</v>
      </c>
      <c r="G2131">
        <v>0.87271701240708677</v>
      </c>
      <c r="H2131">
        <v>0</v>
      </c>
      <c r="I2131">
        <v>0</v>
      </c>
      <c r="J2131">
        <v>0.73559148514012718</v>
      </c>
      <c r="K2131">
        <v>0</v>
      </c>
      <c r="L2131">
        <v>0</v>
      </c>
      <c r="M2131">
        <v>0.54808595255253578</v>
      </c>
      <c r="N2131">
        <v>0</v>
      </c>
      <c r="O2131">
        <v>0</v>
      </c>
      <c r="P2131">
        <v>0.76163498374475125</v>
      </c>
      <c r="Q2131">
        <v>2.9469237844435079</v>
      </c>
      <c r="R2131">
        <v>-1.8023807150386619</v>
      </c>
      <c r="S2131">
        <v>0.32511331954161332</v>
      </c>
      <c r="T2131">
        <v>0.26003346455227261</v>
      </c>
      <c r="U2131">
        <v>4.4974623702904566</v>
      </c>
      <c r="V2131">
        <v>0.19721323794320531</v>
      </c>
      <c r="W2131">
        <v>11.45129811360996</v>
      </c>
      <c r="X2131">
        <v>0.6659345162746243</v>
      </c>
      <c r="Z2131" t="s">
        <v>392</v>
      </c>
      <c r="AA2131">
        <v>9400</v>
      </c>
      <c r="AB2131" t="s">
        <v>2522</v>
      </c>
      <c r="AC2131" t="str">
        <f>HYPERLINK("plots/3FT6Y578R01_012_S11P_20251111092011_M5358ACSH101811_RBGEUFRF26/dpll_52046/txpa_53280.png","plot")</f>
        <v>plot</v>
      </c>
    </row>
    <row r="2132" spans="1:29" x14ac:dyDescent="0.35">
      <c r="A2132" s="2" t="s">
        <v>48</v>
      </c>
      <c r="B2132">
        <v>52046</v>
      </c>
      <c r="C2132" t="s">
        <v>51</v>
      </c>
      <c r="D2132">
        <v>53281</v>
      </c>
      <c r="E2132" t="s">
        <v>156</v>
      </c>
      <c r="F2132">
        <v>12038</v>
      </c>
      <c r="G2132">
        <v>0.87199504569793784</v>
      </c>
      <c r="H2132">
        <v>0</v>
      </c>
      <c r="I2132">
        <v>0</v>
      </c>
      <c r="J2132">
        <v>0.73257866931969573</v>
      </c>
      <c r="K2132">
        <v>0</v>
      </c>
      <c r="L2132">
        <v>0</v>
      </c>
      <c r="M2132">
        <v>0.54617434646067387</v>
      </c>
      <c r="N2132">
        <v>0</v>
      </c>
      <c r="O2132">
        <v>0</v>
      </c>
      <c r="P2132">
        <v>0.76037535972174874</v>
      </c>
      <c r="Q2132">
        <v>2.935593445802049</v>
      </c>
      <c r="R2132">
        <v>-1.7403772441268399</v>
      </c>
      <c r="S2132">
        <v>0.32441785010648549</v>
      </c>
      <c r="T2132">
        <v>0.2593401194294811</v>
      </c>
      <c r="U2132">
        <v>4.4979361661405548</v>
      </c>
      <c r="V2132">
        <v>0.196868010421404</v>
      </c>
      <c r="W2132">
        <v>11.463734684831371</v>
      </c>
      <c r="X2132">
        <v>0.66276115206434116</v>
      </c>
      <c r="Z2132" t="s">
        <v>392</v>
      </c>
      <c r="AA2132">
        <v>9400</v>
      </c>
      <c r="AB2132" t="s">
        <v>2523</v>
      </c>
      <c r="AC2132" t="str">
        <f>HYPERLINK("plots/3FT6Y578R01_012_S11P_20251111092011_M5358ACSH101811_RBGEUFRF26/dpll_52046/txpa_53281.png","plot")</f>
        <v>plot</v>
      </c>
    </row>
    <row r="2133" spans="1:29" x14ac:dyDescent="0.35">
      <c r="A2133" s="2" t="s">
        <v>48</v>
      </c>
      <c r="B2133">
        <v>52046</v>
      </c>
      <c r="C2133" t="s">
        <v>51</v>
      </c>
      <c r="D2133">
        <v>53282</v>
      </c>
      <c r="E2133" t="s">
        <v>157</v>
      </c>
      <c r="F2133">
        <v>12034</v>
      </c>
      <c r="G2133">
        <v>0.86787830689468659</v>
      </c>
      <c r="H2133">
        <v>0</v>
      </c>
      <c r="I2133">
        <v>0</v>
      </c>
      <c r="J2133">
        <v>0.72664984761646512</v>
      </c>
      <c r="K2133">
        <v>0</v>
      </c>
      <c r="L2133">
        <v>0</v>
      </c>
      <c r="M2133">
        <v>0.53991730816318539</v>
      </c>
      <c r="N2133">
        <v>0</v>
      </c>
      <c r="O2133">
        <v>0</v>
      </c>
      <c r="P2133">
        <v>0.75321275557838785</v>
      </c>
      <c r="Q2133">
        <v>2.913821353058653</v>
      </c>
      <c r="R2133">
        <v>-1.667447669533537</v>
      </c>
      <c r="S2133">
        <v>0.3282581794742232</v>
      </c>
      <c r="T2133">
        <v>0.26146054608190028</v>
      </c>
      <c r="U2133">
        <v>4.4980356432607618</v>
      </c>
      <c r="V2133">
        <v>0.19681951573192261</v>
      </c>
      <c r="W2133">
        <v>11.43902463461858</v>
      </c>
      <c r="X2133">
        <v>0.6608033673411442</v>
      </c>
      <c r="Z2133" t="s">
        <v>392</v>
      </c>
      <c r="AA2133">
        <v>9400</v>
      </c>
      <c r="AB2133" t="s">
        <v>2524</v>
      </c>
      <c r="AC2133" t="str">
        <f>HYPERLINK("plots/3FT6Y578R01_012_S11P_20251111092011_M5358ACSH101811_RBGEUFRF26/dpll_52046/txpa_53282.png","plot")</f>
        <v>plot</v>
      </c>
    </row>
    <row r="2134" spans="1:29" x14ac:dyDescent="0.35">
      <c r="A2134" s="2" t="s">
        <v>48</v>
      </c>
      <c r="B2134">
        <v>52046</v>
      </c>
      <c r="C2134" t="s">
        <v>51</v>
      </c>
      <c r="D2134">
        <v>53283</v>
      </c>
      <c r="E2134" t="s">
        <v>158</v>
      </c>
      <c r="F2134">
        <v>12038</v>
      </c>
      <c r="G2134">
        <v>0.8621390586240314</v>
      </c>
      <c r="H2134">
        <v>0</v>
      </c>
      <c r="I2134">
        <v>0</v>
      </c>
      <c r="J2134">
        <v>0.72288902705981672</v>
      </c>
      <c r="K2134">
        <v>0</v>
      </c>
      <c r="L2134">
        <v>0</v>
      </c>
      <c r="M2134">
        <v>0.53491013225230133</v>
      </c>
      <c r="N2134">
        <v>0</v>
      </c>
      <c r="O2134">
        <v>0</v>
      </c>
      <c r="P2134">
        <v>0.743283756405131</v>
      </c>
      <c r="Q2134">
        <v>3.074180936556369</v>
      </c>
      <c r="R2134">
        <v>-2.027783664115907</v>
      </c>
      <c r="S2134">
        <v>0.35609833400412882</v>
      </c>
      <c r="T2134">
        <v>0.2812742296194144</v>
      </c>
      <c r="U2134">
        <v>4.4977851282605084</v>
      </c>
      <c r="V2134">
        <v>0.1971102470464548</v>
      </c>
      <c r="W2134">
        <v>11.799221633909291</v>
      </c>
      <c r="X2134">
        <v>0.70284782693551096</v>
      </c>
      <c r="Z2134" t="s">
        <v>392</v>
      </c>
      <c r="AA2134">
        <v>9400</v>
      </c>
      <c r="AB2134" t="s">
        <v>2525</v>
      </c>
      <c r="AC2134" t="str">
        <f>HYPERLINK("plots/3FT6Y578R01_012_S11P_20251111092011_M5358ACSH101811_RBGEUFRF26/dpll_52046/txpa_53283.png","plot")</f>
        <v>plot</v>
      </c>
    </row>
    <row r="2135" spans="1:29" x14ac:dyDescent="0.35">
      <c r="A2135" s="2" t="s">
        <v>48</v>
      </c>
      <c r="B2135">
        <v>52046</v>
      </c>
      <c r="C2135" t="s">
        <v>51</v>
      </c>
      <c r="D2135">
        <v>53284</v>
      </c>
      <c r="E2135" t="s">
        <v>159</v>
      </c>
      <c r="F2135">
        <v>12067</v>
      </c>
      <c r="G2135">
        <v>0.86844240679938445</v>
      </c>
      <c r="H2135">
        <v>0</v>
      </c>
      <c r="I2135">
        <v>0</v>
      </c>
      <c r="J2135">
        <v>0.7317913875711366</v>
      </c>
      <c r="K2135">
        <v>0</v>
      </c>
      <c r="L2135">
        <v>0</v>
      </c>
      <c r="M2135">
        <v>0.54405479853925443</v>
      </c>
      <c r="N2135">
        <v>0</v>
      </c>
      <c r="O2135">
        <v>0</v>
      </c>
      <c r="P2135">
        <v>0.75419221392750757</v>
      </c>
      <c r="Q2135">
        <v>3.1215806240089519</v>
      </c>
      <c r="R2135">
        <v>-2.1988237954329199</v>
      </c>
      <c r="S2135">
        <v>0.35225961618793522</v>
      </c>
      <c r="T2135">
        <v>0.28029801997670079</v>
      </c>
      <c r="U2135">
        <v>4.4968921658241481</v>
      </c>
      <c r="V2135">
        <v>0.19767397783508189</v>
      </c>
      <c r="W2135">
        <v>11.838587657661391</v>
      </c>
      <c r="X2135">
        <v>0.7105310084463784</v>
      </c>
      <c r="Z2135" t="s">
        <v>392</v>
      </c>
      <c r="AA2135">
        <v>9400</v>
      </c>
      <c r="AB2135" t="s">
        <v>2526</v>
      </c>
      <c r="AC2135" t="str">
        <f>HYPERLINK("plots/3FT6Y578R01_012_S11P_20251111092011_M5358ACSH101811_RBGEUFRF26/dpll_52046/txpa_53284.png","plot")</f>
        <v>plot</v>
      </c>
    </row>
    <row r="2136" spans="1:29" x14ac:dyDescent="0.35">
      <c r="A2136" s="2" t="s">
        <v>48</v>
      </c>
      <c r="B2136">
        <v>52046</v>
      </c>
      <c r="C2136" t="s">
        <v>51</v>
      </c>
      <c r="D2136">
        <v>53285</v>
      </c>
      <c r="E2136" t="s">
        <v>160</v>
      </c>
      <c r="F2136">
        <v>12037</v>
      </c>
      <c r="G2136">
        <v>0.86823828610213094</v>
      </c>
      <c r="H2136">
        <v>0</v>
      </c>
      <c r="I2136">
        <v>0</v>
      </c>
      <c r="J2136">
        <v>0.72698666037153015</v>
      </c>
      <c r="K2136">
        <v>0</v>
      </c>
      <c r="L2136">
        <v>0</v>
      </c>
      <c r="M2136">
        <v>0.53978025138908103</v>
      </c>
      <c r="N2136">
        <v>0</v>
      </c>
      <c r="O2136">
        <v>0</v>
      </c>
      <c r="P2136">
        <v>0.75383772145356576</v>
      </c>
      <c r="Q2136">
        <v>3.081848134766398</v>
      </c>
      <c r="R2136">
        <v>-2.0068015147823459</v>
      </c>
      <c r="S2136">
        <v>0.34694383190842287</v>
      </c>
      <c r="T2136">
        <v>0.27693049355682342</v>
      </c>
      <c r="U2136">
        <v>4.4978606602143394</v>
      </c>
      <c r="V2136">
        <v>0.19701267084126051</v>
      </c>
      <c r="W2136">
        <v>11.854921971338371</v>
      </c>
      <c r="X2136">
        <v>0.69930472069284488</v>
      </c>
      <c r="Z2136" t="s">
        <v>392</v>
      </c>
      <c r="AA2136">
        <v>9400</v>
      </c>
      <c r="AB2136" t="s">
        <v>2527</v>
      </c>
      <c r="AC2136" t="str">
        <f>HYPERLINK("plots/3FT6Y578R01_012_S11P_20251111092011_M5358ACSH101811_RBGEUFRF26/dpll_52046/txpa_53285.png","plot")</f>
        <v>plot</v>
      </c>
    </row>
    <row r="2137" spans="1:29" x14ac:dyDescent="0.35">
      <c r="A2137" s="2" t="s">
        <v>48</v>
      </c>
      <c r="B2137">
        <v>52046</v>
      </c>
      <c r="C2137" t="s">
        <v>51</v>
      </c>
      <c r="D2137">
        <v>53286</v>
      </c>
      <c r="E2137" t="s">
        <v>161</v>
      </c>
      <c r="F2137">
        <v>12043</v>
      </c>
      <c r="G2137">
        <v>0.87179756484681348</v>
      </c>
      <c r="H2137">
        <v>0</v>
      </c>
      <c r="I2137">
        <v>0</v>
      </c>
      <c r="J2137">
        <v>0.73146513986413908</v>
      </c>
      <c r="K2137">
        <v>0</v>
      </c>
      <c r="L2137">
        <v>0</v>
      </c>
      <c r="M2137">
        <v>0.54452742442319269</v>
      </c>
      <c r="N2137">
        <v>0</v>
      </c>
      <c r="O2137">
        <v>0</v>
      </c>
      <c r="P2137">
        <v>0.76003099407283392</v>
      </c>
      <c r="Q2137">
        <v>3.113341755695572</v>
      </c>
      <c r="R2137">
        <v>-2.1280938214902161</v>
      </c>
      <c r="S2137">
        <v>0.34486570388137189</v>
      </c>
      <c r="T2137">
        <v>0.27646270611110629</v>
      </c>
      <c r="U2137">
        <v>4.497668275512746</v>
      </c>
      <c r="V2137">
        <v>0.1971420723935578</v>
      </c>
      <c r="W2137">
        <v>11.874684623930911</v>
      </c>
      <c r="X2137">
        <v>0.70402886006577758</v>
      </c>
      <c r="Z2137" t="s">
        <v>392</v>
      </c>
      <c r="AA2137">
        <v>9400</v>
      </c>
      <c r="AB2137" t="s">
        <v>2528</v>
      </c>
      <c r="AC2137" t="str">
        <f>HYPERLINK("plots/3FT6Y578R01_012_S11P_20251111092011_M5358ACSH101811_RBGEUFRF26/dpll_52046/txpa_53286.png","plot")</f>
        <v>plot</v>
      </c>
    </row>
    <row r="2138" spans="1:29" x14ac:dyDescent="0.35">
      <c r="A2138" s="2" t="s">
        <v>48</v>
      </c>
      <c r="B2138">
        <v>52046</v>
      </c>
      <c r="C2138" t="s">
        <v>51</v>
      </c>
      <c r="D2138">
        <v>53287</v>
      </c>
      <c r="E2138" t="s">
        <v>162</v>
      </c>
      <c r="F2138">
        <v>12041</v>
      </c>
      <c r="G2138">
        <v>0.87162895322352385</v>
      </c>
      <c r="H2138">
        <v>0</v>
      </c>
      <c r="I2138">
        <v>0</v>
      </c>
      <c r="J2138">
        <v>0.73064612321846545</v>
      </c>
      <c r="K2138">
        <v>0</v>
      </c>
      <c r="L2138">
        <v>0</v>
      </c>
      <c r="M2138">
        <v>0.54355396534141553</v>
      </c>
      <c r="N2138">
        <v>0</v>
      </c>
      <c r="O2138">
        <v>0</v>
      </c>
      <c r="P2138">
        <v>0.75973703209753596</v>
      </c>
      <c r="Q2138">
        <v>3.121987120236525</v>
      </c>
      <c r="R2138">
        <v>-2.1967416669415818</v>
      </c>
      <c r="S2138">
        <v>0.34595942514315309</v>
      </c>
      <c r="T2138">
        <v>0.27765852283950992</v>
      </c>
      <c r="U2138">
        <v>4.4977183797857316</v>
      </c>
      <c r="V2138">
        <v>0.19706083726741361</v>
      </c>
      <c r="W2138">
        <v>11.845077185200561</v>
      </c>
      <c r="X2138">
        <v>0.70582946284268455</v>
      </c>
      <c r="Z2138" t="s">
        <v>392</v>
      </c>
      <c r="AA2138">
        <v>9400</v>
      </c>
      <c r="AB2138" t="s">
        <v>2529</v>
      </c>
      <c r="AC2138" t="str">
        <f>HYPERLINK("plots/3FT6Y578R01_012_S11P_20251111092011_M5358ACSH101811_RBGEUFRF26/dpll_52046/txpa_53287.png","plot")</f>
        <v>plot</v>
      </c>
    </row>
    <row r="2139" spans="1:29" x14ac:dyDescent="0.35">
      <c r="A2139" s="2" t="s">
        <v>48</v>
      </c>
      <c r="B2139">
        <v>52046</v>
      </c>
      <c r="C2139" t="s">
        <v>51</v>
      </c>
      <c r="D2139">
        <v>53288</v>
      </c>
      <c r="E2139" t="s">
        <v>163</v>
      </c>
      <c r="F2139">
        <v>12045</v>
      </c>
      <c r="G2139">
        <v>0.87238289754064313</v>
      </c>
      <c r="H2139">
        <v>0</v>
      </c>
      <c r="I2139">
        <v>0</v>
      </c>
      <c r="J2139">
        <v>0.73419433128286193</v>
      </c>
      <c r="K2139">
        <v>0</v>
      </c>
      <c r="L2139">
        <v>0</v>
      </c>
      <c r="M2139">
        <v>0.54735014613264921</v>
      </c>
      <c r="N2139">
        <v>0</v>
      </c>
      <c r="O2139">
        <v>0</v>
      </c>
      <c r="P2139">
        <v>0.7610519199214083</v>
      </c>
      <c r="Q2139">
        <v>3.1315159504243182</v>
      </c>
      <c r="R2139">
        <v>-2.240905000480097</v>
      </c>
      <c r="S2139">
        <v>0.34580429449418182</v>
      </c>
      <c r="T2139">
        <v>0.27717395811617868</v>
      </c>
      <c r="U2139">
        <v>4.4976283989207131</v>
      </c>
      <c r="V2139">
        <v>0.19708299492161971</v>
      </c>
      <c r="W2139">
        <v>11.843490069821501</v>
      </c>
      <c r="X2139">
        <v>0.70745144579785146</v>
      </c>
      <c r="Z2139" t="s">
        <v>392</v>
      </c>
      <c r="AA2139">
        <v>9400</v>
      </c>
      <c r="AB2139" t="s">
        <v>2530</v>
      </c>
      <c r="AC2139" t="str">
        <f>HYPERLINK("plots/3FT6Y578R01_012_S11P_20251111092011_M5358ACSH101811_RBGEUFRF26/dpll_52046/txpa_53288.png","plot")</f>
        <v>plot</v>
      </c>
    </row>
    <row r="2140" spans="1:29" x14ac:dyDescent="0.35">
      <c r="A2140" s="2" t="s">
        <v>48</v>
      </c>
      <c r="B2140">
        <v>52046</v>
      </c>
      <c r="C2140" t="s">
        <v>51</v>
      </c>
      <c r="D2140">
        <v>53289</v>
      </c>
      <c r="E2140" t="s">
        <v>164</v>
      </c>
      <c r="F2140">
        <v>12032</v>
      </c>
      <c r="G2140">
        <v>0.87189125777228371</v>
      </c>
      <c r="H2140">
        <v>0</v>
      </c>
      <c r="I2140">
        <v>0</v>
      </c>
      <c r="J2140">
        <v>0.73175149085278623</v>
      </c>
      <c r="K2140">
        <v>0</v>
      </c>
      <c r="L2140">
        <v>0</v>
      </c>
      <c r="M2140">
        <v>0.54597323826709687</v>
      </c>
      <c r="N2140">
        <v>0</v>
      </c>
      <c r="O2140">
        <v>0</v>
      </c>
      <c r="P2140">
        <v>0.76019436537973484</v>
      </c>
      <c r="Q2140">
        <v>3.1196120676805021</v>
      </c>
      <c r="R2140">
        <v>-2.1757965154850791</v>
      </c>
      <c r="S2140">
        <v>0.344717513320489</v>
      </c>
      <c r="T2140">
        <v>0.27639599060830189</v>
      </c>
      <c r="U2140">
        <v>4.4981134586934841</v>
      </c>
      <c r="V2140">
        <v>0.19674940889356829</v>
      </c>
      <c r="W2140">
        <v>11.8565725120512</v>
      </c>
      <c r="X2140">
        <v>0.70396603340377317</v>
      </c>
      <c r="Z2140" t="s">
        <v>392</v>
      </c>
      <c r="AA2140">
        <v>9400</v>
      </c>
      <c r="AB2140" t="s">
        <v>2531</v>
      </c>
      <c r="AC2140" t="str">
        <f>HYPERLINK("plots/3FT6Y578R01_012_S11P_20251111092011_M5358ACSH101811_RBGEUFRF26/dpll_52046/txpa_53289.png","plot")</f>
        <v>plot</v>
      </c>
    </row>
    <row r="2141" spans="1:29" x14ac:dyDescent="0.35">
      <c r="A2141" s="2" t="s">
        <v>48</v>
      </c>
      <c r="B2141">
        <v>52046</v>
      </c>
      <c r="C2141" t="s">
        <v>51</v>
      </c>
      <c r="D2141">
        <v>53290</v>
      </c>
      <c r="E2141" t="s">
        <v>165</v>
      </c>
      <c r="F2141">
        <v>12026</v>
      </c>
      <c r="G2141">
        <v>0.86752707864838197</v>
      </c>
      <c r="H2141">
        <v>0</v>
      </c>
      <c r="I2141">
        <v>0</v>
      </c>
      <c r="J2141">
        <v>0.72509509696739938</v>
      </c>
      <c r="K2141">
        <v>0</v>
      </c>
      <c r="L2141">
        <v>0</v>
      </c>
      <c r="M2141">
        <v>0.53905884672377635</v>
      </c>
      <c r="N2141">
        <v>0</v>
      </c>
      <c r="O2141">
        <v>0</v>
      </c>
      <c r="P2141">
        <v>0.75260323218819591</v>
      </c>
      <c r="Q2141">
        <v>3.096061593836029</v>
      </c>
      <c r="R2141">
        <v>-2.098176996416806</v>
      </c>
      <c r="S2141">
        <v>0.3490538280882427</v>
      </c>
      <c r="T2141">
        <v>0.27872745316170328</v>
      </c>
      <c r="U2141">
        <v>4.4982842003991346</v>
      </c>
      <c r="V2141">
        <v>0.19664680713269331</v>
      </c>
      <c r="W2141">
        <v>11.82878795459837</v>
      </c>
      <c r="X2141">
        <v>0.70180014214954356</v>
      </c>
      <c r="Z2141" t="s">
        <v>392</v>
      </c>
      <c r="AA2141">
        <v>9400</v>
      </c>
      <c r="AB2141" t="s">
        <v>2532</v>
      </c>
      <c r="AC2141" t="str">
        <f>HYPERLINK("plots/3FT6Y578R01_012_S11P_20251111092011_M5358ACSH101811_RBGEUFRF26/dpll_52046/txpa_53290.png","plot")</f>
        <v>plot</v>
      </c>
    </row>
    <row r="2142" spans="1:29" hidden="1" x14ac:dyDescent="0.35">
      <c r="A2142" s="2" t="s">
        <v>48</v>
      </c>
      <c r="B2142">
        <v>52046</v>
      </c>
      <c r="C2142" t="s">
        <v>51</v>
      </c>
      <c r="D2142">
        <v>54146</v>
      </c>
      <c r="E2142" t="s">
        <v>166</v>
      </c>
      <c r="F2142">
        <v>12234</v>
      </c>
      <c r="G2142">
        <v>1.7314865208397181E-3</v>
      </c>
      <c r="H2142">
        <v>0.84813715441402093</v>
      </c>
      <c r="I2142">
        <v>0.85234001444580498</v>
      </c>
      <c r="J2142">
        <v>-5.738056969391679E-3</v>
      </c>
      <c r="K2142">
        <v>0.5256814896524411</v>
      </c>
      <c r="L2142">
        <v>0.52620042498279895</v>
      </c>
      <c r="M2142">
        <v>-3.7975946443434831E-3</v>
      </c>
      <c r="N2142">
        <v>0.52871974505616781</v>
      </c>
      <c r="O2142">
        <v>0.52924167965148483</v>
      </c>
      <c r="P2142">
        <v>2.998045571849631E-6</v>
      </c>
      <c r="Q2142">
        <v>4.5807423593121593E-2</v>
      </c>
      <c r="R2142">
        <v>-10.82801752654461</v>
      </c>
      <c r="S2142">
        <v>5.3005615433748483</v>
      </c>
      <c r="T2142">
        <v>3.976268754101179</v>
      </c>
      <c r="U2142">
        <v>4.4922140152035306</v>
      </c>
      <c r="V2142">
        <v>0.20036577093346411</v>
      </c>
      <c r="W2142">
        <v>-10.62224077627922</v>
      </c>
      <c r="X2142">
        <v>5.300786135060652</v>
      </c>
      <c r="Z2142" t="s">
        <v>392</v>
      </c>
      <c r="AA2142">
        <v>9400</v>
      </c>
      <c r="AB2142" t="s">
        <v>2533</v>
      </c>
      <c r="AC2142" t="str">
        <f>HYPERLINK("plots/3FT6Y578R01_012_S11P_20251111092011_M5358ACSH101811_RBGEUFRF26/dpll_52046/txpa_54146.png","plot")</f>
        <v>plot</v>
      </c>
    </row>
    <row r="2143" spans="1:29" x14ac:dyDescent="0.35">
      <c r="A2143" s="2" t="s">
        <v>48</v>
      </c>
      <c r="B2143">
        <v>52046</v>
      </c>
      <c r="C2143" t="s">
        <v>51</v>
      </c>
      <c r="D2143">
        <v>54147</v>
      </c>
      <c r="E2143" t="s">
        <v>167</v>
      </c>
      <c r="F2143">
        <v>12243</v>
      </c>
      <c r="G2143">
        <v>0.25128660246269918</v>
      </c>
      <c r="H2143">
        <v>1.1974223107329949E-175</v>
      </c>
      <c r="I2143">
        <v>1.233929088499245E-175</v>
      </c>
      <c r="J2143">
        <v>0.22447883644136571</v>
      </c>
      <c r="K2143">
        <v>1.1748163858773419E-139</v>
      </c>
      <c r="L2143">
        <v>1.2118655292773401E-139</v>
      </c>
      <c r="M2143">
        <v>0.15627950895088941</v>
      </c>
      <c r="N2143">
        <v>8.1318071587467385E-139</v>
      </c>
      <c r="O2143">
        <v>8.3882527558180996E-139</v>
      </c>
      <c r="P2143">
        <v>6.3144956577246614E-2</v>
      </c>
      <c r="Q2143">
        <v>1.651010091337437</v>
      </c>
      <c r="R2143">
        <v>-32.180744489772749</v>
      </c>
      <c r="S2143">
        <v>1.273986877560193</v>
      </c>
      <c r="T2143">
        <v>1.0737701853641179</v>
      </c>
      <c r="U2143">
        <v>4.492205754635302</v>
      </c>
      <c r="V2143">
        <v>0.20033927554587111</v>
      </c>
      <c r="W2143">
        <v>-24.76406745650576</v>
      </c>
      <c r="X2143">
        <v>1.316274574035688</v>
      </c>
      <c r="Z2143" t="s">
        <v>392</v>
      </c>
      <c r="AA2143">
        <v>9400</v>
      </c>
      <c r="AB2143" t="s">
        <v>2534</v>
      </c>
      <c r="AC2143" t="str">
        <f>HYPERLINK("plots/3FT6Y578R01_012_S11P_20251111092011_M5358ACSH101811_RBGEUFRF26/dpll_52046/txpa_54147.png","plot")</f>
        <v>plot</v>
      </c>
    </row>
    <row r="2144" spans="1:29" x14ac:dyDescent="0.35">
      <c r="A2144" s="2" t="s">
        <v>48</v>
      </c>
      <c r="B2144">
        <v>52046</v>
      </c>
      <c r="C2144" t="s">
        <v>51</v>
      </c>
      <c r="D2144">
        <v>54148</v>
      </c>
      <c r="E2144" t="s">
        <v>168</v>
      </c>
      <c r="F2144">
        <v>12243</v>
      </c>
      <c r="G2144">
        <v>0.25366000059761651</v>
      </c>
      <c r="H2144">
        <v>4.695879457959053E-179</v>
      </c>
      <c r="I2144">
        <v>4.8687339165342329E-179</v>
      </c>
      <c r="J2144">
        <v>0.22979761331032439</v>
      </c>
      <c r="K2144">
        <v>1.940523343927494E-146</v>
      </c>
      <c r="L2144">
        <v>2.0160765069082772E-146</v>
      </c>
      <c r="M2144">
        <v>0.15868241487163151</v>
      </c>
      <c r="N2144">
        <v>6.4542816471122139E-145</v>
      </c>
      <c r="O2144">
        <v>6.7055753997661726E-145</v>
      </c>
      <c r="P2144">
        <v>6.4343395903182804E-2</v>
      </c>
      <c r="Q2144">
        <v>1.6876549510296099</v>
      </c>
      <c r="R2144">
        <v>-32.228091374008102</v>
      </c>
      <c r="S2144">
        <v>1.2892533665806201</v>
      </c>
      <c r="T2144">
        <v>1.087264037263179</v>
      </c>
      <c r="U2144">
        <v>4.492205754635302</v>
      </c>
      <c r="V2144">
        <v>0.20033927554587111</v>
      </c>
      <c r="W2144">
        <v>-24.646798091154128</v>
      </c>
      <c r="X2144">
        <v>1.332900612883827</v>
      </c>
      <c r="Z2144" t="s">
        <v>392</v>
      </c>
      <c r="AA2144">
        <v>9400</v>
      </c>
      <c r="AB2144" t="s">
        <v>2535</v>
      </c>
      <c r="AC2144" t="str">
        <f>HYPERLINK("plots/3FT6Y578R01_012_S11P_20251111092011_M5358ACSH101811_RBGEUFRF26/dpll_52046/txpa_54148.png","plot")</f>
        <v>plot</v>
      </c>
    </row>
    <row r="2145" spans="1:29" x14ac:dyDescent="0.35">
      <c r="A2145" s="2" t="s">
        <v>48</v>
      </c>
      <c r="B2145">
        <v>52046</v>
      </c>
      <c r="C2145" t="s">
        <v>51</v>
      </c>
      <c r="D2145">
        <v>54149</v>
      </c>
      <c r="E2145" t="s">
        <v>169</v>
      </c>
      <c r="F2145">
        <v>12243</v>
      </c>
      <c r="G2145">
        <v>0.25460927007857459</v>
      </c>
      <c r="H2145">
        <v>1.9909432682399929E-180</v>
      </c>
      <c r="I2145">
        <v>2.0684595020444189E-180</v>
      </c>
      <c r="J2145">
        <v>0.22438096643503561</v>
      </c>
      <c r="K2145">
        <v>1.559992002401382E-139</v>
      </c>
      <c r="L2145">
        <v>1.6075527341819119E-139</v>
      </c>
      <c r="M2145">
        <v>0.1550074262370838</v>
      </c>
      <c r="N2145">
        <v>5.4525187675205785E-138</v>
      </c>
      <c r="O2145">
        <v>5.6187540957986445E-138</v>
      </c>
      <c r="P2145">
        <v>6.4825880409944567E-2</v>
      </c>
      <c r="Q2145">
        <v>1.6763034865182831</v>
      </c>
      <c r="R2145">
        <v>-32.221179566676007</v>
      </c>
      <c r="S2145">
        <v>1.275478193480087</v>
      </c>
      <c r="T2145">
        <v>1.0804683540389211</v>
      </c>
      <c r="U2145">
        <v>4.492205754635302</v>
      </c>
      <c r="V2145">
        <v>0.20033927554587111</v>
      </c>
      <c r="W2145">
        <v>-24.690879398023359</v>
      </c>
      <c r="X2145">
        <v>1.3189992099676919</v>
      </c>
      <c r="Z2145" t="s">
        <v>392</v>
      </c>
      <c r="AA2145">
        <v>9400</v>
      </c>
      <c r="AB2145" t="s">
        <v>2536</v>
      </c>
      <c r="AC2145" t="str">
        <f>HYPERLINK("plots/3FT6Y578R01_012_S11P_20251111092011_M5358ACSH101811_RBGEUFRF26/dpll_52046/txpa_54149.png","plot")</f>
        <v>plot</v>
      </c>
    </row>
    <row r="2146" spans="1:29" x14ac:dyDescent="0.35">
      <c r="A2146" s="2" t="s">
        <v>48</v>
      </c>
      <c r="B2146">
        <v>52046</v>
      </c>
      <c r="C2146" t="s">
        <v>51</v>
      </c>
      <c r="D2146">
        <v>54150</v>
      </c>
      <c r="E2146" t="s">
        <v>170</v>
      </c>
      <c r="F2146">
        <v>12243</v>
      </c>
      <c r="G2146">
        <v>0.26458935292086982</v>
      </c>
      <c r="H2146">
        <v>3.2610486554280251E-195</v>
      </c>
      <c r="I2146">
        <v>3.4337521667746799E-195</v>
      </c>
      <c r="J2146">
        <v>0.23651158338601549</v>
      </c>
      <c r="K2146">
        <v>2.9853856616930349E-155</v>
      </c>
      <c r="L2146">
        <v>3.1434901982936E-155</v>
      </c>
      <c r="M2146">
        <v>0.16266456010662661</v>
      </c>
      <c r="N2146">
        <v>8.3223176975275332E-153</v>
      </c>
      <c r="O2146">
        <v>8.7630634945928537E-153</v>
      </c>
      <c r="P2146">
        <v>7.0007525679084581E-2</v>
      </c>
      <c r="Q2146">
        <v>1.7679564240683849</v>
      </c>
      <c r="R2146">
        <v>-32.532263314801483</v>
      </c>
      <c r="S2146">
        <v>1.290884158312654</v>
      </c>
      <c r="T2146">
        <v>1.0913598388138519</v>
      </c>
      <c r="U2146">
        <v>4.492205754635302</v>
      </c>
      <c r="V2146">
        <v>0.20033927554587111</v>
      </c>
      <c r="W2146">
        <v>-24.590239292657031</v>
      </c>
      <c r="X2146">
        <v>1.3386446026059731</v>
      </c>
      <c r="Z2146" t="s">
        <v>392</v>
      </c>
      <c r="AA2146">
        <v>9400</v>
      </c>
      <c r="AB2146" t="s">
        <v>2537</v>
      </c>
      <c r="AC2146" t="str">
        <f>HYPERLINK("plots/3FT6Y578R01_012_S11P_20251111092011_M5358ACSH101811_RBGEUFRF26/dpll_52046/txpa_54150.png","plot")</f>
        <v>plot</v>
      </c>
    </row>
    <row r="2147" spans="1:29" x14ac:dyDescent="0.35">
      <c r="A2147" s="2" t="s">
        <v>48</v>
      </c>
      <c r="B2147">
        <v>52046</v>
      </c>
      <c r="C2147" t="s">
        <v>51</v>
      </c>
      <c r="D2147">
        <v>54151</v>
      </c>
      <c r="E2147" t="s">
        <v>171</v>
      </c>
      <c r="F2147">
        <v>12242</v>
      </c>
      <c r="G2147">
        <v>0.25628548297773279</v>
      </c>
      <c r="H2147">
        <v>7.5121827857540519E-183</v>
      </c>
      <c r="I2147">
        <v>7.8610457634206497E-183</v>
      </c>
      <c r="J2147">
        <v>0.23315458462692021</v>
      </c>
      <c r="K2147">
        <v>8.4899937147759651E-151</v>
      </c>
      <c r="L2147">
        <v>8.8842658687129299E-151</v>
      </c>
      <c r="M2147">
        <v>0.16057895986275689</v>
      </c>
      <c r="N2147">
        <v>1.3907149165504999E-148</v>
      </c>
      <c r="O2147">
        <v>1.4552992006008331E-148</v>
      </c>
      <c r="P2147">
        <v>6.5682248785129793E-2</v>
      </c>
      <c r="Q2147">
        <v>1.707368402417424</v>
      </c>
      <c r="R2147">
        <v>-32.304578539608322</v>
      </c>
      <c r="S2147">
        <v>1.2900391903502451</v>
      </c>
      <c r="T2147">
        <v>1.0917065740059739</v>
      </c>
      <c r="U2147">
        <v>4.4922201507106676</v>
      </c>
      <c r="V2147">
        <v>0.20034112557569189</v>
      </c>
      <c r="W2147">
        <v>-24.634703797582091</v>
      </c>
      <c r="X2147">
        <v>1.334668290760725</v>
      </c>
      <c r="Z2147" t="s">
        <v>392</v>
      </c>
      <c r="AA2147">
        <v>9400</v>
      </c>
      <c r="AB2147" t="s">
        <v>2538</v>
      </c>
      <c r="AC2147" t="str">
        <f>HYPERLINK("plots/3FT6Y578R01_012_S11P_20251111092011_M5358ACSH101811_RBGEUFRF26/dpll_52046/txpa_54151.png","plot")</f>
        <v>plot</v>
      </c>
    </row>
    <row r="2148" spans="1:29" x14ac:dyDescent="0.35">
      <c r="A2148" s="2" t="s">
        <v>48</v>
      </c>
      <c r="B2148">
        <v>52046</v>
      </c>
      <c r="C2148" t="s">
        <v>51</v>
      </c>
      <c r="D2148">
        <v>54152</v>
      </c>
      <c r="E2148" t="s">
        <v>172</v>
      </c>
      <c r="F2148">
        <v>12243</v>
      </c>
      <c r="G2148">
        <v>0.25646889975374881</v>
      </c>
      <c r="H2148">
        <v>3.9184108209589106E-183</v>
      </c>
      <c r="I2148">
        <v>4.1046162938557192E-183</v>
      </c>
      <c r="J2148">
        <v>0.22944358574274809</v>
      </c>
      <c r="K2148">
        <v>5.5565521756665224E-146</v>
      </c>
      <c r="L2148">
        <v>5.7610878385744926E-146</v>
      </c>
      <c r="M2148">
        <v>0.15867775899575101</v>
      </c>
      <c r="N2148">
        <v>3.0008027148140202E-144</v>
      </c>
      <c r="O2148">
        <v>3.1112617104513461E-144</v>
      </c>
      <c r="P2148">
        <v>6.5776296540898463E-2</v>
      </c>
      <c r="Q2148">
        <v>1.7029805935520741</v>
      </c>
      <c r="R2148">
        <v>-32.336723820932967</v>
      </c>
      <c r="S2148">
        <v>1.2857270860360019</v>
      </c>
      <c r="T2148">
        <v>1.0844403659378239</v>
      </c>
      <c r="U2148">
        <v>4.492205754635302</v>
      </c>
      <c r="V2148">
        <v>0.20033927554587111</v>
      </c>
      <c r="W2148">
        <v>-24.686584598546101</v>
      </c>
      <c r="X2148">
        <v>1.3302739580061429</v>
      </c>
      <c r="Z2148" t="s">
        <v>392</v>
      </c>
      <c r="AA2148">
        <v>9400</v>
      </c>
      <c r="AB2148" t="s">
        <v>2539</v>
      </c>
      <c r="AC2148" t="str">
        <f>HYPERLINK("plots/3FT6Y578R01_012_S11P_20251111092011_M5358ACSH101811_RBGEUFRF26/dpll_52046/txpa_54152.png","plot")</f>
        <v>plot</v>
      </c>
    </row>
    <row r="2149" spans="1:29" x14ac:dyDescent="0.35">
      <c r="A2149" s="2" t="s">
        <v>48</v>
      </c>
      <c r="B2149">
        <v>52046</v>
      </c>
      <c r="C2149" t="s">
        <v>51</v>
      </c>
      <c r="D2149">
        <v>54153</v>
      </c>
      <c r="E2149" t="s">
        <v>173</v>
      </c>
      <c r="F2149">
        <v>12243</v>
      </c>
      <c r="G2149">
        <v>0.25419198044247748</v>
      </c>
      <c r="H2149">
        <v>8.0017176296490488E-180</v>
      </c>
      <c r="I2149">
        <v>8.3047509482744474E-180</v>
      </c>
      <c r="J2149">
        <v>0.2306055106781503</v>
      </c>
      <c r="K2149">
        <v>1.747312726659902E-147</v>
      </c>
      <c r="L2149">
        <v>1.819070949520678E-147</v>
      </c>
      <c r="M2149">
        <v>0.15991950949321929</v>
      </c>
      <c r="N2149">
        <v>1.270751243274281E-145</v>
      </c>
      <c r="O2149">
        <v>1.3215812930052521E-145</v>
      </c>
      <c r="P2149">
        <v>6.461356292126888E-2</v>
      </c>
      <c r="Q2149">
        <v>1.6795349837501501</v>
      </c>
      <c r="R2149">
        <v>-32.271435152504239</v>
      </c>
      <c r="S2149">
        <v>1.2801801992703761</v>
      </c>
      <c r="T2149">
        <v>1.0816291007904499</v>
      </c>
      <c r="U2149">
        <v>4.492205754635302</v>
      </c>
      <c r="V2149">
        <v>0.20033927554587111</v>
      </c>
      <c r="W2149">
        <v>-24.726618433390509</v>
      </c>
      <c r="X2149">
        <v>1.3237113984191751</v>
      </c>
      <c r="Z2149" t="s">
        <v>392</v>
      </c>
      <c r="AA2149">
        <v>9400</v>
      </c>
      <c r="AB2149" t="s">
        <v>2540</v>
      </c>
      <c r="AC2149" t="str">
        <f>HYPERLINK("plots/3FT6Y578R01_012_S11P_20251111092011_M5358ACSH101811_RBGEUFRF26/dpll_52046/txpa_54153.png","plot")</f>
        <v>plot</v>
      </c>
    </row>
    <row r="2150" spans="1:29" x14ac:dyDescent="0.35">
      <c r="A2150" s="2" t="s">
        <v>48</v>
      </c>
      <c r="B2150">
        <v>52046</v>
      </c>
      <c r="C2150" t="s">
        <v>51</v>
      </c>
      <c r="D2150">
        <v>54154</v>
      </c>
      <c r="E2150" t="s">
        <v>174</v>
      </c>
      <c r="F2150">
        <v>12243</v>
      </c>
      <c r="G2150">
        <v>0.24563865526723211</v>
      </c>
      <c r="H2150">
        <v>1.094610532530574E-167</v>
      </c>
      <c r="I2150">
        <v>1.1245542857001031E-167</v>
      </c>
      <c r="J2150">
        <v>0.21828681843290099</v>
      </c>
      <c r="K2150">
        <v>5.5617125111092072E-132</v>
      </c>
      <c r="L2150">
        <v>5.7138566223553551E-132</v>
      </c>
      <c r="M2150">
        <v>0.15285171567920181</v>
      </c>
      <c r="N2150">
        <v>1.4737214622319409E-131</v>
      </c>
      <c r="O2150">
        <v>1.5155715646076959E-131</v>
      </c>
      <c r="P2150">
        <v>6.03383489614941E-2</v>
      </c>
      <c r="Q2150">
        <v>1.566645589151952</v>
      </c>
      <c r="R2150">
        <v>-31.897818935326061</v>
      </c>
      <c r="S2150">
        <v>1.2385346535281481</v>
      </c>
      <c r="T2150">
        <v>1.040756596999624</v>
      </c>
      <c r="U2150">
        <v>4.492205754635302</v>
      </c>
      <c r="V2150">
        <v>0.20033927554587111</v>
      </c>
      <c r="W2150">
        <v>-24.86012460426366</v>
      </c>
      <c r="X2150">
        <v>1.27773310770809</v>
      </c>
      <c r="Z2150" t="s">
        <v>392</v>
      </c>
      <c r="AA2150">
        <v>9400</v>
      </c>
      <c r="AB2150" t="s">
        <v>2541</v>
      </c>
      <c r="AC2150" t="str">
        <f>HYPERLINK("plots/3FT6Y578R01_012_S11P_20251111092011_M5358ACSH101811_RBGEUFRF26/dpll_52046/txpa_54154.png","plot")</f>
        <v>plot</v>
      </c>
    </row>
    <row r="2151" spans="1:29" x14ac:dyDescent="0.35">
      <c r="A2151" s="2" t="s">
        <v>48</v>
      </c>
      <c r="B2151">
        <v>52046</v>
      </c>
      <c r="C2151" t="s">
        <v>51</v>
      </c>
      <c r="D2151">
        <v>54155</v>
      </c>
      <c r="E2151" t="s">
        <v>175</v>
      </c>
      <c r="F2151">
        <v>12243</v>
      </c>
      <c r="G2151">
        <v>0.72784492921428101</v>
      </c>
      <c r="H2151">
        <v>0</v>
      </c>
      <c r="I2151">
        <v>0</v>
      </c>
      <c r="J2151">
        <v>0.62488272072704421</v>
      </c>
      <c r="K2151">
        <v>0</v>
      </c>
      <c r="L2151">
        <v>0</v>
      </c>
      <c r="M2151">
        <v>0.44715048383845762</v>
      </c>
      <c r="N2151">
        <v>0</v>
      </c>
      <c r="O2151">
        <v>0</v>
      </c>
      <c r="P2151">
        <v>0.52975824098294177</v>
      </c>
      <c r="Q2151">
        <v>1.3952417531642529</v>
      </c>
      <c r="R2151">
        <v>-17.332090928612441</v>
      </c>
      <c r="S2151">
        <v>0.26334165583150632</v>
      </c>
      <c r="T2151">
        <v>0.20240117520247611</v>
      </c>
      <c r="U2151">
        <v>4.492205754635302</v>
      </c>
      <c r="V2151">
        <v>0.20033927554587111</v>
      </c>
      <c r="W2151">
        <v>-11.06437789594054</v>
      </c>
      <c r="X2151">
        <v>0.384040213541125</v>
      </c>
      <c r="Z2151" t="s">
        <v>392</v>
      </c>
      <c r="AA2151">
        <v>9400</v>
      </c>
      <c r="AB2151" t="s">
        <v>2542</v>
      </c>
      <c r="AC2151" t="str">
        <f>HYPERLINK("plots/3FT6Y578R01_012_S11P_20251111092011_M5358ACSH101811_RBGEUFRF26/dpll_52046/txpa_54155.png","plot")</f>
        <v>plot</v>
      </c>
    </row>
    <row r="2152" spans="1:29" x14ac:dyDescent="0.35">
      <c r="A2152" s="2" t="s">
        <v>48</v>
      </c>
      <c r="B2152">
        <v>52046</v>
      </c>
      <c r="C2152" t="s">
        <v>51</v>
      </c>
      <c r="D2152">
        <v>54156</v>
      </c>
      <c r="E2152" t="s">
        <v>176</v>
      </c>
      <c r="F2152">
        <v>12242</v>
      </c>
      <c r="G2152">
        <v>0.74511106033348018</v>
      </c>
      <c r="H2152">
        <v>0</v>
      </c>
      <c r="I2152">
        <v>0</v>
      </c>
      <c r="J2152">
        <v>0.63895524376102086</v>
      </c>
      <c r="K2152">
        <v>0</v>
      </c>
      <c r="L2152">
        <v>0</v>
      </c>
      <c r="M2152">
        <v>0.45926444970468189</v>
      </c>
      <c r="N2152">
        <v>0</v>
      </c>
      <c r="O2152">
        <v>0</v>
      </c>
      <c r="P2152">
        <v>0.55519049223128314</v>
      </c>
      <c r="Q2152">
        <v>1.4189892676599141</v>
      </c>
      <c r="R2152">
        <v>-17.369840644448619</v>
      </c>
      <c r="S2152">
        <v>0.25444660368598859</v>
      </c>
      <c r="T2152">
        <v>0.19846404008048049</v>
      </c>
      <c r="U2152">
        <v>4.492190922643359</v>
      </c>
      <c r="V2152">
        <v>0.20034073623739329</v>
      </c>
      <c r="W2152">
        <v>-10.995469936938409</v>
      </c>
      <c r="X2152">
        <v>0.3815288347333276</v>
      </c>
      <c r="Z2152" t="s">
        <v>392</v>
      </c>
      <c r="AA2152">
        <v>9400</v>
      </c>
      <c r="AB2152" t="s">
        <v>2543</v>
      </c>
      <c r="AC2152" t="str">
        <f>HYPERLINK("plots/3FT6Y578R01_012_S11P_20251111092011_M5358ACSH101811_RBGEUFRF26/dpll_52046/txpa_54156.png","plot")</f>
        <v>plot</v>
      </c>
    </row>
    <row r="2153" spans="1:29" x14ac:dyDescent="0.35">
      <c r="A2153" s="2" t="s">
        <v>48</v>
      </c>
      <c r="B2153">
        <v>52046</v>
      </c>
      <c r="C2153" t="s">
        <v>51</v>
      </c>
      <c r="D2153">
        <v>54157</v>
      </c>
      <c r="E2153" t="s">
        <v>177</v>
      </c>
      <c r="F2153">
        <v>12243</v>
      </c>
      <c r="G2153">
        <v>0.74697551459809941</v>
      </c>
      <c r="H2153">
        <v>0</v>
      </c>
      <c r="I2153">
        <v>0</v>
      </c>
      <c r="J2153">
        <v>0.63403214833270305</v>
      </c>
      <c r="K2153">
        <v>0</v>
      </c>
      <c r="L2153">
        <v>0</v>
      </c>
      <c r="M2153">
        <v>0.45449799351433001</v>
      </c>
      <c r="N2153">
        <v>0</v>
      </c>
      <c r="O2153">
        <v>0</v>
      </c>
      <c r="P2153">
        <v>0.55797241940909548</v>
      </c>
      <c r="Q2153">
        <v>1.39776723557157</v>
      </c>
      <c r="R2153">
        <v>-17.280735919136429</v>
      </c>
      <c r="S2153">
        <v>0.24923069925337921</v>
      </c>
      <c r="T2153">
        <v>0.19478788708361289</v>
      </c>
      <c r="U2153">
        <v>4.492205754635302</v>
      </c>
      <c r="V2153">
        <v>0.20033927554587111</v>
      </c>
      <c r="W2153">
        <v>-11.001677899861139</v>
      </c>
      <c r="X2153">
        <v>0.37488200065945759</v>
      </c>
      <c r="Z2153" t="s">
        <v>392</v>
      </c>
      <c r="AA2153">
        <v>9400</v>
      </c>
      <c r="AB2153" t="s">
        <v>2544</v>
      </c>
      <c r="AC2153" t="str">
        <f>HYPERLINK("plots/3FT6Y578R01_012_S11P_20251111092011_M5358ACSH101811_RBGEUFRF26/dpll_52046/txpa_54157.png","plot")</f>
        <v>plot</v>
      </c>
    </row>
    <row r="2154" spans="1:29" x14ac:dyDescent="0.35">
      <c r="A2154" s="2" t="s">
        <v>48</v>
      </c>
      <c r="B2154">
        <v>52046</v>
      </c>
      <c r="C2154" t="s">
        <v>51</v>
      </c>
      <c r="D2154">
        <v>54158</v>
      </c>
      <c r="E2154" t="s">
        <v>178</v>
      </c>
      <c r="F2154">
        <v>12242</v>
      </c>
      <c r="G2154">
        <v>0.7592304468240485</v>
      </c>
      <c r="H2154">
        <v>0</v>
      </c>
      <c r="I2154">
        <v>0</v>
      </c>
      <c r="J2154">
        <v>0.6432247807716206</v>
      </c>
      <c r="K2154">
        <v>0</v>
      </c>
      <c r="L2154">
        <v>0</v>
      </c>
      <c r="M2154">
        <v>0.46197596273969682</v>
      </c>
      <c r="N2154">
        <v>0</v>
      </c>
      <c r="O2154">
        <v>0</v>
      </c>
      <c r="P2154">
        <v>0.57643087138464433</v>
      </c>
      <c r="Q2154">
        <v>1.4424909633172369</v>
      </c>
      <c r="R2154">
        <v>-17.41846229993676</v>
      </c>
      <c r="S2154">
        <v>0.24772225682504609</v>
      </c>
      <c r="T2154">
        <v>0.1945383982333995</v>
      </c>
      <c r="U2154">
        <v>4.4922121462179394</v>
      </c>
      <c r="V2154">
        <v>0.20034621017914711</v>
      </c>
      <c r="W2154">
        <v>-10.938486873713449</v>
      </c>
      <c r="X2154">
        <v>0.38064542712583121</v>
      </c>
      <c r="Z2154" t="s">
        <v>392</v>
      </c>
      <c r="AA2154">
        <v>9400</v>
      </c>
      <c r="AB2154" t="s">
        <v>2545</v>
      </c>
      <c r="AC2154" t="str">
        <f>HYPERLINK("plots/3FT6Y578R01_012_S11P_20251111092011_M5358ACSH101811_RBGEUFRF26/dpll_52046/txpa_54158.png","plot")</f>
        <v>plot</v>
      </c>
    </row>
    <row r="2155" spans="1:29" x14ac:dyDescent="0.35">
      <c r="A2155" s="2" t="s">
        <v>48</v>
      </c>
      <c r="B2155">
        <v>52046</v>
      </c>
      <c r="C2155" t="s">
        <v>51</v>
      </c>
      <c r="D2155">
        <v>54159</v>
      </c>
      <c r="E2155" t="s">
        <v>179</v>
      </c>
      <c r="F2155">
        <v>12240</v>
      </c>
      <c r="G2155">
        <v>0.75584440559765698</v>
      </c>
      <c r="H2155">
        <v>0</v>
      </c>
      <c r="I2155">
        <v>0</v>
      </c>
      <c r="J2155">
        <v>0.63817295629827386</v>
      </c>
      <c r="K2155">
        <v>0</v>
      </c>
      <c r="L2155">
        <v>0</v>
      </c>
      <c r="M2155">
        <v>0.45644494326797791</v>
      </c>
      <c r="N2155">
        <v>0</v>
      </c>
      <c r="O2155">
        <v>0</v>
      </c>
      <c r="P2155">
        <v>0.57130076547327535</v>
      </c>
      <c r="Q2155">
        <v>1.437748291680544</v>
      </c>
      <c r="R2155">
        <v>-17.42089478422044</v>
      </c>
      <c r="S2155">
        <v>0.24946815056964131</v>
      </c>
      <c r="T2155">
        <v>0.19686152027986081</v>
      </c>
      <c r="U2155">
        <v>4.492228153022876</v>
      </c>
      <c r="V2155">
        <v>0.2003115712750779</v>
      </c>
      <c r="W2155">
        <v>-10.96220143137255</v>
      </c>
      <c r="X2155">
        <v>0.38102765234713232</v>
      </c>
      <c r="Z2155" t="s">
        <v>392</v>
      </c>
      <c r="AA2155">
        <v>9400</v>
      </c>
      <c r="AB2155" t="s">
        <v>2546</v>
      </c>
      <c r="AC2155" t="str">
        <f>HYPERLINK("plots/3FT6Y578R01_012_S11P_20251111092011_M5358ACSH101811_RBGEUFRF26/dpll_52046/txpa_54159.png","plot")</f>
        <v>plot</v>
      </c>
    </row>
    <row r="2156" spans="1:29" x14ac:dyDescent="0.35">
      <c r="A2156" s="2" t="s">
        <v>48</v>
      </c>
      <c r="B2156">
        <v>52046</v>
      </c>
      <c r="C2156" t="s">
        <v>51</v>
      </c>
      <c r="D2156">
        <v>54160</v>
      </c>
      <c r="E2156" t="s">
        <v>180</v>
      </c>
      <c r="F2156">
        <v>12241</v>
      </c>
      <c r="G2156">
        <v>0.75836191473014691</v>
      </c>
      <c r="H2156">
        <v>0</v>
      </c>
      <c r="I2156">
        <v>0</v>
      </c>
      <c r="J2156">
        <v>0.64800765785463643</v>
      </c>
      <c r="K2156">
        <v>0</v>
      </c>
      <c r="L2156">
        <v>0</v>
      </c>
      <c r="M2156">
        <v>0.46726764991072289</v>
      </c>
      <c r="N2156">
        <v>0</v>
      </c>
      <c r="O2156">
        <v>0</v>
      </c>
      <c r="P2156">
        <v>0.57511279371317459</v>
      </c>
      <c r="Q2156">
        <v>1.436704556960255</v>
      </c>
      <c r="R2156">
        <v>-17.440501096527491</v>
      </c>
      <c r="S2156">
        <v>0.2473434822882169</v>
      </c>
      <c r="T2156">
        <v>0.19387458597046511</v>
      </c>
      <c r="U2156">
        <v>4.4922102342945847</v>
      </c>
      <c r="V2156">
        <v>0.20030437210640301</v>
      </c>
      <c r="W2156">
        <v>-10.986522182092971</v>
      </c>
      <c r="X2156">
        <v>0.37947343952093637</v>
      </c>
      <c r="Z2156" t="s">
        <v>392</v>
      </c>
      <c r="AA2156">
        <v>9400</v>
      </c>
      <c r="AB2156" t="s">
        <v>2547</v>
      </c>
      <c r="AC2156" t="str">
        <f>HYPERLINK("plots/3FT6Y578R01_012_S11P_20251111092011_M5358ACSH101811_RBGEUFRF26/dpll_52046/txpa_54160.png","plot")</f>
        <v>plot</v>
      </c>
    </row>
    <row r="2157" spans="1:29" x14ac:dyDescent="0.35">
      <c r="A2157" s="2" t="s">
        <v>48</v>
      </c>
      <c r="B2157">
        <v>52046</v>
      </c>
      <c r="C2157" t="s">
        <v>51</v>
      </c>
      <c r="D2157">
        <v>54161</v>
      </c>
      <c r="E2157" t="s">
        <v>181</v>
      </c>
      <c r="F2157">
        <v>12242</v>
      </c>
      <c r="G2157">
        <v>0.75413640375014479</v>
      </c>
      <c r="H2157">
        <v>0</v>
      </c>
      <c r="I2157">
        <v>0</v>
      </c>
      <c r="J2157">
        <v>0.64207559985874585</v>
      </c>
      <c r="K2157">
        <v>0</v>
      </c>
      <c r="L2157">
        <v>0</v>
      </c>
      <c r="M2157">
        <v>0.46141746167639708</v>
      </c>
      <c r="N2157">
        <v>0</v>
      </c>
      <c r="O2157">
        <v>0</v>
      </c>
      <c r="P2157">
        <v>0.56872171546120143</v>
      </c>
      <c r="Q2157">
        <v>1.425545406599934</v>
      </c>
      <c r="R2157">
        <v>-17.389514117958399</v>
      </c>
      <c r="S2157">
        <v>0.24866341994481819</v>
      </c>
      <c r="T2157">
        <v>0.1953636964687715</v>
      </c>
      <c r="U2157">
        <v>4.4922368706093776</v>
      </c>
      <c r="V2157">
        <v>0.20031787099771459</v>
      </c>
      <c r="W2157">
        <v>-10.98562648170234</v>
      </c>
      <c r="X2157">
        <v>0.37866123348592617</v>
      </c>
      <c r="Z2157" t="s">
        <v>392</v>
      </c>
      <c r="AA2157">
        <v>9400</v>
      </c>
      <c r="AB2157" t="s">
        <v>2548</v>
      </c>
      <c r="AC2157" t="str">
        <f>HYPERLINK("plots/3FT6Y578R01_012_S11P_20251111092011_M5358ACSH101811_RBGEUFRF26/dpll_52046/txpa_54161.png","plot")</f>
        <v>plot</v>
      </c>
    </row>
    <row r="2158" spans="1:29" x14ac:dyDescent="0.35">
      <c r="A2158" s="2" t="s">
        <v>48</v>
      </c>
      <c r="B2158">
        <v>52046</v>
      </c>
      <c r="C2158" t="s">
        <v>51</v>
      </c>
      <c r="D2158">
        <v>54162</v>
      </c>
      <c r="E2158" t="s">
        <v>182</v>
      </c>
      <c r="F2158">
        <v>12241</v>
      </c>
      <c r="G2158">
        <v>0.74804587254142219</v>
      </c>
      <c r="H2158">
        <v>0</v>
      </c>
      <c r="I2158">
        <v>0</v>
      </c>
      <c r="J2158">
        <v>0.63025632639094753</v>
      </c>
      <c r="K2158">
        <v>0</v>
      </c>
      <c r="L2158">
        <v>0</v>
      </c>
      <c r="M2158">
        <v>0.4525927175368023</v>
      </c>
      <c r="N2158">
        <v>0</v>
      </c>
      <c r="O2158">
        <v>0</v>
      </c>
      <c r="P2158">
        <v>0.55957262742625768</v>
      </c>
      <c r="Q2158">
        <v>1.406995300070248</v>
      </c>
      <c r="R2158">
        <v>-17.368365146125448</v>
      </c>
      <c r="S2158">
        <v>0.25003004230864501</v>
      </c>
      <c r="T2158">
        <v>0.19555753117166219</v>
      </c>
      <c r="U2158">
        <v>4.4922578171717999</v>
      </c>
      <c r="V2158">
        <v>0.20031264585891739</v>
      </c>
      <c r="W2158">
        <v>-11.0477795106609</v>
      </c>
      <c r="X2158">
        <v>0.37676693584393278</v>
      </c>
      <c r="Z2158" t="s">
        <v>392</v>
      </c>
      <c r="AA2158">
        <v>9400</v>
      </c>
      <c r="AB2158" t="s">
        <v>2549</v>
      </c>
      <c r="AC2158" t="str">
        <f>HYPERLINK("plots/3FT6Y578R01_012_S11P_20251111092011_M5358ACSH101811_RBGEUFRF26/dpll_52046/txpa_54162.png","plot")</f>
        <v>plot</v>
      </c>
    </row>
    <row r="2159" spans="1:29" x14ac:dyDescent="0.35">
      <c r="A2159" s="2" t="s">
        <v>48</v>
      </c>
      <c r="B2159">
        <v>52046</v>
      </c>
      <c r="C2159" t="s">
        <v>51</v>
      </c>
      <c r="D2159">
        <v>54163</v>
      </c>
      <c r="E2159" t="s">
        <v>183</v>
      </c>
      <c r="F2159">
        <v>12243</v>
      </c>
      <c r="G2159">
        <v>0.77444374931088733</v>
      </c>
      <c r="H2159">
        <v>0</v>
      </c>
      <c r="I2159">
        <v>0</v>
      </c>
      <c r="J2159">
        <v>0.66932078150149743</v>
      </c>
      <c r="K2159">
        <v>0</v>
      </c>
      <c r="L2159">
        <v>0</v>
      </c>
      <c r="M2159">
        <v>0.48215709132125001</v>
      </c>
      <c r="N2159">
        <v>0</v>
      </c>
      <c r="O2159">
        <v>0</v>
      </c>
      <c r="P2159">
        <v>0.59976312084670447</v>
      </c>
      <c r="Q2159">
        <v>1.2499791531220279</v>
      </c>
      <c r="R2159">
        <v>-10.372983957717929</v>
      </c>
      <c r="S2159">
        <v>0.2045595712285605</v>
      </c>
      <c r="T2159">
        <v>0.15565343037416021</v>
      </c>
      <c r="U2159">
        <v>4.492205754635302</v>
      </c>
      <c r="V2159">
        <v>0.20033927554587111</v>
      </c>
      <c r="W2159">
        <v>-4.7578204128889974</v>
      </c>
      <c r="X2159">
        <v>0.32335456023337572</v>
      </c>
      <c r="Z2159" t="s">
        <v>392</v>
      </c>
      <c r="AA2159">
        <v>9400</v>
      </c>
      <c r="AB2159" t="s">
        <v>2550</v>
      </c>
      <c r="AC2159" t="str">
        <f>HYPERLINK("plots/3FT6Y578R01_012_S11P_20251111092011_M5358ACSH101811_RBGEUFRF26/dpll_52046/txpa_54163.png","plot")</f>
        <v>plot</v>
      </c>
    </row>
    <row r="2160" spans="1:29" x14ac:dyDescent="0.35">
      <c r="A2160" s="2" t="s">
        <v>48</v>
      </c>
      <c r="B2160">
        <v>52046</v>
      </c>
      <c r="C2160" t="s">
        <v>51</v>
      </c>
      <c r="D2160">
        <v>54164</v>
      </c>
      <c r="E2160" t="s">
        <v>184</v>
      </c>
      <c r="F2160">
        <v>12242</v>
      </c>
      <c r="G2160">
        <v>0.79011619235196273</v>
      </c>
      <c r="H2160">
        <v>0</v>
      </c>
      <c r="I2160">
        <v>0</v>
      </c>
      <c r="J2160">
        <v>0.67976091523190052</v>
      </c>
      <c r="K2160">
        <v>0</v>
      </c>
      <c r="L2160">
        <v>0</v>
      </c>
      <c r="M2160">
        <v>0.49300927822032742</v>
      </c>
      <c r="N2160">
        <v>0</v>
      </c>
      <c r="O2160">
        <v>0</v>
      </c>
      <c r="P2160">
        <v>0.62428359741676376</v>
      </c>
      <c r="Q2160">
        <v>1.2670641946473871</v>
      </c>
      <c r="R2160">
        <v>-10.40670509544425</v>
      </c>
      <c r="S2160">
        <v>0.19691974328746281</v>
      </c>
      <c r="T2160">
        <v>0.15179100397518111</v>
      </c>
      <c r="U2160">
        <v>4.492190922643359</v>
      </c>
      <c r="V2160">
        <v>0.20034073623739329</v>
      </c>
      <c r="W2160">
        <v>-4.7148108218428364</v>
      </c>
      <c r="X2160">
        <v>0.32127499230217088</v>
      </c>
      <c r="Z2160" t="s">
        <v>392</v>
      </c>
      <c r="AA2160">
        <v>9400</v>
      </c>
      <c r="AB2160" t="s">
        <v>2551</v>
      </c>
      <c r="AC2160" t="str">
        <f>HYPERLINK("plots/3FT6Y578R01_012_S11P_20251111092011_M5358ACSH101811_RBGEUFRF26/dpll_52046/txpa_54164.png","plot")</f>
        <v>plot</v>
      </c>
    </row>
    <row r="2161" spans="1:29" x14ac:dyDescent="0.35">
      <c r="A2161" s="2" t="s">
        <v>48</v>
      </c>
      <c r="B2161">
        <v>52046</v>
      </c>
      <c r="C2161" t="s">
        <v>51</v>
      </c>
      <c r="D2161">
        <v>54165</v>
      </c>
      <c r="E2161" t="s">
        <v>185</v>
      </c>
      <c r="F2161">
        <v>12243</v>
      </c>
      <c r="G2161">
        <v>0.78900545791549404</v>
      </c>
      <c r="H2161">
        <v>0</v>
      </c>
      <c r="I2161">
        <v>0</v>
      </c>
      <c r="J2161">
        <v>0.67752399312163403</v>
      </c>
      <c r="K2161">
        <v>0</v>
      </c>
      <c r="L2161">
        <v>0</v>
      </c>
      <c r="M2161">
        <v>0.49040268867859099</v>
      </c>
      <c r="N2161">
        <v>0</v>
      </c>
      <c r="O2161">
        <v>0</v>
      </c>
      <c r="P2161">
        <v>0.62252961262043838</v>
      </c>
      <c r="Q2161">
        <v>1.2523891303890129</v>
      </c>
      <c r="R2161">
        <v>-10.3406501257003</v>
      </c>
      <c r="S2161">
        <v>0.1953660462352356</v>
      </c>
      <c r="T2161">
        <v>0.15020873297099679</v>
      </c>
      <c r="U2161">
        <v>4.492205754635302</v>
      </c>
      <c r="V2161">
        <v>0.20033927554587111</v>
      </c>
      <c r="W2161">
        <v>-4.7146604671240713</v>
      </c>
      <c r="X2161">
        <v>0.31799872683584302</v>
      </c>
      <c r="Z2161" t="s">
        <v>392</v>
      </c>
      <c r="AA2161">
        <v>9400</v>
      </c>
      <c r="AB2161" t="s">
        <v>2552</v>
      </c>
      <c r="AC2161" t="str">
        <f>HYPERLINK("plots/3FT6Y578R01_012_S11P_20251111092011_M5358ACSH101811_RBGEUFRF26/dpll_52046/txpa_54165.png","plot")</f>
        <v>plot</v>
      </c>
    </row>
    <row r="2162" spans="1:29" x14ac:dyDescent="0.35">
      <c r="A2162" s="2" t="s">
        <v>48</v>
      </c>
      <c r="B2162">
        <v>52046</v>
      </c>
      <c r="C2162" t="s">
        <v>51</v>
      </c>
      <c r="D2162">
        <v>54166</v>
      </c>
      <c r="E2162" t="s">
        <v>186</v>
      </c>
      <c r="F2162">
        <v>12242</v>
      </c>
      <c r="G2162">
        <v>0.80148046038056853</v>
      </c>
      <c r="H2162">
        <v>0</v>
      </c>
      <c r="I2162">
        <v>0</v>
      </c>
      <c r="J2162">
        <v>0.68581941847769301</v>
      </c>
      <c r="K2162">
        <v>0</v>
      </c>
      <c r="L2162">
        <v>0</v>
      </c>
      <c r="M2162">
        <v>0.49755614460803788</v>
      </c>
      <c r="N2162">
        <v>0</v>
      </c>
      <c r="O2162">
        <v>0</v>
      </c>
      <c r="P2162">
        <v>0.64237092837184806</v>
      </c>
      <c r="Q2162">
        <v>1.2793258980206641</v>
      </c>
      <c r="R2162">
        <v>-10.421427989832191</v>
      </c>
      <c r="S2162">
        <v>0.19123529637839209</v>
      </c>
      <c r="T2162">
        <v>0.14870188218198449</v>
      </c>
      <c r="U2162">
        <v>4.4922121462179394</v>
      </c>
      <c r="V2162">
        <v>0.20034621017914711</v>
      </c>
      <c r="W2162">
        <v>-4.6744246517725863</v>
      </c>
      <c r="X2162">
        <v>0.3197933173951249</v>
      </c>
      <c r="Z2162" t="s">
        <v>392</v>
      </c>
      <c r="AA2162">
        <v>9400</v>
      </c>
      <c r="AB2162" t="s">
        <v>2553</v>
      </c>
      <c r="AC2162" t="str">
        <f>HYPERLINK("plots/3FT6Y578R01_012_S11P_20251111092011_M5358ACSH101811_RBGEUFRF26/dpll_52046/txpa_54166.png","plot")</f>
        <v>plot</v>
      </c>
    </row>
    <row r="2163" spans="1:29" x14ac:dyDescent="0.35">
      <c r="A2163" s="2" t="s">
        <v>48</v>
      </c>
      <c r="B2163">
        <v>52046</v>
      </c>
      <c r="C2163" t="s">
        <v>51</v>
      </c>
      <c r="D2163">
        <v>54167</v>
      </c>
      <c r="E2163" t="s">
        <v>187</v>
      </c>
      <c r="F2163">
        <v>12240</v>
      </c>
      <c r="G2163">
        <v>0.79978528966965357</v>
      </c>
      <c r="H2163">
        <v>0</v>
      </c>
      <c r="I2163">
        <v>0</v>
      </c>
      <c r="J2163">
        <v>0.67996215671505122</v>
      </c>
      <c r="K2163">
        <v>0</v>
      </c>
      <c r="L2163">
        <v>0</v>
      </c>
      <c r="M2163">
        <v>0.49195176264448681</v>
      </c>
      <c r="N2163">
        <v>0</v>
      </c>
      <c r="O2163">
        <v>0</v>
      </c>
      <c r="P2163">
        <v>0.63965650957197162</v>
      </c>
      <c r="Q2163">
        <v>1.2851647548279179</v>
      </c>
      <c r="R2163">
        <v>-10.471690647485881</v>
      </c>
      <c r="S2163">
        <v>0.19321108143464849</v>
      </c>
      <c r="T2163">
        <v>0.15071614315096479</v>
      </c>
      <c r="U2163">
        <v>4.492228153022876</v>
      </c>
      <c r="V2163">
        <v>0.2003115712750779</v>
      </c>
      <c r="W2163">
        <v>-4.6984373545751632</v>
      </c>
      <c r="X2163">
        <v>0.32187810242579201</v>
      </c>
      <c r="Z2163" t="s">
        <v>392</v>
      </c>
      <c r="AA2163">
        <v>9400</v>
      </c>
      <c r="AB2163" t="s">
        <v>2554</v>
      </c>
      <c r="AC2163" t="str">
        <f>HYPERLINK("plots/3FT6Y578R01_012_S11P_20251111092011_M5358ACSH101811_RBGEUFRF26/dpll_52046/txpa_54167.png","plot")</f>
        <v>plot</v>
      </c>
    </row>
    <row r="2164" spans="1:29" x14ac:dyDescent="0.35">
      <c r="A2164" s="2" t="s">
        <v>48</v>
      </c>
      <c r="B2164">
        <v>52046</v>
      </c>
      <c r="C2164" t="s">
        <v>51</v>
      </c>
      <c r="D2164">
        <v>54168</v>
      </c>
      <c r="E2164" t="s">
        <v>188</v>
      </c>
      <c r="F2164">
        <v>12240</v>
      </c>
      <c r="G2164">
        <v>0.80428629421797038</v>
      </c>
      <c r="H2164">
        <v>0</v>
      </c>
      <c r="I2164">
        <v>0</v>
      </c>
      <c r="J2164">
        <v>0.69115414475818893</v>
      </c>
      <c r="K2164">
        <v>0</v>
      </c>
      <c r="L2164">
        <v>0</v>
      </c>
      <c r="M2164">
        <v>0.50289662124295864</v>
      </c>
      <c r="N2164">
        <v>0</v>
      </c>
      <c r="O2164">
        <v>0</v>
      </c>
      <c r="P2164">
        <v>0.64687644306687564</v>
      </c>
      <c r="Q2164">
        <v>1.2899865829535511</v>
      </c>
      <c r="R2164">
        <v>-10.50175273663424</v>
      </c>
      <c r="S2164">
        <v>0.1908874775063778</v>
      </c>
      <c r="T2164">
        <v>0.14882530973459579</v>
      </c>
      <c r="U2164">
        <v>4.4921825285947721</v>
      </c>
      <c r="V2164">
        <v>0.20028909768291919</v>
      </c>
      <c r="W2164">
        <v>-4.7068975465686274</v>
      </c>
      <c r="X2164">
        <v>0.32124164066983057</v>
      </c>
      <c r="Z2164" t="s">
        <v>392</v>
      </c>
      <c r="AA2164">
        <v>9400</v>
      </c>
      <c r="AB2164" t="s">
        <v>2555</v>
      </c>
      <c r="AC2164" t="str">
        <f>HYPERLINK("plots/3FT6Y578R01_012_S11P_20251111092011_M5358ACSH101811_RBGEUFRF26/dpll_52046/txpa_54168.png","plot")</f>
        <v>plot</v>
      </c>
    </row>
    <row r="2165" spans="1:29" x14ac:dyDescent="0.35">
      <c r="A2165" s="2" t="s">
        <v>48</v>
      </c>
      <c r="B2165">
        <v>52046</v>
      </c>
      <c r="C2165" t="s">
        <v>51</v>
      </c>
      <c r="D2165">
        <v>54169</v>
      </c>
      <c r="E2165" t="s">
        <v>189</v>
      </c>
      <c r="F2165">
        <v>12242</v>
      </c>
      <c r="G2165">
        <v>0.80144944902986959</v>
      </c>
      <c r="H2165">
        <v>0</v>
      </c>
      <c r="I2165">
        <v>0</v>
      </c>
      <c r="J2165">
        <v>0.68386282722874714</v>
      </c>
      <c r="K2165">
        <v>0</v>
      </c>
      <c r="L2165">
        <v>0</v>
      </c>
      <c r="M2165">
        <v>0.49654128511031759</v>
      </c>
      <c r="N2165">
        <v>0</v>
      </c>
      <c r="O2165">
        <v>0</v>
      </c>
      <c r="P2165">
        <v>0.64232121935028152</v>
      </c>
      <c r="Q2165">
        <v>1.281434742597013</v>
      </c>
      <c r="R2165">
        <v>-10.46006366484229</v>
      </c>
      <c r="S2165">
        <v>0.1915441555553577</v>
      </c>
      <c r="T2165">
        <v>0.14946383847718209</v>
      </c>
      <c r="U2165">
        <v>4.4922368706093776</v>
      </c>
      <c r="V2165">
        <v>0.20031787099771459</v>
      </c>
      <c r="W2165">
        <v>-4.7035552668681584</v>
      </c>
      <c r="X2165">
        <v>0.32028754872844267</v>
      </c>
      <c r="Z2165" t="s">
        <v>392</v>
      </c>
      <c r="AA2165">
        <v>9400</v>
      </c>
      <c r="AB2165" t="s">
        <v>2556</v>
      </c>
      <c r="AC2165" t="str">
        <f>HYPERLINK("plots/3FT6Y578R01_012_S11P_20251111092011_M5358ACSH101811_RBGEUFRF26/dpll_52046/txpa_54169.png","plot")</f>
        <v>plot</v>
      </c>
    </row>
    <row r="2166" spans="1:29" x14ac:dyDescent="0.35">
      <c r="A2166" s="2" t="s">
        <v>48</v>
      </c>
      <c r="B2166">
        <v>52046</v>
      </c>
      <c r="C2166" t="s">
        <v>51</v>
      </c>
      <c r="D2166">
        <v>54170</v>
      </c>
      <c r="E2166" t="s">
        <v>190</v>
      </c>
      <c r="F2166">
        <v>12239</v>
      </c>
      <c r="G2166">
        <v>0.79602048599230213</v>
      </c>
      <c r="H2166">
        <v>0</v>
      </c>
      <c r="I2166">
        <v>0</v>
      </c>
      <c r="J2166">
        <v>0.67453469794061538</v>
      </c>
      <c r="K2166">
        <v>0</v>
      </c>
      <c r="L2166">
        <v>0</v>
      </c>
      <c r="M2166">
        <v>0.48902771902768938</v>
      </c>
      <c r="N2166">
        <v>0</v>
      </c>
      <c r="O2166">
        <v>0</v>
      </c>
      <c r="P2166">
        <v>0.63364861411942086</v>
      </c>
      <c r="Q2166">
        <v>1.267358405149239</v>
      </c>
      <c r="R2166">
        <v>-10.42765408429546</v>
      </c>
      <c r="S2166">
        <v>0.1930324839352785</v>
      </c>
      <c r="T2166">
        <v>0.1499932522505748</v>
      </c>
      <c r="U2166">
        <v>4.4922816766075657</v>
      </c>
      <c r="V2166">
        <v>0.2003198646137857</v>
      </c>
      <c r="W2166">
        <v>-4.7343231431489503</v>
      </c>
      <c r="X2166">
        <v>0.31893282723768263</v>
      </c>
      <c r="Z2166" t="s">
        <v>392</v>
      </c>
      <c r="AA2166">
        <v>9400</v>
      </c>
      <c r="AB2166" t="s">
        <v>2557</v>
      </c>
      <c r="AC2166" t="str">
        <f>HYPERLINK("plots/3FT6Y578R01_012_S11P_20251111092011_M5358ACSH101811_RBGEUFRF26/dpll_52046/txpa_54170.png","plot")</f>
        <v>plot</v>
      </c>
    </row>
    <row r="2167" spans="1:29" x14ac:dyDescent="0.35">
      <c r="A2167" s="2" t="s">
        <v>48</v>
      </c>
      <c r="B2167">
        <v>52046</v>
      </c>
      <c r="C2167" t="s">
        <v>51</v>
      </c>
      <c r="D2167">
        <v>54171</v>
      </c>
      <c r="E2167" t="s">
        <v>191</v>
      </c>
      <c r="F2167">
        <v>12243</v>
      </c>
      <c r="G2167">
        <v>0.78662933748493657</v>
      </c>
      <c r="H2167">
        <v>0</v>
      </c>
      <c r="I2167">
        <v>0</v>
      </c>
      <c r="J2167">
        <v>0.68412158925536415</v>
      </c>
      <c r="K2167">
        <v>0</v>
      </c>
      <c r="L2167">
        <v>0</v>
      </c>
      <c r="M2167">
        <v>0.49434076348553507</v>
      </c>
      <c r="N2167">
        <v>0</v>
      </c>
      <c r="O2167">
        <v>0</v>
      </c>
      <c r="P2167">
        <v>0.61878571459199028</v>
      </c>
      <c r="Q2167">
        <v>1.2754972764888131</v>
      </c>
      <c r="R2167">
        <v>-7.5153412820472383</v>
      </c>
      <c r="S2167">
        <v>0.20055908580802029</v>
      </c>
      <c r="T2167">
        <v>0.15163002394533551</v>
      </c>
      <c r="U2167">
        <v>4.492205754635302</v>
      </c>
      <c r="V2167">
        <v>0.20033927554587111</v>
      </c>
      <c r="W2167">
        <v>-1.7855450765825369</v>
      </c>
      <c r="X2167">
        <v>0.32484448285326478</v>
      </c>
      <c r="Z2167" t="s">
        <v>392</v>
      </c>
      <c r="AA2167">
        <v>9400</v>
      </c>
      <c r="AB2167" t="s">
        <v>2558</v>
      </c>
      <c r="AC2167" t="str">
        <f>HYPERLINK("plots/3FT6Y578R01_012_S11P_20251111092011_M5358ACSH101811_RBGEUFRF26/dpll_52046/txpa_54171.png","plot")</f>
        <v>plot</v>
      </c>
    </row>
    <row r="2168" spans="1:29" x14ac:dyDescent="0.35">
      <c r="A2168" s="2" t="s">
        <v>48</v>
      </c>
      <c r="B2168">
        <v>52046</v>
      </c>
      <c r="C2168" t="s">
        <v>51</v>
      </c>
      <c r="D2168">
        <v>54172</v>
      </c>
      <c r="E2168" t="s">
        <v>192</v>
      </c>
      <c r="F2168">
        <v>12242</v>
      </c>
      <c r="G2168">
        <v>0.80320197809921379</v>
      </c>
      <c r="H2168">
        <v>0</v>
      </c>
      <c r="I2168">
        <v>0</v>
      </c>
      <c r="J2168">
        <v>0.6959233185890954</v>
      </c>
      <c r="K2168">
        <v>0</v>
      </c>
      <c r="L2168">
        <v>0</v>
      </c>
      <c r="M2168">
        <v>0.50645975155975287</v>
      </c>
      <c r="N2168">
        <v>0</v>
      </c>
      <c r="O2168">
        <v>0</v>
      </c>
      <c r="P2168">
        <v>0.64513341762248988</v>
      </c>
      <c r="Q2168">
        <v>1.296753154314652</v>
      </c>
      <c r="R2168">
        <v>-7.5736138856353232</v>
      </c>
      <c r="S2168">
        <v>0.1926711202515185</v>
      </c>
      <c r="T2168">
        <v>0.14792290571831609</v>
      </c>
      <c r="U2168">
        <v>4.492190922643359</v>
      </c>
      <c r="V2168">
        <v>0.20034073623739329</v>
      </c>
      <c r="W2168">
        <v>-1.7483511369139031</v>
      </c>
      <c r="X2168">
        <v>0.32344601823362168</v>
      </c>
      <c r="Z2168" t="s">
        <v>392</v>
      </c>
      <c r="AA2168">
        <v>9400</v>
      </c>
      <c r="AB2168" t="s">
        <v>2559</v>
      </c>
      <c r="AC2168" t="str">
        <f>HYPERLINK("plots/3FT6Y578R01_012_S11P_20251111092011_M5358ACSH101811_RBGEUFRF26/dpll_52046/txpa_54172.png","plot")</f>
        <v>plot</v>
      </c>
    </row>
    <row r="2169" spans="1:29" x14ac:dyDescent="0.35">
      <c r="A2169" s="2" t="s">
        <v>48</v>
      </c>
      <c r="B2169">
        <v>52046</v>
      </c>
      <c r="C2169" t="s">
        <v>51</v>
      </c>
      <c r="D2169">
        <v>54173</v>
      </c>
      <c r="E2169" t="s">
        <v>193</v>
      </c>
      <c r="F2169">
        <v>12243</v>
      </c>
      <c r="G2169">
        <v>0.80056092252937305</v>
      </c>
      <c r="H2169">
        <v>0</v>
      </c>
      <c r="I2169">
        <v>0</v>
      </c>
      <c r="J2169">
        <v>0.69176196553299474</v>
      </c>
      <c r="K2169">
        <v>0</v>
      </c>
      <c r="L2169">
        <v>0</v>
      </c>
      <c r="M2169">
        <v>0.50231636194132689</v>
      </c>
      <c r="N2169">
        <v>0</v>
      </c>
      <c r="O2169">
        <v>0</v>
      </c>
      <c r="P2169">
        <v>0.64089779068108088</v>
      </c>
      <c r="Q2169">
        <v>1.2790848734948961</v>
      </c>
      <c r="R2169">
        <v>-7.4928158594795704</v>
      </c>
      <c r="S2169">
        <v>0.19180608285683379</v>
      </c>
      <c r="T2169">
        <v>0.14675509595157549</v>
      </c>
      <c r="U2169">
        <v>4.492205754635302</v>
      </c>
      <c r="V2169">
        <v>0.20033927554587111</v>
      </c>
      <c r="W2169">
        <v>-1.746903430098832</v>
      </c>
      <c r="X2169">
        <v>0.32008923956471003</v>
      </c>
      <c r="Z2169" t="s">
        <v>392</v>
      </c>
      <c r="AA2169">
        <v>9400</v>
      </c>
      <c r="AB2169" t="s">
        <v>2560</v>
      </c>
      <c r="AC2169" t="str">
        <f>HYPERLINK("plots/3FT6Y578R01_012_S11P_20251111092011_M5358ACSH101811_RBGEUFRF26/dpll_52046/txpa_54173.png","plot")</f>
        <v>plot</v>
      </c>
    </row>
    <row r="2170" spans="1:29" x14ac:dyDescent="0.35">
      <c r="A2170" s="2" t="s">
        <v>48</v>
      </c>
      <c r="B2170">
        <v>52046</v>
      </c>
      <c r="C2170" t="s">
        <v>51</v>
      </c>
      <c r="D2170">
        <v>54174</v>
      </c>
      <c r="E2170" t="s">
        <v>194</v>
      </c>
      <c r="F2170">
        <v>12242</v>
      </c>
      <c r="G2170">
        <v>0.81280189076507525</v>
      </c>
      <c r="H2170">
        <v>0</v>
      </c>
      <c r="I2170">
        <v>0</v>
      </c>
      <c r="J2170">
        <v>0.70035950257426982</v>
      </c>
      <c r="K2170">
        <v>0</v>
      </c>
      <c r="L2170">
        <v>0</v>
      </c>
      <c r="M2170">
        <v>0.51004325242917714</v>
      </c>
      <c r="N2170">
        <v>0</v>
      </c>
      <c r="O2170">
        <v>0</v>
      </c>
      <c r="P2170">
        <v>0.66064691363128136</v>
      </c>
      <c r="Q2170">
        <v>1.304268470684762</v>
      </c>
      <c r="R2170">
        <v>-7.5723755906246923</v>
      </c>
      <c r="S2170">
        <v>0.18727145521729921</v>
      </c>
      <c r="T2170">
        <v>0.144994720099964</v>
      </c>
      <c r="U2170">
        <v>4.4922121462179394</v>
      </c>
      <c r="V2170">
        <v>0.20034621017914711</v>
      </c>
      <c r="W2170">
        <v>-1.7133249246855089</v>
      </c>
      <c r="X2170">
        <v>0.32148700455394158</v>
      </c>
      <c r="Z2170" t="s">
        <v>392</v>
      </c>
      <c r="AA2170">
        <v>9400</v>
      </c>
      <c r="AB2170" t="s">
        <v>2561</v>
      </c>
      <c r="AC2170" t="str">
        <f>HYPERLINK("plots/3FT6Y578R01_012_S11P_20251111092011_M5358ACSH101811_RBGEUFRF26/dpll_52046/txpa_54174.png","plot")</f>
        <v>plot</v>
      </c>
    </row>
    <row r="2171" spans="1:29" x14ac:dyDescent="0.35">
      <c r="A2171" s="2" t="s">
        <v>48</v>
      </c>
      <c r="B2171">
        <v>52046</v>
      </c>
      <c r="C2171" t="s">
        <v>51</v>
      </c>
      <c r="D2171">
        <v>54175</v>
      </c>
      <c r="E2171" t="s">
        <v>195</v>
      </c>
      <c r="F2171">
        <v>12240</v>
      </c>
      <c r="G2171">
        <v>0.8121038893611362</v>
      </c>
      <c r="H2171">
        <v>0</v>
      </c>
      <c r="I2171">
        <v>0</v>
      </c>
      <c r="J2171">
        <v>0.69516811626013375</v>
      </c>
      <c r="K2171">
        <v>0</v>
      </c>
      <c r="L2171">
        <v>0</v>
      </c>
      <c r="M2171">
        <v>0.50479091813425003</v>
      </c>
      <c r="N2171">
        <v>0</v>
      </c>
      <c r="O2171">
        <v>0</v>
      </c>
      <c r="P2171">
        <v>0.65951272711548459</v>
      </c>
      <c r="Q2171">
        <v>1.3092684618135531</v>
      </c>
      <c r="R2171">
        <v>-7.6180483904535379</v>
      </c>
      <c r="S2171">
        <v>0.18843251893388671</v>
      </c>
      <c r="T2171">
        <v>0.14665579473507651</v>
      </c>
      <c r="U2171">
        <v>4.492228153022876</v>
      </c>
      <c r="V2171">
        <v>0.2003115712750779</v>
      </c>
      <c r="W2171">
        <v>-1.7365157464297389</v>
      </c>
      <c r="X2171">
        <v>0.32294097620083129</v>
      </c>
      <c r="Z2171" t="s">
        <v>392</v>
      </c>
      <c r="AA2171">
        <v>9400</v>
      </c>
      <c r="AB2171" t="s">
        <v>2562</v>
      </c>
      <c r="AC2171" t="str">
        <f>HYPERLINK("plots/3FT6Y578R01_012_S11P_20251111092011_M5358ACSH101811_RBGEUFRF26/dpll_52046/txpa_54175.png","plot")</f>
        <v>plot</v>
      </c>
    </row>
    <row r="2172" spans="1:29" x14ac:dyDescent="0.35">
      <c r="A2172" s="2" t="s">
        <v>48</v>
      </c>
      <c r="B2172">
        <v>52046</v>
      </c>
      <c r="C2172" t="s">
        <v>51</v>
      </c>
      <c r="D2172">
        <v>54176</v>
      </c>
      <c r="E2172" t="s">
        <v>196</v>
      </c>
      <c r="F2172">
        <v>12240</v>
      </c>
      <c r="G2172">
        <v>0.81623185809267607</v>
      </c>
      <c r="H2172">
        <v>0</v>
      </c>
      <c r="I2172">
        <v>0</v>
      </c>
      <c r="J2172">
        <v>0.70503544001398244</v>
      </c>
      <c r="K2172">
        <v>0</v>
      </c>
      <c r="L2172">
        <v>0</v>
      </c>
      <c r="M2172">
        <v>0.51458999301090103</v>
      </c>
      <c r="N2172">
        <v>0</v>
      </c>
      <c r="O2172">
        <v>0</v>
      </c>
      <c r="P2172">
        <v>0.66623444616542249</v>
      </c>
      <c r="Q2172">
        <v>1.3168670103841971</v>
      </c>
      <c r="R2172">
        <v>-7.6569530217513098</v>
      </c>
      <c r="S2172">
        <v>0.18667609250894959</v>
      </c>
      <c r="T2172">
        <v>0.14537200402623221</v>
      </c>
      <c r="U2172">
        <v>4.4921825285947721</v>
      </c>
      <c r="V2172">
        <v>0.20028909768291919</v>
      </c>
      <c r="W2172">
        <v>-1.741346045220588</v>
      </c>
      <c r="X2172">
        <v>0.32313625431697812</v>
      </c>
      <c r="Z2172" t="s">
        <v>392</v>
      </c>
      <c r="AA2172">
        <v>9400</v>
      </c>
      <c r="AB2172" t="s">
        <v>2563</v>
      </c>
      <c r="AC2172" t="str">
        <f>HYPERLINK("plots/3FT6Y578R01_012_S11P_20251111092011_M5358ACSH101811_RBGEUFRF26/dpll_52046/txpa_54176.png","plot")</f>
        <v>plot</v>
      </c>
    </row>
    <row r="2173" spans="1:29" x14ac:dyDescent="0.35">
      <c r="A2173" s="2" t="s">
        <v>48</v>
      </c>
      <c r="B2173">
        <v>52046</v>
      </c>
      <c r="C2173" t="s">
        <v>51</v>
      </c>
      <c r="D2173">
        <v>54177</v>
      </c>
      <c r="E2173" t="s">
        <v>197</v>
      </c>
      <c r="F2173">
        <v>12242</v>
      </c>
      <c r="G2173">
        <v>0.81375309842788468</v>
      </c>
      <c r="H2173">
        <v>0</v>
      </c>
      <c r="I2173">
        <v>0</v>
      </c>
      <c r="J2173">
        <v>0.69877426803236831</v>
      </c>
      <c r="K2173">
        <v>0</v>
      </c>
      <c r="L2173">
        <v>0</v>
      </c>
      <c r="M2173">
        <v>0.50916885318399518</v>
      </c>
      <c r="N2173">
        <v>0</v>
      </c>
      <c r="O2173">
        <v>0</v>
      </c>
      <c r="P2173">
        <v>0.66219410520098254</v>
      </c>
      <c r="Q2173">
        <v>1.3087038148808749</v>
      </c>
      <c r="R2173">
        <v>-7.6159977592729664</v>
      </c>
      <c r="S2173">
        <v>0.1872338132458215</v>
      </c>
      <c r="T2173">
        <v>0.14571382396753371</v>
      </c>
      <c r="U2173">
        <v>4.4922368706093776</v>
      </c>
      <c r="V2173">
        <v>0.20031787099771459</v>
      </c>
      <c r="W2173">
        <v>-1.736990229357948</v>
      </c>
      <c r="X2173">
        <v>0.32215762062226633</v>
      </c>
      <c r="Z2173" t="s">
        <v>392</v>
      </c>
      <c r="AA2173">
        <v>9400</v>
      </c>
      <c r="AB2173" t="s">
        <v>2564</v>
      </c>
      <c r="AC2173" t="str">
        <f>HYPERLINK("plots/3FT6Y578R01_012_S11P_20251111092011_M5358ACSH101811_RBGEUFRF26/dpll_52046/txpa_54177.png","plot")</f>
        <v>plot</v>
      </c>
    </row>
    <row r="2174" spans="1:29" x14ac:dyDescent="0.35">
      <c r="A2174" s="2" t="s">
        <v>48</v>
      </c>
      <c r="B2174">
        <v>52046</v>
      </c>
      <c r="C2174" t="s">
        <v>51</v>
      </c>
      <c r="D2174">
        <v>54178</v>
      </c>
      <c r="E2174" t="s">
        <v>198</v>
      </c>
      <c r="F2174">
        <v>12239</v>
      </c>
      <c r="G2174">
        <v>0.80797143319714426</v>
      </c>
      <c r="H2174">
        <v>0</v>
      </c>
      <c r="I2174">
        <v>0</v>
      </c>
      <c r="J2174">
        <v>0.68933549652521386</v>
      </c>
      <c r="K2174">
        <v>0</v>
      </c>
      <c r="L2174">
        <v>0</v>
      </c>
      <c r="M2174">
        <v>0.50163065983274591</v>
      </c>
      <c r="N2174">
        <v>0</v>
      </c>
      <c r="O2174">
        <v>0</v>
      </c>
      <c r="P2174">
        <v>0.65281783686264738</v>
      </c>
      <c r="Q2174">
        <v>1.2957374953596621</v>
      </c>
      <c r="R2174">
        <v>-7.5812483488770672</v>
      </c>
      <c r="S2174">
        <v>0.18928055369121791</v>
      </c>
      <c r="T2174">
        <v>0.14636766810064711</v>
      </c>
      <c r="U2174">
        <v>4.4922816766075657</v>
      </c>
      <c r="V2174">
        <v>0.2003198646137857</v>
      </c>
      <c r="W2174">
        <v>-1.760430540779476</v>
      </c>
      <c r="X2174">
        <v>0.32125140689487791</v>
      </c>
      <c r="Z2174" t="s">
        <v>392</v>
      </c>
      <c r="AA2174">
        <v>9400</v>
      </c>
      <c r="AB2174" t="s">
        <v>2565</v>
      </c>
      <c r="AC2174" t="str">
        <f>HYPERLINK("plots/3FT6Y578R01_012_S11P_20251111092011_M5358ACSH101811_RBGEUFRF26/dpll_52046/txpa_54178.png","plot")</f>
        <v>plot</v>
      </c>
    </row>
    <row r="2175" spans="1:29" x14ac:dyDescent="0.35">
      <c r="A2175" s="2" t="s">
        <v>48</v>
      </c>
      <c r="B2175">
        <v>52046</v>
      </c>
      <c r="C2175" t="s">
        <v>51</v>
      </c>
      <c r="D2175">
        <v>54179</v>
      </c>
      <c r="E2175" t="s">
        <v>199</v>
      </c>
      <c r="F2175">
        <v>12242</v>
      </c>
      <c r="G2175">
        <v>0.80519999068381898</v>
      </c>
      <c r="H2175">
        <v>0</v>
      </c>
      <c r="I2175">
        <v>0</v>
      </c>
      <c r="J2175">
        <v>0.70510940807883793</v>
      </c>
      <c r="K2175">
        <v>0</v>
      </c>
      <c r="L2175">
        <v>0</v>
      </c>
      <c r="M2175">
        <v>0.51250627143101324</v>
      </c>
      <c r="N2175">
        <v>0</v>
      </c>
      <c r="O2175">
        <v>0</v>
      </c>
      <c r="P2175">
        <v>0.64834702499722219</v>
      </c>
      <c r="Q2175">
        <v>1.4092822167020711</v>
      </c>
      <c r="R2175">
        <v>-4.7639587961200007</v>
      </c>
      <c r="S2175">
        <v>0.20790700067854109</v>
      </c>
      <c r="T2175">
        <v>0.156254005574193</v>
      </c>
      <c r="U2175">
        <v>4.4922327689103092</v>
      </c>
      <c r="V2175">
        <v>0.2003251577115534</v>
      </c>
      <c r="W2175">
        <v>1.566864958391603</v>
      </c>
      <c r="X2175">
        <v>0.35061436362061182</v>
      </c>
      <c r="Z2175" t="s">
        <v>392</v>
      </c>
      <c r="AA2175">
        <v>9400</v>
      </c>
      <c r="AB2175" t="s">
        <v>2566</v>
      </c>
      <c r="AC2175" t="str">
        <f>HYPERLINK("plots/3FT6Y578R01_012_S11P_20251111092011_M5358ACSH101811_RBGEUFRF26/dpll_52046/txpa_54179.png","plot")</f>
        <v>plot</v>
      </c>
    </row>
    <row r="2176" spans="1:29" x14ac:dyDescent="0.35">
      <c r="A2176" s="2" t="s">
        <v>48</v>
      </c>
      <c r="B2176">
        <v>52046</v>
      </c>
      <c r="C2176" t="s">
        <v>51</v>
      </c>
      <c r="D2176">
        <v>54180</v>
      </c>
      <c r="E2176" t="s">
        <v>200</v>
      </c>
      <c r="F2176">
        <v>12242</v>
      </c>
      <c r="G2176">
        <v>0.82006138980987409</v>
      </c>
      <c r="H2176">
        <v>0</v>
      </c>
      <c r="I2176">
        <v>0</v>
      </c>
      <c r="J2176">
        <v>0.71582757526404162</v>
      </c>
      <c r="K2176">
        <v>0</v>
      </c>
      <c r="L2176">
        <v>0</v>
      </c>
      <c r="M2176">
        <v>0.52381466640896623</v>
      </c>
      <c r="N2176">
        <v>0</v>
      </c>
      <c r="O2176">
        <v>0</v>
      </c>
      <c r="P2176">
        <v>0.67250068305690225</v>
      </c>
      <c r="Q2176">
        <v>1.4337960557638141</v>
      </c>
      <c r="R2176">
        <v>-4.8399449053121799</v>
      </c>
      <c r="S2176">
        <v>0.20044616082008801</v>
      </c>
      <c r="T2176">
        <v>0.1530959047468923</v>
      </c>
      <c r="U2176">
        <v>4.492190922643359</v>
      </c>
      <c r="V2176">
        <v>0.20034073623739329</v>
      </c>
      <c r="W2176">
        <v>1.6009407213118769</v>
      </c>
      <c r="X2176">
        <v>0.35027591957791082</v>
      </c>
      <c r="Z2176" t="s">
        <v>392</v>
      </c>
      <c r="AA2176">
        <v>9400</v>
      </c>
      <c r="AB2176" t="s">
        <v>2567</v>
      </c>
      <c r="AC2176" t="str">
        <f>HYPERLINK("plots/3FT6Y578R01_012_S11P_20251111092011_M5358ACSH101811_RBGEUFRF26/dpll_52046/txpa_54180.png","plot")</f>
        <v>plot</v>
      </c>
    </row>
    <row r="2177" spans="1:29" x14ac:dyDescent="0.35">
      <c r="A2177" s="2" t="s">
        <v>48</v>
      </c>
      <c r="B2177">
        <v>52046</v>
      </c>
      <c r="C2177" t="s">
        <v>51</v>
      </c>
      <c r="D2177">
        <v>54181</v>
      </c>
      <c r="E2177" t="s">
        <v>201</v>
      </c>
      <c r="F2177">
        <v>12243</v>
      </c>
      <c r="G2177">
        <v>0.81816931578952401</v>
      </c>
      <c r="H2177">
        <v>0</v>
      </c>
      <c r="I2177">
        <v>0</v>
      </c>
      <c r="J2177">
        <v>0.71272818301872554</v>
      </c>
      <c r="K2177">
        <v>0</v>
      </c>
      <c r="L2177">
        <v>0</v>
      </c>
      <c r="M2177">
        <v>0.52061944149017236</v>
      </c>
      <c r="N2177">
        <v>0</v>
      </c>
      <c r="O2177">
        <v>0</v>
      </c>
      <c r="P2177">
        <v>0.66940102929949785</v>
      </c>
      <c r="Q2177">
        <v>1.416114978567359</v>
      </c>
      <c r="R2177">
        <v>-4.7574040787095679</v>
      </c>
      <c r="S2177">
        <v>0.1993675348375212</v>
      </c>
      <c r="T2177">
        <v>0.15143859672967669</v>
      </c>
      <c r="U2177">
        <v>4.492205754635302</v>
      </c>
      <c r="V2177">
        <v>0.20033927554587111</v>
      </c>
      <c r="W2177">
        <v>1.6040757772359719</v>
      </c>
      <c r="X2177">
        <v>0.34675395840538348</v>
      </c>
      <c r="Z2177" t="s">
        <v>392</v>
      </c>
      <c r="AA2177">
        <v>9400</v>
      </c>
      <c r="AB2177" t="s">
        <v>2568</v>
      </c>
      <c r="AC2177" t="str">
        <f>HYPERLINK("plots/3FT6Y578R01_012_S11P_20251111092011_M5358ACSH101811_RBGEUFRF26/dpll_52046/txpa_54181.png","plot")</f>
        <v>plot</v>
      </c>
    </row>
    <row r="2178" spans="1:29" x14ac:dyDescent="0.35">
      <c r="A2178" s="2" t="s">
        <v>48</v>
      </c>
      <c r="B2178">
        <v>52046</v>
      </c>
      <c r="C2178" t="s">
        <v>51</v>
      </c>
      <c r="D2178">
        <v>54182</v>
      </c>
      <c r="E2178" t="s">
        <v>202</v>
      </c>
      <c r="F2178">
        <v>12242</v>
      </c>
      <c r="G2178">
        <v>0.82940070560871859</v>
      </c>
      <c r="H2178">
        <v>0</v>
      </c>
      <c r="I2178">
        <v>0</v>
      </c>
      <c r="J2178">
        <v>0.72061052191965502</v>
      </c>
      <c r="K2178">
        <v>0</v>
      </c>
      <c r="L2178">
        <v>0</v>
      </c>
      <c r="M2178">
        <v>0.52814064843121777</v>
      </c>
      <c r="N2178">
        <v>0</v>
      </c>
      <c r="O2178">
        <v>0</v>
      </c>
      <c r="P2178">
        <v>0.6879055304642403</v>
      </c>
      <c r="Q2178">
        <v>1.439496242886704</v>
      </c>
      <c r="R2178">
        <v>-4.8352768038635592</v>
      </c>
      <c r="S2178">
        <v>0.1942462147745023</v>
      </c>
      <c r="T2178">
        <v>0.14949334531439459</v>
      </c>
      <c r="U2178">
        <v>4.4922121462179394</v>
      </c>
      <c r="V2178">
        <v>0.20034621017914711</v>
      </c>
      <c r="W2178">
        <v>1.631245702867179</v>
      </c>
      <c r="X2178">
        <v>0.34771807508628733</v>
      </c>
      <c r="Z2178" t="s">
        <v>392</v>
      </c>
      <c r="AA2178">
        <v>9400</v>
      </c>
      <c r="AB2178" t="s">
        <v>2569</v>
      </c>
      <c r="AC2178" t="str">
        <f>HYPERLINK("plots/3FT6Y578R01_012_S11P_20251111092011_M5358ACSH101811_RBGEUFRF26/dpll_52046/txpa_54182.png","plot")</f>
        <v>plot</v>
      </c>
    </row>
    <row r="2179" spans="1:29" x14ac:dyDescent="0.35">
      <c r="A2179" s="2" t="s">
        <v>48</v>
      </c>
      <c r="B2179">
        <v>52046</v>
      </c>
      <c r="C2179" t="s">
        <v>51</v>
      </c>
      <c r="D2179">
        <v>54183</v>
      </c>
      <c r="E2179" t="s">
        <v>203</v>
      </c>
      <c r="F2179">
        <v>12240</v>
      </c>
      <c r="G2179">
        <v>0.8289612198497176</v>
      </c>
      <c r="H2179">
        <v>0</v>
      </c>
      <c r="I2179">
        <v>0</v>
      </c>
      <c r="J2179">
        <v>0.71636414499628753</v>
      </c>
      <c r="K2179">
        <v>0</v>
      </c>
      <c r="L2179">
        <v>0</v>
      </c>
      <c r="M2179">
        <v>0.5235364049881821</v>
      </c>
      <c r="N2179">
        <v>0</v>
      </c>
      <c r="O2179">
        <v>0</v>
      </c>
      <c r="P2179">
        <v>0.68717670401473185</v>
      </c>
      <c r="Q2179">
        <v>1.4446376823458069</v>
      </c>
      <c r="R2179">
        <v>-4.882376372330965</v>
      </c>
      <c r="S2179">
        <v>0.19523719740587489</v>
      </c>
      <c r="T2179">
        <v>0.1510958761275541</v>
      </c>
      <c r="U2179">
        <v>4.492228153022876</v>
      </c>
      <c r="V2179">
        <v>0.2003115712750779</v>
      </c>
      <c r="W2179">
        <v>1.6072656952205879</v>
      </c>
      <c r="X2179">
        <v>0.34908465817778161</v>
      </c>
      <c r="Z2179" t="s">
        <v>392</v>
      </c>
      <c r="AA2179">
        <v>9400</v>
      </c>
      <c r="AB2179" t="s">
        <v>2570</v>
      </c>
      <c r="AC2179" t="str">
        <f>HYPERLINK("plots/3FT6Y578R01_012_S11P_20251111092011_M5358ACSH101811_RBGEUFRF26/dpll_52046/txpa_54183.png","plot")</f>
        <v>plot</v>
      </c>
    </row>
    <row r="2180" spans="1:29" x14ac:dyDescent="0.35">
      <c r="A2180" s="2" t="s">
        <v>48</v>
      </c>
      <c r="B2180">
        <v>52046</v>
      </c>
      <c r="C2180" t="s">
        <v>51</v>
      </c>
      <c r="D2180">
        <v>54184</v>
      </c>
      <c r="E2180" t="s">
        <v>204</v>
      </c>
      <c r="F2180">
        <v>12240</v>
      </c>
      <c r="G2180">
        <v>0.83209309052799318</v>
      </c>
      <c r="H2180">
        <v>0</v>
      </c>
      <c r="I2180">
        <v>0</v>
      </c>
      <c r="J2180">
        <v>0.72385065435919538</v>
      </c>
      <c r="K2180">
        <v>0</v>
      </c>
      <c r="L2180">
        <v>0</v>
      </c>
      <c r="M2180">
        <v>0.5311893871151131</v>
      </c>
      <c r="N2180">
        <v>0</v>
      </c>
      <c r="O2180">
        <v>0</v>
      </c>
      <c r="P2180">
        <v>0.69237891130442708</v>
      </c>
      <c r="Q2180">
        <v>1.45284909869254</v>
      </c>
      <c r="R2180">
        <v>-4.9197571083950136</v>
      </c>
      <c r="S2180">
        <v>0.19395287136407821</v>
      </c>
      <c r="T2180">
        <v>0.15033516037416361</v>
      </c>
      <c r="U2180">
        <v>4.4921825285947721</v>
      </c>
      <c r="V2180">
        <v>0.20028909768291919</v>
      </c>
      <c r="W2180">
        <v>1.6067062294362751</v>
      </c>
      <c r="X2180">
        <v>0.34970826985467163</v>
      </c>
      <c r="Z2180" t="s">
        <v>392</v>
      </c>
      <c r="AA2180">
        <v>9400</v>
      </c>
      <c r="AB2180" t="s">
        <v>2571</v>
      </c>
      <c r="AC2180" t="str">
        <f>HYPERLINK("plots/3FT6Y578R01_012_S11P_20251111092011_M5358ACSH101811_RBGEUFRF26/dpll_52046/txpa_54184.png","plot")</f>
        <v>plot</v>
      </c>
    </row>
    <row r="2181" spans="1:29" x14ac:dyDescent="0.35">
      <c r="A2181" s="2" t="s">
        <v>48</v>
      </c>
      <c r="B2181">
        <v>52046</v>
      </c>
      <c r="C2181" t="s">
        <v>51</v>
      </c>
      <c r="D2181">
        <v>54185</v>
      </c>
      <c r="E2181" t="s">
        <v>205</v>
      </c>
      <c r="F2181">
        <v>12242</v>
      </c>
      <c r="G2181">
        <v>0.83020484750104007</v>
      </c>
      <c r="H2181">
        <v>0</v>
      </c>
      <c r="I2181">
        <v>0</v>
      </c>
      <c r="J2181">
        <v>0.71813248008089625</v>
      </c>
      <c r="K2181">
        <v>0</v>
      </c>
      <c r="L2181">
        <v>0</v>
      </c>
      <c r="M2181">
        <v>0.52648260169072658</v>
      </c>
      <c r="N2181">
        <v>0</v>
      </c>
      <c r="O2181">
        <v>0</v>
      </c>
      <c r="P2181">
        <v>0.68924008881422516</v>
      </c>
      <c r="Q2181">
        <v>1.4465420843816279</v>
      </c>
      <c r="R2181">
        <v>-4.8864238849341222</v>
      </c>
      <c r="S2181">
        <v>0.19456300255641029</v>
      </c>
      <c r="T2181">
        <v>0.1504745129870052</v>
      </c>
      <c r="U2181">
        <v>4.4922368706093776</v>
      </c>
      <c r="V2181">
        <v>0.20031787099771459</v>
      </c>
      <c r="W2181">
        <v>1.6117858014131681</v>
      </c>
      <c r="X2181">
        <v>0.34903220756195458</v>
      </c>
      <c r="Z2181" t="s">
        <v>392</v>
      </c>
      <c r="AA2181">
        <v>9400</v>
      </c>
      <c r="AB2181" t="s">
        <v>2572</v>
      </c>
      <c r="AC2181" t="str">
        <f>HYPERLINK("plots/3FT6Y578R01_012_S11P_20251111092011_M5358ACSH101811_RBGEUFRF26/dpll_52046/txpa_54185.png","plot")</f>
        <v>plot</v>
      </c>
    </row>
    <row r="2182" spans="1:29" x14ac:dyDescent="0.35">
      <c r="A2182" s="2" t="s">
        <v>48</v>
      </c>
      <c r="B2182">
        <v>52046</v>
      </c>
      <c r="C2182" t="s">
        <v>51</v>
      </c>
      <c r="D2182">
        <v>54186</v>
      </c>
      <c r="E2182" t="s">
        <v>206</v>
      </c>
      <c r="F2182">
        <v>12238</v>
      </c>
      <c r="G2182">
        <v>0.82524318597436586</v>
      </c>
      <c r="H2182">
        <v>0</v>
      </c>
      <c r="I2182">
        <v>0</v>
      </c>
      <c r="J2182">
        <v>0.71036316392369814</v>
      </c>
      <c r="K2182">
        <v>0</v>
      </c>
      <c r="L2182">
        <v>0</v>
      </c>
      <c r="M2182">
        <v>0.51997086995391939</v>
      </c>
      <c r="N2182">
        <v>0</v>
      </c>
      <c r="O2182">
        <v>0</v>
      </c>
      <c r="P2182">
        <v>0.68102631599712182</v>
      </c>
      <c r="Q2182">
        <v>1.4293776267605049</v>
      </c>
      <c r="R2182">
        <v>-4.8283362465513591</v>
      </c>
      <c r="S2182">
        <v>0.19594227828382649</v>
      </c>
      <c r="T2182">
        <v>0.15078221817485679</v>
      </c>
      <c r="U2182">
        <v>4.4923057310017978</v>
      </c>
      <c r="V2182">
        <v>0.20031037208272351</v>
      </c>
      <c r="W2182">
        <v>1.5928650579106061</v>
      </c>
      <c r="X2182">
        <v>0.34695126131221488</v>
      </c>
      <c r="Z2182" t="s">
        <v>392</v>
      </c>
      <c r="AA2182">
        <v>9400</v>
      </c>
      <c r="AB2182" t="s">
        <v>2573</v>
      </c>
      <c r="AC2182" t="str">
        <f>HYPERLINK("plots/3FT6Y578R01_012_S11P_20251111092011_M5358ACSH101811_RBGEUFRF26/dpll_52046/txpa_54186.png","plot")</f>
        <v>plot</v>
      </c>
    </row>
    <row r="2183" spans="1:29" x14ac:dyDescent="0.35">
      <c r="A2183" s="2" t="s">
        <v>48</v>
      </c>
      <c r="B2183">
        <v>52046</v>
      </c>
      <c r="C2183" t="s">
        <v>51</v>
      </c>
      <c r="D2183">
        <v>54187</v>
      </c>
      <c r="E2183" t="s">
        <v>207</v>
      </c>
      <c r="F2183">
        <v>12242</v>
      </c>
      <c r="G2183">
        <v>0.81575423748686038</v>
      </c>
      <c r="H2183">
        <v>0</v>
      </c>
      <c r="I2183">
        <v>0</v>
      </c>
      <c r="J2183">
        <v>0.71493158964356229</v>
      </c>
      <c r="K2183">
        <v>0</v>
      </c>
      <c r="L2183">
        <v>0</v>
      </c>
      <c r="M2183">
        <v>0.52140473725856684</v>
      </c>
      <c r="N2183">
        <v>0</v>
      </c>
      <c r="O2183">
        <v>0</v>
      </c>
      <c r="P2183">
        <v>0.66545497597776904</v>
      </c>
      <c r="Q2183">
        <v>1.5416872401575641</v>
      </c>
      <c r="R2183">
        <v>-3.490890260264254</v>
      </c>
      <c r="S2183">
        <v>0.21896867052660071</v>
      </c>
      <c r="T2183">
        <v>0.16422676432952349</v>
      </c>
      <c r="U2183">
        <v>4.4922327689103092</v>
      </c>
      <c r="V2183">
        <v>0.2003251577115534</v>
      </c>
      <c r="W2183">
        <v>3.4347276793824539</v>
      </c>
      <c r="X2183">
        <v>0.37859287188983559</v>
      </c>
      <c r="Z2183" t="s">
        <v>392</v>
      </c>
      <c r="AA2183">
        <v>9400</v>
      </c>
      <c r="AB2183" t="s">
        <v>2574</v>
      </c>
      <c r="AC2183" t="str">
        <f>HYPERLINK("plots/3FT6Y578R01_012_S11P_20251111092011_M5358ACSH101811_RBGEUFRF26/dpll_52046/txpa_54187.png","plot")</f>
        <v>plot</v>
      </c>
    </row>
    <row r="2184" spans="1:29" x14ac:dyDescent="0.35">
      <c r="A2184" s="2" t="s">
        <v>48</v>
      </c>
      <c r="B2184">
        <v>52046</v>
      </c>
      <c r="C2184" t="s">
        <v>51</v>
      </c>
      <c r="D2184">
        <v>54188</v>
      </c>
      <c r="E2184" t="s">
        <v>208</v>
      </c>
      <c r="F2184">
        <v>12242</v>
      </c>
      <c r="G2184">
        <v>0.82948863568686582</v>
      </c>
      <c r="H2184">
        <v>0</v>
      </c>
      <c r="I2184">
        <v>0</v>
      </c>
      <c r="J2184">
        <v>0.72532555623596506</v>
      </c>
      <c r="K2184">
        <v>0</v>
      </c>
      <c r="L2184">
        <v>0</v>
      </c>
      <c r="M2184">
        <v>0.53252476429095064</v>
      </c>
      <c r="N2184">
        <v>0</v>
      </c>
      <c r="O2184">
        <v>0</v>
      </c>
      <c r="P2184">
        <v>0.68805139673365801</v>
      </c>
      <c r="Q2184">
        <v>1.5678995782335421</v>
      </c>
      <c r="R2184">
        <v>-3.5746544289903972</v>
      </c>
      <c r="S2184">
        <v>0.21149536419419171</v>
      </c>
      <c r="T2184">
        <v>0.16109225194499441</v>
      </c>
      <c r="U2184">
        <v>4.492190922643359</v>
      </c>
      <c r="V2184">
        <v>0.20034073623739329</v>
      </c>
      <c r="W2184">
        <v>3.4686498239666719</v>
      </c>
      <c r="X2184">
        <v>0.37868409805217063</v>
      </c>
      <c r="Z2184" t="s">
        <v>392</v>
      </c>
      <c r="AA2184">
        <v>9400</v>
      </c>
      <c r="AB2184" t="s">
        <v>2575</v>
      </c>
      <c r="AC2184" t="str">
        <f>HYPERLINK("plots/3FT6Y578R01_012_S11P_20251111092011_M5358ACSH101811_RBGEUFRF26/dpll_52046/txpa_54188.png","plot")</f>
        <v>plot</v>
      </c>
    </row>
    <row r="2185" spans="1:29" x14ac:dyDescent="0.35">
      <c r="A2185" s="2" t="s">
        <v>48</v>
      </c>
      <c r="B2185">
        <v>52046</v>
      </c>
      <c r="C2185" t="s">
        <v>51</v>
      </c>
      <c r="D2185">
        <v>54189</v>
      </c>
      <c r="E2185" t="s">
        <v>209</v>
      </c>
      <c r="F2185">
        <v>12243</v>
      </c>
      <c r="G2185">
        <v>0.82782233963493457</v>
      </c>
      <c r="H2185">
        <v>0</v>
      </c>
      <c r="I2185">
        <v>0</v>
      </c>
      <c r="J2185">
        <v>0.72205472304338358</v>
      </c>
      <c r="K2185">
        <v>0</v>
      </c>
      <c r="L2185">
        <v>0</v>
      </c>
      <c r="M2185">
        <v>0.52914221522221272</v>
      </c>
      <c r="N2185">
        <v>0</v>
      </c>
      <c r="O2185">
        <v>0</v>
      </c>
      <c r="P2185">
        <v>0.68528982599865695</v>
      </c>
      <c r="Q2185">
        <v>1.549762942805633</v>
      </c>
      <c r="R2185">
        <v>-3.4890723550871621</v>
      </c>
      <c r="S2185">
        <v>0.21039328921637579</v>
      </c>
      <c r="T2185">
        <v>0.1595882035898992</v>
      </c>
      <c r="U2185">
        <v>4.492205754635302</v>
      </c>
      <c r="V2185">
        <v>0.20033927554587111</v>
      </c>
      <c r="W2185">
        <v>3.472781654904844</v>
      </c>
      <c r="X2185">
        <v>0.37505436899230982</v>
      </c>
      <c r="Z2185" t="s">
        <v>392</v>
      </c>
      <c r="AA2185">
        <v>9400</v>
      </c>
      <c r="AB2185" t="s">
        <v>2576</v>
      </c>
      <c r="AC2185" t="str">
        <f>HYPERLINK("plots/3FT6Y578R01_012_S11P_20251111092011_M5358ACSH101811_RBGEUFRF26/dpll_52046/txpa_54189.png","plot")</f>
        <v>plot</v>
      </c>
    </row>
    <row r="2186" spans="1:29" x14ac:dyDescent="0.35">
      <c r="A2186" s="2" t="s">
        <v>48</v>
      </c>
      <c r="B2186">
        <v>52046</v>
      </c>
      <c r="C2186" t="s">
        <v>51</v>
      </c>
      <c r="D2186">
        <v>54190</v>
      </c>
      <c r="E2186" t="s">
        <v>210</v>
      </c>
      <c r="F2186">
        <v>12242</v>
      </c>
      <c r="G2186">
        <v>0.83815089450846192</v>
      </c>
      <c r="H2186">
        <v>0</v>
      </c>
      <c r="I2186">
        <v>0</v>
      </c>
      <c r="J2186">
        <v>0.72954747220506144</v>
      </c>
      <c r="K2186">
        <v>0</v>
      </c>
      <c r="L2186">
        <v>0</v>
      </c>
      <c r="M2186">
        <v>0.53650821937999671</v>
      </c>
      <c r="N2186">
        <v>0</v>
      </c>
      <c r="O2186">
        <v>0</v>
      </c>
      <c r="P2186">
        <v>0.70249692196533486</v>
      </c>
      <c r="Q2186">
        <v>1.5726464747819131</v>
      </c>
      <c r="R2186">
        <v>-3.5679999142975301</v>
      </c>
      <c r="S2186">
        <v>0.20503028604067719</v>
      </c>
      <c r="T2186">
        <v>0.15737186538300199</v>
      </c>
      <c r="U2186">
        <v>4.4922121462179394</v>
      </c>
      <c r="V2186">
        <v>0.20034621017914711</v>
      </c>
      <c r="W2186">
        <v>3.4966616814246039</v>
      </c>
      <c r="X2186">
        <v>0.37591531935180789</v>
      </c>
      <c r="Z2186" t="s">
        <v>392</v>
      </c>
      <c r="AA2186">
        <v>9400</v>
      </c>
      <c r="AB2186" t="s">
        <v>2577</v>
      </c>
      <c r="AC2186" t="str">
        <f>HYPERLINK("plots/3FT6Y578R01_012_S11P_20251111092011_M5358ACSH101811_RBGEUFRF26/dpll_52046/txpa_54190.png","plot")</f>
        <v>plot</v>
      </c>
    </row>
    <row r="2187" spans="1:29" x14ac:dyDescent="0.35">
      <c r="A2187" s="2" t="s">
        <v>48</v>
      </c>
      <c r="B2187">
        <v>52046</v>
      </c>
      <c r="C2187" t="s">
        <v>51</v>
      </c>
      <c r="D2187">
        <v>54191</v>
      </c>
      <c r="E2187" t="s">
        <v>211</v>
      </c>
      <c r="F2187">
        <v>12240</v>
      </c>
      <c r="G2187">
        <v>0.83799137869163298</v>
      </c>
      <c r="H2187">
        <v>0</v>
      </c>
      <c r="I2187">
        <v>0</v>
      </c>
      <c r="J2187">
        <v>0.72572870303123871</v>
      </c>
      <c r="K2187">
        <v>0</v>
      </c>
      <c r="L2187">
        <v>0</v>
      </c>
      <c r="M2187">
        <v>0.53226411129660212</v>
      </c>
      <c r="N2187">
        <v>0</v>
      </c>
      <c r="O2187">
        <v>0</v>
      </c>
      <c r="P2187">
        <v>0.70222955076150384</v>
      </c>
      <c r="Q2187">
        <v>1.577811173701944</v>
      </c>
      <c r="R2187">
        <v>-3.6164568226154539</v>
      </c>
      <c r="S2187">
        <v>0.20579962112852029</v>
      </c>
      <c r="T2187">
        <v>0.15890649995892869</v>
      </c>
      <c r="U2187">
        <v>4.492228153022876</v>
      </c>
      <c r="V2187">
        <v>0.2003115712750779</v>
      </c>
      <c r="W2187">
        <v>3.4714309520424842</v>
      </c>
      <c r="X2187">
        <v>0.37715642835499152</v>
      </c>
      <c r="Z2187" t="s">
        <v>392</v>
      </c>
      <c r="AA2187">
        <v>9400</v>
      </c>
      <c r="AB2187" t="s">
        <v>2578</v>
      </c>
      <c r="AC2187" t="str">
        <f>HYPERLINK("plots/3FT6Y578R01_012_S11P_20251111092011_M5358ACSH101811_RBGEUFRF26/dpll_52046/txpa_54191.png","plot")</f>
        <v>plot</v>
      </c>
    </row>
    <row r="2188" spans="1:29" x14ac:dyDescent="0.35">
      <c r="A2188" s="2" t="s">
        <v>48</v>
      </c>
      <c r="B2188">
        <v>52046</v>
      </c>
      <c r="C2188" t="s">
        <v>51</v>
      </c>
      <c r="D2188">
        <v>54192</v>
      </c>
      <c r="E2188" t="s">
        <v>212</v>
      </c>
      <c r="F2188">
        <v>12240</v>
      </c>
      <c r="G2188">
        <v>0.84074104967736629</v>
      </c>
      <c r="H2188">
        <v>0</v>
      </c>
      <c r="I2188">
        <v>0</v>
      </c>
      <c r="J2188">
        <v>0.73226019833694889</v>
      </c>
      <c r="K2188">
        <v>0</v>
      </c>
      <c r="L2188">
        <v>0</v>
      </c>
      <c r="M2188">
        <v>0.53918920697792871</v>
      </c>
      <c r="N2188">
        <v>0</v>
      </c>
      <c r="O2188">
        <v>0</v>
      </c>
      <c r="P2188">
        <v>0.70684551261259965</v>
      </c>
      <c r="Q2188">
        <v>1.5859799359696021</v>
      </c>
      <c r="R2188">
        <v>-3.650791668705025</v>
      </c>
      <c r="S2188">
        <v>0.20456120717331031</v>
      </c>
      <c r="T2188">
        <v>0.15822853297263331</v>
      </c>
      <c r="U2188">
        <v>4.4921825285947721</v>
      </c>
      <c r="V2188">
        <v>0.20028909768291919</v>
      </c>
      <c r="W2188">
        <v>3.4737196903594771</v>
      </c>
      <c r="X2188">
        <v>0.37782678797528108</v>
      </c>
      <c r="Z2188" t="s">
        <v>392</v>
      </c>
      <c r="AA2188">
        <v>9400</v>
      </c>
      <c r="AB2188" t="s">
        <v>2579</v>
      </c>
      <c r="AC2188" t="str">
        <f>HYPERLINK("plots/3FT6Y578R01_012_S11P_20251111092011_M5358ACSH101811_RBGEUFRF26/dpll_52046/txpa_54192.png","plot")</f>
        <v>plot</v>
      </c>
    </row>
    <row r="2189" spans="1:29" x14ac:dyDescent="0.35">
      <c r="A2189" s="2" t="s">
        <v>48</v>
      </c>
      <c r="B2189">
        <v>52046</v>
      </c>
      <c r="C2189" t="s">
        <v>51</v>
      </c>
      <c r="D2189">
        <v>54193</v>
      </c>
      <c r="E2189" t="s">
        <v>213</v>
      </c>
      <c r="F2189">
        <v>12242</v>
      </c>
      <c r="G2189">
        <v>0.83912988704876013</v>
      </c>
      <c r="H2189">
        <v>0</v>
      </c>
      <c r="I2189">
        <v>0</v>
      </c>
      <c r="J2189">
        <v>0.72712463247597625</v>
      </c>
      <c r="K2189">
        <v>0</v>
      </c>
      <c r="L2189">
        <v>0</v>
      </c>
      <c r="M2189">
        <v>0.53484385283621327</v>
      </c>
      <c r="N2189">
        <v>0</v>
      </c>
      <c r="O2189">
        <v>0</v>
      </c>
      <c r="P2189">
        <v>0.70413896733846493</v>
      </c>
      <c r="Q2189">
        <v>1.5808893177796219</v>
      </c>
      <c r="R2189">
        <v>-3.623237073791254</v>
      </c>
      <c r="S2189">
        <v>0.2052665187901814</v>
      </c>
      <c r="T2189">
        <v>0.15837095512144339</v>
      </c>
      <c r="U2189">
        <v>4.4922368706093776</v>
      </c>
      <c r="V2189">
        <v>0.20031787099771459</v>
      </c>
      <c r="W2189">
        <v>3.4784922078908669</v>
      </c>
      <c r="X2189">
        <v>0.37739137564795328</v>
      </c>
      <c r="Z2189" t="s">
        <v>392</v>
      </c>
      <c r="AA2189">
        <v>9400</v>
      </c>
      <c r="AB2189" t="s">
        <v>2580</v>
      </c>
      <c r="AC2189" t="str">
        <f>HYPERLINK("plots/3FT6Y578R01_012_S11P_20251111092011_M5358ACSH101811_RBGEUFRF26/dpll_52046/txpa_54193.png","plot")</f>
        <v>plot</v>
      </c>
    </row>
    <row r="2190" spans="1:29" x14ac:dyDescent="0.35">
      <c r="A2190" s="2" t="s">
        <v>48</v>
      </c>
      <c r="B2190">
        <v>52046</v>
      </c>
      <c r="C2190" t="s">
        <v>51</v>
      </c>
      <c r="D2190">
        <v>54194</v>
      </c>
      <c r="E2190" t="s">
        <v>214</v>
      </c>
      <c r="F2190">
        <v>12238</v>
      </c>
      <c r="G2190">
        <v>0.83441826461301527</v>
      </c>
      <c r="H2190">
        <v>0</v>
      </c>
      <c r="I2190">
        <v>0</v>
      </c>
      <c r="J2190">
        <v>0.71968404722482504</v>
      </c>
      <c r="K2190">
        <v>0</v>
      </c>
      <c r="L2190">
        <v>0</v>
      </c>
      <c r="M2190">
        <v>0.52842982841221631</v>
      </c>
      <c r="N2190">
        <v>0</v>
      </c>
      <c r="O2190">
        <v>0</v>
      </c>
      <c r="P2190">
        <v>0.69625384031979598</v>
      </c>
      <c r="Q2190">
        <v>1.5617979534618081</v>
      </c>
      <c r="R2190">
        <v>-3.5550520955652161</v>
      </c>
      <c r="S2190">
        <v>0.2066246537144536</v>
      </c>
      <c r="T2190">
        <v>0.1587593229724755</v>
      </c>
      <c r="U2190">
        <v>4.4923057310017978</v>
      </c>
      <c r="V2190">
        <v>0.20031037208272351</v>
      </c>
      <c r="W2190">
        <v>3.461021801438144</v>
      </c>
      <c r="X2190">
        <v>0.37492507348345389</v>
      </c>
      <c r="Z2190" t="s">
        <v>392</v>
      </c>
      <c r="AA2190">
        <v>9400</v>
      </c>
      <c r="AB2190" t="s">
        <v>2581</v>
      </c>
      <c r="AC2190" t="str">
        <f>HYPERLINK("plots/3FT6Y578R01_012_S11P_20251111092011_M5358ACSH101811_RBGEUFRF26/dpll_52046/txpa_54194.png","plot")</f>
        <v>plot</v>
      </c>
    </row>
    <row r="2191" spans="1:29" x14ac:dyDescent="0.35">
      <c r="A2191" s="2" t="s">
        <v>48</v>
      </c>
      <c r="B2191">
        <v>52046</v>
      </c>
      <c r="C2191" t="s">
        <v>51</v>
      </c>
      <c r="D2191">
        <v>54195</v>
      </c>
      <c r="E2191" t="s">
        <v>215</v>
      </c>
      <c r="F2191">
        <v>12241</v>
      </c>
      <c r="G2191">
        <v>0.82661884571066702</v>
      </c>
      <c r="H2191">
        <v>0</v>
      </c>
      <c r="I2191">
        <v>0</v>
      </c>
      <c r="J2191">
        <v>0.723556678255453</v>
      </c>
      <c r="K2191">
        <v>0</v>
      </c>
      <c r="L2191">
        <v>0</v>
      </c>
      <c r="M2191">
        <v>0.52986056031357787</v>
      </c>
      <c r="N2191">
        <v>0</v>
      </c>
      <c r="O2191">
        <v>0</v>
      </c>
      <c r="P2191">
        <v>0.68329871608403547</v>
      </c>
      <c r="Q2191">
        <v>1.740605349959609</v>
      </c>
      <c r="R2191">
        <v>-2.1514352151459581</v>
      </c>
      <c r="S2191">
        <v>0.2373679555844958</v>
      </c>
      <c r="T2191">
        <v>0.17784224367127971</v>
      </c>
      <c r="U2191">
        <v>4.4922551983498087</v>
      </c>
      <c r="V2191">
        <v>0.20031796777918809</v>
      </c>
      <c r="W2191">
        <v>5.6678082164855823</v>
      </c>
      <c r="X2191">
        <v>0.42180810202763569</v>
      </c>
      <c r="Z2191" t="s">
        <v>392</v>
      </c>
      <c r="AA2191">
        <v>9400</v>
      </c>
      <c r="AB2191" t="s">
        <v>2582</v>
      </c>
      <c r="AC2191" t="str">
        <f>HYPERLINK("plots/3FT6Y578R01_012_S11P_20251111092011_M5358ACSH101811_RBGEUFRF26/dpll_52046/txpa_54195.png","plot")</f>
        <v>plot</v>
      </c>
    </row>
    <row r="2192" spans="1:29" x14ac:dyDescent="0.35">
      <c r="A2192" s="2" t="s">
        <v>48</v>
      </c>
      <c r="B2192">
        <v>52046</v>
      </c>
      <c r="C2192" t="s">
        <v>51</v>
      </c>
      <c r="D2192">
        <v>54196</v>
      </c>
      <c r="E2192" t="s">
        <v>216</v>
      </c>
      <c r="F2192">
        <v>12239</v>
      </c>
      <c r="G2192">
        <v>0.83894450530520359</v>
      </c>
      <c r="H2192">
        <v>0</v>
      </c>
      <c r="I2192">
        <v>0</v>
      </c>
      <c r="J2192">
        <v>0.73233781506481077</v>
      </c>
      <c r="K2192">
        <v>0</v>
      </c>
      <c r="L2192">
        <v>0</v>
      </c>
      <c r="M2192">
        <v>0.53953035282702433</v>
      </c>
      <c r="N2192">
        <v>0</v>
      </c>
      <c r="O2192">
        <v>0</v>
      </c>
      <c r="P2192">
        <v>0.70382788298179277</v>
      </c>
      <c r="Q2192">
        <v>1.7645602867442349</v>
      </c>
      <c r="R2192">
        <v>-2.2240628739426471</v>
      </c>
      <c r="S2192">
        <v>0.22927002638007621</v>
      </c>
      <c r="T2192">
        <v>0.1746071338946108</v>
      </c>
      <c r="U2192">
        <v>4.492268155159735</v>
      </c>
      <c r="V2192">
        <v>0.20030402315410911</v>
      </c>
      <c r="W2192">
        <v>5.7028151100580118</v>
      </c>
      <c r="X2192">
        <v>0.42130143567035572</v>
      </c>
      <c r="Z2192" t="s">
        <v>392</v>
      </c>
      <c r="AA2192">
        <v>9400</v>
      </c>
      <c r="AB2192" t="s">
        <v>2583</v>
      </c>
      <c r="AC2192" t="str">
        <f>HYPERLINK("plots/3FT6Y578R01_012_S11P_20251111092011_M5358ACSH101811_RBGEUFRF26/dpll_52046/txpa_54196.png","plot")</f>
        <v>plot</v>
      </c>
    </row>
    <row r="2193" spans="1:29" x14ac:dyDescent="0.35">
      <c r="A2193" s="2" t="s">
        <v>48</v>
      </c>
      <c r="B2193">
        <v>52046</v>
      </c>
      <c r="C2193" t="s">
        <v>51</v>
      </c>
      <c r="D2193">
        <v>54197</v>
      </c>
      <c r="E2193" t="s">
        <v>217</v>
      </c>
      <c r="F2193">
        <v>12241</v>
      </c>
      <c r="G2193">
        <v>0.83758686355600431</v>
      </c>
      <c r="H2193">
        <v>0</v>
      </c>
      <c r="I2193">
        <v>0</v>
      </c>
      <c r="J2193">
        <v>0.72932133221318862</v>
      </c>
      <c r="K2193">
        <v>0</v>
      </c>
      <c r="L2193">
        <v>0</v>
      </c>
      <c r="M2193">
        <v>0.53633506661246544</v>
      </c>
      <c r="N2193">
        <v>0</v>
      </c>
      <c r="O2193">
        <v>0</v>
      </c>
      <c r="P2193">
        <v>0.70155175400158454</v>
      </c>
      <c r="Q2193">
        <v>1.7470350771557219</v>
      </c>
      <c r="R2193">
        <v>-2.1401373798485932</v>
      </c>
      <c r="S2193">
        <v>0.2282487713882653</v>
      </c>
      <c r="T2193">
        <v>0.17321613650653089</v>
      </c>
      <c r="U2193">
        <v>4.4922551983498087</v>
      </c>
      <c r="V2193">
        <v>0.20031796777918809</v>
      </c>
      <c r="W2193">
        <v>5.7079900272036603</v>
      </c>
      <c r="X2193">
        <v>0.41782235553338709</v>
      </c>
      <c r="Z2193" t="s">
        <v>392</v>
      </c>
      <c r="AA2193">
        <v>9400</v>
      </c>
      <c r="AB2193" t="s">
        <v>2584</v>
      </c>
      <c r="AC2193" t="str">
        <f>HYPERLINK("plots/3FT6Y578R01_012_S11P_20251111092011_M5358ACSH101811_RBGEUFRF26/dpll_52046/txpa_54197.png","plot")</f>
        <v>plot</v>
      </c>
    </row>
    <row r="2194" spans="1:29" x14ac:dyDescent="0.35">
      <c r="A2194" s="2" t="s">
        <v>48</v>
      </c>
      <c r="B2194">
        <v>52046</v>
      </c>
      <c r="C2194" t="s">
        <v>51</v>
      </c>
      <c r="D2194">
        <v>54198</v>
      </c>
      <c r="E2194" t="s">
        <v>218</v>
      </c>
      <c r="F2194">
        <v>12242</v>
      </c>
      <c r="G2194">
        <v>0.84647640737834751</v>
      </c>
      <c r="H2194">
        <v>0</v>
      </c>
      <c r="I2194">
        <v>0</v>
      </c>
      <c r="J2194">
        <v>0.73645031409144579</v>
      </c>
      <c r="K2194">
        <v>0</v>
      </c>
      <c r="L2194">
        <v>0</v>
      </c>
      <c r="M2194">
        <v>0.54351165736543983</v>
      </c>
      <c r="N2194">
        <v>0</v>
      </c>
      <c r="O2194">
        <v>0</v>
      </c>
      <c r="P2194">
        <v>0.71652230824815411</v>
      </c>
      <c r="Q2194">
        <v>1.7718149789054991</v>
      </c>
      <c r="R2194">
        <v>-2.231283775951789</v>
      </c>
      <c r="S2194">
        <v>0.2232679308820395</v>
      </c>
      <c r="T2194">
        <v>0.17107726047434571</v>
      </c>
      <c r="U2194">
        <v>4.4922121462179394</v>
      </c>
      <c r="V2194">
        <v>0.20034621017914711</v>
      </c>
      <c r="W2194">
        <v>5.728084993138375</v>
      </c>
      <c r="X2194">
        <v>0.41935771991776161</v>
      </c>
      <c r="Z2194" t="s">
        <v>392</v>
      </c>
      <c r="AA2194">
        <v>9400</v>
      </c>
      <c r="AB2194" t="s">
        <v>2585</v>
      </c>
      <c r="AC2194" t="str">
        <f>HYPERLINK("plots/3FT6Y578R01_012_S11P_20251111092011_M5358ACSH101811_RBGEUFRF26/dpll_52046/txpa_54198.png","plot")</f>
        <v>plot</v>
      </c>
    </row>
    <row r="2195" spans="1:29" x14ac:dyDescent="0.35">
      <c r="A2195" s="2" t="s">
        <v>48</v>
      </c>
      <c r="B2195">
        <v>52046</v>
      </c>
      <c r="C2195" t="s">
        <v>51</v>
      </c>
      <c r="D2195">
        <v>54199</v>
      </c>
      <c r="E2195" t="s">
        <v>219</v>
      </c>
      <c r="F2195">
        <v>12240</v>
      </c>
      <c r="G2195">
        <v>0.84672030639396767</v>
      </c>
      <c r="H2195">
        <v>0</v>
      </c>
      <c r="I2195">
        <v>0</v>
      </c>
      <c r="J2195">
        <v>0.73333754999329659</v>
      </c>
      <c r="K2195">
        <v>0</v>
      </c>
      <c r="L2195">
        <v>0</v>
      </c>
      <c r="M2195">
        <v>0.54000463220788641</v>
      </c>
      <c r="N2195">
        <v>0</v>
      </c>
      <c r="O2195">
        <v>0</v>
      </c>
      <c r="P2195">
        <v>0.71693527725989448</v>
      </c>
      <c r="Q2195">
        <v>1.777359371477065</v>
      </c>
      <c r="R2195">
        <v>-2.2827806720294901</v>
      </c>
      <c r="S2195">
        <v>0.2237002365781838</v>
      </c>
      <c r="T2195">
        <v>0.17237129728304179</v>
      </c>
      <c r="U2195">
        <v>4.492228153022876</v>
      </c>
      <c r="V2195">
        <v>0.2003115712750779</v>
      </c>
      <c r="W2195">
        <v>5.7015231345588244</v>
      </c>
      <c r="X2195">
        <v>0.42047609550939691</v>
      </c>
      <c r="Z2195" t="s">
        <v>392</v>
      </c>
      <c r="AA2195">
        <v>9400</v>
      </c>
      <c r="AB2195" t="s">
        <v>2586</v>
      </c>
      <c r="AC2195" t="str">
        <f>HYPERLINK("plots/3FT6Y578R01_012_S11P_20251111092011_M5358ACSH101811_RBGEUFRF26/dpll_52046/txpa_54199.png","plot")</f>
        <v>plot</v>
      </c>
    </row>
    <row r="2196" spans="1:29" x14ac:dyDescent="0.35">
      <c r="A2196" s="2" t="s">
        <v>48</v>
      </c>
      <c r="B2196">
        <v>52046</v>
      </c>
      <c r="C2196" t="s">
        <v>51</v>
      </c>
      <c r="D2196">
        <v>54200</v>
      </c>
      <c r="E2196" t="s">
        <v>220</v>
      </c>
      <c r="F2196">
        <v>12240</v>
      </c>
      <c r="G2196">
        <v>0.84867186747686929</v>
      </c>
      <c r="H2196">
        <v>0</v>
      </c>
      <c r="I2196">
        <v>0</v>
      </c>
      <c r="J2196">
        <v>0.73816710603666424</v>
      </c>
      <c r="K2196">
        <v>0</v>
      </c>
      <c r="L2196">
        <v>0</v>
      </c>
      <c r="M2196">
        <v>0.54536897878867951</v>
      </c>
      <c r="N2196">
        <v>0</v>
      </c>
      <c r="O2196">
        <v>0</v>
      </c>
      <c r="P2196">
        <v>0.7202439386466768</v>
      </c>
      <c r="Q2196">
        <v>1.7843914532686</v>
      </c>
      <c r="R2196">
        <v>-2.308937238243117</v>
      </c>
      <c r="S2196">
        <v>0.22273047814711561</v>
      </c>
      <c r="T2196">
        <v>0.17185556515497349</v>
      </c>
      <c r="U2196">
        <v>4.4921825285947721</v>
      </c>
      <c r="V2196">
        <v>0.20028909768291919</v>
      </c>
      <c r="W2196">
        <v>5.7068748723039224</v>
      </c>
      <c r="X2196">
        <v>0.42112171710230722</v>
      </c>
      <c r="Z2196" t="s">
        <v>392</v>
      </c>
      <c r="AA2196">
        <v>9400</v>
      </c>
      <c r="AB2196" t="s">
        <v>2587</v>
      </c>
      <c r="AC2196" t="str">
        <f>HYPERLINK("plots/3FT6Y578R01_012_S11P_20251111092011_M5358ACSH101811_RBGEUFRF26/dpll_52046/txpa_54200.png","plot")</f>
        <v>plot</v>
      </c>
    </row>
    <row r="2197" spans="1:29" x14ac:dyDescent="0.35">
      <c r="A2197" s="2" t="s">
        <v>48</v>
      </c>
      <c r="B2197">
        <v>52046</v>
      </c>
      <c r="C2197" t="s">
        <v>51</v>
      </c>
      <c r="D2197">
        <v>54201</v>
      </c>
      <c r="E2197" t="s">
        <v>221</v>
      </c>
      <c r="F2197">
        <v>12241</v>
      </c>
      <c r="G2197">
        <v>0.84765815066034578</v>
      </c>
      <c r="H2197">
        <v>0</v>
      </c>
      <c r="I2197">
        <v>0</v>
      </c>
      <c r="J2197">
        <v>0.73357134671072288</v>
      </c>
      <c r="K2197">
        <v>0</v>
      </c>
      <c r="L2197">
        <v>0</v>
      </c>
      <c r="M2197">
        <v>0.54146880706916345</v>
      </c>
      <c r="N2197">
        <v>0</v>
      </c>
      <c r="O2197">
        <v>0</v>
      </c>
      <c r="P2197">
        <v>0.7185243403809175</v>
      </c>
      <c r="Q2197">
        <v>1.780111945284071</v>
      </c>
      <c r="R2197">
        <v>-2.284830468303126</v>
      </c>
      <c r="S2197">
        <v>0.223178566643041</v>
      </c>
      <c r="T2197">
        <v>0.17181329766566669</v>
      </c>
      <c r="U2197">
        <v>4.4922515145004489</v>
      </c>
      <c r="V2197">
        <v>0.20031950074504501</v>
      </c>
      <c r="W2197">
        <v>5.7118801138795847</v>
      </c>
      <c r="X2197">
        <v>0.42067800076222139</v>
      </c>
      <c r="Z2197" t="s">
        <v>392</v>
      </c>
      <c r="AA2197">
        <v>9400</v>
      </c>
      <c r="AB2197" t="s">
        <v>2588</v>
      </c>
      <c r="AC2197" t="str">
        <f>HYPERLINK("plots/3FT6Y578R01_012_S11P_20251111092011_M5358ACSH101811_RBGEUFRF26/dpll_52046/txpa_54201.png","plot")</f>
        <v>plot</v>
      </c>
    </row>
    <row r="2198" spans="1:29" x14ac:dyDescent="0.35">
      <c r="A2198" s="2" t="s">
        <v>48</v>
      </c>
      <c r="B2198">
        <v>52046</v>
      </c>
      <c r="C2198" t="s">
        <v>51</v>
      </c>
      <c r="D2198">
        <v>54202</v>
      </c>
      <c r="E2198" t="s">
        <v>222</v>
      </c>
      <c r="F2198">
        <v>12235</v>
      </c>
      <c r="G2198">
        <v>0.84397598635578686</v>
      </c>
      <c r="H2198">
        <v>0</v>
      </c>
      <c r="I2198">
        <v>0</v>
      </c>
      <c r="J2198">
        <v>0.72692475409519286</v>
      </c>
      <c r="K2198">
        <v>0</v>
      </c>
      <c r="L2198">
        <v>0</v>
      </c>
      <c r="M2198">
        <v>0.53564444907860764</v>
      </c>
      <c r="N2198">
        <v>0</v>
      </c>
      <c r="O2198">
        <v>0</v>
      </c>
      <c r="P2198">
        <v>0.71229546554522327</v>
      </c>
      <c r="Q2198">
        <v>1.758793247160277</v>
      </c>
      <c r="R2198">
        <v>-2.2054667035427551</v>
      </c>
      <c r="S2198">
        <v>0.22388136367620659</v>
      </c>
      <c r="T2198">
        <v>0.17202039795195639</v>
      </c>
      <c r="U2198">
        <v>4.492365550143032</v>
      </c>
      <c r="V2198">
        <v>0.20029847339670609</v>
      </c>
      <c r="W2198">
        <v>5.6956754898242741</v>
      </c>
      <c r="X2198">
        <v>0.41740950941953742</v>
      </c>
      <c r="Z2198" t="s">
        <v>392</v>
      </c>
      <c r="AA2198">
        <v>9400</v>
      </c>
      <c r="AB2198" t="s">
        <v>2589</v>
      </c>
      <c r="AC2198" t="str">
        <f>HYPERLINK("plots/3FT6Y578R01_012_S11P_20251111092011_M5358ACSH101811_RBGEUFRF26/dpll_52046/txpa_54202.png","plot")</f>
        <v>plot</v>
      </c>
    </row>
    <row r="2199" spans="1:29" x14ac:dyDescent="0.35">
      <c r="A2199" s="2" t="s">
        <v>48</v>
      </c>
      <c r="B2199">
        <v>52046</v>
      </c>
      <c r="C2199" t="s">
        <v>51</v>
      </c>
      <c r="D2199">
        <v>54203</v>
      </c>
      <c r="E2199" t="s">
        <v>223</v>
      </c>
      <c r="F2199">
        <v>12239</v>
      </c>
      <c r="G2199">
        <v>0.82989970250110912</v>
      </c>
      <c r="H2199">
        <v>0</v>
      </c>
      <c r="I2199">
        <v>0</v>
      </c>
      <c r="J2199">
        <v>0.72520467074444417</v>
      </c>
      <c r="K2199">
        <v>0</v>
      </c>
      <c r="L2199">
        <v>0</v>
      </c>
      <c r="M2199">
        <v>0.53162813517040253</v>
      </c>
      <c r="N2199">
        <v>0</v>
      </c>
      <c r="O2199">
        <v>0</v>
      </c>
      <c r="P2199">
        <v>0.68873351621142942</v>
      </c>
      <c r="Q2199">
        <v>1.831829712356317</v>
      </c>
      <c r="R2199">
        <v>-1.577455638229617</v>
      </c>
      <c r="S2199">
        <v>0.24664354176202041</v>
      </c>
      <c r="T2199">
        <v>0.1848279026244779</v>
      </c>
      <c r="U2199">
        <v>4.492307785766811</v>
      </c>
      <c r="V2199">
        <v>0.20029117814837211</v>
      </c>
      <c r="W2199">
        <v>6.6516872407876448</v>
      </c>
      <c r="X2199">
        <v>0.44210081067543228</v>
      </c>
      <c r="Z2199" t="s">
        <v>392</v>
      </c>
      <c r="AA2199">
        <v>9400</v>
      </c>
      <c r="AB2199" t="s">
        <v>2590</v>
      </c>
      <c r="AC2199" t="str">
        <f>HYPERLINK("plots/3FT6Y578R01_012_S11P_20251111092011_M5358ACSH101811_RBGEUFRF26/dpll_52046/txpa_54203.png","plot")</f>
        <v>plot</v>
      </c>
    </row>
    <row r="2200" spans="1:29" x14ac:dyDescent="0.35">
      <c r="A2200" s="2" t="s">
        <v>48</v>
      </c>
      <c r="B2200">
        <v>52046</v>
      </c>
      <c r="C2200" t="s">
        <v>51</v>
      </c>
      <c r="D2200">
        <v>54204</v>
      </c>
      <c r="E2200" t="s">
        <v>224</v>
      </c>
      <c r="F2200">
        <v>12239</v>
      </c>
      <c r="G2200">
        <v>0.84157158148711531</v>
      </c>
      <c r="H2200">
        <v>0</v>
      </c>
      <c r="I2200">
        <v>0</v>
      </c>
      <c r="J2200">
        <v>0.73405733002041285</v>
      </c>
      <c r="K2200">
        <v>0</v>
      </c>
      <c r="L2200">
        <v>0</v>
      </c>
      <c r="M2200">
        <v>0.54133395855694122</v>
      </c>
      <c r="N2200">
        <v>0</v>
      </c>
      <c r="O2200">
        <v>0</v>
      </c>
      <c r="P2200">
        <v>0.7082427267667244</v>
      </c>
      <c r="Q2200">
        <v>1.8577445941110751</v>
      </c>
      <c r="R2200">
        <v>-1.659013045019551</v>
      </c>
      <c r="S2200">
        <v>0.23882386343549161</v>
      </c>
      <c r="T2200">
        <v>0.18168512694537639</v>
      </c>
      <c r="U2200">
        <v>4.492268155159735</v>
      </c>
      <c r="V2200">
        <v>0.20030402315410911</v>
      </c>
      <c r="W2200">
        <v>6.6864738355257787</v>
      </c>
      <c r="X2200">
        <v>0.44216525887874569</v>
      </c>
      <c r="Z2200" t="s">
        <v>392</v>
      </c>
      <c r="AA2200">
        <v>9400</v>
      </c>
      <c r="AB2200" t="s">
        <v>2591</v>
      </c>
      <c r="AC2200" t="str">
        <f>HYPERLINK("plots/3FT6Y578R01_012_S11P_20251111092011_M5358ACSH101811_RBGEUFRF26/dpll_52046/txpa_54204.png","plot")</f>
        <v>plot</v>
      </c>
    </row>
    <row r="2201" spans="1:29" x14ac:dyDescent="0.35">
      <c r="A2201" s="2" t="s">
        <v>48</v>
      </c>
      <c r="B2201">
        <v>52046</v>
      </c>
      <c r="C2201" t="s">
        <v>51</v>
      </c>
      <c r="D2201">
        <v>54205</v>
      </c>
      <c r="E2201" t="s">
        <v>225</v>
      </c>
      <c r="F2201">
        <v>12239</v>
      </c>
      <c r="G2201">
        <v>0.84101554422559266</v>
      </c>
      <c r="H2201">
        <v>0</v>
      </c>
      <c r="I2201">
        <v>0</v>
      </c>
      <c r="J2201">
        <v>0.73097016277261806</v>
      </c>
      <c r="K2201">
        <v>0</v>
      </c>
      <c r="L2201">
        <v>0</v>
      </c>
      <c r="M2201">
        <v>0.53810703740908694</v>
      </c>
      <c r="N2201">
        <v>0</v>
      </c>
      <c r="O2201">
        <v>0</v>
      </c>
      <c r="P2201">
        <v>0.70730714562906982</v>
      </c>
      <c r="Q2201">
        <v>1.839044678419919</v>
      </c>
      <c r="R2201">
        <v>-1.5689726169601941</v>
      </c>
      <c r="S2201">
        <v>0.2369763575523394</v>
      </c>
      <c r="T2201">
        <v>0.18003752347323229</v>
      </c>
      <c r="U2201">
        <v>4.492281195359098</v>
      </c>
      <c r="V2201">
        <v>0.20032190676012709</v>
      </c>
      <c r="W2201">
        <v>6.6925332093308274</v>
      </c>
      <c r="X2201">
        <v>0.43804295785919972</v>
      </c>
      <c r="Z2201" t="s">
        <v>392</v>
      </c>
      <c r="AA2201">
        <v>9400</v>
      </c>
      <c r="AB2201" t="s">
        <v>2592</v>
      </c>
      <c r="AC2201" t="str">
        <f>HYPERLINK("plots/3FT6Y578R01_012_S11P_20251111092011_M5358ACSH101811_RBGEUFRF26/dpll_52046/txpa_54205.png","plot")</f>
        <v>plot</v>
      </c>
    </row>
    <row r="2202" spans="1:29" x14ac:dyDescent="0.35">
      <c r="A2202" s="2" t="s">
        <v>48</v>
      </c>
      <c r="B2202">
        <v>52046</v>
      </c>
      <c r="C2202" t="s">
        <v>51</v>
      </c>
      <c r="D2202">
        <v>54206</v>
      </c>
      <c r="E2202" t="s">
        <v>226</v>
      </c>
      <c r="F2202">
        <v>12240</v>
      </c>
      <c r="G2202">
        <v>0.84911151307743393</v>
      </c>
      <c r="H2202">
        <v>0</v>
      </c>
      <c r="I2202">
        <v>0</v>
      </c>
      <c r="J2202">
        <v>0.73763748631106008</v>
      </c>
      <c r="K2202">
        <v>0</v>
      </c>
      <c r="L2202">
        <v>0</v>
      </c>
      <c r="M2202">
        <v>0.54496332043967999</v>
      </c>
      <c r="N2202">
        <v>0</v>
      </c>
      <c r="O2202">
        <v>0</v>
      </c>
      <c r="P2202">
        <v>0.72099036164064922</v>
      </c>
      <c r="Q2202">
        <v>1.8635369950321541</v>
      </c>
      <c r="R2202">
        <v>-1.660064375160752</v>
      </c>
      <c r="S2202">
        <v>0.2322239871306408</v>
      </c>
      <c r="T2202">
        <v>0.17799754508286911</v>
      </c>
      <c r="U2202">
        <v>4.4922587900326798</v>
      </c>
      <c r="V2202">
        <v>0.2003281251120857</v>
      </c>
      <c r="W2202">
        <v>6.7114260713235296</v>
      </c>
      <c r="X2202">
        <v>0.43965823869091403</v>
      </c>
      <c r="Z2202" t="s">
        <v>392</v>
      </c>
      <c r="AA2202">
        <v>9400</v>
      </c>
      <c r="AB2202" t="s">
        <v>2593</v>
      </c>
      <c r="AC2202" t="str">
        <f>HYPERLINK("plots/3FT6Y578R01_012_S11P_20251111092011_M5358ACSH101811_RBGEUFRF26/dpll_52046/txpa_54206.png","plot")</f>
        <v>plot</v>
      </c>
    </row>
    <row r="2203" spans="1:29" x14ac:dyDescent="0.35">
      <c r="A2203" s="2" t="s">
        <v>48</v>
      </c>
      <c r="B2203">
        <v>52046</v>
      </c>
      <c r="C2203" t="s">
        <v>51</v>
      </c>
      <c r="D2203">
        <v>54207</v>
      </c>
      <c r="E2203" t="s">
        <v>227</v>
      </c>
      <c r="F2203">
        <v>12239</v>
      </c>
      <c r="G2203">
        <v>0.84931778077736042</v>
      </c>
      <c r="H2203">
        <v>0</v>
      </c>
      <c r="I2203">
        <v>0</v>
      </c>
      <c r="J2203">
        <v>0.73487883772945328</v>
      </c>
      <c r="K2203">
        <v>0</v>
      </c>
      <c r="L2203">
        <v>0</v>
      </c>
      <c r="M2203">
        <v>0.54178541210293285</v>
      </c>
      <c r="N2203">
        <v>0</v>
      </c>
      <c r="O2203">
        <v>0</v>
      </c>
      <c r="P2203">
        <v>0.72134069274458046</v>
      </c>
      <c r="Q2203">
        <v>1.8706841980178279</v>
      </c>
      <c r="R2203">
        <v>-1.719790125553105</v>
      </c>
      <c r="S2203">
        <v>0.23288404671295651</v>
      </c>
      <c r="T2203">
        <v>0.17934465066201941</v>
      </c>
      <c r="U2203">
        <v>4.4922505857504698</v>
      </c>
      <c r="V2203">
        <v>0.2003043790864783</v>
      </c>
      <c r="W2203">
        <v>6.6837920587466302</v>
      </c>
      <c r="X2203">
        <v>0.44118496660683099</v>
      </c>
      <c r="Z2203" t="s">
        <v>392</v>
      </c>
      <c r="AA2203">
        <v>9400</v>
      </c>
      <c r="AB2203" t="s">
        <v>2594</v>
      </c>
      <c r="AC2203" t="str">
        <f>HYPERLINK("plots/3FT6Y578R01_012_S11P_20251111092011_M5358ACSH101811_RBGEUFRF26/dpll_52046/txpa_54207.png","plot")</f>
        <v>plot</v>
      </c>
    </row>
    <row r="2204" spans="1:29" x14ac:dyDescent="0.35">
      <c r="A2204" s="2" t="s">
        <v>48</v>
      </c>
      <c r="B2204">
        <v>52046</v>
      </c>
      <c r="C2204" t="s">
        <v>51</v>
      </c>
      <c r="D2204">
        <v>54208</v>
      </c>
      <c r="E2204" t="s">
        <v>228</v>
      </c>
      <c r="F2204">
        <v>12240</v>
      </c>
      <c r="G2204">
        <v>0.85083669249375993</v>
      </c>
      <c r="H2204">
        <v>0</v>
      </c>
      <c r="I2204">
        <v>0</v>
      </c>
      <c r="J2204">
        <v>0.73911801439035951</v>
      </c>
      <c r="K2204">
        <v>0</v>
      </c>
      <c r="L2204">
        <v>0</v>
      </c>
      <c r="M2204">
        <v>0.54658837428733553</v>
      </c>
      <c r="N2204">
        <v>0</v>
      </c>
      <c r="O2204">
        <v>0</v>
      </c>
      <c r="P2204">
        <v>0.72392307729372096</v>
      </c>
      <c r="Q2204">
        <v>1.877725321040316</v>
      </c>
      <c r="R2204">
        <v>-1.7449895376217619</v>
      </c>
      <c r="S2204">
        <v>0.23224184517053531</v>
      </c>
      <c r="T2204">
        <v>0.17896984221883849</v>
      </c>
      <c r="U2204">
        <v>4.4921825285947721</v>
      </c>
      <c r="V2204">
        <v>0.20028909768291919</v>
      </c>
      <c r="W2204">
        <v>6.6900953430555559</v>
      </c>
      <c r="X2204">
        <v>0.44202126396928149</v>
      </c>
      <c r="Z2204" t="s">
        <v>392</v>
      </c>
      <c r="AA2204">
        <v>9400</v>
      </c>
      <c r="AB2204" t="s">
        <v>2595</v>
      </c>
      <c r="AC2204" t="str">
        <f>HYPERLINK("plots/3FT6Y578R01_012_S11P_20251111092011_M5358ACSH101811_RBGEUFRF26/dpll_52046/txpa_54208.png","plot")</f>
        <v>plot</v>
      </c>
    </row>
    <row r="2205" spans="1:29" x14ac:dyDescent="0.35">
      <c r="A2205" s="2" t="s">
        <v>48</v>
      </c>
      <c r="B2205">
        <v>52046</v>
      </c>
      <c r="C2205" t="s">
        <v>51</v>
      </c>
      <c r="D2205">
        <v>54209</v>
      </c>
      <c r="E2205" t="s">
        <v>229</v>
      </c>
      <c r="F2205">
        <v>12240</v>
      </c>
      <c r="G2205">
        <v>0.85014365188681129</v>
      </c>
      <c r="H2205">
        <v>0</v>
      </c>
      <c r="I2205">
        <v>0</v>
      </c>
      <c r="J2205">
        <v>0.73487355180598846</v>
      </c>
      <c r="K2205">
        <v>0</v>
      </c>
      <c r="L2205">
        <v>0</v>
      </c>
      <c r="M2205">
        <v>0.54304803840496574</v>
      </c>
      <c r="N2205">
        <v>0</v>
      </c>
      <c r="O2205">
        <v>0</v>
      </c>
      <c r="P2205">
        <v>0.7227442288434438</v>
      </c>
      <c r="Q2205">
        <v>1.8731768840362439</v>
      </c>
      <c r="R2205">
        <v>-1.719601749382845</v>
      </c>
      <c r="S2205">
        <v>0.23238692499460531</v>
      </c>
      <c r="T2205">
        <v>0.1787192384599838</v>
      </c>
      <c r="U2205">
        <v>4.4922755625000006</v>
      </c>
      <c r="V2205">
        <v>0.20031001334033319</v>
      </c>
      <c r="W2205">
        <v>6.6952249910130712</v>
      </c>
      <c r="X2205">
        <v>0.44135609999245179</v>
      </c>
      <c r="Z2205" t="s">
        <v>392</v>
      </c>
      <c r="AA2205">
        <v>9400</v>
      </c>
      <c r="AB2205" t="s">
        <v>2596</v>
      </c>
      <c r="AC2205" t="str">
        <f>HYPERLINK("plots/3FT6Y578R01_012_S11P_20251111092011_M5358ACSH101811_RBGEUFRF26/dpll_52046/txpa_54209.png","plot")</f>
        <v>plot</v>
      </c>
    </row>
    <row r="2206" spans="1:29" x14ac:dyDescent="0.35">
      <c r="A2206" s="2" t="s">
        <v>48</v>
      </c>
      <c r="B2206">
        <v>52046</v>
      </c>
      <c r="C2206" t="s">
        <v>51</v>
      </c>
      <c r="D2206">
        <v>54210</v>
      </c>
      <c r="E2206" t="s">
        <v>230</v>
      </c>
      <c r="F2206">
        <v>12235</v>
      </c>
      <c r="G2206">
        <v>0.8463700670647526</v>
      </c>
      <c r="H2206">
        <v>0</v>
      </c>
      <c r="I2206">
        <v>0</v>
      </c>
      <c r="J2206">
        <v>0.72840672670183537</v>
      </c>
      <c r="K2206">
        <v>0</v>
      </c>
      <c r="L2206">
        <v>0</v>
      </c>
      <c r="M2206">
        <v>0.53723081743623968</v>
      </c>
      <c r="N2206">
        <v>0</v>
      </c>
      <c r="O2206">
        <v>0</v>
      </c>
      <c r="P2206">
        <v>0.71634229042319386</v>
      </c>
      <c r="Q2206">
        <v>1.851740076969419</v>
      </c>
      <c r="R2206">
        <v>-1.6391567461883669</v>
      </c>
      <c r="S2206">
        <v>0.2333871372123876</v>
      </c>
      <c r="T2206">
        <v>0.1791642724082122</v>
      </c>
      <c r="U2206">
        <v>4.492365550143032</v>
      </c>
      <c r="V2206">
        <v>0.20029847339670609</v>
      </c>
      <c r="W2206">
        <v>6.6795365834082547</v>
      </c>
      <c r="X2206">
        <v>0.43822522201284031</v>
      </c>
      <c r="Z2206" t="s">
        <v>392</v>
      </c>
      <c r="AA2206">
        <v>9400</v>
      </c>
      <c r="AB2206" t="s">
        <v>2597</v>
      </c>
      <c r="AC2206" t="str">
        <f>HYPERLINK("plots/3FT6Y578R01_012_S11P_20251111092011_M5358ACSH101811_RBGEUFRF26/dpll_52046/txpa_54210.png","plot")</f>
        <v>plot</v>
      </c>
    </row>
    <row r="2207" spans="1:29" x14ac:dyDescent="0.35">
      <c r="A2207" s="2" t="s">
        <v>48</v>
      </c>
      <c r="B2207">
        <v>52046</v>
      </c>
      <c r="C2207" t="s">
        <v>51</v>
      </c>
      <c r="D2207">
        <v>54211</v>
      </c>
      <c r="E2207" t="s">
        <v>231</v>
      </c>
      <c r="F2207">
        <v>12237</v>
      </c>
      <c r="G2207">
        <v>0.83243267919756603</v>
      </c>
      <c r="H2207">
        <v>0</v>
      </c>
      <c r="I2207">
        <v>0</v>
      </c>
      <c r="J2207">
        <v>0.72648750164931652</v>
      </c>
      <c r="K2207">
        <v>0</v>
      </c>
      <c r="L2207">
        <v>0</v>
      </c>
      <c r="M2207">
        <v>0.5330369916715294</v>
      </c>
      <c r="N2207">
        <v>0</v>
      </c>
      <c r="O2207">
        <v>0</v>
      </c>
      <c r="P2207">
        <v>0.69294416539603787</v>
      </c>
      <c r="Q2207">
        <v>1.924955867875092</v>
      </c>
      <c r="R2207">
        <v>-1.0450479917999549</v>
      </c>
      <c r="S2207">
        <v>0.25659330349652609</v>
      </c>
      <c r="T2207">
        <v>0.192235426110133</v>
      </c>
      <c r="U2207">
        <v>4.4923665365694214</v>
      </c>
      <c r="V2207">
        <v>0.20025470601101389</v>
      </c>
      <c r="W2207">
        <v>7.6025593334150523</v>
      </c>
      <c r="X2207">
        <v>0.46307825369985728</v>
      </c>
      <c r="Z2207" t="s">
        <v>392</v>
      </c>
      <c r="AA2207">
        <v>9400</v>
      </c>
      <c r="AB2207" t="s">
        <v>2598</v>
      </c>
      <c r="AC2207" t="str">
        <f>HYPERLINK("plots/3FT6Y578R01_012_S11P_20251111092011_M5358ACSH101811_RBGEUFRF26/dpll_52046/txpa_54211.png","plot")</f>
        <v>plot</v>
      </c>
    </row>
    <row r="2208" spans="1:29" x14ac:dyDescent="0.35">
      <c r="A2208" s="2" t="s">
        <v>48</v>
      </c>
      <c r="B2208">
        <v>52046</v>
      </c>
      <c r="C2208" t="s">
        <v>51</v>
      </c>
      <c r="D2208">
        <v>54212</v>
      </c>
      <c r="E2208" t="s">
        <v>232</v>
      </c>
      <c r="F2208">
        <v>12235</v>
      </c>
      <c r="G2208">
        <v>0.84404391561943848</v>
      </c>
      <c r="H2208">
        <v>0</v>
      </c>
      <c r="I2208">
        <v>0</v>
      </c>
      <c r="J2208">
        <v>0.73480403028139352</v>
      </c>
      <c r="K2208">
        <v>0</v>
      </c>
      <c r="L2208">
        <v>0</v>
      </c>
      <c r="M2208">
        <v>0.54229652684628049</v>
      </c>
      <c r="N2208">
        <v>0</v>
      </c>
      <c r="O2208">
        <v>0</v>
      </c>
      <c r="P2208">
        <v>0.71241013149419374</v>
      </c>
      <c r="Q2208">
        <v>1.9494564540733581</v>
      </c>
      <c r="R2208">
        <v>-1.119774445974288</v>
      </c>
      <c r="S2208">
        <v>0.2480330844559141</v>
      </c>
      <c r="T2208">
        <v>0.18892583832601531</v>
      </c>
      <c r="U2208">
        <v>4.492367491622395</v>
      </c>
      <c r="V2208">
        <v>0.2002590154432789</v>
      </c>
      <c r="W2208">
        <v>7.6379003546383331</v>
      </c>
      <c r="X2208">
        <v>0.46253070831719328</v>
      </c>
      <c r="Z2208" t="s">
        <v>392</v>
      </c>
      <c r="AA2208">
        <v>9400</v>
      </c>
      <c r="AB2208" t="s">
        <v>2599</v>
      </c>
      <c r="AC2208" t="str">
        <f>HYPERLINK("plots/3FT6Y578R01_012_S11P_20251111092011_M5358ACSH101811_RBGEUFRF26/dpll_52046/txpa_54212.png","plot")</f>
        <v>plot</v>
      </c>
    </row>
    <row r="2209" spans="1:29" x14ac:dyDescent="0.35">
      <c r="A2209" s="2" t="s">
        <v>48</v>
      </c>
      <c r="B2209">
        <v>52046</v>
      </c>
      <c r="C2209" t="s">
        <v>51</v>
      </c>
      <c r="D2209">
        <v>54213</v>
      </c>
      <c r="E2209" t="s">
        <v>233</v>
      </c>
      <c r="F2209">
        <v>12238</v>
      </c>
      <c r="G2209">
        <v>0.84323305533417248</v>
      </c>
      <c r="H2209">
        <v>0</v>
      </c>
      <c r="I2209">
        <v>0</v>
      </c>
      <c r="J2209">
        <v>0.73207566324525508</v>
      </c>
      <c r="K2209">
        <v>0</v>
      </c>
      <c r="L2209">
        <v>0</v>
      </c>
      <c r="M2209">
        <v>0.53935420832842929</v>
      </c>
      <c r="N2209">
        <v>0</v>
      </c>
      <c r="O2209">
        <v>0</v>
      </c>
      <c r="P2209">
        <v>0.71104198560820353</v>
      </c>
      <c r="Q2209">
        <v>1.932906658599838</v>
      </c>
      <c r="R2209">
        <v>-1.039115525550601</v>
      </c>
      <c r="S2209">
        <v>0.24680725027734809</v>
      </c>
      <c r="T2209">
        <v>0.18744538021028509</v>
      </c>
      <c r="U2209">
        <v>4.4923089881516587</v>
      </c>
      <c r="V2209">
        <v>0.20030649259705219</v>
      </c>
      <c r="W2209">
        <v>7.6440984301356423</v>
      </c>
      <c r="X2209">
        <v>0.45915390869987283</v>
      </c>
      <c r="Z2209" t="s">
        <v>392</v>
      </c>
      <c r="AA2209">
        <v>9400</v>
      </c>
      <c r="AB2209" t="s">
        <v>2600</v>
      </c>
      <c r="AC2209" t="str">
        <f>HYPERLINK("plots/3FT6Y578R01_012_S11P_20251111092011_M5358ACSH101811_RBGEUFRF26/dpll_52046/txpa_54213.png","plot")</f>
        <v>plot</v>
      </c>
    </row>
    <row r="2210" spans="1:29" x14ac:dyDescent="0.35">
      <c r="A2210" s="2" t="s">
        <v>48</v>
      </c>
      <c r="B2210">
        <v>52046</v>
      </c>
      <c r="C2210" t="s">
        <v>51</v>
      </c>
      <c r="D2210">
        <v>54214</v>
      </c>
      <c r="E2210" t="s">
        <v>234</v>
      </c>
      <c r="F2210">
        <v>12240</v>
      </c>
      <c r="G2210">
        <v>0.85081734693913846</v>
      </c>
      <c r="H2210">
        <v>0</v>
      </c>
      <c r="I2210">
        <v>0</v>
      </c>
      <c r="J2210">
        <v>0.7383754226982937</v>
      </c>
      <c r="K2210">
        <v>0</v>
      </c>
      <c r="L2210">
        <v>0</v>
      </c>
      <c r="M2210">
        <v>0.54587979536635001</v>
      </c>
      <c r="N2210">
        <v>0</v>
      </c>
      <c r="O2210">
        <v>0</v>
      </c>
      <c r="P2210">
        <v>0.72389015785255428</v>
      </c>
      <c r="Q2210">
        <v>1.958741877016247</v>
      </c>
      <c r="R2210">
        <v>-1.137515175297362</v>
      </c>
      <c r="S2210">
        <v>0.24232934098973991</v>
      </c>
      <c r="T2210">
        <v>0.1855475191371509</v>
      </c>
      <c r="U2210">
        <v>4.4922587900326798</v>
      </c>
      <c r="V2210">
        <v>0.2003281251120857</v>
      </c>
      <c r="W2210">
        <v>7.6616602391339859</v>
      </c>
      <c r="X2210">
        <v>0.46119309768758321</v>
      </c>
      <c r="Z2210" t="s">
        <v>392</v>
      </c>
      <c r="AA2210">
        <v>9400</v>
      </c>
      <c r="AB2210" t="s">
        <v>2601</v>
      </c>
      <c r="AC2210" t="str">
        <f>HYPERLINK("plots/3FT6Y578R01_012_S11P_20251111092011_M5358ACSH101811_RBGEUFRF26/dpll_52046/txpa_54214.png","plot")</f>
        <v>plot</v>
      </c>
    </row>
    <row r="2211" spans="1:29" x14ac:dyDescent="0.35">
      <c r="A2211" s="2" t="s">
        <v>48</v>
      </c>
      <c r="B2211">
        <v>52046</v>
      </c>
      <c r="C2211" t="s">
        <v>51</v>
      </c>
      <c r="D2211">
        <v>54215</v>
      </c>
      <c r="E2211" t="s">
        <v>235</v>
      </c>
      <c r="F2211">
        <v>12239</v>
      </c>
      <c r="G2211">
        <v>0.85109996244878061</v>
      </c>
      <c r="H2211">
        <v>0</v>
      </c>
      <c r="I2211">
        <v>0</v>
      </c>
      <c r="J2211">
        <v>0.73564713029857842</v>
      </c>
      <c r="K2211">
        <v>0</v>
      </c>
      <c r="L2211">
        <v>0</v>
      </c>
      <c r="M2211">
        <v>0.54277755696019603</v>
      </c>
      <c r="N2211">
        <v>0</v>
      </c>
      <c r="O2211">
        <v>0</v>
      </c>
      <c r="P2211">
        <v>0.72437114608031572</v>
      </c>
      <c r="Q2211">
        <v>1.966412340671037</v>
      </c>
      <c r="R2211">
        <v>-1.200540157112294</v>
      </c>
      <c r="S2211">
        <v>0.24295680088178731</v>
      </c>
      <c r="T2211">
        <v>0.18690626980058181</v>
      </c>
      <c r="U2211">
        <v>4.4922505857504698</v>
      </c>
      <c r="V2211">
        <v>0.2003043790864783</v>
      </c>
      <c r="W2211">
        <v>7.6330768320941251</v>
      </c>
      <c r="X2211">
        <v>0.46279053026019212</v>
      </c>
      <c r="Z2211" t="s">
        <v>392</v>
      </c>
      <c r="AA2211">
        <v>9400</v>
      </c>
      <c r="AB2211" t="s">
        <v>2602</v>
      </c>
      <c r="AC2211" t="str">
        <f>HYPERLINK("plots/3FT6Y578R01_012_S11P_20251111092011_M5358ACSH101811_RBGEUFRF26/dpll_52046/txpa_54215.png","plot")</f>
        <v>plot</v>
      </c>
    </row>
    <row r="2212" spans="1:29" x14ac:dyDescent="0.35">
      <c r="A2212" s="2" t="s">
        <v>48</v>
      </c>
      <c r="B2212">
        <v>52046</v>
      </c>
      <c r="C2212" t="s">
        <v>51</v>
      </c>
      <c r="D2212">
        <v>54216</v>
      </c>
      <c r="E2212" t="s">
        <v>236</v>
      </c>
      <c r="F2212">
        <v>12239</v>
      </c>
      <c r="G2212">
        <v>0.85302222105332082</v>
      </c>
      <c r="H2212">
        <v>0</v>
      </c>
      <c r="I2212">
        <v>0</v>
      </c>
      <c r="J2212">
        <v>0.73967129769638518</v>
      </c>
      <c r="K2212">
        <v>0</v>
      </c>
      <c r="L2212">
        <v>0</v>
      </c>
      <c r="M2212">
        <v>0.54741978787382839</v>
      </c>
      <c r="N2212">
        <v>0</v>
      </c>
      <c r="O2212">
        <v>0</v>
      </c>
      <c r="P2212">
        <v>0.72764690961074052</v>
      </c>
      <c r="Q2212">
        <v>1.9718757317131961</v>
      </c>
      <c r="R2212">
        <v>-1.2172459433904821</v>
      </c>
      <c r="S2212">
        <v>0.24163058628339451</v>
      </c>
      <c r="T2212">
        <v>0.18626805951432029</v>
      </c>
      <c r="U2212">
        <v>4.4922426758722116</v>
      </c>
      <c r="V2212">
        <v>0.20030154507572481</v>
      </c>
      <c r="W2212">
        <v>7.6408983701282782</v>
      </c>
      <c r="X2212">
        <v>0.46302399399603628</v>
      </c>
      <c r="Z2212" t="s">
        <v>392</v>
      </c>
      <c r="AA2212">
        <v>9400</v>
      </c>
      <c r="AB2212" t="s">
        <v>2603</v>
      </c>
      <c r="AC2212" t="str">
        <f>HYPERLINK("plots/3FT6Y578R01_012_S11P_20251111092011_M5358ACSH101811_RBGEUFRF26/dpll_52046/txpa_54216.png","plot")</f>
        <v>plot</v>
      </c>
    </row>
    <row r="2213" spans="1:29" x14ac:dyDescent="0.35">
      <c r="A2213" s="2" t="s">
        <v>48</v>
      </c>
      <c r="B2213">
        <v>52046</v>
      </c>
      <c r="C2213" t="s">
        <v>51</v>
      </c>
      <c r="D2213">
        <v>54217</v>
      </c>
      <c r="E2213" t="s">
        <v>237</v>
      </c>
      <c r="F2213">
        <v>12239</v>
      </c>
      <c r="G2213">
        <v>0.8520594922075162</v>
      </c>
      <c r="H2213">
        <v>0</v>
      </c>
      <c r="I2213">
        <v>0</v>
      </c>
      <c r="J2213">
        <v>0.7354351380644899</v>
      </c>
      <c r="K2213">
        <v>0</v>
      </c>
      <c r="L2213">
        <v>0</v>
      </c>
      <c r="M2213">
        <v>0.54389141693194865</v>
      </c>
      <c r="N2213">
        <v>0</v>
      </c>
      <c r="O2213">
        <v>0</v>
      </c>
      <c r="P2213">
        <v>0.72600537826093037</v>
      </c>
      <c r="Q2213">
        <v>1.9677627149824359</v>
      </c>
      <c r="R2213">
        <v>-1.193691316522034</v>
      </c>
      <c r="S2213">
        <v>0.24213239852113841</v>
      </c>
      <c r="T2213">
        <v>0.18611158244080539</v>
      </c>
      <c r="U2213">
        <v>4.4922944304273233</v>
      </c>
      <c r="V2213">
        <v>0.20030731966924389</v>
      </c>
      <c r="W2213">
        <v>7.6460781683961114</v>
      </c>
      <c r="X2213">
        <v>0.46259360853081188</v>
      </c>
      <c r="Z2213" t="s">
        <v>392</v>
      </c>
      <c r="AA2213">
        <v>9400</v>
      </c>
      <c r="AB2213" t="s">
        <v>2604</v>
      </c>
      <c r="AC2213" t="str">
        <f>HYPERLINK("plots/3FT6Y578R01_012_S11P_20251111092011_M5358ACSH101811_RBGEUFRF26/dpll_52046/txpa_54217.png","plot")</f>
        <v>plot</v>
      </c>
    </row>
    <row r="2214" spans="1:29" x14ac:dyDescent="0.35">
      <c r="A2214" s="2" t="s">
        <v>48</v>
      </c>
      <c r="B2214">
        <v>52046</v>
      </c>
      <c r="C2214" t="s">
        <v>51</v>
      </c>
      <c r="D2214">
        <v>54218</v>
      </c>
      <c r="E2214" t="s">
        <v>238</v>
      </c>
      <c r="F2214">
        <v>12233</v>
      </c>
      <c r="G2214">
        <v>0.84847090770595768</v>
      </c>
      <c r="H2214">
        <v>0</v>
      </c>
      <c r="I2214">
        <v>0</v>
      </c>
      <c r="J2214">
        <v>0.72918701552905985</v>
      </c>
      <c r="K2214">
        <v>0</v>
      </c>
      <c r="L2214">
        <v>0</v>
      </c>
      <c r="M2214">
        <v>0.53817805808194286</v>
      </c>
      <c r="N2214">
        <v>0</v>
      </c>
      <c r="O2214">
        <v>0</v>
      </c>
      <c r="P2214">
        <v>0.71990288122337176</v>
      </c>
      <c r="Q2214">
        <v>1.9450374841716169</v>
      </c>
      <c r="R2214">
        <v>-1.107043945951681</v>
      </c>
      <c r="S2214">
        <v>0.2429761420836003</v>
      </c>
      <c r="T2214">
        <v>0.1865355173804511</v>
      </c>
      <c r="U2214">
        <v>4.4924131264612113</v>
      </c>
      <c r="V2214">
        <v>0.20027929022073221</v>
      </c>
      <c r="W2214">
        <v>7.6308679793999827</v>
      </c>
      <c r="X2214">
        <v>0.4591209000151259</v>
      </c>
      <c r="Z2214" t="s">
        <v>392</v>
      </c>
      <c r="AA2214">
        <v>9400</v>
      </c>
      <c r="AB2214" t="s">
        <v>2605</v>
      </c>
      <c r="AC2214" t="str">
        <f>HYPERLINK("plots/3FT6Y578R01_012_S11P_20251111092011_M5358ACSH101811_RBGEUFRF26/dpll_52046/txpa_54218.png","plot")</f>
        <v>plot</v>
      </c>
    </row>
    <row r="2215" spans="1:29" x14ac:dyDescent="0.35">
      <c r="A2215" s="2" t="s">
        <v>48</v>
      </c>
      <c r="B2215">
        <v>52046</v>
      </c>
      <c r="C2215" t="s">
        <v>51</v>
      </c>
      <c r="D2215">
        <v>54219</v>
      </c>
      <c r="E2215" t="s">
        <v>239</v>
      </c>
      <c r="F2215">
        <v>12226</v>
      </c>
      <c r="G2215">
        <v>0.83606730881108116</v>
      </c>
      <c r="H2215">
        <v>0</v>
      </c>
      <c r="I2215">
        <v>0</v>
      </c>
      <c r="J2215">
        <v>0.72742287045837972</v>
      </c>
      <c r="K2215">
        <v>0</v>
      </c>
      <c r="L2215">
        <v>0</v>
      </c>
      <c r="M2215">
        <v>0.53427906132602132</v>
      </c>
      <c r="N2215">
        <v>0</v>
      </c>
      <c r="O2215">
        <v>0</v>
      </c>
      <c r="P2215">
        <v>0.69900854486260378</v>
      </c>
      <c r="Q2215">
        <v>2.0266023191953839</v>
      </c>
      <c r="R2215">
        <v>-0.54234205158330084</v>
      </c>
      <c r="S2215">
        <v>0.26608515330693538</v>
      </c>
      <c r="T2215">
        <v>0.19981658563655039</v>
      </c>
      <c r="U2215">
        <v>4.4926530628169479</v>
      </c>
      <c r="V2215">
        <v>0.20009398270855561</v>
      </c>
      <c r="W2215">
        <v>8.5624790648617708</v>
      </c>
      <c r="X2215">
        <v>0.48502186981913148</v>
      </c>
      <c r="Z2215" t="s">
        <v>392</v>
      </c>
      <c r="AA2215">
        <v>9400</v>
      </c>
      <c r="AB2215" t="s">
        <v>2606</v>
      </c>
      <c r="AC2215" t="str">
        <f>HYPERLINK("plots/3FT6Y578R01_012_S11P_20251111092011_M5358ACSH101811_RBGEUFRF26/dpll_52046/txpa_54219.png","plot")</f>
        <v>plot</v>
      </c>
    </row>
    <row r="2216" spans="1:29" x14ac:dyDescent="0.35">
      <c r="A2216" s="2" t="s">
        <v>48</v>
      </c>
      <c r="B2216">
        <v>52046</v>
      </c>
      <c r="C2216" t="s">
        <v>51</v>
      </c>
      <c r="D2216">
        <v>54220</v>
      </c>
      <c r="E2216" t="s">
        <v>240</v>
      </c>
      <c r="F2216">
        <v>12234</v>
      </c>
      <c r="G2216">
        <v>0.84624103261072514</v>
      </c>
      <c r="H2216">
        <v>0</v>
      </c>
      <c r="I2216">
        <v>0</v>
      </c>
      <c r="J2216">
        <v>0.73584527624419271</v>
      </c>
      <c r="K2216">
        <v>0</v>
      </c>
      <c r="L2216">
        <v>0</v>
      </c>
      <c r="M2216">
        <v>0.543541558523572</v>
      </c>
      <c r="N2216">
        <v>0</v>
      </c>
      <c r="O2216">
        <v>0</v>
      </c>
      <c r="P2216">
        <v>0.71612388527406634</v>
      </c>
      <c r="Q2216">
        <v>2.058912496557705</v>
      </c>
      <c r="R2216">
        <v>-0.6537967401786311</v>
      </c>
      <c r="S2216">
        <v>0.25955589276573149</v>
      </c>
      <c r="T2216">
        <v>0.19747140434572941</v>
      </c>
      <c r="U2216">
        <v>4.4923998598986437</v>
      </c>
      <c r="V2216">
        <v>0.20023519136942419</v>
      </c>
      <c r="W2216">
        <v>8.595661470900767</v>
      </c>
      <c r="X2216">
        <v>0.48717412873404781</v>
      </c>
      <c r="Z2216" t="s">
        <v>392</v>
      </c>
      <c r="AA2216">
        <v>9400</v>
      </c>
      <c r="AB2216" t="s">
        <v>2607</v>
      </c>
      <c r="AC2216" t="str">
        <f>HYPERLINK("plots/3FT6Y578R01_012_S11P_20251111092011_M5358ACSH101811_RBGEUFRF26/dpll_52046/txpa_54220.png","plot")</f>
        <v>plot</v>
      </c>
    </row>
    <row r="2217" spans="1:29" x14ac:dyDescent="0.35">
      <c r="A2217" s="2" t="s">
        <v>48</v>
      </c>
      <c r="B2217">
        <v>52046</v>
      </c>
      <c r="C2217" t="s">
        <v>51</v>
      </c>
      <c r="D2217">
        <v>54221</v>
      </c>
      <c r="E2217" t="s">
        <v>241</v>
      </c>
      <c r="F2217">
        <v>12236</v>
      </c>
      <c r="G2217">
        <v>0.84573974226371817</v>
      </c>
      <c r="H2217">
        <v>0</v>
      </c>
      <c r="I2217">
        <v>0</v>
      </c>
      <c r="J2217">
        <v>0.73321028391164333</v>
      </c>
      <c r="K2217">
        <v>0</v>
      </c>
      <c r="L2217">
        <v>0</v>
      </c>
      <c r="M2217">
        <v>0.54067712867476203</v>
      </c>
      <c r="N2217">
        <v>0</v>
      </c>
      <c r="O2217">
        <v>0</v>
      </c>
      <c r="P2217">
        <v>0.71527571164430048</v>
      </c>
      <c r="Q2217">
        <v>2.0415323132150109</v>
      </c>
      <c r="R2217">
        <v>-0.56889651192225621</v>
      </c>
      <c r="S2217">
        <v>0.25794847420977401</v>
      </c>
      <c r="T2217">
        <v>0.1957610843607655</v>
      </c>
      <c r="U2217">
        <v>4.4923670004086302</v>
      </c>
      <c r="V2217">
        <v>0.20027139979607531</v>
      </c>
      <c r="W2217">
        <v>8.6024158822327568</v>
      </c>
      <c r="X2217">
        <v>0.4834354041376</v>
      </c>
      <c r="Z2217" t="s">
        <v>392</v>
      </c>
      <c r="AA2217">
        <v>9400</v>
      </c>
      <c r="AB2217" t="s">
        <v>2608</v>
      </c>
      <c r="AC2217" t="str">
        <f>HYPERLINK("plots/3FT6Y578R01_012_S11P_20251111092011_M5358ACSH101811_RBGEUFRF26/dpll_52046/txpa_54221.png","plot")</f>
        <v>plot</v>
      </c>
    </row>
    <row r="2218" spans="1:29" x14ac:dyDescent="0.35">
      <c r="A2218" s="2" t="s">
        <v>48</v>
      </c>
      <c r="B2218">
        <v>52046</v>
      </c>
      <c r="C2218" t="s">
        <v>51</v>
      </c>
      <c r="D2218">
        <v>54222</v>
      </c>
      <c r="E2218" t="s">
        <v>242</v>
      </c>
      <c r="F2218">
        <v>12240</v>
      </c>
      <c r="G2218">
        <v>0.85271970594506497</v>
      </c>
      <c r="H2218">
        <v>0</v>
      </c>
      <c r="I2218">
        <v>0</v>
      </c>
      <c r="J2218">
        <v>0.73913663381152106</v>
      </c>
      <c r="K2218">
        <v>0</v>
      </c>
      <c r="L2218">
        <v>0</v>
      </c>
      <c r="M2218">
        <v>0.54688760513150048</v>
      </c>
      <c r="N2218">
        <v>0</v>
      </c>
      <c r="O2218">
        <v>0</v>
      </c>
      <c r="P2218">
        <v>0.72713089690703803</v>
      </c>
      <c r="Q2218">
        <v>2.069692318286608</v>
      </c>
      <c r="R2218">
        <v>-0.67862072370181892</v>
      </c>
      <c r="S2218">
        <v>0.253980781370377</v>
      </c>
      <c r="T2218">
        <v>0.19415989692707539</v>
      </c>
      <c r="U2218">
        <v>4.4922587900326798</v>
      </c>
      <c r="V2218">
        <v>0.2003281251120857</v>
      </c>
      <c r="W2218">
        <v>8.6189727857843135</v>
      </c>
      <c r="X2218">
        <v>0.48622962362729027</v>
      </c>
      <c r="Z2218" t="s">
        <v>392</v>
      </c>
      <c r="AA2218">
        <v>9400</v>
      </c>
      <c r="AB2218" t="s">
        <v>2609</v>
      </c>
      <c r="AC2218" t="str">
        <f>HYPERLINK("plots/3FT6Y578R01_012_S11P_20251111092011_M5358ACSH101811_RBGEUFRF26/dpll_52046/txpa_54222.png","plot")</f>
        <v>plot</v>
      </c>
    </row>
    <row r="2219" spans="1:29" x14ac:dyDescent="0.35">
      <c r="A2219" s="2" t="s">
        <v>48</v>
      </c>
      <c r="B2219">
        <v>52046</v>
      </c>
      <c r="C2219" t="s">
        <v>51</v>
      </c>
      <c r="D2219">
        <v>54223</v>
      </c>
      <c r="E2219" t="s">
        <v>243</v>
      </c>
      <c r="F2219">
        <v>12238</v>
      </c>
      <c r="G2219">
        <v>0.85316581082517906</v>
      </c>
      <c r="H2219">
        <v>0</v>
      </c>
      <c r="I2219">
        <v>0</v>
      </c>
      <c r="J2219">
        <v>0.7365423361914788</v>
      </c>
      <c r="K2219">
        <v>0</v>
      </c>
      <c r="L2219">
        <v>0</v>
      </c>
      <c r="M2219">
        <v>0.54392974728817423</v>
      </c>
      <c r="N2219">
        <v>0</v>
      </c>
      <c r="O2219">
        <v>0</v>
      </c>
      <c r="P2219">
        <v>0.7278919007609852</v>
      </c>
      <c r="Q2219">
        <v>2.07696088856048</v>
      </c>
      <c r="R2219">
        <v>-0.74087925000813115</v>
      </c>
      <c r="S2219">
        <v>0.25434190738202572</v>
      </c>
      <c r="T2219">
        <v>0.19536879241419289</v>
      </c>
      <c r="U2219">
        <v>4.4922745768916492</v>
      </c>
      <c r="V2219">
        <v>0.20029497741322561</v>
      </c>
      <c r="W2219">
        <v>8.5893993468704029</v>
      </c>
      <c r="X2219">
        <v>0.48760138883204429</v>
      </c>
      <c r="Z2219" t="s">
        <v>392</v>
      </c>
      <c r="AA2219">
        <v>9400</v>
      </c>
      <c r="AB2219" t="s">
        <v>2610</v>
      </c>
      <c r="AC2219" t="str">
        <f>HYPERLINK("plots/3FT6Y578R01_012_S11P_20251111092011_M5358ACSH101811_RBGEUFRF26/dpll_52046/txpa_54223.png","plot")</f>
        <v>plot</v>
      </c>
    </row>
    <row r="2220" spans="1:29" x14ac:dyDescent="0.35">
      <c r="A2220" s="2" t="s">
        <v>48</v>
      </c>
      <c r="B2220">
        <v>52046</v>
      </c>
      <c r="C2220" t="s">
        <v>51</v>
      </c>
      <c r="D2220">
        <v>54224</v>
      </c>
      <c r="E2220" t="s">
        <v>244</v>
      </c>
      <c r="F2220">
        <v>12238</v>
      </c>
      <c r="G2220">
        <v>0.85499088630109243</v>
      </c>
      <c r="H2220">
        <v>0</v>
      </c>
      <c r="I2220">
        <v>0</v>
      </c>
      <c r="J2220">
        <v>0.74030944561259238</v>
      </c>
      <c r="K2220">
        <v>0</v>
      </c>
      <c r="L2220">
        <v>0</v>
      </c>
      <c r="M2220">
        <v>0.54834458279238696</v>
      </c>
      <c r="N2220">
        <v>0</v>
      </c>
      <c r="O2220">
        <v>0</v>
      </c>
      <c r="P2220">
        <v>0.73100941565792754</v>
      </c>
      <c r="Q2220">
        <v>2.0816421799126981</v>
      </c>
      <c r="R2220">
        <v>-0.75270682054401128</v>
      </c>
      <c r="S2220">
        <v>0.25290888461570848</v>
      </c>
      <c r="T2220">
        <v>0.19466365224807319</v>
      </c>
      <c r="U2220">
        <v>4.4922651116195453</v>
      </c>
      <c r="V2220">
        <v>0.20029434949285149</v>
      </c>
      <c r="W2220">
        <v>8.5985817191534561</v>
      </c>
      <c r="X2220">
        <v>0.48765568497026718</v>
      </c>
      <c r="Z2220" t="s">
        <v>392</v>
      </c>
      <c r="AA2220">
        <v>9400</v>
      </c>
      <c r="AB2220" t="s">
        <v>2611</v>
      </c>
      <c r="AC2220" t="str">
        <f>HYPERLINK("plots/3FT6Y578R01_012_S11P_20251111092011_M5358ACSH101811_RBGEUFRF26/dpll_52046/txpa_54224.png","plot")</f>
        <v>plot</v>
      </c>
    </row>
    <row r="2221" spans="1:29" x14ac:dyDescent="0.35">
      <c r="A2221" s="2" t="s">
        <v>48</v>
      </c>
      <c r="B2221">
        <v>52046</v>
      </c>
      <c r="C2221" t="s">
        <v>51</v>
      </c>
      <c r="D2221">
        <v>54225</v>
      </c>
      <c r="E2221" t="s">
        <v>245</v>
      </c>
      <c r="F2221">
        <v>12233</v>
      </c>
      <c r="G2221">
        <v>0.85490395834312549</v>
      </c>
      <c r="H2221">
        <v>0</v>
      </c>
      <c r="I2221">
        <v>0</v>
      </c>
      <c r="J2221">
        <v>0.73617685659770515</v>
      </c>
      <c r="K2221">
        <v>0</v>
      </c>
      <c r="L2221">
        <v>0</v>
      </c>
      <c r="M2221">
        <v>0.54504095529662899</v>
      </c>
      <c r="N2221">
        <v>0</v>
      </c>
      <c r="O2221">
        <v>0</v>
      </c>
      <c r="P2221">
        <v>0.73086077799074445</v>
      </c>
      <c r="Q2221">
        <v>2.075024459724041</v>
      </c>
      <c r="R2221">
        <v>-0.71708200939111144</v>
      </c>
      <c r="S2221">
        <v>0.25216541480172189</v>
      </c>
      <c r="T2221">
        <v>0.1940234517102967</v>
      </c>
      <c r="U2221">
        <v>4.4924234870432436</v>
      </c>
      <c r="V2221">
        <v>0.20026676589965439</v>
      </c>
      <c r="W2221">
        <v>8.6048066096623881</v>
      </c>
      <c r="X2221">
        <v>0.4860878624506525</v>
      </c>
      <c r="Z2221" t="s">
        <v>392</v>
      </c>
      <c r="AA2221">
        <v>9400</v>
      </c>
      <c r="AB2221" t="s">
        <v>2612</v>
      </c>
      <c r="AC2221" t="str">
        <f>HYPERLINK("plots/3FT6Y578R01_012_S11P_20251111092011_M5358ACSH101811_RBGEUFRF26/dpll_52046/txpa_54225.png","plot")</f>
        <v>plot</v>
      </c>
    </row>
    <row r="2222" spans="1:29" x14ac:dyDescent="0.35">
      <c r="A2222" s="2" t="s">
        <v>48</v>
      </c>
      <c r="B2222">
        <v>52046</v>
      </c>
      <c r="C2222" t="s">
        <v>51</v>
      </c>
      <c r="D2222">
        <v>54226</v>
      </c>
      <c r="E2222" t="s">
        <v>246</v>
      </c>
      <c r="F2222">
        <v>12231</v>
      </c>
      <c r="G2222">
        <v>0.85067108539159908</v>
      </c>
      <c r="H2222">
        <v>0</v>
      </c>
      <c r="I2222">
        <v>0</v>
      </c>
      <c r="J2222">
        <v>0.72988479637092585</v>
      </c>
      <c r="K2222">
        <v>0</v>
      </c>
      <c r="L2222">
        <v>0</v>
      </c>
      <c r="M2222">
        <v>0.53912466467569675</v>
      </c>
      <c r="N2222">
        <v>0</v>
      </c>
      <c r="O2222">
        <v>0</v>
      </c>
      <c r="P2222">
        <v>0.72364129552132128</v>
      </c>
      <c r="Q2222">
        <v>2.0531666388183041</v>
      </c>
      <c r="R2222">
        <v>-0.63350929589321225</v>
      </c>
      <c r="S2222">
        <v>0.25408683279206329</v>
      </c>
      <c r="T2222">
        <v>0.19493879980272</v>
      </c>
      <c r="U2222">
        <v>4.4924586863706972</v>
      </c>
      <c r="V2222">
        <v>0.20026304372145959</v>
      </c>
      <c r="W2222">
        <v>8.5902570052326066</v>
      </c>
      <c r="X2222">
        <v>0.48335180002954042</v>
      </c>
      <c r="Z2222" t="s">
        <v>392</v>
      </c>
      <c r="AA2222">
        <v>9400</v>
      </c>
      <c r="AB2222" t="s">
        <v>2613</v>
      </c>
      <c r="AC2222" t="str">
        <f>HYPERLINK("plots/3FT6Y578R01_012_S11P_20251111092011_M5358ACSH101811_RBGEUFRF26/dpll_52046/txpa_54226.png","plot")</f>
        <v>plot</v>
      </c>
    </row>
    <row r="2223" spans="1:29" x14ac:dyDescent="0.35">
      <c r="A2223" s="2" t="s">
        <v>48</v>
      </c>
      <c r="B2223">
        <v>52046</v>
      </c>
      <c r="C2223" t="s">
        <v>51</v>
      </c>
      <c r="D2223">
        <v>54227</v>
      </c>
      <c r="E2223" t="s">
        <v>247</v>
      </c>
      <c r="F2223">
        <v>12223</v>
      </c>
      <c r="G2223">
        <v>0.83710995257648257</v>
      </c>
      <c r="H2223">
        <v>0</v>
      </c>
      <c r="I2223">
        <v>0</v>
      </c>
      <c r="J2223">
        <v>0.72735699035850998</v>
      </c>
      <c r="K2223">
        <v>0</v>
      </c>
      <c r="L2223">
        <v>0</v>
      </c>
      <c r="M2223">
        <v>0.5343698823498706</v>
      </c>
      <c r="N2223">
        <v>0</v>
      </c>
      <c r="O2223">
        <v>0</v>
      </c>
      <c r="P2223">
        <v>0.7007530727026009</v>
      </c>
      <c r="Q2223">
        <v>2.0852062076774058</v>
      </c>
      <c r="R2223">
        <v>-0.34007979531267551</v>
      </c>
      <c r="S2223">
        <v>0.27257993050766399</v>
      </c>
      <c r="T2223">
        <v>0.20469643662479059</v>
      </c>
      <c r="U2223">
        <v>4.4927346960647956</v>
      </c>
      <c r="V2223">
        <v>0.2000461921362576</v>
      </c>
      <c r="W2223">
        <v>9.0281984823693033</v>
      </c>
      <c r="X2223">
        <v>0.4983067760464111</v>
      </c>
      <c r="Z2223" t="s">
        <v>392</v>
      </c>
      <c r="AA2223">
        <v>9400</v>
      </c>
      <c r="AB2223" t="s">
        <v>2614</v>
      </c>
      <c r="AC2223" t="str">
        <f>HYPERLINK("plots/3FT6Y578R01_012_S11P_20251111092011_M5358ACSH101811_RBGEUFRF26/dpll_52046/txpa_54227.png","plot")</f>
        <v>plot</v>
      </c>
    </row>
    <row r="2224" spans="1:29" x14ac:dyDescent="0.35">
      <c r="A2224" s="2" t="s">
        <v>48</v>
      </c>
      <c r="B2224">
        <v>52046</v>
      </c>
      <c r="C2224" t="s">
        <v>51</v>
      </c>
      <c r="D2224">
        <v>54228</v>
      </c>
      <c r="E2224" t="s">
        <v>248</v>
      </c>
      <c r="F2224">
        <v>12232</v>
      </c>
      <c r="G2224">
        <v>0.84725955637985828</v>
      </c>
      <c r="H2224">
        <v>0</v>
      </c>
      <c r="I2224">
        <v>0</v>
      </c>
      <c r="J2224">
        <v>0.73561830908719328</v>
      </c>
      <c r="K2224">
        <v>0</v>
      </c>
      <c r="L2224">
        <v>0</v>
      </c>
      <c r="M2224">
        <v>0.54351150279361182</v>
      </c>
      <c r="N2224">
        <v>0</v>
      </c>
      <c r="O2224">
        <v>0</v>
      </c>
      <c r="P2224">
        <v>0.71784875587699426</v>
      </c>
      <c r="Q2224">
        <v>2.118953932862619</v>
      </c>
      <c r="R2224">
        <v>-0.4581020852305997</v>
      </c>
      <c r="S2224">
        <v>0.26598647020487531</v>
      </c>
      <c r="T2224">
        <v>0.20234387016245459</v>
      </c>
      <c r="U2224">
        <v>4.4924365111183766</v>
      </c>
      <c r="V2224">
        <v>0.20023098115780091</v>
      </c>
      <c r="W2224">
        <v>9.0611639281393064</v>
      </c>
      <c r="X2224">
        <v>0.5007677066731625</v>
      </c>
      <c r="Z2224" t="s">
        <v>392</v>
      </c>
      <c r="AA2224">
        <v>9400</v>
      </c>
      <c r="AB2224" t="s">
        <v>2615</v>
      </c>
      <c r="AC2224" t="str">
        <f>HYPERLINK("plots/3FT6Y578R01_012_S11P_20251111092011_M5358ACSH101811_RBGEUFRF26/dpll_52046/txpa_54228.png","plot")</f>
        <v>plot</v>
      </c>
    </row>
    <row r="2225" spans="1:29" x14ac:dyDescent="0.35">
      <c r="A2225" s="2" t="s">
        <v>48</v>
      </c>
      <c r="B2225">
        <v>52046</v>
      </c>
      <c r="C2225" t="s">
        <v>51</v>
      </c>
      <c r="D2225">
        <v>54229</v>
      </c>
      <c r="E2225" t="s">
        <v>249</v>
      </c>
      <c r="F2225">
        <v>12231</v>
      </c>
      <c r="G2225">
        <v>0.84717532914692284</v>
      </c>
      <c r="H2225">
        <v>0</v>
      </c>
      <c r="I2225">
        <v>0</v>
      </c>
      <c r="J2225">
        <v>0.73295416600546781</v>
      </c>
      <c r="K2225">
        <v>0</v>
      </c>
      <c r="L2225">
        <v>0</v>
      </c>
      <c r="M2225">
        <v>0.5406641492302755</v>
      </c>
      <c r="N2225">
        <v>0</v>
      </c>
      <c r="O2225">
        <v>0</v>
      </c>
      <c r="P2225">
        <v>0.71770603831519708</v>
      </c>
      <c r="Q2225">
        <v>2.0999500558839022</v>
      </c>
      <c r="R2225">
        <v>-0.36544026577944783</v>
      </c>
      <c r="S2225">
        <v>0.26368162966879161</v>
      </c>
      <c r="T2225">
        <v>0.20035868603485599</v>
      </c>
      <c r="U2225">
        <v>4.4924788369716291</v>
      </c>
      <c r="V2225">
        <v>0.2002217111498184</v>
      </c>
      <c r="W2225">
        <v>9.068540918976371</v>
      </c>
      <c r="X2225">
        <v>0.49630292461610792</v>
      </c>
      <c r="Z2225" t="s">
        <v>392</v>
      </c>
      <c r="AA2225">
        <v>9400</v>
      </c>
      <c r="AB2225" t="s">
        <v>2616</v>
      </c>
      <c r="AC2225" t="str">
        <f>HYPERLINK("plots/3FT6Y578R01_012_S11P_20251111092011_M5358ACSH101811_RBGEUFRF26/dpll_52046/txpa_54229.png","plot")</f>
        <v>plot</v>
      </c>
    </row>
    <row r="2226" spans="1:29" x14ac:dyDescent="0.35">
      <c r="A2226" s="2" t="s">
        <v>48</v>
      </c>
      <c r="B2226">
        <v>52046</v>
      </c>
      <c r="C2226" t="s">
        <v>51</v>
      </c>
      <c r="D2226">
        <v>54230</v>
      </c>
      <c r="E2226" t="s">
        <v>250</v>
      </c>
      <c r="F2226">
        <v>12238</v>
      </c>
      <c r="G2226">
        <v>0.85338997800005556</v>
      </c>
      <c r="H2226">
        <v>0</v>
      </c>
      <c r="I2226">
        <v>0</v>
      </c>
      <c r="J2226">
        <v>0.7387381920113667</v>
      </c>
      <c r="K2226">
        <v>0</v>
      </c>
      <c r="L2226">
        <v>0</v>
      </c>
      <c r="M2226">
        <v>0.54667442369806218</v>
      </c>
      <c r="N2226">
        <v>0</v>
      </c>
      <c r="O2226">
        <v>0</v>
      </c>
      <c r="P2226">
        <v>0.72827445455093531</v>
      </c>
      <c r="Q2226">
        <v>2.1303778637661068</v>
      </c>
      <c r="R2226">
        <v>-0.48605465276923893</v>
      </c>
      <c r="S2226">
        <v>0.26064374160890202</v>
      </c>
      <c r="T2226">
        <v>0.1991685854208699</v>
      </c>
      <c r="U2226">
        <v>4.4923098699950978</v>
      </c>
      <c r="V2226">
        <v>0.20030450117725501</v>
      </c>
      <c r="W2226">
        <v>9.0842628514463151</v>
      </c>
      <c r="X2226">
        <v>0.50003431762905981</v>
      </c>
      <c r="Z2226" t="s">
        <v>392</v>
      </c>
      <c r="AA2226">
        <v>9400</v>
      </c>
      <c r="AB2226" t="s">
        <v>2617</v>
      </c>
      <c r="AC2226" t="str">
        <f>HYPERLINK("plots/3FT6Y578R01_012_S11P_20251111092011_M5358ACSH101811_RBGEUFRF26/dpll_52046/txpa_54230.png","plot")</f>
        <v>plot</v>
      </c>
    </row>
    <row r="2227" spans="1:29" x14ac:dyDescent="0.35">
      <c r="A2227" s="2" t="s">
        <v>48</v>
      </c>
      <c r="B2227">
        <v>52046</v>
      </c>
      <c r="C2227" t="s">
        <v>51</v>
      </c>
      <c r="D2227">
        <v>54231</v>
      </c>
      <c r="E2227" t="s">
        <v>251</v>
      </c>
      <c r="F2227">
        <v>12235</v>
      </c>
      <c r="G2227">
        <v>0.85395323085771346</v>
      </c>
      <c r="H2227">
        <v>0</v>
      </c>
      <c r="I2227">
        <v>0</v>
      </c>
      <c r="J2227">
        <v>0.73625540422429669</v>
      </c>
      <c r="K2227">
        <v>0</v>
      </c>
      <c r="L2227">
        <v>0</v>
      </c>
      <c r="M2227">
        <v>0.54390684582889681</v>
      </c>
      <c r="N2227">
        <v>0</v>
      </c>
      <c r="O2227">
        <v>0</v>
      </c>
      <c r="P2227">
        <v>0.72923612049232722</v>
      </c>
      <c r="Q2227">
        <v>2.1369729984298389</v>
      </c>
      <c r="R2227">
        <v>-0.54594294832467227</v>
      </c>
      <c r="S2227">
        <v>0.26075873532593152</v>
      </c>
      <c r="T2227">
        <v>0.2002490675456669</v>
      </c>
      <c r="U2227">
        <v>4.4923493210461789</v>
      </c>
      <c r="V2227">
        <v>0.2002609638491531</v>
      </c>
      <c r="W2227">
        <v>9.0540862502656321</v>
      </c>
      <c r="X2227">
        <v>0.50114251802213738</v>
      </c>
      <c r="Z2227" t="s">
        <v>392</v>
      </c>
      <c r="AA2227">
        <v>9400</v>
      </c>
      <c r="AB2227" t="s">
        <v>2618</v>
      </c>
      <c r="AC2227" t="str">
        <f>HYPERLINK("plots/3FT6Y578R01_012_S11P_20251111092011_M5358ACSH101811_RBGEUFRF26/dpll_52046/txpa_54231.png","plot")</f>
        <v>plot</v>
      </c>
    </row>
    <row r="2228" spans="1:29" x14ac:dyDescent="0.35">
      <c r="A2228" s="2" t="s">
        <v>48</v>
      </c>
      <c r="B2228">
        <v>52046</v>
      </c>
      <c r="C2228" t="s">
        <v>51</v>
      </c>
      <c r="D2228">
        <v>54232</v>
      </c>
      <c r="E2228" t="s">
        <v>252</v>
      </c>
      <c r="F2228">
        <v>12237</v>
      </c>
      <c r="G2228">
        <v>0.85562936324553529</v>
      </c>
      <c r="H2228">
        <v>0</v>
      </c>
      <c r="I2228">
        <v>0</v>
      </c>
      <c r="J2228">
        <v>0.73995361356150269</v>
      </c>
      <c r="K2228">
        <v>0</v>
      </c>
      <c r="L2228">
        <v>0</v>
      </c>
      <c r="M2228">
        <v>0.54821839841335385</v>
      </c>
      <c r="N2228">
        <v>0</v>
      </c>
      <c r="O2228">
        <v>0</v>
      </c>
      <c r="P2228">
        <v>0.73210160724796014</v>
      </c>
      <c r="Q2228">
        <v>2.1430861201775731</v>
      </c>
      <c r="R2228">
        <v>-0.56382120474371433</v>
      </c>
      <c r="S2228">
        <v>0.25964681601108702</v>
      </c>
      <c r="T2228">
        <v>0.19970356324605529</v>
      </c>
      <c r="U2228">
        <v>4.4922844187300814</v>
      </c>
      <c r="V2228">
        <v>0.20029114519977639</v>
      </c>
      <c r="W2228">
        <v>9.0635311809266987</v>
      </c>
      <c r="X2228">
        <v>0.50166718407598032</v>
      </c>
      <c r="Z2228" t="s">
        <v>392</v>
      </c>
      <c r="AA2228">
        <v>9400</v>
      </c>
      <c r="AB2228" t="s">
        <v>2619</v>
      </c>
      <c r="AC2228" t="str">
        <f>HYPERLINK("plots/3FT6Y578R01_012_S11P_20251111092011_M5358ACSH101811_RBGEUFRF26/dpll_52046/txpa_54232.png","plot")</f>
        <v>plot</v>
      </c>
    </row>
    <row r="2229" spans="1:29" x14ac:dyDescent="0.35">
      <c r="A2229" s="2" t="s">
        <v>48</v>
      </c>
      <c r="B2229">
        <v>52046</v>
      </c>
      <c r="C2229" t="s">
        <v>51</v>
      </c>
      <c r="D2229">
        <v>54233</v>
      </c>
      <c r="E2229" t="s">
        <v>253</v>
      </c>
      <c r="F2229">
        <v>12229</v>
      </c>
      <c r="G2229">
        <v>0.85598436427323388</v>
      </c>
      <c r="H2229">
        <v>0</v>
      </c>
      <c r="I2229">
        <v>0</v>
      </c>
      <c r="J2229">
        <v>0.73577361300885991</v>
      </c>
      <c r="K2229">
        <v>0</v>
      </c>
      <c r="L2229">
        <v>0</v>
      </c>
      <c r="M2229">
        <v>0.54492205499866886</v>
      </c>
      <c r="N2229">
        <v>0</v>
      </c>
      <c r="O2229">
        <v>0</v>
      </c>
      <c r="P2229">
        <v>0.73270923188025239</v>
      </c>
      <c r="Q2229">
        <v>2.1345172070815721</v>
      </c>
      <c r="R2229">
        <v>-0.51892435027831141</v>
      </c>
      <c r="S2229">
        <v>0.25813981616836768</v>
      </c>
      <c r="T2229">
        <v>0.19876804150058569</v>
      </c>
      <c r="U2229">
        <v>4.4925079933763996</v>
      </c>
      <c r="V2229">
        <v>0.2002382061729884</v>
      </c>
      <c r="W2229">
        <v>9.0704112645351209</v>
      </c>
      <c r="X2229">
        <v>0.49932208394283201</v>
      </c>
      <c r="Z2229" t="s">
        <v>392</v>
      </c>
      <c r="AA2229">
        <v>9400</v>
      </c>
      <c r="AB2229" t="s">
        <v>2620</v>
      </c>
      <c r="AC2229" t="str">
        <f>HYPERLINK("plots/3FT6Y578R01_012_S11P_20251111092011_M5358ACSH101811_RBGEUFRF26/dpll_52046/txpa_54233.png","plot")</f>
        <v>plot</v>
      </c>
    </row>
    <row r="2230" spans="1:29" x14ac:dyDescent="0.35">
      <c r="A2230" s="2" t="s">
        <v>48</v>
      </c>
      <c r="B2230">
        <v>52046</v>
      </c>
      <c r="C2230" t="s">
        <v>51</v>
      </c>
      <c r="D2230">
        <v>54234</v>
      </c>
      <c r="E2230" t="s">
        <v>254</v>
      </c>
      <c r="F2230">
        <v>12227</v>
      </c>
      <c r="G2230">
        <v>0.85135642380001708</v>
      </c>
      <c r="H2230">
        <v>0</v>
      </c>
      <c r="I2230">
        <v>0</v>
      </c>
      <c r="J2230">
        <v>0.72930452197055573</v>
      </c>
      <c r="K2230">
        <v>0</v>
      </c>
      <c r="L2230">
        <v>0</v>
      </c>
      <c r="M2230">
        <v>0.53876881137456001</v>
      </c>
      <c r="N2230">
        <v>0</v>
      </c>
      <c r="O2230">
        <v>0</v>
      </c>
      <c r="P2230">
        <v>0.72480776034555428</v>
      </c>
      <c r="Q2230">
        <v>2.1117301310081711</v>
      </c>
      <c r="R2230">
        <v>-0.43079729222457708</v>
      </c>
      <c r="S2230">
        <v>0.26049031157654418</v>
      </c>
      <c r="T2230">
        <v>0.1998709224583575</v>
      </c>
      <c r="U2230">
        <v>4.4925698033859494</v>
      </c>
      <c r="V2230">
        <v>0.20020007915149279</v>
      </c>
      <c r="W2230">
        <v>9.0562977272429865</v>
      </c>
      <c r="X2230">
        <v>0.49658230977738682</v>
      </c>
      <c r="Z2230" t="s">
        <v>392</v>
      </c>
      <c r="AA2230">
        <v>9400</v>
      </c>
      <c r="AB2230" t="s">
        <v>2621</v>
      </c>
      <c r="AC2230" t="str">
        <f>HYPERLINK("plots/3FT6Y578R01_012_S11P_20251111092011_M5358ACSH101811_RBGEUFRF26/dpll_52046/txpa_54234.png","plot")</f>
        <v>plot</v>
      </c>
    </row>
    <row r="2231" spans="1:29" x14ac:dyDescent="0.35">
      <c r="A2231" s="2" t="s">
        <v>48</v>
      </c>
      <c r="B2231">
        <v>52046</v>
      </c>
      <c r="C2231" t="s">
        <v>51</v>
      </c>
      <c r="D2231">
        <v>54235</v>
      </c>
      <c r="E2231" t="s">
        <v>255</v>
      </c>
      <c r="F2231">
        <v>12217</v>
      </c>
      <c r="G2231">
        <v>0.83857938693872436</v>
      </c>
      <c r="H2231">
        <v>0</v>
      </c>
      <c r="I2231">
        <v>0</v>
      </c>
      <c r="J2231">
        <v>0.72701310073651337</v>
      </c>
      <c r="K2231">
        <v>0</v>
      </c>
      <c r="L2231">
        <v>0</v>
      </c>
      <c r="M2231">
        <v>0.53424999409371754</v>
      </c>
      <c r="N2231">
        <v>0</v>
      </c>
      <c r="O2231">
        <v>0</v>
      </c>
      <c r="P2231">
        <v>0.7032153881985268</v>
      </c>
      <c r="Q2231">
        <v>2.14887254833712</v>
      </c>
      <c r="R2231">
        <v>-0.1793637431729547</v>
      </c>
      <c r="S2231">
        <v>0.27914629042238009</v>
      </c>
      <c r="T2231">
        <v>0.20986588704597439</v>
      </c>
      <c r="U2231">
        <v>4.4928837163788158</v>
      </c>
      <c r="V2231">
        <v>0.19996890626225461</v>
      </c>
      <c r="W2231">
        <v>9.4752707378243421</v>
      </c>
      <c r="X2231">
        <v>0.51242339113131163</v>
      </c>
      <c r="Z2231" t="s">
        <v>392</v>
      </c>
      <c r="AA2231">
        <v>9400</v>
      </c>
      <c r="AB2231" t="s">
        <v>2622</v>
      </c>
      <c r="AC2231" t="str">
        <f>HYPERLINK("plots/3FT6Y578R01_012_S11P_20251111092011_M5358ACSH101811_RBGEUFRF26/dpll_52046/txpa_54235.png","plot")</f>
        <v>plot</v>
      </c>
    </row>
    <row r="2232" spans="1:29" x14ac:dyDescent="0.35">
      <c r="A2232" s="2" t="s">
        <v>48</v>
      </c>
      <c r="B2232">
        <v>52046</v>
      </c>
      <c r="C2232" t="s">
        <v>51</v>
      </c>
      <c r="D2232">
        <v>54236</v>
      </c>
      <c r="E2232" t="s">
        <v>256</v>
      </c>
      <c r="F2232">
        <v>12231</v>
      </c>
      <c r="G2232">
        <v>0.8479000821712176</v>
      </c>
      <c r="H2232">
        <v>0</v>
      </c>
      <c r="I2232">
        <v>0</v>
      </c>
      <c r="J2232">
        <v>0.73537068102349812</v>
      </c>
      <c r="K2232">
        <v>0</v>
      </c>
      <c r="L2232">
        <v>0</v>
      </c>
      <c r="M2232">
        <v>0.54340828070168323</v>
      </c>
      <c r="N2232">
        <v>0</v>
      </c>
      <c r="O2232">
        <v>0</v>
      </c>
      <c r="P2232">
        <v>0.71893454934595757</v>
      </c>
      <c r="Q2232">
        <v>2.186753660349666</v>
      </c>
      <c r="R2232">
        <v>-0.31620057442648708</v>
      </c>
      <c r="S2232">
        <v>0.27373469733679229</v>
      </c>
      <c r="T2232">
        <v>0.20802989178086209</v>
      </c>
      <c r="U2232">
        <v>4.4924666888234812</v>
      </c>
      <c r="V2232">
        <v>0.20021134708567009</v>
      </c>
      <c r="W2232">
        <v>9.5077174013572066</v>
      </c>
      <c r="X2232">
        <v>0.51634963280345392</v>
      </c>
      <c r="Z2232" t="s">
        <v>392</v>
      </c>
      <c r="AA2232">
        <v>9400</v>
      </c>
      <c r="AB2232" t="s">
        <v>2623</v>
      </c>
      <c r="AC2232" t="str">
        <f>HYPERLINK("plots/3FT6Y578R01_012_S11P_20251111092011_M5358ACSH101811_RBGEUFRF26/dpll_52046/txpa_54236.png","plot")</f>
        <v>plot</v>
      </c>
    </row>
    <row r="2233" spans="1:29" x14ac:dyDescent="0.35">
      <c r="A2233" s="2" t="s">
        <v>48</v>
      </c>
      <c r="B2233">
        <v>52046</v>
      </c>
      <c r="C2233" t="s">
        <v>51</v>
      </c>
      <c r="D2233">
        <v>54237</v>
      </c>
      <c r="E2233" t="s">
        <v>257</v>
      </c>
      <c r="F2233">
        <v>12224</v>
      </c>
      <c r="G2233">
        <v>0.84865367396869806</v>
      </c>
      <c r="H2233">
        <v>0</v>
      </c>
      <c r="I2233">
        <v>0</v>
      </c>
      <c r="J2233">
        <v>0.73242257392733379</v>
      </c>
      <c r="K2233">
        <v>0</v>
      </c>
      <c r="L2233">
        <v>0</v>
      </c>
      <c r="M2233">
        <v>0.54039819383568433</v>
      </c>
      <c r="N2233">
        <v>0</v>
      </c>
      <c r="O2233">
        <v>0</v>
      </c>
      <c r="P2233">
        <v>0.72021305834056926</v>
      </c>
      <c r="Q2233">
        <v>2.163581341421509</v>
      </c>
      <c r="R2233">
        <v>-0.20386563419845949</v>
      </c>
      <c r="S2233">
        <v>0.26988647448490299</v>
      </c>
      <c r="T2233">
        <v>0.20537856058170501</v>
      </c>
      <c r="U2233">
        <v>4.4926489218750003</v>
      </c>
      <c r="V2233">
        <v>0.20014393431084429</v>
      </c>
      <c r="W2233">
        <v>9.5163457467277475</v>
      </c>
      <c r="X2233">
        <v>0.51025252721595671</v>
      </c>
      <c r="Z2233" t="s">
        <v>392</v>
      </c>
      <c r="AA2233">
        <v>9400</v>
      </c>
      <c r="AB2233" t="s">
        <v>2624</v>
      </c>
      <c r="AC2233" t="str">
        <f>HYPERLINK("plots/3FT6Y578R01_012_S11P_20251111092011_M5358ACSH101811_RBGEUFRF26/dpll_52046/txpa_54237.png","plot")</f>
        <v>plot</v>
      </c>
    </row>
    <row r="2234" spans="1:29" x14ac:dyDescent="0.35">
      <c r="A2234" s="2" t="s">
        <v>48</v>
      </c>
      <c r="B2234">
        <v>52046</v>
      </c>
      <c r="C2234" t="s">
        <v>51</v>
      </c>
      <c r="D2234">
        <v>54238</v>
      </c>
      <c r="E2234" t="s">
        <v>258</v>
      </c>
      <c r="F2234">
        <v>12236</v>
      </c>
      <c r="G2234">
        <v>0.8541456653125955</v>
      </c>
      <c r="H2234">
        <v>0</v>
      </c>
      <c r="I2234">
        <v>0</v>
      </c>
      <c r="J2234">
        <v>0.73825288732416272</v>
      </c>
      <c r="K2234">
        <v>0</v>
      </c>
      <c r="L2234">
        <v>0</v>
      </c>
      <c r="M2234">
        <v>0.54637508148942882</v>
      </c>
      <c r="N2234">
        <v>0</v>
      </c>
      <c r="O2234">
        <v>0</v>
      </c>
      <c r="P2234">
        <v>0.72956481757229641</v>
      </c>
      <c r="Q2234">
        <v>2.1983604660437281</v>
      </c>
      <c r="R2234">
        <v>-0.34517643386310048</v>
      </c>
      <c r="S2234">
        <v>0.26805267969875901</v>
      </c>
      <c r="T2234">
        <v>0.2047165107949821</v>
      </c>
      <c r="U2234">
        <v>4.4923601779176199</v>
      </c>
      <c r="V2234">
        <v>0.20028081084756399</v>
      </c>
      <c r="W2234">
        <v>9.5306505805001631</v>
      </c>
      <c r="X2234">
        <v>0.51547345441755765</v>
      </c>
      <c r="Z2234" t="s">
        <v>392</v>
      </c>
      <c r="AA2234">
        <v>9400</v>
      </c>
      <c r="AB2234" t="s">
        <v>2625</v>
      </c>
      <c r="AC2234" t="str">
        <f>HYPERLINK("plots/3FT6Y578R01_012_S11P_20251111092011_M5358ACSH101811_RBGEUFRF26/dpll_52046/txpa_54238.png","plot")</f>
        <v>plot</v>
      </c>
    </row>
    <row r="2235" spans="1:29" x14ac:dyDescent="0.35">
      <c r="A2235" s="2" t="s">
        <v>48</v>
      </c>
      <c r="B2235">
        <v>52046</v>
      </c>
      <c r="C2235" t="s">
        <v>51</v>
      </c>
      <c r="D2235">
        <v>54239</v>
      </c>
      <c r="E2235" t="s">
        <v>259</v>
      </c>
      <c r="F2235">
        <v>12233</v>
      </c>
      <c r="G2235">
        <v>0.85411514574580949</v>
      </c>
      <c r="H2235">
        <v>0</v>
      </c>
      <c r="I2235">
        <v>0</v>
      </c>
      <c r="J2235">
        <v>0.73549492970953623</v>
      </c>
      <c r="K2235">
        <v>0</v>
      </c>
      <c r="L2235">
        <v>0</v>
      </c>
      <c r="M2235">
        <v>0.54347559433907311</v>
      </c>
      <c r="N2235">
        <v>0</v>
      </c>
      <c r="O2235">
        <v>0</v>
      </c>
      <c r="P2235">
        <v>0.72951268219238541</v>
      </c>
      <c r="Q2235">
        <v>2.2036175837499701</v>
      </c>
      <c r="R2235">
        <v>-0.39931161672699028</v>
      </c>
      <c r="S2235">
        <v>0.26865217308367229</v>
      </c>
      <c r="T2235">
        <v>0.20588103572460489</v>
      </c>
      <c r="U2235">
        <v>4.4924086504536911</v>
      </c>
      <c r="V2235">
        <v>0.20022340826608331</v>
      </c>
      <c r="W2235">
        <v>9.5002390788032365</v>
      </c>
      <c r="X2235">
        <v>0.51657651234860491</v>
      </c>
      <c r="Z2235" t="s">
        <v>392</v>
      </c>
      <c r="AA2235">
        <v>9400</v>
      </c>
      <c r="AB2235" t="s">
        <v>2626</v>
      </c>
      <c r="AC2235" t="str">
        <f>HYPERLINK("plots/3FT6Y578R01_012_S11P_20251111092011_M5358ACSH101811_RBGEUFRF26/dpll_52046/txpa_54239.png","plot")</f>
        <v>plot</v>
      </c>
    </row>
    <row r="2236" spans="1:29" x14ac:dyDescent="0.35">
      <c r="A2236" s="2" t="s">
        <v>48</v>
      </c>
      <c r="B2236">
        <v>52046</v>
      </c>
      <c r="C2236" t="s">
        <v>51</v>
      </c>
      <c r="D2236">
        <v>54240</v>
      </c>
      <c r="E2236" t="s">
        <v>260</v>
      </c>
      <c r="F2236">
        <v>12234</v>
      </c>
      <c r="G2236">
        <v>0.85635338008700734</v>
      </c>
      <c r="H2236">
        <v>0</v>
      </c>
      <c r="I2236">
        <v>0</v>
      </c>
      <c r="J2236">
        <v>0.73928708516765296</v>
      </c>
      <c r="K2236">
        <v>0</v>
      </c>
      <c r="L2236">
        <v>0</v>
      </c>
      <c r="M2236">
        <v>0.54780921952568884</v>
      </c>
      <c r="N2236">
        <v>0</v>
      </c>
      <c r="O2236">
        <v>0</v>
      </c>
      <c r="P2236">
        <v>0.73334111158644244</v>
      </c>
      <c r="Q2236">
        <v>2.2102653578930411</v>
      </c>
      <c r="R2236">
        <v>-0.41905423625430421</v>
      </c>
      <c r="S2236">
        <v>0.26688305895262771</v>
      </c>
      <c r="T2236">
        <v>0.20523397266366561</v>
      </c>
      <c r="U2236">
        <v>4.4923648815595882</v>
      </c>
      <c r="V2236">
        <v>0.20024852421763989</v>
      </c>
      <c r="W2236">
        <v>9.5102642364721284</v>
      </c>
      <c r="X2236">
        <v>0.51684548264699559</v>
      </c>
      <c r="Z2236" t="s">
        <v>392</v>
      </c>
      <c r="AA2236">
        <v>9400</v>
      </c>
      <c r="AB2236" t="s">
        <v>2627</v>
      </c>
      <c r="AC2236" t="str">
        <f>HYPERLINK("plots/3FT6Y578R01_012_S11P_20251111092011_M5358ACSH101811_RBGEUFRF26/dpll_52046/txpa_54240.png","plot")</f>
        <v>plot</v>
      </c>
    </row>
    <row r="2237" spans="1:29" x14ac:dyDescent="0.35">
      <c r="A2237" s="2" t="s">
        <v>48</v>
      </c>
      <c r="B2237">
        <v>52046</v>
      </c>
      <c r="C2237" t="s">
        <v>51</v>
      </c>
      <c r="D2237">
        <v>54241</v>
      </c>
      <c r="E2237" t="s">
        <v>261</v>
      </c>
      <c r="F2237">
        <v>12227</v>
      </c>
      <c r="G2237">
        <v>0.85678662326263288</v>
      </c>
      <c r="H2237">
        <v>0</v>
      </c>
      <c r="I2237">
        <v>0</v>
      </c>
      <c r="J2237">
        <v>0.73544762917561723</v>
      </c>
      <c r="K2237">
        <v>0</v>
      </c>
      <c r="L2237">
        <v>0</v>
      </c>
      <c r="M2237">
        <v>0.54485999481016634</v>
      </c>
      <c r="N2237">
        <v>0</v>
      </c>
      <c r="O2237">
        <v>0</v>
      </c>
      <c r="P2237">
        <v>0.73408331780178482</v>
      </c>
      <c r="Q2237">
        <v>2.2026777525638672</v>
      </c>
      <c r="R2237">
        <v>-0.37854976057934842</v>
      </c>
      <c r="S2237">
        <v>0.26542271490904878</v>
      </c>
      <c r="T2237">
        <v>0.20424206513207979</v>
      </c>
      <c r="U2237">
        <v>4.4925564283961723</v>
      </c>
      <c r="V2237">
        <v>0.20021876016611939</v>
      </c>
      <c r="W2237">
        <v>9.5171043363866854</v>
      </c>
      <c r="X2237">
        <v>0.51473423684469188</v>
      </c>
      <c r="Z2237" t="s">
        <v>392</v>
      </c>
      <c r="AA2237">
        <v>9400</v>
      </c>
      <c r="AB2237" t="s">
        <v>2628</v>
      </c>
      <c r="AC2237" t="str">
        <f>HYPERLINK("plots/3FT6Y578R01_012_S11P_20251111092011_M5358ACSH101811_RBGEUFRF26/dpll_52046/txpa_54241.png","plot")</f>
        <v>plot</v>
      </c>
    </row>
    <row r="2238" spans="1:29" x14ac:dyDescent="0.35">
      <c r="A2238" s="2" t="s">
        <v>48</v>
      </c>
      <c r="B2238">
        <v>52046</v>
      </c>
      <c r="C2238" t="s">
        <v>51</v>
      </c>
      <c r="D2238">
        <v>54242</v>
      </c>
      <c r="E2238" t="s">
        <v>262</v>
      </c>
      <c r="F2238">
        <v>12224</v>
      </c>
      <c r="G2238">
        <v>0.85199851072267641</v>
      </c>
      <c r="H2238">
        <v>0</v>
      </c>
      <c r="I2238">
        <v>0</v>
      </c>
      <c r="J2238">
        <v>0.7287493788823779</v>
      </c>
      <c r="K2238">
        <v>0</v>
      </c>
      <c r="L2238">
        <v>0</v>
      </c>
      <c r="M2238">
        <v>0.53839423279311394</v>
      </c>
      <c r="N2238">
        <v>0</v>
      </c>
      <c r="O2238">
        <v>0</v>
      </c>
      <c r="P2238">
        <v>0.72590146227365859</v>
      </c>
      <c r="Q2238">
        <v>2.1780682014117678</v>
      </c>
      <c r="R2238">
        <v>-0.28195536832780382</v>
      </c>
      <c r="S2238">
        <v>0.26786998158884662</v>
      </c>
      <c r="T2238">
        <v>0.2054505441370077</v>
      </c>
      <c r="U2238">
        <v>4.4926548601112568</v>
      </c>
      <c r="V2238">
        <v>0.20015010130834041</v>
      </c>
      <c r="W2238">
        <v>9.50335332239856</v>
      </c>
      <c r="X2238">
        <v>0.51166823143771645</v>
      </c>
      <c r="Z2238" t="s">
        <v>392</v>
      </c>
      <c r="AA2238">
        <v>9400</v>
      </c>
      <c r="AB2238" t="s">
        <v>2629</v>
      </c>
      <c r="AC2238" t="str">
        <f>HYPERLINK("plots/3FT6Y578R01_012_S11P_20251111092011_M5358ACSH101811_RBGEUFRF26/dpll_52046/txpa_54242.png","plot")</f>
        <v>plot</v>
      </c>
    </row>
    <row r="2239" spans="1:29" x14ac:dyDescent="0.35">
      <c r="A2239" s="2" t="s">
        <v>48</v>
      </c>
      <c r="B2239">
        <v>52046</v>
      </c>
      <c r="C2239" t="s">
        <v>51</v>
      </c>
      <c r="D2239">
        <v>54243</v>
      </c>
      <c r="E2239" t="s">
        <v>263</v>
      </c>
      <c r="F2239">
        <v>12197</v>
      </c>
      <c r="G2239">
        <v>0.84411070539244404</v>
      </c>
      <c r="H2239">
        <v>0</v>
      </c>
      <c r="I2239">
        <v>0</v>
      </c>
      <c r="J2239">
        <v>0.72357349209641986</v>
      </c>
      <c r="K2239">
        <v>0</v>
      </c>
      <c r="L2239">
        <v>0</v>
      </c>
      <c r="M2239">
        <v>0.53214765905787997</v>
      </c>
      <c r="N2239">
        <v>0</v>
      </c>
      <c r="O2239">
        <v>0</v>
      </c>
      <c r="P2239">
        <v>0.71252288295812949</v>
      </c>
      <c r="Q2239">
        <v>2.4502525061667559</v>
      </c>
      <c r="R2239">
        <v>-0.14674251384241371</v>
      </c>
      <c r="S2239">
        <v>0.31102990818548198</v>
      </c>
      <c r="T2239">
        <v>0.23586836498578731</v>
      </c>
      <c r="U2239">
        <v>4.4932825940805117</v>
      </c>
      <c r="V2239">
        <v>0.19985125596546141</v>
      </c>
      <c r="W2239">
        <v>10.862934423218819</v>
      </c>
      <c r="X2239">
        <v>0.58012063780458889</v>
      </c>
      <c r="Z2239" t="s">
        <v>392</v>
      </c>
      <c r="AA2239">
        <v>9400</v>
      </c>
      <c r="AB2239" t="s">
        <v>2630</v>
      </c>
      <c r="AC2239" t="str">
        <f>HYPERLINK("plots/3FT6Y578R01_012_S11P_20251111092011_M5358ACSH101811_RBGEUFRF26/dpll_52046/txpa_54243.png","plot")</f>
        <v>plot</v>
      </c>
    </row>
    <row r="2240" spans="1:29" x14ac:dyDescent="0.35">
      <c r="A2240" s="2" t="s">
        <v>48</v>
      </c>
      <c r="B2240">
        <v>52046</v>
      </c>
      <c r="C2240" t="s">
        <v>51</v>
      </c>
      <c r="D2240">
        <v>54244</v>
      </c>
      <c r="E2240" t="s">
        <v>264</v>
      </c>
      <c r="F2240">
        <v>12210</v>
      </c>
      <c r="G2240">
        <v>0.85272158393159514</v>
      </c>
      <c r="H2240">
        <v>0</v>
      </c>
      <c r="I2240">
        <v>0</v>
      </c>
      <c r="J2240">
        <v>0.73155278764349518</v>
      </c>
      <c r="K2240">
        <v>0</v>
      </c>
      <c r="L2240">
        <v>0</v>
      </c>
      <c r="M2240">
        <v>0.54086987046004786</v>
      </c>
      <c r="N2240">
        <v>0</v>
      </c>
      <c r="O2240">
        <v>0</v>
      </c>
      <c r="P2240">
        <v>0.7271340997028084</v>
      </c>
      <c r="Q2240">
        <v>2.4898745442799308</v>
      </c>
      <c r="R2240">
        <v>-0.2903341048883199</v>
      </c>
      <c r="S2240">
        <v>0.30516343998883488</v>
      </c>
      <c r="T2240">
        <v>0.2339620309640339</v>
      </c>
      <c r="U2240">
        <v>4.4928903880425883</v>
      </c>
      <c r="V2240">
        <v>0.2000808136578415</v>
      </c>
      <c r="W2240">
        <v>10.896399302538899</v>
      </c>
      <c r="X2240">
        <v>0.58421896913710536</v>
      </c>
      <c r="Z2240" t="s">
        <v>392</v>
      </c>
      <c r="AA2240">
        <v>9400</v>
      </c>
      <c r="AB2240" t="s">
        <v>2631</v>
      </c>
      <c r="AC2240" t="str">
        <f>HYPERLINK("plots/3FT6Y578R01_012_S11P_20251111092011_M5358ACSH101811_RBGEUFRF26/dpll_52046/txpa_54244.png","plot")</f>
        <v>plot</v>
      </c>
    </row>
    <row r="2241" spans="1:29" x14ac:dyDescent="0.35">
      <c r="A2241" s="2" t="s">
        <v>48</v>
      </c>
      <c r="B2241">
        <v>52046</v>
      </c>
      <c r="C2241" t="s">
        <v>51</v>
      </c>
      <c r="D2241">
        <v>54245</v>
      </c>
      <c r="E2241" t="s">
        <v>265</v>
      </c>
      <c r="F2241">
        <v>12203</v>
      </c>
      <c r="G2241">
        <v>0.85319381755582857</v>
      </c>
      <c r="H2241">
        <v>0</v>
      </c>
      <c r="I2241">
        <v>0</v>
      </c>
      <c r="J2241">
        <v>0.72891749099463832</v>
      </c>
      <c r="K2241">
        <v>0</v>
      </c>
      <c r="L2241">
        <v>0</v>
      </c>
      <c r="M2241">
        <v>0.53825130061240145</v>
      </c>
      <c r="N2241">
        <v>0</v>
      </c>
      <c r="O2241">
        <v>0</v>
      </c>
      <c r="P2241">
        <v>0.72793969031548844</v>
      </c>
      <c r="Q2241">
        <v>2.4658984997523228</v>
      </c>
      <c r="R2241">
        <v>-0.17463143115545421</v>
      </c>
      <c r="S2241">
        <v>0.30141080192490949</v>
      </c>
      <c r="T2241">
        <v>0.23115038425677961</v>
      </c>
      <c r="U2241">
        <v>4.4931259105957544</v>
      </c>
      <c r="V2241">
        <v>0.19994774802756099</v>
      </c>
      <c r="W2241">
        <v>10.904961010980911</v>
      </c>
      <c r="X2241">
        <v>0.57788844896049107</v>
      </c>
      <c r="Z2241" t="s">
        <v>392</v>
      </c>
      <c r="AA2241">
        <v>9400</v>
      </c>
      <c r="AB2241" t="s">
        <v>2632</v>
      </c>
      <c r="AC2241" t="str">
        <f>HYPERLINK("plots/3FT6Y578R01_012_S11P_20251111092011_M5358ACSH101811_RBGEUFRF26/dpll_52046/txpa_54245.png","plot")</f>
        <v>plot</v>
      </c>
    </row>
    <row r="2242" spans="1:29" x14ac:dyDescent="0.35">
      <c r="A2242" s="2" t="s">
        <v>48</v>
      </c>
      <c r="B2242">
        <v>52046</v>
      </c>
      <c r="C2242" t="s">
        <v>51</v>
      </c>
      <c r="D2242">
        <v>54246</v>
      </c>
      <c r="E2242" t="s">
        <v>266</v>
      </c>
      <c r="F2242">
        <v>12218</v>
      </c>
      <c r="G2242">
        <v>0.85780283025162607</v>
      </c>
      <c r="H2242">
        <v>0</v>
      </c>
      <c r="I2242">
        <v>0</v>
      </c>
      <c r="J2242">
        <v>0.73406386285550673</v>
      </c>
      <c r="K2242">
        <v>0</v>
      </c>
      <c r="L2242">
        <v>0</v>
      </c>
      <c r="M2242">
        <v>0.54357799727862743</v>
      </c>
      <c r="N2242">
        <v>0</v>
      </c>
      <c r="O2242">
        <v>0</v>
      </c>
      <c r="P2242">
        <v>0.73582569558770006</v>
      </c>
      <c r="Q2242">
        <v>2.507062215759114</v>
      </c>
      <c r="R2242">
        <v>-0.3471188734650692</v>
      </c>
      <c r="S2242">
        <v>0.30062569902199499</v>
      </c>
      <c r="T2242">
        <v>0.23105739665722619</v>
      </c>
      <c r="U2242">
        <v>4.4927513437551152</v>
      </c>
      <c r="V2242">
        <v>0.20013403612210551</v>
      </c>
      <c r="W2242">
        <v>10.916488265264359</v>
      </c>
      <c r="X2242">
        <v>0.58492285447684833</v>
      </c>
      <c r="Z2242" t="s">
        <v>392</v>
      </c>
      <c r="AA2242">
        <v>9400</v>
      </c>
      <c r="AB2242" t="s">
        <v>2633</v>
      </c>
      <c r="AC2242" t="str">
        <f>HYPERLINK("plots/3FT6Y578R01_012_S11P_20251111092011_M5358ACSH101811_RBGEUFRF26/dpll_52046/txpa_54246.png","plot")</f>
        <v>plot</v>
      </c>
    </row>
    <row r="2243" spans="1:29" x14ac:dyDescent="0.35">
      <c r="A2243" s="2" t="s">
        <v>48</v>
      </c>
      <c r="B2243">
        <v>52046</v>
      </c>
      <c r="C2243" t="s">
        <v>51</v>
      </c>
      <c r="D2243">
        <v>54247</v>
      </c>
      <c r="E2243" t="s">
        <v>267</v>
      </c>
      <c r="F2243">
        <v>12214</v>
      </c>
      <c r="G2243">
        <v>0.8569159399663131</v>
      </c>
      <c r="H2243">
        <v>0</v>
      </c>
      <c r="I2243">
        <v>0</v>
      </c>
      <c r="J2243">
        <v>0.73143161899325171</v>
      </c>
      <c r="K2243">
        <v>0</v>
      </c>
      <c r="L2243">
        <v>0</v>
      </c>
      <c r="M2243">
        <v>0.54082692052349146</v>
      </c>
      <c r="N2243">
        <v>0</v>
      </c>
      <c r="O2243">
        <v>0</v>
      </c>
      <c r="P2243">
        <v>0.73430492816834991</v>
      </c>
      <c r="Q2243">
        <v>2.5083044277212161</v>
      </c>
      <c r="R2243">
        <v>-0.38418870499658547</v>
      </c>
      <c r="S2243">
        <v>0.30169784364535929</v>
      </c>
      <c r="T2243">
        <v>0.23239792395317879</v>
      </c>
      <c r="U2243">
        <v>4.4929100510070414</v>
      </c>
      <c r="V2243">
        <v>0.19996602449168299</v>
      </c>
      <c r="W2243">
        <v>10.88539746929753</v>
      </c>
      <c r="X2243">
        <v>0.58532656615772083</v>
      </c>
      <c r="Z2243" t="s">
        <v>392</v>
      </c>
      <c r="AA2243">
        <v>9400</v>
      </c>
      <c r="AB2243" t="s">
        <v>2634</v>
      </c>
      <c r="AC2243" t="str">
        <f>HYPERLINK("plots/3FT6Y578R01_012_S11P_20251111092011_M5358ACSH101811_RBGEUFRF26/dpll_52046/txpa_54247.png","plot")</f>
        <v>plot</v>
      </c>
    </row>
    <row r="2244" spans="1:29" x14ac:dyDescent="0.35">
      <c r="A2244" s="2" t="s">
        <v>48</v>
      </c>
      <c r="B2244">
        <v>52046</v>
      </c>
      <c r="C2244" t="s">
        <v>51</v>
      </c>
      <c r="D2244">
        <v>54248</v>
      </c>
      <c r="E2244" t="s">
        <v>268</v>
      </c>
      <c r="F2244">
        <v>12223</v>
      </c>
      <c r="G2244">
        <v>0.85849869398152967</v>
      </c>
      <c r="H2244">
        <v>0</v>
      </c>
      <c r="I2244">
        <v>0</v>
      </c>
      <c r="J2244">
        <v>0.73544230846450043</v>
      </c>
      <c r="K2244">
        <v>0</v>
      </c>
      <c r="L2244">
        <v>0</v>
      </c>
      <c r="M2244">
        <v>0.54524457734967813</v>
      </c>
      <c r="N2244">
        <v>0</v>
      </c>
      <c r="O2244">
        <v>0</v>
      </c>
      <c r="P2244">
        <v>0.73702000756799213</v>
      </c>
      <c r="Q2244">
        <v>2.5215877083729672</v>
      </c>
      <c r="R2244">
        <v>-0.43141760134728102</v>
      </c>
      <c r="S2244">
        <v>0.30144575279322372</v>
      </c>
      <c r="T2244">
        <v>0.2322432513227761</v>
      </c>
      <c r="U2244">
        <v>4.4926264217458893</v>
      </c>
      <c r="V2244">
        <v>0.2001387307297158</v>
      </c>
      <c r="W2244">
        <v>10.897133962038779</v>
      </c>
      <c r="X2244">
        <v>0.5878487258226115</v>
      </c>
      <c r="Z2244" t="s">
        <v>392</v>
      </c>
      <c r="AA2244">
        <v>9400</v>
      </c>
      <c r="AB2244" t="s">
        <v>2635</v>
      </c>
      <c r="AC2244" t="str">
        <f>HYPERLINK("plots/3FT6Y578R01_012_S11P_20251111092011_M5358ACSH101811_RBGEUFRF26/dpll_52046/txpa_54248.png","plot")</f>
        <v>plot</v>
      </c>
    </row>
    <row r="2245" spans="1:29" x14ac:dyDescent="0.35">
      <c r="A2245" s="2" t="s">
        <v>48</v>
      </c>
      <c r="B2245">
        <v>52046</v>
      </c>
      <c r="C2245" t="s">
        <v>51</v>
      </c>
      <c r="D2245">
        <v>54249</v>
      </c>
      <c r="E2245" t="s">
        <v>269</v>
      </c>
      <c r="F2245">
        <v>12209</v>
      </c>
      <c r="G2245">
        <v>0.85951824917703212</v>
      </c>
      <c r="H2245">
        <v>0</v>
      </c>
      <c r="I2245">
        <v>0</v>
      </c>
      <c r="J2245">
        <v>0.73167702880951524</v>
      </c>
      <c r="K2245">
        <v>0</v>
      </c>
      <c r="L2245">
        <v>0</v>
      </c>
      <c r="M2245">
        <v>0.54248528712373734</v>
      </c>
      <c r="N2245">
        <v>0</v>
      </c>
      <c r="O2245">
        <v>0</v>
      </c>
      <c r="P2245">
        <v>0.73877162066835067</v>
      </c>
      <c r="Q2245">
        <v>2.5092602359357659</v>
      </c>
      <c r="R2245">
        <v>-0.36813629563129702</v>
      </c>
      <c r="S2245">
        <v>0.29843077430948761</v>
      </c>
      <c r="T2245">
        <v>0.2306673559239949</v>
      </c>
      <c r="U2245">
        <v>4.4929957718895892</v>
      </c>
      <c r="V2245">
        <v>0.2000140997734414</v>
      </c>
      <c r="W2245">
        <v>10.905959334998769</v>
      </c>
      <c r="X2245">
        <v>0.583917127610182</v>
      </c>
      <c r="Z2245" t="s">
        <v>392</v>
      </c>
      <c r="AA2245">
        <v>9400</v>
      </c>
      <c r="AB2245" t="s">
        <v>2636</v>
      </c>
      <c r="AC2245" t="str">
        <f>HYPERLINK("plots/3FT6Y578R01_012_S11P_20251111092011_M5358ACSH101811_RBGEUFRF26/dpll_52046/txpa_54249.png","plot")</f>
        <v>plot</v>
      </c>
    </row>
    <row r="2246" spans="1:29" x14ac:dyDescent="0.35">
      <c r="A2246" s="2" t="s">
        <v>48</v>
      </c>
      <c r="B2246">
        <v>52046</v>
      </c>
      <c r="C2246" t="s">
        <v>51</v>
      </c>
      <c r="D2246">
        <v>54250</v>
      </c>
      <c r="E2246" t="s">
        <v>270</v>
      </c>
      <c r="F2246">
        <v>12203</v>
      </c>
      <c r="G2246">
        <v>0.85455627238974796</v>
      </c>
      <c r="H2246">
        <v>0</v>
      </c>
      <c r="I2246">
        <v>0</v>
      </c>
      <c r="J2246">
        <v>0.72414060025554206</v>
      </c>
      <c r="K2246">
        <v>0</v>
      </c>
      <c r="L2246">
        <v>0</v>
      </c>
      <c r="M2246">
        <v>0.53512402076706267</v>
      </c>
      <c r="N2246">
        <v>0</v>
      </c>
      <c r="O2246">
        <v>0</v>
      </c>
      <c r="P2246">
        <v>0.73026642268066111</v>
      </c>
      <c r="Q2246">
        <v>2.4813854762021559</v>
      </c>
      <c r="R2246">
        <v>-0.25643034478217253</v>
      </c>
      <c r="S2246">
        <v>0.30146180382318649</v>
      </c>
      <c r="T2246">
        <v>0.23228437151230749</v>
      </c>
      <c r="U2246">
        <v>4.4931714649676309</v>
      </c>
      <c r="V2246">
        <v>0.19990746545109669</v>
      </c>
      <c r="W2246">
        <v>10.89286007047447</v>
      </c>
      <c r="X2246">
        <v>0.58047374688099795</v>
      </c>
      <c r="Z2246" t="s">
        <v>392</v>
      </c>
      <c r="AA2246">
        <v>9400</v>
      </c>
      <c r="AB2246" t="s">
        <v>2637</v>
      </c>
      <c r="AC2246" t="str">
        <f>HYPERLINK("plots/3FT6Y578R01_012_S11P_20251111092011_M5358ACSH101811_RBGEUFRF26/dpll_52046/txpa_54250.png","plot")</f>
        <v>plot</v>
      </c>
    </row>
    <row r="2247" spans="1:29" x14ac:dyDescent="0.35">
      <c r="A2247" s="2" t="s">
        <v>48</v>
      </c>
      <c r="B2247">
        <v>52046</v>
      </c>
      <c r="C2247" t="s">
        <v>51</v>
      </c>
      <c r="D2247">
        <v>54251</v>
      </c>
      <c r="E2247" t="s">
        <v>271</v>
      </c>
      <c r="F2247">
        <v>12194</v>
      </c>
      <c r="G2247">
        <v>0.84537096337953965</v>
      </c>
      <c r="H2247">
        <v>0</v>
      </c>
      <c r="I2247">
        <v>0</v>
      </c>
      <c r="J2247">
        <v>0.72184470694896052</v>
      </c>
      <c r="K2247">
        <v>0</v>
      </c>
      <c r="L2247">
        <v>0</v>
      </c>
      <c r="M2247">
        <v>0.53103592737983485</v>
      </c>
      <c r="N2247">
        <v>0</v>
      </c>
      <c r="O2247">
        <v>0</v>
      </c>
      <c r="P2247">
        <v>0.71465206572525097</v>
      </c>
      <c r="Q2247">
        <v>2.6071054859960952</v>
      </c>
      <c r="R2247">
        <v>-0.39915248355027982</v>
      </c>
      <c r="S2247">
        <v>0.32917126453879447</v>
      </c>
      <c r="T2247">
        <v>0.25040086793524652</v>
      </c>
      <c r="U2247">
        <v>4.4933518249138924</v>
      </c>
      <c r="V2247">
        <v>0.19982097837060439</v>
      </c>
      <c r="W2247">
        <v>11.31548970969329</v>
      </c>
      <c r="X2247">
        <v>0.61624350905606051</v>
      </c>
      <c r="Z2247" t="s">
        <v>392</v>
      </c>
      <c r="AA2247">
        <v>9400</v>
      </c>
      <c r="AB2247" t="s">
        <v>2638</v>
      </c>
      <c r="AC2247" t="str">
        <f>HYPERLINK("plots/3FT6Y578R01_012_S11P_20251111092011_M5358ACSH101811_RBGEUFRF26/dpll_52046/txpa_54251.png","plot")</f>
        <v>plot</v>
      </c>
    </row>
    <row r="2248" spans="1:29" x14ac:dyDescent="0.35">
      <c r="A2248" s="2" t="s">
        <v>48</v>
      </c>
      <c r="B2248">
        <v>52046</v>
      </c>
      <c r="C2248" t="s">
        <v>51</v>
      </c>
      <c r="D2248">
        <v>54252</v>
      </c>
      <c r="E2248" t="s">
        <v>272</v>
      </c>
      <c r="F2248">
        <v>12207</v>
      </c>
      <c r="G2248">
        <v>0.8533541265807848</v>
      </c>
      <c r="H2248">
        <v>0</v>
      </c>
      <c r="I2248">
        <v>0</v>
      </c>
      <c r="J2248">
        <v>0.72969531360328632</v>
      </c>
      <c r="K2248">
        <v>0</v>
      </c>
      <c r="L2248">
        <v>0</v>
      </c>
      <c r="M2248">
        <v>0.53955874251553981</v>
      </c>
      <c r="N2248">
        <v>0</v>
      </c>
      <c r="O2248">
        <v>0</v>
      </c>
      <c r="P2248">
        <v>0.72821326535245412</v>
      </c>
      <c r="Q2248">
        <v>2.6468082158778379</v>
      </c>
      <c r="R2248">
        <v>-0.54237452205763326</v>
      </c>
      <c r="S2248">
        <v>0.32341624530275359</v>
      </c>
      <c r="T2248">
        <v>0.24840686254832611</v>
      </c>
      <c r="U2248">
        <v>4.4929821261571226</v>
      </c>
      <c r="V2248">
        <v>0.20001948802065481</v>
      </c>
      <c r="W2248">
        <v>11.349687483247321</v>
      </c>
      <c r="X2248">
        <v>0.62039100502155919</v>
      </c>
      <c r="Z2248" t="s">
        <v>392</v>
      </c>
      <c r="AA2248">
        <v>9400</v>
      </c>
      <c r="AB2248" t="s">
        <v>2639</v>
      </c>
      <c r="AC2248" t="str">
        <f>HYPERLINK("plots/3FT6Y578R01_012_S11P_20251111092011_M5358ACSH101811_RBGEUFRF26/dpll_52046/txpa_54252.png","plot")</f>
        <v>plot</v>
      </c>
    </row>
    <row r="2249" spans="1:29" x14ac:dyDescent="0.35">
      <c r="A2249" s="2" t="s">
        <v>48</v>
      </c>
      <c r="B2249">
        <v>52046</v>
      </c>
      <c r="C2249" t="s">
        <v>51</v>
      </c>
      <c r="D2249">
        <v>54253</v>
      </c>
      <c r="E2249" t="s">
        <v>273</v>
      </c>
      <c r="F2249">
        <v>12196</v>
      </c>
      <c r="G2249">
        <v>0.85447188556665987</v>
      </c>
      <c r="H2249">
        <v>0</v>
      </c>
      <c r="I2249">
        <v>0</v>
      </c>
      <c r="J2249">
        <v>0.72706215154082587</v>
      </c>
      <c r="K2249">
        <v>0</v>
      </c>
      <c r="L2249">
        <v>0</v>
      </c>
      <c r="M2249">
        <v>0.53704625989224808</v>
      </c>
      <c r="N2249">
        <v>0</v>
      </c>
      <c r="O2249">
        <v>0</v>
      </c>
      <c r="P2249">
        <v>0.73012220322384314</v>
      </c>
      <c r="Q2249">
        <v>2.6199019880578729</v>
      </c>
      <c r="R2249">
        <v>-0.41337148999800277</v>
      </c>
      <c r="S2249">
        <v>0.31835090516344189</v>
      </c>
      <c r="T2249">
        <v>0.24506753820360261</v>
      </c>
      <c r="U2249">
        <v>4.4932953369137421</v>
      </c>
      <c r="V2249">
        <v>0.19987250243660171</v>
      </c>
      <c r="W2249">
        <v>11.35862189611348</v>
      </c>
      <c r="X2249">
        <v>0.61283042231926499</v>
      </c>
      <c r="Z2249" t="s">
        <v>392</v>
      </c>
      <c r="AA2249">
        <v>9400</v>
      </c>
      <c r="AB2249" t="s">
        <v>2640</v>
      </c>
      <c r="AC2249" t="str">
        <f>HYPERLINK("plots/3FT6Y578R01_012_S11P_20251111092011_M5358ACSH101811_RBGEUFRF26/dpll_52046/txpa_54253.png","plot")</f>
        <v>plot</v>
      </c>
    </row>
    <row r="2250" spans="1:29" x14ac:dyDescent="0.35">
      <c r="A2250" s="2" t="s">
        <v>48</v>
      </c>
      <c r="B2250">
        <v>52046</v>
      </c>
      <c r="C2250" t="s">
        <v>51</v>
      </c>
      <c r="D2250">
        <v>54254</v>
      </c>
      <c r="E2250" t="s">
        <v>274</v>
      </c>
      <c r="F2250">
        <v>12211</v>
      </c>
      <c r="G2250">
        <v>0.85887441157104183</v>
      </c>
      <c r="H2250">
        <v>0</v>
      </c>
      <c r="I2250">
        <v>0</v>
      </c>
      <c r="J2250">
        <v>0.731791883242777</v>
      </c>
      <c r="K2250">
        <v>0</v>
      </c>
      <c r="L2250">
        <v>0</v>
      </c>
      <c r="M2250">
        <v>0.54202247075926269</v>
      </c>
      <c r="N2250">
        <v>0</v>
      </c>
      <c r="O2250">
        <v>0</v>
      </c>
      <c r="P2250">
        <v>0.73766525485150336</v>
      </c>
      <c r="Q2250">
        <v>2.6632505092928032</v>
      </c>
      <c r="R2250">
        <v>-0.59701592934966818</v>
      </c>
      <c r="S2250">
        <v>0.31774146230348038</v>
      </c>
      <c r="T2250">
        <v>0.2451552315680969</v>
      </c>
      <c r="U2250">
        <v>4.4929113177462936</v>
      </c>
      <c r="V2250">
        <v>0.20006974166816349</v>
      </c>
      <c r="W2250">
        <v>11.36873242584555</v>
      </c>
      <c r="X2250">
        <v>0.62038853901487112</v>
      </c>
      <c r="Z2250" t="s">
        <v>392</v>
      </c>
      <c r="AA2250">
        <v>9400</v>
      </c>
      <c r="AB2250" t="s">
        <v>2641</v>
      </c>
      <c r="AC2250" t="str">
        <f>HYPERLINK("plots/3FT6Y578R01_012_S11P_20251111092011_M5358ACSH101811_RBGEUFRF26/dpll_52046/txpa_54254.png","plot")</f>
        <v>plot</v>
      </c>
    </row>
    <row r="2251" spans="1:29" x14ac:dyDescent="0.35">
      <c r="A2251" s="2" t="s">
        <v>48</v>
      </c>
      <c r="B2251">
        <v>52046</v>
      </c>
      <c r="C2251" t="s">
        <v>51</v>
      </c>
      <c r="D2251">
        <v>54255</v>
      </c>
      <c r="E2251" t="s">
        <v>275</v>
      </c>
      <c r="F2251">
        <v>12211</v>
      </c>
      <c r="G2251">
        <v>0.85763119766139106</v>
      </c>
      <c r="H2251">
        <v>0</v>
      </c>
      <c r="I2251">
        <v>0</v>
      </c>
      <c r="J2251">
        <v>0.72963534332800339</v>
      </c>
      <c r="K2251">
        <v>0</v>
      </c>
      <c r="L2251">
        <v>0</v>
      </c>
      <c r="M2251">
        <v>0.53963419355761744</v>
      </c>
      <c r="N2251">
        <v>0</v>
      </c>
      <c r="O2251">
        <v>0</v>
      </c>
      <c r="P2251">
        <v>0.73553127120211204</v>
      </c>
      <c r="Q2251">
        <v>2.6673750732629382</v>
      </c>
      <c r="R2251">
        <v>-0.64800635575706877</v>
      </c>
      <c r="S2251">
        <v>0.31977286900429702</v>
      </c>
      <c r="T2251">
        <v>0.24694858900062419</v>
      </c>
      <c r="U2251">
        <v>4.4929816221439687</v>
      </c>
      <c r="V2251">
        <v>0.19993494872331019</v>
      </c>
      <c r="W2251">
        <v>11.336460827778231</v>
      </c>
      <c r="X2251">
        <v>0.62183080554075021</v>
      </c>
      <c r="Z2251" t="s">
        <v>392</v>
      </c>
      <c r="AA2251">
        <v>9400</v>
      </c>
      <c r="AB2251" t="s">
        <v>2642</v>
      </c>
      <c r="AC2251" t="str">
        <f>HYPERLINK("plots/3FT6Y578R01_012_S11P_20251111092011_M5358ACSH101811_RBGEUFRF26/dpll_52046/txpa_54255.png","plot")</f>
        <v>plot</v>
      </c>
    </row>
    <row r="2252" spans="1:29" x14ac:dyDescent="0.35">
      <c r="A2252" s="2" t="s">
        <v>48</v>
      </c>
      <c r="B2252">
        <v>52046</v>
      </c>
      <c r="C2252" t="s">
        <v>51</v>
      </c>
      <c r="D2252">
        <v>54256</v>
      </c>
      <c r="E2252" t="s">
        <v>276</v>
      </c>
      <c r="F2252">
        <v>12219</v>
      </c>
      <c r="G2252">
        <v>0.85878682218005742</v>
      </c>
      <c r="H2252">
        <v>0</v>
      </c>
      <c r="I2252">
        <v>0</v>
      </c>
      <c r="J2252">
        <v>0.73329615564055894</v>
      </c>
      <c r="K2252">
        <v>0</v>
      </c>
      <c r="L2252">
        <v>0</v>
      </c>
      <c r="M2252">
        <v>0.54375381881836993</v>
      </c>
      <c r="N2252">
        <v>0</v>
      </c>
      <c r="O2252">
        <v>0</v>
      </c>
      <c r="P2252">
        <v>0.73751480595012153</v>
      </c>
      <c r="Q2252">
        <v>2.679295807877506</v>
      </c>
      <c r="R2252">
        <v>-0.68826608429086633</v>
      </c>
      <c r="S2252">
        <v>0.31977196909099292</v>
      </c>
      <c r="T2252">
        <v>0.2467841044838632</v>
      </c>
      <c r="U2252">
        <v>4.4927446091333163</v>
      </c>
      <c r="V2252">
        <v>0.20006469885811121</v>
      </c>
      <c r="W2252">
        <v>11.349125712824289</v>
      </c>
      <c r="X2252">
        <v>0.62417411994524685</v>
      </c>
      <c r="Z2252" t="s">
        <v>392</v>
      </c>
      <c r="AA2252">
        <v>9400</v>
      </c>
      <c r="AB2252" t="s">
        <v>2643</v>
      </c>
      <c r="AC2252" t="str">
        <f>HYPERLINK("plots/3FT6Y578R01_012_S11P_20251111092011_M5358ACSH101811_RBGEUFRF26/dpll_52046/txpa_54256.png","plot")</f>
        <v>plot</v>
      </c>
    </row>
    <row r="2253" spans="1:29" x14ac:dyDescent="0.35">
      <c r="A2253" s="2" t="s">
        <v>48</v>
      </c>
      <c r="B2253">
        <v>52046</v>
      </c>
      <c r="C2253" t="s">
        <v>51</v>
      </c>
      <c r="D2253">
        <v>54257</v>
      </c>
      <c r="E2253" t="s">
        <v>277</v>
      </c>
      <c r="F2253">
        <v>12203</v>
      </c>
      <c r="G2253">
        <v>0.86054030293013595</v>
      </c>
      <c r="H2253">
        <v>0</v>
      </c>
      <c r="I2253">
        <v>0</v>
      </c>
      <c r="J2253">
        <v>0.72996589099591036</v>
      </c>
      <c r="K2253">
        <v>0</v>
      </c>
      <c r="L2253">
        <v>0</v>
      </c>
      <c r="M2253">
        <v>0.54141427084890825</v>
      </c>
      <c r="N2253">
        <v>0</v>
      </c>
      <c r="O2253">
        <v>0</v>
      </c>
      <c r="P2253">
        <v>0.74052961296709019</v>
      </c>
      <c r="Q2253">
        <v>2.6664568970359821</v>
      </c>
      <c r="R2253">
        <v>-0.62208834394215451</v>
      </c>
      <c r="S2253">
        <v>0.31560879319681789</v>
      </c>
      <c r="T2253">
        <v>0.24491463775084571</v>
      </c>
      <c r="U2253">
        <v>4.4931233124641494</v>
      </c>
      <c r="V2253">
        <v>0.19996760146007589</v>
      </c>
      <c r="W2253">
        <v>11.35863130181103</v>
      </c>
      <c r="X2253">
        <v>0.61961652264443767</v>
      </c>
      <c r="Z2253" t="s">
        <v>392</v>
      </c>
      <c r="AA2253">
        <v>9400</v>
      </c>
      <c r="AB2253" t="s">
        <v>2644</v>
      </c>
      <c r="AC2253" t="str">
        <f>HYPERLINK("plots/3FT6Y578R01_012_S11P_20251111092011_M5358ACSH101811_RBGEUFRF26/dpll_52046/txpa_54257.png","plot")</f>
        <v>plot</v>
      </c>
    </row>
    <row r="2254" spans="1:29" x14ac:dyDescent="0.35">
      <c r="A2254" s="2" t="s">
        <v>48</v>
      </c>
      <c r="B2254">
        <v>52046</v>
      </c>
      <c r="C2254" t="s">
        <v>51</v>
      </c>
      <c r="D2254">
        <v>54258</v>
      </c>
      <c r="E2254" t="s">
        <v>278</v>
      </c>
      <c r="F2254">
        <v>12198</v>
      </c>
      <c r="G2254">
        <v>0.85500585328353829</v>
      </c>
      <c r="H2254">
        <v>0</v>
      </c>
      <c r="I2254">
        <v>0</v>
      </c>
      <c r="J2254">
        <v>0.72182645430350212</v>
      </c>
      <c r="K2254">
        <v>0</v>
      </c>
      <c r="L2254">
        <v>0</v>
      </c>
      <c r="M2254">
        <v>0.53345657596432527</v>
      </c>
      <c r="N2254">
        <v>0</v>
      </c>
      <c r="O2254">
        <v>0</v>
      </c>
      <c r="P2254">
        <v>0.73103500914911135</v>
      </c>
      <c r="Q2254">
        <v>2.638716269263421</v>
      </c>
      <c r="R2254">
        <v>-0.51200920340293976</v>
      </c>
      <c r="S2254">
        <v>0.31985777631958912</v>
      </c>
      <c r="T2254">
        <v>0.2470565476390186</v>
      </c>
      <c r="U2254">
        <v>4.4932965858337433</v>
      </c>
      <c r="V2254">
        <v>0.19984957635095479</v>
      </c>
      <c r="W2254">
        <v>11.34452560026234</v>
      </c>
      <c r="X2254">
        <v>0.61677510919657696</v>
      </c>
      <c r="Z2254" t="s">
        <v>392</v>
      </c>
      <c r="AA2254">
        <v>9400</v>
      </c>
      <c r="AB2254" t="s">
        <v>2645</v>
      </c>
      <c r="AC2254" t="str">
        <f>HYPERLINK("plots/3FT6Y578R01_012_S11P_20251111092011_M5358ACSH101811_RBGEUFRF26/dpll_52046/txpa_54258.png","plot")</f>
        <v>plot</v>
      </c>
    </row>
    <row r="2255" spans="1:29" hidden="1" x14ac:dyDescent="0.35">
      <c r="A2255" s="2" t="s">
        <v>48</v>
      </c>
      <c r="B2255">
        <v>52046</v>
      </c>
      <c r="C2255" t="s">
        <v>51</v>
      </c>
      <c r="D2255">
        <v>55146</v>
      </c>
      <c r="E2255" t="s">
        <v>279</v>
      </c>
      <c r="F2255">
        <v>12233</v>
      </c>
      <c r="G2255">
        <v>1.7110289009932E-3</v>
      </c>
      <c r="H2255">
        <v>0.84991604575357438</v>
      </c>
      <c r="I2255">
        <v>0.85328204989517265</v>
      </c>
      <c r="J2255">
        <v>-5.6399214397311907E-3</v>
      </c>
      <c r="K2255">
        <v>0.53280304857556693</v>
      </c>
      <c r="L2255">
        <v>0.53280304857556693</v>
      </c>
      <c r="M2255">
        <v>-3.7626355259106638E-3</v>
      </c>
      <c r="N2255">
        <v>0.53253779190105544</v>
      </c>
      <c r="O2255">
        <v>0.53253779190105544</v>
      </c>
      <c r="P2255">
        <v>2.927619900033999E-6</v>
      </c>
      <c r="Q2255">
        <v>4.5171492098130893E-2</v>
      </c>
      <c r="R2255">
        <v>-10.82379734788309</v>
      </c>
      <c r="S2255">
        <v>5.2895048818643531</v>
      </c>
      <c r="T2255">
        <v>3.9752412403311439</v>
      </c>
      <c r="U2255">
        <v>4.4922002121311211</v>
      </c>
      <c r="V2255">
        <v>0.20036705668165569</v>
      </c>
      <c r="W2255">
        <v>-10.620877961497589</v>
      </c>
      <c r="X2255">
        <v>5.2897288364722286</v>
      </c>
      <c r="Z2255" t="s">
        <v>392</v>
      </c>
      <c r="AA2255">
        <v>9400</v>
      </c>
      <c r="AB2255" t="s">
        <v>2646</v>
      </c>
      <c r="AC2255" t="str">
        <f>HYPERLINK("plots/3FT6Y578R01_012_S11P_20251111092011_M5358ACSH101811_RBGEUFRF26/dpll_52046/txpa_55146.png","plot")</f>
        <v>plot</v>
      </c>
    </row>
    <row r="2256" spans="1:29" x14ac:dyDescent="0.35">
      <c r="A2256" s="2" t="s">
        <v>48</v>
      </c>
      <c r="B2256">
        <v>52046</v>
      </c>
      <c r="C2256" t="s">
        <v>51</v>
      </c>
      <c r="D2256">
        <v>55147</v>
      </c>
      <c r="E2256" t="s">
        <v>280</v>
      </c>
      <c r="F2256">
        <v>12243</v>
      </c>
      <c r="G2256">
        <v>0.23162168070776409</v>
      </c>
      <c r="H2256">
        <v>8.3464736548974917E-149</v>
      </c>
      <c r="I2256">
        <v>8.4212181950906033E-149</v>
      </c>
      <c r="J2256">
        <v>0.20982636623966611</v>
      </c>
      <c r="K2256">
        <v>7.1213694699067095E-122</v>
      </c>
      <c r="L2256">
        <v>7.1851429278461728E-122</v>
      </c>
      <c r="M2256">
        <v>0.14649744203391241</v>
      </c>
      <c r="N2256">
        <v>2.1517142133348538E-120</v>
      </c>
      <c r="O2256">
        <v>2.17098329584233E-120</v>
      </c>
      <c r="P2256">
        <v>5.3648602973889438E-2</v>
      </c>
      <c r="Q2256">
        <v>1.4577867926410291</v>
      </c>
      <c r="R2256">
        <v>-31.458016439140831</v>
      </c>
      <c r="S2256">
        <v>1.2265616398721391</v>
      </c>
      <c r="T2256">
        <v>1.0291554247667969</v>
      </c>
      <c r="U2256">
        <v>4.492205754635302</v>
      </c>
      <c r="V2256">
        <v>0.20033927554587111</v>
      </c>
      <c r="W2256">
        <v>-24.909338220207459</v>
      </c>
      <c r="X2256">
        <v>1.2609007457575749</v>
      </c>
      <c r="Z2256" t="s">
        <v>392</v>
      </c>
      <c r="AA2256">
        <v>9400</v>
      </c>
      <c r="AB2256" t="s">
        <v>2647</v>
      </c>
      <c r="AC2256" t="str">
        <f>HYPERLINK("plots/3FT6Y578R01_012_S11P_20251111092011_M5358ACSH101811_RBGEUFRF26/dpll_52046/txpa_55147.png","plot")</f>
        <v>plot</v>
      </c>
    </row>
    <row r="2257" spans="1:29" x14ac:dyDescent="0.35">
      <c r="A2257" s="2" t="s">
        <v>48</v>
      </c>
      <c r="B2257">
        <v>52046</v>
      </c>
      <c r="C2257" t="s">
        <v>51</v>
      </c>
      <c r="D2257">
        <v>55148</v>
      </c>
      <c r="E2257" t="s">
        <v>281</v>
      </c>
      <c r="F2257">
        <v>12243</v>
      </c>
      <c r="G2257">
        <v>0.22831400781899569</v>
      </c>
      <c r="H2257">
        <v>1.575267349811159E-144</v>
      </c>
      <c r="I2257">
        <v>1.584643941179083E-144</v>
      </c>
      <c r="J2257">
        <v>0.2021278131711918</v>
      </c>
      <c r="K2257">
        <v>4.7034418693037853E-113</v>
      </c>
      <c r="L2257">
        <v>4.7314385470972598E-113</v>
      </c>
      <c r="M2257">
        <v>0.1407502348866401</v>
      </c>
      <c r="N2257">
        <v>4.882997142828724E-112</v>
      </c>
      <c r="O2257">
        <v>4.9120626020122284E-112</v>
      </c>
      <c r="P2257">
        <v>5.2127286166372411E-2</v>
      </c>
      <c r="Q2257">
        <v>1.467003506246364</v>
      </c>
      <c r="R2257">
        <v>-31.42929878877878</v>
      </c>
      <c r="S2257">
        <v>1.2532045606734901</v>
      </c>
      <c r="T2257">
        <v>1.0571698634301241</v>
      </c>
      <c r="U2257">
        <v>4.492205754635302</v>
      </c>
      <c r="V2257">
        <v>0.20033927554587111</v>
      </c>
      <c r="W2257">
        <v>-24.839217195948699</v>
      </c>
      <c r="X2257">
        <v>1.2872553132948741</v>
      </c>
      <c r="Z2257" t="s">
        <v>392</v>
      </c>
      <c r="AA2257">
        <v>9400</v>
      </c>
      <c r="AB2257" t="s">
        <v>2648</v>
      </c>
      <c r="AC2257" t="str">
        <f>HYPERLINK("plots/3FT6Y578R01_012_S11P_20251111092011_M5358ACSH101811_RBGEUFRF26/dpll_52046/txpa_55148.png","plot")</f>
        <v>plot</v>
      </c>
    </row>
    <row r="2258" spans="1:29" x14ac:dyDescent="0.35">
      <c r="A2258" s="2" t="s">
        <v>48</v>
      </c>
      <c r="B2258">
        <v>52046</v>
      </c>
      <c r="C2258" t="s">
        <v>51</v>
      </c>
      <c r="D2258">
        <v>55149</v>
      </c>
      <c r="E2258" t="s">
        <v>282</v>
      </c>
      <c r="F2258">
        <v>12243</v>
      </c>
      <c r="G2258">
        <v>0.24479794887875209</v>
      </c>
      <c r="H2258">
        <v>1.610028131074301E-166</v>
      </c>
      <c r="I2258">
        <v>1.649059116070041E-166</v>
      </c>
      <c r="J2258">
        <v>0.21739168647134621</v>
      </c>
      <c r="K2258">
        <v>6.8432388614500905E-131</v>
      </c>
      <c r="L2258">
        <v>7.0020627704443925E-131</v>
      </c>
      <c r="M2258">
        <v>0.15161224382198821</v>
      </c>
      <c r="N2258">
        <v>2.9131658048240159E-130</v>
      </c>
      <c r="O2258">
        <v>2.9837880061530828E-130</v>
      </c>
      <c r="P2258">
        <v>5.9926035775244121E-2</v>
      </c>
      <c r="Q2258">
        <v>1.5772379571531769</v>
      </c>
      <c r="R2258">
        <v>-31.900915267951319</v>
      </c>
      <c r="S2258">
        <v>1.25146532160839</v>
      </c>
      <c r="T2258">
        <v>1.0576473829721009</v>
      </c>
      <c r="U2258">
        <v>4.492205754635302</v>
      </c>
      <c r="V2258">
        <v>0.20033927554587111</v>
      </c>
      <c r="W2258">
        <v>-24.81563784039859</v>
      </c>
      <c r="X2258">
        <v>1.2907898581128341</v>
      </c>
      <c r="Z2258" t="s">
        <v>392</v>
      </c>
      <c r="AA2258">
        <v>9400</v>
      </c>
      <c r="AB2258" t="s">
        <v>2649</v>
      </c>
      <c r="AC2258" t="str">
        <f>HYPERLINK("plots/3FT6Y578R01_012_S11P_20251111092011_M5358ACSH101811_RBGEUFRF26/dpll_52046/txpa_55149.png","plot")</f>
        <v>plot</v>
      </c>
    </row>
    <row r="2259" spans="1:29" x14ac:dyDescent="0.35">
      <c r="A2259" s="2" t="s">
        <v>48</v>
      </c>
      <c r="B2259">
        <v>52046</v>
      </c>
      <c r="C2259" t="s">
        <v>51</v>
      </c>
      <c r="D2259">
        <v>55150</v>
      </c>
      <c r="E2259" t="s">
        <v>283</v>
      </c>
      <c r="F2259">
        <v>12243</v>
      </c>
      <c r="G2259">
        <v>0.25232691481386182</v>
      </c>
      <c r="H2259">
        <v>3.8865020310973058E-177</v>
      </c>
      <c r="I2259">
        <v>4.0172406315317721E-177</v>
      </c>
      <c r="J2259">
        <v>0.23351395483566401</v>
      </c>
      <c r="K2259">
        <v>2.783788189655988E-151</v>
      </c>
      <c r="L2259">
        <v>2.916075644949557E-151</v>
      </c>
      <c r="M2259">
        <v>0.1618112823801294</v>
      </c>
      <c r="N2259">
        <v>5.243623925138502E-149</v>
      </c>
      <c r="O2259">
        <v>5.4928044009198768E-149</v>
      </c>
      <c r="P2259">
        <v>6.3668871939481883E-2</v>
      </c>
      <c r="Q2259">
        <v>1.653318025506886</v>
      </c>
      <c r="R2259">
        <v>-32.177531967243233</v>
      </c>
      <c r="S2259">
        <v>1.2701526413911901</v>
      </c>
      <c r="T2259">
        <v>1.0698527712373329</v>
      </c>
      <c r="U2259">
        <v>4.492205754635302</v>
      </c>
      <c r="V2259">
        <v>0.20033927554587111</v>
      </c>
      <c r="W2259">
        <v>-24.750487218818922</v>
      </c>
      <c r="X2259">
        <v>1.312680162246344</v>
      </c>
      <c r="Z2259" t="s">
        <v>392</v>
      </c>
      <c r="AA2259">
        <v>9400</v>
      </c>
      <c r="AB2259" t="s">
        <v>2650</v>
      </c>
      <c r="AC2259" t="str">
        <f>HYPERLINK("plots/3FT6Y578R01_012_S11P_20251111092011_M5358ACSH101811_RBGEUFRF26/dpll_52046/txpa_55150.png","plot")</f>
        <v>plot</v>
      </c>
    </row>
    <row r="2260" spans="1:29" x14ac:dyDescent="0.35">
      <c r="A2260" s="2" t="s">
        <v>48</v>
      </c>
      <c r="B2260">
        <v>52046</v>
      </c>
      <c r="C2260" t="s">
        <v>51</v>
      </c>
      <c r="D2260">
        <v>55151</v>
      </c>
      <c r="E2260" t="s">
        <v>284</v>
      </c>
      <c r="F2260">
        <v>12242</v>
      </c>
      <c r="G2260">
        <v>0.23837201071234379</v>
      </c>
      <c r="H2260">
        <v>9.899681724410712E-158</v>
      </c>
      <c r="I2260">
        <v>1.005839405666579E-157</v>
      </c>
      <c r="J2260">
        <v>0.21430344634225881</v>
      </c>
      <c r="K2260">
        <v>3.7032345534648262E-127</v>
      </c>
      <c r="L2260">
        <v>3.7588386758892229E-127</v>
      </c>
      <c r="M2260">
        <v>0.14911254084731401</v>
      </c>
      <c r="N2260">
        <v>4.4312982643443118E-126</v>
      </c>
      <c r="O2260">
        <v>4.4978342743194507E-126</v>
      </c>
      <c r="P2260">
        <v>5.6821215491045747E-2</v>
      </c>
      <c r="Q2260">
        <v>1.534502159448464</v>
      </c>
      <c r="R2260">
        <v>-31.701611108652269</v>
      </c>
      <c r="S2260">
        <v>1.252453545721979</v>
      </c>
      <c r="T2260">
        <v>1.0606889106659481</v>
      </c>
      <c r="U2260">
        <v>4.4922201507106676</v>
      </c>
      <c r="V2260">
        <v>0.20034112557569189</v>
      </c>
      <c r="W2260">
        <v>-24.808289586668849</v>
      </c>
      <c r="X2260">
        <v>1.289681153855013</v>
      </c>
      <c r="Z2260" t="s">
        <v>392</v>
      </c>
      <c r="AA2260">
        <v>9400</v>
      </c>
      <c r="AB2260" t="s">
        <v>2651</v>
      </c>
      <c r="AC2260" t="str">
        <f>HYPERLINK("plots/3FT6Y578R01_012_S11P_20251111092011_M5358ACSH101811_RBGEUFRF26/dpll_52046/txpa_55151.png","plot")</f>
        <v>plot</v>
      </c>
    </row>
    <row r="2261" spans="1:29" x14ac:dyDescent="0.35">
      <c r="A2261" s="2" t="s">
        <v>48</v>
      </c>
      <c r="B2261">
        <v>52046</v>
      </c>
      <c r="C2261" t="s">
        <v>51</v>
      </c>
      <c r="D2261">
        <v>55152</v>
      </c>
      <c r="E2261" t="s">
        <v>285</v>
      </c>
      <c r="F2261">
        <v>12243</v>
      </c>
      <c r="G2261">
        <v>0.24096516260941089</v>
      </c>
      <c r="H2261">
        <v>2.9706749738195522E-161</v>
      </c>
      <c r="I2261">
        <v>3.033498915864074E-161</v>
      </c>
      <c r="J2261">
        <v>0.21523525752494549</v>
      </c>
      <c r="K2261">
        <v>2.7613962877051461E-128</v>
      </c>
      <c r="L2261">
        <v>2.8084812795717342E-128</v>
      </c>
      <c r="M2261">
        <v>0.1504337615124908</v>
      </c>
      <c r="N2261">
        <v>1.1613720607542021E-127</v>
      </c>
      <c r="O2261">
        <v>1.183549014678152E-127</v>
      </c>
      <c r="P2261">
        <v>5.8064209591379819E-2</v>
      </c>
      <c r="Q2261">
        <v>1.5439979726741191</v>
      </c>
      <c r="R2261">
        <v>-31.786300933133631</v>
      </c>
      <c r="S2261">
        <v>1.245809039568639</v>
      </c>
      <c r="T2261">
        <v>1.049220128367182</v>
      </c>
      <c r="U2261">
        <v>4.492205754635302</v>
      </c>
      <c r="V2261">
        <v>0.20033927554587111</v>
      </c>
      <c r="W2261">
        <v>-24.850344355141711</v>
      </c>
      <c r="X2261">
        <v>1.2836852926795079</v>
      </c>
      <c r="Z2261" t="s">
        <v>392</v>
      </c>
      <c r="AA2261">
        <v>9400</v>
      </c>
      <c r="AB2261" t="s">
        <v>2652</v>
      </c>
      <c r="AC2261" t="str">
        <f>HYPERLINK("plots/3FT6Y578R01_012_S11P_20251111092011_M5358ACSH101811_RBGEUFRF26/dpll_52046/txpa_55152.png","plot")</f>
        <v>plot</v>
      </c>
    </row>
    <row r="2262" spans="1:29" x14ac:dyDescent="0.35">
      <c r="A2262" s="2" t="s">
        <v>48</v>
      </c>
      <c r="B2262">
        <v>52046</v>
      </c>
      <c r="C2262" t="s">
        <v>51</v>
      </c>
      <c r="D2262">
        <v>55153</v>
      </c>
      <c r="E2262" t="s">
        <v>286</v>
      </c>
      <c r="F2262">
        <v>12243</v>
      </c>
      <c r="G2262">
        <v>0.2376198050127166</v>
      </c>
      <c r="H2262">
        <v>9.8430384793381111E-157</v>
      </c>
      <c r="I2262">
        <v>9.990831849898744E-157</v>
      </c>
      <c r="J2262">
        <v>0.21575981195401209</v>
      </c>
      <c r="K2262">
        <v>6.4545307106813989E-129</v>
      </c>
      <c r="L2262">
        <v>6.5777830559104908E-129</v>
      </c>
      <c r="M2262">
        <v>0.15059707033445541</v>
      </c>
      <c r="N2262">
        <v>1.2904516968769381E-127</v>
      </c>
      <c r="O2262">
        <v>1.313773113085558E-127</v>
      </c>
      <c r="P2262">
        <v>5.6463171734281441E-2</v>
      </c>
      <c r="Q2262">
        <v>1.5017984823788351</v>
      </c>
      <c r="R2262">
        <v>-31.623274074969739</v>
      </c>
      <c r="S2262">
        <v>1.2298632259561839</v>
      </c>
      <c r="T2262">
        <v>1.038686122982202</v>
      </c>
      <c r="U2262">
        <v>4.492205754635302</v>
      </c>
      <c r="V2262">
        <v>0.20033927554587111</v>
      </c>
      <c r="W2262">
        <v>-24.876886290124968</v>
      </c>
      <c r="X2262">
        <v>1.26617905422304</v>
      </c>
      <c r="Z2262" t="s">
        <v>392</v>
      </c>
      <c r="AA2262">
        <v>9400</v>
      </c>
      <c r="AB2262" t="s">
        <v>2653</v>
      </c>
      <c r="AC2262" t="str">
        <f>HYPERLINK("plots/3FT6Y578R01_012_S11P_20251111092011_M5358ACSH101811_RBGEUFRF26/dpll_52046/txpa_55153.png","plot")</f>
        <v>plot</v>
      </c>
    </row>
    <row r="2263" spans="1:29" x14ac:dyDescent="0.35">
      <c r="A2263" s="2" t="s">
        <v>48</v>
      </c>
      <c r="B2263">
        <v>52046</v>
      </c>
      <c r="C2263" t="s">
        <v>51</v>
      </c>
      <c r="D2263">
        <v>55154</v>
      </c>
      <c r="E2263" t="s">
        <v>287</v>
      </c>
      <c r="F2263">
        <v>12243</v>
      </c>
      <c r="G2263">
        <v>0.2320891974428845</v>
      </c>
      <c r="H2263">
        <v>2.049443723161734E-149</v>
      </c>
      <c r="I2263">
        <v>2.0698565092490031E-149</v>
      </c>
      <c r="J2263">
        <v>0.21281886038909539</v>
      </c>
      <c r="K2263">
        <v>2.1252533514868389E-125</v>
      </c>
      <c r="L2263">
        <v>2.1507054874327889E-125</v>
      </c>
      <c r="M2263">
        <v>0.14957033585447199</v>
      </c>
      <c r="N2263">
        <v>3.3084361604372881E-124</v>
      </c>
      <c r="O2263">
        <v>3.348058150382645E-124</v>
      </c>
      <c r="P2263">
        <v>5.3865395569682242E-2</v>
      </c>
      <c r="Q2263">
        <v>1.4254613823930671</v>
      </c>
      <c r="R2263">
        <v>-31.393707657063828</v>
      </c>
      <c r="S2263">
        <v>1.196810400680429</v>
      </c>
      <c r="T2263">
        <v>1.006294137207302</v>
      </c>
      <c r="U2263">
        <v>4.492205754635302</v>
      </c>
      <c r="V2263">
        <v>0.20033927554587111</v>
      </c>
      <c r="W2263">
        <v>-24.990241832067301</v>
      </c>
      <c r="X2263">
        <v>1.230457530180918</v>
      </c>
      <c r="Z2263" t="s">
        <v>392</v>
      </c>
      <c r="AA2263">
        <v>9400</v>
      </c>
      <c r="AB2263" t="s">
        <v>2654</v>
      </c>
      <c r="AC2263" t="str">
        <f>HYPERLINK("plots/3FT6Y578R01_012_S11P_20251111092011_M5358ACSH101811_RBGEUFRF26/dpll_52046/txpa_55154.png","plot")</f>
        <v>plot</v>
      </c>
    </row>
    <row r="2264" spans="1:29" x14ac:dyDescent="0.35">
      <c r="A2264" s="2" t="s">
        <v>48</v>
      </c>
      <c r="B2264">
        <v>52046</v>
      </c>
      <c r="C2264" t="s">
        <v>51</v>
      </c>
      <c r="D2264">
        <v>55155</v>
      </c>
      <c r="E2264" t="s">
        <v>288</v>
      </c>
      <c r="F2264">
        <v>12243</v>
      </c>
      <c r="G2264">
        <v>0.71993568487366844</v>
      </c>
      <c r="H2264">
        <v>0</v>
      </c>
      <c r="I2264">
        <v>0</v>
      </c>
      <c r="J2264">
        <v>0.62264841465111287</v>
      </c>
      <c r="K2264">
        <v>0</v>
      </c>
      <c r="L2264">
        <v>0</v>
      </c>
      <c r="M2264">
        <v>0.44487435714825668</v>
      </c>
      <c r="N2264">
        <v>0</v>
      </c>
      <c r="O2264">
        <v>0</v>
      </c>
      <c r="P2264">
        <v>0.51830739035451801</v>
      </c>
      <c r="Q2264">
        <v>1.386913809242843</v>
      </c>
      <c r="R2264">
        <v>-17.454783771474879</v>
      </c>
      <c r="S2264">
        <v>0.26784844235396571</v>
      </c>
      <c r="T2264">
        <v>0.20657247054268199</v>
      </c>
      <c r="U2264">
        <v>4.492205754635302</v>
      </c>
      <c r="V2264">
        <v>0.20033927554587111</v>
      </c>
      <c r="W2264">
        <v>-11.22448157641101</v>
      </c>
      <c r="X2264">
        <v>0.38594184678737292</v>
      </c>
      <c r="Z2264" t="s">
        <v>392</v>
      </c>
      <c r="AA2264">
        <v>9400</v>
      </c>
      <c r="AB2264" t="s">
        <v>2655</v>
      </c>
      <c r="AC2264" t="str">
        <f>HYPERLINK("plots/3FT6Y578R01_012_S11P_20251111092011_M5358ACSH101811_RBGEUFRF26/dpll_52046/txpa_55155.png","plot")</f>
        <v>plot</v>
      </c>
    </row>
    <row r="2265" spans="1:29" x14ac:dyDescent="0.35">
      <c r="A2265" s="2" t="s">
        <v>48</v>
      </c>
      <c r="B2265">
        <v>52046</v>
      </c>
      <c r="C2265" t="s">
        <v>51</v>
      </c>
      <c r="D2265">
        <v>55156</v>
      </c>
      <c r="E2265" t="s">
        <v>289</v>
      </c>
      <c r="F2265">
        <v>12242</v>
      </c>
      <c r="G2265">
        <v>0.73559349948613328</v>
      </c>
      <c r="H2265">
        <v>0</v>
      </c>
      <c r="I2265">
        <v>0</v>
      </c>
      <c r="J2265">
        <v>0.63080666043901656</v>
      </c>
      <c r="K2265">
        <v>0</v>
      </c>
      <c r="L2265">
        <v>0</v>
      </c>
      <c r="M2265">
        <v>0.45259972692016059</v>
      </c>
      <c r="N2265">
        <v>0</v>
      </c>
      <c r="O2265">
        <v>0</v>
      </c>
      <c r="P2265">
        <v>0.541097796486256</v>
      </c>
      <c r="Q2265">
        <v>1.413826724848098</v>
      </c>
      <c r="R2265">
        <v>-17.51190244591492</v>
      </c>
      <c r="S2265">
        <v>0.26083742388669973</v>
      </c>
      <c r="T2265">
        <v>0.2034235859997533</v>
      </c>
      <c r="U2265">
        <v>4.492190922643359</v>
      </c>
      <c r="V2265">
        <v>0.20034073623739329</v>
      </c>
      <c r="W2265">
        <v>-11.160722866361709</v>
      </c>
      <c r="X2265">
        <v>0.38505925781840061</v>
      </c>
      <c r="Z2265" t="s">
        <v>392</v>
      </c>
      <c r="AA2265">
        <v>9400</v>
      </c>
      <c r="AB2265" t="s">
        <v>2656</v>
      </c>
      <c r="AC2265" t="str">
        <f>HYPERLINK("plots/3FT6Y578R01_012_S11P_20251111092011_M5358ACSH101811_RBGEUFRF26/dpll_52046/txpa_55156.png","plot")</f>
        <v>plot</v>
      </c>
    </row>
    <row r="2266" spans="1:29" x14ac:dyDescent="0.35">
      <c r="A2266" s="2" t="s">
        <v>48</v>
      </c>
      <c r="B2266">
        <v>52046</v>
      </c>
      <c r="C2266" t="s">
        <v>51</v>
      </c>
      <c r="D2266">
        <v>55157</v>
      </c>
      <c r="E2266" t="s">
        <v>290</v>
      </c>
      <c r="F2266">
        <v>12243</v>
      </c>
      <c r="G2266">
        <v>0.73937651113548575</v>
      </c>
      <c r="H2266">
        <v>0</v>
      </c>
      <c r="I2266">
        <v>0</v>
      </c>
      <c r="J2266">
        <v>0.63253547931025333</v>
      </c>
      <c r="K2266">
        <v>0</v>
      </c>
      <c r="L2266">
        <v>0</v>
      </c>
      <c r="M2266">
        <v>0.45487312075669001</v>
      </c>
      <c r="N2266">
        <v>0</v>
      </c>
      <c r="O2266">
        <v>0</v>
      </c>
      <c r="P2266">
        <v>0.54667762521888308</v>
      </c>
      <c r="Q2266">
        <v>1.410054883773658</v>
      </c>
      <c r="R2266">
        <v>-17.473257024262271</v>
      </c>
      <c r="S2266">
        <v>0.25723040820244519</v>
      </c>
      <c r="T2266">
        <v>0.2001471240251127</v>
      </c>
      <c r="U2266">
        <v>4.492205754635302</v>
      </c>
      <c r="V2266">
        <v>0.20033927554587111</v>
      </c>
      <c r="W2266">
        <v>-11.13900036102263</v>
      </c>
      <c r="X2266">
        <v>0.38206430639959582</v>
      </c>
      <c r="Z2266" t="s">
        <v>392</v>
      </c>
      <c r="AA2266">
        <v>9400</v>
      </c>
      <c r="AB2266" t="s">
        <v>2657</v>
      </c>
      <c r="AC2266" t="str">
        <f>HYPERLINK("plots/3FT6Y578R01_012_S11P_20251111092011_M5358ACSH101811_RBGEUFRF26/dpll_52046/txpa_55157.png","plot")</f>
        <v>plot</v>
      </c>
    </row>
    <row r="2267" spans="1:29" x14ac:dyDescent="0.35">
      <c r="A2267" s="2" t="s">
        <v>48</v>
      </c>
      <c r="B2267">
        <v>52046</v>
      </c>
      <c r="C2267" t="s">
        <v>51</v>
      </c>
      <c r="D2267">
        <v>55158</v>
      </c>
      <c r="E2267" t="s">
        <v>291</v>
      </c>
      <c r="F2267">
        <v>12242</v>
      </c>
      <c r="G2267">
        <v>0.74653987946434608</v>
      </c>
      <c r="H2267">
        <v>0</v>
      </c>
      <c r="I2267">
        <v>0</v>
      </c>
      <c r="J2267">
        <v>0.63651152057759341</v>
      </c>
      <c r="K2267">
        <v>0</v>
      </c>
      <c r="L2267">
        <v>0</v>
      </c>
      <c r="M2267">
        <v>0.45744198038261358</v>
      </c>
      <c r="N2267">
        <v>0</v>
      </c>
      <c r="O2267">
        <v>0</v>
      </c>
      <c r="P2267">
        <v>0.55732179163064033</v>
      </c>
      <c r="Q2267">
        <v>1.4299090066190629</v>
      </c>
      <c r="R2267">
        <v>-17.514616687246111</v>
      </c>
      <c r="S2267">
        <v>0.25530707742062753</v>
      </c>
      <c r="T2267">
        <v>0.1993805585796844</v>
      </c>
      <c r="U2267">
        <v>4.4922121462179394</v>
      </c>
      <c r="V2267">
        <v>0.20034621017914711</v>
      </c>
      <c r="W2267">
        <v>-11.091162079725541</v>
      </c>
      <c r="X2267">
        <v>0.3837395137989274</v>
      </c>
      <c r="Z2267" t="s">
        <v>392</v>
      </c>
      <c r="AA2267">
        <v>9400</v>
      </c>
      <c r="AB2267" t="s">
        <v>2658</v>
      </c>
      <c r="AC2267" t="str">
        <f>HYPERLINK("plots/3FT6Y578R01_012_S11P_20251111092011_M5358ACSH101811_RBGEUFRF26/dpll_52046/txpa_55158.png","plot")</f>
        <v>plot</v>
      </c>
    </row>
    <row r="2268" spans="1:29" x14ac:dyDescent="0.35">
      <c r="A2268" s="2" t="s">
        <v>48</v>
      </c>
      <c r="B2268">
        <v>52046</v>
      </c>
      <c r="C2268" t="s">
        <v>51</v>
      </c>
      <c r="D2268">
        <v>55159</v>
      </c>
      <c r="E2268" t="s">
        <v>292</v>
      </c>
      <c r="F2268">
        <v>12240</v>
      </c>
      <c r="G2268">
        <v>0.74846812521414374</v>
      </c>
      <c r="H2268">
        <v>0</v>
      </c>
      <c r="I2268">
        <v>0</v>
      </c>
      <c r="J2268">
        <v>0.63565512096197319</v>
      </c>
      <c r="K2268">
        <v>0</v>
      </c>
      <c r="L2268">
        <v>0</v>
      </c>
      <c r="M2268">
        <v>0.45542153059716911</v>
      </c>
      <c r="N2268">
        <v>0</v>
      </c>
      <c r="O2268">
        <v>0</v>
      </c>
      <c r="P2268">
        <v>0.56020453446157514</v>
      </c>
      <c r="Q2268">
        <v>1.4311668215231059</v>
      </c>
      <c r="R2268">
        <v>-17.54655356574974</v>
      </c>
      <c r="S2268">
        <v>0.2539981885659191</v>
      </c>
      <c r="T2268">
        <v>0.1995944833493723</v>
      </c>
      <c r="U2268">
        <v>4.492228153022876</v>
      </c>
      <c r="V2268">
        <v>0.2003115712750779</v>
      </c>
      <c r="W2268">
        <v>-11.117425678431371</v>
      </c>
      <c r="X2268">
        <v>0.38302135404100313</v>
      </c>
      <c r="Z2268" t="s">
        <v>392</v>
      </c>
      <c r="AA2268">
        <v>9400</v>
      </c>
      <c r="AB2268" t="s">
        <v>2659</v>
      </c>
      <c r="AC2268" t="str">
        <f>HYPERLINK("plots/3FT6Y578R01_012_S11P_20251111092011_M5358ACSH101811_RBGEUFRF26/dpll_52046/txpa_55159.png","plot")</f>
        <v>plot</v>
      </c>
    </row>
    <row r="2269" spans="1:29" x14ac:dyDescent="0.35">
      <c r="A2269" s="2" t="s">
        <v>48</v>
      </c>
      <c r="B2269">
        <v>52046</v>
      </c>
      <c r="C2269" t="s">
        <v>51</v>
      </c>
      <c r="D2269">
        <v>55160</v>
      </c>
      <c r="E2269" t="s">
        <v>293</v>
      </c>
      <c r="F2269">
        <v>12241</v>
      </c>
      <c r="G2269">
        <v>0.74922092764734616</v>
      </c>
      <c r="H2269">
        <v>0</v>
      </c>
      <c r="I2269">
        <v>0</v>
      </c>
      <c r="J2269">
        <v>0.64172967322134955</v>
      </c>
      <c r="K2269">
        <v>0</v>
      </c>
      <c r="L2269">
        <v>0</v>
      </c>
      <c r="M2269">
        <v>0.46180770057650328</v>
      </c>
      <c r="N2269">
        <v>0</v>
      </c>
      <c r="O2269">
        <v>0</v>
      </c>
      <c r="P2269">
        <v>0.5613319984247499</v>
      </c>
      <c r="Q2269">
        <v>1.430290506954645</v>
      </c>
      <c r="R2269">
        <v>-17.564517609078621</v>
      </c>
      <c r="S2269">
        <v>0.25325324759520401</v>
      </c>
      <c r="T2269">
        <v>0.19836488595881729</v>
      </c>
      <c r="U2269">
        <v>4.4922102342945847</v>
      </c>
      <c r="V2269">
        <v>0.20030437210640301</v>
      </c>
      <c r="W2269">
        <v>-11.139351955722571</v>
      </c>
      <c r="X2269">
        <v>0.38238846694382489</v>
      </c>
      <c r="Z2269" t="s">
        <v>392</v>
      </c>
      <c r="AA2269">
        <v>9400</v>
      </c>
      <c r="AB2269" t="s">
        <v>2660</v>
      </c>
      <c r="AC2269" t="str">
        <f>HYPERLINK("plots/3FT6Y578R01_012_S11P_20251111092011_M5358ACSH101811_RBGEUFRF26/dpll_52046/txpa_55160.png","plot")</f>
        <v>plot</v>
      </c>
    </row>
    <row r="2270" spans="1:29" x14ac:dyDescent="0.35">
      <c r="A2270" s="2" t="s">
        <v>48</v>
      </c>
      <c r="B2270">
        <v>52046</v>
      </c>
      <c r="C2270" t="s">
        <v>51</v>
      </c>
      <c r="D2270">
        <v>55161</v>
      </c>
      <c r="E2270" t="s">
        <v>294</v>
      </c>
      <c r="F2270">
        <v>12242</v>
      </c>
      <c r="G2270">
        <v>0.75009038667911643</v>
      </c>
      <c r="H2270">
        <v>0</v>
      </c>
      <c r="I2270">
        <v>0</v>
      </c>
      <c r="J2270">
        <v>0.63878902695208029</v>
      </c>
      <c r="K2270">
        <v>0</v>
      </c>
      <c r="L2270">
        <v>0</v>
      </c>
      <c r="M2270">
        <v>0.45962345084628659</v>
      </c>
      <c r="N2270">
        <v>0</v>
      </c>
      <c r="O2270">
        <v>0</v>
      </c>
      <c r="P2270">
        <v>0.56263558818842641</v>
      </c>
      <c r="Q2270">
        <v>1.435097698308003</v>
      </c>
      <c r="R2270">
        <v>-17.58385903219741</v>
      </c>
      <c r="S2270">
        <v>0.25344956285069598</v>
      </c>
      <c r="T2270">
        <v>0.1983585060714704</v>
      </c>
      <c r="U2270">
        <v>4.4922368706093776</v>
      </c>
      <c r="V2270">
        <v>0.20031787099771459</v>
      </c>
      <c r="W2270">
        <v>-11.13706023893155</v>
      </c>
      <c r="X2270">
        <v>0.38325476596430458</v>
      </c>
      <c r="Z2270" t="s">
        <v>392</v>
      </c>
      <c r="AA2270">
        <v>9400</v>
      </c>
      <c r="AB2270" t="s">
        <v>2661</v>
      </c>
      <c r="AC2270" t="str">
        <f>HYPERLINK("plots/3FT6Y578R01_012_S11P_20251111092011_M5358ACSH101811_RBGEUFRF26/dpll_52046/txpa_55161.png","plot")</f>
        <v>plot</v>
      </c>
    </row>
    <row r="2271" spans="1:29" x14ac:dyDescent="0.35">
      <c r="A2271" s="2" t="s">
        <v>48</v>
      </c>
      <c r="B2271">
        <v>52046</v>
      </c>
      <c r="C2271" t="s">
        <v>51</v>
      </c>
      <c r="D2271">
        <v>55162</v>
      </c>
      <c r="E2271" t="s">
        <v>295</v>
      </c>
      <c r="F2271">
        <v>12241</v>
      </c>
      <c r="G2271">
        <v>0.74060734522019922</v>
      </c>
      <c r="H2271">
        <v>0</v>
      </c>
      <c r="I2271">
        <v>0</v>
      </c>
      <c r="J2271">
        <v>0.62709399506001029</v>
      </c>
      <c r="K2271">
        <v>0</v>
      </c>
      <c r="L2271">
        <v>0</v>
      </c>
      <c r="M2271">
        <v>0.44992816017663162</v>
      </c>
      <c r="N2271">
        <v>0</v>
      </c>
      <c r="O2271">
        <v>0</v>
      </c>
      <c r="P2271">
        <v>0.5484992397941113</v>
      </c>
      <c r="Q2271">
        <v>1.413057151542028</v>
      </c>
      <c r="R2271">
        <v>-17.546359115919241</v>
      </c>
      <c r="S2271">
        <v>0.25679796787533388</v>
      </c>
      <c r="T2271">
        <v>0.20040694034826231</v>
      </c>
      <c r="U2271">
        <v>4.4922578171717999</v>
      </c>
      <c r="V2271">
        <v>0.20031264585891739</v>
      </c>
      <c r="W2271">
        <v>-11.19854208079405</v>
      </c>
      <c r="X2271">
        <v>0.38219066905296578</v>
      </c>
      <c r="Z2271" t="s">
        <v>392</v>
      </c>
      <c r="AA2271">
        <v>9400</v>
      </c>
      <c r="AB2271" t="s">
        <v>2662</v>
      </c>
      <c r="AC2271" t="str">
        <f>HYPERLINK("plots/3FT6Y578R01_012_S11P_20251111092011_M5358ACSH101811_RBGEUFRF26/dpll_52046/txpa_55162.png","plot")</f>
        <v>plot</v>
      </c>
    </row>
    <row r="2272" spans="1:29" x14ac:dyDescent="0.35">
      <c r="A2272" s="2" t="s">
        <v>48</v>
      </c>
      <c r="B2272">
        <v>52046</v>
      </c>
      <c r="C2272" t="s">
        <v>51</v>
      </c>
      <c r="D2272">
        <v>55163</v>
      </c>
      <c r="E2272" t="s">
        <v>296</v>
      </c>
      <c r="F2272">
        <v>12243</v>
      </c>
      <c r="G2272">
        <v>0.76526002421033557</v>
      </c>
      <c r="H2272">
        <v>0</v>
      </c>
      <c r="I2272">
        <v>0</v>
      </c>
      <c r="J2272">
        <v>0.6641459528448781</v>
      </c>
      <c r="K2272">
        <v>0</v>
      </c>
      <c r="L2272">
        <v>0</v>
      </c>
      <c r="M2272">
        <v>0.47776558518572138</v>
      </c>
      <c r="N2272">
        <v>0</v>
      </c>
      <c r="O2272">
        <v>0</v>
      </c>
      <c r="P2272">
        <v>0.58562290465440336</v>
      </c>
      <c r="Q2272">
        <v>1.2403872690706961</v>
      </c>
      <c r="R2272">
        <v>-10.47806733458925</v>
      </c>
      <c r="S2272">
        <v>0.20902320648613351</v>
      </c>
      <c r="T2272">
        <v>0.1584644003799528</v>
      </c>
      <c r="U2272">
        <v>4.492205754635302</v>
      </c>
      <c r="V2272">
        <v>0.20033927554587111</v>
      </c>
      <c r="W2272">
        <v>-4.9059925064935062</v>
      </c>
      <c r="X2272">
        <v>0.3247239879521574</v>
      </c>
      <c r="Z2272" t="s">
        <v>392</v>
      </c>
      <c r="AA2272">
        <v>9400</v>
      </c>
      <c r="AB2272" t="s">
        <v>2663</v>
      </c>
      <c r="AC2272" t="str">
        <f>HYPERLINK("plots/3FT6Y578R01_012_S11P_20251111092011_M5358ACSH101811_RBGEUFRF26/dpll_52046/txpa_55163.png","plot")</f>
        <v>plot</v>
      </c>
    </row>
    <row r="2273" spans="1:29" x14ac:dyDescent="0.35">
      <c r="A2273" s="2" t="s">
        <v>48</v>
      </c>
      <c r="B2273">
        <v>52046</v>
      </c>
      <c r="C2273" t="s">
        <v>51</v>
      </c>
      <c r="D2273">
        <v>55164</v>
      </c>
      <c r="E2273" t="s">
        <v>297</v>
      </c>
      <c r="F2273">
        <v>12242</v>
      </c>
      <c r="G2273">
        <v>0.78233419032256823</v>
      </c>
      <c r="H2273">
        <v>0</v>
      </c>
      <c r="I2273">
        <v>0</v>
      </c>
      <c r="J2273">
        <v>0.67513429305604467</v>
      </c>
      <c r="K2273">
        <v>0</v>
      </c>
      <c r="L2273">
        <v>0</v>
      </c>
      <c r="M2273">
        <v>0.48897868635496428</v>
      </c>
      <c r="N2273">
        <v>0</v>
      </c>
      <c r="O2273">
        <v>0</v>
      </c>
      <c r="P2273">
        <v>0.61204678534766843</v>
      </c>
      <c r="Q2273">
        <v>1.2642220026826361</v>
      </c>
      <c r="R2273">
        <v>-10.544053358455351</v>
      </c>
      <c r="S2273">
        <v>0.2016379336506651</v>
      </c>
      <c r="T2273">
        <v>0.1550940047646657</v>
      </c>
      <c r="U2273">
        <v>4.492190922643359</v>
      </c>
      <c r="V2273">
        <v>0.20034073623739329</v>
      </c>
      <c r="W2273">
        <v>-4.8649267537983976</v>
      </c>
      <c r="X2273">
        <v>0.32374293481986538</v>
      </c>
      <c r="Z2273" t="s">
        <v>392</v>
      </c>
      <c r="AA2273">
        <v>9400</v>
      </c>
      <c r="AB2273" t="s">
        <v>2664</v>
      </c>
      <c r="AC2273" t="str">
        <f>HYPERLINK("plots/3FT6Y578R01_012_S11P_20251111092011_M5358ACSH101811_RBGEUFRF26/dpll_52046/txpa_55164.png","plot")</f>
        <v>plot</v>
      </c>
    </row>
    <row r="2274" spans="1:29" x14ac:dyDescent="0.35">
      <c r="A2274" s="2" t="s">
        <v>48</v>
      </c>
      <c r="B2274">
        <v>52046</v>
      </c>
      <c r="C2274" t="s">
        <v>51</v>
      </c>
      <c r="D2274">
        <v>55165</v>
      </c>
      <c r="E2274" t="s">
        <v>298</v>
      </c>
      <c r="F2274">
        <v>12243</v>
      </c>
      <c r="G2274">
        <v>0.78079035077563341</v>
      </c>
      <c r="H2274">
        <v>0</v>
      </c>
      <c r="I2274">
        <v>0</v>
      </c>
      <c r="J2274">
        <v>0.67254138074125547</v>
      </c>
      <c r="K2274">
        <v>0</v>
      </c>
      <c r="L2274">
        <v>0</v>
      </c>
      <c r="M2274">
        <v>0.48674153820469329</v>
      </c>
      <c r="N2274">
        <v>0</v>
      </c>
      <c r="O2274">
        <v>0</v>
      </c>
      <c r="P2274">
        <v>0.60963357186433664</v>
      </c>
      <c r="Q2274">
        <v>1.2504388071558481</v>
      </c>
      <c r="R2274">
        <v>-10.467267996438091</v>
      </c>
      <c r="S2274">
        <v>0.20045301746327371</v>
      </c>
      <c r="T2274">
        <v>0.1535830506650834</v>
      </c>
      <c r="U2274">
        <v>4.492205754635302</v>
      </c>
      <c r="V2274">
        <v>0.20033927554587111</v>
      </c>
      <c r="W2274">
        <v>-4.8500395911132896</v>
      </c>
      <c r="X2274">
        <v>0.32084413503725873</v>
      </c>
      <c r="Z2274" t="s">
        <v>392</v>
      </c>
      <c r="AA2274">
        <v>9400</v>
      </c>
      <c r="AB2274" t="s">
        <v>2665</v>
      </c>
      <c r="AC2274" t="str">
        <f>HYPERLINK("plots/3FT6Y578R01_012_S11P_20251111092011_M5358ACSH101811_RBGEUFRF26/dpll_52046/txpa_55165.png","plot")</f>
        <v>plot</v>
      </c>
    </row>
    <row r="2275" spans="1:29" x14ac:dyDescent="0.35">
      <c r="A2275" s="2" t="s">
        <v>48</v>
      </c>
      <c r="B2275">
        <v>52046</v>
      </c>
      <c r="C2275" t="s">
        <v>51</v>
      </c>
      <c r="D2275">
        <v>55166</v>
      </c>
      <c r="E2275" t="s">
        <v>299</v>
      </c>
      <c r="F2275">
        <v>12242</v>
      </c>
      <c r="G2275">
        <v>0.79253022259994055</v>
      </c>
      <c r="H2275">
        <v>0</v>
      </c>
      <c r="I2275">
        <v>0</v>
      </c>
      <c r="J2275">
        <v>0.68096321891572653</v>
      </c>
      <c r="K2275">
        <v>0</v>
      </c>
      <c r="L2275">
        <v>0</v>
      </c>
      <c r="M2275">
        <v>0.49417092053926842</v>
      </c>
      <c r="N2275">
        <v>0</v>
      </c>
      <c r="O2275">
        <v>0</v>
      </c>
      <c r="P2275">
        <v>0.62810415373431128</v>
      </c>
      <c r="Q2275">
        <v>1.2745580727071619</v>
      </c>
      <c r="R2275">
        <v>-10.5433335442803</v>
      </c>
      <c r="S2275">
        <v>0.1964797749936453</v>
      </c>
      <c r="T2275">
        <v>0.15186926144358209</v>
      </c>
      <c r="U2275">
        <v>4.4922121462179394</v>
      </c>
      <c r="V2275">
        <v>0.20034621017914711</v>
      </c>
      <c r="W2275">
        <v>-4.8177482890050642</v>
      </c>
      <c r="X2275">
        <v>0.32219954802785677</v>
      </c>
      <c r="Z2275" t="s">
        <v>392</v>
      </c>
      <c r="AA2275">
        <v>9400</v>
      </c>
      <c r="AB2275" t="s">
        <v>2666</v>
      </c>
      <c r="AC2275" t="str">
        <f>HYPERLINK("plots/3FT6Y578R01_012_S11P_20251111092011_M5358ACSH101811_RBGEUFRF26/dpll_52046/txpa_55166.png","plot")</f>
        <v>plot</v>
      </c>
    </row>
    <row r="2276" spans="1:29" x14ac:dyDescent="0.35">
      <c r="A2276" s="2" t="s">
        <v>48</v>
      </c>
      <c r="B2276">
        <v>52046</v>
      </c>
      <c r="C2276" t="s">
        <v>51</v>
      </c>
      <c r="D2276">
        <v>55167</v>
      </c>
      <c r="E2276" t="s">
        <v>300</v>
      </c>
      <c r="F2276">
        <v>12240</v>
      </c>
      <c r="G2276">
        <v>0.79189967610381085</v>
      </c>
      <c r="H2276">
        <v>0</v>
      </c>
      <c r="I2276">
        <v>0</v>
      </c>
      <c r="J2276">
        <v>0.67490910967631079</v>
      </c>
      <c r="K2276">
        <v>0</v>
      </c>
      <c r="L2276">
        <v>0</v>
      </c>
      <c r="M2276">
        <v>0.48812119351043298</v>
      </c>
      <c r="N2276">
        <v>0</v>
      </c>
      <c r="O2276">
        <v>0</v>
      </c>
      <c r="P2276">
        <v>0.62710509701332051</v>
      </c>
      <c r="Q2276">
        <v>1.275765223134147</v>
      </c>
      <c r="R2276">
        <v>-10.573026745801579</v>
      </c>
      <c r="S2276">
        <v>0.1970525746460515</v>
      </c>
      <c r="T2276">
        <v>0.15337783037155631</v>
      </c>
      <c r="U2276">
        <v>4.492228153022876</v>
      </c>
      <c r="V2276">
        <v>0.2003115712750779</v>
      </c>
      <c r="W2276">
        <v>-4.8419982937908497</v>
      </c>
      <c r="X2276">
        <v>0.32270569635970031</v>
      </c>
      <c r="Z2276" t="s">
        <v>392</v>
      </c>
      <c r="AA2276">
        <v>9400</v>
      </c>
      <c r="AB2276" t="s">
        <v>2667</v>
      </c>
      <c r="AC2276" t="str">
        <f>HYPERLINK("plots/3FT6Y578R01_012_S11P_20251111092011_M5358ACSH101811_RBGEUFRF26/dpll_52046/txpa_55167.png","plot")</f>
        <v>plot</v>
      </c>
    </row>
    <row r="2277" spans="1:29" x14ac:dyDescent="0.35">
      <c r="A2277" s="2" t="s">
        <v>48</v>
      </c>
      <c r="B2277">
        <v>52046</v>
      </c>
      <c r="C2277" t="s">
        <v>51</v>
      </c>
      <c r="D2277">
        <v>55168</v>
      </c>
      <c r="E2277" t="s">
        <v>301</v>
      </c>
      <c r="F2277">
        <v>12241</v>
      </c>
      <c r="G2277">
        <v>0.79460821059623454</v>
      </c>
      <c r="H2277">
        <v>0</v>
      </c>
      <c r="I2277">
        <v>0</v>
      </c>
      <c r="J2277">
        <v>0.6840433428130519</v>
      </c>
      <c r="K2277">
        <v>0</v>
      </c>
      <c r="L2277">
        <v>0</v>
      </c>
      <c r="M2277">
        <v>0.49679820428479021</v>
      </c>
      <c r="N2277">
        <v>0</v>
      </c>
      <c r="O2277">
        <v>0</v>
      </c>
      <c r="P2277">
        <v>0.63140220834694982</v>
      </c>
      <c r="Q2277">
        <v>1.282829106660454</v>
      </c>
      <c r="R2277">
        <v>-10.613538812479741</v>
      </c>
      <c r="S2277">
        <v>0.19632011974991909</v>
      </c>
      <c r="T2277">
        <v>0.15264557611754989</v>
      </c>
      <c r="U2277">
        <v>4.4922102342945847</v>
      </c>
      <c r="V2277">
        <v>0.20030437210640301</v>
      </c>
      <c r="W2277">
        <v>-4.8508007706886689</v>
      </c>
      <c r="X2277">
        <v>0.32337480950094011</v>
      </c>
      <c r="Z2277" t="s">
        <v>392</v>
      </c>
      <c r="AA2277">
        <v>9400</v>
      </c>
      <c r="AB2277" t="s">
        <v>2668</v>
      </c>
      <c r="AC2277" t="str">
        <f>HYPERLINK("plots/3FT6Y578R01_012_S11P_20251111092011_M5358ACSH101811_RBGEUFRF26/dpll_52046/txpa_55168.png","plot")</f>
        <v>plot</v>
      </c>
    </row>
    <row r="2278" spans="1:29" x14ac:dyDescent="0.35">
      <c r="A2278" s="2" t="s">
        <v>48</v>
      </c>
      <c r="B2278">
        <v>52046</v>
      </c>
      <c r="C2278" t="s">
        <v>51</v>
      </c>
      <c r="D2278">
        <v>55169</v>
      </c>
      <c r="E2278" t="s">
        <v>302</v>
      </c>
      <c r="F2278">
        <v>12242</v>
      </c>
      <c r="G2278">
        <v>0.79358064040036203</v>
      </c>
      <c r="H2278">
        <v>0</v>
      </c>
      <c r="I2278">
        <v>0</v>
      </c>
      <c r="J2278">
        <v>0.67750727073354255</v>
      </c>
      <c r="K2278">
        <v>0</v>
      </c>
      <c r="L2278">
        <v>0</v>
      </c>
      <c r="M2278">
        <v>0.4913557931987072</v>
      </c>
      <c r="N2278">
        <v>0</v>
      </c>
      <c r="O2278">
        <v>0</v>
      </c>
      <c r="P2278">
        <v>0.62977023281824873</v>
      </c>
      <c r="Q2278">
        <v>1.275956743378251</v>
      </c>
      <c r="R2278">
        <v>-10.57847499856484</v>
      </c>
      <c r="S2278">
        <v>0.19596680457481569</v>
      </c>
      <c r="T2278">
        <v>0.15255128901386961</v>
      </c>
      <c r="U2278">
        <v>4.4922368706093776</v>
      </c>
      <c r="V2278">
        <v>0.20031787099771459</v>
      </c>
      <c r="W2278">
        <v>-4.846575070658389</v>
      </c>
      <c r="X2278">
        <v>0.32208061198388072</v>
      </c>
      <c r="Z2278" t="s">
        <v>392</v>
      </c>
      <c r="AA2278">
        <v>9400</v>
      </c>
      <c r="AB2278" t="s">
        <v>2669</v>
      </c>
      <c r="AC2278" t="str">
        <f>HYPERLINK("plots/3FT6Y578R01_012_S11P_20251111092011_M5358ACSH101811_RBGEUFRF26/dpll_52046/txpa_55169.png","plot")</f>
        <v>plot</v>
      </c>
    </row>
    <row r="2279" spans="1:29" x14ac:dyDescent="0.35">
      <c r="A2279" s="2" t="s">
        <v>48</v>
      </c>
      <c r="B2279">
        <v>52046</v>
      </c>
      <c r="C2279" t="s">
        <v>51</v>
      </c>
      <c r="D2279">
        <v>55170</v>
      </c>
      <c r="E2279" t="s">
        <v>303</v>
      </c>
      <c r="F2279">
        <v>12239</v>
      </c>
      <c r="G2279">
        <v>0.78714280317292395</v>
      </c>
      <c r="H2279">
        <v>0</v>
      </c>
      <c r="I2279">
        <v>0</v>
      </c>
      <c r="J2279">
        <v>0.66908490691760181</v>
      </c>
      <c r="K2279">
        <v>0</v>
      </c>
      <c r="L2279">
        <v>0</v>
      </c>
      <c r="M2279">
        <v>0.48477006147636531</v>
      </c>
      <c r="N2279">
        <v>0</v>
      </c>
      <c r="O2279">
        <v>0</v>
      </c>
      <c r="P2279">
        <v>0.61959379258692848</v>
      </c>
      <c r="Q2279">
        <v>1.2638321336223839</v>
      </c>
      <c r="R2279">
        <v>-10.55348923171036</v>
      </c>
      <c r="S2279">
        <v>0.1983654066295337</v>
      </c>
      <c r="T2279">
        <v>0.1535392167208102</v>
      </c>
      <c r="U2279">
        <v>4.4922816766075657</v>
      </c>
      <c r="V2279">
        <v>0.2003198646137857</v>
      </c>
      <c r="W2279">
        <v>-4.875999295530681</v>
      </c>
      <c r="X2279">
        <v>0.32163246729979961</v>
      </c>
      <c r="Z2279" t="s">
        <v>392</v>
      </c>
      <c r="AA2279">
        <v>9400</v>
      </c>
      <c r="AB2279" t="s">
        <v>2670</v>
      </c>
      <c r="AC2279" t="str">
        <f>HYPERLINK("plots/3FT6Y578R01_012_S11P_20251111092011_M5358ACSH101811_RBGEUFRF26/dpll_52046/txpa_55170.png","plot")</f>
        <v>plot</v>
      </c>
    </row>
    <row r="2280" spans="1:29" x14ac:dyDescent="0.35">
      <c r="A2280" s="2" t="s">
        <v>48</v>
      </c>
      <c r="B2280">
        <v>52046</v>
      </c>
      <c r="C2280" t="s">
        <v>51</v>
      </c>
      <c r="D2280">
        <v>55171</v>
      </c>
      <c r="E2280" t="s">
        <v>304</v>
      </c>
      <c r="F2280">
        <v>12243</v>
      </c>
      <c r="G2280">
        <v>0.77695508995741702</v>
      </c>
      <c r="H2280">
        <v>0</v>
      </c>
      <c r="I2280">
        <v>0</v>
      </c>
      <c r="J2280">
        <v>0.67834093588682487</v>
      </c>
      <c r="K2280">
        <v>0</v>
      </c>
      <c r="L2280">
        <v>0</v>
      </c>
      <c r="M2280">
        <v>0.48910200620665961</v>
      </c>
      <c r="N2280">
        <v>0</v>
      </c>
      <c r="O2280">
        <v>0</v>
      </c>
      <c r="P2280">
        <v>0.60365921181073801</v>
      </c>
      <c r="Q2280">
        <v>1.2633338315467819</v>
      </c>
      <c r="R2280">
        <v>-7.6061135228838772</v>
      </c>
      <c r="S2280">
        <v>0.2050713339897795</v>
      </c>
      <c r="T2280">
        <v>0.1546520795816764</v>
      </c>
      <c r="U2280">
        <v>4.492205754635302</v>
      </c>
      <c r="V2280">
        <v>0.20033927554587111</v>
      </c>
      <c r="W2280">
        <v>-1.930958014783958</v>
      </c>
      <c r="X2280">
        <v>0.32575291397929262</v>
      </c>
      <c r="Z2280" t="s">
        <v>392</v>
      </c>
      <c r="AA2280">
        <v>9400</v>
      </c>
      <c r="AB2280" t="s">
        <v>2671</v>
      </c>
      <c r="AC2280" t="str">
        <f>HYPERLINK("plots/3FT6Y578R01_012_S11P_20251111092011_M5358ACSH101811_RBGEUFRF26/dpll_52046/txpa_55171.png","plot")</f>
        <v>plot</v>
      </c>
    </row>
    <row r="2281" spans="1:29" x14ac:dyDescent="0.35">
      <c r="A2281" s="2" t="s">
        <v>48</v>
      </c>
      <c r="B2281">
        <v>52046</v>
      </c>
      <c r="C2281" t="s">
        <v>51</v>
      </c>
      <c r="D2281">
        <v>55172</v>
      </c>
      <c r="E2281" t="s">
        <v>305</v>
      </c>
      <c r="F2281">
        <v>12242</v>
      </c>
      <c r="G2281">
        <v>0.79533723161945225</v>
      </c>
      <c r="H2281">
        <v>0</v>
      </c>
      <c r="I2281">
        <v>0</v>
      </c>
      <c r="J2281">
        <v>0.69071335735369388</v>
      </c>
      <c r="K2281">
        <v>0</v>
      </c>
      <c r="L2281">
        <v>0</v>
      </c>
      <c r="M2281">
        <v>0.50206748093676234</v>
      </c>
      <c r="N2281">
        <v>0</v>
      </c>
      <c r="O2281">
        <v>0</v>
      </c>
      <c r="P2281">
        <v>0.63256131200009424</v>
      </c>
      <c r="Q2281">
        <v>1.2896933129312711</v>
      </c>
      <c r="R2281">
        <v>-7.6889051423552974</v>
      </c>
      <c r="S2281">
        <v>0.19691513721856721</v>
      </c>
      <c r="T2281">
        <v>0.15049642053910861</v>
      </c>
      <c r="U2281">
        <v>4.492190922643359</v>
      </c>
      <c r="V2281">
        <v>0.20034073623739329</v>
      </c>
      <c r="W2281">
        <v>-1.8953565490116</v>
      </c>
      <c r="X2281">
        <v>0.32486610403864619</v>
      </c>
      <c r="Z2281" t="s">
        <v>392</v>
      </c>
      <c r="AA2281">
        <v>9400</v>
      </c>
      <c r="AB2281" t="s">
        <v>2672</v>
      </c>
      <c r="AC2281" t="str">
        <f>HYPERLINK("plots/3FT6Y578R01_012_S11P_20251111092011_M5358ACSH101811_RBGEUFRF26/dpll_52046/txpa_55172.png","plot")</f>
        <v>plot</v>
      </c>
    </row>
    <row r="2282" spans="1:29" x14ac:dyDescent="0.35">
      <c r="A2282" s="2" t="s">
        <v>48</v>
      </c>
      <c r="B2282">
        <v>52046</v>
      </c>
      <c r="C2282" t="s">
        <v>51</v>
      </c>
      <c r="D2282">
        <v>55173</v>
      </c>
      <c r="E2282" t="s">
        <v>306</v>
      </c>
      <c r="F2282">
        <v>12243</v>
      </c>
      <c r="G2282">
        <v>0.79288223868842733</v>
      </c>
      <c r="H2282">
        <v>0</v>
      </c>
      <c r="I2282">
        <v>0</v>
      </c>
      <c r="J2282">
        <v>0.68724318424159248</v>
      </c>
      <c r="K2282">
        <v>0</v>
      </c>
      <c r="L2282">
        <v>0</v>
      </c>
      <c r="M2282">
        <v>0.49883781593614701</v>
      </c>
      <c r="N2282">
        <v>0</v>
      </c>
      <c r="O2282">
        <v>0</v>
      </c>
      <c r="P2282">
        <v>0.62866224442757224</v>
      </c>
      <c r="Q2282">
        <v>1.272735299559361</v>
      </c>
      <c r="R2282">
        <v>-7.6002662536993322</v>
      </c>
      <c r="S2282">
        <v>0.1959576921667536</v>
      </c>
      <c r="T2282">
        <v>0.1495350412147701</v>
      </c>
      <c r="U2282">
        <v>4.492205754635302</v>
      </c>
      <c r="V2282">
        <v>0.20033927554587111</v>
      </c>
      <c r="W2282">
        <v>-1.882877416891285</v>
      </c>
      <c r="X2282">
        <v>0.3215847895611354</v>
      </c>
      <c r="Z2282" t="s">
        <v>392</v>
      </c>
      <c r="AA2282">
        <v>9400</v>
      </c>
      <c r="AB2282" t="s">
        <v>2673</v>
      </c>
      <c r="AC2282" t="str">
        <f>HYPERLINK("plots/3FT6Y578R01_012_S11P_20251111092011_M5358ACSH101811_RBGEUFRF26/dpll_52046/txpa_55173.png","plot")</f>
        <v>plot</v>
      </c>
    </row>
    <row r="2283" spans="1:29" x14ac:dyDescent="0.35">
      <c r="A2283" s="2" t="s">
        <v>48</v>
      </c>
      <c r="B2283">
        <v>52046</v>
      </c>
      <c r="C2283" t="s">
        <v>51</v>
      </c>
      <c r="D2283">
        <v>55174</v>
      </c>
      <c r="E2283" t="s">
        <v>307</v>
      </c>
      <c r="F2283">
        <v>12242</v>
      </c>
      <c r="G2283">
        <v>0.80414065506440346</v>
      </c>
      <c r="H2283">
        <v>0</v>
      </c>
      <c r="I2283">
        <v>0</v>
      </c>
      <c r="J2283">
        <v>0.6942487665493724</v>
      </c>
      <c r="K2283">
        <v>0</v>
      </c>
      <c r="L2283">
        <v>0</v>
      </c>
      <c r="M2283">
        <v>0.50522473316651773</v>
      </c>
      <c r="N2283">
        <v>0</v>
      </c>
      <c r="O2283">
        <v>0</v>
      </c>
      <c r="P2283">
        <v>0.64664219312740789</v>
      </c>
      <c r="Q2283">
        <v>1.295329820704497</v>
      </c>
      <c r="R2283">
        <v>-7.6745545458074549</v>
      </c>
      <c r="S2283">
        <v>0.19183112901924149</v>
      </c>
      <c r="T2283">
        <v>0.14793804474930269</v>
      </c>
      <c r="U2283">
        <v>4.4922121462179394</v>
      </c>
      <c r="V2283">
        <v>0.20034621017914711</v>
      </c>
      <c r="W2283">
        <v>-1.855658191880412</v>
      </c>
      <c r="X2283">
        <v>0.32272267155724821</v>
      </c>
      <c r="Z2283" t="s">
        <v>392</v>
      </c>
      <c r="AA2283">
        <v>9400</v>
      </c>
      <c r="AB2283" t="s">
        <v>2674</v>
      </c>
      <c r="AC2283" t="str">
        <f>HYPERLINK("plots/3FT6Y578R01_012_S11P_20251111092011_M5358ACSH101811_RBGEUFRF26/dpll_52046/txpa_55174.png","plot")</f>
        <v>plot</v>
      </c>
    </row>
    <row r="2284" spans="1:29" x14ac:dyDescent="0.35">
      <c r="A2284" s="2" t="s">
        <v>48</v>
      </c>
      <c r="B2284">
        <v>52046</v>
      </c>
      <c r="C2284" t="s">
        <v>51</v>
      </c>
      <c r="D2284">
        <v>55175</v>
      </c>
      <c r="E2284" t="s">
        <v>308</v>
      </c>
      <c r="F2284">
        <v>12240</v>
      </c>
      <c r="G2284">
        <v>0.8037496126494873</v>
      </c>
      <c r="H2284">
        <v>0</v>
      </c>
      <c r="I2284">
        <v>0</v>
      </c>
      <c r="J2284">
        <v>0.68894748830217101</v>
      </c>
      <c r="K2284">
        <v>0</v>
      </c>
      <c r="L2284">
        <v>0</v>
      </c>
      <c r="M2284">
        <v>0.49980382458948552</v>
      </c>
      <c r="N2284">
        <v>0</v>
      </c>
      <c r="O2284">
        <v>0</v>
      </c>
      <c r="P2284">
        <v>0.6460134398342009</v>
      </c>
      <c r="Q2284">
        <v>1.3000772240873251</v>
      </c>
      <c r="R2284">
        <v>-7.718844765155449</v>
      </c>
      <c r="S2284">
        <v>0.19276583160164251</v>
      </c>
      <c r="T2284">
        <v>0.14953124607976159</v>
      </c>
      <c r="U2284">
        <v>4.492228153022876</v>
      </c>
      <c r="V2284">
        <v>0.2003115712750779</v>
      </c>
      <c r="W2284">
        <v>-1.8786012580065361</v>
      </c>
      <c r="X2284">
        <v>0.3240070134247669</v>
      </c>
      <c r="Z2284" t="s">
        <v>392</v>
      </c>
      <c r="AA2284">
        <v>9400</v>
      </c>
      <c r="AB2284" t="s">
        <v>2675</v>
      </c>
      <c r="AC2284" t="str">
        <f>HYPERLINK("plots/3FT6Y578R01_012_S11P_20251111092011_M5358ACSH101811_RBGEUFRF26/dpll_52046/txpa_55175.png","plot")</f>
        <v>plot</v>
      </c>
    </row>
    <row r="2285" spans="1:29" x14ac:dyDescent="0.35">
      <c r="A2285" s="2" t="s">
        <v>48</v>
      </c>
      <c r="B2285">
        <v>52046</v>
      </c>
      <c r="C2285" t="s">
        <v>51</v>
      </c>
      <c r="D2285">
        <v>55176</v>
      </c>
      <c r="E2285" t="s">
        <v>309</v>
      </c>
      <c r="F2285">
        <v>12240</v>
      </c>
      <c r="G2285">
        <v>0.80780951456309324</v>
      </c>
      <c r="H2285">
        <v>0</v>
      </c>
      <c r="I2285">
        <v>0</v>
      </c>
      <c r="J2285">
        <v>0.6987882683284492</v>
      </c>
      <c r="K2285">
        <v>0</v>
      </c>
      <c r="L2285">
        <v>0</v>
      </c>
      <c r="M2285">
        <v>0.50909991890936224</v>
      </c>
      <c r="N2285">
        <v>0</v>
      </c>
      <c r="O2285">
        <v>0</v>
      </c>
      <c r="P2285">
        <v>0.6525562118186603</v>
      </c>
      <c r="Q2285">
        <v>1.3068072235766479</v>
      </c>
      <c r="R2285">
        <v>-7.7547470488257941</v>
      </c>
      <c r="S2285">
        <v>0.19097846863502271</v>
      </c>
      <c r="T2285">
        <v>0.14843676409714501</v>
      </c>
      <c r="U2285">
        <v>4.4921825285947721</v>
      </c>
      <c r="V2285">
        <v>0.20028909768291919</v>
      </c>
      <c r="W2285">
        <v>-1.884330470833333</v>
      </c>
      <c r="X2285">
        <v>0.32401108793234562</v>
      </c>
      <c r="Z2285" t="s">
        <v>392</v>
      </c>
      <c r="AA2285">
        <v>9400</v>
      </c>
      <c r="AB2285" t="s">
        <v>2676</v>
      </c>
      <c r="AC2285" t="str">
        <f>HYPERLINK("plots/3FT6Y578R01_012_S11P_20251111092011_M5358ACSH101811_RBGEUFRF26/dpll_52046/txpa_55176.png","plot")</f>
        <v>plot</v>
      </c>
    </row>
    <row r="2286" spans="1:29" x14ac:dyDescent="0.35">
      <c r="A2286" s="2" t="s">
        <v>48</v>
      </c>
      <c r="B2286">
        <v>52046</v>
      </c>
      <c r="C2286" t="s">
        <v>51</v>
      </c>
      <c r="D2286">
        <v>55177</v>
      </c>
      <c r="E2286" t="s">
        <v>310</v>
      </c>
      <c r="F2286">
        <v>12242</v>
      </c>
      <c r="G2286">
        <v>0.80610733180725525</v>
      </c>
      <c r="H2286">
        <v>0</v>
      </c>
      <c r="I2286">
        <v>0</v>
      </c>
      <c r="J2286">
        <v>0.69275137254344388</v>
      </c>
      <c r="K2286">
        <v>0</v>
      </c>
      <c r="L2286">
        <v>0</v>
      </c>
      <c r="M2286">
        <v>0.50411587651553247</v>
      </c>
      <c r="N2286">
        <v>0</v>
      </c>
      <c r="O2286">
        <v>0</v>
      </c>
      <c r="P2286">
        <v>0.64980903039341231</v>
      </c>
      <c r="Q2286">
        <v>1.3011865102530089</v>
      </c>
      <c r="R2286">
        <v>-7.7244342702880822</v>
      </c>
      <c r="S2286">
        <v>0.191337946882466</v>
      </c>
      <c r="T2286">
        <v>0.14844157155723511</v>
      </c>
      <c r="U2286">
        <v>4.4922368706093776</v>
      </c>
      <c r="V2286">
        <v>0.20031787099771459</v>
      </c>
      <c r="W2286">
        <v>-1.8791962533899691</v>
      </c>
      <c r="X2286">
        <v>0.32334516908618283</v>
      </c>
      <c r="Z2286" t="s">
        <v>392</v>
      </c>
      <c r="AA2286">
        <v>9400</v>
      </c>
      <c r="AB2286" t="s">
        <v>2677</v>
      </c>
      <c r="AC2286" t="str">
        <f>HYPERLINK("plots/3FT6Y578R01_012_S11P_20251111092011_M5358ACSH101811_RBGEUFRF26/dpll_52046/txpa_55177.png","plot")</f>
        <v>plot</v>
      </c>
    </row>
    <row r="2287" spans="1:29" x14ac:dyDescent="0.35">
      <c r="A2287" s="2" t="s">
        <v>48</v>
      </c>
      <c r="B2287">
        <v>52046</v>
      </c>
      <c r="C2287" t="s">
        <v>51</v>
      </c>
      <c r="D2287">
        <v>55178</v>
      </c>
      <c r="E2287" t="s">
        <v>311</v>
      </c>
      <c r="F2287">
        <v>12239</v>
      </c>
      <c r="G2287">
        <v>0.79896312885517373</v>
      </c>
      <c r="H2287">
        <v>0</v>
      </c>
      <c r="I2287">
        <v>0</v>
      </c>
      <c r="J2287">
        <v>0.68315062403826787</v>
      </c>
      <c r="K2287">
        <v>0</v>
      </c>
      <c r="L2287">
        <v>0</v>
      </c>
      <c r="M2287">
        <v>0.49622523760555243</v>
      </c>
      <c r="N2287">
        <v>0</v>
      </c>
      <c r="O2287">
        <v>0</v>
      </c>
      <c r="P2287">
        <v>0.63834208127004899</v>
      </c>
      <c r="Q2287">
        <v>1.287765205493804</v>
      </c>
      <c r="R2287">
        <v>-7.6861647252760594</v>
      </c>
      <c r="S2287">
        <v>0.1941624365574719</v>
      </c>
      <c r="T2287">
        <v>0.149654036112842</v>
      </c>
      <c r="U2287">
        <v>4.4922816766075657</v>
      </c>
      <c r="V2287">
        <v>0.2003198646137857</v>
      </c>
      <c r="W2287">
        <v>-1.9011606888634689</v>
      </c>
      <c r="X2287">
        <v>0.32287466380144231</v>
      </c>
      <c r="Z2287" t="s">
        <v>392</v>
      </c>
      <c r="AA2287">
        <v>9400</v>
      </c>
      <c r="AB2287" t="s">
        <v>2678</v>
      </c>
      <c r="AC2287" t="str">
        <f>HYPERLINK("plots/3FT6Y578R01_012_S11P_20251111092011_M5358ACSH101811_RBGEUFRF26/dpll_52046/txpa_55178.png","plot")</f>
        <v>plot</v>
      </c>
    </row>
    <row r="2288" spans="1:29" x14ac:dyDescent="0.35">
      <c r="A2288" s="2" t="s">
        <v>48</v>
      </c>
      <c r="B2288">
        <v>52046</v>
      </c>
      <c r="C2288" t="s">
        <v>51</v>
      </c>
      <c r="D2288">
        <v>55179</v>
      </c>
      <c r="E2288" t="s">
        <v>312</v>
      </c>
      <c r="F2288">
        <v>12242</v>
      </c>
      <c r="G2288">
        <v>0.7960387847174627</v>
      </c>
      <c r="H2288">
        <v>0</v>
      </c>
      <c r="I2288">
        <v>0</v>
      </c>
      <c r="J2288">
        <v>0.69891812662838049</v>
      </c>
      <c r="K2288">
        <v>0</v>
      </c>
      <c r="L2288">
        <v>0</v>
      </c>
      <c r="M2288">
        <v>0.506892893111901</v>
      </c>
      <c r="N2288">
        <v>0</v>
      </c>
      <c r="O2288">
        <v>0</v>
      </c>
      <c r="P2288">
        <v>0.63367774677445488</v>
      </c>
      <c r="Q2288">
        <v>1.3924466557683779</v>
      </c>
      <c r="R2288">
        <v>-4.8322710511707996</v>
      </c>
      <c r="S2288">
        <v>0.21207708436566031</v>
      </c>
      <c r="T2288">
        <v>0.15884163710708141</v>
      </c>
      <c r="U2288">
        <v>4.4922327689103092</v>
      </c>
      <c r="V2288">
        <v>0.2003251577115534</v>
      </c>
      <c r="W2288">
        <v>1.422923444831482</v>
      </c>
      <c r="X2288">
        <v>0.35041269505571898</v>
      </c>
      <c r="Z2288" t="s">
        <v>392</v>
      </c>
      <c r="AA2288">
        <v>9400</v>
      </c>
      <c r="AB2288" t="s">
        <v>2679</v>
      </c>
      <c r="AC2288" t="str">
        <f>HYPERLINK("plots/3FT6Y578R01_012_S11P_20251111092011_M5358ACSH101811_RBGEUFRF26/dpll_52046/txpa_55179.png","plot")</f>
        <v>plot</v>
      </c>
    </row>
    <row r="2289" spans="1:29" x14ac:dyDescent="0.35">
      <c r="A2289" s="2" t="s">
        <v>48</v>
      </c>
      <c r="B2289">
        <v>52046</v>
      </c>
      <c r="C2289" t="s">
        <v>51</v>
      </c>
      <c r="D2289">
        <v>55180</v>
      </c>
      <c r="E2289" t="s">
        <v>313</v>
      </c>
      <c r="F2289">
        <v>12242</v>
      </c>
      <c r="G2289">
        <v>0.81268736108771877</v>
      </c>
      <c r="H2289">
        <v>0</v>
      </c>
      <c r="I2289">
        <v>0</v>
      </c>
      <c r="J2289">
        <v>0.71118235013900222</v>
      </c>
      <c r="K2289">
        <v>0</v>
      </c>
      <c r="L2289">
        <v>0</v>
      </c>
      <c r="M2289">
        <v>0.51962864795460351</v>
      </c>
      <c r="N2289">
        <v>0</v>
      </c>
      <c r="O2289">
        <v>0</v>
      </c>
      <c r="P2289">
        <v>0.66046074687172018</v>
      </c>
      <c r="Q2289">
        <v>1.419731377727564</v>
      </c>
      <c r="R2289">
        <v>-4.922349610549464</v>
      </c>
      <c r="S2289">
        <v>0.20392909716687829</v>
      </c>
      <c r="T2289">
        <v>0.15511399297360759</v>
      </c>
      <c r="U2289">
        <v>4.492190922643359</v>
      </c>
      <c r="V2289">
        <v>0.20034073623739329</v>
      </c>
      <c r="W2289">
        <v>1.4553547970702501</v>
      </c>
      <c r="X2289">
        <v>0.3499870221835143</v>
      </c>
      <c r="Z2289" t="s">
        <v>392</v>
      </c>
      <c r="AA2289">
        <v>9400</v>
      </c>
      <c r="AB2289" t="s">
        <v>2680</v>
      </c>
      <c r="AC2289" t="str">
        <f>HYPERLINK("plots/3FT6Y578R01_012_S11P_20251111092011_M5358ACSH101811_RBGEUFRF26/dpll_52046/txpa_55180.png","plot")</f>
        <v>plot</v>
      </c>
    </row>
    <row r="2290" spans="1:29" x14ac:dyDescent="0.35">
      <c r="A2290" s="2" t="s">
        <v>48</v>
      </c>
      <c r="B2290">
        <v>52046</v>
      </c>
      <c r="C2290" t="s">
        <v>51</v>
      </c>
      <c r="D2290">
        <v>55181</v>
      </c>
      <c r="E2290" t="s">
        <v>314</v>
      </c>
      <c r="F2290">
        <v>12243</v>
      </c>
      <c r="G2290">
        <v>0.8103288586398314</v>
      </c>
      <c r="H2290">
        <v>0</v>
      </c>
      <c r="I2290">
        <v>0</v>
      </c>
      <c r="J2290">
        <v>0.70755581199959428</v>
      </c>
      <c r="K2290">
        <v>0</v>
      </c>
      <c r="L2290">
        <v>0</v>
      </c>
      <c r="M2290">
        <v>0.51607846945135094</v>
      </c>
      <c r="N2290">
        <v>0</v>
      </c>
      <c r="O2290">
        <v>0</v>
      </c>
      <c r="P2290">
        <v>0.65663285914453184</v>
      </c>
      <c r="Q2290">
        <v>1.4035813460970961</v>
      </c>
      <c r="R2290">
        <v>-4.8385884297045196</v>
      </c>
      <c r="S2290">
        <v>0.20333119342963721</v>
      </c>
      <c r="T2290">
        <v>0.15403717198678471</v>
      </c>
      <c r="U2290">
        <v>4.492205754635302</v>
      </c>
      <c r="V2290">
        <v>0.20033927554587111</v>
      </c>
      <c r="W2290">
        <v>1.4665877703316179</v>
      </c>
      <c r="X2290">
        <v>0.3470103119846718</v>
      </c>
      <c r="Z2290" t="s">
        <v>392</v>
      </c>
      <c r="AA2290">
        <v>9400</v>
      </c>
      <c r="AB2290" t="s">
        <v>2681</v>
      </c>
      <c r="AC2290" t="str">
        <f>HYPERLINK("plots/3FT6Y578R01_012_S11P_20251111092011_M5358ACSH101811_RBGEUFRF26/dpll_52046/txpa_55181.png","plot")</f>
        <v>plot</v>
      </c>
    </row>
    <row r="2291" spans="1:29" x14ac:dyDescent="0.35">
      <c r="A2291" s="2" t="s">
        <v>48</v>
      </c>
      <c r="B2291">
        <v>52046</v>
      </c>
      <c r="C2291" t="s">
        <v>51</v>
      </c>
      <c r="D2291">
        <v>55182</v>
      </c>
      <c r="E2291" t="s">
        <v>315</v>
      </c>
      <c r="F2291">
        <v>12242</v>
      </c>
      <c r="G2291">
        <v>0.82125186127481309</v>
      </c>
      <c r="H2291">
        <v>0</v>
      </c>
      <c r="I2291">
        <v>0</v>
      </c>
      <c r="J2291">
        <v>0.71423034843559885</v>
      </c>
      <c r="K2291">
        <v>0</v>
      </c>
      <c r="L2291">
        <v>0</v>
      </c>
      <c r="M2291">
        <v>0.52253598540987412</v>
      </c>
      <c r="N2291">
        <v>0</v>
      </c>
      <c r="O2291">
        <v>0</v>
      </c>
      <c r="P2291">
        <v>0.67445461964734488</v>
      </c>
      <c r="Q2291">
        <v>1.4249065959111411</v>
      </c>
      <c r="R2291">
        <v>-4.9120456685617144</v>
      </c>
      <c r="S2291">
        <v>0.19832578930340211</v>
      </c>
      <c r="T2291">
        <v>0.15214522929505739</v>
      </c>
      <c r="U2291">
        <v>4.4922121462179394</v>
      </c>
      <c r="V2291">
        <v>0.20034621017914711</v>
      </c>
      <c r="W2291">
        <v>1.48893704881637</v>
      </c>
      <c r="X2291">
        <v>0.347609119456886</v>
      </c>
      <c r="Z2291" t="s">
        <v>392</v>
      </c>
      <c r="AA2291">
        <v>9400</v>
      </c>
      <c r="AB2291" t="s">
        <v>2682</v>
      </c>
      <c r="AC2291" t="str">
        <f>HYPERLINK("plots/3FT6Y578R01_012_S11P_20251111092011_M5358ACSH101811_RBGEUFRF26/dpll_52046/txpa_55182.png","plot")</f>
        <v>plot</v>
      </c>
    </row>
    <row r="2292" spans="1:29" x14ac:dyDescent="0.35">
      <c r="A2292" s="2" t="s">
        <v>48</v>
      </c>
      <c r="B2292">
        <v>52046</v>
      </c>
      <c r="C2292" t="s">
        <v>51</v>
      </c>
      <c r="D2292">
        <v>55183</v>
      </c>
      <c r="E2292" t="s">
        <v>316</v>
      </c>
      <c r="F2292">
        <v>12240</v>
      </c>
      <c r="G2292">
        <v>0.82138545825830922</v>
      </c>
      <c r="H2292">
        <v>0</v>
      </c>
      <c r="I2292">
        <v>0</v>
      </c>
      <c r="J2292">
        <v>0.71079198203417671</v>
      </c>
      <c r="K2292">
        <v>0</v>
      </c>
      <c r="L2292">
        <v>0</v>
      </c>
      <c r="M2292">
        <v>0.51874665269890152</v>
      </c>
      <c r="N2292">
        <v>0</v>
      </c>
      <c r="O2292">
        <v>0</v>
      </c>
      <c r="P2292">
        <v>0.67467407103821264</v>
      </c>
      <c r="Q2292">
        <v>1.4302329057434</v>
      </c>
      <c r="R2292">
        <v>-4.9591564801066221</v>
      </c>
      <c r="S2292">
        <v>0.19893325617190591</v>
      </c>
      <c r="T2292">
        <v>0.15347062892640359</v>
      </c>
      <c r="U2292">
        <v>4.492228153022876</v>
      </c>
      <c r="V2292">
        <v>0.2003115712750779</v>
      </c>
      <c r="W2292">
        <v>1.465776044453595</v>
      </c>
      <c r="X2292">
        <v>0.34879142034760108</v>
      </c>
      <c r="Z2292" t="s">
        <v>392</v>
      </c>
      <c r="AA2292">
        <v>9400</v>
      </c>
      <c r="AB2292" t="s">
        <v>2683</v>
      </c>
      <c r="AC2292" t="str">
        <f>HYPERLINK("plots/3FT6Y578R01_012_S11P_20251111092011_M5358ACSH101811_RBGEUFRF26/dpll_52046/txpa_55183.png","plot")</f>
        <v>plot</v>
      </c>
    </row>
    <row r="2293" spans="1:29" x14ac:dyDescent="0.35">
      <c r="A2293" s="2" t="s">
        <v>48</v>
      </c>
      <c r="B2293">
        <v>52046</v>
      </c>
      <c r="C2293" t="s">
        <v>51</v>
      </c>
      <c r="D2293">
        <v>55184</v>
      </c>
      <c r="E2293" t="s">
        <v>317</v>
      </c>
      <c r="F2293">
        <v>12240</v>
      </c>
      <c r="G2293">
        <v>0.82441347166690659</v>
      </c>
      <c r="H2293">
        <v>0</v>
      </c>
      <c r="I2293">
        <v>0</v>
      </c>
      <c r="J2293">
        <v>0.71755704799760145</v>
      </c>
      <c r="K2293">
        <v>0</v>
      </c>
      <c r="L2293">
        <v>0</v>
      </c>
      <c r="M2293">
        <v>0.52552886475976157</v>
      </c>
      <c r="N2293">
        <v>0</v>
      </c>
      <c r="O2293">
        <v>0</v>
      </c>
      <c r="P2293">
        <v>0.67965757226588142</v>
      </c>
      <c r="Q2293">
        <v>1.437712813646906</v>
      </c>
      <c r="R2293">
        <v>-4.9944326950606133</v>
      </c>
      <c r="S2293">
        <v>0.19768506656977711</v>
      </c>
      <c r="T2293">
        <v>0.152898139988001</v>
      </c>
      <c r="U2293">
        <v>4.4921825285947721</v>
      </c>
      <c r="V2293">
        <v>0.20028909768291919</v>
      </c>
      <c r="W2293">
        <v>1.46403568754085</v>
      </c>
      <c r="X2293">
        <v>0.34928856947264381</v>
      </c>
      <c r="Z2293" t="s">
        <v>392</v>
      </c>
      <c r="AA2293">
        <v>9400</v>
      </c>
      <c r="AB2293" t="s">
        <v>2684</v>
      </c>
      <c r="AC2293" t="str">
        <f>HYPERLINK("plots/3FT6Y578R01_012_S11P_20251111092011_M5358ACSH101811_RBGEUFRF26/dpll_52046/txpa_55184.png","plot")</f>
        <v>plot</v>
      </c>
    </row>
    <row r="2294" spans="1:29" x14ac:dyDescent="0.35">
      <c r="A2294" s="2" t="s">
        <v>48</v>
      </c>
      <c r="B2294">
        <v>52046</v>
      </c>
      <c r="C2294" t="s">
        <v>51</v>
      </c>
      <c r="D2294">
        <v>55185</v>
      </c>
      <c r="E2294" t="s">
        <v>318</v>
      </c>
      <c r="F2294">
        <v>12242</v>
      </c>
      <c r="G2294">
        <v>0.82299689243485064</v>
      </c>
      <c r="H2294">
        <v>0</v>
      </c>
      <c r="I2294">
        <v>0</v>
      </c>
      <c r="J2294">
        <v>0.71214063868165089</v>
      </c>
      <c r="K2294">
        <v>0</v>
      </c>
      <c r="L2294">
        <v>0</v>
      </c>
      <c r="M2294">
        <v>0.52102613159944666</v>
      </c>
      <c r="N2294">
        <v>0</v>
      </c>
      <c r="O2294">
        <v>0</v>
      </c>
      <c r="P2294">
        <v>0.67732388495742113</v>
      </c>
      <c r="Q2294">
        <v>1.4327298162443789</v>
      </c>
      <c r="R2294">
        <v>-4.9663351884285367</v>
      </c>
      <c r="S2294">
        <v>0.19808494562426401</v>
      </c>
      <c r="T2294">
        <v>0.15280137878391711</v>
      </c>
      <c r="U2294">
        <v>4.4922368706093776</v>
      </c>
      <c r="V2294">
        <v>0.20031787099771459</v>
      </c>
      <c r="W2294">
        <v>1.469826517725862</v>
      </c>
      <c r="X2294">
        <v>0.34872718128487978</v>
      </c>
      <c r="Z2294" t="s">
        <v>392</v>
      </c>
      <c r="AA2294">
        <v>9400</v>
      </c>
      <c r="AB2294" t="s">
        <v>2685</v>
      </c>
      <c r="AC2294" t="str">
        <f>HYPERLINK("plots/3FT6Y578R01_012_S11P_20251111092011_M5358ACSH101811_RBGEUFRF26/dpll_52046/txpa_55185.png","plot")</f>
        <v>plot</v>
      </c>
    </row>
    <row r="2295" spans="1:29" x14ac:dyDescent="0.35">
      <c r="A2295" s="2" t="s">
        <v>48</v>
      </c>
      <c r="B2295">
        <v>52046</v>
      </c>
      <c r="C2295" t="s">
        <v>51</v>
      </c>
      <c r="D2295">
        <v>55186</v>
      </c>
      <c r="E2295" t="s">
        <v>319</v>
      </c>
      <c r="F2295">
        <v>12238</v>
      </c>
      <c r="G2295">
        <v>0.8167673871060509</v>
      </c>
      <c r="H2295">
        <v>0</v>
      </c>
      <c r="I2295">
        <v>0</v>
      </c>
      <c r="J2295">
        <v>0.7033364698127138</v>
      </c>
      <c r="K2295">
        <v>0</v>
      </c>
      <c r="L2295">
        <v>0</v>
      </c>
      <c r="M2295">
        <v>0.51348846202678466</v>
      </c>
      <c r="N2295">
        <v>0</v>
      </c>
      <c r="O2295">
        <v>0</v>
      </c>
      <c r="P2295">
        <v>0.66710896464004565</v>
      </c>
      <c r="Q2295">
        <v>1.4160287242287519</v>
      </c>
      <c r="R2295">
        <v>-4.9088824747039093</v>
      </c>
      <c r="S2295">
        <v>0.20035972086284251</v>
      </c>
      <c r="T2295">
        <v>0.15387062531420939</v>
      </c>
      <c r="U2295">
        <v>4.4923057310017978</v>
      </c>
      <c r="V2295">
        <v>0.20031037208272351</v>
      </c>
      <c r="W2295">
        <v>1.452351478412077</v>
      </c>
      <c r="X2295">
        <v>0.34727787263285581</v>
      </c>
      <c r="Z2295" t="s">
        <v>392</v>
      </c>
      <c r="AA2295">
        <v>9400</v>
      </c>
      <c r="AB2295" t="s">
        <v>2686</v>
      </c>
      <c r="AC2295" t="str">
        <f>HYPERLINK("plots/3FT6Y578R01_012_S11P_20251111092011_M5358ACSH101811_RBGEUFRF26/dpll_52046/txpa_55186.png","plot")</f>
        <v>plot</v>
      </c>
    </row>
    <row r="2296" spans="1:29" x14ac:dyDescent="0.35">
      <c r="A2296" s="2" t="s">
        <v>48</v>
      </c>
      <c r="B2296">
        <v>52046</v>
      </c>
      <c r="C2296" t="s">
        <v>51</v>
      </c>
      <c r="D2296">
        <v>55187</v>
      </c>
      <c r="E2296" t="s">
        <v>320</v>
      </c>
      <c r="F2296">
        <v>12242</v>
      </c>
      <c r="G2296">
        <v>0.807304214150524</v>
      </c>
      <c r="H2296">
        <v>0</v>
      </c>
      <c r="I2296">
        <v>0</v>
      </c>
      <c r="J2296">
        <v>0.70934827231911202</v>
      </c>
      <c r="K2296">
        <v>0</v>
      </c>
      <c r="L2296">
        <v>0</v>
      </c>
      <c r="M2296">
        <v>0.51633767941508224</v>
      </c>
      <c r="N2296">
        <v>0</v>
      </c>
      <c r="O2296">
        <v>0</v>
      </c>
      <c r="P2296">
        <v>0.65174009418519507</v>
      </c>
      <c r="Q2296">
        <v>1.521020796500969</v>
      </c>
      <c r="R2296">
        <v>-3.5412894179197489</v>
      </c>
      <c r="S2296">
        <v>0.22272420959855849</v>
      </c>
      <c r="T2296">
        <v>0.16648731276951489</v>
      </c>
      <c r="U2296">
        <v>4.4922327689103092</v>
      </c>
      <c r="V2296">
        <v>0.2003251577115534</v>
      </c>
      <c r="W2296">
        <v>3.2914900463159609</v>
      </c>
      <c r="X2296">
        <v>0.3774274004778046</v>
      </c>
      <c r="Z2296" t="s">
        <v>392</v>
      </c>
      <c r="AA2296">
        <v>9400</v>
      </c>
      <c r="AB2296" t="s">
        <v>2687</v>
      </c>
      <c r="AC2296" t="str">
        <f>HYPERLINK("plots/3FT6Y578R01_012_S11P_20251111092011_M5358ACSH101811_RBGEUFRF26/dpll_52046/txpa_55187.png","plot")</f>
        <v>plot</v>
      </c>
    </row>
    <row r="2297" spans="1:29" x14ac:dyDescent="0.35">
      <c r="A2297" s="2" t="s">
        <v>48</v>
      </c>
      <c r="B2297">
        <v>52046</v>
      </c>
      <c r="C2297" t="s">
        <v>51</v>
      </c>
      <c r="D2297">
        <v>55188</v>
      </c>
      <c r="E2297" t="s">
        <v>321</v>
      </c>
      <c r="F2297">
        <v>12242</v>
      </c>
      <c r="G2297">
        <v>0.82258973811332992</v>
      </c>
      <c r="H2297">
        <v>0</v>
      </c>
      <c r="I2297">
        <v>0</v>
      </c>
      <c r="J2297">
        <v>0.72070806071101723</v>
      </c>
      <c r="K2297">
        <v>0</v>
      </c>
      <c r="L2297">
        <v>0</v>
      </c>
      <c r="M2297">
        <v>0.52832458444410502</v>
      </c>
      <c r="N2297">
        <v>0</v>
      </c>
      <c r="O2297">
        <v>0</v>
      </c>
      <c r="P2297">
        <v>0.67665387724935666</v>
      </c>
      <c r="Q2297">
        <v>1.549179648221394</v>
      </c>
      <c r="R2297">
        <v>-3.6353022579400789</v>
      </c>
      <c r="S2297">
        <v>0.21453781407986039</v>
      </c>
      <c r="T2297">
        <v>0.1628879419005102</v>
      </c>
      <c r="U2297">
        <v>4.492190922643359</v>
      </c>
      <c r="V2297">
        <v>0.20034073623739329</v>
      </c>
      <c r="W2297">
        <v>3.3239084953438982</v>
      </c>
      <c r="X2297">
        <v>0.37730083042429191</v>
      </c>
      <c r="Z2297" t="s">
        <v>392</v>
      </c>
      <c r="AA2297">
        <v>9400</v>
      </c>
      <c r="AB2297" t="s">
        <v>2688</v>
      </c>
      <c r="AC2297" t="str">
        <f>HYPERLINK("plots/3FT6Y578R01_012_S11P_20251111092011_M5358ACSH101811_RBGEUFRF26/dpll_52046/txpa_55188.png","plot")</f>
        <v>plot</v>
      </c>
    </row>
    <row r="2298" spans="1:29" x14ac:dyDescent="0.35">
      <c r="A2298" s="2" t="s">
        <v>48</v>
      </c>
      <c r="B2298">
        <v>52046</v>
      </c>
      <c r="C2298" t="s">
        <v>51</v>
      </c>
      <c r="D2298">
        <v>55189</v>
      </c>
      <c r="E2298" t="s">
        <v>322</v>
      </c>
      <c r="F2298">
        <v>12243</v>
      </c>
      <c r="G2298">
        <v>0.82055617902399658</v>
      </c>
      <c r="H2298">
        <v>0</v>
      </c>
      <c r="I2298">
        <v>0</v>
      </c>
      <c r="J2298">
        <v>0.71734181552199328</v>
      </c>
      <c r="K2298">
        <v>0</v>
      </c>
      <c r="L2298">
        <v>0</v>
      </c>
      <c r="M2298">
        <v>0.52486258755917659</v>
      </c>
      <c r="N2298">
        <v>0</v>
      </c>
      <c r="O2298">
        <v>0</v>
      </c>
      <c r="P2298">
        <v>0.67331244293446113</v>
      </c>
      <c r="Q2298">
        <v>1.532774795349831</v>
      </c>
      <c r="R2298">
        <v>-3.5506321432271122</v>
      </c>
      <c r="S2298">
        <v>0.21388714752533949</v>
      </c>
      <c r="T2298">
        <v>0.16169653394109601</v>
      </c>
      <c r="U2298">
        <v>4.492205754635302</v>
      </c>
      <c r="V2298">
        <v>0.20033927554587111</v>
      </c>
      <c r="W2298">
        <v>3.3349076130033479</v>
      </c>
      <c r="X2298">
        <v>0.37422787119902479</v>
      </c>
      <c r="Z2298" t="s">
        <v>392</v>
      </c>
      <c r="AA2298">
        <v>9400</v>
      </c>
      <c r="AB2298" t="s">
        <v>2689</v>
      </c>
      <c r="AC2298" t="str">
        <f>HYPERLINK("plots/3FT6Y578R01_012_S11P_20251111092011_M5358ACSH101811_RBGEUFRF26/dpll_52046/txpa_55189.png","plot")</f>
        <v>plot</v>
      </c>
    </row>
    <row r="2299" spans="1:29" x14ac:dyDescent="0.35">
      <c r="A2299" s="2" t="s">
        <v>48</v>
      </c>
      <c r="B2299">
        <v>52046</v>
      </c>
      <c r="C2299" t="s">
        <v>51</v>
      </c>
      <c r="D2299">
        <v>55190</v>
      </c>
      <c r="E2299" t="s">
        <v>323</v>
      </c>
      <c r="F2299">
        <v>12242</v>
      </c>
      <c r="G2299">
        <v>0.83050742683830081</v>
      </c>
      <c r="H2299">
        <v>0</v>
      </c>
      <c r="I2299">
        <v>0</v>
      </c>
      <c r="J2299">
        <v>0.72344927769079459</v>
      </c>
      <c r="K2299">
        <v>0</v>
      </c>
      <c r="L2299">
        <v>0</v>
      </c>
      <c r="M2299">
        <v>0.53091806410078513</v>
      </c>
      <c r="N2299">
        <v>0</v>
      </c>
      <c r="O2299">
        <v>0</v>
      </c>
      <c r="P2299">
        <v>0.68974258603357552</v>
      </c>
      <c r="Q2299">
        <v>1.553223424743609</v>
      </c>
      <c r="R2299">
        <v>-3.6229038117637682</v>
      </c>
      <c r="S2299">
        <v>0.20869636670140149</v>
      </c>
      <c r="T2299">
        <v>0.1597767513721236</v>
      </c>
      <c r="U2299">
        <v>4.4922121462179394</v>
      </c>
      <c r="V2299">
        <v>0.20034621017914711</v>
      </c>
      <c r="W2299">
        <v>3.3545053226596959</v>
      </c>
      <c r="X2299">
        <v>0.3746895170986167</v>
      </c>
      <c r="Z2299" t="s">
        <v>392</v>
      </c>
      <c r="AA2299">
        <v>9400</v>
      </c>
      <c r="AB2299" t="s">
        <v>2690</v>
      </c>
      <c r="AC2299" t="str">
        <f>HYPERLINK("plots/3FT6Y578R01_012_S11P_20251111092011_M5358ACSH101811_RBGEUFRF26/dpll_52046/txpa_55190.png","plot")</f>
        <v>plot</v>
      </c>
    </row>
    <row r="2300" spans="1:29" x14ac:dyDescent="0.35">
      <c r="A2300" s="2" t="s">
        <v>48</v>
      </c>
      <c r="B2300">
        <v>52046</v>
      </c>
      <c r="C2300" t="s">
        <v>51</v>
      </c>
      <c r="D2300">
        <v>55191</v>
      </c>
      <c r="E2300" t="s">
        <v>324</v>
      </c>
      <c r="F2300">
        <v>12240</v>
      </c>
      <c r="G2300">
        <v>0.83103395493787002</v>
      </c>
      <c r="H2300">
        <v>0</v>
      </c>
      <c r="I2300">
        <v>0</v>
      </c>
      <c r="J2300">
        <v>0.72044160015296832</v>
      </c>
      <c r="K2300">
        <v>0</v>
      </c>
      <c r="L2300">
        <v>0</v>
      </c>
      <c r="M2300">
        <v>0.52745595918234667</v>
      </c>
      <c r="N2300">
        <v>0</v>
      </c>
      <c r="O2300">
        <v>0</v>
      </c>
      <c r="P2300">
        <v>0.69061743425967781</v>
      </c>
      <c r="Q2300">
        <v>1.5588965333655249</v>
      </c>
      <c r="R2300">
        <v>-3.6727286674650959</v>
      </c>
      <c r="S2300">
        <v>0.2089944421554274</v>
      </c>
      <c r="T2300">
        <v>0.1610341980863951</v>
      </c>
      <c r="U2300">
        <v>4.492228153022876</v>
      </c>
      <c r="V2300">
        <v>0.2003115712750779</v>
      </c>
      <c r="W2300">
        <v>3.3301902273692812</v>
      </c>
      <c r="X2300">
        <v>0.37575481988225862</v>
      </c>
      <c r="Z2300" t="s">
        <v>392</v>
      </c>
      <c r="AA2300">
        <v>9400</v>
      </c>
      <c r="AB2300" t="s">
        <v>2691</v>
      </c>
      <c r="AC2300" t="str">
        <f>HYPERLINK("plots/3FT6Y578R01_012_S11P_20251111092011_M5358ACSH101811_RBGEUFRF26/dpll_52046/txpa_55191.png","plot")</f>
        <v>plot</v>
      </c>
    </row>
    <row r="2301" spans="1:29" x14ac:dyDescent="0.35">
      <c r="A2301" s="2" t="s">
        <v>48</v>
      </c>
      <c r="B2301">
        <v>52046</v>
      </c>
      <c r="C2301" t="s">
        <v>51</v>
      </c>
      <c r="D2301">
        <v>55192</v>
      </c>
      <c r="E2301" t="s">
        <v>325</v>
      </c>
      <c r="F2301">
        <v>12240</v>
      </c>
      <c r="G2301">
        <v>0.83356367969927547</v>
      </c>
      <c r="H2301">
        <v>0</v>
      </c>
      <c r="I2301">
        <v>0</v>
      </c>
      <c r="J2301">
        <v>0.72618567199815021</v>
      </c>
      <c r="K2301">
        <v>0</v>
      </c>
      <c r="L2301">
        <v>0</v>
      </c>
      <c r="M2301">
        <v>0.53353299054863723</v>
      </c>
      <c r="N2301">
        <v>0</v>
      </c>
      <c r="O2301">
        <v>0</v>
      </c>
      <c r="P2301">
        <v>0.69482840811379631</v>
      </c>
      <c r="Q2301">
        <v>1.5670321386454751</v>
      </c>
      <c r="R2301">
        <v>-3.7079169947246058</v>
      </c>
      <c r="S2301">
        <v>0.2079939681444064</v>
      </c>
      <c r="T2301">
        <v>0.16054135004402439</v>
      </c>
      <c r="U2301">
        <v>4.4921825285947721</v>
      </c>
      <c r="V2301">
        <v>0.20028909768291919</v>
      </c>
      <c r="W2301">
        <v>3.331477400245098</v>
      </c>
      <c r="X2301">
        <v>0.37652726568253098</v>
      </c>
      <c r="Z2301" t="s">
        <v>392</v>
      </c>
      <c r="AA2301">
        <v>9400</v>
      </c>
      <c r="AB2301" t="s">
        <v>2692</v>
      </c>
      <c r="AC2301" t="str">
        <f>HYPERLINK("plots/3FT6Y578R01_012_S11P_20251111092011_M5358ACSH101811_RBGEUFRF26/dpll_52046/txpa_55192.png","plot")</f>
        <v>plot</v>
      </c>
    </row>
    <row r="2302" spans="1:29" x14ac:dyDescent="0.35">
      <c r="A2302" s="2" t="s">
        <v>48</v>
      </c>
      <c r="B2302">
        <v>52046</v>
      </c>
      <c r="C2302" t="s">
        <v>51</v>
      </c>
      <c r="D2302">
        <v>55193</v>
      </c>
      <c r="E2302" t="s">
        <v>326</v>
      </c>
      <c r="F2302">
        <v>12242</v>
      </c>
      <c r="G2302">
        <v>0.83238977975028727</v>
      </c>
      <c r="H2302">
        <v>0</v>
      </c>
      <c r="I2302">
        <v>0</v>
      </c>
      <c r="J2302">
        <v>0.72121963460019789</v>
      </c>
      <c r="K2302">
        <v>0</v>
      </c>
      <c r="L2302">
        <v>0</v>
      </c>
      <c r="M2302">
        <v>0.52936189581662252</v>
      </c>
      <c r="N2302">
        <v>0</v>
      </c>
      <c r="O2302">
        <v>0</v>
      </c>
      <c r="P2302">
        <v>0.69287274543273181</v>
      </c>
      <c r="Q2302">
        <v>1.5624485968357109</v>
      </c>
      <c r="R2302">
        <v>-3.68202676979827</v>
      </c>
      <c r="S2302">
        <v>0.20837237180696941</v>
      </c>
      <c r="T2302">
        <v>0.16045605725883211</v>
      </c>
      <c r="U2302">
        <v>4.4922368706093776</v>
      </c>
      <c r="V2302">
        <v>0.20031787099771459</v>
      </c>
      <c r="W2302">
        <v>3.336862425338996</v>
      </c>
      <c r="X2302">
        <v>0.37600939376669218</v>
      </c>
      <c r="Z2302" t="s">
        <v>392</v>
      </c>
      <c r="AA2302">
        <v>9400</v>
      </c>
      <c r="AB2302" t="s">
        <v>2693</v>
      </c>
      <c r="AC2302" t="str">
        <f>HYPERLINK("plots/3FT6Y578R01_012_S11P_20251111092011_M5358ACSH101811_RBGEUFRF26/dpll_52046/txpa_55193.png","plot")</f>
        <v>plot</v>
      </c>
    </row>
    <row r="2303" spans="1:29" x14ac:dyDescent="0.35">
      <c r="A2303" s="2" t="s">
        <v>48</v>
      </c>
      <c r="B2303">
        <v>52046</v>
      </c>
      <c r="C2303" t="s">
        <v>51</v>
      </c>
      <c r="D2303">
        <v>55194</v>
      </c>
      <c r="E2303" t="s">
        <v>327</v>
      </c>
      <c r="F2303">
        <v>12238</v>
      </c>
      <c r="G2303">
        <v>0.82684133722592457</v>
      </c>
      <c r="H2303">
        <v>0</v>
      </c>
      <c r="I2303">
        <v>0</v>
      </c>
      <c r="J2303">
        <v>0.71310608365963168</v>
      </c>
      <c r="K2303">
        <v>0</v>
      </c>
      <c r="L2303">
        <v>0</v>
      </c>
      <c r="M2303">
        <v>0.52227394334988586</v>
      </c>
      <c r="N2303">
        <v>0</v>
      </c>
      <c r="O2303">
        <v>0</v>
      </c>
      <c r="P2303">
        <v>0.68366659694555509</v>
      </c>
      <c r="Q2303">
        <v>1.544780138530089</v>
      </c>
      <c r="R2303">
        <v>-3.618852611767303</v>
      </c>
      <c r="S2303">
        <v>0.21047606529130969</v>
      </c>
      <c r="T2303">
        <v>0.16130777798098669</v>
      </c>
      <c r="U2303">
        <v>4.4923057310017978</v>
      </c>
      <c r="V2303">
        <v>0.20031037208272351</v>
      </c>
      <c r="W2303">
        <v>3.3207720576891648</v>
      </c>
      <c r="X2303">
        <v>0.37423804350799372</v>
      </c>
      <c r="Z2303" t="s">
        <v>392</v>
      </c>
      <c r="AA2303">
        <v>9400</v>
      </c>
      <c r="AB2303" t="s">
        <v>2694</v>
      </c>
      <c r="AC2303" t="str">
        <f>HYPERLINK("plots/3FT6Y578R01_012_S11P_20251111092011_M5358ACSH101811_RBGEUFRF26/dpll_52046/txpa_55194.png","plot")</f>
        <v>plot</v>
      </c>
    </row>
    <row r="2304" spans="1:29" x14ac:dyDescent="0.35">
      <c r="A2304" s="2" t="s">
        <v>48</v>
      </c>
      <c r="B2304">
        <v>52046</v>
      </c>
      <c r="C2304" t="s">
        <v>51</v>
      </c>
      <c r="D2304">
        <v>55195</v>
      </c>
      <c r="E2304" t="s">
        <v>328</v>
      </c>
      <c r="F2304">
        <v>12241</v>
      </c>
      <c r="G2304">
        <v>0.81908371902672894</v>
      </c>
      <c r="H2304">
        <v>0</v>
      </c>
      <c r="I2304">
        <v>0</v>
      </c>
      <c r="J2304">
        <v>0.71860257984211595</v>
      </c>
      <c r="K2304">
        <v>0</v>
      </c>
      <c r="L2304">
        <v>0</v>
      </c>
      <c r="M2304">
        <v>0.52523345690725631</v>
      </c>
      <c r="N2304">
        <v>0</v>
      </c>
      <c r="O2304">
        <v>0</v>
      </c>
      <c r="P2304">
        <v>0.67089813877465743</v>
      </c>
      <c r="Q2304">
        <v>1.7126465417868799</v>
      </c>
      <c r="R2304">
        <v>-2.1674023709608869</v>
      </c>
      <c r="S2304">
        <v>0.24027400265876089</v>
      </c>
      <c r="T2304">
        <v>0.17944419178980969</v>
      </c>
      <c r="U2304">
        <v>4.4922551983498087</v>
      </c>
      <c r="V2304">
        <v>0.20031796777918809</v>
      </c>
      <c r="W2304">
        <v>5.5262429593170488</v>
      </c>
      <c r="X2304">
        <v>0.41885080463137231</v>
      </c>
      <c r="Z2304" t="s">
        <v>392</v>
      </c>
      <c r="AA2304">
        <v>9400</v>
      </c>
      <c r="AB2304" t="s">
        <v>2695</v>
      </c>
      <c r="AC2304" t="str">
        <f>HYPERLINK("plots/3FT6Y578R01_012_S11P_20251111092011_M5358ACSH101811_RBGEUFRF26/dpll_52046/txpa_55195.png","plot")</f>
        <v>plot</v>
      </c>
    </row>
    <row r="2305" spans="1:29" x14ac:dyDescent="0.35">
      <c r="A2305" s="2" t="s">
        <v>48</v>
      </c>
      <c r="B2305">
        <v>52046</v>
      </c>
      <c r="C2305" t="s">
        <v>51</v>
      </c>
      <c r="D2305">
        <v>55196</v>
      </c>
      <c r="E2305" t="s">
        <v>329</v>
      </c>
      <c r="F2305">
        <v>12239</v>
      </c>
      <c r="G2305">
        <v>0.83273297579102845</v>
      </c>
      <c r="H2305">
        <v>0</v>
      </c>
      <c r="I2305">
        <v>0</v>
      </c>
      <c r="J2305">
        <v>0.72811430672566346</v>
      </c>
      <c r="K2305">
        <v>0</v>
      </c>
      <c r="L2305">
        <v>0</v>
      </c>
      <c r="M2305">
        <v>0.53556452045882652</v>
      </c>
      <c r="N2305">
        <v>0</v>
      </c>
      <c r="O2305">
        <v>0</v>
      </c>
      <c r="P2305">
        <v>0.69344420896978154</v>
      </c>
      <c r="Q2305">
        <v>1.7383930082097561</v>
      </c>
      <c r="R2305">
        <v>-2.2495876084735902</v>
      </c>
      <c r="S2305">
        <v>0.23150954178913799</v>
      </c>
      <c r="T2305">
        <v>0.1758283625192999</v>
      </c>
      <c r="U2305">
        <v>4.492268155159735</v>
      </c>
      <c r="V2305">
        <v>0.20030402315410911</v>
      </c>
      <c r="W2305">
        <v>5.5597399434594319</v>
      </c>
      <c r="X2305">
        <v>0.41814978329232122</v>
      </c>
      <c r="Z2305" t="s">
        <v>392</v>
      </c>
      <c r="AA2305">
        <v>9400</v>
      </c>
      <c r="AB2305" t="s">
        <v>2696</v>
      </c>
      <c r="AC2305" t="str">
        <f>HYPERLINK("plots/3FT6Y578R01_012_S11P_20251111092011_M5358ACSH101811_RBGEUFRF26/dpll_52046/txpa_55196.png","plot")</f>
        <v>plot</v>
      </c>
    </row>
    <row r="2306" spans="1:29" x14ac:dyDescent="0.35">
      <c r="A2306" s="2" t="s">
        <v>48</v>
      </c>
      <c r="B2306">
        <v>52046</v>
      </c>
      <c r="C2306" t="s">
        <v>51</v>
      </c>
      <c r="D2306">
        <v>55197</v>
      </c>
      <c r="E2306" t="s">
        <v>330</v>
      </c>
      <c r="F2306">
        <v>12241</v>
      </c>
      <c r="G2306">
        <v>0.83094279400338067</v>
      </c>
      <c r="H2306">
        <v>0</v>
      </c>
      <c r="I2306">
        <v>0</v>
      </c>
      <c r="J2306">
        <v>0.724830294709635</v>
      </c>
      <c r="K2306">
        <v>0</v>
      </c>
      <c r="L2306">
        <v>0</v>
      </c>
      <c r="M2306">
        <v>0.53209000790244354</v>
      </c>
      <c r="N2306">
        <v>0</v>
      </c>
      <c r="O2306">
        <v>0</v>
      </c>
      <c r="P2306">
        <v>0.69046592690614472</v>
      </c>
      <c r="Q2306">
        <v>1.7214365969838059</v>
      </c>
      <c r="R2306">
        <v>-2.162453061760147</v>
      </c>
      <c r="S2306">
        <v>0.23087467789593399</v>
      </c>
      <c r="T2306">
        <v>0.17464907991485051</v>
      </c>
      <c r="U2306">
        <v>4.4922551983498087</v>
      </c>
      <c r="V2306">
        <v>0.20031796777918809</v>
      </c>
      <c r="W2306">
        <v>5.570679439669961</v>
      </c>
      <c r="X2306">
        <v>0.41499208279687477</v>
      </c>
      <c r="Z2306" t="s">
        <v>392</v>
      </c>
      <c r="AA2306">
        <v>9400</v>
      </c>
      <c r="AB2306" t="s">
        <v>2697</v>
      </c>
      <c r="AC2306" t="str">
        <f>HYPERLINK("plots/3FT6Y578R01_012_S11P_20251111092011_M5358ACSH101811_RBGEUFRF26/dpll_52046/txpa_55197.png","plot")</f>
        <v>plot</v>
      </c>
    </row>
    <row r="2307" spans="1:29" x14ac:dyDescent="0.35">
      <c r="A2307" s="2" t="s">
        <v>48</v>
      </c>
      <c r="B2307">
        <v>52046</v>
      </c>
      <c r="C2307" t="s">
        <v>51</v>
      </c>
      <c r="D2307">
        <v>55198</v>
      </c>
      <c r="E2307" t="s">
        <v>331</v>
      </c>
      <c r="F2307">
        <v>12242</v>
      </c>
      <c r="G2307">
        <v>0.83973229578025099</v>
      </c>
      <c r="H2307">
        <v>0</v>
      </c>
      <c r="I2307">
        <v>0</v>
      </c>
      <c r="J2307">
        <v>0.73092900927787596</v>
      </c>
      <c r="K2307">
        <v>0</v>
      </c>
      <c r="L2307">
        <v>0</v>
      </c>
      <c r="M2307">
        <v>0.53831069049114033</v>
      </c>
      <c r="N2307">
        <v>0</v>
      </c>
      <c r="O2307">
        <v>0</v>
      </c>
      <c r="P2307">
        <v>0.70515032857637094</v>
      </c>
      <c r="Q2307">
        <v>1.744643067887087</v>
      </c>
      <c r="R2307">
        <v>-2.2503947349598832</v>
      </c>
      <c r="S2307">
        <v>0.22601093392949459</v>
      </c>
      <c r="T2307">
        <v>0.17276445524569631</v>
      </c>
      <c r="U2307">
        <v>4.4922121462179394</v>
      </c>
      <c r="V2307">
        <v>0.20034621017914711</v>
      </c>
      <c r="W2307">
        <v>5.5869120454174146</v>
      </c>
      <c r="X2307">
        <v>0.41624292470700353</v>
      </c>
      <c r="Z2307" t="s">
        <v>392</v>
      </c>
      <c r="AA2307">
        <v>9400</v>
      </c>
      <c r="AB2307" t="s">
        <v>2698</v>
      </c>
      <c r="AC2307" t="str">
        <f>HYPERLINK("plots/3FT6Y578R01_012_S11P_20251111092011_M5358ACSH101811_RBGEUFRF26/dpll_52046/txpa_55198.png","plot")</f>
        <v>plot</v>
      </c>
    </row>
    <row r="2308" spans="1:29" x14ac:dyDescent="0.35">
      <c r="A2308" s="2" t="s">
        <v>48</v>
      </c>
      <c r="B2308">
        <v>52046</v>
      </c>
      <c r="C2308" t="s">
        <v>51</v>
      </c>
      <c r="D2308">
        <v>55199</v>
      </c>
      <c r="E2308" t="s">
        <v>332</v>
      </c>
      <c r="F2308">
        <v>12240</v>
      </c>
      <c r="G2308">
        <v>0.84050440123279213</v>
      </c>
      <c r="H2308">
        <v>0</v>
      </c>
      <c r="I2308">
        <v>0</v>
      </c>
      <c r="J2308">
        <v>0.72837766383369662</v>
      </c>
      <c r="K2308">
        <v>0</v>
      </c>
      <c r="L2308">
        <v>0</v>
      </c>
      <c r="M2308">
        <v>0.5353879160403614</v>
      </c>
      <c r="N2308">
        <v>0</v>
      </c>
      <c r="O2308">
        <v>0</v>
      </c>
      <c r="P2308">
        <v>0.70644764849169439</v>
      </c>
      <c r="Q2308">
        <v>1.7504508872083471</v>
      </c>
      <c r="R2308">
        <v>-2.3021165140894411</v>
      </c>
      <c r="S2308">
        <v>0.2260169532203776</v>
      </c>
      <c r="T2308">
        <v>0.17380369418095329</v>
      </c>
      <c r="U2308">
        <v>4.492228153022876</v>
      </c>
      <c r="V2308">
        <v>0.2003115712750779</v>
      </c>
      <c r="W2308">
        <v>5.5613082419117648</v>
      </c>
      <c r="X2308">
        <v>0.41717279188814582</v>
      </c>
      <c r="Z2308" t="s">
        <v>392</v>
      </c>
      <c r="AA2308">
        <v>9400</v>
      </c>
      <c r="AB2308" t="s">
        <v>2699</v>
      </c>
      <c r="AC2308" t="str">
        <f>HYPERLINK("plots/3FT6Y578R01_012_S11P_20251111092011_M5358ACSH101811_RBGEUFRF26/dpll_52046/txpa_55199.png","plot")</f>
        <v>plot</v>
      </c>
    </row>
    <row r="2309" spans="1:29" x14ac:dyDescent="0.35">
      <c r="A2309" s="2" t="s">
        <v>48</v>
      </c>
      <c r="B2309">
        <v>52046</v>
      </c>
      <c r="C2309" t="s">
        <v>51</v>
      </c>
      <c r="D2309">
        <v>55200</v>
      </c>
      <c r="E2309" t="s">
        <v>333</v>
      </c>
      <c r="F2309">
        <v>12240</v>
      </c>
      <c r="G2309">
        <v>0.84243300230323181</v>
      </c>
      <c r="H2309">
        <v>0</v>
      </c>
      <c r="I2309">
        <v>0</v>
      </c>
      <c r="J2309">
        <v>0.73273865282748374</v>
      </c>
      <c r="K2309">
        <v>0</v>
      </c>
      <c r="L2309">
        <v>0</v>
      </c>
      <c r="M2309">
        <v>0.54027084877346521</v>
      </c>
      <c r="N2309">
        <v>0</v>
      </c>
      <c r="O2309">
        <v>0</v>
      </c>
      <c r="P2309">
        <v>0.70969336336963695</v>
      </c>
      <c r="Q2309">
        <v>1.758034776957117</v>
      </c>
      <c r="R2309">
        <v>-2.3315255063590952</v>
      </c>
      <c r="S2309">
        <v>0.22519572434057311</v>
      </c>
      <c r="T2309">
        <v>0.1733776730242243</v>
      </c>
      <c r="U2309">
        <v>4.4921825285947721</v>
      </c>
      <c r="V2309">
        <v>0.20028909768291919</v>
      </c>
      <c r="W2309">
        <v>5.5658876033496734</v>
      </c>
      <c r="X2309">
        <v>0.41797412756770203</v>
      </c>
      <c r="Z2309" t="s">
        <v>392</v>
      </c>
      <c r="AA2309">
        <v>9400</v>
      </c>
      <c r="AB2309" t="s">
        <v>2700</v>
      </c>
      <c r="AC2309" t="str">
        <f>HYPERLINK("plots/3FT6Y578R01_012_S11P_20251111092011_M5358ACSH101811_RBGEUFRF26/dpll_52046/txpa_55200.png","plot")</f>
        <v>plot</v>
      </c>
    </row>
    <row r="2310" spans="1:29" x14ac:dyDescent="0.35">
      <c r="A2310" s="2" t="s">
        <v>48</v>
      </c>
      <c r="B2310">
        <v>52046</v>
      </c>
      <c r="C2310" t="s">
        <v>51</v>
      </c>
      <c r="D2310">
        <v>55201</v>
      </c>
      <c r="E2310" t="s">
        <v>334</v>
      </c>
      <c r="F2310">
        <v>12242</v>
      </c>
      <c r="G2310">
        <v>0.84146372795143343</v>
      </c>
      <c r="H2310">
        <v>0</v>
      </c>
      <c r="I2310">
        <v>0</v>
      </c>
      <c r="J2310">
        <v>0.72850236302986449</v>
      </c>
      <c r="K2310">
        <v>0</v>
      </c>
      <c r="L2310">
        <v>0</v>
      </c>
      <c r="M2310">
        <v>0.5366451675171674</v>
      </c>
      <c r="N2310">
        <v>0</v>
      </c>
      <c r="O2310">
        <v>0</v>
      </c>
      <c r="P2310">
        <v>0.70806120545792395</v>
      </c>
      <c r="Q2310">
        <v>1.754404339136086</v>
      </c>
      <c r="R2310">
        <v>-2.3101426640565812</v>
      </c>
      <c r="S2310">
        <v>0.22565354215164071</v>
      </c>
      <c r="T2310">
        <v>0.17321351661717529</v>
      </c>
      <c r="U2310">
        <v>4.4922368706093776</v>
      </c>
      <c r="V2310">
        <v>0.20031787099771459</v>
      </c>
      <c r="W2310">
        <v>5.5710571941676204</v>
      </c>
      <c r="X2310">
        <v>0.4176514452268546</v>
      </c>
      <c r="Z2310" t="s">
        <v>392</v>
      </c>
      <c r="AA2310">
        <v>9400</v>
      </c>
      <c r="AB2310" t="s">
        <v>2701</v>
      </c>
      <c r="AC2310" t="str">
        <f>HYPERLINK("plots/3FT6Y578R01_012_S11P_20251111092011_M5358ACSH101811_RBGEUFRF26/dpll_52046/txpa_55201.png","plot")</f>
        <v>plot</v>
      </c>
    </row>
    <row r="2311" spans="1:29" x14ac:dyDescent="0.35">
      <c r="A2311" s="2" t="s">
        <v>48</v>
      </c>
      <c r="B2311">
        <v>52046</v>
      </c>
      <c r="C2311" t="s">
        <v>51</v>
      </c>
      <c r="D2311">
        <v>55202</v>
      </c>
      <c r="E2311" t="s">
        <v>335</v>
      </c>
      <c r="F2311">
        <v>12237</v>
      </c>
      <c r="G2311">
        <v>0.83678106781824757</v>
      </c>
      <c r="H2311">
        <v>0</v>
      </c>
      <c r="I2311">
        <v>0</v>
      </c>
      <c r="J2311">
        <v>0.72104910372255104</v>
      </c>
      <c r="K2311">
        <v>0</v>
      </c>
      <c r="L2311">
        <v>0</v>
      </c>
      <c r="M2311">
        <v>0.53002715275905088</v>
      </c>
      <c r="N2311">
        <v>0</v>
      </c>
      <c r="O2311">
        <v>0</v>
      </c>
      <c r="P2311">
        <v>0.70020255545904664</v>
      </c>
      <c r="Q2311">
        <v>1.7355942021008191</v>
      </c>
      <c r="R2311">
        <v>-2.240585155901619</v>
      </c>
      <c r="S2311">
        <v>0.22747112511298351</v>
      </c>
      <c r="T2311">
        <v>0.1741437490298047</v>
      </c>
      <c r="U2311">
        <v>4.4923260961837048</v>
      </c>
      <c r="V2311">
        <v>0.20030588695659429</v>
      </c>
      <c r="W2311">
        <v>5.5562699705810257</v>
      </c>
      <c r="X2311">
        <v>0.41546080500477861</v>
      </c>
      <c r="Z2311" t="s">
        <v>392</v>
      </c>
      <c r="AA2311">
        <v>9400</v>
      </c>
      <c r="AB2311" t="s">
        <v>2702</v>
      </c>
      <c r="AC2311" t="str">
        <f>HYPERLINK("plots/3FT6Y578R01_012_S11P_20251111092011_M5358ACSH101811_RBGEUFRF26/dpll_52046/txpa_55202.png","plot")</f>
        <v>plot</v>
      </c>
    </row>
    <row r="2312" spans="1:29" x14ac:dyDescent="0.35">
      <c r="A2312" s="2" t="s">
        <v>48</v>
      </c>
      <c r="B2312">
        <v>52046</v>
      </c>
      <c r="C2312" t="s">
        <v>51</v>
      </c>
      <c r="D2312">
        <v>55203</v>
      </c>
      <c r="E2312" t="s">
        <v>336</v>
      </c>
      <c r="F2312">
        <v>12241</v>
      </c>
      <c r="G2312">
        <v>0.82241107565713178</v>
      </c>
      <c r="H2312">
        <v>0</v>
      </c>
      <c r="I2312">
        <v>0</v>
      </c>
      <c r="J2312">
        <v>0.72063606472113118</v>
      </c>
      <c r="K2312">
        <v>0</v>
      </c>
      <c r="L2312">
        <v>0</v>
      </c>
      <c r="M2312">
        <v>0.52734531218189662</v>
      </c>
      <c r="N2312">
        <v>0</v>
      </c>
      <c r="O2312">
        <v>0</v>
      </c>
      <c r="P2312">
        <v>0.67635997736352049</v>
      </c>
      <c r="Q2312">
        <v>1.8010520555987699</v>
      </c>
      <c r="R2312">
        <v>-1.57954585661534</v>
      </c>
      <c r="S2312">
        <v>0.24955748022458241</v>
      </c>
      <c r="T2312">
        <v>0.1862399051375484</v>
      </c>
      <c r="U2312">
        <v>4.4922551983498087</v>
      </c>
      <c r="V2312">
        <v>0.20031796777918809</v>
      </c>
      <c r="W2312">
        <v>6.5112396026468424</v>
      </c>
      <c r="X2312">
        <v>0.43868948062718888</v>
      </c>
      <c r="Z2312" t="s">
        <v>392</v>
      </c>
      <c r="AA2312">
        <v>9400</v>
      </c>
      <c r="AB2312" t="s">
        <v>2703</v>
      </c>
      <c r="AC2312" t="str">
        <f>HYPERLINK("plots/3FT6Y578R01_012_S11P_20251111092011_M5358ACSH101811_RBGEUFRF26/dpll_52046/txpa_55203.png","plot")</f>
        <v>plot</v>
      </c>
    </row>
    <row r="2313" spans="1:29" x14ac:dyDescent="0.35">
      <c r="A2313" s="2" t="s">
        <v>48</v>
      </c>
      <c r="B2313">
        <v>52046</v>
      </c>
      <c r="C2313" t="s">
        <v>51</v>
      </c>
      <c r="D2313">
        <v>55204</v>
      </c>
      <c r="E2313" t="s">
        <v>337</v>
      </c>
      <c r="F2313">
        <v>12239</v>
      </c>
      <c r="G2313">
        <v>0.8355505965097243</v>
      </c>
      <c r="H2313">
        <v>0</v>
      </c>
      <c r="I2313">
        <v>0</v>
      </c>
      <c r="J2313">
        <v>0.72994322781037713</v>
      </c>
      <c r="K2313">
        <v>0</v>
      </c>
      <c r="L2313">
        <v>0</v>
      </c>
      <c r="M2313">
        <v>0.5374795387805823</v>
      </c>
      <c r="N2313">
        <v>0</v>
      </c>
      <c r="O2313">
        <v>0</v>
      </c>
      <c r="P2313">
        <v>0.69814479932775608</v>
      </c>
      <c r="Q2313">
        <v>1.826577287294286</v>
      </c>
      <c r="R2313">
        <v>-1.6607885772675459</v>
      </c>
      <c r="S2313">
        <v>0.24056728130158009</v>
      </c>
      <c r="T2313">
        <v>0.18253315421967381</v>
      </c>
      <c r="U2313">
        <v>4.492268155159735</v>
      </c>
      <c r="V2313">
        <v>0.20030402315410911</v>
      </c>
      <c r="W2313">
        <v>6.5446864033826291</v>
      </c>
      <c r="X2313">
        <v>0.43787986122598199</v>
      </c>
      <c r="Z2313" t="s">
        <v>392</v>
      </c>
      <c r="AA2313">
        <v>9400</v>
      </c>
      <c r="AB2313" t="s">
        <v>2704</v>
      </c>
      <c r="AC2313" t="str">
        <f>HYPERLINK("plots/3FT6Y578R01_012_S11P_20251111092011_M5358ACSH101811_RBGEUFRF26/dpll_52046/txpa_55204.png","plot")</f>
        <v>plot</v>
      </c>
    </row>
    <row r="2314" spans="1:29" x14ac:dyDescent="0.35">
      <c r="A2314" s="2" t="s">
        <v>48</v>
      </c>
      <c r="B2314">
        <v>52046</v>
      </c>
      <c r="C2314" t="s">
        <v>51</v>
      </c>
      <c r="D2314">
        <v>55205</v>
      </c>
      <c r="E2314" t="s">
        <v>338</v>
      </c>
      <c r="F2314">
        <v>12240</v>
      </c>
      <c r="G2314">
        <v>0.83410637132188026</v>
      </c>
      <c r="H2314">
        <v>0</v>
      </c>
      <c r="I2314">
        <v>0</v>
      </c>
      <c r="J2314">
        <v>0.72649078081344176</v>
      </c>
      <c r="K2314">
        <v>0</v>
      </c>
      <c r="L2314">
        <v>0</v>
      </c>
      <c r="M2314">
        <v>0.5338408700342645</v>
      </c>
      <c r="N2314">
        <v>0</v>
      </c>
      <c r="O2314">
        <v>0</v>
      </c>
      <c r="P2314">
        <v>0.69573343867975435</v>
      </c>
      <c r="Q2314">
        <v>1.808621536344831</v>
      </c>
      <c r="R2314">
        <v>-1.5687419509684599</v>
      </c>
      <c r="S2314">
        <v>0.23957952689325629</v>
      </c>
      <c r="T2314">
        <v>0.18127235029883071</v>
      </c>
      <c r="U2314">
        <v>4.4922740630718954</v>
      </c>
      <c r="V2314">
        <v>0.20031527700333429</v>
      </c>
      <c r="W2314">
        <v>6.5560816666666666</v>
      </c>
      <c r="X2314">
        <v>0.43435050552719262</v>
      </c>
      <c r="Z2314" t="s">
        <v>392</v>
      </c>
      <c r="AA2314">
        <v>9400</v>
      </c>
      <c r="AB2314" t="s">
        <v>2705</v>
      </c>
      <c r="AC2314" t="str">
        <f>HYPERLINK("plots/3FT6Y578R01_012_S11P_20251111092011_M5358ACSH101811_RBGEUFRF26/dpll_52046/txpa_55205.png","plot")</f>
        <v>plot</v>
      </c>
    </row>
    <row r="2315" spans="1:29" x14ac:dyDescent="0.35">
      <c r="A2315" s="2" t="s">
        <v>48</v>
      </c>
      <c r="B2315">
        <v>52046</v>
      </c>
      <c r="C2315" t="s">
        <v>51</v>
      </c>
      <c r="D2315">
        <v>55206</v>
      </c>
      <c r="E2315" t="s">
        <v>339</v>
      </c>
      <c r="F2315">
        <v>12242</v>
      </c>
      <c r="G2315">
        <v>0.84236098888815092</v>
      </c>
      <c r="H2315">
        <v>0</v>
      </c>
      <c r="I2315">
        <v>0</v>
      </c>
      <c r="J2315">
        <v>0.73243872177937941</v>
      </c>
      <c r="K2315">
        <v>0</v>
      </c>
      <c r="L2315">
        <v>0</v>
      </c>
      <c r="M2315">
        <v>0.5399736040487485</v>
      </c>
      <c r="N2315">
        <v>0</v>
      </c>
      <c r="O2315">
        <v>0</v>
      </c>
      <c r="P2315">
        <v>0.70957203560062354</v>
      </c>
      <c r="Q2315">
        <v>1.833111956716998</v>
      </c>
      <c r="R2315">
        <v>-1.663796203647588</v>
      </c>
      <c r="S2315">
        <v>0.23494886579136601</v>
      </c>
      <c r="T2315">
        <v>0.17946531474496349</v>
      </c>
      <c r="U2315">
        <v>4.4922121462179394</v>
      </c>
      <c r="V2315">
        <v>0.20034621017914711</v>
      </c>
      <c r="W2315">
        <v>6.5709315936938397</v>
      </c>
      <c r="X2315">
        <v>0.43598532957595859</v>
      </c>
      <c r="Z2315" t="s">
        <v>392</v>
      </c>
      <c r="AA2315">
        <v>9400</v>
      </c>
      <c r="AB2315" t="s">
        <v>2706</v>
      </c>
      <c r="AC2315" t="str">
        <f>HYPERLINK("plots/3FT6Y578R01_012_S11P_20251111092011_M5358ACSH101811_RBGEUFRF26/dpll_52046/txpa_55206.png","plot")</f>
        <v>plot</v>
      </c>
    </row>
    <row r="2316" spans="1:29" x14ac:dyDescent="0.35">
      <c r="A2316" s="2" t="s">
        <v>48</v>
      </c>
      <c r="B2316">
        <v>52046</v>
      </c>
      <c r="C2316" t="s">
        <v>51</v>
      </c>
      <c r="D2316">
        <v>55207</v>
      </c>
      <c r="E2316" t="s">
        <v>340</v>
      </c>
      <c r="F2316">
        <v>12240</v>
      </c>
      <c r="G2316">
        <v>0.84320867490863649</v>
      </c>
      <c r="H2316">
        <v>0</v>
      </c>
      <c r="I2316">
        <v>0</v>
      </c>
      <c r="J2316">
        <v>0.72994253019792688</v>
      </c>
      <c r="K2316">
        <v>0</v>
      </c>
      <c r="L2316">
        <v>0</v>
      </c>
      <c r="M2316">
        <v>0.53710638561731294</v>
      </c>
      <c r="N2316">
        <v>0</v>
      </c>
      <c r="O2316">
        <v>0</v>
      </c>
      <c r="P2316">
        <v>0.71100086944117857</v>
      </c>
      <c r="Q2316">
        <v>1.8395356257268429</v>
      </c>
      <c r="R2316">
        <v>-1.7190860792381539</v>
      </c>
      <c r="S2316">
        <v>0.23491443356173419</v>
      </c>
      <c r="T2316">
        <v>0.18050938266244451</v>
      </c>
      <c r="U2316">
        <v>4.492228153022876</v>
      </c>
      <c r="V2316">
        <v>0.2003115712750779</v>
      </c>
      <c r="W2316">
        <v>6.5445276471405238</v>
      </c>
      <c r="X2316">
        <v>0.43699772377905532</v>
      </c>
      <c r="Z2316" t="s">
        <v>392</v>
      </c>
      <c r="AA2316">
        <v>9400</v>
      </c>
      <c r="AB2316" t="s">
        <v>2707</v>
      </c>
      <c r="AC2316" t="str">
        <f>HYPERLINK("plots/3FT6Y578R01_012_S11P_20251111092011_M5358ACSH101811_RBGEUFRF26/dpll_52046/txpa_55207.png","plot")</f>
        <v>plot</v>
      </c>
    </row>
    <row r="2317" spans="1:29" x14ac:dyDescent="0.35">
      <c r="A2317" s="2" t="s">
        <v>48</v>
      </c>
      <c r="B2317">
        <v>52046</v>
      </c>
      <c r="C2317" t="s">
        <v>51</v>
      </c>
      <c r="D2317">
        <v>55208</v>
      </c>
      <c r="E2317" t="s">
        <v>341</v>
      </c>
      <c r="F2317">
        <v>12240</v>
      </c>
      <c r="G2317">
        <v>0.84494799149272048</v>
      </c>
      <c r="H2317">
        <v>0</v>
      </c>
      <c r="I2317">
        <v>0</v>
      </c>
      <c r="J2317">
        <v>0.734087315059331</v>
      </c>
      <c r="K2317">
        <v>0</v>
      </c>
      <c r="L2317">
        <v>0</v>
      </c>
      <c r="M2317">
        <v>0.54179617323499429</v>
      </c>
      <c r="N2317">
        <v>0</v>
      </c>
      <c r="O2317">
        <v>0</v>
      </c>
      <c r="P2317">
        <v>0.7139371083275825</v>
      </c>
      <c r="Q2317">
        <v>1.846394806850798</v>
      </c>
      <c r="R2317">
        <v>-1.744147779886672</v>
      </c>
      <c r="S2317">
        <v>0.2340803309283169</v>
      </c>
      <c r="T2317">
        <v>0.18001454484017371</v>
      </c>
      <c r="U2317">
        <v>4.4921825285947721</v>
      </c>
      <c r="V2317">
        <v>0.20028909768291919</v>
      </c>
      <c r="W2317">
        <v>6.5501947123366024</v>
      </c>
      <c r="X2317">
        <v>0.43767516291416653</v>
      </c>
      <c r="Z2317" t="s">
        <v>392</v>
      </c>
      <c r="AA2317">
        <v>9400</v>
      </c>
      <c r="AB2317" t="s">
        <v>2708</v>
      </c>
      <c r="AC2317" t="str">
        <f>HYPERLINK("plots/3FT6Y578R01_012_S11P_20251111092011_M5358ACSH101811_RBGEUFRF26/dpll_52046/txpa_55208.png","plot")</f>
        <v>plot</v>
      </c>
    </row>
    <row r="2318" spans="1:29" x14ac:dyDescent="0.35">
      <c r="A2318" s="2" t="s">
        <v>48</v>
      </c>
      <c r="B2318">
        <v>52046</v>
      </c>
      <c r="C2318" t="s">
        <v>51</v>
      </c>
      <c r="D2318">
        <v>55209</v>
      </c>
      <c r="E2318" t="s">
        <v>342</v>
      </c>
      <c r="F2318">
        <v>12241</v>
      </c>
      <c r="G2318">
        <v>0.84439029581564895</v>
      </c>
      <c r="H2318">
        <v>0</v>
      </c>
      <c r="I2318">
        <v>0</v>
      </c>
      <c r="J2318">
        <v>0.72995305924142173</v>
      </c>
      <c r="K2318">
        <v>0</v>
      </c>
      <c r="L2318">
        <v>0</v>
      </c>
      <c r="M2318">
        <v>0.53826929915169175</v>
      </c>
      <c r="N2318">
        <v>0</v>
      </c>
      <c r="O2318">
        <v>0</v>
      </c>
      <c r="P2318">
        <v>0.71299497166763914</v>
      </c>
      <c r="Q2318">
        <v>1.8430471025083199</v>
      </c>
      <c r="R2318">
        <v>-1.7239764380860061</v>
      </c>
      <c r="S2318">
        <v>0.23423049863911569</v>
      </c>
      <c r="T2318">
        <v>0.1797161551969331</v>
      </c>
      <c r="U2318">
        <v>4.4922515145004489</v>
      </c>
      <c r="V2318">
        <v>0.20031950074504501</v>
      </c>
      <c r="W2318">
        <v>6.5554546994526577</v>
      </c>
      <c r="X2318">
        <v>0.43723652113675371</v>
      </c>
      <c r="Z2318" t="s">
        <v>392</v>
      </c>
      <c r="AA2318">
        <v>9400</v>
      </c>
      <c r="AB2318" t="s">
        <v>2709</v>
      </c>
      <c r="AC2318" t="str">
        <f>HYPERLINK("plots/3FT6Y578R01_012_S11P_20251111092011_M5358ACSH101811_RBGEUFRF26/dpll_52046/txpa_55209.png","plot")</f>
        <v>plot</v>
      </c>
    </row>
    <row r="2319" spans="1:29" x14ac:dyDescent="0.35">
      <c r="A2319" s="2" t="s">
        <v>48</v>
      </c>
      <c r="B2319">
        <v>52046</v>
      </c>
      <c r="C2319" t="s">
        <v>51</v>
      </c>
      <c r="D2319">
        <v>55210</v>
      </c>
      <c r="E2319" t="s">
        <v>343</v>
      </c>
      <c r="F2319">
        <v>12235</v>
      </c>
      <c r="G2319">
        <v>0.84009096433070318</v>
      </c>
      <c r="H2319">
        <v>0</v>
      </c>
      <c r="I2319">
        <v>0</v>
      </c>
      <c r="J2319">
        <v>0.72272854345286686</v>
      </c>
      <c r="K2319">
        <v>0</v>
      </c>
      <c r="L2319">
        <v>0</v>
      </c>
      <c r="M2319">
        <v>0.5318614772236897</v>
      </c>
      <c r="N2319">
        <v>0</v>
      </c>
      <c r="O2319">
        <v>0</v>
      </c>
      <c r="P2319">
        <v>0.70575282835009079</v>
      </c>
      <c r="Q2319">
        <v>1.822767471031336</v>
      </c>
      <c r="R2319">
        <v>-1.6469975794600751</v>
      </c>
      <c r="S2319">
        <v>0.23573333207713859</v>
      </c>
      <c r="T2319">
        <v>0.18051371812981629</v>
      </c>
      <c r="U2319">
        <v>4.492365550143032</v>
      </c>
      <c r="V2319">
        <v>0.20029847339670609</v>
      </c>
      <c r="W2319">
        <v>6.5415402133224347</v>
      </c>
      <c r="X2319">
        <v>0.43459286828019028</v>
      </c>
      <c r="Z2319" t="s">
        <v>392</v>
      </c>
      <c r="AA2319">
        <v>9400</v>
      </c>
      <c r="AB2319" t="s">
        <v>2710</v>
      </c>
      <c r="AC2319" t="str">
        <f>HYPERLINK("plots/3FT6Y578R01_012_S11P_20251111092011_M5358ACSH101811_RBGEUFRF26/dpll_52046/txpa_55210.png","plot")</f>
        <v>plot</v>
      </c>
    </row>
    <row r="2320" spans="1:29" x14ac:dyDescent="0.35">
      <c r="A2320" s="2" t="s">
        <v>48</v>
      </c>
      <c r="B2320">
        <v>52046</v>
      </c>
      <c r="C2320" t="s">
        <v>51</v>
      </c>
      <c r="D2320">
        <v>55211</v>
      </c>
      <c r="E2320" t="s">
        <v>344</v>
      </c>
      <c r="F2320">
        <v>12238</v>
      </c>
      <c r="G2320">
        <v>0.82542945965858283</v>
      </c>
      <c r="H2320">
        <v>0</v>
      </c>
      <c r="I2320">
        <v>0</v>
      </c>
      <c r="J2320">
        <v>0.72211774373295912</v>
      </c>
      <c r="K2320">
        <v>0</v>
      </c>
      <c r="L2320">
        <v>0</v>
      </c>
      <c r="M2320">
        <v>0.52892672025657783</v>
      </c>
      <c r="N2320">
        <v>0</v>
      </c>
      <c r="O2320">
        <v>0</v>
      </c>
      <c r="P2320">
        <v>0.68133379287226004</v>
      </c>
      <c r="Q2320">
        <v>1.8877795791607701</v>
      </c>
      <c r="R2320">
        <v>-1.0161994941278141</v>
      </c>
      <c r="S2320">
        <v>0.25854657156824729</v>
      </c>
      <c r="T2320">
        <v>0.1930083976188752</v>
      </c>
      <c r="U2320">
        <v>4.4923384648635407</v>
      </c>
      <c r="V2320">
        <v>0.2002706018626684</v>
      </c>
      <c r="W2320">
        <v>7.4643453225200203</v>
      </c>
      <c r="X2320">
        <v>0.45802430247517389</v>
      </c>
      <c r="Z2320" t="s">
        <v>392</v>
      </c>
      <c r="AA2320">
        <v>9400</v>
      </c>
      <c r="AB2320" t="s">
        <v>2711</v>
      </c>
      <c r="AC2320" t="str">
        <f>HYPERLINK("plots/3FT6Y578R01_012_S11P_20251111092011_M5358ACSH101811_RBGEUFRF26/dpll_52046/txpa_55211.png","plot")</f>
        <v>plot</v>
      </c>
    </row>
    <row r="2321" spans="1:29" x14ac:dyDescent="0.35">
      <c r="A2321" s="2" t="s">
        <v>48</v>
      </c>
      <c r="B2321">
        <v>52046</v>
      </c>
      <c r="C2321" t="s">
        <v>51</v>
      </c>
      <c r="D2321">
        <v>55212</v>
      </c>
      <c r="E2321" t="s">
        <v>345</v>
      </c>
      <c r="F2321">
        <v>12237</v>
      </c>
      <c r="G2321">
        <v>0.83793065444738779</v>
      </c>
      <c r="H2321">
        <v>0</v>
      </c>
      <c r="I2321">
        <v>0</v>
      </c>
      <c r="J2321">
        <v>0.7307986373748292</v>
      </c>
      <c r="K2321">
        <v>0</v>
      </c>
      <c r="L2321">
        <v>0</v>
      </c>
      <c r="M2321">
        <v>0.53843652425823407</v>
      </c>
      <c r="N2321">
        <v>0</v>
      </c>
      <c r="O2321">
        <v>0</v>
      </c>
      <c r="P2321">
        <v>0.70212778166262757</v>
      </c>
      <c r="Q2321">
        <v>1.9135999307409599</v>
      </c>
      <c r="R2321">
        <v>-1.09874839536653</v>
      </c>
      <c r="S2321">
        <v>0.24962593989221629</v>
      </c>
      <c r="T2321">
        <v>0.18946359828526391</v>
      </c>
      <c r="U2321">
        <v>4.4923150915257013</v>
      </c>
      <c r="V2321">
        <v>0.2002854456994653</v>
      </c>
      <c r="W2321">
        <v>7.4977454526436214</v>
      </c>
      <c r="X2321">
        <v>0.45739610191452129</v>
      </c>
      <c r="Z2321" t="s">
        <v>392</v>
      </c>
      <c r="AA2321">
        <v>9400</v>
      </c>
      <c r="AB2321" t="s">
        <v>2712</v>
      </c>
      <c r="AC2321" t="str">
        <f>HYPERLINK("plots/3FT6Y578R01_012_S11P_20251111092011_M5358ACSH101811_RBGEUFRF26/dpll_52046/txpa_55212.png","plot")</f>
        <v>plot</v>
      </c>
    </row>
    <row r="2322" spans="1:29" x14ac:dyDescent="0.35">
      <c r="A2322" s="2" t="s">
        <v>48</v>
      </c>
      <c r="B2322">
        <v>52046</v>
      </c>
      <c r="C2322" t="s">
        <v>51</v>
      </c>
      <c r="D2322">
        <v>55213</v>
      </c>
      <c r="E2322" t="s">
        <v>346</v>
      </c>
      <c r="F2322">
        <v>12240</v>
      </c>
      <c r="G2322">
        <v>0.83643738148797431</v>
      </c>
      <c r="H2322">
        <v>0</v>
      </c>
      <c r="I2322">
        <v>0</v>
      </c>
      <c r="J2322">
        <v>0.72773797853160582</v>
      </c>
      <c r="K2322">
        <v>0</v>
      </c>
      <c r="L2322">
        <v>0</v>
      </c>
      <c r="M2322">
        <v>0.53518107598019871</v>
      </c>
      <c r="N2322">
        <v>0</v>
      </c>
      <c r="O2322">
        <v>0</v>
      </c>
      <c r="P2322">
        <v>0.69962749315045902</v>
      </c>
      <c r="Q2322">
        <v>1.8972642174047001</v>
      </c>
      <c r="R2322">
        <v>-1.0138882760630969</v>
      </c>
      <c r="S2322">
        <v>0.24901230142698841</v>
      </c>
      <c r="T2322">
        <v>0.18826491837376411</v>
      </c>
      <c r="U2322">
        <v>4.4922740630718954</v>
      </c>
      <c r="V2322">
        <v>0.20031527700333429</v>
      </c>
      <c r="W2322">
        <v>7.5091425585784322</v>
      </c>
      <c r="X2322">
        <v>0.45436874973455621</v>
      </c>
      <c r="Z2322" t="s">
        <v>392</v>
      </c>
      <c r="AA2322">
        <v>9400</v>
      </c>
      <c r="AB2322" t="s">
        <v>2713</v>
      </c>
      <c r="AC2322" t="str">
        <f>HYPERLINK("plots/3FT6Y578R01_012_S11P_20251111092011_M5358ACSH101811_RBGEUFRF26/dpll_52046/txpa_55213.png","plot")</f>
        <v>plot</v>
      </c>
    </row>
    <row r="2323" spans="1:29" x14ac:dyDescent="0.35">
      <c r="A2323" s="2" t="s">
        <v>48</v>
      </c>
      <c r="B2323">
        <v>52046</v>
      </c>
      <c r="C2323" t="s">
        <v>51</v>
      </c>
      <c r="D2323">
        <v>55214</v>
      </c>
      <c r="E2323" t="s">
        <v>347</v>
      </c>
      <c r="F2323">
        <v>12240</v>
      </c>
      <c r="G2323">
        <v>0.84467249010198564</v>
      </c>
      <c r="H2323">
        <v>0</v>
      </c>
      <c r="I2323">
        <v>0</v>
      </c>
      <c r="J2323">
        <v>0.73308086621083168</v>
      </c>
      <c r="K2323">
        <v>0</v>
      </c>
      <c r="L2323">
        <v>0</v>
      </c>
      <c r="M2323">
        <v>0.54079841648723315</v>
      </c>
      <c r="N2323">
        <v>0</v>
      </c>
      <c r="O2323">
        <v>0</v>
      </c>
      <c r="P2323">
        <v>0.71347161553508898</v>
      </c>
      <c r="Q2323">
        <v>1.9205938334429939</v>
      </c>
      <c r="R2323">
        <v>-1.1046328171315569</v>
      </c>
      <c r="S2323">
        <v>0.24381206376365261</v>
      </c>
      <c r="T2323">
        <v>0.18629600504806459</v>
      </c>
      <c r="U2323">
        <v>4.4922587900326798</v>
      </c>
      <c r="V2323">
        <v>0.2003281251120857</v>
      </c>
      <c r="W2323">
        <v>7.5231717132352944</v>
      </c>
      <c r="X2323">
        <v>0.45550076066643752</v>
      </c>
      <c r="Z2323" t="s">
        <v>392</v>
      </c>
      <c r="AA2323">
        <v>9400</v>
      </c>
      <c r="AB2323" t="s">
        <v>2714</v>
      </c>
      <c r="AC2323" t="str">
        <f>HYPERLINK("plots/3FT6Y578R01_012_S11P_20251111092011_M5358ACSH101811_RBGEUFRF26/dpll_52046/txpa_55214.png","plot")</f>
        <v>plot</v>
      </c>
    </row>
    <row r="2324" spans="1:29" x14ac:dyDescent="0.35">
      <c r="A2324" s="2" t="s">
        <v>48</v>
      </c>
      <c r="B2324">
        <v>52046</v>
      </c>
      <c r="C2324" t="s">
        <v>51</v>
      </c>
      <c r="D2324">
        <v>55215</v>
      </c>
      <c r="E2324" t="s">
        <v>348</v>
      </c>
      <c r="F2324">
        <v>12239</v>
      </c>
      <c r="G2324">
        <v>0.8454004509537969</v>
      </c>
      <c r="H2324">
        <v>0</v>
      </c>
      <c r="I2324">
        <v>0</v>
      </c>
      <c r="J2324">
        <v>0.73093052251650847</v>
      </c>
      <c r="K2324">
        <v>0</v>
      </c>
      <c r="L2324">
        <v>0</v>
      </c>
      <c r="M2324">
        <v>0.53833606712366033</v>
      </c>
      <c r="N2324">
        <v>0</v>
      </c>
      <c r="O2324">
        <v>0</v>
      </c>
      <c r="P2324">
        <v>0.71470192247288311</v>
      </c>
      <c r="Q2324">
        <v>1.9288906175131431</v>
      </c>
      <c r="R2324">
        <v>-1.1692313473312319</v>
      </c>
      <c r="S2324">
        <v>0.24409970192662081</v>
      </c>
      <c r="T2324">
        <v>0.18749076780275059</v>
      </c>
      <c r="U2324">
        <v>4.4922505857504698</v>
      </c>
      <c r="V2324">
        <v>0.2003043790864783</v>
      </c>
      <c r="W2324">
        <v>7.4958286590407717</v>
      </c>
      <c r="X2324">
        <v>0.45702038250724758</v>
      </c>
      <c r="Z2324" t="s">
        <v>392</v>
      </c>
      <c r="AA2324">
        <v>9400</v>
      </c>
      <c r="AB2324" t="s">
        <v>2715</v>
      </c>
      <c r="AC2324" t="str">
        <f>HYPERLINK("plots/3FT6Y578R01_012_S11P_20251111092011_M5358ACSH101811_RBGEUFRF26/dpll_52046/txpa_55215.png","plot")</f>
        <v>plot</v>
      </c>
    </row>
    <row r="2325" spans="1:29" x14ac:dyDescent="0.35">
      <c r="A2325" s="2" t="s">
        <v>48</v>
      </c>
      <c r="B2325">
        <v>52046</v>
      </c>
      <c r="C2325" t="s">
        <v>51</v>
      </c>
      <c r="D2325">
        <v>55216</v>
      </c>
      <c r="E2325" t="s">
        <v>349</v>
      </c>
      <c r="F2325">
        <v>12241</v>
      </c>
      <c r="G2325">
        <v>0.84684098822562459</v>
      </c>
      <c r="H2325">
        <v>0</v>
      </c>
      <c r="I2325">
        <v>0</v>
      </c>
      <c r="J2325">
        <v>0.73475825023486352</v>
      </c>
      <c r="K2325">
        <v>0</v>
      </c>
      <c r="L2325">
        <v>0</v>
      </c>
      <c r="M2325">
        <v>0.54268352418016896</v>
      </c>
      <c r="N2325">
        <v>0</v>
      </c>
      <c r="O2325">
        <v>0</v>
      </c>
      <c r="P2325">
        <v>0.71713965933895241</v>
      </c>
      <c r="Q2325">
        <v>1.9359730197011249</v>
      </c>
      <c r="R2325">
        <v>-1.194194419776476</v>
      </c>
      <c r="S2325">
        <v>0.2435299136480934</v>
      </c>
      <c r="T2325">
        <v>0.18708353725559709</v>
      </c>
      <c r="U2325">
        <v>4.4922091693489099</v>
      </c>
      <c r="V2325">
        <v>0.20030260363901081</v>
      </c>
      <c r="W2325">
        <v>7.502601330937015</v>
      </c>
      <c r="X2325">
        <v>0.4579141088027931</v>
      </c>
      <c r="Z2325" t="s">
        <v>392</v>
      </c>
      <c r="AA2325">
        <v>9400</v>
      </c>
      <c r="AB2325" t="s">
        <v>2716</v>
      </c>
      <c r="AC2325" t="str">
        <f>HYPERLINK("plots/3FT6Y578R01_012_S11P_20251111092011_M5358ACSH101811_RBGEUFRF26/dpll_52046/txpa_55216.png","plot")</f>
        <v>plot</v>
      </c>
    </row>
    <row r="2326" spans="1:29" x14ac:dyDescent="0.35">
      <c r="A2326" s="2" t="s">
        <v>48</v>
      </c>
      <c r="B2326">
        <v>52046</v>
      </c>
      <c r="C2326" t="s">
        <v>51</v>
      </c>
      <c r="D2326">
        <v>55217</v>
      </c>
      <c r="E2326" t="s">
        <v>350</v>
      </c>
      <c r="F2326">
        <v>12239</v>
      </c>
      <c r="G2326">
        <v>0.84664042776672366</v>
      </c>
      <c r="H2326">
        <v>0</v>
      </c>
      <c r="I2326">
        <v>0</v>
      </c>
      <c r="J2326">
        <v>0.73058964658209447</v>
      </c>
      <c r="K2326">
        <v>0</v>
      </c>
      <c r="L2326">
        <v>0</v>
      </c>
      <c r="M2326">
        <v>0.53919656538768168</v>
      </c>
      <c r="N2326">
        <v>0</v>
      </c>
      <c r="O2326">
        <v>0</v>
      </c>
      <c r="P2326">
        <v>0.71680001392902082</v>
      </c>
      <c r="Q2326">
        <v>1.9313980874420991</v>
      </c>
      <c r="R2326">
        <v>-1.1681446958130011</v>
      </c>
      <c r="S2326">
        <v>0.2431635555240417</v>
      </c>
      <c r="T2326">
        <v>0.18657283671367189</v>
      </c>
      <c r="U2326">
        <v>4.4922944304273233</v>
      </c>
      <c r="V2326">
        <v>0.20030731966924389</v>
      </c>
      <c r="W2326">
        <v>7.5082641753411226</v>
      </c>
      <c r="X2326">
        <v>0.45695098110342858</v>
      </c>
      <c r="Z2326" t="s">
        <v>392</v>
      </c>
      <c r="AA2326">
        <v>9400</v>
      </c>
      <c r="AB2326" t="s">
        <v>2717</v>
      </c>
      <c r="AC2326" t="str">
        <f>HYPERLINK("plots/3FT6Y578R01_012_S11P_20251111092011_M5358ACSH101811_RBGEUFRF26/dpll_52046/txpa_55217.png","plot")</f>
        <v>plot</v>
      </c>
    </row>
    <row r="2327" spans="1:29" x14ac:dyDescent="0.35">
      <c r="A2327" s="2" t="s">
        <v>48</v>
      </c>
      <c r="B2327">
        <v>52046</v>
      </c>
      <c r="C2327" t="s">
        <v>51</v>
      </c>
      <c r="D2327">
        <v>55218</v>
      </c>
      <c r="E2327" t="s">
        <v>351</v>
      </c>
      <c r="F2327">
        <v>12234</v>
      </c>
      <c r="G2327">
        <v>0.8423479282582691</v>
      </c>
      <c r="H2327">
        <v>0</v>
      </c>
      <c r="I2327">
        <v>0</v>
      </c>
      <c r="J2327">
        <v>0.72360606961978291</v>
      </c>
      <c r="K2327">
        <v>0</v>
      </c>
      <c r="L2327">
        <v>0</v>
      </c>
      <c r="M2327">
        <v>0.5328952965875533</v>
      </c>
      <c r="N2327">
        <v>0</v>
      </c>
      <c r="O2327">
        <v>0</v>
      </c>
      <c r="P2327">
        <v>0.70955003224099811</v>
      </c>
      <c r="Q2327">
        <v>1.9107294661119081</v>
      </c>
      <c r="R2327">
        <v>-1.089169185106508</v>
      </c>
      <c r="S2327">
        <v>0.2448471913416751</v>
      </c>
      <c r="T2327">
        <v>0.18744501078422079</v>
      </c>
      <c r="U2327">
        <v>4.4923853137976133</v>
      </c>
      <c r="V2327">
        <v>0.2002947294592593</v>
      </c>
      <c r="W2327">
        <v>7.4945638070949796</v>
      </c>
      <c r="X2327">
        <v>0.45433606309930741</v>
      </c>
      <c r="Z2327" t="s">
        <v>392</v>
      </c>
      <c r="AA2327">
        <v>9400</v>
      </c>
      <c r="AB2327" t="s">
        <v>2718</v>
      </c>
      <c r="AC2327" t="str">
        <f>HYPERLINK("plots/3FT6Y578R01_012_S11P_20251111092011_M5358ACSH101811_RBGEUFRF26/dpll_52046/txpa_55218.png","plot")</f>
        <v>plot</v>
      </c>
    </row>
    <row r="2328" spans="1:29" x14ac:dyDescent="0.35">
      <c r="A2328" s="2" t="s">
        <v>48</v>
      </c>
      <c r="B2328">
        <v>52046</v>
      </c>
      <c r="C2328" t="s">
        <v>51</v>
      </c>
      <c r="D2328">
        <v>55219</v>
      </c>
      <c r="E2328" t="s">
        <v>352</v>
      </c>
      <c r="F2328">
        <v>12232</v>
      </c>
      <c r="G2328">
        <v>0.82876103914496513</v>
      </c>
      <c r="H2328">
        <v>0</v>
      </c>
      <c r="I2328">
        <v>0</v>
      </c>
      <c r="J2328">
        <v>0.72328743775148274</v>
      </c>
      <c r="K2328">
        <v>0</v>
      </c>
      <c r="L2328">
        <v>0</v>
      </c>
      <c r="M2328">
        <v>0.53029360385361168</v>
      </c>
      <c r="N2328">
        <v>0</v>
      </c>
      <c r="O2328">
        <v>0</v>
      </c>
      <c r="P2328">
        <v>0.6868448600046424</v>
      </c>
      <c r="Q2328">
        <v>1.984735937398999</v>
      </c>
      <c r="R2328">
        <v>-0.48939584173733047</v>
      </c>
      <c r="S2328">
        <v>0.26824507554390381</v>
      </c>
      <c r="T2328">
        <v>0.20030707089432559</v>
      </c>
      <c r="U2328">
        <v>4.4925083614290386</v>
      </c>
      <c r="V2328">
        <v>0.20016877510990119</v>
      </c>
      <c r="W2328">
        <v>8.4270469522563758</v>
      </c>
      <c r="X2328">
        <v>0.47936877186653981</v>
      </c>
      <c r="Z2328" t="s">
        <v>392</v>
      </c>
      <c r="AA2328">
        <v>9400</v>
      </c>
      <c r="AB2328" t="s">
        <v>2719</v>
      </c>
      <c r="AC2328" t="str">
        <f>HYPERLINK("plots/3FT6Y578R01_012_S11P_20251111092011_M5358ACSH101811_RBGEUFRF26/dpll_52046/txpa_55219.png","plot")</f>
        <v>plot</v>
      </c>
    </row>
    <row r="2329" spans="1:29" x14ac:dyDescent="0.35">
      <c r="A2329" s="2" t="s">
        <v>48</v>
      </c>
      <c r="B2329">
        <v>52046</v>
      </c>
      <c r="C2329" t="s">
        <v>51</v>
      </c>
      <c r="D2329">
        <v>55220</v>
      </c>
      <c r="E2329" t="s">
        <v>353</v>
      </c>
      <c r="F2329">
        <v>12235</v>
      </c>
      <c r="G2329">
        <v>0.84059113374911842</v>
      </c>
      <c r="H2329">
        <v>0</v>
      </c>
      <c r="I2329">
        <v>0</v>
      </c>
      <c r="J2329">
        <v>0.73184109330114144</v>
      </c>
      <c r="K2329">
        <v>0</v>
      </c>
      <c r="L2329">
        <v>0</v>
      </c>
      <c r="M2329">
        <v>0.53968194476828091</v>
      </c>
      <c r="N2329">
        <v>0</v>
      </c>
      <c r="O2329">
        <v>0</v>
      </c>
      <c r="P2329">
        <v>0.70659345413762831</v>
      </c>
      <c r="Q2329">
        <v>2.0142417715849961</v>
      </c>
      <c r="R2329">
        <v>-0.58968804586400481</v>
      </c>
      <c r="S2329">
        <v>0.25991779886639249</v>
      </c>
      <c r="T2329">
        <v>0.19721976141347719</v>
      </c>
      <c r="U2329">
        <v>4.492367491622395</v>
      </c>
      <c r="V2329">
        <v>0.2002590154432789</v>
      </c>
      <c r="W2329">
        <v>8.4590262090723325</v>
      </c>
      <c r="X2329">
        <v>0.47986477354723839</v>
      </c>
      <c r="Z2329" t="s">
        <v>392</v>
      </c>
      <c r="AA2329">
        <v>9400</v>
      </c>
      <c r="AB2329" t="s">
        <v>2720</v>
      </c>
      <c r="AC2329" t="str">
        <f>HYPERLINK("plots/3FT6Y578R01_012_S11P_20251111092011_M5358ACSH101811_RBGEUFRF26/dpll_52046/txpa_55220.png","plot")</f>
        <v>plot</v>
      </c>
    </row>
    <row r="2330" spans="1:29" x14ac:dyDescent="0.35">
      <c r="A2330" s="2" t="s">
        <v>48</v>
      </c>
      <c r="B2330">
        <v>52046</v>
      </c>
      <c r="C2330" t="s">
        <v>51</v>
      </c>
      <c r="D2330">
        <v>55221</v>
      </c>
      <c r="E2330" t="s">
        <v>354</v>
      </c>
      <c r="F2330">
        <v>12237</v>
      </c>
      <c r="G2330">
        <v>0.8397344798882036</v>
      </c>
      <c r="H2330">
        <v>0</v>
      </c>
      <c r="I2330">
        <v>0</v>
      </c>
      <c r="J2330">
        <v>0.72906567422894664</v>
      </c>
      <c r="K2330">
        <v>0</v>
      </c>
      <c r="L2330">
        <v>0</v>
      </c>
      <c r="M2330">
        <v>0.53672861129820193</v>
      </c>
      <c r="N2330">
        <v>0</v>
      </c>
      <c r="O2330">
        <v>0</v>
      </c>
      <c r="P2330">
        <v>0.70515399671311185</v>
      </c>
      <c r="Q2330">
        <v>1.997560164794788</v>
      </c>
      <c r="R2330">
        <v>-0.50302029244949331</v>
      </c>
      <c r="S2330">
        <v>0.25869686114970009</v>
      </c>
      <c r="T2330">
        <v>0.19566427217221211</v>
      </c>
      <c r="U2330">
        <v>4.4923389263708424</v>
      </c>
      <c r="V2330">
        <v>0.20028729432247169</v>
      </c>
      <c r="W2330">
        <v>8.4706969936258876</v>
      </c>
      <c r="X2330">
        <v>0.47644336422432398</v>
      </c>
      <c r="Z2330" t="s">
        <v>392</v>
      </c>
      <c r="AA2330">
        <v>9400</v>
      </c>
      <c r="AB2330" t="s">
        <v>2721</v>
      </c>
      <c r="AC2330" t="str">
        <f>HYPERLINK("plots/3FT6Y578R01_012_S11P_20251111092011_M5358ACSH101811_RBGEUFRF26/dpll_52046/txpa_55221.png","plot")</f>
        <v>plot</v>
      </c>
    </row>
    <row r="2331" spans="1:29" x14ac:dyDescent="0.35">
      <c r="A2331" s="2" t="s">
        <v>48</v>
      </c>
      <c r="B2331">
        <v>52046</v>
      </c>
      <c r="C2331" t="s">
        <v>51</v>
      </c>
      <c r="D2331">
        <v>55222</v>
      </c>
      <c r="E2331" t="s">
        <v>355</v>
      </c>
      <c r="F2331">
        <v>12240</v>
      </c>
      <c r="G2331">
        <v>0.84696523966049408</v>
      </c>
      <c r="H2331">
        <v>0</v>
      </c>
      <c r="I2331">
        <v>0</v>
      </c>
      <c r="J2331">
        <v>0.73411202811029019</v>
      </c>
      <c r="K2331">
        <v>0</v>
      </c>
      <c r="L2331">
        <v>0</v>
      </c>
      <c r="M2331">
        <v>0.5420447143655609</v>
      </c>
      <c r="N2331">
        <v>0</v>
      </c>
      <c r="O2331">
        <v>0</v>
      </c>
      <c r="P2331">
        <v>0.71735011719315822</v>
      </c>
      <c r="Q2331">
        <v>2.023807456353834</v>
      </c>
      <c r="R2331">
        <v>-0.60794742206729424</v>
      </c>
      <c r="S2331">
        <v>0.25447914365128532</v>
      </c>
      <c r="T2331">
        <v>0.19412397584641769</v>
      </c>
      <c r="U2331">
        <v>4.4922587900326798</v>
      </c>
      <c r="V2331">
        <v>0.2003281251120857</v>
      </c>
      <c r="W2331">
        <v>8.4835194130718961</v>
      </c>
      <c r="X2331">
        <v>0.47868027438969912</v>
      </c>
      <c r="Z2331" t="s">
        <v>392</v>
      </c>
      <c r="AA2331">
        <v>9400</v>
      </c>
      <c r="AB2331" t="s">
        <v>2722</v>
      </c>
      <c r="AC2331" t="str">
        <f>HYPERLINK("plots/3FT6Y578R01_012_S11P_20251111092011_M5358ACSH101811_RBGEUFRF26/dpll_52046/txpa_55222.png","plot")</f>
        <v>plot</v>
      </c>
    </row>
    <row r="2332" spans="1:29" x14ac:dyDescent="0.35">
      <c r="A2332" s="2" t="s">
        <v>48</v>
      </c>
      <c r="B2332">
        <v>52046</v>
      </c>
      <c r="C2332" t="s">
        <v>51</v>
      </c>
      <c r="D2332">
        <v>55223</v>
      </c>
      <c r="E2332" t="s">
        <v>356</v>
      </c>
      <c r="F2332">
        <v>12239</v>
      </c>
      <c r="G2332">
        <v>0.84767428842532122</v>
      </c>
      <c r="H2332">
        <v>0</v>
      </c>
      <c r="I2332">
        <v>0</v>
      </c>
      <c r="J2332">
        <v>0.73198938485178711</v>
      </c>
      <c r="K2332">
        <v>0</v>
      </c>
      <c r="L2332">
        <v>0</v>
      </c>
      <c r="M2332">
        <v>0.53960290531314381</v>
      </c>
      <c r="N2332">
        <v>0</v>
      </c>
      <c r="O2332">
        <v>0</v>
      </c>
      <c r="P2332">
        <v>0.71855169925737472</v>
      </c>
      <c r="Q2332">
        <v>2.0319565128587711</v>
      </c>
      <c r="R2332">
        <v>-0.67294476663964709</v>
      </c>
      <c r="S2332">
        <v>0.25471669746989789</v>
      </c>
      <c r="T2332">
        <v>0.19529536882346291</v>
      </c>
      <c r="U2332">
        <v>4.4922505857504698</v>
      </c>
      <c r="V2332">
        <v>0.2003043790864783</v>
      </c>
      <c r="W2332">
        <v>8.4551130684696467</v>
      </c>
      <c r="X2332">
        <v>0.48014879440897262</v>
      </c>
      <c r="Z2332" t="s">
        <v>392</v>
      </c>
      <c r="AA2332">
        <v>9400</v>
      </c>
      <c r="AB2332" t="s">
        <v>2723</v>
      </c>
      <c r="AC2332" t="str">
        <f>HYPERLINK("plots/3FT6Y578R01_012_S11P_20251111092011_M5358ACSH101811_RBGEUFRF26/dpll_52046/txpa_55223.png","plot")</f>
        <v>plot</v>
      </c>
    </row>
    <row r="2333" spans="1:29" x14ac:dyDescent="0.35">
      <c r="A2333" s="2" t="s">
        <v>48</v>
      </c>
      <c r="B2333">
        <v>52046</v>
      </c>
      <c r="C2333" t="s">
        <v>51</v>
      </c>
      <c r="D2333">
        <v>55224</v>
      </c>
      <c r="E2333" t="s">
        <v>357</v>
      </c>
      <c r="F2333">
        <v>12238</v>
      </c>
      <c r="G2333">
        <v>0.84964801014103719</v>
      </c>
      <c r="H2333">
        <v>0</v>
      </c>
      <c r="I2333">
        <v>0</v>
      </c>
      <c r="J2333">
        <v>0.73536577914210544</v>
      </c>
      <c r="K2333">
        <v>0</v>
      </c>
      <c r="L2333">
        <v>0</v>
      </c>
      <c r="M2333">
        <v>0.54361236797799695</v>
      </c>
      <c r="N2333">
        <v>0</v>
      </c>
      <c r="O2333">
        <v>0</v>
      </c>
      <c r="P2333">
        <v>0.72190174113662409</v>
      </c>
      <c r="Q2333">
        <v>2.0362550632219261</v>
      </c>
      <c r="R2333">
        <v>-0.68358509259824451</v>
      </c>
      <c r="S2333">
        <v>0.25312976773824808</v>
      </c>
      <c r="T2333">
        <v>0.19451030085520751</v>
      </c>
      <c r="U2333">
        <v>4.4922651116195453</v>
      </c>
      <c r="V2333">
        <v>0.20029434949285149</v>
      </c>
      <c r="W2333">
        <v>8.4638124862722659</v>
      </c>
      <c r="X2333">
        <v>0.48002276050980192</v>
      </c>
      <c r="Z2333" t="s">
        <v>392</v>
      </c>
      <c r="AA2333">
        <v>9400</v>
      </c>
      <c r="AB2333" t="s">
        <v>2724</v>
      </c>
      <c r="AC2333" t="str">
        <f>HYPERLINK("plots/3FT6Y578R01_012_S11P_20251111092011_M5358ACSH101811_RBGEUFRF26/dpll_52046/txpa_55224.png","plot")</f>
        <v>plot</v>
      </c>
    </row>
    <row r="2334" spans="1:29" x14ac:dyDescent="0.35">
      <c r="A2334" s="2" t="s">
        <v>48</v>
      </c>
      <c r="B2334">
        <v>52046</v>
      </c>
      <c r="C2334" t="s">
        <v>51</v>
      </c>
      <c r="D2334">
        <v>55225</v>
      </c>
      <c r="E2334" t="s">
        <v>358</v>
      </c>
      <c r="F2334">
        <v>12239</v>
      </c>
      <c r="G2334">
        <v>0.84886297069886507</v>
      </c>
      <c r="H2334">
        <v>0</v>
      </c>
      <c r="I2334">
        <v>0</v>
      </c>
      <c r="J2334">
        <v>0.731736454802286</v>
      </c>
      <c r="K2334">
        <v>0</v>
      </c>
      <c r="L2334">
        <v>0</v>
      </c>
      <c r="M2334">
        <v>0.54060346661674041</v>
      </c>
      <c r="N2334">
        <v>0</v>
      </c>
      <c r="O2334">
        <v>0</v>
      </c>
      <c r="P2334">
        <v>0.72056834302370221</v>
      </c>
      <c r="Q2334">
        <v>2.0344437500505652</v>
      </c>
      <c r="R2334">
        <v>-0.67014913405338561</v>
      </c>
      <c r="S2334">
        <v>0.25376105853304959</v>
      </c>
      <c r="T2334">
        <v>0.1943260690562886</v>
      </c>
      <c r="U2334">
        <v>4.4922944304273233</v>
      </c>
      <c r="V2334">
        <v>0.20030731966924389</v>
      </c>
      <c r="W2334">
        <v>8.4691711933164466</v>
      </c>
      <c r="X2334">
        <v>0.48007038669029167</v>
      </c>
      <c r="Z2334" t="s">
        <v>392</v>
      </c>
      <c r="AA2334">
        <v>9400</v>
      </c>
      <c r="AB2334" t="s">
        <v>2725</v>
      </c>
      <c r="AC2334" t="str">
        <f>HYPERLINK("plots/3FT6Y578R01_012_S11P_20251111092011_M5358ACSH101811_RBGEUFRF26/dpll_52046/txpa_55225.png","plot")</f>
        <v>plot</v>
      </c>
    </row>
    <row r="2335" spans="1:29" x14ac:dyDescent="0.35">
      <c r="A2335" s="2" t="s">
        <v>48</v>
      </c>
      <c r="B2335">
        <v>52046</v>
      </c>
      <c r="C2335" t="s">
        <v>51</v>
      </c>
      <c r="D2335">
        <v>55226</v>
      </c>
      <c r="E2335" t="s">
        <v>359</v>
      </c>
      <c r="F2335">
        <v>12234</v>
      </c>
      <c r="G2335">
        <v>0.84462346596338334</v>
      </c>
      <c r="H2335">
        <v>0</v>
      </c>
      <c r="I2335">
        <v>0</v>
      </c>
      <c r="J2335">
        <v>0.72471650625156125</v>
      </c>
      <c r="K2335">
        <v>0</v>
      </c>
      <c r="L2335">
        <v>0</v>
      </c>
      <c r="M2335">
        <v>0.53413480265267288</v>
      </c>
      <c r="N2335">
        <v>0</v>
      </c>
      <c r="O2335">
        <v>0</v>
      </c>
      <c r="P2335">
        <v>0.71338879925599852</v>
      </c>
      <c r="Q2335">
        <v>2.012674735179329</v>
      </c>
      <c r="R2335">
        <v>-0.58483986798658449</v>
      </c>
      <c r="S2335">
        <v>0.2555105297400998</v>
      </c>
      <c r="T2335">
        <v>0.1953053623601316</v>
      </c>
      <c r="U2335">
        <v>4.4923853137976133</v>
      </c>
      <c r="V2335">
        <v>0.2002947294592593</v>
      </c>
      <c r="W2335">
        <v>8.4568705537845332</v>
      </c>
      <c r="X2335">
        <v>0.47728740417177429</v>
      </c>
      <c r="Z2335" t="s">
        <v>392</v>
      </c>
      <c r="AA2335">
        <v>9400</v>
      </c>
      <c r="AB2335" t="s">
        <v>2726</v>
      </c>
      <c r="AC2335" t="str">
        <f>HYPERLINK("plots/3FT6Y578R01_012_S11P_20251111092011_M5358ACSH101811_RBGEUFRF26/dpll_52046/txpa_55226.png","plot")</f>
        <v>plot</v>
      </c>
    </row>
    <row r="2336" spans="1:29" x14ac:dyDescent="0.35">
      <c r="A2336" s="2" t="s">
        <v>48</v>
      </c>
      <c r="B2336">
        <v>52046</v>
      </c>
      <c r="C2336" t="s">
        <v>51</v>
      </c>
      <c r="D2336">
        <v>55227</v>
      </c>
      <c r="E2336" t="s">
        <v>360</v>
      </c>
      <c r="F2336">
        <v>12227</v>
      </c>
      <c r="G2336">
        <v>0.83040586558835561</v>
      </c>
      <c r="H2336">
        <v>0</v>
      </c>
      <c r="I2336">
        <v>0</v>
      </c>
      <c r="J2336">
        <v>0.72327319292310488</v>
      </c>
      <c r="K2336">
        <v>0</v>
      </c>
      <c r="L2336">
        <v>0</v>
      </c>
      <c r="M2336">
        <v>0.53048186900217753</v>
      </c>
      <c r="N2336">
        <v>0</v>
      </c>
      <c r="O2336">
        <v>0</v>
      </c>
      <c r="P2336">
        <v>0.68957390160354615</v>
      </c>
      <c r="Q2336">
        <v>2.037374826434077</v>
      </c>
      <c r="R2336">
        <v>-0.25765416919854012</v>
      </c>
      <c r="S2336">
        <v>0.27354420969192239</v>
      </c>
      <c r="T2336">
        <v>0.20451801553427509</v>
      </c>
      <c r="U2336">
        <v>4.4926207162836347</v>
      </c>
      <c r="V2336">
        <v>0.200117765860232</v>
      </c>
      <c r="W2336">
        <v>8.8954981828739683</v>
      </c>
      <c r="X2336">
        <v>0.49098268133859158</v>
      </c>
      <c r="Z2336" t="s">
        <v>392</v>
      </c>
      <c r="AA2336">
        <v>9400</v>
      </c>
      <c r="AB2336" t="s">
        <v>2727</v>
      </c>
      <c r="AC2336" t="str">
        <f>HYPERLINK("plots/3FT6Y578R01_012_S11P_20251111092011_M5358ACSH101811_RBGEUFRF26/dpll_52046/txpa_55227.png","plot")</f>
        <v>plot</v>
      </c>
    </row>
    <row r="2337" spans="1:29" x14ac:dyDescent="0.35">
      <c r="A2337" s="2" t="s">
        <v>48</v>
      </c>
      <c r="B2337">
        <v>52046</v>
      </c>
      <c r="C2337" t="s">
        <v>51</v>
      </c>
      <c r="D2337">
        <v>55228</v>
      </c>
      <c r="E2337" t="s">
        <v>361</v>
      </c>
      <c r="F2337">
        <v>12234</v>
      </c>
      <c r="G2337">
        <v>0.84128496380704321</v>
      </c>
      <c r="H2337">
        <v>0</v>
      </c>
      <c r="I2337">
        <v>0</v>
      </c>
      <c r="J2337">
        <v>0.7316539440287273</v>
      </c>
      <c r="K2337">
        <v>0</v>
      </c>
      <c r="L2337">
        <v>0</v>
      </c>
      <c r="M2337">
        <v>0.53964823416039842</v>
      </c>
      <c r="N2337">
        <v>0</v>
      </c>
      <c r="O2337">
        <v>0</v>
      </c>
      <c r="P2337">
        <v>0.70776039032781801</v>
      </c>
      <c r="Q2337">
        <v>2.0697668336984951</v>
      </c>
      <c r="R2337">
        <v>-0.37158920275073898</v>
      </c>
      <c r="S2337">
        <v>0.26629958712759849</v>
      </c>
      <c r="T2337">
        <v>0.2018481560976455</v>
      </c>
      <c r="U2337">
        <v>4.4923998598986437</v>
      </c>
      <c r="V2337">
        <v>0.20023519136942419</v>
      </c>
      <c r="W2337">
        <v>8.9266310309792374</v>
      </c>
      <c r="X2337">
        <v>0.49262755887167048</v>
      </c>
      <c r="Z2337" t="s">
        <v>392</v>
      </c>
      <c r="AA2337">
        <v>9400</v>
      </c>
      <c r="AB2337" t="s">
        <v>2728</v>
      </c>
      <c r="AC2337" t="str">
        <f>HYPERLINK("plots/3FT6Y578R01_012_S11P_20251111092011_M5358ACSH101811_RBGEUFRF26/dpll_52046/txpa_55228.png","plot")</f>
        <v>plot</v>
      </c>
    </row>
    <row r="2338" spans="1:29" x14ac:dyDescent="0.35">
      <c r="A2338" s="2" t="s">
        <v>48</v>
      </c>
      <c r="B2338">
        <v>52046</v>
      </c>
      <c r="C2338" t="s">
        <v>51</v>
      </c>
      <c r="D2338">
        <v>55229</v>
      </c>
      <c r="E2338" t="s">
        <v>362</v>
      </c>
      <c r="F2338">
        <v>12236</v>
      </c>
      <c r="G2338">
        <v>0.8406078746862945</v>
      </c>
      <c r="H2338">
        <v>0</v>
      </c>
      <c r="I2338">
        <v>0</v>
      </c>
      <c r="J2338">
        <v>0.72899357178130464</v>
      </c>
      <c r="K2338">
        <v>0</v>
      </c>
      <c r="L2338">
        <v>0</v>
      </c>
      <c r="M2338">
        <v>0.53678242920143815</v>
      </c>
      <c r="N2338">
        <v>0</v>
      </c>
      <c r="O2338">
        <v>0</v>
      </c>
      <c r="P2338">
        <v>0.70662159898460897</v>
      </c>
      <c r="Q2338">
        <v>2.0533993702015811</v>
      </c>
      <c r="R2338">
        <v>-0.28626176590460689</v>
      </c>
      <c r="S2338">
        <v>0.26496909659299411</v>
      </c>
      <c r="T2338">
        <v>0.20025409458159471</v>
      </c>
      <c r="U2338">
        <v>4.4923670004086302</v>
      </c>
      <c r="V2338">
        <v>0.20027139979607531</v>
      </c>
      <c r="W2338">
        <v>8.9383618034488403</v>
      </c>
      <c r="X2338">
        <v>0.48921403022083232</v>
      </c>
      <c r="Z2338" t="s">
        <v>392</v>
      </c>
      <c r="AA2338">
        <v>9400</v>
      </c>
      <c r="AB2338" t="s">
        <v>2729</v>
      </c>
      <c r="AC2338" t="str">
        <f>HYPERLINK("plots/3FT6Y578R01_012_S11P_20251111092011_M5358ACSH101811_RBGEUFRF26/dpll_52046/txpa_55229.png","plot")</f>
        <v>plot</v>
      </c>
    </row>
    <row r="2339" spans="1:29" x14ac:dyDescent="0.35">
      <c r="A2339" s="2" t="s">
        <v>48</v>
      </c>
      <c r="B2339">
        <v>52046</v>
      </c>
      <c r="C2339" t="s">
        <v>51</v>
      </c>
      <c r="D2339">
        <v>55230</v>
      </c>
      <c r="E2339" t="s">
        <v>363</v>
      </c>
      <c r="F2339">
        <v>12240</v>
      </c>
      <c r="G2339">
        <v>0.8475657760736709</v>
      </c>
      <c r="H2339">
        <v>0</v>
      </c>
      <c r="I2339">
        <v>0</v>
      </c>
      <c r="J2339">
        <v>0.73397666540386253</v>
      </c>
      <c r="K2339">
        <v>0</v>
      </c>
      <c r="L2339">
        <v>0</v>
      </c>
      <c r="M2339">
        <v>0.54204541808880824</v>
      </c>
      <c r="N2339">
        <v>0</v>
      </c>
      <c r="O2339">
        <v>0</v>
      </c>
      <c r="P2339">
        <v>0.718367744771364</v>
      </c>
      <c r="Q2339">
        <v>2.080509937873972</v>
      </c>
      <c r="R2339">
        <v>-0.39552564856665379</v>
      </c>
      <c r="S2339">
        <v>0.26095268153806161</v>
      </c>
      <c r="T2339">
        <v>0.19880959869681919</v>
      </c>
      <c r="U2339">
        <v>4.4922587900326798</v>
      </c>
      <c r="V2339">
        <v>0.2003281251120857</v>
      </c>
      <c r="W2339">
        <v>8.9506634075980394</v>
      </c>
      <c r="X2339">
        <v>0.49174313887719728</v>
      </c>
      <c r="Z2339" t="s">
        <v>392</v>
      </c>
      <c r="AA2339">
        <v>9400</v>
      </c>
      <c r="AB2339" t="s">
        <v>2730</v>
      </c>
      <c r="AC2339" t="str">
        <f>HYPERLINK("plots/3FT6Y578R01_012_S11P_20251111092011_M5358ACSH101811_RBGEUFRF26/dpll_52046/txpa_55230.png","plot")</f>
        <v>plot</v>
      </c>
    </row>
    <row r="2340" spans="1:29" x14ac:dyDescent="0.35">
      <c r="A2340" s="2" t="s">
        <v>48</v>
      </c>
      <c r="B2340">
        <v>52046</v>
      </c>
      <c r="C2340" t="s">
        <v>51</v>
      </c>
      <c r="D2340">
        <v>55231</v>
      </c>
      <c r="E2340" t="s">
        <v>364</v>
      </c>
      <c r="F2340">
        <v>12239</v>
      </c>
      <c r="G2340">
        <v>0.84823341574020483</v>
      </c>
      <c r="H2340">
        <v>0</v>
      </c>
      <c r="I2340">
        <v>0</v>
      </c>
      <c r="J2340">
        <v>0.73176274691197485</v>
      </c>
      <c r="K2340">
        <v>0</v>
      </c>
      <c r="L2340">
        <v>0</v>
      </c>
      <c r="M2340">
        <v>0.53952207908626071</v>
      </c>
      <c r="N2340">
        <v>0</v>
      </c>
      <c r="O2340">
        <v>0</v>
      </c>
      <c r="P2340">
        <v>0.71949992757829517</v>
      </c>
      <c r="Q2340">
        <v>2.089071227598378</v>
      </c>
      <c r="R2340">
        <v>-0.4630030115857604</v>
      </c>
      <c r="S2340">
        <v>0.26126248918483852</v>
      </c>
      <c r="T2340">
        <v>0.20000279846177069</v>
      </c>
      <c r="U2340">
        <v>4.4922505857504698</v>
      </c>
      <c r="V2340">
        <v>0.2003043790864783</v>
      </c>
      <c r="W2340">
        <v>8.9216284342675056</v>
      </c>
      <c r="X2340">
        <v>0.49331953604582129</v>
      </c>
      <c r="Z2340" t="s">
        <v>392</v>
      </c>
      <c r="AA2340">
        <v>9400</v>
      </c>
      <c r="AB2340" t="s">
        <v>2731</v>
      </c>
      <c r="AC2340" t="str">
        <f>HYPERLINK("plots/3FT6Y578R01_012_S11P_20251111092011_M5358ACSH101811_RBGEUFRF26/dpll_52046/txpa_55231.png","plot")</f>
        <v>plot</v>
      </c>
    </row>
    <row r="2341" spans="1:29" x14ac:dyDescent="0.35">
      <c r="A2341" s="2" t="s">
        <v>48</v>
      </c>
      <c r="B2341">
        <v>52046</v>
      </c>
      <c r="C2341" t="s">
        <v>51</v>
      </c>
      <c r="D2341">
        <v>55232</v>
      </c>
      <c r="E2341" t="s">
        <v>365</v>
      </c>
      <c r="F2341">
        <v>12238</v>
      </c>
      <c r="G2341">
        <v>0.85023655212891902</v>
      </c>
      <c r="H2341">
        <v>0</v>
      </c>
      <c r="I2341">
        <v>0</v>
      </c>
      <c r="J2341">
        <v>0.73519013564324809</v>
      </c>
      <c r="K2341">
        <v>0</v>
      </c>
      <c r="L2341">
        <v>0</v>
      </c>
      <c r="M2341">
        <v>0.54360796064075856</v>
      </c>
      <c r="N2341">
        <v>0</v>
      </c>
      <c r="O2341">
        <v>0</v>
      </c>
      <c r="P2341">
        <v>0.72290219457607208</v>
      </c>
      <c r="Q2341">
        <v>2.0933296227108449</v>
      </c>
      <c r="R2341">
        <v>-0.47290427846991528</v>
      </c>
      <c r="S2341">
        <v>0.25957648300476671</v>
      </c>
      <c r="T2341">
        <v>0.19919011619090229</v>
      </c>
      <c r="U2341">
        <v>4.4922651116195453</v>
      </c>
      <c r="V2341">
        <v>0.20029434949285149</v>
      </c>
      <c r="W2341">
        <v>8.9308873527537198</v>
      </c>
      <c r="X2341">
        <v>0.49313581497424291</v>
      </c>
      <c r="Z2341" t="s">
        <v>392</v>
      </c>
      <c r="AA2341">
        <v>9400</v>
      </c>
      <c r="AB2341" t="s">
        <v>2732</v>
      </c>
      <c r="AC2341" t="str">
        <f>HYPERLINK("plots/3FT6Y578R01_012_S11P_20251111092011_M5358ACSH101811_RBGEUFRF26/dpll_52046/txpa_55232.png","plot")</f>
        <v>plot</v>
      </c>
    </row>
    <row r="2342" spans="1:29" x14ac:dyDescent="0.35">
      <c r="A2342" s="2" t="s">
        <v>48</v>
      </c>
      <c r="B2342">
        <v>52046</v>
      </c>
      <c r="C2342" t="s">
        <v>51</v>
      </c>
      <c r="D2342">
        <v>55233</v>
      </c>
      <c r="E2342" t="s">
        <v>366</v>
      </c>
      <c r="F2342">
        <v>12236</v>
      </c>
      <c r="G2342">
        <v>0.84984000860336695</v>
      </c>
      <c r="H2342">
        <v>0</v>
      </c>
      <c r="I2342">
        <v>0</v>
      </c>
      <c r="J2342">
        <v>0.73146214139207277</v>
      </c>
      <c r="K2342">
        <v>0</v>
      </c>
      <c r="L2342">
        <v>0</v>
      </c>
      <c r="M2342">
        <v>0.54057338438265201</v>
      </c>
      <c r="N2342">
        <v>0</v>
      </c>
      <c r="O2342">
        <v>0</v>
      </c>
      <c r="P2342">
        <v>0.72222804022297082</v>
      </c>
      <c r="Q2342">
        <v>2.0897803330185289</v>
      </c>
      <c r="R2342">
        <v>-0.45129347677660903</v>
      </c>
      <c r="S2342">
        <v>0.25954508267038973</v>
      </c>
      <c r="T2342">
        <v>0.1986913848342394</v>
      </c>
      <c r="U2342">
        <v>4.4923686556064082</v>
      </c>
      <c r="V2342">
        <v>0.20027322263016731</v>
      </c>
      <c r="W2342">
        <v>8.9367701883785546</v>
      </c>
      <c r="X2342">
        <v>0.49247745180951819</v>
      </c>
      <c r="Z2342" t="s">
        <v>392</v>
      </c>
      <c r="AA2342">
        <v>9400</v>
      </c>
      <c r="AB2342" t="s">
        <v>2733</v>
      </c>
      <c r="AC2342" t="str">
        <f>HYPERLINK("plots/3FT6Y578R01_012_S11P_20251111092011_M5358ACSH101811_RBGEUFRF26/dpll_52046/txpa_55233.png","plot")</f>
        <v>plot</v>
      </c>
    </row>
    <row r="2343" spans="1:29" x14ac:dyDescent="0.35">
      <c r="A2343" s="2" t="s">
        <v>48</v>
      </c>
      <c r="B2343">
        <v>52046</v>
      </c>
      <c r="C2343" t="s">
        <v>51</v>
      </c>
      <c r="D2343">
        <v>55234</v>
      </c>
      <c r="E2343" t="s">
        <v>367</v>
      </c>
      <c r="F2343">
        <v>12232</v>
      </c>
      <c r="G2343">
        <v>0.84539568376254082</v>
      </c>
      <c r="H2343">
        <v>0</v>
      </c>
      <c r="I2343">
        <v>0</v>
      </c>
      <c r="J2343">
        <v>0.7242386683186034</v>
      </c>
      <c r="K2343">
        <v>0</v>
      </c>
      <c r="L2343">
        <v>0</v>
      </c>
      <c r="M2343">
        <v>0.53386811355449648</v>
      </c>
      <c r="N2343">
        <v>0</v>
      </c>
      <c r="O2343">
        <v>0</v>
      </c>
      <c r="P2343">
        <v>0.71469386212433395</v>
      </c>
      <c r="Q2343">
        <v>2.067816300689139</v>
      </c>
      <c r="R2343">
        <v>-0.36462122787504292</v>
      </c>
      <c r="S2343">
        <v>0.26164949290749712</v>
      </c>
      <c r="T2343">
        <v>0.19995027190995471</v>
      </c>
      <c r="U2343">
        <v>4.4924320164323088</v>
      </c>
      <c r="V2343">
        <v>0.2002765791086932</v>
      </c>
      <c r="W2343">
        <v>8.9249029254414651</v>
      </c>
      <c r="X2343">
        <v>0.48987140918918892</v>
      </c>
      <c r="Z2343" t="s">
        <v>392</v>
      </c>
      <c r="AA2343">
        <v>9400</v>
      </c>
      <c r="AB2343" t="s">
        <v>2734</v>
      </c>
      <c r="AC2343" t="str">
        <f>HYPERLINK("plots/3FT6Y578R01_012_S11P_20251111092011_M5358ACSH101811_RBGEUFRF26/dpll_52046/txpa_55234.png","plot")</f>
        <v>plot</v>
      </c>
    </row>
    <row r="2344" spans="1:29" x14ac:dyDescent="0.35">
      <c r="A2344" s="2" t="s">
        <v>48</v>
      </c>
      <c r="B2344">
        <v>52046</v>
      </c>
      <c r="C2344" t="s">
        <v>51</v>
      </c>
      <c r="D2344">
        <v>55235</v>
      </c>
      <c r="E2344" t="s">
        <v>368</v>
      </c>
      <c r="F2344">
        <v>12225</v>
      </c>
      <c r="G2344">
        <v>0.83163867813839654</v>
      </c>
      <c r="H2344">
        <v>0</v>
      </c>
      <c r="I2344">
        <v>0</v>
      </c>
      <c r="J2344">
        <v>0.72322165468489041</v>
      </c>
      <c r="K2344">
        <v>0</v>
      </c>
      <c r="L2344">
        <v>0</v>
      </c>
      <c r="M2344">
        <v>0.53055228323651416</v>
      </c>
      <c r="N2344">
        <v>0</v>
      </c>
      <c r="O2344">
        <v>0</v>
      </c>
      <c r="P2344">
        <v>0.69162289097577956</v>
      </c>
      <c r="Q2344">
        <v>2.098493384737111</v>
      </c>
      <c r="R2344">
        <v>-8.2981539435845519E-2</v>
      </c>
      <c r="S2344">
        <v>0.28036774280350252</v>
      </c>
      <c r="T2344">
        <v>0.2095397630792622</v>
      </c>
      <c r="U2344">
        <v>4.4926704186503068</v>
      </c>
      <c r="V2344">
        <v>0.20009296380937841</v>
      </c>
      <c r="W2344">
        <v>9.3448576139059298</v>
      </c>
      <c r="X2344">
        <v>0.50489926926720718</v>
      </c>
      <c r="Z2344" t="s">
        <v>392</v>
      </c>
      <c r="AA2344">
        <v>9400</v>
      </c>
      <c r="AB2344" t="s">
        <v>2735</v>
      </c>
      <c r="AC2344" t="str">
        <f>HYPERLINK("plots/3FT6Y578R01_012_S11P_20251111092011_M5358ACSH101811_RBGEUFRF26/dpll_52046/txpa_55235.png","plot")</f>
        <v>plot</v>
      </c>
    </row>
    <row r="2345" spans="1:29" x14ac:dyDescent="0.35">
      <c r="A2345" s="2" t="s">
        <v>48</v>
      </c>
      <c r="B2345">
        <v>52046</v>
      </c>
      <c r="C2345" t="s">
        <v>51</v>
      </c>
      <c r="D2345">
        <v>55236</v>
      </c>
      <c r="E2345" t="s">
        <v>369</v>
      </c>
      <c r="F2345">
        <v>12232</v>
      </c>
      <c r="G2345">
        <v>0.84243071622720556</v>
      </c>
      <c r="H2345">
        <v>0</v>
      </c>
      <c r="I2345">
        <v>0</v>
      </c>
      <c r="J2345">
        <v>0.73139855281655719</v>
      </c>
      <c r="K2345">
        <v>0</v>
      </c>
      <c r="L2345">
        <v>0</v>
      </c>
      <c r="M2345">
        <v>0.53956272152169615</v>
      </c>
      <c r="N2345">
        <v>0</v>
      </c>
      <c r="O2345">
        <v>0</v>
      </c>
      <c r="P2345">
        <v>0.70968951164308258</v>
      </c>
      <c r="Q2345">
        <v>2.131360396242294</v>
      </c>
      <c r="R2345">
        <v>-0.19878959042276459</v>
      </c>
      <c r="S2345">
        <v>0.27294024921091548</v>
      </c>
      <c r="T2345">
        <v>0.2068621708165739</v>
      </c>
      <c r="U2345">
        <v>4.4924365111183766</v>
      </c>
      <c r="V2345">
        <v>0.20023098115780091</v>
      </c>
      <c r="W2345">
        <v>9.3762116720078481</v>
      </c>
      <c r="X2345">
        <v>0.506586921772893</v>
      </c>
      <c r="Z2345" t="s">
        <v>392</v>
      </c>
      <c r="AA2345">
        <v>9400</v>
      </c>
      <c r="AB2345" t="s">
        <v>2736</v>
      </c>
      <c r="AC2345" t="str">
        <f>HYPERLINK("plots/3FT6Y578R01_012_S11P_20251111092011_M5358ACSH101811_RBGEUFRF26/dpll_52046/txpa_55236.png","plot")</f>
        <v>plot</v>
      </c>
    </row>
    <row r="2346" spans="1:29" x14ac:dyDescent="0.35">
      <c r="A2346" s="2" t="s">
        <v>48</v>
      </c>
      <c r="B2346">
        <v>52046</v>
      </c>
      <c r="C2346" t="s">
        <v>51</v>
      </c>
      <c r="D2346">
        <v>55237</v>
      </c>
      <c r="E2346" t="s">
        <v>370</v>
      </c>
      <c r="F2346">
        <v>12232</v>
      </c>
      <c r="G2346">
        <v>0.84234893922542853</v>
      </c>
      <c r="H2346">
        <v>0</v>
      </c>
      <c r="I2346">
        <v>0</v>
      </c>
      <c r="J2346">
        <v>0.72886456633162511</v>
      </c>
      <c r="K2346">
        <v>0</v>
      </c>
      <c r="L2346">
        <v>0</v>
      </c>
      <c r="M2346">
        <v>0.53686446894810302</v>
      </c>
      <c r="N2346">
        <v>0</v>
      </c>
      <c r="O2346">
        <v>0</v>
      </c>
      <c r="P2346">
        <v>0.70955173541420469</v>
      </c>
      <c r="Q2346">
        <v>2.1142867414190878</v>
      </c>
      <c r="R2346">
        <v>-0.1098550762227113</v>
      </c>
      <c r="S2346">
        <v>0.27087153194302338</v>
      </c>
      <c r="T2346">
        <v>0.2049269036719133</v>
      </c>
      <c r="U2346">
        <v>4.4924430549378682</v>
      </c>
      <c r="V2346">
        <v>0.2002510818507631</v>
      </c>
      <c r="W2346">
        <v>9.3884577114126877</v>
      </c>
      <c r="X2346">
        <v>0.50262805305034075</v>
      </c>
      <c r="Z2346" t="s">
        <v>392</v>
      </c>
      <c r="AA2346">
        <v>9400</v>
      </c>
      <c r="AB2346" t="s">
        <v>2737</v>
      </c>
      <c r="AC2346" t="str">
        <f>HYPERLINK("plots/3FT6Y578R01_012_S11P_20251111092011_M5358ACSH101811_RBGEUFRF26/dpll_52046/txpa_55237.png","plot")</f>
        <v>plot</v>
      </c>
    </row>
    <row r="2347" spans="1:29" x14ac:dyDescent="0.35">
      <c r="A2347" s="2" t="s">
        <v>48</v>
      </c>
      <c r="B2347">
        <v>52046</v>
      </c>
      <c r="C2347" t="s">
        <v>51</v>
      </c>
      <c r="D2347">
        <v>55238</v>
      </c>
      <c r="E2347" t="s">
        <v>371</v>
      </c>
      <c r="F2347">
        <v>12239</v>
      </c>
      <c r="G2347">
        <v>0.8483257365051291</v>
      </c>
      <c r="H2347">
        <v>0</v>
      </c>
      <c r="I2347">
        <v>0</v>
      </c>
      <c r="J2347">
        <v>0.73356920803695469</v>
      </c>
      <c r="K2347">
        <v>0</v>
      </c>
      <c r="L2347">
        <v>0</v>
      </c>
      <c r="M2347">
        <v>0.54181170633286124</v>
      </c>
      <c r="N2347">
        <v>0</v>
      </c>
      <c r="O2347">
        <v>0</v>
      </c>
      <c r="P2347">
        <v>0.7196565552169697</v>
      </c>
      <c r="Q2347">
        <v>2.1434889147198248</v>
      </c>
      <c r="R2347">
        <v>-0.22956293917818901</v>
      </c>
      <c r="S2347">
        <v>0.26797689530918473</v>
      </c>
      <c r="T2347">
        <v>0.20396753674036491</v>
      </c>
      <c r="U2347">
        <v>4.4922858152626857</v>
      </c>
      <c r="V2347">
        <v>0.20031399496326899</v>
      </c>
      <c r="W2347">
        <v>9.3996019075904886</v>
      </c>
      <c r="X2347">
        <v>0.50613910340136659</v>
      </c>
      <c r="Z2347" t="s">
        <v>392</v>
      </c>
      <c r="AA2347">
        <v>9400</v>
      </c>
      <c r="AB2347" t="s">
        <v>2738</v>
      </c>
      <c r="AC2347" t="str">
        <f>HYPERLINK("plots/3FT6Y578R01_012_S11P_20251111092011_M5358ACSH101811_RBGEUFRF26/dpll_52046/txpa_55238.png","plot")</f>
        <v>plot</v>
      </c>
    </row>
    <row r="2348" spans="1:29" x14ac:dyDescent="0.35">
      <c r="A2348" s="2" t="s">
        <v>48</v>
      </c>
      <c r="B2348">
        <v>52046</v>
      </c>
      <c r="C2348" t="s">
        <v>51</v>
      </c>
      <c r="D2348">
        <v>55239</v>
      </c>
      <c r="E2348" t="s">
        <v>372</v>
      </c>
      <c r="F2348">
        <v>12237</v>
      </c>
      <c r="G2348">
        <v>0.84857108030935091</v>
      </c>
      <c r="H2348">
        <v>0</v>
      </c>
      <c r="I2348">
        <v>0</v>
      </c>
      <c r="J2348">
        <v>0.73120579191764756</v>
      </c>
      <c r="K2348">
        <v>0</v>
      </c>
      <c r="L2348">
        <v>0</v>
      </c>
      <c r="M2348">
        <v>0.53926152759196289</v>
      </c>
      <c r="N2348">
        <v>0</v>
      </c>
      <c r="O2348">
        <v>0</v>
      </c>
      <c r="P2348">
        <v>0.72007287833737887</v>
      </c>
      <c r="Q2348">
        <v>2.1500320069543961</v>
      </c>
      <c r="R2348">
        <v>-0.28811893696458668</v>
      </c>
      <c r="S2348">
        <v>0.26846471833152069</v>
      </c>
      <c r="T2348">
        <v>0.2050761856443355</v>
      </c>
      <c r="U2348">
        <v>4.4923071067255052</v>
      </c>
      <c r="V2348">
        <v>0.20027455566394889</v>
      </c>
      <c r="W2348">
        <v>9.3704851275639456</v>
      </c>
      <c r="X2348">
        <v>0.50743740253212921</v>
      </c>
      <c r="Z2348" t="s">
        <v>392</v>
      </c>
      <c r="AA2348">
        <v>9400</v>
      </c>
      <c r="AB2348" t="s">
        <v>2739</v>
      </c>
      <c r="AC2348" t="str">
        <f>HYPERLINK("plots/3FT6Y578R01_012_S11P_20251111092011_M5358ACSH101811_RBGEUFRF26/dpll_52046/txpa_55239.png","plot")</f>
        <v>plot</v>
      </c>
    </row>
    <row r="2349" spans="1:29" x14ac:dyDescent="0.35">
      <c r="A2349" s="2" t="s">
        <v>48</v>
      </c>
      <c r="B2349">
        <v>52046</v>
      </c>
      <c r="C2349" t="s">
        <v>51</v>
      </c>
      <c r="D2349">
        <v>55240</v>
      </c>
      <c r="E2349" t="s">
        <v>373</v>
      </c>
      <c r="F2349">
        <v>12238</v>
      </c>
      <c r="G2349">
        <v>0.85089648430587217</v>
      </c>
      <c r="H2349">
        <v>0</v>
      </c>
      <c r="I2349">
        <v>0</v>
      </c>
      <c r="J2349">
        <v>0.73490178926965022</v>
      </c>
      <c r="K2349">
        <v>0</v>
      </c>
      <c r="L2349">
        <v>0</v>
      </c>
      <c r="M2349">
        <v>0.54350258741681223</v>
      </c>
      <c r="N2349">
        <v>0</v>
      </c>
      <c r="O2349">
        <v>0</v>
      </c>
      <c r="P2349">
        <v>0.72402482700409332</v>
      </c>
      <c r="Q2349">
        <v>2.1572681781500909</v>
      </c>
      <c r="R2349">
        <v>-0.31095684439686799</v>
      </c>
      <c r="S2349">
        <v>0.26675549124433778</v>
      </c>
      <c r="T2349">
        <v>0.20438981529295339</v>
      </c>
      <c r="U2349">
        <v>4.4922651116195453</v>
      </c>
      <c r="V2349">
        <v>0.20029434949285149</v>
      </c>
      <c r="W2349">
        <v>9.3800637287138429</v>
      </c>
      <c r="X2349">
        <v>0.50780398602384891</v>
      </c>
      <c r="Z2349" t="s">
        <v>392</v>
      </c>
      <c r="AA2349">
        <v>9400</v>
      </c>
      <c r="AB2349" t="s">
        <v>2740</v>
      </c>
      <c r="AC2349" t="str">
        <f>HYPERLINK("plots/3FT6Y578R01_012_S11P_20251111092011_M5358ACSH101811_RBGEUFRF26/dpll_52046/txpa_55240.png","plot")</f>
        <v>plot</v>
      </c>
    </row>
    <row r="2350" spans="1:29" x14ac:dyDescent="0.35">
      <c r="A2350" s="2" t="s">
        <v>48</v>
      </c>
      <c r="B2350">
        <v>52046</v>
      </c>
      <c r="C2350" t="s">
        <v>51</v>
      </c>
      <c r="D2350">
        <v>55241</v>
      </c>
      <c r="E2350" t="s">
        <v>374</v>
      </c>
      <c r="F2350">
        <v>12234</v>
      </c>
      <c r="G2350">
        <v>0.85084649746939678</v>
      </c>
      <c r="H2350">
        <v>0</v>
      </c>
      <c r="I2350">
        <v>0</v>
      </c>
      <c r="J2350">
        <v>0.73113712477037407</v>
      </c>
      <c r="K2350">
        <v>0</v>
      </c>
      <c r="L2350">
        <v>0</v>
      </c>
      <c r="M2350">
        <v>0.54048978196452935</v>
      </c>
      <c r="N2350">
        <v>0</v>
      </c>
      <c r="O2350">
        <v>0</v>
      </c>
      <c r="P2350">
        <v>0.72393976225594026</v>
      </c>
      <c r="Q2350">
        <v>2.1523392200463252</v>
      </c>
      <c r="R2350">
        <v>-0.28299206655176512</v>
      </c>
      <c r="S2350">
        <v>0.26616470103714879</v>
      </c>
      <c r="T2350">
        <v>0.20366185649871779</v>
      </c>
      <c r="U2350">
        <v>4.4924081197482426</v>
      </c>
      <c r="V2350">
        <v>0.2002657935256115</v>
      </c>
      <c r="W2350">
        <v>9.3861941220369456</v>
      </c>
      <c r="X2350">
        <v>0.50660127663553878</v>
      </c>
      <c r="Z2350" t="s">
        <v>392</v>
      </c>
      <c r="AA2350">
        <v>9400</v>
      </c>
      <c r="AB2350" t="s">
        <v>2741</v>
      </c>
      <c r="AC2350" t="str">
        <f>HYPERLINK("plots/3FT6Y578R01_012_S11P_20251111092011_M5358ACSH101811_RBGEUFRF26/dpll_52046/txpa_55241.png","plot")</f>
        <v>plot</v>
      </c>
    </row>
    <row r="2351" spans="1:29" x14ac:dyDescent="0.35">
      <c r="A2351" s="2" t="s">
        <v>48</v>
      </c>
      <c r="B2351">
        <v>52046</v>
      </c>
      <c r="C2351" t="s">
        <v>51</v>
      </c>
      <c r="D2351">
        <v>55242</v>
      </c>
      <c r="E2351" t="s">
        <v>375</v>
      </c>
      <c r="F2351">
        <v>12228</v>
      </c>
      <c r="G2351">
        <v>0.84631245462824933</v>
      </c>
      <c r="H2351">
        <v>0</v>
      </c>
      <c r="I2351">
        <v>0</v>
      </c>
      <c r="J2351">
        <v>0.72375588247835076</v>
      </c>
      <c r="K2351">
        <v>0</v>
      </c>
      <c r="L2351">
        <v>0</v>
      </c>
      <c r="M2351">
        <v>0.53360162165182057</v>
      </c>
      <c r="N2351">
        <v>0</v>
      </c>
      <c r="O2351">
        <v>0</v>
      </c>
      <c r="P2351">
        <v>0.7162447708588926</v>
      </c>
      <c r="Q2351">
        <v>2.1278844374090702</v>
      </c>
      <c r="R2351">
        <v>-0.1847095703712309</v>
      </c>
      <c r="S2351">
        <v>0.26814676475944621</v>
      </c>
      <c r="T2351">
        <v>0.20492332507263189</v>
      </c>
      <c r="U2351">
        <v>4.4925410964180577</v>
      </c>
      <c r="V2351">
        <v>0.20021705888274829</v>
      </c>
      <c r="W2351">
        <v>9.3748987131174353</v>
      </c>
      <c r="X2351">
        <v>0.50340599546955378</v>
      </c>
      <c r="Z2351" t="s">
        <v>392</v>
      </c>
      <c r="AA2351">
        <v>9400</v>
      </c>
      <c r="AB2351" t="s">
        <v>2742</v>
      </c>
      <c r="AC2351" t="str">
        <f>HYPERLINK("plots/3FT6Y578R01_012_S11P_20251111092011_M5358ACSH101811_RBGEUFRF26/dpll_52046/txpa_55242.png","plot")</f>
        <v>plot</v>
      </c>
    </row>
    <row r="2352" spans="1:29" x14ac:dyDescent="0.35">
      <c r="A2352" s="2" t="s">
        <v>48</v>
      </c>
      <c r="B2352">
        <v>52046</v>
      </c>
      <c r="C2352" t="s">
        <v>51</v>
      </c>
      <c r="D2352">
        <v>55243</v>
      </c>
      <c r="E2352" t="s">
        <v>376</v>
      </c>
      <c r="F2352">
        <v>12203</v>
      </c>
      <c r="G2352">
        <v>0.83760953652227443</v>
      </c>
      <c r="H2352">
        <v>0</v>
      </c>
      <c r="I2352">
        <v>0</v>
      </c>
      <c r="J2352">
        <v>0.71992327870021322</v>
      </c>
      <c r="K2352">
        <v>0</v>
      </c>
      <c r="L2352">
        <v>0</v>
      </c>
      <c r="M2352">
        <v>0.52848439523711643</v>
      </c>
      <c r="N2352">
        <v>0</v>
      </c>
      <c r="O2352">
        <v>0</v>
      </c>
      <c r="P2352">
        <v>0.70158973567305938</v>
      </c>
      <c r="Q2352">
        <v>2.3753655894145229</v>
      </c>
      <c r="R2352">
        <v>7.7052398877038186E-2</v>
      </c>
      <c r="S2352">
        <v>0.3096863498119295</v>
      </c>
      <c r="T2352">
        <v>0.2334748385413167</v>
      </c>
      <c r="U2352">
        <v>4.4931420447430961</v>
      </c>
      <c r="V2352">
        <v>0.19991442508309359</v>
      </c>
      <c r="W2352">
        <v>10.7499074003114</v>
      </c>
      <c r="X2352">
        <v>0.56693462223652713</v>
      </c>
      <c r="Z2352" t="s">
        <v>392</v>
      </c>
      <c r="AA2352">
        <v>9400</v>
      </c>
      <c r="AB2352" t="s">
        <v>2743</v>
      </c>
      <c r="AC2352" t="str">
        <f>HYPERLINK("plots/3FT6Y578R01_012_S11P_20251111092011_M5358ACSH101811_RBGEUFRF26/dpll_52046/txpa_55243.png","plot")</f>
        <v>plot</v>
      </c>
    </row>
    <row r="2353" spans="1:29" x14ac:dyDescent="0.35">
      <c r="A2353" s="2" t="s">
        <v>48</v>
      </c>
      <c r="B2353">
        <v>52046</v>
      </c>
      <c r="C2353" t="s">
        <v>51</v>
      </c>
      <c r="D2353">
        <v>55244</v>
      </c>
      <c r="E2353" t="s">
        <v>377</v>
      </c>
      <c r="F2353">
        <v>12219</v>
      </c>
      <c r="G2353">
        <v>0.84622560032250349</v>
      </c>
      <c r="H2353">
        <v>0</v>
      </c>
      <c r="I2353">
        <v>0</v>
      </c>
      <c r="J2353">
        <v>0.72803178201959451</v>
      </c>
      <c r="K2353">
        <v>0</v>
      </c>
      <c r="L2353">
        <v>0</v>
      </c>
      <c r="M2353">
        <v>0.53726412909808308</v>
      </c>
      <c r="N2353">
        <v>0</v>
      </c>
      <c r="O2353">
        <v>0</v>
      </c>
      <c r="P2353">
        <v>0.71609776664118141</v>
      </c>
      <c r="Q2353">
        <v>2.4163802252277131</v>
      </c>
      <c r="R2353">
        <v>-7.6280060478406853E-2</v>
      </c>
      <c r="S2353">
        <v>0.30448956468444938</v>
      </c>
      <c r="T2353">
        <v>0.231647277524341</v>
      </c>
      <c r="U2353">
        <v>4.4927163503560026</v>
      </c>
      <c r="V2353">
        <v>0.2001366690930956</v>
      </c>
      <c r="W2353">
        <v>10.779830886079059</v>
      </c>
      <c r="X2353">
        <v>0.57148624356813627</v>
      </c>
      <c r="Z2353" t="s">
        <v>392</v>
      </c>
      <c r="AA2353">
        <v>9400</v>
      </c>
      <c r="AB2353" t="s">
        <v>2744</v>
      </c>
      <c r="AC2353" t="str">
        <f>HYPERLINK("plots/3FT6Y578R01_012_S11P_20251111092011_M5358ACSH101811_RBGEUFRF26/dpll_52046/txpa_55244.png","plot")</f>
        <v>plot</v>
      </c>
    </row>
    <row r="2354" spans="1:29" x14ac:dyDescent="0.35">
      <c r="A2354" s="2" t="s">
        <v>48</v>
      </c>
      <c r="B2354">
        <v>52046</v>
      </c>
      <c r="C2354" t="s">
        <v>51</v>
      </c>
      <c r="D2354">
        <v>55245</v>
      </c>
      <c r="E2354" t="s">
        <v>378</v>
      </c>
      <c r="F2354">
        <v>12214</v>
      </c>
      <c r="G2354">
        <v>0.84720868613327927</v>
      </c>
      <c r="H2354">
        <v>0</v>
      </c>
      <c r="I2354">
        <v>0</v>
      </c>
      <c r="J2354">
        <v>0.72579826019966664</v>
      </c>
      <c r="K2354">
        <v>0</v>
      </c>
      <c r="L2354">
        <v>0</v>
      </c>
      <c r="M2354">
        <v>0.53496021571979346</v>
      </c>
      <c r="N2354">
        <v>0</v>
      </c>
      <c r="O2354">
        <v>0</v>
      </c>
      <c r="P2354">
        <v>0.71776255785967735</v>
      </c>
      <c r="Q2354">
        <v>2.3960527290451918</v>
      </c>
      <c r="R2354">
        <v>2.766988268440684E-2</v>
      </c>
      <c r="S2354">
        <v>0.3006191687395674</v>
      </c>
      <c r="T2354">
        <v>0.22891326076605911</v>
      </c>
      <c r="U2354">
        <v>4.492848966759456</v>
      </c>
      <c r="V2354">
        <v>0.20008805550782441</v>
      </c>
      <c r="W2354">
        <v>10.79277291067627</v>
      </c>
      <c r="X2354">
        <v>0.56588363563289501</v>
      </c>
      <c r="Z2354" t="s">
        <v>392</v>
      </c>
      <c r="AA2354">
        <v>9400</v>
      </c>
      <c r="AB2354" t="s">
        <v>2745</v>
      </c>
      <c r="AC2354" t="str">
        <f>HYPERLINK("plots/3FT6Y578R01_012_S11P_20251111092011_M5358ACSH101811_RBGEUFRF26/dpll_52046/txpa_55245.png","plot")</f>
        <v>plot</v>
      </c>
    </row>
    <row r="2355" spans="1:29" x14ac:dyDescent="0.35">
      <c r="A2355" s="2" t="s">
        <v>48</v>
      </c>
      <c r="B2355">
        <v>52046</v>
      </c>
      <c r="C2355" t="s">
        <v>51</v>
      </c>
      <c r="D2355">
        <v>55246</v>
      </c>
      <c r="E2355" t="s">
        <v>379</v>
      </c>
      <c r="F2355">
        <v>12227</v>
      </c>
      <c r="G2355">
        <v>0.85152049428109144</v>
      </c>
      <c r="H2355">
        <v>0</v>
      </c>
      <c r="I2355">
        <v>0</v>
      </c>
      <c r="J2355">
        <v>0.72981885628993948</v>
      </c>
      <c r="K2355">
        <v>0</v>
      </c>
      <c r="L2355">
        <v>0</v>
      </c>
      <c r="M2355">
        <v>0.53921244306679628</v>
      </c>
      <c r="N2355">
        <v>0</v>
      </c>
      <c r="O2355">
        <v>0</v>
      </c>
      <c r="P2355">
        <v>0.72508715218071429</v>
      </c>
      <c r="Q2355">
        <v>2.4330472128432281</v>
      </c>
      <c r="R2355">
        <v>-0.13020973739400429</v>
      </c>
      <c r="S2355">
        <v>0.29991342177982239</v>
      </c>
      <c r="T2355">
        <v>0.22891232843557199</v>
      </c>
      <c r="U2355">
        <v>4.4925637439273736</v>
      </c>
      <c r="V2355">
        <v>0.20019845077498721</v>
      </c>
      <c r="W2355">
        <v>10.80040995828903</v>
      </c>
      <c r="X2355">
        <v>0.5720264937191557</v>
      </c>
      <c r="Z2355" t="s">
        <v>392</v>
      </c>
      <c r="AA2355">
        <v>9400</v>
      </c>
      <c r="AB2355" t="s">
        <v>2746</v>
      </c>
      <c r="AC2355" t="str">
        <f>HYPERLINK("plots/3FT6Y578R01_012_S11P_20251111092011_M5358ACSH101811_RBGEUFRF26/dpll_52046/txpa_55246.png","plot")</f>
        <v>plot</v>
      </c>
    </row>
    <row r="2356" spans="1:29" x14ac:dyDescent="0.35">
      <c r="A2356" s="2" t="s">
        <v>48</v>
      </c>
      <c r="B2356">
        <v>52046</v>
      </c>
      <c r="C2356" t="s">
        <v>51</v>
      </c>
      <c r="D2356">
        <v>55247</v>
      </c>
      <c r="E2356" t="s">
        <v>380</v>
      </c>
      <c r="F2356">
        <v>12229</v>
      </c>
      <c r="G2356">
        <v>0.85142170520294147</v>
      </c>
      <c r="H2356">
        <v>0</v>
      </c>
      <c r="I2356">
        <v>0</v>
      </c>
      <c r="J2356">
        <v>0.72806420384429338</v>
      </c>
      <c r="K2356">
        <v>0</v>
      </c>
      <c r="L2356">
        <v>0</v>
      </c>
      <c r="M2356">
        <v>0.53719422668286165</v>
      </c>
      <c r="N2356">
        <v>0</v>
      </c>
      <c r="O2356">
        <v>0</v>
      </c>
      <c r="P2356">
        <v>0.72491892009068459</v>
      </c>
      <c r="Q2356">
        <v>2.4412230075218919</v>
      </c>
      <c r="R2356">
        <v>-0.19735982706414029</v>
      </c>
      <c r="S2356">
        <v>0.3010255871362113</v>
      </c>
      <c r="T2356">
        <v>0.23045361005182949</v>
      </c>
      <c r="U2356">
        <v>4.4925055553193234</v>
      </c>
      <c r="V2356">
        <v>0.20018340513272539</v>
      </c>
      <c r="W2356">
        <v>10.76984809600131</v>
      </c>
      <c r="X2356">
        <v>0.57397213548555515</v>
      </c>
      <c r="Z2356" t="s">
        <v>392</v>
      </c>
      <c r="AA2356">
        <v>9400</v>
      </c>
      <c r="AB2356" t="s">
        <v>2747</v>
      </c>
      <c r="AC2356" t="str">
        <f>HYPERLINK("plots/3FT6Y578R01_012_S11P_20251111092011_M5358ACSH101811_RBGEUFRF26/dpll_52046/txpa_55247.png","plot")</f>
        <v>plot</v>
      </c>
    </row>
    <row r="2357" spans="1:29" x14ac:dyDescent="0.35">
      <c r="A2357" s="2" t="s">
        <v>48</v>
      </c>
      <c r="B2357">
        <v>52046</v>
      </c>
      <c r="C2357" t="s">
        <v>51</v>
      </c>
      <c r="D2357">
        <v>55248</v>
      </c>
      <c r="E2357" t="s">
        <v>381</v>
      </c>
      <c r="F2357">
        <v>12231</v>
      </c>
      <c r="G2357">
        <v>0.85306035572888894</v>
      </c>
      <c r="H2357">
        <v>0</v>
      </c>
      <c r="I2357">
        <v>0</v>
      </c>
      <c r="J2357">
        <v>0.73155577129676885</v>
      </c>
      <c r="K2357">
        <v>0</v>
      </c>
      <c r="L2357">
        <v>0</v>
      </c>
      <c r="M2357">
        <v>0.54122839494264918</v>
      </c>
      <c r="N2357">
        <v>0</v>
      </c>
      <c r="O2357">
        <v>0</v>
      </c>
      <c r="P2357">
        <v>0.72771197051629855</v>
      </c>
      <c r="Q2357">
        <v>2.4487987306705761</v>
      </c>
      <c r="R2357">
        <v>-0.21837968041506531</v>
      </c>
      <c r="S2357">
        <v>0.29989262559577118</v>
      </c>
      <c r="T2357">
        <v>0.22978441563368809</v>
      </c>
      <c r="U2357">
        <v>4.4924398971465953</v>
      </c>
      <c r="V2357">
        <v>0.20021468794384911</v>
      </c>
      <c r="W2357">
        <v>10.782701437331371</v>
      </c>
      <c r="X2357">
        <v>0.57473714539176246</v>
      </c>
      <c r="Z2357" t="s">
        <v>392</v>
      </c>
      <c r="AA2357">
        <v>9400</v>
      </c>
      <c r="AB2357" t="s">
        <v>2748</v>
      </c>
      <c r="AC2357" t="str">
        <f>HYPERLINK("plots/3FT6Y578R01_012_S11P_20251111092011_M5358ACSH101811_RBGEUFRF26/dpll_52046/txpa_55248.png","plot")</f>
        <v>plot</v>
      </c>
    </row>
    <row r="2358" spans="1:29" x14ac:dyDescent="0.35">
      <c r="A2358" s="2" t="s">
        <v>48</v>
      </c>
      <c r="B2358">
        <v>52046</v>
      </c>
      <c r="C2358" t="s">
        <v>51</v>
      </c>
      <c r="D2358">
        <v>55249</v>
      </c>
      <c r="E2358" t="s">
        <v>382</v>
      </c>
      <c r="F2358">
        <v>12224</v>
      </c>
      <c r="G2358">
        <v>0.85374942729195302</v>
      </c>
      <c r="H2358">
        <v>0</v>
      </c>
      <c r="I2358">
        <v>0</v>
      </c>
      <c r="J2358">
        <v>0.72809333238236973</v>
      </c>
      <c r="K2358">
        <v>0</v>
      </c>
      <c r="L2358">
        <v>0</v>
      </c>
      <c r="M2358">
        <v>0.53859722476811289</v>
      </c>
      <c r="N2358">
        <v>0</v>
      </c>
      <c r="O2358">
        <v>0</v>
      </c>
      <c r="P2358">
        <v>0.7288880846013378</v>
      </c>
      <c r="Q2358">
        <v>2.442996222290637</v>
      </c>
      <c r="R2358">
        <v>-0.18580765252246861</v>
      </c>
      <c r="S2358">
        <v>0.29825269807569782</v>
      </c>
      <c r="T2358">
        <v>0.22877246930258399</v>
      </c>
      <c r="U2358">
        <v>4.4926287411649222</v>
      </c>
      <c r="V2358">
        <v>0.20018681647950709</v>
      </c>
      <c r="W2358">
        <v>10.789667390297771</v>
      </c>
      <c r="X2358">
        <v>0.57283275487877383</v>
      </c>
      <c r="Z2358" t="s">
        <v>392</v>
      </c>
      <c r="AA2358">
        <v>9400</v>
      </c>
      <c r="AB2358" t="s">
        <v>2749</v>
      </c>
      <c r="AC2358" t="str">
        <f>HYPERLINK("plots/3FT6Y578R01_012_S11P_20251111092011_M5358ACSH101811_RBGEUFRF26/dpll_52046/txpa_55249.png","plot")</f>
        <v>plot</v>
      </c>
    </row>
    <row r="2359" spans="1:29" x14ac:dyDescent="0.35">
      <c r="A2359" s="2" t="s">
        <v>48</v>
      </c>
      <c r="B2359">
        <v>52046</v>
      </c>
      <c r="C2359" t="s">
        <v>51</v>
      </c>
      <c r="D2359">
        <v>55250</v>
      </c>
      <c r="E2359" t="s">
        <v>383</v>
      </c>
      <c r="F2359">
        <v>12220</v>
      </c>
      <c r="G2359">
        <v>0.84803245866840082</v>
      </c>
      <c r="H2359">
        <v>0</v>
      </c>
      <c r="I2359">
        <v>0</v>
      </c>
      <c r="J2359">
        <v>0.72018439945040447</v>
      </c>
      <c r="K2359">
        <v>0</v>
      </c>
      <c r="L2359">
        <v>0</v>
      </c>
      <c r="M2359">
        <v>0.53097711182685559</v>
      </c>
      <c r="N2359">
        <v>0</v>
      </c>
      <c r="O2359">
        <v>0</v>
      </c>
      <c r="P2359">
        <v>0.71915905095517296</v>
      </c>
      <c r="Q2359">
        <v>2.4178638334406699</v>
      </c>
      <c r="R2359">
        <v>-8.4139797265619265E-2</v>
      </c>
      <c r="S2359">
        <v>0.30230275749190211</v>
      </c>
      <c r="T2359">
        <v>0.23097399401587951</v>
      </c>
      <c r="U2359">
        <v>4.4927688267594101</v>
      </c>
      <c r="V2359">
        <v>0.2000830501961251</v>
      </c>
      <c r="W2359">
        <v>10.77876346096563</v>
      </c>
      <c r="X2359">
        <v>0.57046586579166669</v>
      </c>
      <c r="Z2359" t="s">
        <v>392</v>
      </c>
      <c r="AA2359">
        <v>9400</v>
      </c>
      <c r="AB2359" t="s">
        <v>2750</v>
      </c>
      <c r="AC2359" t="str">
        <f>HYPERLINK("plots/3FT6Y578R01_012_S11P_20251111092011_M5358ACSH101811_RBGEUFRF26/dpll_52046/txpa_55250.png","plot")</f>
        <v>plot</v>
      </c>
    </row>
    <row r="2360" spans="1:29" x14ac:dyDescent="0.35">
      <c r="A2360" s="2" t="s">
        <v>48</v>
      </c>
      <c r="B2360">
        <v>52046</v>
      </c>
      <c r="C2360" t="s">
        <v>51</v>
      </c>
      <c r="D2360">
        <v>55251</v>
      </c>
      <c r="E2360" t="s">
        <v>384</v>
      </c>
      <c r="F2360">
        <v>12202</v>
      </c>
      <c r="G2360">
        <v>0.83880544707170168</v>
      </c>
      <c r="H2360">
        <v>0</v>
      </c>
      <c r="I2360">
        <v>0</v>
      </c>
      <c r="J2360">
        <v>0.71819265109072505</v>
      </c>
      <c r="K2360">
        <v>0</v>
      </c>
      <c r="L2360">
        <v>0</v>
      </c>
      <c r="M2360">
        <v>0.5273191087671929</v>
      </c>
      <c r="N2360">
        <v>0</v>
      </c>
      <c r="O2360">
        <v>0</v>
      </c>
      <c r="P2360">
        <v>0.7035945780371573</v>
      </c>
      <c r="Q2360">
        <v>2.52617785144019</v>
      </c>
      <c r="R2360">
        <v>-0.13785658007742899</v>
      </c>
      <c r="S2360">
        <v>0.32776459616258907</v>
      </c>
      <c r="T2360">
        <v>0.2476288083613582</v>
      </c>
      <c r="U2360">
        <v>4.4931625368792014</v>
      </c>
      <c r="V2360">
        <v>0.19990980009541179</v>
      </c>
      <c r="W2360">
        <v>11.212671103507621</v>
      </c>
      <c r="X2360">
        <v>0.60205582957271475</v>
      </c>
      <c r="Z2360" t="s">
        <v>392</v>
      </c>
      <c r="AA2360">
        <v>9400</v>
      </c>
      <c r="AB2360" t="s">
        <v>2751</v>
      </c>
      <c r="AC2360" t="str">
        <f>HYPERLINK("plots/3FT6Y578R01_012_S11P_20251111092011_M5358ACSH101811_RBGEUFRF26/dpll_52046/txpa_55251.png","plot")</f>
        <v>plot</v>
      </c>
    </row>
    <row r="2361" spans="1:29" x14ac:dyDescent="0.35">
      <c r="A2361" s="2" t="s">
        <v>48</v>
      </c>
      <c r="B2361">
        <v>52046</v>
      </c>
      <c r="C2361" t="s">
        <v>51</v>
      </c>
      <c r="D2361">
        <v>55252</v>
      </c>
      <c r="E2361" t="s">
        <v>385</v>
      </c>
      <c r="F2361">
        <v>12215</v>
      </c>
      <c r="G2361">
        <v>0.84785392100636148</v>
      </c>
      <c r="H2361">
        <v>0</v>
      </c>
      <c r="I2361">
        <v>0</v>
      </c>
      <c r="J2361">
        <v>0.72615315343424636</v>
      </c>
      <c r="K2361">
        <v>0</v>
      </c>
      <c r="L2361">
        <v>0</v>
      </c>
      <c r="M2361">
        <v>0.53589929133841463</v>
      </c>
      <c r="N2361">
        <v>0</v>
      </c>
      <c r="O2361">
        <v>0</v>
      </c>
      <c r="P2361">
        <v>0.7188562713658615</v>
      </c>
      <c r="Q2361">
        <v>2.5665094160879058</v>
      </c>
      <c r="R2361">
        <v>-0.28751557441461978</v>
      </c>
      <c r="S2361">
        <v>0.32120653438879337</v>
      </c>
      <c r="T2361">
        <v>0.24530775905525681</v>
      </c>
      <c r="U2361">
        <v>4.4927718754809662</v>
      </c>
      <c r="V2361">
        <v>0.20013180869598979</v>
      </c>
      <c r="W2361">
        <v>11.2432257483422</v>
      </c>
      <c r="X2361">
        <v>0.60581210837274313</v>
      </c>
      <c r="Z2361" t="s">
        <v>392</v>
      </c>
      <c r="AA2361">
        <v>9400</v>
      </c>
      <c r="AB2361" t="s">
        <v>2752</v>
      </c>
      <c r="AC2361" t="str">
        <f>HYPERLINK("plots/3FT6Y578R01_012_S11P_20251111092011_M5358ACSH101811_RBGEUFRF26/dpll_52046/txpa_55252.png","plot")</f>
        <v>plot</v>
      </c>
    </row>
    <row r="2362" spans="1:29" x14ac:dyDescent="0.35">
      <c r="A2362" s="2" t="s">
        <v>48</v>
      </c>
      <c r="B2362">
        <v>52046</v>
      </c>
      <c r="C2362" t="s">
        <v>51</v>
      </c>
      <c r="D2362">
        <v>55253</v>
      </c>
      <c r="E2362" t="s">
        <v>386</v>
      </c>
      <c r="F2362">
        <v>12214</v>
      </c>
      <c r="G2362">
        <v>0.84810169587279205</v>
      </c>
      <c r="H2362">
        <v>0</v>
      </c>
      <c r="I2362">
        <v>0</v>
      </c>
      <c r="J2362">
        <v>0.7243738285673792</v>
      </c>
      <c r="K2362">
        <v>0</v>
      </c>
      <c r="L2362">
        <v>0</v>
      </c>
      <c r="M2362">
        <v>0.53404190383171624</v>
      </c>
      <c r="N2362">
        <v>0</v>
      </c>
      <c r="O2362">
        <v>0</v>
      </c>
      <c r="P2362">
        <v>0.7192764865423058</v>
      </c>
      <c r="Q2362">
        <v>2.5480889092019141</v>
      </c>
      <c r="R2362">
        <v>-0.19293339997816081</v>
      </c>
      <c r="S2362">
        <v>0.31849999195691509</v>
      </c>
      <c r="T2362">
        <v>0.24285614508562731</v>
      </c>
      <c r="U2362">
        <v>4.492848966759456</v>
      </c>
      <c r="V2362">
        <v>0.20008805550782441</v>
      </c>
      <c r="W2362">
        <v>11.255245222940889</v>
      </c>
      <c r="X2362">
        <v>0.60115686312663164</v>
      </c>
      <c r="Z2362" t="s">
        <v>392</v>
      </c>
      <c r="AA2362">
        <v>9400</v>
      </c>
      <c r="AB2362" t="s">
        <v>2753</v>
      </c>
      <c r="AC2362" t="str">
        <f>HYPERLINK("plots/3FT6Y578R01_012_S11P_20251111092011_M5358ACSH101811_RBGEUFRF26/dpll_52046/txpa_55253.png","plot")</f>
        <v>plot</v>
      </c>
    </row>
    <row r="2363" spans="1:29" x14ac:dyDescent="0.35">
      <c r="A2363" s="2" t="s">
        <v>48</v>
      </c>
      <c r="B2363">
        <v>52046</v>
      </c>
      <c r="C2363" t="s">
        <v>51</v>
      </c>
      <c r="D2363">
        <v>55254</v>
      </c>
      <c r="E2363" t="s">
        <v>387</v>
      </c>
      <c r="F2363">
        <v>12223</v>
      </c>
      <c r="G2363">
        <v>0.85242127450894456</v>
      </c>
      <c r="H2363">
        <v>0</v>
      </c>
      <c r="I2363">
        <v>0</v>
      </c>
      <c r="J2363">
        <v>0.72766021891621269</v>
      </c>
      <c r="K2363">
        <v>0</v>
      </c>
      <c r="L2363">
        <v>0</v>
      </c>
      <c r="M2363">
        <v>0.53767006388423444</v>
      </c>
      <c r="N2363">
        <v>0</v>
      </c>
      <c r="O2363">
        <v>0</v>
      </c>
      <c r="P2363">
        <v>0.72662202923545338</v>
      </c>
      <c r="Q2363">
        <v>2.5835819847788888</v>
      </c>
      <c r="R2363">
        <v>-0.34518153174009208</v>
      </c>
      <c r="S2363">
        <v>0.31716098500334222</v>
      </c>
      <c r="T2363">
        <v>0.24264145127293299</v>
      </c>
      <c r="U2363">
        <v>4.4926666267692053</v>
      </c>
      <c r="V2363">
        <v>0.20014640742022241</v>
      </c>
      <c r="W2363">
        <v>11.261991028798169</v>
      </c>
      <c r="X2363">
        <v>0.60661866144411536</v>
      </c>
      <c r="Z2363" t="s">
        <v>392</v>
      </c>
      <c r="AA2363">
        <v>9400</v>
      </c>
      <c r="AB2363" t="s">
        <v>2754</v>
      </c>
      <c r="AC2363" t="str">
        <f>HYPERLINK("plots/3FT6Y578R01_012_S11P_20251111092011_M5358ACSH101811_RBGEUFRF26/dpll_52046/txpa_55254.png","plot")</f>
        <v>plot</v>
      </c>
    </row>
    <row r="2364" spans="1:29" x14ac:dyDescent="0.35">
      <c r="A2364" s="2" t="s">
        <v>48</v>
      </c>
      <c r="B2364">
        <v>52046</v>
      </c>
      <c r="C2364" t="s">
        <v>51</v>
      </c>
      <c r="D2364">
        <v>55255</v>
      </c>
      <c r="E2364" t="s">
        <v>388</v>
      </c>
      <c r="F2364">
        <v>12226</v>
      </c>
      <c r="G2364">
        <v>0.85212675625311629</v>
      </c>
      <c r="H2364">
        <v>0</v>
      </c>
      <c r="I2364">
        <v>0</v>
      </c>
      <c r="J2364">
        <v>0.72632920708326021</v>
      </c>
      <c r="K2364">
        <v>0</v>
      </c>
      <c r="L2364">
        <v>0</v>
      </c>
      <c r="M2364">
        <v>0.53602433655276327</v>
      </c>
      <c r="N2364">
        <v>0</v>
      </c>
      <c r="O2364">
        <v>0</v>
      </c>
      <c r="P2364">
        <v>0.72612000872245785</v>
      </c>
      <c r="Q2364">
        <v>2.592912544711552</v>
      </c>
      <c r="R2364">
        <v>-0.4181980612344276</v>
      </c>
      <c r="S2364">
        <v>0.31867388443044559</v>
      </c>
      <c r="T2364">
        <v>0.24439781504600469</v>
      </c>
      <c r="U2364">
        <v>4.4925960281367576</v>
      </c>
      <c r="V2364">
        <v>0.20012457219327451</v>
      </c>
      <c r="W2364">
        <v>11.23071053844266</v>
      </c>
      <c r="X2364">
        <v>0.60895343320358986</v>
      </c>
      <c r="Z2364" t="s">
        <v>392</v>
      </c>
      <c r="AA2364">
        <v>9400</v>
      </c>
      <c r="AB2364" t="s">
        <v>2755</v>
      </c>
      <c r="AC2364" t="str">
        <f>HYPERLINK("plots/3FT6Y578R01_012_S11P_20251111092011_M5358ACSH101811_RBGEUFRF26/dpll_52046/txpa_55255.png","plot")</f>
        <v>plot</v>
      </c>
    </row>
    <row r="2365" spans="1:29" x14ac:dyDescent="0.35">
      <c r="A2365" s="2" t="s">
        <v>48</v>
      </c>
      <c r="B2365">
        <v>52046</v>
      </c>
      <c r="C2365" t="s">
        <v>51</v>
      </c>
      <c r="D2365">
        <v>55256</v>
      </c>
      <c r="E2365" t="s">
        <v>389</v>
      </c>
      <c r="F2365">
        <v>12230</v>
      </c>
      <c r="G2365">
        <v>0.85354954937369476</v>
      </c>
      <c r="H2365">
        <v>0</v>
      </c>
      <c r="I2365">
        <v>0</v>
      </c>
      <c r="J2365">
        <v>0.72955754400915906</v>
      </c>
      <c r="K2365">
        <v>0</v>
      </c>
      <c r="L2365">
        <v>0</v>
      </c>
      <c r="M2365">
        <v>0.53979947864577349</v>
      </c>
      <c r="N2365">
        <v>0</v>
      </c>
      <c r="O2365">
        <v>0</v>
      </c>
      <c r="P2365">
        <v>0.72854683323603742</v>
      </c>
      <c r="Q2365">
        <v>2.6022642834341978</v>
      </c>
      <c r="R2365">
        <v>-0.44630421397100761</v>
      </c>
      <c r="S2365">
        <v>0.31800936754171288</v>
      </c>
      <c r="T2365">
        <v>0.2439455069960931</v>
      </c>
      <c r="U2365">
        <v>4.4924597598528209</v>
      </c>
      <c r="V2365">
        <v>0.20021082226579609</v>
      </c>
      <c r="W2365">
        <v>11.244263363859361</v>
      </c>
      <c r="X2365">
        <v>0.61039393942808162</v>
      </c>
      <c r="Z2365" t="s">
        <v>392</v>
      </c>
      <c r="AA2365">
        <v>9400</v>
      </c>
      <c r="AB2365" t="s">
        <v>2756</v>
      </c>
      <c r="AC2365" t="str">
        <f>HYPERLINK("plots/3FT6Y578R01_012_S11P_20251111092011_M5358ACSH101811_RBGEUFRF26/dpll_52046/txpa_55256.png","plot")</f>
        <v>plot</v>
      </c>
    </row>
    <row r="2366" spans="1:29" x14ac:dyDescent="0.35">
      <c r="A2366" s="2" t="s">
        <v>48</v>
      </c>
      <c r="B2366">
        <v>52046</v>
      </c>
      <c r="C2366" t="s">
        <v>51</v>
      </c>
      <c r="D2366">
        <v>55257</v>
      </c>
      <c r="E2366" t="s">
        <v>390</v>
      </c>
      <c r="F2366">
        <v>12221</v>
      </c>
      <c r="G2366">
        <v>0.85444148557888688</v>
      </c>
      <c r="H2366">
        <v>0</v>
      </c>
      <c r="I2366">
        <v>0</v>
      </c>
      <c r="J2366">
        <v>0.72647010456577221</v>
      </c>
      <c r="K2366">
        <v>0</v>
      </c>
      <c r="L2366">
        <v>0</v>
      </c>
      <c r="M2366">
        <v>0.5375489260495635</v>
      </c>
      <c r="N2366">
        <v>0</v>
      </c>
      <c r="O2366">
        <v>0</v>
      </c>
      <c r="P2366">
        <v>0.73007025227825517</v>
      </c>
      <c r="Q2366">
        <v>2.5950265479880321</v>
      </c>
      <c r="R2366">
        <v>-0.40705731851554278</v>
      </c>
      <c r="S2366">
        <v>0.31580866165857818</v>
      </c>
      <c r="T2366">
        <v>0.24271674901520371</v>
      </c>
      <c r="U2366">
        <v>4.49270502160216</v>
      </c>
      <c r="V2366">
        <v>0.20015062617536819</v>
      </c>
      <c r="W2366">
        <v>11.25163148482121</v>
      </c>
      <c r="X2366">
        <v>0.60787800836895978</v>
      </c>
      <c r="Z2366" t="s">
        <v>392</v>
      </c>
      <c r="AA2366">
        <v>9400</v>
      </c>
      <c r="AB2366" t="s">
        <v>2757</v>
      </c>
      <c r="AC2366" t="str">
        <f>HYPERLINK("plots/3FT6Y578R01_012_S11P_20251111092011_M5358ACSH101811_RBGEUFRF26/dpll_52046/txpa_55257.png","plot")</f>
        <v>plot</v>
      </c>
    </row>
    <row r="2367" spans="1:29" x14ac:dyDescent="0.35">
      <c r="A2367" s="2" t="s">
        <v>48</v>
      </c>
      <c r="B2367">
        <v>52046</v>
      </c>
      <c r="C2367" t="s">
        <v>51</v>
      </c>
      <c r="D2367">
        <v>55258</v>
      </c>
      <c r="E2367" t="s">
        <v>391</v>
      </c>
      <c r="F2367">
        <v>12214</v>
      </c>
      <c r="G2367">
        <v>0.84895911849181183</v>
      </c>
      <c r="H2367">
        <v>0</v>
      </c>
      <c r="I2367">
        <v>0</v>
      </c>
      <c r="J2367">
        <v>0.71790269682620633</v>
      </c>
      <c r="K2367">
        <v>0</v>
      </c>
      <c r="L2367">
        <v>0</v>
      </c>
      <c r="M2367">
        <v>0.52935254887888006</v>
      </c>
      <c r="N2367">
        <v>0</v>
      </c>
      <c r="O2367">
        <v>0</v>
      </c>
      <c r="P2367">
        <v>0.72073158487039424</v>
      </c>
      <c r="Q2367">
        <v>2.5676205190870629</v>
      </c>
      <c r="R2367">
        <v>-0.2952365036026805</v>
      </c>
      <c r="S2367">
        <v>0.31969595404685192</v>
      </c>
      <c r="T2367">
        <v>0.24498547070897789</v>
      </c>
      <c r="U2367">
        <v>4.4929058822662524</v>
      </c>
      <c r="V2367">
        <v>0.2000322172067413</v>
      </c>
      <c r="W2367">
        <v>11.240840830031109</v>
      </c>
      <c r="X2367">
        <v>0.60498416730706572</v>
      </c>
      <c r="Z2367" t="s">
        <v>392</v>
      </c>
      <c r="AA2367">
        <v>9400</v>
      </c>
      <c r="AB2367" t="s">
        <v>2758</v>
      </c>
      <c r="AC2367" t="str">
        <f>HYPERLINK("plots/3FT6Y578R01_012_S11P_20251111092011_M5358ACSH101811_RBGEUFRF26/dpll_52046/txpa_55258.png","plot")</f>
        <v>plot</v>
      </c>
    </row>
    <row r="2368" spans="1:29" hidden="1" x14ac:dyDescent="0.35">
      <c r="A2368" t="s">
        <v>48</v>
      </c>
      <c r="B2368">
        <v>52084</v>
      </c>
      <c r="C2368" t="s">
        <v>52</v>
      </c>
      <c r="D2368">
        <v>53179</v>
      </c>
      <c r="E2368" t="s">
        <v>54</v>
      </c>
      <c r="F2368">
        <v>12243</v>
      </c>
      <c r="G2368">
        <v>0.29494454334999642</v>
      </c>
      <c r="H2368">
        <v>2.9632615013652968E-244</v>
      </c>
      <c r="I2368">
        <v>3.1364792926768379E-244</v>
      </c>
      <c r="J2368">
        <v>0.25616815979504709</v>
      </c>
      <c r="K2368">
        <v>1.077048953387944E-182</v>
      </c>
      <c r="L2368">
        <v>1.1400079736277401E-182</v>
      </c>
      <c r="M2368">
        <v>0.1740392547341921</v>
      </c>
      <c r="N2368">
        <v>8.6306771776366829E-181</v>
      </c>
      <c r="O2368">
        <v>9.1351844030517702E-181</v>
      </c>
      <c r="P2368">
        <v>8.6992283651937882E-2</v>
      </c>
      <c r="Q2368">
        <v>2.2047652445431338</v>
      </c>
      <c r="R2368">
        <v>-33.445725536586103</v>
      </c>
      <c r="S2368">
        <v>1.37754969368282</v>
      </c>
      <c r="T2368">
        <v>1.142680310684437</v>
      </c>
      <c r="U2368">
        <v>4.3297121556807969</v>
      </c>
      <c r="V2368">
        <v>0.19287049691405411</v>
      </c>
      <c r="W2368">
        <v>-23.899726656865148</v>
      </c>
      <c r="X2368">
        <v>1.44174278820024</v>
      </c>
      <c r="Z2368" t="s">
        <v>392</v>
      </c>
      <c r="AA2368">
        <v>9400</v>
      </c>
      <c r="AB2368" t="s">
        <v>2759</v>
      </c>
      <c r="AC2368" t="str">
        <f>HYPERLINK("plots/3FT6Y578R01_012_S11P_20251111092011_M5358ACSH101811_RBGEUFRF26/dpll_52084/txpa_53179.png","plot")</f>
        <v>plot</v>
      </c>
    </row>
    <row r="2369" spans="1:29" hidden="1" x14ac:dyDescent="0.35">
      <c r="A2369" t="s">
        <v>48</v>
      </c>
      <c r="B2369">
        <v>52084</v>
      </c>
      <c r="C2369" t="s">
        <v>52</v>
      </c>
      <c r="D2369">
        <v>53180</v>
      </c>
      <c r="E2369" t="s">
        <v>55</v>
      </c>
      <c r="F2369">
        <v>12243</v>
      </c>
      <c r="G2369">
        <v>0.31000384892231769</v>
      </c>
      <c r="H2369">
        <v>6.2248663359662194E-271</v>
      </c>
      <c r="I2369">
        <v>6.736408180010402E-271</v>
      </c>
      <c r="J2369">
        <v>0.27424570363601958</v>
      </c>
      <c r="K2369">
        <v>3.8402987770687503E-210</v>
      </c>
      <c r="L2369">
        <v>4.1514530489847679E-210</v>
      </c>
      <c r="M2369">
        <v>0.18581858902003859</v>
      </c>
      <c r="N2369">
        <v>2.5426170739128298E-206</v>
      </c>
      <c r="O2369">
        <v>2.7486286918418008E-206</v>
      </c>
      <c r="P2369">
        <v>9.6102386346651206E-2</v>
      </c>
      <c r="Q2369">
        <v>2.3013120042807782</v>
      </c>
      <c r="R2369">
        <v>-33.779494273234327</v>
      </c>
      <c r="S2369">
        <v>1.3611816917170521</v>
      </c>
      <c r="T2369">
        <v>1.123568367245829</v>
      </c>
      <c r="U2369">
        <v>4.3297121556807969</v>
      </c>
      <c r="V2369">
        <v>0.19287049691405411</v>
      </c>
      <c r="W2369">
        <v>-23.815475714285711</v>
      </c>
      <c r="X2369">
        <v>1.431773158181447</v>
      </c>
      <c r="Z2369" t="s">
        <v>392</v>
      </c>
      <c r="AA2369">
        <v>9400</v>
      </c>
      <c r="AB2369" t="s">
        <v>2760</v>
      </c>
      <c r="AC2369" t="str">
        <f>HYPERLINK("plots/3FT6Y578R01_012_S11P_20251111092011_M5358ACSH101811_RBGEUFRF26/dpll_52084/txpa_53180.png","plot")</f>
        <v>plot</v>
      </c>
    </row>
    <row r="2370" spans="1:29" hidden="1" x14ac:dyDescent="0.35">
      <c r="A2370" t="s">
        <v>48</v>
      </c>
      <c r="B2370">
        <v>52084</v>
      </c>
      <c r="C2370" t="s">
        <v>52</v>
      </c>
      <c r="D2370">
        <v>53181</v>
      </c>
      <c r="E2370" t="s">
        <v>56</v>
      </c>
      <c r="F2370">
        <v>12243</v>
      </c>
      <c r="G2370">
        <v>0.30882417110049409</v>
      </c>
      <c r="H2370">
        <v>8.7435096922768246E-269</v>
      </c>
      <c r="I2370">
        <v>9.4218053432185971E-269</v>
      </c>
      <c r="J2370">
        <v>0.26782114095844312</v>
      </c>
      <c r="K2370">
        <v>3.8514485216103072E-200</v>
      </c>
      <c r="L2370">
        <v>4.1414303297060987E-200</v>
      </c>
      <c r="M2370">
        <v>0.18122175650583919</v>
      </c>
      <c r="N2370">
        <v>8.5115708998335094E-197</v>
      </c>
      <c r="O2370">
        <v>9.1330506798213524E-197</v>
      </c>
      <c r="P2370">
        <v>9.5372368655907258E-2</v>
      </c>
      <c r="Q2370">
        <v>2.273025708291617</v>
      </c>
      <c r="R2370">
        <v>-33.604579799309633</v>
      </c>
      <c r="S2370">
        <v>1.3501314378905731</v>
      </c>
      <c r="T2370">
        <v>1.109032014616699</v>
      </c>
      <c r="U2370">
        <v>4.3297121556807969</v>
      </c>
      <c r="V2370">
        <v>0.19287049691405411</v>
      </c>
      <c r="W2370">
        <v>-23.763032759944451</v>
      </c>
      <c r="X2370">
        <v>1.4195767005360631</v>
      </c>
      <c r="Z2370" t="s">
        <v>392</v>
      </c>
      <c r="AA2370">
        <v>9400</v>
      </c>
      <c r="AB2370" t="s">
        <v>2761</v>
      </c>
      <c r="AC2370" t="str">
        <f>HYPERLINK("plots/3FT6Y578R01_012_S11P_20251111092011_M5358ACSH101811_RBGEUFRF26/dpll_52084/txpa_53181.png","plot")</f>
        <v>plot</v>
      </c>
    </row>
    <row r="2371" spans="1:29" hidden="1" x14ac:dyDescent="0.35">
      <c r="A2371" t="s">
        <v>48</v>
      </c>
      <c r="B2371">
        <v>52084</v>
      </c>
      <c r="C2371" t="s">
        <v>52</v>
      </c>
      <c r="D2371">
        <v>53182</v>
      </c>
      <c r="E2371" t="s">
        <v>57</v>
      </c>
      <c r="F2371">
        <v>12243</v>
      </c>
      <c r="G2371">
        <v>0.30891303325644798</v>
      </c>
      <c r="H2371">
        <v>6.0292150198741709E-269</v>
      </c>
      <c r="I2371">
        <v>6.5038553512259674E-269</v>
      </c>
      <c r="J2371">
        <v>0.26757930209969322</v>
      </c>
      <c r="K2371">
        <v>9.0522491957788981E-200</v>
      </c>
      <c r="L2371">
        <v>9.723496487838773E-200</v>
      </c>
      <c r="M2371">
        <v>0.1813445156958351</v>
      </c>
      <c r="N2371">
        <v>3.3977534855944102E-197</v>
      </c>
      <c r="O2371">
        <v>3.6497055449075539E-197</v>
      </c>
      <c r="P2371">
        <v>9.5427262115699338E-2</v>
      </c>
      <c r="Q2371">
        <v>2.2836282151617189</v>
      </c>
      <c r="R2371">
        <v>-33.596238688030773</v>
      </c>
      <c r="S2371">
        <v>1.3559977784275781</v>
      </c>
      <c r="T2371">
        <v>1.1123184788146501</v>
      </c>
      <c r="U2371">
        <v>4.3297121556807969</v>
      </c>
      <c r="V2371">
        <v>0.19287049691405411</v>
      </c>
      <c r="W2371">
        <v>-23.708785845789428</v>
      </c>
      <c r="X2371">
        <v>1.425788041320855</v>
      </c>
      <c r="Z2371" t="s">
        <v>392</v>
      </c>
      <c r="AA2371">
        <v>9400</v>
      </c>
      <c r="AB2371" t="s">
        <v>2762</v>
      </c>
      <c r="AC2371" t="str">
        <f>HYPERLINK("plots/3FT6Y578R01_012_S11P_20251111092011_M5358ACSH101811_RBGEUFRF26/dpll_52084/txpa_53182.png","plot")</f>
        <v>plot</v>
      </c>
    </row>
    <row r="2372" spans="1:29" hidden="1" x14ac:dyDescent="0.35">
      <c r="A2372" t="s">
        <v>48</v>
      </c>
      <c r="B2372">
        <v>52084</v>
      </c>
      <c r="C2372" t="s">
        <v>52</v>
      </c>
      <c r="D2372">
        <v>53183</v>
      </c>
      <c r="E2372" t="s">
        <v>58</v>
      </c>
      <c r="F2372">
        <v>12242</v>
      </c>
      <c r="G2372">
        <v>0.30692881243314302</v>
      </c>
      <c r="H2372">
        <v>2.4711474475595291E-265</v>
      </c>
      <c r="I2372">
        <v>2.6404041220499081E-265</v>
      </c>
      <c r="J2372">
        <v>0.26466361901092639</v>
      </c>
      <c r="K2372">
        <v>2.610222703610452E-195</v>
      </c>
      <c r="L2372">
        <v>2.7743876535230589E-195</v>
      </c>
      <c r="M2372">
        <v>0.17899546675481939</v>
      </c>
      <c r="N2372">
        <v>5.9667874822233836E-192</v>
      </c>
      <c r="O2372">
        <v>6.3420571351934083E-192</v>
      </c>
      <c r="P2372">
        <v>9.4205295901619482E-2</v>
      </c>
      <c r="Q2372">
        <v>2.2853839384928651</v>
      </c>
      <c r="R2372">
        <v>-33.625596525015133</v>
      </c>
      <c r="S2372">
        <v>1.3667465938771599</v>
      </c>
      <c r="T2372">
        <v>1.1227962953153241</v>
      </c>
      <c r="U2372">
        <v>4.3297262510210759</v>
      </c>
      <c r="V2372">
        <v>0.19287206860220879</v>
      </c>
      <c r="W2372">
        <v>-23.73050969286064</v>
      </c>
      <c r="X2372">
        <v>1.4361203963651901</v>
      </c>
      <c r="Z2372" t="s">
        <v>392</v>
      </c>
      <c r="AA2372">
        <v>9400</v>
      </c>
      <c r="AB2372" t="s">
        <v>2763</v>
      </c>
      <c r="AC2372" t="str">
        <f>HYPERLINK("plots/3FT6Y578R01_012_S11P_20251111092011_M5358ACSH101811_RBGEUFRF26/dpll_52084/txpa_53183.png","plot")</f>
        <v>plot</v>
      </c>
    </row>
    <row r="2373" spans="1:29" hidden="1" x14ac:dyDescent="0.35">
      <c r="A2373" t="s">
        <v>48</v>
      </c>
      <c r="B2373">
        <v>52084</v>
      </c>
      <c r="C2373" t="s">
        <v>52</v>
      </c>
      <c r="D2373">
        <v>53184</v>
      </c>
      <c r="E2373" t="s">
        <v>59</v>
      </c>
      <c r="F2373">
        <v>12243</v>
      </c>
      <c r="G2373">
        <v>0.30378363127886848</v>
      </c>
      <c r="H2373">
        <v>1.0152654846697121E-259</v>
      </c>
      <c r="I2373">
        <v>1.081385715814168E-259</v>
      </c>
      <c r="J2373">
        <v>0.2653542457050404</v>
      </c>
      <c r="K2373">
        <v>2.2557174574985899E-196</v>
      </c>
      <c r="L2373">
        <v>2.4076815809511271E-196</v>
      </c>
      <c r="M2373">
        <v>0.179816113791395</v>
      </c>
      <c r="N2373">
        <v>2.6785085043592809E-193</v>
      </c>
      <c r="O2373">
        <v>2.8529491842650332E-193</v>
      </c>
      <c r="P2373">
        <v>9.2284494632975556E-2</v>
      </c>
      <c r="Q2373">
        <v>2.2513582716652309</v>
      </c>
      <c r="R2373">
        <v>-33.604132286484813</v>
      </c>
      <c r="S2373">
        <v>1.3617681814368889</v>
      </c>
      <c r="T2373">
        <v>1.12389159578746</v>
      </c>
      <c r="U2373">
        <v>4.3297121556807969</v>
      </c>
      <c r="V2373">
        <v>0.19287049691405411</v>
      </c>
      <c r="W2373">
        <v>-23.856399010863349</v>
      </c>
      <c r="X2373">
        <v>1.429374541214274</v>
      </c>
      <c r="Z2373" t="s">
        <v>392</v>
      </c>
      <c r="AA2373">
        <v>9400</v>
      </c>
      <c r="AB2373" t="s">
        <v>2764</v>
      </c>
      <c r="AC2373" t="str">
        <f>HYPERLINK("plots/3FT6Y578R01_012_S11P_20251111092011_M5358ACSH101811_RBGEUFRF26/dpll_52084/txpa_53184.png","plot")</f>
        <v>plot</v>
      </c>
    </row>
    <row r="2374" spans="1:29" hidden="1" x14ac:dyDescent="0.35">
      <c r="A2374" t="s">
        <v>48</v>
      </c>
      <c r="B2374">
        <v>52084</v>
      </c>
      <c r="C2374" t="s">
        <v>52</v>
      </c>
      <c r="D2374">
        <v>53185</v>
      </c>
      <c r="E2374" t="s">
        <v>60</v>
      </c>
      <c r="F2374">
        <v>12243</v>
      </c>
      <c r="G2374">
        <v>0.3029587670914502</v>
      </c>
      <c r="H2374">
        <v>2.9711883519054398E-258</v>
      </c>
      <c r="I2374">
        <v>3.1580555438491778E-258</v>
      </c>
      <c r="J2374">
        <v>0.26594364814089272</v>
      </c>
      <c r="K2374">
        <v>2.8624870264769171E-197</v>
      </c>
      <c r="L2374">
        <v>3.0585477817150618E-197</v>
      </c>
      <c r="M2374">
        <v>0.18040792603941261</v>
      </c>
      <c r="N2374">
        <v>9.2120371288847221E-195</v>
      </c>
      <c r="O2374">
        <v>9.8429985760686072E-195</v>
      </c>
      <c r="P2374">
        <v>9.1784014557571569E-2</v>
      </c>
      <c r="Q2374">
        <v>2.2389003708692572</v>
      </c>
      <c r="R2374">
        <v>-33.522373228951267</v>
      </c>
      <c r="S2374">
        <v>1.358294294975366</v>
      </c>
      <c r="T2374">
        <v>1.1224924511529719</v>
      </c>
      <c r="U2374">
        <v>4.3297121556807969</v>
      </c>
      <c r="V2374">
        <v>0.19287049691405411</v>
      </c>
      <c r="W2374">
        <v>-23.828579077840399</v>
      </c>
      <c r="X2374">
        <v>1.425335306240755</v>
      </c>
      <c r="Z2374" t="s">
        <v>392</v>
      </c>
      <c r="AA2374">
        <v>9400</v>
      </c>
      <c r="AB2374" t="s">
        <v>2765</v>
      </c>
      <c r="AC2374" t="str">
        <f>HYPERLINK("plots/3FT6Y578R01_012_S11P_20251111092011_M5358ACSH101811_RBGEUFRF26/dpll_52084/txpa_53185.png","plot")</f>
        <v>plot</v>
      </c>
    </row>
    <row r="2375" spans="1:29" hidden="1" x14ac:dyDescent="0.35">
      <c r="A2375" t="s">
        <v>48</v>
      </c>
      <c r="B2375">
        <v>52084</v>
      </c>
      <c r="C2375" t="s">
        <v>52</v>
      </c>
      <c r="D2375">
        <v>53186</v>
      </c>
      <c r="E2375" t="s">
        <v>61</v>
      </c>
      <c r="F2375">
        <v>12243</v>
      </c>
      <c r="G2375">
        <v>0.30849765505292981</v>
      </c>
      <c r="H2375">
        <v>3.4225156643825572E-268</v>
      </c>
      <c r="I2375">
        <v>3.6841092183481022E-268</v>
      </c>
      <c r="J2375">
        <v>0.26782506044911791</v>
      </c>
      <c r="K2375">
        <v>3.7984460347244638E-200</v>
      </c>
      <c r="L2375">
        <v>4.0887731201811112E-200</v>
      </c>
      <c r="M2375">
        <v>0.18248060068454519</v>
      </c>
      <c r="N2375">
        <v>5.4324190261104044E-198</v>
      </c>
      <c r="O2375">
        <v>5.8538500451391608E-198</v>
      </c>
      <c r="P2375">
        <v>9.5170803173156474E-2</v>
      </c>
      <c r="Q2375">
        <v>2.3124504789980138</v>
      </c>
      <c r="R2375">
        <v>-34.011533906916164</v>
      </c>
      <c r="S2375">
        <v>1.375155908185075</v>
      </c>
      <c r="T2375">
        <v>1.138776826303086</v>
      </c>
      <c r="U2375">
        <v>4.3297121556807969</v>
      </c>
      <c r="V2375">
        <v>0.19287049691405411</v>
      </c>
      <c r="W2375">
        <v>-23.999288958588579</v>
      </c>
      <c r="X2375">
        <v>1.44572727107753</v>
      </c>
      <c r="Z2375" t="s">
        <v>392</v>
      </c>
      <c r="AA2375">
        <v>9400</v>
      </c>
      <c r="AB2375" t="s">
        <v>2766</v>
      </c>
      <c r="AC2375" t="str">
        <f>HYPERLINK("plots/3FT6Y578R01_012_S11P_20251111092011_M5358ACSH101811_RBGEUFRF26/dpll_52084/txpa_53186.png","plot")</f>
        <v>plot</v>
      </c>
    </row>
    <row r="2376" spans="1:29" hidden="1" x14ac:dyDescent="0.35">
      <c r="A2376" t="s">
        <v>48</v>
      </c>
      <c r="B2376">
        <v>52084</v>
      </c>
      <c r="C2376" t="s">
        <v>52</v>
      </c>
      <c r="D2376">
        <v>53187</v>
      </c>
      <c r="E2376" t="s">
        <v>62</v>
      </c>
      <c r="F2376">
        <v>12243</v>
      </c>
      <c r="G2376">
        <v>0.76871098235365187</v>
      </c>
      <c r="H2376">
        <v>0</v>
      </c>
      <c r="I2376">
        <v>0</v>
      </c>
      <c r="J2376">
        <v>0.63878872012704901</v>
      </c>
      <c r="K2376">
        <v>0</v>
      </c>
      <c r="L2376">
        <v>0</v>
      </c>
      <c r="M2376">
        <v>0.45686999764077618</v>
      </c>
      <c r="N2376">
        <v>0</v>
      </c>
      <c r="O2376">
        <v>0</v>
      </c>
      <c r="P2376">
        <v>0.59091657439111644</v>
      </c>
      <c r="Q2376">
        <v>1.4945076683240279</v>
      </c>
      <c r="R2376">
        <v>-16.715419283758521</v>
      </c>
      <c r="S2376">
        <v>0.23982202527703961</v>
      </c>
      <c r="T2376">
        <v>0.18650378137912679</v>
      </c>
      <c r="U2376">
        <v>4.3297121556807969</v>
      </c>
      <c r="V2376">
        <v>0.19287049691405411</v>
      </c>
      <c r="W2376">
        <v>-10.24463126545781</v>
      </c>
      <c r="X2376">
        <v>0.37497374598312871</v>
      </c>
      <c r="Z2376" t="s">
        <v>392</v>
      </c>
      <c r="AA2376">
        <v>9400</v>
      </c>
      <c r="AB2376" t="s">
        <v>2767</v>
      </c>
      <c r="AC2376" t="str">
        <f>HYPERLINK("plots/3FT6Y578R01_012_S11P_20251111092011_M5358ACSH101811_RBGEUFRF26/dpll_52084/txpa_53187.png","plot")</f>
        <v>plot</v>
      </c>
    </row>
    <row r="2377" spans="1:29" hidden="1" x14ac:dyDescent="0.35">
      <c r="A2377" t="s">
        <v>48</v>
      </c>
      <c r="B2377">
        <v>52084</v>
      </c>
      <c r="C2377" t="s">
        <v>52</v>
      </c>
      <c r="D2377">
        <v>53188</v>
      </c>
      <c r="E2377" t="s">
        <v>63</v>
      </c>
      <c r="F2377">
        <v>12242</v>
      </c>
      <c r="G2377">
        <v>0.78281807935394232</v>
      </c>
      <c r="H2377">
        <v>0</v>
      </c>
      <c r="I2377">
        <v>0</v>
      </c>
      <c r="J2377">
        <v>0.65319606221426652</v>
      </c>
      <c r="K2377">
        <v>0</v>
      </c>
      <c r="L2377">
        <v>0</v>
      </c>
      <c r="M2377">
        <v>0.47046808021062858</v>
      </c>
      <c r="N2377">
        <v>0</v>
      </c>
      <c r="O2377">
        <v>0</v>
      </c>
      <c r="P2377">
        <v>0.61280414536339511</v>
      </c>
      <c r="Q2377">
        <v>1.502420366693368</v>
      </c>
      <c r="R2377">
        <v>-16.689217883071461</v>
      </c>
      <c r="S2377">
        <v>0.23032913415699971</v>
      </c>
      <c r="T2377">
        <v>0.1795807948869228</v>
      </c>
      <c r="U2377">
        <v>4.3296987265969609</v>
      </c>
      <c r="V2377">
        <v>0.1928726506826407</v>
      </c>
      <c r="W2377">
        <v>-10.18419033458585</v>
      </c>
      <c r="X2377">
        <v>0.37017003848823471</v>
      </c>
      <c r="Z2377" t="s">
        <v>392</v>
      </c>
      <c r="AA2377">
        <v>9400</v>
      </c>
      <c r="AB2377" t="s">
        <v>2768</v>
      </c>
      <c r="AC2377" t="str">
        <f>HYPERLINK("plots/3FT6Y578R01_012_S11P_20251111092011_M5358ACSH101811_RBGEUFRF26/dpll_52084/txpa_53188.png","plot")</f>
        <v>plot</v>
      </c>
    </row>
    <row r="2378" spans="1:29" hidden="1" x14ac:dyDescent="0.35">
      <c r="A2378" t="s">
        <v>48</v>
      </c>
      <c r="B2378">
        <v>52084</v>
      </c>
      <c r="C2378" t="s">
        <v>52</v>
      </c>
      <c r="D2378">
        <v>53189</v>
      </c>
      <c r="E2378" t="s">
        <v>64</v>
      </c>
      <c r="F2378">
        <v>12243</v>
      </c>
      <c r="G2378">
        <v>0.78037246700349328</v>
      </c>
      <c r="H2378">
        <v>0</v>
      </c>
      <c r="I2378">
        <v>0</v>
      </c>
      <c r="J2378">
        <v>0.64789732812990031</v>
      </c>
      <c r="K2378">
        <v>0</v>
      </c>
      <c r="L2378">
        <v>0</v>
      </c>
      <c r="M2378">
        <v>0.46590911017199138</v>
      </c>
      <c r="N2378">
        <v>0</v>
      </c>
      <c r="O2378">
        <v>0</v>
      </c>
      <c r="P2378">
        <v>0.60898118725711825</v>
      </c>
      <c r="Q2378">
        <v>1.493184495006562</v>
      </c>
      <c r="R2378">
        <v>-16.632500688043219</v>
      </c>
      <c r="S2378">
        <v>0.23075887975574891</v>
      </c>
      <c r="T2378">
        <v>0.17970739875602931</v>
      </c>
      <c r="U2378">
        <v>4.3297121556807969</v>
      </c>
      <c r="V2378">
        <v>0.19287049691405411</v>
      </c>
      <c r="W2378">
        <v>-10.16744162933921</v>
      </c>
      <c r="X2378">
        <v>0.36904330651505068</v>
      </c>
      <c r="Z2378" t="s">
        <v>392</v>
      </c>
      <c r="AA2378">
        <v>9400</v>
      </c>
      <c r="AB2378" t="s">
        <v>2769</v>
      </c>
      <c r="AC2378" t="str">
        <f>HYPERLINK("plots/3FT6Y578R01_012_S11P_20251111092011_M5358ACSH101811_RBGEUFRF26/dpll_52084/txpa_53189.png","plot")</f>
        <v>plot</v>
      </c>
    </row>
    <row r="2379" spans="1:29" hidden="1" x14ac:dyDescent="0.35">
      <c r="A2379" t="s">
        <v>48</v>
      </c>
      <c r="B2379">
        <v>52084</v>
      </c>
      <c r="C2379" t="s">
        <v>52</v>
      </c>
      <c r="D2379">
        <v>53190</v>
      </c>
      <c r="E2379" t="s">
        <v>65</v>
      </c>
      <c r="F2379">
        <v>12242</v>
      </c>
      <c r="G2379">
        <v>0.7867024567958355</v>
      </c>
      <c r="H2379">
        <v>0</v>
      </c>
      <c r="I2379">
        <v>0</v>
      </c>
      <c r="J2379">
        <v>0.64941691751419062</v>
      </c>
      <c r="K2379">
        <v>0</v>
      </c>
      <c r="L2379">
        <v>0</v>
      </c>
      <c r="M2379">
        <v>0.46744094429243482</v>
      </c>
      <c r="N2379">
        <v>0</v>
      </c>
      <c r="O2379">
        <v>0</v>
      </c>
      <c r="P2379">
        <v>0.61890075552860346</v>
      </c>
      <c r="Q2379">
        <v>1.507378385843676</v>
      </c>
      <c r="R2379">
        <v>-16.64498778278362</v>
      </c>
      <c r="S2379">
        <v>0.228135755344435</v>
      </c>
      <c r="T2379">
        <v>0.17872941054517541</v>
      </c>
      <c r="U2379">
        <v>4.3297189133311553</v>
      </c>
      <c r="V2379">
        <v>0.19287692535756709</v>
      </c>
      <c r="W2379">
        <v>-10.11846307604967</v>
      </c>
      <c r="X2379">
        <v>0.36956603592688769</v>
      </c>
      <c r="Z2379" t="s">
        <v>392</v>
      </c>
      <c r="AA2379">
        <v>9400</v>
      </c>
      <c r="AB2379" t="s">
        <v>2770</v>
      </c>
      <c r="AC2379" t="str">
        <f>HYPERLINK("plots/3FT6Y578R01_012_S11P_20251111092011_M5358ACSH101811_RBGEUFRF26/dpll_52084/txpa_53190.png","plot")</f>
        <v>plot</v>
      </c>
    </row>
    <row r="2380" spans="1:29" hidden="1" x14ac:dyDescent="0.35">
      <c r="A2380" t="s">
        <v>48</v>
      </c>
      <c r="B2380">
        <v>52084</v>
      </c>
      <c r="C2380" t="s">
        <v>52</v>
      </c>
      <c r="D2380">
        <v>53191</v>
      </c>
      <c r="E2380" t="s">
        <v>66</v>
      </c>
      <c r="F2380">
        <v>12240</v>
      </c>
      <c r="G2380">
        <v>0.79001966960259074</v>
      </c>
      <c r="H2380">
        <v>0</v>
      </c>
      <c r="I2380">
        <v>0</v>
      </c>
      <c r="J2380">
        <v>0.65141991083965922</v>
      </c>
      <c r="K2380">
        <v>0</v>
      </c>
      <c r="L2380">
        <v>0</v>
      </c>
      <c r="M2380">
        <v>0.4681293218966211</v>
      </c>
      <c r="N2380">
        <v>0</v>
      </c>
      <c r="O2380">
        <v>0</v>
      </c>
      <c r="P2380">
        <v>0.62413107835898662</v>
      </c>
      <c r="Q2380">
        <v>1.517419826731524</v>
      </c>
      <c r="R2380">
        <v>-16.707988410973378</v>
      </c>
      <c r="S2380">
        <v>0.2270753276449865</v>
      </c>
      <c r="T2380">
        <v>0.1791249214196694</v>
      </c>
      <c r="U2380">
        <v>4.3297345467320261</v>
      </c>
      <c r="V2380">
        <v>0.1928420022508596</v>
      </c>
      <c r="W2380">
        <v>-10.137963365277781</v>
      </c>
      <c r="X2380">
        <v>0.37039872410931168</v>
      </c>
      <c r="Z2380" t="s">
        <v>392</v>
      </c>
      <c r="AA2380">
        <v>9400</v>
      </c>
      <c r="AB2380" t="s">
        <v>2771</v>
      </c>
      <c r="AC2380" t="str">
        <f>HYPERLINK("plots/3FT6Y578R01_012_S11P_20251111092011_M5358ACSH101811_RBGEUFRF26/dpll_52084/txpa_53191.png","plot")</f>
        <v>plot</v>
      </c>
    </row>
    <row r="2381" spans="1:29" hidden="1" x14ac:dyDescent="0.35">
      <c r="A2381" t="s">
        <v>48</v>
      </c>
      <c r="B2381">
        <v>52084</v>
      </c>
      <c r="C2381" t="s">
        <v>52</v>
      </c>
      <c r="D2381">
        <v>53192</v>
      </c>
      <c r="E2381" t="s">
        <v>67</v>
      </c>
      <c r="F2381">
        <v>12240</v>
      </c>
      <c r="G2381">
        <v>0.7930170896083889</v>
      </c>
      <c r="H2381">
        <v>0</v>
      </c>
      <c r="I2381">
        <v>0</v>
      </c>
      <c r="J2381">
        <v>0.66216397869943222</v>
      </c>
      <c r="K2381">
        <v>0</v>
      </c>
      <c r="L2381">
        <v>0</v>
      </c>
      <c r="M2381">
        <v>0.47799239890438711</v>
      </c>
      <c r="N2381">
        <v>0</v>
      </c>
      <c r="O2381">
        <v>0</v>
      </c>
      <c r="P2381">
        <v>0.62887610441095954</v>
      </c>
      <c r="Q2381">
        <v>1.5192315785184549</v>
      </c>
      <c r="R2381">
        <v>-16.750768962276901</v>
      </c>
      <c r="S2381">
        <v>0.2250252275180539</v>
      </c>
      <c r="T2381">
        <v>0.17659099333556499</v>
      </c>
      <c r="U2381">
        <v>4.329689001062091</v>
      </c>
      <c r="V2381">
        <v>0.19281821557856541</v>
      </c>
      <c r="W2381">
        <v>-10.172968706699351</v>
      </c>
      <c r="X2381">
        <v>0.3693937064650073</v>
      </c>
      <c r="Z2381" t="s">
        <v>392</v>
      </c>
      <c r="AA2381">
        <v>9400</v>
      </c>
      <c r="AB2381" t="s">
        <v>2772</v>
      </c>
      <c r="AC2381" t="str">
        <f>HYPERLINK("plots/3FT6Y578R01_012_S11P_20251111092011_M5358ACSH101811_RBGEUFRF26/dpll_52084/txpa_53192.png","plot")</f>
        <v>plot</v>
      </c>
    </row>
    <row r="2382" spans="1:29" hidden="1" x14ac:dyDescent="0.35">
      <c r="A2382" t="s">
        <v>48</v>
      </c>
      <c r="B2382">
        <v>52084</v>
      </c>
      <c r="C2382" t="s">
        <v>52</v>
      </c>
      <c r="D2382">
        <v>53193</v>
      </c>
      <c r="E2382" t="s">
        <v>68</v>
      </c>
      <c r="F2382">
        <v>12242</v>
      </c>
      <c r="G2382">
        <v>0.7917384836030914</v>
      </c>
      <c r="H2382">
        <v>0</v>
      </c>
      <c r="I2382">
        <v>0</v>
      </c>
      <c r="J2382">
        <v>0.66011308426702586</v>
      </c>
      <c r="K2382">
        <v>0</v>
      </c>
      <c r="L2382">
        <v>0</v>
      </c>
      <c r="M2382">
        <v>0.47705036677661111</v>
      </c>
      <c r="N2382">
        <v>0</v>
      </c>
      <c r="O2382">
        <v>0</v>
      </c>
      <c r="P2382">
        <v>0.62684982641812259</v>
      </c>
      <c r="Q2382">
        <v>1.517465816799169</v>
      </c>
      <c r="R2382">
        <v>-16.729303188631778</v>
      </c>
      <c r="S2382">
        <v>0.22577583803251819</v>
      </c>
      <c r="T2382">
        <v>0.17602796258063841</v>
      </c>
      <c r="U2382">
        <v>4.3297428452050317</v>
      </c>
      <c r="V2382">
        <v>0.19284847807112951</v>
      </c>
      <c r="W2382">
        <v>-10.15906642550237</v>
      </c>
      <c r="X2382">
        <v>0.36961822540558459</v>
      </c>
      <c r="Z2382" t="s">
        <v>392</v>
      </c>
      <c r="AA2382">
        <v>9400</v>
      </c>
      <c r="AB2382" t="s">
        <v>2773</v>
      </c>
      <c r="AC2382" t="str">
        <f>HYPERLINK("plots/3FT6Y578R01_012_S11P_20251111092011_M5358ACSH101811_RBGEUFRF26/dpll_52084/txpa_53193.png","plot")</f>
        <v>plot</v>
      </c>
    </row>
    <row r="2383" spans="1:29" hidden="1" x14ac:dyDescent="0.35">
      <c r="A2383" t="s">
        <v>48</v>
      </c>
      <c r="B2383">
        <v>52084</v>
      </c>
      <c r="C2383" t="s">
        <v>52</v>
      </c>
      <c r="D2383">
        <v>53194</v>
      </c>
      <c r="E2383" t="s">
        <v>69</v>
      </c>
      <c r="F2383">
        <v>12239</v>
      </c>
      <c r="G2383">
        <v>0.7866246843086715</v>
      </c>
      <c r="H2383">
        <v>0</v>
      </c>
      <c r="I2383">
        <v>0</v>
      </c>
      <c r="J2383">
        <v>0.64884504168143364</v>
      </c>
      <c r="K2383">
        <v>0</v>
      </c>
      <c r="L2383">
        <v>0</v>
      </c>
      <c r="M2383">
        <v>0.46767940621319037</v>
      </c>
      <c r="N2383">
        <v>0</v>
      </c>
      <c r="O2383">
        <v>0</v>
      </c>
      <c r="P2383">
        <v>0.61877839396371714</v>
      </c>
      <c r="Q2383">
        <v>1.515000880218897</v>
      </c>
      <c r="R2383">
        <v>-16.77249804527694</v>
      </c>
      <c r="S2383">
        <v>0.22931892259094741</v>
      </c>
      <c r="T2383">
        <v>0.17930661821002719</v>
      </c>
      <c r="U2383">
        <v>4.3297844997140276</v>
      </c>
      <c r="V2383">
        <v>0.1928517426499661</v>
      </c>
      <c r="W2383">
        <v>-10.21287071705205</v>
      </c>
      <c r="X2383">
        <v>0.37142307595295232</v>
      </c>
      <c r="Z2383" t="s">
        <v>392</v>
      </c>
      <c r="AA2383">
        <v>9400</v>
      </c>
      <c r="AB2383" t="s">
        <v>2774</v>
      </c>
      <c r="AC2383" t="str">
        <f>HYPERLINK("plots/3FT6Y578R01_012_S11P_20251111092011_M5358ACSH101811_RBGEUFRF26/dpll_52084/txpa_53194.png","plot")</f>
        <v>plot</v>
      </c>
    </row>
    <row r="2384" spans="1:29" hidden="1" x14ac:dyDescent="0.35">
      <c r="A2384" t="s">
        <v>48</v>
      </c>
      <c r="B2384">
        <v>52084</v>
      </c>
      <c r="C2384" t="s">
        <v>52</v>
      </c>
      <c r="D2384">
        <v>53195</v>
      </c>
      <c r="E2384" t="s">
        <v>70</v>
      </c>
      <c r="F2384">
        <v>12242</v>
      </c>
      <c r="G2384">
        <v>0.80780221636663174</v>
      </c>
      <c r="H2384">
        <v>0</v>
      </c>
      <c r="I2384">
        <v>0</v>
      </c>
      <c r="J2384">
        <v>0.68697864455432811</v>
      </c>
      <c r="K2384">
        <v>0</v>
      </c>
      <c r="L2384">
        <v>0</v>
      </c>
      <c r="M2384">
        <v>0.49685485835973631</v>
      </c>
      <c r="N2384">
        <v>0</v>
      </c>
      <c r="O2384">
        <v>0</v>
      </c>
      <c r="P2384">
        <v>0.65254442076684249</v>
      </c>
      <c r="Q2384">
        <v>1.3739082492853809</v>
      </c>
      <c r="R2384">
        <v>-9.9442397939998681</v>
      </c>
      <c r="S2384">
        <v>0.19333955016373719</v>
      </c>
      <c r="T2384">
        <v>0.1474721183787509</v>
      </c>
      <c r="U2384">
        <v>4.3297379161084786</v>
      </c>
      <c r="V2384">
        <v>0.19285731086450791</v>
      </c>
      <c r="W2384">
        <v>-3.995577153814736</v>
      </c>
      <c r="X2384">
        <v>0.32801129405602331</v>
      </c>
      <c r="Z2384" t="s">
        <v>392</v>
      </c>
      <c r="AA2384">
        <v>9400</v>
      </c>
      <c r="AB2384" t="s">
        <v>2775</v>
      </c>
      <c r="AC2384" t="str">
        <f>HYPERLINK("plots/3FT6Y578R01_012_S11P_20251111092011_M5358ACSH101811_RBGEUFRF26/dpll_52084/txpa_53195.png","plot")</f>
        <v>plot</v>
      </c>
    </row>
    <row r="2385" spans="1:29" hidden="1" x14ac:dyDescent="0.35">
      <c r="A2385" t="s">
        <v>48</v>
      </c>
      <c r="B2385">
        <v>52084</v>
      </c>
      <c r="C2385" t="s">
        <v>52</v>
      </c>
      <c r="D2385">
        <v>53196</v>
      </c>
      <c r="E2385" t="s">
        <v>71</v>
      </c>
      <c r="F2385">
        <v>12240</v>
      </c>
      <c r="G2385">
        <v>0.82133397583363799</v>
      </c>
      <c r="H2385">
        <v>0</v>
      </c>
      <c r="I2385">
        <v>0</v>
      </c>
      <c r="J2385">
        <v>0.69927166850648503</v>
      </c>
      <c r="K2385">
        <v>0</v>
      </c>
      <c r="L2385">
        <v>0</v>
      </c>
      <c r="M2385">
        <v>0.50982503483355091</v>
      </c>
      <c r="N2385">
        <v>0</v>
      </c>
      <c r="O2385">
        <v>0</v>
      </c>
      <c r="P2385">
        <v>0.67458949985869099</v>
      </c>
      <c r="Q2385">
        <v>1.3868357736836809</v>
      </c>
      <c r="R2385">
        <v>-9.959836776516731</v>
      </c>
      <c r="S2385">
        <v>0.185742730129317</v>
      </c>
      <c r="T2385">
        <v>0.14320130888723559</v>
      </c>
      <c r="U2385">
        <v>4.3297509804738556</v>
      </c>
      <c r="V2385">
        <v>0.19284506863093431</v>
      </c>
      <c r="W2385">
        <v>-3.9551832256535948</v>
      </c>
      <c r="X2385">
        <v>0.32562203418458779</v>
      </c>
      <c r="Z2385" t="s">
        <v>392</v>
      </c>
      <c r="AA2385">
        <v>9400</v>
      </c>
      <c r="AB2385" t="s">
        <v>2776</v>
      </c>
      <c r="AC2385" t="str">
        <f>HYPERLINK("plots/3FT6Y578R01_012_S11P_20251111092011_M5358ACSH101811_RBGEUFRF26/dpll_52084/txpa_53196.png","plot")</f>
        <v>plot</v>
      </c>
    </row>
    <row r="2386" spans="1:29" hidden="1" x14ac:dyDescent="0.35">
      <c r="A2386" t="s">
        <v>48</v>
      </c>
      <c r="B2386">
        <v>52084</v>
      </c>
      <c r="C2386" t="s">
        <v>52</v>
      </c>
      <c r="D2386">
        <v>53197</v>
      </c>
      <c r="E2386" t="s">
        <v>72</v>
      </c>
      <c r="F2386">
        <v>12243</v>
      </c>
      <c r="G2386">
        <v>0.81757016149704564</v>
      </c>
      <c r="H2386">
        <v>0</v>
      </c>
      <c r="I2386">
        <v>0</v>
      </c>
      <c r="J2386">
        <v>0.69441162074148577</v>
      </c>
      <c r="K2386">
        <v>0</v>
      </c>
      <c r="L2386">
        <v>0</v>
      </c>
      <c r="M2386">
        <v>0.50483327331150873</v>
      </c>
      <c r="N2386">
        <v>0</v>
      </c>
      <c r="O2386">
        <v>0</v>
      </c>
      <c r="P2386">
        <v>0.66842096897030534</v>
      </c>
      <c r="Q2386">
        <v>1.370052207779143</v>
      </c>
      <c r="R2386">
        <v>-9.8747523408366522</v>
      </c>
      <c r="S2386">
        <v>0.18610312910126811</v>
      </c>
      <c r="T2386">
        <v>0.14272005241540289</v>
      </c>
      <c r="U2386">
        <v>4.3297121556807969</v>
      </c>
      <c r="V2386">
        <v>0.19287049691405411</v>
      </c>
      <c r="W2386">
        <v>-3.9428206428979831</v>
      </c>
      <c r="X2386">
        <v>0.32320486064303983</v>
      </c>
      <c r="Z2386" t="s">
        <v>392</v>
      </c>
      <c r="AA2386">
        <v>9400</v>
      </c>
      <c r="AB2386" t="s">
        <v>2777</v>
      </c>
      <c r="AC2386" t="str">
        <f>HYPERLINK("plots/3FT6Y578R01_012_S11P_20251111092011_M5358ACSH101811_RBGEUFRF26/dpll_52084/txpa_53197.png","plot")</f>
        <v>plot</v>
      </c>
    </row>
    <row r="2387" spans="1:29" hidden="1" x14ac:dyDescent="0.35">
      <c r="A2387" t="s">
        <v>48</v>
      </c>
      <c r="B2387">
        <v>52084</v>
      </c>
      <c r="C2387" t="s">
        <v>52</v>
      </c>
      <c r="D2387">
        <v>53198</v>
      </c>
      <c r="E2387" t="s">
        <v>73</v>
      </c>
      <c r="F2387">
        <v>12242</v>
      </c>
      <c r="G2387">
        <v>0.82718081564923951</v>
      </c>
      <c r="H2387">
        <v>0</v>
      </c>
      <c r="I2387">
        <v>0</v>
      </c>
      <c r="J2387">
        <v>0.70077048202891856</v>
      </c>
      <c r="K2387">
        <v>0</v>
      </c>
      <c r="L2387">
        <v>0</v>
      </c>
      <c r="M2387">
        <v>0.51127344536642128</v>
      </c>
      <c r="N2387">
        <v>0</v>
      </c>
      <c r="O2387">
        <v>0</v>
      </c>
      <c r="P2387">
        <v>0.6842281017781412</v>
      </c>
      <c r="Q2387">
        <v>1.3889747910561141</v>
      </c>
      <c r="R2387">
        <v>-9.9218572020152216</v>
      </c>
      <c r="S2387">
        <v>0.1819881812621415</v>
      </c>
      <c r="T2387">
        <v>0.141156282019961</v>
      </c>
      <c r="U2387">
        <v>4.3297189133311553</v>
      </c>
      <c r="V2387">
        <v>0.19287692535756709</v>
      </c>
      <c r="W2387">
        <v>-3.9079867790393732</v>
      </c>
      <c r="X2387">
        <v>0.32387258266839952</v>
      </c>
      <c r="Z2387" t="s">
        <v>392</v>
      </c>
      <c r="AA2387">
        <v>9400</v>
      </c>
      <c r="AB2387" t="s">
        <v>2778</v>
      </c>
      <c r="AC2387" t="str">
        <f>HYPERLINK("plots/3FT6Y578R01_012_S11P_20251111092011_M5358ACSH101811_RBGEUFRF26/dpll_52084/txpa_53198.png","plot")</f>
        <v>plot</v>
      </c>
    </row>
    <row r="2388" spans="1:29" hidden="1" x14ac:dyDescent="0.35">
      <c r="A2388" t="s">
        <v>48</v>
      </c>
      <c r="B2388">
        <v>52084</v>
      </c>
      <c r="C2388" t="s">
        <v>52</v>
      </c>
      <c r="D2388">
        <v>53199</v>
      </c>
      <c r="E2388" t="s">
        <v>74</v>
      </c>
      <c r="F2388">
        <v>12240</v>
      </c>
      <c r="G2388">
        <v>0.82811016768949652</v>
      </c>
      <c r="H2388">
        <v>0</v>
      </c>
      <c r="I2388">
        <v>0</v>
      </c>
      <c r="J2388">
        <v>0.69994756007115477</v>
      </c>
      <c r="K2388">
        <v>0</v>
      </c>
      <c r="L2388">
        <v>0</v>
      </c>
      <c r="M2388">
        <v>0.50975735486695073</v>
      </c>
      <c r="N2388">
        <v>0</v>
      </c>
      <c r="O2388">
        <v>0</v>
      </c>
      <c r="P2388">
        <v>0.6857664498307261</v>
      </c>
      <c r="Q2388">
        <v>1.40335758972262</v>
      </c>
      <c r="R2388">
        <v>-10.00517447489552</v>
      </c>
      <c r="S2388">
        <v>0.18318520603638561</v>
      </c>
      <c r="T2388">
        <v>0.14238094796240741</v>
      </c>
      <c r="U2388">
        <v>4.3297345467320261</v>
      </c>
      <c r="V2388">
        <v>0.1928420022508596</v>
      </c>
      <c r="W2388">
        <v>-3.9290086372549018</v>
      </c>
      <c r="X2388">
        <v>0.32679986073727679</v>
      </c>
      <c r="Z2388" t="s">
        <v>392</v>
      </c>
      <c r="AA2388">
        <v>9400</v>
      </c>
      <c r="AB2388" t="s">
        <v>2779</v>
      </c>
      <c r="AC2388" t="str">
        <f>HYPERLINK("plots/3FT6Y578R01_012_S11P_20251111092011_M5358ACSH101811_RBGEUFRF26/dpll_52084/txpa_53199.png","plot")</f>
        <v>plot</v>
      </c>
    </row>
    <row r="2389" spans="1:29" hidden="1" x14ac:dyDescent="0.35">
      <c r="A2389" t="s">
        <v>48</v>
      </c>
      <c r="B2389">
        <v>52084</v>
      </c>
      <c r="C2389" t="s">
        <v>52</v>
      </c>
      <c r="D2389">
        <v>53200</v>
      </c>
      <c r="E2389" t="s">
        <v>75</v>
      </c>
      <c r="F2389">
        <v>12240</v>
      </c>
      <c r="G2389">
        <v>0.83095482881007421</v>
      </c>
      <c r="H2389">
        <v>0</v>
      </c>
      <c r="I2389">
        <v>0</v>
      </c>
      <c r="J2389">
        <v>0.70917953287092628</v>
      </c>
      <c r="K2389">
        <v>0</v>
      </c>
      <c r="L2389">
        <v>0</v>
      </c>
      <c r="M2389">
        <v>0.51836918063795945</v>
      </c>
      <c r="N2389">
        <v>0</v>
      </c>
      <c r="O2389">
        <v>0</v>
      </c>
      <c r="P2389">
        <v>0.69048592752277971</v>
      </c>
      <c r="Q2389">
        <v>1.405737257301896</v>
      </c>
      <c r="R2389">
        <v>-10.033325220898369</v>
      </c>
      <c r="S2389">
        <v>0.18146683186601131</v>
      </c>
      <c r="T2389">
        <v>0.14111539089957101</v>
      </c>
      <c r="U2389">
        <v>4.329689001062091</v>
      </c>
      <c r="V2389">
        <v>0.19281821557856541</v>
      </c>
      <c r="W2389">
        <v>-3.9469200795751629</v>
      </c>
      <c r="X2389">
        <v>0.32619312160855229</v>
      </c>
      <c r="Z2389" t="s">
        <v>392</v>
      </c>
      <c r="AA2389">
        <v>9400</v>
      </c>
      <c r="AB2389" t="s">
        <v>2780</v>
      </c>
      <c r="AC2389" t="str">
        <f>HYPERLINK("plots/3FT6Y578R01_012_S11P_20251111092011_M5358ACSH101811_RBGEUFRF26/dpll_52084/txpa_53200.png","plot")</f>
        <v>plot</v>
      </c>
    </row>
    <row r="2390" spans="1:29" hidden="1" x14ac:dyDescent="0.35">
      <c r="A2390" t="s">
        <v>48</v>
      </c>
      <c r="B2390">
        <v>52084</v>
      </c>
      <c r="C2390" t="s">
        <v>52</v>
      </c>
      <c r="D2390">
        <v>53201</v>
      </c>
      <c r="E2390" t="s">
        <v>76</v>
      </c>
      <c r="F2390">
        <v>12241</v>
      </c>
      <c r="G2390">
        <v>0.83019524821809809</v>
      </c>
      <c r="H2390">
        <v>0</v>
      </c>
      <c r="I2390">
        <v>0</v>
      </c>
      <c r="J2390">
        <v>0.70531392766796719</v>
      </c>
      <c r="K2390">
        <v>0</v>
      </c>
      <c r="L2390">
        <v>0</v>
      </c>
      <c r="M2390">
        <v>0.51570701517770101</v>
      </c>
      <c r="N2390">
        <v>0</v>
      </c>
      <c r="O2390">
        <v>0</v>
      </c>
      <c r="P2390">
        <v>0.68922415016390948</v>
      </c>
      <c r="Q2390">
        <v>1.403377441392907</v>
      </c>
      <c r="R2390">
        <v>-10.012333208186281</v>
      </c>
      <c r="S2390">
        <v>0.18171705666769369</v>
      </c>
      <c r="T2390">
        <v>0.1405885416176702</v>
      </c>
      <c r="U2390">
        <v>4.3297660227105634</v>
      </c>
      <c r="V2390">
        <v>0.19283930366172891</v>
      </c>
      <c r="W2390">
        <v>-3.9360372454047869</v>
      </c>
      <c r="X2390">
        <v>0.32597913461158651</v>
      </c>
      <c r="Z2390" t="s">
        <v>392</v>
      </c>
      <c r="AA2390">
        <v>9400</v>
      </c>
      <c r="AB2390" t="s">
        <v>2781</v>
      </c>
      <c r="AC2390" t="str">
        <f>HYPERLINK("plots/3FT6Y578R01_012_S11P_20251111092011_M5358ACSH101811_RBGEUFRF26/dpll_52084/txpa_53201.png","plot")</f>
        <v>plot</v>
      </c>
    </row>
    <row r="2391" spans="1:29" hidden="1" x14ac:dyDescent="0.35">
      <c r="A2391" t="s">
        <v>48</v>
      </c>
      <c r="B2391">
        <v>52084</v>
      </c>
      <c r="C2391" t="s">
        <v>52</v>
      </c>
      <c r="D2391">
        <v>53202</v>
      </c>
      <c r="E2391" t="s">
        <v>77</v>
      </c>
      <c r="F2391">
        <v>12237</v>
      </c>
      <c r="G2391">
        <v>0.82585571284087911</v>
      </c>
      <c r="H2391">
        <v>0</v>
      </c>
      <c r="I2391">
        <v>0</v>
      </c>
      <c r="J2391">
        <v>0.69693354936310015</v>
      </c>
      <c r="K2391">
        <v>0</v>
      </c>
      <c r="L2391">
        <v>0</v>
      </c>
      <c r="M2391">
        <v>0.50816589492558795</v>
      </c>
      <c r="N2391">
        <v>0</v>
      </c>
      <c r="O2391">
        <v>0</v>
      </c>
      <c r="P2391">
        <v>0.68203765843191655</v>
      </c>
      <c r="Q2391">
        <v>1.3941084858454771</v>
      </c>
      <c r="R2391">
        <v>-9.9997563468161133</v>
      </c>
      <c r="S2391">
        <v>0.18355061381847149</v>
      </c>
      <c r="T2391">
        <v>0.14234518204867999</v>
      </c>
      <c r="U2391">
        <v>4.3298272266895479</v>
      </c>
      <c r="V2391">
        <v>0.19283832493052161</v>
      </c>
      <c r="W2391">
        <v>-3.9635074678434261</v>
      </c>
      <c r="X2391">
        <v>0.32552604650161882</v>
      </c>
      <c r="Z2391" t="s">
        <v>392</v>
      </c>
      <c r="AA2391">
        <v>9400</v>
      </c>
      <c r="AB2391" t="s">
        <v>2782</v>
      </c>
      <c r="AC2391" t="str">
        <f>HYPERLINK("plots/3FT6Y578R01_012_S11P_20251111092011_M5358ACSH101811_RBGEUFRF26/dpll_52084/txpa_53202.png","plot")</f>
        <v>plot</v>
      </c>
    </row>
    <row r="2392" spans="1:29" hidden="1" x14ac:dyDescent="0.35">
      <c r="A2392" t="s">
        <v>48</v>
      </c>
      <c r="B2392">
        <v>52084</v>
      </c>
      <c r="C2392" t="s">
        <v>52</v>
      </c>
      <c r="D2392">
        <v>53203</v>
      </c>
      <c r="E2392" t="s">
        <v>78</v>
      </c>
      <c r="F2392">
        <v>12241</v>
      </c>
      <c r="G2392">
        <v>0.82003958504690111</v>
      </c>
      <c r="H2392">
        <v>0</v>
      </c>
      <c r="I2392">
        <v>0</v>
      </c>
      <c r="J2392">
        <v>0.70512434795762746</v>
      </c>
      <c r="K2392">
        <v>0</v>
      </c>
      <c r="L2392">
        <v>0</v>
      </c>
      <c r="M2392">
        <v>0.51286245849204604</v>
      </c>
      <c r="N2392">
        <v>0</v>
      </c>
      <c r="O2392">
        <v>0</v>
      </c>
      <c r="P2392">
        <v>0.67246492104389377</v>
      </c>
      <c r="Q2392">
        <v>1.42959751529802</v>
      </c>
      <c r="R2392">
        <v>-7.227639668290978</v>
      </c>
      <c r="S2392">
        <v>0.1924026207555844</v>
      </c>
      <c r="T2392">
        <v>0.14562191291943499</v>
      </c>
      <c r="U2392">
        <v>4.3297594032350304</v>
      </c>
      <c r="V2392">
        <v>0.1928505341528253</v>
      </c>
      <c r="W2392">
        <v>-1.037826383587942</v>
      </c>
      <c r="X2392">
        <v>0.3362016291359966</v>
      </c>
      <c r="Z2392" t="s">
        <v>392</v>
      </c>
      <c r="AA2392">
        <v>9400</v>
      </c>
      <c r="AB2392" t="s">
        <v>2783</v>
      </c>
      <c r="AC2392" t="str">
        <f>HYPERLINK("plots/3FT6Y578R01_012_S11P_20251111092011_M5358ACSH101811_RBGEUFRF26/dpll_52084/txpa_53203.png","plot")</f>
        <v>plot</v>
      </c>
    </row>
    <row r="2393" spans="1:29" hidden="1" x14ac:dyDescent="0.35">
      <c r="A2393" t="s">
        <v>48</v>
      </c>
      <c r="B2393">
        <v>52084</v>
      </c>
      <c r="C2393" t="s">
        <v>52</v>
      </c>
      <c r="D2393">
        <v>53204</v>
      </c>
      <c r="E2393" t="s">
        <v>79</v>
      </c>
      <c r="F2393">
        <v>12239</v>
      </c>
      <c r="G2393">
        <v>0.83312977489860562</v>
      </c>
      <c r="H2393">
        <v>0</v>
      </c>
      <c r="I2393">
        <v>0</v>
      </c>
      <c r="J2393">
        <v>0.71696871119544692</v>
      </c>
      <c r="K2393">
        <v>0</v>
      </c>
      <c r="L2393">
        <v>0</v>
      </c>
      <c r="M2393">
        <v>0.52546947310552561</v>
      </c>
      <c r="N2393">
        <v>0</v>
      </c>
      <c r="O2393">
        <v>0</v>
      </c>
      <c r="P2393">
        <v>0.69410522182260126</v>
      </c>
      <c r="Q2393">
        <v>1.4465326343605911</v>
      </c>
      <c r="R2393">
        <v>-7.2651735849079389</v>
      </c>
      <c r="S2393">
        <v>0.18515790861715581</v>
      </c>
      <c r="T2393">
        <v>0.14189664569440019</v>
      </c>
      <c r="U2393">
        <v>4.329781797205654</v>
      </c>
      <c r="V2393">
        <v>0.19282280571669411</v>
      </c>
      <c r="W2393">
        <v>-1.0020029155895089</v>
      </c>
      <c r="X2393">
        <v>0.33479115681841531</v>
      </c>
      <c r="Z2393" t="s">
        <v>392</v>
      </c>
      <c r="AA2393">
        <v>9400</v>
      </c>
      <c r="AB2393" t="s">
        <v>2784</v>
      </c>
      <c r="AC2393" t="str">
        <f>HYPERLINK("plots/3FT6Y578R01_012_S11P_20251111092011_M5358ACSH101811_RBGEUFRF26/dpll_52084/txpa_53204.png","plot")</f>
        <v>plot</v>
      </c>
    </row>
    <row r="2394" spans="1:29" hidden="1" x14ac:dyDescent="0.35">
      <c r="A2394" t="s">
        <v>48</v>
      </c>
      <c r="B2394">
        <v>52084</v>
      </c>
      <c r="C2394" t="s">
        <v>52</v>
      </c>
      <c r="D2394">
        <v>53205</v>
      </c>
      <c r="E2394" t="s">
        <v>80</v>
      </c>
      <c r="F2394">
        <v>12242</v>
      </c>
      <c r="G2394">
        <v>0.82975759278066519</v>
      </c>
      <c r="H2394">
        <v>0</v>
      </c>
      <c r="I2394">
        <v>0</v>
      </c>
      <c r="J2394">
        <v>0.71095153352622142</v>
      </c>
      <c r="K2394">
        <v>0</v>
      </c>
      <c r="L2394">
        <v>0</v>
      </c>
      <c r="M2394">
        <v>0.51966492742144521</v>
      </c>
      <c r="N2394">
        <v>0</v>
      </c>
      <c r="O2394">
        <v>0</v>
      </c>
      <c r="P2394">
        <v>0.68849766277716418</v>
      </c>
      <c r="Q2394">
        <v>1.4289157868479381</v>
      </c>
      <c r="R2394">
        <v>-7.1778866856273007</v>
      </c>
      <c r="S2394">
        <v>0.18537366145562781</v>
      </c>
      <c r="T2394">
        <v>0.14143013381067809</v>
      </c>
      <c r="U2394">
        <v>4.3297194717366443</v>
      </c>
      <c r="V2394">
        <v>0.19287667591446611</v>
      </c>
      <c r="W2394">
        <v>-0.99108217983989544</v>
      </c>
      <c r="X2394">
        <v>0.3321506540305757</v>
      </c>
      <c r="Z2394" t="s">
        <v>392</v>
      </c>
      <c r="AA2394">
        <v>9400</v>
      </c>
      <c r="AB2394" t="s">
        <v>2785</v>
      </c>
      <c r="AC2394" t="str">
        <f>HYPERLINK("plots/3FT6Y578R01_012_S11P_20251111092011_M5358ACSH101811_RBGEUFRF26/dpll_52084/txpa_53205.png","plot")</f>
        <v>plot</v>
      </c>
    </row>
    <row r="2395" spans="1:29" hidden="1" x14ac:dyDescent="0.35">
      <c r="A2395" t="s">
        <v>48</v>
      </c>
      <c r="B2395">
        <v>52084</v>
      </c>
      <c r="C2395" t="s">
        <v>52</v>
      </c>
      <c r="D2395">
        <v>53206</v>
      </c>
      <c r="E2395" t="s">
        <v>81</v>
      </c>
      <c r="F2395">
        <v>12241</v>
      </c>
      <c r="G2395">
        <v>0.83898872410932435</v>
      </c>
      <c r="H2395">
        <v>0</v>
      </c>
      <c r="I2395">
        <v>0</v>
      </c>
      <c r="J2395">
        <v>0.71895667511690509</v>
      </c>
      <c r="K2395">
        <v>0</v>
      </c>
      <c r="L2395">
        <v>0</v>
      </c>
      <c r="M2395">
        <v>0.52724760858960262</v>
      </c>
      <c r="N2395">
        <v>0</v>
      </c>
      <c r="O2395">
        <v>0</v>
      </c>
      <c r="P2395">
        <v>0.70390207918259196</v>
      </c>
      <c r="Q2395">
        <v>1.448631399837949</v>
      </c>
      <c r="R2395">
        <v>-7.2325372537637866</v>
      </c>
      <c r="S2395">
        <v>0.18119640450552901</v>
      </c>
      <c r="T2395">
        <v>0.13977948796689749</v>
      </c>
      <c r="U2395">
        <v>4.3297454031533373</v>
      </c>
      <c r="V2395">
        <v>0.1928625329874733</v>
      </c>
      <c r="W2395">
        <v>-0.96033210945184222</v>
      </c>
      <c r="X2395">
        <v>0.33300414309445558</v>
      </c>
      <c r="Z2395" t="s">
        <v>392</v>
      </c>
      <c r="AA2395">
        <v>9400</v>
      </c>
      <c r="AB2395" t="s">
        <v>2786</v>
      </c>
      <c r="AC2395" t="str">
        <f>HYPERLINK("plots/3FT6Y578R01_012_S11P_20251111092011_M5358ACSH101811_RBGEUFRF26/dpll_52084/txpa_53206.png","plot")</f>
        <v>plot</v>
      </c>
    </row>
    <row r="2396" spans="1:29" hidden="1" x14ac:dyDescent="0.35">
      <c r="A2396" t="s">
        <v>48</v>
      </c>
      <c r="B2396">
        <v>52084</v>
      </c>
      <c r="C2396" t="s">
        <v>52</v>
      </c>
      <c r="D2396">
        <v>53207</v>
      </c>
      <c r="E2396" t="s">
        <v>82</v>
      </c>
      <c r="F2396">
        <v>12240</v>
      </c>
      <c r="G2396">
        <v>0.83924584370718713</v>
      </c>
      <c r="H2396">
        <v>0</v>
      </c>
      <c r="I2396">
        <v>0</v>
      </c>
      <c r="J2396">
        <v>0.71756145198304799</v>
      </c>
      <c r="K2396">
        <v>0</v>
      </c>
      <c r="L2396">
        <v>0</v>
      </c>
      <c r="M2396">
        <v>0.5254337577481486</v>
      </c>
      <c r="N2396">
        <v>0</v>
      </c>
      <c r="O2396">
        <v>0</v>
      </c>
      <c r="P2396">
        <v>0.70433358617978836</v>
      </c>
      <c r="Q2396">
        <v>1.4606099655858999</v>
      </c>
      <c r="R2396">
        <v>-7.3051740781970409</v>
      </c>
      <c r="S2396">
        <v>0.1824861663800926</v>
      </c>
      <c r="T2396">
        <v>0.14116826807011479</v>
      </c>
      <c r="U2396">
        <v>4.3297345467320261</v>
      </c>
      <c r="V2396">
        <v>0.1928420022508596</v>
      </c>
      <c r="W2396">
        <v>-0.98112065089869283</v>
      </c>
      <c r="X2396">
        <v>0.33561911850160769</v>
      </c>
      <c r="Z2396" t="s">
        <v>392</v>
      </c>
      <c r="AA2396">
        <v>9400</v>
      </c>
      <c r="AB2396" t="s">
        <v>2787</v>
      </c>
      <c r="AC2396" t="str">
        <f>HYPERLINK("plots/3FT6Y578R01_012_S11P_20251111092011_M5358ACSH101811_RBGEUFRF26/dpll_52084/txpa_53207.png","plot")</f>
        <v>plot</v>
      </c>
    </row>
    <row r="2397" spans="1:29" hidden="1" x14ac:dyDescent="0.35">
      <c r="A2397" t="s">
        <v>48</v>
      </c>
      <c r="B2397">
        <v>52084</v>
      </c>
      <c r="C2397" t="s">
        <v>52</v>
      </c>
      <c r="D2397">
        <v>53208</v>
      </c>
      <c r="E2397" t="s">
        <v>83</v>
      </c>
      <c r="F2397">
        <v>12240</v>
      </c>
      <c r="G2397">
        <v>0.84260374424972762</v>
      </c>
      <c r="H2397">
        <v>0</v>
      </c>
      <c r="I2397">
        <v>0</v>
      </c>
      <c r="J2397">
        <v>0.72732303312244562</v>
      </c>
      <c r="K2397">
        <v>0</v>
      </c>
      <c r="L2397">
        <v>0</v>
      </c>
      <c r="M2397">
        <v>0.53465739708724536</v>
      </c>
      <c r="N2397">
        <v>0</v>
      </c>
      <c r="O2397">
        <v>0</v>
      </c>
      <c r="P2397">
        <v>0.70998106982366038</v>
      </c>
      <c r="Q2397">
        <v>1.4666684969648911</v>
      </c>
      <c r="R2397">
        <v>-7.3445928920866894</v>
      </c>
      <c r="S2397">
        <v>0.18073908114835391</v>
      </c>
      <c r="T2397">
        <v>0.13978087917689269</v>
      </c>
      <c r="U2397">
        <v>4.329689001062091</v>
      </c>
      <c r="V2397">
        <v>0.19281821557856541</v>
      </c>
      <c r="W2397">
        <v>-0.99437443257352942</v>
      </c>
      <c r="X2397">
        <v>0.3356268048415551</v>
      </c>
      <c r="Z2397" t="s">
        <v>392</v>
      </c>
      <c r="AA2397">
        <v>9400</v>
      </c>
      <c r="AB2397" t="s">
        <v>2788</v>
      </c>
      <c r="AC2397" t="str">
        <f>HYPERLINK("plots/3FT6Y578R01_012_S11P_20251111092011_M5358ACSH101811_RBGEUFRF26/dpll_52084/txpa_53208.png","plot")</f>
        <v>plot</v>
      </c>
    </row>
    <row r="2398" spans="1:29" hidden="1" x14ac:dyDescent="0.35">
      <c r="A2398" t="s">
        <v>48</v>
      </c>
      <c r="B2398">
        <v>52084</v>
      </c>
      <c r="C2398" t="s">
        <v>52</v>
      </c>
      <c r="D2398">
        <v>53209</v>
      </c>
      <c r="E2398" t="s">
        <v>84</v>
      </c>
      <c r="F2398">
        <v>12241</v>
      </c>
      <c r="G2398">
        <v>0.84123208517723946</v>
      </c>
      <c r="H2398">
        <v>0</v>
      </c>
      <c r="I2398">
        <v>0</v>
      </c>
      <c r="J2398">
        <v>0.72279708747605698</v>
      </c>
      <c r="K2398">
        <v>0</v>
      </c>
      <c r="L2398">
        <v>0</v>
      </c>
      <c r="M2398">
        <v>0.5311091897302529</v>
      </c>
      <c r="N2398">
        <v>0</v>
      </c>
      <c r="O2398">
        <v>0</v>
      </c>
      <c r="P2398">
        <v>0.70767142113164627</v>
      </c>
      <c r="Q2398">
        <v>1.4621545236103459</v>
      </c>
      <c r="R2398">
        <v>-7.3148918923659139</v>
      </c>
      <c r="S2398">
        <v>0.18121364489199651</v>
      </c>
      <c r="T2398">
        <v>0.13958072281454381</v>
      </c>
      <c r="U2398">
        <v>4.3297660227105634</v>
      </c>
      <c r="V2398">
        <v>0.19283930366172891</v>
      </c>
      <c r="W2398">
        <v>-0.98410491608528716</v>
      </c>
      <c r="X2398">
        <v>0.33517606513957388</v>
      </c>
      <c r="Z2398" t="s">
        <v>392</v>
      </c>
      <c r="AA2398">
        <v>9400</v>
      </c>
      <c r="AB2398" t="s">
        <v>2789</v>
      </c>
      <c r="AC2398" t="str">
        <f>HYPERLINK("plots/3FT6Y578R01_012_S11P_20251111092011_M5358ACSH101811_RBGEUFRF26/dpll_52084/txpa_53209.png","plot")</f>
        <v>plot</v>
      </c>
    </row>
    <row r="2399" spans="1:29" hidden="1" x14ac:dyDescent="0.35">
      <c r="A2399" t="s">
        <v>48</v>
      </c>
      <c r="B2399">
        <v>52084</v>
      </c>
      <c r="C2399" t="s">
        <v>52</v>
      </c>
      <c r="D2399">
        <v>53210</v>
      </c>
      <c r="E2399" t="s">
        <v>85</v>
      </c>
      <c r="F2399">
        <v>12235</v>
      </c>
      <c r="G2399">
        <v>0.83736782041675117</v>
      </c>
      <c r="H2399">
        <v>0</v>
      </c>
      <c r="I2399">
        <v>0</v>
      </c>
      <c r="J2399">
        <v>0.71373809027897051</v>
      </c>
      <c r="K2399">
        <v>0</v>
      </c>
      <c r="L2399">
        <v>0</v>
      </c>
      <c r="M2399">
        <v>0.52322881678491895</v>
      </c>
      <c r="N2399">
        <v>0</v>
      </c>
      <c r="O2399">
        <v>0</v>
      </c>
      <c r="P2399">
        <v>0.70118486666950042</v>
      </c>
      <c r="Q2399">
        <v>1.4477790983421821</v>
      </c>
      <c r="R2399">
        <v>-7.274330951394262</v>
      </c>
      <c r="S2399">
        <v>0.1822394201288646</v>
      </c>
      <c r="T2399">
        <v>0.1407702971982418</v>
      </c>
      <c r="U2399">
        <v>4.3298668506742954</v>
      </c>
      <c r="V2399">
        <v>0.19282917546891709</v>
      </c>
      <c r="W2399">
        <v>-1.005640226383326</v>
      </c>
      <c r="X2399">
        <v>0.33339476749358798</v>
      </c>
      <c r="Z2399" t="s">
        <v>392</v>
      </c>
      <c r="AA2399">
        <v>9400</v>
      </c>
      <c r="AB2399" t="s">
        <v>2790</v>
      </c>
      <c r="AC2399" t="str">
        <f>HYPERLINK("plots/3FT6Y578R01_012_S11P_20251111092011_M5358ACSH101811_RBGEUFRF26/dpll_52084/txpa_53210.png","plot")</f>
        <v>plot</v>
      </c>
    </row>
    <row r="2400" spans="1:29" hidden="1" x14ac:dyDescent="0.35">
      <c r="A2400" t="s">
        <v>48</v>
      </c>
      <c r="B2400">
        <v>52084</v>
      </c>
      <c r="C2400" t="s">
        <v>52</v>
      </c>
      <c r="D2400">
        <v>53211</v>
      </c>
      <c r="E2400" t="s">
        <v>86</v>
      </c>
      <c r="F2400">
        <v>12238</v>
      </c>
      <c r="G2400">
        <v>0.83627327979280297</v>
      </c>
      <c r="H2400">
        <v>0</v>
      </c>
      <c r="I2400">
        <v>0</v>
      </c>
      <c r="J2400">
        <v>0.72705319213371722</v>
      </c>
      <c r="K2400">
        <v>0</v>
      </c>
      <c r="L2400">
        <v>0</v>
      </c>
      <c r="M2400">
        <v>0.53296400126937304</v>
      </c>
      <c r="N2400">
        <v>0</v>
      </c>
      <c r="O2400">
        <v>0</v>
      </c>
      <c r="P2400">
        <v>0.69935299849541177</v>
      </c>
      <c r="Q2400">
        <v>1.6158781399998829</v>
      </c>
      <c r="R2400">
        <v>-4.6948637668362494</v>
      </c>
      <c r="S2400">
        <v>0.20426205813258841</v>
      </c>
      <c r="T2400">
        <v>0.15328805036269411</v>
      </c>
      <c r="U2400">
        <v>4.3298398786566432</v>
      </c>
      <c r="V2400">
        <v>0.1928042595766489</v>
      </c>
      <c r="W2400">
        <v>2.3016298427847679</v>
      </c>
      <c r="X2400">
        <v>0.37254351642797912</v>
      </c>
      <c r="Z2400" t="s">
        <v>392</v>
      </c>
      <c r="AA2400">
        <v>9400</v>
      </c>
      <c r="AB2400" t="s">
        <v>2791</v>
      </c>
      <c r="AC2400" t="str">
        <f>HYPERLINK("plots/3FT6Y578R01_012_S11P_20251111092011_M5358ACSH101811_RBGEUFRF26/dpll_52084/txpa_53211.png","plot")</f>
        <v>plot</v>
      </c>
    </row>
    <row r="2401" spans="1:29" hidden="1" x14ac:dyDescent="0.35">
      <c r="A2401" t="s">
        <v>48</v>
      </c>
      <c r="B2401">
        <v>52084</v>
      </c>
      <c r="C2401" t="s">
        <v>52</v>
      </c>
      <c r="D2401">
        <v>53212</v>
      </c>
      <c r="E2401" t="s">
        <v>87</v>
      </c>
      <c r="F2401">
        <v>12235</v>
      </c>
      <c r="G2401">
        <v>0.8483772053117451</v>
      </c>
      <c r="H2401">
        <v>0</v>
      </c>
      <c r="I2401">
        <v>0</v>
      </c>
      <c r="J2401">
        <v>0.73806414276440102</v>
      </c>
      <c r="K2401">
        <v>0</v>
      </c>
      <c r="L2401">
        <v>0</v>
      </c>
      <c r="M2401">
        <v>0.54510419905439933</v>
      </c>
      <c r="N2401">
        <v>0</v>
      </c>
      <c r="O2401">
        <v>0</v>
      </c>
      <c r="P2401">
        <v>0.71974388249256693</v>
      </c>
      <c r="Q2401">
        <v>1.635426250192743</v>
      </c>
      <c r="R2401">
        <v>-4.7451375846110277</v>
      </c>
      <c r="S2401">
        <v>0.1967213590714314</v>
      </c>
      <c r="T2401">
        <v>0.14989112495910659</v>
      </c>
      <c r="U2401">
        <v>4.3298811404985704</v>
      </c>
      <c r="V2401">
        <v>0.19277456910181129</v>
      </c>
      <c r="W2401">
        <v>2.3360636927748271</v>
      </c>
      <c r="X2401">
        <v>0.37161369813424971</v>
      </c>
      <c r="Z2401" t="s">
        <v>392</v>
      </c>
      <c r="AA2401">
        <v>9400</v>
      </c>
      <c r="AB2401" t="s">
        <v>2792</v>
      </c>
      <c r="AC2401" t="str">
        <f>HYPERLINK("plots/3FT6Y578R01_012_S11P_20251111092011_M5358ACSH101811_RBGEUFRF26/dpll_52084/txpa_53212.png","plot")</f>
        <v>plot</v>
      </c>
    </row>
    <row r="2402" spans="1:29" hidden="1" x14ac:dyDescent="0.35">
      <c r="A2402" t="s">
        <v>48</v>
      </c>
      <c r="B2402">
        <v>52084</v>
      </c>
      <c r="C2402" t="s">
        <v>52</v>
      </c>
      <c r="D2402">
        <v>53213</v>
      </c>
      <c r="E2402" t="s">
        <v>88</v>
      </c>
      <c r="F2402">
        <v>12239</v>
      </c>
      <c r="G2402">
        <v>0.84579692341664059</v>
      </c>
      <c r="H2402">
        <v>0</v>
      </c>
      <c r="I2402">
        <v>0</v>
      </c>
      <c r="J2402">
        <v>0.73248290161015683</v>
      </c>
      <c r="K2402">
        <v>0</v>
      </c>
      <c r="L2402">
        <v>0</v>
      </c>
      <c r="M2402">
        <v>0.53946543614221709</v>
      </c>
      <c r="N2402">
        <v>0</v>
      </c>
      <c r="O2402">
        <v>0</v>
      </c>
      <c r="P2402">
        <v>0.71537243566105457</v>
      </c>
      <c r="Q2402">
        <v>1.6194328405991001</v>
      </c>
      <c r="R2402">
        <v>-4.6655474802138066</v>
      </c>
      <c r="S2402">
        <v>0.19696723073657449</v>
      </c>
      <c r="T2402">
        <v>0.14904414441954819</v>
      </c>
      <c r="U2402">
        <v>4.3297993540321924</v>
      </c>
      <c r="V2402">
        <v>0.19283079985658039</v>
      </c>
      <c r="W2402">
        <v>2.346271786910695</v>
      </c>
      <c r="X2402">
        <v>0.36920982013658948</v>
      </c>
      <c r="Z2402" t="s">
        <v>392</v>
      </c>
      <c r="AA2402">
        <v>9400</v>
      </c>
      <c r="AB2402" t="s">
        <v>2793</v>
      </c>
      <c r="AC2402" t="str">
        <f>HYPERLINK("plots/3FT6Y578R01_012_S11P_20251111092011_M5358ACSH101811_RBGEUFRF26/dpll_52084/txpa_53213.png","plot")</f>
        <v>plot</v>
      </c>
    </row>
    <row r="2403" spans="1:29" hidden="1" x14ac:dyDescent="0.35">
      <c r="A2403" t="s">
        <v>48</v>
      </c>
      <c r="B2403">
        <v>52084</v>
      </c>
      <c r="C2403" t="s">
        <v>52</v>
      </c>
      <c r="D2403">
        <v>53214</v>
      </c>
      <c r="E2403" t="s">
        <v>89</v>
      </c>
      <c r="F2403">
        <v>12240</v>
      </c>
      <c r="G2403">
        <v>0.85385562792858438</v>
      </c>
      <c r="H2403">
        <v>0</v>
      </c>
      <c r="I2403">
        <v>0</v>
      </c>
      <c r="J2403">
        <v>0.74098633181054552</v>
      </c>
      <c r="K2403">
        <v>0</v>
      </c>
      <c r="L2403">
        <v>0</v>
      </c>
      <c r="M2403">
        <v>0.54788004177923777</v>
      </c>
      <c r="N2403">
        <v>0</v>
      </c>
      <c r="O2403">
        <v>0</v>
      </c>
      <c r="P2403">
        <v>0.72906943334531715</v>
      </c>
      <c r="Q2403">
        <v>1.637620260794777</v>
      </c>
      <c r="R2403">
        <v>-4.7180459763510036</v>
      </c>
      <c r="S2403">
        <v>0.19252272727501429</v>
      </c>
      <c r="T2403">
        <v>0.14730404397816871</v>
      </c>
      <c r="U2403">
        <v>4.3297635834967316</v>
      </c>
      <c r="V2403">
        <v>0.1928599219077857</v>
      </c>
      <c r="W2403">
        <v>2.372462592434641</v>
      </c>
      <c r="X2403">
        <v>0.36988842759950041</v>
      </c>
      <c r="Z2403" t="s">
        <v>392</v>
      </c>
      <c r="AA2403">
        <v>9400</v>
      </c>
      <c r="AB2403" t="s">
        <v>2794</v>
      </c>
      <c r="AC2403" t="str">
        <f>HYPERLINK("plots/3FT6Y578R01_012_S11P_20251111092011_M5358ACSH101811_RBGEUFRF26/dpll_52084/txpa_53214.png","plot")</f>
        <v>plot</v>
      </c>
    </row>
    <row r="2404" spans="1:29" hidden="1" x14ac:dyDescent="0.35">
      <c r="A2404" t="s">
        <v>48</v>
      </c>
      <c r="B2404">
        <v>52084</v>
      </c>
      <c r="C2404" t="s">
        <v>52</v>
      </c>
      <c r="D2404">
        <v>53215</v>
      </c>
      <c r="E2404" t="s">
        <v>90</v>
      </c>
      <c r="F2404">
        <v>12237</v>
      </c>
      <c r="G2404">
        <v>0.85419913467262398</v>
      </c>
      <c r="H2404">
        <v>0</v>
      </c>
      <c r="I2404">
        <v>0</v>
      </c>
      <c r="J2404">
        <v>0.74049845320241747</v>
      </c>
      <c r="K2404">
        <v>0</v>
      </c>
      <c r="L2404">
        <v>0</v>
      </c>
      <c r="M2404">
        <v>0.54681916623958648</v>
      </c>
      <c r="N2404">
        <v>0</v>
      </c>
      <c r="O2404">
        <v>0</v>
      </c>
      <c r="P2404">
        <v>0.72965616167545966</v>
      </c>
      <c r="Q2404">
        <v>1.648753046096685</v>
      </c>
      <c r="R2404">
        <v>-4.7881238314850592</v>
      </c>
      <c r="S2404">
        <v>0.1934885634374344</v>
      </c>
      <c r="T2404">
        <v>0.14857779307122329</v>
      </c>
      <c r="U2404">
        <v>4.3298093309634718</v>
      </c>
      <c r="V2404">
        <v>0.19280501431080821</v>
      </c>
      <c r="W2404">
        <v>2.350662491958813</v>
      </c>
      <c r="X2404">
        <v>0.37214724499749352</v>
      </c>
      <c r="Z2404" t="s">
        <v>392</v>
      </c>
      <c r="AA2404">
        <v>9400</v>
      </c>
      <c r="AB2404" t="s">
        <v>2795</v>
      </c>
      <c r="AC2404" t="str">
        <f>HYPERLINK("plots/3FT6Y578R01_012_S11P_20251111092011_M5358ACSH101811_RBGEUFRF26/dpll_52084/txpa_53215.png","plot")</f>
        <v>plot</v>
      </c>
    </row>
    <row r="2405" spans="1:29" hidden="1" x14ac:dyDescent="0.35">
      <c r="A2405" t="s">
        <v>48</v>
      </c>
      <c r="B2405">
        <v>52084</v>
      </c>
      <c r="C2405" t="s">
        <v>52</v>
      </c>
      <c r="D2405">
        <v>53216</v>
      </c>
      <c r="E2405" t="s">
        <v>91</v>
      </c>
      <c r="F2405">
        <v>12237</v>
      </c>
      <c r="G2405">
        <v>0.85655530561898585</v>
      </c>
      <c r="H2405">
        <v>0</v>
      </c>
      <c r="I2405">
        <v>0</v>
      </c>
      <c r="J2405">
        <v>0.74585248103966895</v>
      </c>
      <c r="K2405">
        <v>0</v>
      </c>
      <c r="L2405">
        <v>0</v>
      </c>
      <c r="M2405">
        <v>0.55217688668131859</v>
      </c>
      <c r="N2405">
        <v>0</v>
      </c>
      <c r="O2405">
        <v>0</v>
      </c>
      <c r="P2405">
        <v>0.73368699158403428</v>
      </c>
      <c r="Q2405">
        <v>1.6561348190512371</v>
      </c>
      <c r="R2405">
        <v>-4.8285672608581924</v>
      </c>
      <c r="S2405">
        <v>0.19237498849926071</v>
      </c>
      <c r="T2405">
        <v>0.14809211489157309</v>
      </c>
      <c r="U2405">
        <v>4.3297430427392332</v>
      </c>
      <c r="V2405">
        <v>0.19281014619340489</v>
      </c>
      <c r="W2405">
        <v>2.3420709497671002</v>
      </c>
      <c r="X2405">
        <v>0.37279507170468368</v>
      </c>
      <c r="Z2405" t="s">
        <v>392</v>
      </c>
      <c r="AA2405">
        <v>9400</v>
      </c>
      <c r="AB2405" t="s">
        <v>2796</v>
      </c>
      <c r="AC2405" t="str">
        <f>HYPERLINK("plots/3FT6Y578R01_012_S11P_20251111092011_M5358ACSH101811_RBGEUFRF26/dpll_52084/txpa_53216.png","plot")</f>
        <v>plot</v>
      </c>
    </row>
    <row r="2406" spans="1:29" hidden="1" x14ac:dyDescent="0.35">
      <c r="A2406" t="s">
        <v>48</v>
      </c>
      <c r="B2406">
        <v>52084</v>
      </c>
      <c r="C2406" t="s">
        <v>52</v>
      </c>
      <c r="D2406">
        <v>53217</v>
      </c>
      <c r="E2406" t="s">
        <v>92</v>
      </c>
      <c r="F2406">
        <v>12236</v>
      </c>
      <c r="G2406">
        <v>0.85577538893113669</v>
      </c>
      <c r="H2406">
        <v>0</v>
      </c>
      <c r="I2406">
        <v>0</v>
      </c>
      <c r="J2406">
        <v>0.74154475417519006</v>
      </c>
      <c r="K2406">
        <v>0</v>
      </c>
      <c r="L2406">
        <v>0</v>
      </c>
      <c r="M2406">
        <v>0.54891882990915264</v>
      </c>
      <c r="N2406">
        <v>0</v>
      </c>
      <c r="O2406">
        <v>0</v>
      </c>
      <c r="P2406">
        <v>0.73235151630023831</v>
      </c>
      <c r="Q2406">
        <v>1.6507491301135431</v>
      </c>
      <c r="R2406">
        <v>-4.7955040267533739</v>
      </c>
      <c r="S2406">
        <v>0.19240509898725511</v>
      </c>
      <c r="T2406">
        <v>0.14757326747796201</v>
      </c>
      <c r="U2406">
        <v>4.3298654944426289</v>
      </c>
      <c r="V2406">
        <v>0.1928104846723474</v>
      </c>
      <c r="W2406">
        <v>2.3520176717064398</v>
      </c>
      <c r="X2406">
        <v>0.37192205334063422</v>
      </c>
      <c r="Z2406" t="s">
        <v>392</v>
      </c>
      <c r="AA2406">
        <v>9400</v>
      </c>
      <c r="AB2406" t="s">
        <v>2797</v>
      </c>
      <c r="AC2406" t="str">
        <f>HYPERLINK("plots/3FT6Y578R01_012_S11P_20251111092011_M5358ACSH101811_RBGEUFRF26/dpll_52084/txpa_53217.png","plot")</f>
        <v>plot</v>
      </c>
    </row>
    <row r="2407" spans="1:29" hidden="1" x14ac:dyDescent="0.35">
      <c r="A2407" t="s">
        <v>48</v>
      </c>
      <c r="B2407">
        <v>52084</v>
      </c>
      <c r="C2407" t="s">
        <v>52</v>
      </c>
      <c r="D2407">
        <v>53218</v>
      </c>
      <c r="E2407" t="s">
        <v>93</v>
      </c>
      <c r="F2407">
        <v>12232</v>
      </c>
      <c r="G2407">
        <v>0.85248344371343954</v>
      </c>
      <c r="H2407">
        <v>0</v>
      </c>
      <c r="I2407">
        <v>0</v>
      </c>
      <c r="J2407">
        <v>0.73534270322780415</v>
      </c>
      <c r="K2407">
        <v>0</v>
      </c>
      <c r="L2407">
        <v>0</v>
      </c>
      <c r="M2407">
        <v>0.54326726005075243</v>
      </c>
      <c r="N2407">
        <v>0</v>
      </c>
      <c r="O2407">
        <v>0</v>
      </c>
      <c r="P2407">
        <v>0.72672802180552498</v>
      </c>
      <c r="Q2407">
        <v>1.634222731923338</v>
      </c>
      <c r="R2407">
        <v>-4.7432123366038779</v>
      </c>
      <c r="S2407">
        <v>0.1931888332406583</v>
      </c>
      <c r="T2407">
        <v>0.14842701035506389</v>
      </c>
      <c r="U2407">
        <v>4.3299459228253756</v>
      </c>
      <c r="V2407">
        <v>0.19278663739167259</v>
      </c>
      <c r="W2407">
        <v>2.3328837184761282</v>
      </c>
      <c r="X2407">
        <v>0.36957469093374989</v>
      </c>
      <c r="Z2407" t="s">
        <v>392</v>
      </c>
      <c r="AA2407">
        <v>9400</v>
      </c>
      <c r="AB2407" t="s">
        <v>2798</v>
      </c>
      <c r="AC2407" t="str">
        <f>HYPERLINK("plots/3FT6Y578R01_012_S11P_20251111092011_M5358ACSH101811_RBGEUFRF26/dpll_52084/txpa_53218.png","plot")</f>
        <v>plot</v>
      </c>
    </row>
    <row r="2408" spans="1:29" hidden="1" x14ac:dyDescent="0.35">
      <c r="A2408" t="s">
        <v>48</v>
      </c>
      <c r="B2408">
        <v>52084</v>
      </c>
      <c r="C2408" t="s">
        <v>52</v>
      </c>
      <c r="D2408">
        <v>53219</v>
      </c>
      <c r="E2408" t="s">
        <v>94</v>
      </c>
      <c r="F2408">
        <v>12229</v>
      </c>
      <c r="G2408">
        <v>0.84475912769661754</v>
      </c>
      <c r="H2408">
        <v>0</v>
      </c>
      <c r="I2408">
        <v>0</v>
      </c>
      <c r="J2408">
        <v>0.73491160407390221</v>
      </c>
      <c r="K2408">
        <v>0</v>
      </c>
      <c r="L2408">
        <v>0</v>
      </c>
      <c r="M2408">
        <v>0.5408257693550943</v>
      </c>
      <c r="N2408">
        <v>0</v>
      </c>
      <c r="O2408">
        <v>0</v>
      </c>
      <c r="P2408">
        <v>0.71361798382675012</v>
      </c>
      <c r="Q2408">
        <v>1.7807395399814201</v>
      </c>
      <c r="R2408">
        <v>-3.5498867279856041</v>
      </c>
      <c r="S2408">
        <v>0.21730007062378581</v>
      </c>
      <c r="T2408">
        <v>0.16304969992493329</v>
      </c>
      <c r="U2408">
        <v>4.3300991395862294</v>
      </c>
      <c r="V2408">
        <v>0.1926359082457379</v>
      </c>
      <c r="W2408">
        <v>4.16089202191512</v>
      </c>
      <c r="X2408">
        <v>0.40607359824422518</v>
      </c>
      <c r="Z2408" t="s">
        <v>392</v>
      </c>
      <c r="AA2408">
        <v>9400</v>
      </c>
      <c r="AB2408" t="s">
        <v>2799</v>
      </c>
      <c r="AC2408" t="str">
        <f>HYPERLINK("plots/3FT6Y578R01_012_S11P_20251111092011_M5358ACSH101811_RBGEUFRF26/dpll_52084/txpa_53219.png","plot")</f>
        <v>plot</v>
      </c>
    </row>
    <row r="2409" spans="1:29" hidden="1" x14ac:dyDescent="0.35">
      <c r="A2409" t="s">
        <v>48</v>
      </c>
      <c r="B2409">
        <v>52084</v>
      </c>
      <c r="C2409" t="s">
        <v>52</v>
      </c>
      <c r="D2409">
        <v>53220</v>
      </c>
      <c r="E2409" t="s">
        <v>95</v>
      </c>
      <c r="F2409">
        <v>12230</v>
      </c>
      <c r="G2409">
        <v>0.85612622222915968</v>
      </c>
      <c r="H2409">
        <v>0</v>
      </c>
      <c r="I2409">
        <v>0</v>
      </c>
      <c r="J2409">
        <v>0.74542641972070545</v>
      </c>
      <c r="K2409">
        <v>0</v>
      </c>
      <c r="L2409">
        <v>0</v>
      </c>
      <c r="M2409">
        <v>0.55254971417179377</v>
      </c>
      <c r="N2409">
        <v>0</v>
      </c>
      <c r="O2409">
        <v>0</v>
      </c>
      <c r="P2409">
        <v>0.73295210838837255</v>
      </c>
      <c r="Q2409">
        <v>1.805925073765857</v>
      </c>
      <c r="R2409">
        <v>-3.6242602287706052</v>
      </c>
      <c r="S2409">
        <v>0.21009055266266299</v>
      </c>
      <c r="T2409">
        <v>0.16013496898318011</v>
      </c>
      <c r="U2409">
        <v>4.3299874423548648</v>
      </c>
      <c r="V2409">
        <v>0.19273818909018881</v>
      </c>
      <c r="W2409">
        <v>4.1953726624693379</v>
      </c>
      <c r="X2409">
        <v>0.40656473229367879</v>
      </c>
      <c r="Z2409" t="s">
        <v>392</v>
      </c>
      <c r="AA2409">
        <v>9400</v>
      </c>
      <c r="AB2409" t="s">
        <v>2800</v>
      </c>
      <c r="AC2409" t="str">
        <f>HYPERLINK("plots/3FT6Y578R01_012_S11P_20251111092011_M5358ACSH101811_RBGEUFRF26/dpll_52084/txpa_53220.png","plot")</f>
        <v>plot</v>
      </c>
    </row>
    <row r="2410" spans="1:29" hidden="1" x14ac:dyDescent="0.35">
      <c r="A2410" t="s">
        <v>48</v>
      </c>
      <c r="B2410">
        <v>52084</v>
      </c>
      <c r="C2410" t="s">
        <v>52</v>
      </c>
      <c r="D2410">
        <v>53221</v>
      </c>
      <c r="E2410" t="s">
        <v>96</v>
      </c>
      <c r="F2410">
        <v>12231</v>
      </c>
      <c r="G2410">
        <v>0.85409892234657248</v>
      </c>
      <c r="H2410">
        <v>0</v>
      </c>
      <c r="I2410">
        <v>0</v>
      </c>
      <c r="J2410">
        <v>0.74003132844810082</v>
      </c>
      <c r="K2410">
        <v>0</v>
      </c>
      <c r="L2410">
        <v>0</v>
      </c>
      <c r="M2410">
        <v>0.54711331703877497</v>
      </c>
      <c r="N2410">
        <v>0</v>
      </c>
      <c r="O2410">
        <v>0</v>
      </c>
      <c r="P2410">
        <v>0.72948496915357641</v>
      </c>
      <c r="Q2410">
        <v>1.787661247195542</v>
      </c>
      <c r="R2410">
        <v>-3.5343149354260439</v>
      </c>
      <c r="S2410">
        <v>0.20980646723037921</v>
      </c>
      <c r="T2410">
        <v>0.1590149516991379</v>
      </c>
      <c r="U2410">
        <v>4.3299945914479601</v>
      </c>
      <c r="V2410">
        <v>0.1927364579182293</v>
      </c>
      <c r="W2410">
        <v>4.2062485962717684</v>
      </c>
      <c r="X2410">
        <v>0.4034046733082563</v>
      </c>
      <c r="Z2410" t="s">
        <v>392</v>
      </c>
      <c r="AA2410">
        <v>9400</v>
      </c>
      <c r="AB2410" t="s">
        <v>2801</v>
      </c>
      <c r="AC2410" t="str">
        <f>HYPERLINK("plots/3FT6Y578R01_012_S11P_20251111092011_M5358ACSH101811_RBGEUFRF26/dpll_52084/txpa_53221.png","plot")</f>
        <v>plot</v>
      </c>
    </row>
    <row r="2411" spans="1:29" hidden="1" x14ac:dyDescent="0.35">
      <c r="A2411" t="s">
        <v>48</v>
      </c>
      <c r="B2411">
        <v>52084</v>
      </c>
      <c r="C2411" t="s">
        <v>52</v>
      </c>
      <c r="D2411">
        <v>53222</v>
      </c>
      <c r="E2411" t="s">
        <v>97</v>
      </c>
      <c r="F2411">
        <v>12234</v>
      </c>
      <c r="G2411">
        <v>0.86144103045385423</v>
      </c>
      <c r="H2411">
        <v>0</v>
      </c>
      <c r="I2411">
        <v>0</v>
      </c>
      <c r="J2411">
        <v>0.7487486699326027</v>
      </c>
      <c r="K2411">
        <v>0</v>
      </c>
      <c r="L2411">
        <v>0</v>
      </c>
      <c r="M2411">
        <v>0.55568647716484243</v>
      </c>
      <c r="N2411">
        <v>0</v>
      </c>
      <c r="O2411">
        <v>0</v>
      </c>
      <c r="P2411">
        <v>0.74208064894939818</v>
      </c>
      <c r="Q2411">
        <v>1.807434201608394</v>
      </c>
      <c r="R2411">
        <v>-3.5962011679957961</v>
      </c>
      <c r="S2411">
        <v>0.2054288242739003</v>
      </c>
      <c r="T2411">
        <v>0.15712811900682039</v>
      </c>
      <c r="U2411">
        <v>4.3298983390550916</v>
      </c>
      <c r="V2411">
        <v>0.19279697894596121</v>
      </c>
      <c r="W2411">
        <v>4.2298051794997553</v>
      </c>
      <c r="X2411">
        <v>0.40451736264537069</v>
      </c>
      <c r="Z2411" t="s">
        <v>392</v>
      </c>
      <c r="AA2411">
        <v>9400</v>
      </c>
      <c r="AB2411" t="s">
        <v>2802</v>
      </c>
      <c r="AC2411" t="str">
        <f>HYPERLINK("plots/3FT6Y578R01_012_S11P_20251111092011_M5358ACSH101811_RBGEUFRF26/dpll_52084/txpa_53222.png","plot")</f>
        <v>plot</v>
      </c>
    </row>
    <row r="2412" spans="1:29" hidden="1" x14ac:dyDescent="0.35">
      <c r="A2412" t="s">
        <v>48</v>
      </c>
      <c r="B2412">
        <v>52084</v>
      </c>
      <c r="C2412" t="s">
        <v>52</v>
      </c>
      <c r="D2412">
        <v>53223</v>
      </c>
      <c r="E2412" t="s">
        <v>98</v>
      </c>
      <c r="F2412">
        <v>12234</v>
      </c>
      <c r="G2412">
        <v>0.86109026149026013</v>
      </c>
      <c r="H2412">
        <v>0</v>
      </c>
      <c r="I2412">
        <v>0</v>
      </c>
      <c r="J2412">
        <v>0.74829007176482576</v>
      </c>
      <c r="K2412">
        <v>0</v>
      </c>
      <c r="L2412">
        <v>0</v>
      </c>
      <c r="M2412">
        <v>0.55466496260819409</v>
      </c>
      <c r="N2412">
        <v>0</v>
      </c>
      <c r="O2412">
        <v>0</v>
      </c>
      <c r="P2412">
        <v>0.74147643843336453</v>
      </c>
      <c r="Q2412">
        <v>1.819951936992009</v>
      </c>
      <c r="R2412">
        <v>-3.6740544391565249</v>
      </c>
      <c r="S2412">
        <v>0.20713218582131479</v>
      </c>
      <c r="T2412">
        <v>0.15871427266736499</v>
      </c>
      <c r="U2412">
        <v>4.3298931007029591</v>
      </c>
      <c r="V2412">
        <v>0.19275428082937199</v>
      </c>
      <c r="W2412">
        <v>4.2061428964361616</v>
      </c>
      <c r="X2412">
        <v>0.40739460477905443</v>
      </c>
      <c r="Z2412" t="s">
        <v>392</v>
      </c>
      <c r="AA2412">
        <v>9400</v>
      </c>
      <c r="AB2412" t="s">
        <v>2803</v>
      </c>
      <c r="AC2412" t="str">
        <f>HYPERLINK("plots/3FT6Y578R01_012_S11P_20251111092011_M5358ACSH101811_RBGEUFRF26/dpll_52084/txpa_53223.png","plot")</f>
        <v>plot</v>
      </c>
    </row>
    <row r="2413" spans="1:29" hidden="1" x14ac:dyDescent="0.35">
      <c r="A2413" t="s">
        <v>48</v>
      </c>
      <c r="B2413">
        <v>52084</v>
      </c>
      <c r="C2413" t="s">
        <v>52</v>
      </c>
      <c r="D2413">
        <v>53224</v>
      </c>
      <c r="E2413" t="s">
        <v>99</v>
      </c>
      <c r="F2413">
        <v>12231</v>
      </c>
      <c r="G2413">
        <v>0.8636511017184475</v>
      </c>
      <c r="H2413">
        <v>0</v>
      </c>
      <c r="I2413">
        <v>0</v>
      </c>
      <c r="J2413">
        <v>0.75243419521601096</v>
      </c>
      <c r="K2413">
        <v>0</v>
      </c>
      <c r="L2413">
        <v>0</v>
      </c>
      <c r="M2413">
        <v>0.55906432525859484</v>
      </c>
      <c r="N2413">
        <v>0</v>
      </c>
      <c r="O2413">
        <v>0</v>
      </c>
      <c r="P2413">
        <v>0.74589322549948811</v>
      </c>
      <c r="Q2413">
        <v>1.8259894186938119</v>
      </c>
      <c r="R2413">
        <v>-3.7054340729154269</v>
      </c>
      <c r="S2413">
        <v>0.20541597126202851</v>
      </c>
      <c r="T2413">
        <v>0.15813054009606739</v>
      </c>
      <c r="U2413">
        <v>4.329887003433897</v>
      </c>
      <c r="V2413">
        <v>0.19274535244560259</v>
      </c>
      <c r="W2413">
        <v>4.2008937794947263</v>
      </c>
      <c r="X2413">
        <v>0.40751522619236641</v>
      </c>
      <c r="Z2413" t="s">
        <v>392</v>
      </c>
      <c r="AA2413">
        <v>9400</v>
      </c>
      <c r="AB2413" t="s">
        <v>2804</v>
      </c>
      <c r="AC2413" t="str">
        <f>HYPERLINK("plots/3FT6Y578R01_012_S11P_20251111092011_M5358ACSH101811_RBGEUFRF26/dpll_52084/txpa_53224.png","plot")</f>
        <v>plot</v>
      </c>
    </row>
    <row r="2414" spans="1:29" hidden="1" x14ac:dyDescent="0.35">
      <c r="A2414" t="s">
        <v>48</v>
      </c>
      <c r="B2414">
        <v>52084</v>
      </c>
      <c r="C2414" t="s">
        <v>52</v>
      </c>
      <c r="D2414">
        <v>53225</v>
      </c>
      <c r="E2414" t="s">
        <v>100</v>
      </c>
      <c r="F2414">
        <v>12227</v>
      </c>
      <c r="G2414">
        <v>0.86332800625903872</v>
      </c>
      <c r="H2414">
        <v>0</v>
      </c>
      <c r="I2414">
        <v>0</v>
      </c>
      <c r="J2414">
        <v>0.74813480592170467</v>
      </c>
      <c r="K2414">
        <v>0</v>
      </c>
      <c r="L2414">
        <v>0</v>
      </c>
      <c r="M2414">
        <v>0.55584266303791319</v>
      </c>
      <c r="N2414">
        <v>0</v>
      </c>
      <c r="O2414">
        <v>0</v>
      </c>
      <c r="P2414">
        <v>0.74533524639120674</v>
      </c>
      <c r="Q2414">
        <v>1.81957948172072</v>
      </c>
      <c r="R2414">
        <v>-3.668427712835217</v>
      </c>
      <c r="S2414">
        <v>0.20496778052921019</v>
      </c>
      <c r="T2414">
        <v>0.15745031589622441</v>
      </c>
      <c r="U2414">
        <v>4.3300711811564572</v>
      </c>
      <c r="V2414">
        <v>0.19271864646334599</v>
      </c>
      <c r="W2414">
        <v>4.2104809627872726</v>
      </c>
      <c r="X2414">
        <v>0.40618037675992802</v>
      </c>
      <c r="Z2414" t="s">
        <v>392</v>
      </c>
      <c r="AA2414">
        <v>9400</v>
      </c>
      <c r="AB2414" t="s">
        <v>2805</v>
      </c>
      <c r="AC2414" t="str">
        <f>HYPERLINK("plots/3FT6Y578R01_012_S11P_20251111092011_M5358ACSH101811_RBGEUFRF26/dpll_52084/txpa_53225.png","plot")</f>
        <v>plot</v>
      </c>
    </row>
    <row r="2415" spans="1:29" hidden="1" x14ac:dyDescent="0.35">
      <c r="A2415" t="s">
        <v>48</v>
      </c>
      <c r="B2415">
        <v>52084</v>
      </c>
      <c r="C2415" t="s">
        <v>52</v>
      </c>
      <c r="D2415">
        <v>53226</v>
      </c>
      <c r="E2415" t="s">
        <v>101</v>
      </c>
      <c r="F2415">
        <v>12225</v>
      </c>
      <c r="G2415">
        <v>0.86009280133198285</v>
      </c>
      <c r="H2415">
        <v>0</v>
      </c>
      <c r="I2415">
        <v>0</v>
      </c>
      <c r="J2415">
        <v>0.74319947221899829</v>
      </c>
      <c r="K2415">
        <v>0</v>
      </c>
      <c r="L2415">
        <v>0</v>
      </c>
      <c r="M2415">
        <v>0.55106676820612832</v>
      </c>
      <c r="N2415">
        <v>0</v>
      </c>
      <c r="O2415">
        <v>0</v>
      </c>
      <c r="P2415">
        <v>0.73975962690309771</v>
      </c>
      <c r="Q2415">
        <v>1.801567693178914</v>
      </c>
      <c r="R2415">
        <v>-3.609311866174528</v>
      </c>
      <c r="S2415">
        <v>0.20589789372221051</v>
      </c>
      <c r="T2415">
        <v>0.15823064708417581</v>
      </c>
      <c r="U2415">
        <v>4.3301207368507164</v>
      </c>
      <c r="V2415">
        <v>0.19269793396874041</v>
      </c>
      <c r="W2415">
        <v>4.1916937608997964</v>
      </c>
      <c r="X2415">
        <v>0.40362897101659201</v>
      </c>
      <c r="Z2415" t="s">
        <v>392</v>
      </c>
      <c r="AA2415">
        <v>9400</v>
      </c>
      <c r="AB2415" t="s">
        <v>2806</v>
      </c>
      <c r="AC2415" t="str">
        <f>HYPERLINK("plots/3FT6Y578R01_012_S11P_20251111092011_M5358ACSH101811_RBGEUFRF26/dpll_52084/txpa_53226.png","plot")</f>
        <v>plot</v>
      </c>
    </row>
    <row r="2416" spans="1:29" hidden="1" x14ac:dyDescent="0.35">
      <c r="A2416" t="s">
        <v>48</v>
      </c>
      <c r="B2416">
        <v>52084</v>
      </c>
      <c r="C2416" t="s">
        <v>52</v>
      </c>
      <c r="D2416">
        <v>53227</v>
      </c>
      <c r="E2416" t="s">
        <v>102</v>
      </c>
      <c r="F2416">
        <v>12200</v>
      </c>
      <c r="G2416">
        <v>0.85563051157419867</v>
      </c>
      <c r="H2416">
        <v>0</v>
      </c>
      <c r="I2416">
        <v>0</v>
      </c>
      <c r="J2416">
        <v>0.7399105909012621</v>
      </c>
      <c r="K2416">
        <v>0</v>
      </c>
      <c r="L2416">
        <v>0</v>
      </c>
      <c r="M2416">
        <v>0.54667310909530931</v>
      </c>
      <c r="N2416">
        <v>0</v>
      </c>
      <c r="O2416">
        <v>0</v>
      </c>
      <c r="P2416">
        <v>0.73210357233672496</v>
      </c>
      <c r="Q2416">
        <v>2.020322838403771</v>
      </c>
      <c r="R2416">
        <v>-2.3687945349333721</v>
      </c>
      <c r="S2416">
        <v>0.23513010779235069</v>
      </c>
      <c r="T2416">
        <v>0.17836782734644599</v>
      </c>
      <c r="U2416">
        <v>4.3307062177868847</v>
      </c>
      <c r="V2416">
        <v>0.19240133058688569</v>
      </c>
      <c r="W2416">
        <v>6.3806301432786876</v>
      </c>
      <c r="X2416">
        <v>0.45429983744829422</v>
      </c>
      <c r="Z2416" t="s">
        <v>392</v>
      </c>
      <c r="AA2416">
        <v>9400</v>
      </c>
      <c r="AB2416" t="s">
        <v>2807</v>
      </c>
      <c r="AC2416" t="str">
        <f>HYPERLINK("plots/3FT6Y578R01_012_S11P_20251111092011_M5358ACSH101811_RBGEUFRF26/dpll_52084/txpa_53227.png","plot")</f>
        <v>plot</v>
      </c>
    </row>
    <row r="2417" spans="1:29" hidden="1" x14ac:dyDescent="0.35">
      <c r="A2417" t="s">
        <v>48</v>
      </c>
      <c r="B2417">
        <v>52084</v>
      </c>
      <c r="C2417" t="s">
        <v>52</v>
      </c>
      <c r="D2417">
        <v>53228</v>
      </c>
      <c r="E2417" t="s">
        <v>103</v>
      </c>
      <c r="F2417">
        <v>12215</v>
      </c>
      <c r="G2417">
        <v>0.86360325694223405</v>
      </c>
      <c r="H2417">
        <v>0</v>
      </c>
      <c r="I2417">
        <v>0</v>
      </c>
      <c r="J2417">
        <v>0.75009352045062805</v>
      </c>
      <c r="K2417">
        <v>0</v>
      </c>
      <c r="L2417">
        <v>0</v>
      </c>
      <c r="M2417">
        <v>0.55778295049759541</v>
      </c>
      <c r="N2417">
        <v>0</v>
      </c>
      <c r="O2417">
        <v>0</v>
      </c>
      <c r="P2417">
        <v>0.74581058540123435</v>
      </c>
      <c r="Q2417">
        <v>2.0544966745501951</v>
      </c>
      <c r="R2417">
        <v>-2.4818317553310432</v>
      </c>
      <c r="S2417">
        <v>0.2310170556337128</v>
      </c>
      <c r="T2417">
        <v>0.17693811448765739</v>
      </c>
      <c r="U2417">
        <v>4.3303044022922634</v>
      </c>
      <c r="V2417">
        <v>0.19261580523868091</v>
      </c>
      <c r="W2417">
        <v>6.4147642389684814</v>
      </c>
      <c r="X2417">
        <v>0.45822954944593047</v>
      </c>
      <c r="Z2417" t="s">
        <v>392</v>
      </c>
      <c r="AA2417">
        <v>9400</v>
      </c>
      <c r="AB2417" t="s">
        <v>2808</v>
      </c>
      <c r="AC2417" t="str">
        <f>HYPERLINK("plots/3FT6Y578R01_012_S11P_20251111092011_M5358ACSH101811_RBGEUFRF26/dpll_52084/txpa_53228.png","plot")</f>
        <v>plot</v>
      </c>
    </row>
    <row r="2418" spans="1:29" hidden="1" x14ac:dyDescent="0.35">
      <c r="A2418" t="s">
        <v>48</v>
      </c>
      <c r="B2418">
        <v>52084</v>
      </c>
      <c r="C2418" t="s">
        <v>52</v>
      </c>
      <c r="D2418">
        <v>53229</v>
      </c>
      <c r="E2418" t="s">
        <v>104</v>
      </c>
      <c r="F2418">
        <v>12207</v>
      </c>
      <c r="G2418">
        <v>0.86325215857970783</v>
      </c>
      <c r="H2418">
        <v>0</v>
      </c>
      <c r="I2418">
        <v>0</v>
      </c>
      <c r="J2418">
        <v>0.74453991687505083</v>
      </c>
      <c r="K2418">
        <v>0</v>
      </c>
      <c r="L2418">
        <v>0</v>
      </c>
      <c r="M2418">
        <v>0.552369349318099</v>
      </c>
      <c r="N2418">
        <v>0</v>
      </c>
      <c r="O2418">
        <v>0</v>
      </c>
      <c r="P2418">
        <v>0.74520428929252502</v>
      </c>
      <c r="Q2418">
        <v>2.0306266722981152</v>
      </c>
      <c r="R2418">
        <v>-2.3664429560018569</v>
      </c>
      <c r="S2418">
        <v>0.22859998969361461</v>
      </c>
      <c r="T2418">
        <v>0.17490920888753231</v>
      </c>
      <c r="U2418">
        <v>4.3305081548291966</v>
      </c>
      <c r="V2418">
        <v>0.19253315440682031</v>
      </c>
      <c r="W2418">
        <v>6.4272024077988039</v>
      </c>
      <c r="X2418">
        <v>0.45289543125316301</v>
      </c>
      <c r="Z2418" t="s">
        <v>392</v>
      </c>
      <c r="AA2418">
        <v>9400</v>
      </c>
      <c r="AB2418" t="s">
        <v>2809</v>
      </c>
      <c r="AC2418" t="str">
        <f>HYPERLINK("plots/3FT6Y578R01_012_S11P_20251111092011_M5358ACSH101811_RBGEUFRF26/dpll_52084/txpa_53229.png","plot")</f>
        <v>plot</v>
      </c>
    </row>
    <row r="2419" spans="1:29" hidden="1" x14ac:dyDescent="0.35">
      <c r="A2419" t="s">
        <v>48</v>
      </c>
      <c r="B2419">
        <v>52084</v>
      </c>
      <c r="C2419" t="s">
        <v>52</v>
      </c>
      <c r="D2419">
        <v>53230</v>
      </c>
      <c r="E2419" t="s">
        <v>105</v>
      </c>
      <c r="F2419">
        <v>12215</v>
      </c>
      <c r="G2419">
        <v>0.86886095198320279</v>
      </c>
      <c r="H2419">
        <v>0</v>
      </c>
      <c r="I2419">
        <v>0</v>
      </c>
      <c r="J2419">
        <v>0.75283518073738953</v>
      </c>
      <c r="K2419">
        <v>0</v>
      </c>
      <c r="L2419">
        <v>0</v>
      </c>
      <c r="M2419">
        <v>0.56064823623449433</v>
      </c>
      <c r="N2419">
        <v>0</v>
      </c>
      <c r="O2419">
        <v>0</v>
      </c>
      <c r="P2419">
        <v>0.75491935388115738</v>
      </c>
      <c r="Q2419">
        <v>2.0538253234961221</v>
      </c>
      <c r="R2419">
        <v>-2.445615142550206</v>
      </c>
      <c r="S2419">
        <v>0.22539645474480011</v>
      </c>
      <c r="T2419">
        <v>0.17341327552620009</v>
      </c>
      <c r="U2419">
        <v>4.3303262375767497</v>
      </c>
      <c r="V2419">
        <v>0.19261811376642951</v>
      </c>
      <c r="W2419">
        <v>6.4481185431846084</v>
      </c>
      <c r="X2419">
        <v>0.45531331441995571</v>
      </c>
      <c r="Z2419" t="s">
        <v>392</v>
      </c>
      <c r="AA2419">
        <v>9400</v>
      </c>
      <c r="AB2419" t="s">
        <v>2810</v>
      </c>
      <c r="AC2419" t="str">
        <f>HYPERLINK("plots/3FT6Y578R01_012_S11P_20251111092011_M5358ACSH101811_RBGEUFRF26/dpll_52084/txpa_53230.png","plot")</f>
        <v>plot</v>
      </c>
    </row>
    <row r="2420" spans="1:29" hidden="1" x14ac:dyDescent="0.35">
      <c r="A2420" t="s">
        <v>48</v>
      </c>
      <c r="B2420">
        <v>52084</v>
      </c>
      <c r="C2420" t="s">
        <v>52</v>
      </c>
      <c r="D2420">
        <v>53231</v>
      </c>
      <c r="E2420" t="s">
        <v>106</v>
      </c>
      <c r="F2420">
        <v>12208</v>
      </c>
      <c r="G2420">
        <v>0.86871704137496197</v>
      </c>
      <c r="H2420">
        <v>0</v>
      </c>
      <c r="I2420">
        <v>0</v>
      </c>
      <c r="J2420">
        <v>0.75229863281211073</v>
      </c>
      <c r="K2420">
        <v>0</v>
      </c>
      <c r="L2420">
        <v>0</v>
      </c>
      <c r="M2420">
        <v>0.55969241293672267</v>
      </c>
      <c r="N2420">
        <v>0</v>
      </c>
      <c r="O2420">
        <v>0</v>
      </c>
      <c r="P2420">
        <v>0.75466929797526738</v>
      </c>
      <c r="Q2420">
        <v>2.0621828561486581</v>
      </c>
      <c r="R2420">
        <v>-2.5067352035207811</v>
      </c>
      <c r="S2420">
        <v>0.22627714770384361</v>
      </c>
      <c r="T2420">
        <v>0.17452923487490701</v>
      </c>
      <c r="U2420">
        <v>4.3305224367627781</v>
      </c>
      <c r="V2420">
        <v>0.19245699561637639</v>
      </c>
      <c r="W2420">
        <v>6.4235939237385322</v>
      </c>
      <c r="X2420">
        <v>0.45685936617267769</v>
      </c>
      <c r="Z2420" t="s">
        <v>392</v>
      </c>
      <c r="AA2420">
        <v>9400</v>
      </c>
      <c r="AB2420" t="s">
        <v>2811</v>
      </c>
      <c r="AC2420" t="str">
        <f>HYPERLINK("plots/3FT6Y578R01_012_S11P_20251111092011_M5358ACSH101811_RBGEUFRF26/dpll_52084/txpa_53231.png","plot")</f>
        <v>plot</v>
      </c>
    </row>
    <row r="2421" spans="1:29" hidden="1" x14ac:dyDescent="0.35">
      <c r="A2421" t="s">
        <v>48</v>
      </c>
      <c r="B2421">
        <v>52084</v>
      </c>
      <c r="C2421" t="s">
        <v>52</v>
      </c>
      <c r="D2421">
        <v>53232</v>
      </c>
      <c r="E2421" t="s">
        <v>107</v>
      </c>
      <c r="F2421">
        <v>12217</v>
      </c>
      <c r="G2421">
        <v>0.86943595194347978</v>
      </c>
      <c r="H2421">
        <v>0</v>
      </c>
      <c r="I2421">
        <v>0</v>
      </c>
      <c r="J2421">
        <v>0.75557337569617944</v>
      </c>
      <c r="K2421">
        <v>0</v>
      </c>
      <c r="L2421">
        <v>0</v>
      </c>
      <c r="M2421">
        <v>0.56306684405765128</v>
      </c>
      <c r="N2421">
        <v>0</v>
      </c>
      <c r="O2421">
        <v>0</v>
      </c>
      <c r="P2421">
        <v>0.7559188745318649</v>
      </c>
      <c r="Q2421">
        <v>2.0745775902407071</v>
      </c>
      <c r="R2421">
        <v>-2.5639406353712371</v>
      </c>
      <c r="S2421">
        <v>0.2269939080142796</v>
      </c>
      <c r="T2421">
        <v>0.17508301676878349</v>
      </c>
      <c r="U2421">
        <v>4.3302420934763033</v>
      </c>
      <c r="V2421">
        <v>0.19256297662266891</v>
      </c>
      <c r="W2421">
        <v>6.4194825720717041</v>
      </c>
      <c r="X2421">
        <v>0.45947816526156671</v>
      </c>
      <c r="Z2421" t="s">
        <v>392</v>
      </c>
      <c r="AA2421">
        <v>9400</v>
      </c>
      <c r="AB2421" t="s">
        <v>2812</v>
      </c>
      <c r="AC2421" t="str">
        <f>HYPERLINK("plots/3FT6Y578R01_012_S11P_20251111092011_M5358ACSH101811_RBGEUFRF26/dpll_52084/txpa_53232.png","plot")</f>
        <v>plot</v>
      </c>
    </row>
    <row r="2422" spans="1:29" hidden="1" x14ac:dyDescent="0.35">
      <c r="A2422" t="s">
        <v>48</v>
      </c>
      <c r="B2422">
        <v>52084</v>
      </c>
      <c r="C2422" t="s">
        <v>52</v>
      </c>
      <c r="D2422">
        <v>53233</v>
      </c>
      <c r="E2422" t="s">
        <v>108</v>
      </c>
      <c r="F2422">
        <v>12205</v>
      </c>
      <c r="G2422">
        <v>0.87085003739375777</v>
      </c>
      <c r="H2422">
        <v>0</v>
      </c>
      <c r="I2422">
        <v>0</v>
      </c>
      <c r="J2422">
        <v>0.7515420161688624</v>
      </c>
      <c r="K2422">
        <v>0</v>
      </c>
      <c r="L2422">
        <v>0</v>
      </c>
      <c r="M2422">
        <v>0.56029220617312714</v>
      </c>
      <c r="N2422">
        <v>0</v>
      </c>
      <c r="O2422">
        <v>0</v>
      </c>
      <c r="P2422">
        <v>0.75837978762870928</v>
      </c>
      <c r="Q2422">
        <v>2.0644466584423529</v>
      </c>
      <c r="R2422">
        <v>-2.510334994164773</v>
      </c>
      <c r="S2422">
        <v>0.2243227825943695</v>
      </c>
      <c r="T2422">
        <v>0.173381937302657</v>
      </c>
      <c r="U2422">
        <v>4.3305622219582132</v>
      </c>
      <c r="V2422">
        <v>0.19251485824846409</v>
      </c>
      <c r="W2422">
        <v>6.4298797141335511</v>
      </c>
      <c r="X2422">
        <v>0.45637783630460221</v>
      </c>
      <c r="Z2422" t="s">
        <v>392</v>
      </c>
      <c r="AA2422">
        <v>9400</v>
      </c>
      <c r="AB2422" t="s">
        <v>2813</v>
      </c>
      <c r="AC2422" t="str">
        <f>HYPERLINK("plots/3FT6Y578R01_012_S11P_20251111092011_M5358ACSH101811_RBGEUFRF26/dpll_52084/txpa_53233.png","plot")</f>
        <v>plot</v>
      </c>
    </row>
    <row r="2423" spans="1:29" hidden="1" x14ac:dyDescent="0.35">
      <c r="A2423" t="s">
        <v>48</v>
      </c>
      <c r="B2423">
        <v>52084</v>
      </c>
      <c r="C2423" t="s">
        <v>52</v>
      </c>
      <c r="D2423">
        <v>53234</v>
      </c>
      <c r="E2423" t="s">
        <v>109</v>
      </c>
      <c r="F2423">
        <v>12195</v>
      </c>
      <c r="G2423">
        <v>0.86769061646732415</v>
      </c>
      <c r="H2423">
        <v>0</v>
      </c>
      <c r="I2423">
        <v>0</v>
      </c>
      <c r="J2423">
        <v>0.74678456446101471</v>
      </c>
      <c r="K2423">
        <v>0</v>
      </c>
      <c r="L2423">
        <v>0</v>
      </c>
      <c r="M2423">
        <v>0.55554214785070066</v>
      </c>
      <c r="N2423">
        <v>0</v>
      </c>
      <c r="O2423">
        <v>0</v>
      </c>
      <c r="P2423">
        <v>0.75288700590544499</v>
      </c>
      <c r="Q2423">
        <v>2.039401075133199</v>
      </c>
      <c r="R2423">
        <v>-2.420468718376009</v>
      </c>
      <c r="S2423">
        <v>0.22468826210155621</v>
      </c>
      <c r="T2423">
        <v>0.17393025460055289</v>
      </c>
      <c r="U2423">
        <v>4.3308602751947518</v>
      </c>
      <c r="V2423">
        <v>0.19231477788063769</v>
      </c>
      <c r="W2423">
        <v>6.4118923831078316</v>
      </c>
      <c r="X2423">
        <v>0.45201245389812839</v>
      </c>
      <c r="Z2423" t="s">
        <v>392</v>
      </c>
      <c r="AA2423">
        <v>9400</v>
      </c>
      <c r="AB2423" t="s">
        <v>2814</v>
      </c>
      <c r="AC2423" t="str">
        <f>HYPERLINK("plots/3FT6Y578R01_012_S11P_20251111092011_M5358ACSH101811_RBGEUFRF26/dpll_52084/txpa_53234.png","plot")</f>
        <v>plot</v>
      </c>
    </row>
    <row r="2424" spans="1:29" hidden="1" x14ac:dyDescent="0.35">
      <c r="A2424" t="s">
        <v>48</v>
      </c>
      <c r="B2424">
        <v>52084</v>
      </c>
      <c r="C2424" t="s">
        <v>52</v>
      </c>
      <c r="D2424">
        <v>53235</v>
      </c>
      <c r="E2424" t="s">
        <v>110</v>
      </c>
      <c r="F2424">
        <v>12187</v>
      </c>
      <c r="G2424">
        <v>0.85884723978905264</v>
      </c>
      <c r="H2424">
        <v>0</v>
      </c>
      <c r="I2424">
        <v>0</v>
      </c>
      <c r="J2424">
        <v>0.74043729423431759</v>
      </c>
      <c r="K2424">
        <v>0</v>
      </c>
      <c r="L2424">
        <v>0</v>
      </c>
      <c r="M2424">
        <v>0.5476625710157017</v>
      </c>
      <c r="N2424">
        <v>0</v>
      </c>
      <c r="O2424">
        <v>0</v>
      </c>
      <c r="P2424">
        <v>0.73761858129327451</v>
      </c>
      <c r="Q2424">
        <v>2.1390835968927151</v>
      </c>
      <c r="R2424">
        <v>-1.9092507065288229</v>
      </c>
      <c r="S2424">
        <v>0.24531642811076351</v>
      </c>
      <c r="T2424">
        <v>0.1869086664569389</v>
      </c>
      <c r="U2424">
        <v>4.3309801216049886</v>
      </c>
      <c r="V2424">
        <v>0.19229415345012421</v>
      </c>
      <c r="W2424">
        <v>7.3550778300648236</v>
      </c>
      <c r="X2424">
        <v>0.4789364748084442</v>
      </c>
      <c r="Z2424" t="s">
        <v>392</v>
      </c>
      <c r="AA2424">
        <v>9400</v>
      </c>
      <c r="AB2424" t="s">
        <v>2815</v>
      </c>
      <c r="AC2424" t="str">
        <f>HYPERLINK("plots/3FT6Y578R01_012_S11P_20251111092011_M5358ACSH101811_RBGEUFRF26/dpll_52084/txpa_53235.png","plot")</f>
        <v>plot</v>
      </c>
    </row>
    <row r="2425" spans="1:29" hidden="1" x14ac:dyDescent="0.35">
      <c r="A2425" t="s">
        <v>48</v>
      </c>
      <c r="B2425">
        <v>52084</v>
      </c>
      <c r="C2425" t="s">
        <v>52</v>
      </c>
      <c r="D2425">
        <v>53236</v>
      </c>
      <c r="E2425" t="s">
        <v>111</v>
      </c>
      <c r="F2425">
        <v>12192</v>
      </c>
      <c r="G2425">
        <v>0.86687214075636765</v>
      </c>
      <c r="H2425">
        <v>0</v>
      </c>
      <c r="I2425">
        <v>0</v>
      </c>
      <c r="J2425">
        <v>0.74995630659985368</v>
      </c>
      <c r="K2425">
        <v>0</v>
      </c>
      <c r="L2425">
        <v>0</v>
      </c>
      <c r="M2425">
        <v>0.55818445651701809</v>
      </c>
      <c r="N2425">
        <v>0</v>
      </c>
      <c r="O2425">
        <v>0</v>
      </c>
      <c r="P2425">
        <v>0.75146730841952769</v>
      </c>
      <c r="Q2425">
        <v>2.167791843315277</v>
      </c>
      <c r="R2425">
        <v>-1.9973330660059769</v>
      </c>
      <c r="S2425">
        <v>0.23977916796145329</v>
      </c>
      <c r="T2425">
        <v>0.18483953441653411</v>
      </c>
      <c r="U2425">
        <v>4.3308506896325456</v>
      </c>
      <c r="V2425">
        <v>0.19234237164242621</v>
      </c>
      <c r="W2425">
        <v>7.3910497335957999</v>
      </c>
      <c r="X2425">
        <v>0.48099160737425561</v>
      </c>
      <c r="Z2425" t="s">
        <v>392</v>
      </c>
      <c r="AA2425">
        <v>9400</v>
      </c>
      <c r="AB2425" t="s">
        <v>2816</v>
      </c>
      <c r="AC2425" t="str">
        <f>HYPERLINK("plots/3FT6Y578R01_012_S11P_20251111092011_M5358ACSH101811_RBGEUFRF26/dpll_52084/txpa_53236.png","plot")</f>
        <v>plot</v>
      </c>
    </row>
    <row r="2426" spans="1:29" hidden="1" x14ac:dyDescent="0.35">
      <c r="A2426" t="s">
        <v>48</v>
      </c>
      <c r="B2426">
        <v>52084</v>
      </c>
      <c r="C2426" t="s">
        <v>52</v>
      </c>
      <c r="D2426">
        <v>53237</v>
      </c>
      <c r="E2426" t="s">
        <v>112</v>
      </c>
      <c r="F2426">
        <v>12188</v>
      </c>
      <c r="G2426">
        <v>0.8661697505835666</v>
      </c>
      <c r="H2426">
        <v>0</v>
      </c>
      <c r="I2426">
        <v>0</v>
      </c>
      <c r="J2426">
        <v>0.74471074347457</v>
      </c>
      <c r="K2426">
        <v>0</v>
      </c>
      <c r="L2426">
        <v>0</v>
      </c>
      <c r="M2426">
        <v>0.55302830868311093</v>
      </c>
      <c r="N2426">
        <v>0</v>
      </c>
      <c r="O2426">
        <v>0</v>
      </c>
      <c r="P2426">
        <v>0.750250036825998</v>
      </c>
      <c r="Q2426">
        <v>2.145139202997612</v>
      </c>
      <c r="R2426">
        <v>-1.887285942925955</v>
      </c>
      <c r="S2426">
        <v>0.23799814140025211</v>
      </c>
      <c r="T2426">
        <v>0.18303732146428181</v>
      </c>
      <c r="U2426">
        <v>4.3309728524778466</v>
      </c>
      <c r="V2426">
        <v>0.192303061888839</v>
      </c>
      <c r="W2426">
        <v>7.403253710042665</v>
      </c>
      <c r="X2426">
        <v>0.47625403292633861</v>
      </c>
      <c r="Z2426" t="s">
        <v>392</v>
      </c>
      <c r="AA2426">
        <v>9400</v>
      </c>
      <c r="AB2426" t="s">
        <v>2817</v>
      </c>
      <c r="AC2426" t="str">
        <f>HYPERLINK("plots/3FT6Y578R01_012_S11P_20251111092011_M5358ACSH101811_RBGEUFRF26/dpll_52084/txpa_53237.png","plot")</f>
        <v>plot</v>
      </c>
    </row>
    <row r="2427" spans="1:29" hidden="1" x14ac:dyDescent="0.35">
      <c r="A2427" t="s">
        <v>48</v>
      </c>
      <c r="B2427">
        <v>52084</v>
      </c>
      <c r="C2427" t="s">
        <v>52</v>
      </c>
      <c r="D2427">
        <v>53238</v>
      </c>
      <c r="E2427" t="s">
        <v>113</v>
      </c>
      <c r="F2427">
        <v>12200</v>
      </c>
      <c r="G2427">
        <v>0.87122515671959666</v>
      </c>
      <c r="H2427">
        <v>0</v>
      </c>
      <c r="I2427">
        <v>0</v>
      </c>
      <c r="J2427">
        <v>0.75285576190820092</v>
      </c>
      <c r="K2427">
        <v>0</v>
      </c>
      <c r="L2427">
        <v>0</v>
      </c>
      <c r="M2427">
        <v>0.56117580859974636</v>
      </c>
      <c r="N2427">
        <v>0</v>
      </c>
      <c r="O2427">
        <v>0</v>
      </c>
      <c r="P2427">
        <v>0.75903327370108575</v>
      </c>
      <c r="Q2427">
        <v>2.172625605572136</v>
      </c>
      <c r="R2427">
        <v>-1.9857990399492911</v>
      </c>
      <c r="S2427">
        <v>0.2355768205707226</v>
      </c>
      <c r="T2427">
        <v>0.1819750334330307</v>
      </c>
      <c r="U2427">
        <v>4.3306825181967206</v>
      </c>
      <c r="V2427">
        <v>0.1924497408540799</v>
      </c>
      <c r="W2427">
        <v>7.423152688688524</v>
      </c>
      <c r="X2427">
        <v>0.47992327992414491</v>
      </c>
      <c r="Z2427" t="s">
        <v>392</v>
      </c>
      <c r="AA2427">
        <v>9400</v>
      </c>
      <c r="AB2427" t="s">
        <v>2818</v>
      </c>
      <c r="AC2427" t="str">
        <f>HYPERLINK("plots/3FT6Y578R01_012_S11P_20251111092011_M5358ACSH101811_RBGEUFRF26/dpll_52084/txpa_53238.png","plot")</f>
        <v>plot</v>
      </c>
    </row>
    <row r="2428" spans="1:29" hidden="1" x14ac:dyDescent="0.35">
      <c r="A2428" t="s">
        <v>48</v>
      </c>
      <c r="B2428">
        <v>52084</v>
      </c>
      <c r="C2428" t="s">
        <v>52</v>
      </c>
      <c r="D2428">
        <v>53239</v>
      </c>
      <c r="E2428" t="s">
        <v>114</v>
      </c>
      <c r="F2428">
        <v>12190</v>
      </c>
      <c r="G2428">
        <v>0.87183505388810467</v>
      </c>
      <c r="H2428">
        <v>0</v>
      </c>
      <c r="I2428">
        <v>0</v>
      </c>
      <c r="J2428">
        <v>0.75222657129260873</v>
      </c>
      <c r="K2428">
        <v>0</v>
      </c>
      <c r="L2428">
        <v>0</v>
      </c>
      <c r="M2428">
        <v>0.5601931629084953</v>
      </c>
      <c r="N2428">
        <v>0</v>
      </c>
      <c r="O2428">
        <v>0</v>
      </c>
      <c r="P2428">
        <v>0.76009636118807433</v>
      </c>
      <c r="Q2428">
        <v>2.1803360531130478</v>
      </c>
      <c r="R2428">
        <v>-2.0447435421799822</v>
      </c>
      <c r="S2428">
        <v>0.23552801305837959</v>
      </c>
      <c r="T2428">
        <v>0.1827798088451196</v>
      </c>
      <c r="U2428">
        <v>4.3309085109926171</v>
      </c>
      <c r="V2428">
        <v>0.19228829806352329</v>
      </c>
      <c r="W2428">
        <v>7.3980924270713686</v>
      </c>
      <c r="X2428">
        <v>0.48088581319357743</v>
      </c>
      <c r="Z2428" t="s">
        <v>392</v>
      </c>
      <c r="AA2428">
        <v>9400</v>
      </c>
      <c r="AB2428" t="s">
        <v>2819</v>
      </c>
      <c r="AC2428" t="str">
        <f>HYPERLINK("plots/3FT6Y578R01_012_S11P_20251111092011_M5358ACSH101811_RBGEUFRF26/dpll_52084/txpa_53239.png","plot")</f>
        <v>plot</v>
      </c>
    </row>
    <row r="2429" spans="1:29" hidden="1" x14ac:dyDescent="0.35">
      <c r="A2429" t="s">
        <v>48</v>
      </c>
      <c r="B2429">
        <v>52084</v>
      </c>
      <c r="C2429" t="s">
        <v>52</v>
      </c>
      <c r="D2429">
        <v>53240</v>
      </c>
      <c r="E2429" t="s">
        <v>115</v>
      </c>
      <c r="F2429">
        <v>12204</v>
      </c>
      <c r="G2429">
        <v>0.87185984370024383</v>
      </c>
      <c r="H2429">
        <v>0</v>
      </c>
      <c r="I2429">
        <v>0</v>
      </c>
      <c r="J2429">
        <v>0.75546067814527995</v>
      </c>
      <c r="K2429">
        <v>0</v>
      </c>
      <c r="L2429">
        <v>0</v>
      </c>
      <c r="M2429">
        <v>0.56353406275555151</v>
      </c>
      <c r="N2429">
        <v>0</v>
      </c>
      <c r="O2429">
        <v>0</v>
      </c>
      <c r="P2429">
        <v>0.76013958705701357</v>
      </c>
      <c r="Q2429">
        <v>2.1952387366395278</v>
      </c>
      <c r="R2429">
        <v>-2.112671518931919</v>
      </c>
      <c r="S2429">
        <v>0.2372931632025857</v>
      </c>
      <c r="T2429">
        <v>0.18372363005716821</v>
      </c>
      <c r="U2429">
        <v>4.3305283060471984</v>
      </c>
      <c r="V2429">
        <v>0.19243703142611279</v>
      </c>
      <c r="W2429">
        <v>7.393871968616847</v>
      </c>
      <c r="X2429">
        <v>0.48453341302843927</v>
      </c>
      <c r="Z2429" t="s">
        <v>392</v>
      </c>
      <c r="AA2429">
        <v>9400</v>
      </c>
      <c r="AB2429" t="s">
        <v>2820</v>
      </c>
      <c r="AC2429" t="str">
        <f>HYPERLINK("plots/3FT6Y578R01_012_S11P_20251111092011_M5358ACSH101811_RBGEUFRF26/dpll_52084/txpa_53240.png","plot")</f>
        <v>plot</v>
      </c>
    </row>
    <row r="2430" spans="1:29" hidden="1" x14ac:dyDescent="0.35">
      <c r="A2430" t="s">
        <v>48</v>
      </c>
      <c r="B2430">
        <v>52084</v>
      </c>
      <c r="C2430" t="s">
        <v>52</v>
      </c>
      <c r="D2430">
        <v>53241</v>
      </c>
      <c r="E2430" t="s">
        <v>116</v>
      </c>
      <c r="F2430">
        <v>12186</v>
      </c>
      <c r="G2430">
        <v>0.87283442690229529</v>
      </c>
      <c r="H2430">
        <v>0</v>
      </c>
      <c r="I2430">
        <v>0</v>
      </c>
      <c r="J2430">
        <v>0.75129742944213407</v>
      </c>
      <c r="K2430">
        <v>0</v>
      </c>
      <c r="L2430">
        <v>0</v>
      </c>
      <c r="M2430">
        <v>0.56060533815649827</v>
      </c>
      <c r="N2430">
        <v>0</v>
      </c>
      <c r="O2430">
        <v>0</v>
      </c>
      <c r="P2430">
        <v>0.76183993678585826</v>
      </c>
      <c r="Q2430">
        <v>2.180852210373454</v>
      </c>
      <c r="R2430">
        <v>-2.0403577832129232</v>
      </c>
      <c r="S2430">
        <v>0.23434430797177949</v>
      </c>
      <c r="T2430">
        <v>0.18171100044974201</v>
      </c>
      <c r="U2430">
        <v>4.3310747500410303</v>
      </c>
      <c r="V2430">
        <v>0.1921955787054101</v>
      </c>
      <c r="W2430">
        <v>7.4050761587067138</v>
      </c>
      <c r="X2430">
        <v>0.48021725509988211</v>
      </c>
      <c r="Z2430" t="s">
        <v>392</v>
      </c>
      <c r="AA2430">
        <v>9400</v>
      </c>
      <c r="AB2430" t="s">
        <v>2821</v>
      </c>
      <c r="AC2430" t="str">
        <f>HYPERLINK("plots/3FT6Y578R01_012_S11P_20251111092011_M5358ACSH101811_RBGEUFRF26/dpll_52084/txpa_53241.png","plot")</f>
        <v>plot</v>
      </c>
    </row>
    <row r="2431" spans="1:29" hidden="1" x14ac:dyDescent="0.35">
      <c r="A2431" t="s">
        <v>48</v>
      </c>
      <c r="B2431">
        <v>52084</v>
      </c>
      <c r="C2431" t="s">
        <v>52</v>
      </c>
      <c r="D2431">
        <v>53242</v>
      </c>
      <c r="E2431" t="s">
        <v>117</v>
      </c>
      <c r="F2431">
        <v>12177</v>
      </c>
      <c r="G2431">
        <v>0.87004063977069479</v>
      </c>
      <c r="H2431">
        <v>0</v>
      </c>
      <c r="I2431">
        <v>0</v>
      </c>
      <c r="J2431">
        <v>0.74643891597733369</v>
      </c>
      <c r="K2431">
        <v>0</v>
      </c>
      <c r="L2431">
        <v>0</v>
      </c>
      <c r="M2431">
        <v>0.55578617129910524</v>
      </c>
      <c r="N2431">
        <v>0</v>
      </c>
      <c r="O2431">
        <v>0</v>
      </c>
      <c r="P2431">
        <v>0.75697071485259992</v>
      </c>
      <c r="Q2431">
        <v>2.15500324255652</v>
      </c>
      <c r="R2431">
        <v>-1.9468873836151781</v>
      </c>
      <c r="S2431">
        <v>0.23455450701560249</v>
      </c>
      <c r="T2431">
        <v>0.1822635161428745</v>
      </c>
      <c r="U2431">
        <v>4.3312985430730064</v>
      </c>
      <c r="V2431">
        <v>0.19209847718797179</v>
      </c>
      <c r="W2431">
        <v>7.387075021187484</v>
      </c>
      <c r="X2431">
        <v>0.47580862583540279</v>
      </c>
      <c r="Z2431" t="s">
        <v>392</v>
      </c>
      <c r="AA2431">
        <v>9400</v>
      </c>
      <c r="AB2431" t="s">
        <v>2822</v>
      </c>
      <c r="AC2431" t="str">
        <f>HYPERLINK("plots/3FT6Y578R01_012_S11P_20251111092011_M5358ACSH101811_RBGEUFRF26/dpll_52084/txpa_53242.png","plot")</f>
        <v>plot</v>
      </c>
    </row>
    <row r="2432" spans="1:29" hidden="1" x14ac:dyDescent="0.35">
      <c r="A2432" t="s">
        <v>48</v>
      </c>
      <c r="B2432">
        <v>52084</v>
      </c>
      <c r="C2432" t="s">
        <v>52</v>
      </c>
      <c r="D2432">
        <v>53243</v>
      </c>
      <c r="E2432" t="s">
        <v>118</v>
      </c>
      <c r="F2432">
        <v>12162</v>
      </c>
      <c r="G2432">
        <v>0.86171046149780617</v>
      </c>
      <c r="H2432">
        <v>0</v>
      </c>
      <c r="I2432">
        <v>0</v>
      </c>
      <c r="J2432">
        <v>0.73998255798393919</v>
      </c>
      <c r="K2432">
        <v>0</v>
      </c>
      <c r="L2432">
        <v>0</v>
      </c>
      <c r="M2432">
        <v>0.54791018731186181</v>
      </c>
      <c r="N2432">
        <v>0</v>
      </c>
      <c r="O2432">
        <v>0</v>
      </c>
      <c r="P2432">
        <v>0.74254491945476209</v>
      </c>
      <c r="Q2432">
        <v>2.2613218146111391</v>
      </c>
      <c r="R2432">
        <v>-1.5001941331701489</v>
      </c>
      <c r="S2432">
        <v>0.25564134205832623</v>
      </c>
      <c r="T2432">
        <v>0.1958878901656593</v>
      </c>
      <c r="U2432">
        <v>4.3315899643973026</v>
      </c>
      <c r="V2432">
        <v>0.1919982207187996</v>
      </c>
      <c r="W2432">
        <v>8.2949247452721586</v>
      </c>
      <c r="X2432">
        <v>0.50384645919614535</v>
      </c>
      <c r="Z2432" t="s">
        <v>392</v>
      </c>
      <c r="AA2432">
        <v>9400</v>
      </c>
      <c r="AB2432" t="s">
        <v>2823</v>
      </c>
      <c r="AC2432" t="str">
        <f>HYPERLINK("plots/3FT6Y578R01_012_S11P_20251111092011_M5358ACSH101811_RBGEUFRF26/dpll_52084/txpa_53243.png","plot")</f>
        <v>plot</v>
      </c>
    </row>
    <row r="2433" spans="1:29" hidden="1" x14ac:dyDescent="0.35">
      <c r="A2433" t="s">
        <v>48</v>
      </c>
      <c r="B2433">
        <v>52084</v>
      </c>
      <c r="C2433" t="s">
        <v>52</v>
      </c>
      <c r="D2433">
        <v>53244</v>
      </c>
      <c r="E2433" t="s">
        <v>119</v>
      </c>
      <c r="F2433">
        <v>12173</v>
      </c>
      <c r="G2433">
        <v>0.8688267330703523</v>
      </c>
      <c r="H2433">
        <v>0</v>
      </c>
      <c r="I2433">
        <v>0</v>
      </c>
      <c r="J2433">
        <v>0.74913477163940867</v>
      </c>
      <c r="K2433">
        <v>0</v>
      </c>
      <c r="L2433">
        <v>0</v>
      </c>
      <c r="M2433">
        <v>0.55795568848918531</v>
      </c>
      <c r="N2433">
        <v>0</v>
      </c>
      <c r="O2433">
        <v>0</v>
      </c>
      <c r="P2433">
        <v>0.75485989209770121</v>
      </c>
      <c r="Q2433">
        <v>2.294372912977062</v>
      </c>
      <c r="R2433">
        <v>-1.6068829513885829</v>
      </c>
      <c r="S2433">
        <v>0.25115317170112839</v>
      </c>
      <c r="T2433">
        <v>0.1943266404871335</v>
      </c>
      <c r="U2433">
        <v>4.3313231979791338</v>
      </c>
      <c r="V2433">
        <v>0.19209607368753659</v>
      </c>
      <c r="W2433">
        <v>8.3307876714039271</v>
      </c>
      <c r="X2433">
        <v>0.50728184502380147</v>
      </c>
      <c r="Z2433" t="s">
        <v>392</v>
      </c>
      <c r="AA2433">
        <v>9400</v>
      </c>
      <c r="AB2433" t="s">
        <v>2824</v>
      </c>
      <c r="AC2433" t="str">
        <f>HYPERLINK("plots/3FT6Y578R01_012_S11P_20251111092011_M5358ACSH101811_RBGEUFRF26/dpll_52084/txpa_53244.png","plot")</f>
        <v>plot</v>
      </c>
    </row>
    <row r="2434" spans="1:29" hidden="1" x14ac:dyDescent="0.35">
      <c r="A2434" t="s">
        <v>48</v>
      </c>
      <c r="B2434">
        <v>52084</v>
      </c>
      <c r="C2434" t="s">
        <v>52</v>
      </c>
      <c r="D2434">
        <v>53245</v>
      </c>
      <c r="E2434" t="s">
        <v>120</v>
      </c>
      <c r="F2434">
        <v>12158</v>
      </c>
      <c r="G2434">
        <v>0.86865927070982429</v>
      </c>
      <c r="H2434">
        <v>0</v>
      </c>
      <c r="I2434">
        <v>0</v>
      </c>
      <c r="J2434">
        <v>0.7435986701250662</v>
      </c>
      <c r="K2434">
        <v>0</v>
      </c>
      <c r="L2434">
        <v>0</v>
      </c>
      <c r="M2434">
        <v>0.55258394572929603</v>
      </c>
      <c r="N2434">
        <v>0</v>
      </c>
      <c r="O2434">
        <v>0</v>
      </c>
      <c r="P2434">
        <v>0.75456892859012381</v>
      </c>
      <c r="Q2434">
        <v>2.264850419495156</v>
      </c>
      <c r="R2434">
        <v>-1.465983116945377</v>
      </c>
      <c r="S2434">
        <v>0.24777696910982419</v>
      </c>
      <c r="T2434">
        <v>0.19180665176559181</v>
      </c>
      <c r="U2434">
        <v>4.3317611625267309</v>
      </c>
      <c r="V2434">
        <v>0.19183328336952521</v>
      </c>
      <c r="W2434">
        <v>8.3448079691561112</v>
      </c>
      <c r="X2434">
        <v>0.5001658382780767</v>
      </c>
      <c r="Z2434" t="s">
        <v>392</v>
      </c>
      <c r="AA2434">
        <v>9400</v>
      </c>
      <c r="AB2434" t="s">
        <v>2825</v>
      </c>
      <c r="AC2434" t="str">
        <f>HYPERLINK("plots/3FT6Y578R01_012_S11P_20251111092011_M5358ACSH101811_RBGEUFRF26/dpll_52084/txpa_53245.png","plot")</f>
        <v>plot</v>
      </c>
    </row>
    <row r="2435" spans="1:29" hidden="1" x14ac:dyDescent="0.35">
      <c r="A2435" t="s">
        <v>48</v>
      </c>
      <c r="B2435">
        <v>52084</v>
      </c>
      <c r="C2435" t="s">
        <v>52</v>
      </c>
      <c r="D2435">
        <v>53246</v>
      </c>
      <c r="E2435" t="s">
        <v>121</v>
      </c>
      <c r="F2435">
        <v>12183</v>
      </c>
      <c r="G2435">
        <v>0.87280389087209942</v>
      </c>
      <c r="H2435">
        <v>0</v>
      </c>
      <c r="I2435">
        <v>0</v>
      </c>
      <c r="J2435">
        <v>0.75199192635048639</v>
      </c>
      <c r="K2435">
        <v>0</v>
      </c>
      <c r="L2435">
        <v>0</v>
      </c>
      <c r="M2435">
        <v>0.56082644085829003</v>
      </c>
      <c r="N2435">
        <v>0</v>
      </c>
      <c r="O2435">
        <v>0</v>
      </c>
      <c r="P2435">
        <v>0.76178663192147567</v>
      </c>
      <c r="Q2435">
        <v>2.3015661000476122</v>
      </c>
      <c r="R2435">
        <v>-1.605852642529229</v>
      </c>
      <c r="S2435">
        <v>0.24735272198281599</v>
      </c>
      <c r="T2435">
        <v>0.19170464831027351</v>
      </c>
      <c r="U2435">
        <v>4.3311191126980217</v>
      </c>
      <c r="V2435">
        <v>0.19219614614004249</v>
      </c>
      <c r="W2435">
        <v>8.3625042825248297</v>
      </c>
      <c r="X2435">
        <v>0.50681732648295508</v>
      </c>
      <c r="Z2435" t="s">
        <v>392</v>
      </c>
      <c r="AA2435">
        <v>9400</v>
      </c>
      <c r="AB2435" t="s">
        <v>2826</v>
      </c>
      <c r="AC2435" t="str">
        <f>HYPERLINK("plots/3FT6Y578R01_012_S11P_20251111092011_M5358ACSH101811_RBGEUFRF26/dpll_52084/txpa_53246.png","plot")</f>
        <v>plot</v>
      </c>
    </row>
    <row r="2436" spans="1:29" hidden="1" x14ac:dyDescent="0.35">
      <c r="A2436" t="s">
        <v>48</v>
      </c>
      <c r="B2436">
        <v>52084</v>
      </c>
      <c r="C2436" t="s">
        <v>52</v>
      </c>
      <c r="D2436">
        <v>53247</v>
      </c>
      <c r="E2436" t="s">
        <v>122</v>
      </c>
      <c r="F2436">
        <v>12170</v>
      </c>
      <c r="G2436">
        <v>0.87402401235540395</v>
      </c>
      <c r="H2436">
        <v>0</v>
      </c>
      <c r="I2436">
        <v>0</v>
      </c>
      <c r="J2436">
        <v>0.75118005331235471</v>
      </c>
      <c r="K2436">
        <v>0</v>
      </c>
      <c r="L2436">
        <v>0</v>
      </c>
      <c r="M2436">
        <v>0.55983864589322996</v>
      </c>
      <c r="N2436">
        <v>0</v>
      </c>
      <c r="O2436">
        <v>0</v>
      </c>
      <c r="P2436">
        <v>0.76391797417383933</v>
      </c>
      <c r="Q2436">
        <v>2.308242415598373</v>
      </c>
      <c r="R2436">
        <v>-1.660954127834245</v>
      </c>
      <c r="S2436">
        <v>0.24647244548666289</v>
      </c>
      <c r="T2436">
        <v>0.19226641987902371</v>
      </c>
      <c r="U2436">
        <v>4.3313672660640918</v>
      </c>
      <c r="V2436">
        <v>0.1920864380094516</v>
      </c>
      <c r="W2436">
        <v>8.3368915132292525</v>
      </c>
      <c r="X2436">
        <v>0.50728819506886869</v>
      </c>
      <c r="Z2436" t="s">
        <v>392</v>
      </c>
      <c r="AA2436">
        <v>9400</v>
      </c>
      <c r="AB2436" t="s">
        <v>2827</v>
      </c>
      <c r="AC2436" t="str">
        <f>HYPERLINK("plots/3FT6Y578R01_012_S11P_20251111092011_M5358ACSH101811_RBGEUFRF26/dpll_52084/txpa_53247.png","plot")</f>
        <v>plot</v>
      </c>
    </row>
    <row r="2437" spans="1:29" hidden="1" x14ac:dyDescent="0.35">
      <c r="A2437" t="s">
        <v>48</v>
      </c>
      <c r="B2437">
        <v>52084</v>
      </c>
      <c r="C2437" t="s">
        <v>52</v>
      </c>
      <c r="D2437">
        <v>53248</v>
      </c>
      <c r="E2437" t="s">
        <v>123</v>
      </c>
      <c r="F2437">
        <v>12180</v>
      </c>
      <c r="G2437">
        <v>0.87375751848313965</v>
      </c>
      <c r="H2437">
        <v>0</v>
      </c>
      <c r="I2437">
        <v>0</v>
      </c>
      <c r="J2437">
        <v>0.75414873670263871</v>
      </c>
      <c r="K2437">
        <v>0</v>
      </c>
      <c r="L2437">
        <v>0</v>
      </c>
      <c r="M2437">
        <v>0.56292956351271362</v>
      </c>
      <c r="N2437">
        <v>0</v>
      </c>
      <c r="O2437">
        <v>0</v>
      </c>
      <c r="P2437">
        <v>0.76345220110581413</v>
      </c>
      <c r="Q2437">
        <v>2.3192628474217698</v>
      </c>
      <c r="R2437">
        <v>-1.7111323069973161</v>
      </c>
      <c r="S2437">
        <v>0.24795596975768719</v>
      </c>
      <c r="T2437">
        <v>0.19289523985545901</v>
      </c>
      <c r="U2437">
        <v>4.331212686535304</v>
      </c>
      <c r="V2437">
        <v>0.19207635111678431</v>
      </c>
      <c r="W2437">
        <v>8.3340883611658469</v>
      </c>
      <c r="X2437">
        <v>0.50983886901122311</v>
      </c>
      <c r="Z2437" t="s">
        <v>392</v>
      </c>
      <c r="AA2437">
        <v>9400</v>
      </c>
      <c r="AB2437" t="s">
        <v>2828</v>
      </c>
      <c r="AC2437" t="str">
        <f>HYPERLINK("plots/3FT6Y578R01_012_S11P_20251111092011_M5358ACSH101811_RBGEUFRF26/dpll_52084/txpa_53248.png","plot")</f>
        <v>plot</v>
      </c>
    </row>
    <row r="2438" spans="1:29" hidden="1" x14ac:dyDescent="0.35">
      <c r="A2438" t="s">
        <v>48</v>
      </c>
      <c r="B2438">
        <v>52084</v>
      </c>
      <c r="C2438" t="s">
        <v>52</v>
      </c>
      <c r="D2438">
        <v>53249</v>
      </c>
      <c r="E2438" t="s">
        <v>124</v>
      </c>
      <c r="F2438">
        <v>12155</v>
      </c>
      <c r="G2438">
        <v>0.8747401374052387</v>
      </c>
      <c r="H2438">
        <v>0</v>
      </c>
      <c r="I2438">
        <v>0</v>
      </c>
      <c r="J2438">
        <v>0.7496012571624836</v>
      </c>
      <c r="K2438">
        <v>0</v>
      </c>
      <c r="L2438">
        <v>0</v>
      </c>
      <c r="M2438">
        <v>0.55977860782973121</v>
      </c>
      <c r="N2438">
        <v>0</v>
      </c>
      <c r="O2438">
        <v>0</v>
      </c>
      <c r="P2438">
        <v>0.76517030798773589</v>
      </c>
      <c r="Q2438">
        <v>2.3008017340036639</v>
      </c>
      <c r="R2438">
        <v>-1.6204978886314509</v>
      </c>
      <c r="S2438">
        <v>0.24434773159964179</v>
      </c>
      <c r="T2438">
        <v>0.19056065368869879</v>
      </c>
      <c r="U2438">
        <v>4.3318995446318382</v>
      </c>
      <c r="V2438">
        <v>0.1917121031115113</v>
      </c>
      <c r="W2438">
        <v>8.346344095187165</v>
      </c>
      <c r="X2438">
        <v>0.50425437270647511</v>
      </c>
      <c r="Z2438" t="s">
        <v>392</v>
      </c>
      <c r="AA2438">
        <v>9400</v>
      </c>
      <c r="AB2438" t="s">
        <v>2829</v>
      </c>
      <c r="AC2438" t="str">
        <f>HYPERLINK("plots/3FT6Y578R01_012_S11P_20251111092011_M5358ACSH101811_RBGEUFRF26/dpll_52084/txpa_53249.png","plot")</f>
        <v>plot</v>
      </c>
    </row>
    <row r="2439" spans="1:29" hidden="1" x14ac:dyDescent="0.35">
      <c r="A2439" t="s">
        <v>48</v>
      </c>
      <c r="B2439">
        <v>52084</v>
      </c>
      <c r="C2439" t="s">
        <v>52</v>
      </c>
      <c r="D2439">
        <v>53250</v>
      </c>
      <c r="E2439" t="s">
        <v>125</v>
      </c>
      <c r="F2439">
        <v>12164</v>
      </c>
      <c r="G2439">
        <v>0.87105656191156755</v>
      </c>
      <c r="H2439">
        <v>0</v>
      </c>
      <c r="I2439">
        <v>0</v>
      </c>
      <c r="J2439">
        <v>0.74597637134447081</v>
      </c>
      <c r="K2439">
        <v>0</v>
      </c>
      <c r="L2439">
        <v>0</v>
      </c>
      <c r="M2439">
        <v>0.55575972413378927</v>
      </c>
      <c r="N2439">
        <v>0</v>
      </c>
      <c r="O2439">
        <v>0</v>
      </c>
      <c r="P2439">
        <v>0.75873953404920047</v>
      </c>
      <c r="Q2439">
        <v>2.2843925092369819</v>
      </c>
      <c r="R2439">
        <v>-1.5698638452332729</v>
      </c>
      <c r="S2439">
        <v>0.24714556883039279</v>
      </c>
      <c r="T2439">
        <v>0.1922782757157811</v>
      </c>
      <c r="U2439">
        <v>4.3316619989312724</v>
      </c>
      <c r="V2439">
        <v>0.19186830053933629</v>
      </c>
      <c r="W2439">
        <v>8.3253523776718179</v>
      </c>
      <c r="X2439">
        <v>0.50318489944007527</v>
      </c>
      <c r="Z2439" t="s">
        <v>392</v>
      </c>
      <c r="AA2439">
        <v>9400</v>
      </c>
      <c r="AB2439" t="s">
        <v>2830</v>
      </c>
      <c r="AC2439" t="str">
        <f>HYPERLINK("plots/3FT6Y578R01_012_S11P_20251111092011_M5358ACSH101811_RBGEUFRF26/dpll_52084/txpa_53250.png","plot")</f>
        <v>plot</v>
      </c>
    </row>
    <row r="2440" spans="1:29" hidden="1" x14ac:dyDescent="0.35">
      <c r="A2440" t="s">
        <v>48</v>
      </c>
      <c r="B2440">
        <v>52084</v>
      </c>
      <c r="C2440" t="s">
        <v>52</v>
      </c>
      <c r="D2440">
        <v>53251</v>
      </c>
      <c r="E2440" t="s">
        <v>126</v>
      </c>
      <c r="F2440">
        <v>12131</v>
      </c>
      <c r="G2440">
        <v>0.86399388260571097</v>
      </c>
      <c r="H2440">
        <v>0</v>
      </c>
      <c r="I2440">
        <v>0</v>
      </c>
      <c r="J2440">
        <v>0.73888300678541474</v>
      </c>
      <c r="K2440">
        <v>0</v>
      </c>
      <c r="L2440">
        <v>0</v>
      </c>
      <c r="M2440">
        <v>0.54756334210019308</v>
      </c>
      <c r="N2440">
        <v>0</v>
      </c>
      <c r="O2440">
        <v>0</v>
      </c>
      <c r="P2440">
        <v>0.74648542918009109</v>
      </c>
      <c r="Q2440">
        <v>2.4110254011882608</v>
      </c>
      <c r="R2440">
        <v>-1.209504964954039</v>
      </c>
      <c r="S2440">
        <v>0.26904771753846918</v>
      </c>
      <c r="T2440">
        <v>0.20727665233949849</v>
      </c>
      <c r="U2440">
        <v>4.3324287109059432</v>
      </c>
      <c r="V2440">
        <v>0.19149376229392229</v>
      </c>
      <c r="W2440">
        <v>9.236090705877503</v>
      </c>
      <c r="X2440">
        <v>0.53437453013825531</v>
      </c>
      <c r="Z2440" t="s">
        <v>392</v>
      </c>
      <c r="AA2440">
        <v>9400</v>
      </c>
      <c r="AB2440" t="s">
        <v>2831</v>
      </c>
      <c r="AC2440" t="str">
        <f>HYPERLINK("plots/3FT6Y578R01_012_S11P_20251111092011_M5358ACSH101811_RBGEUFRF26/dpll_52084/txpa_53251.png","plot")</f>
        <v>plot</v>
      </c>
    </row>
    <row r="2441" spans="1:29" hidden="1" x14ac:dyDescent="0.35">
      <c r="A2441" t="s">
        <v>48</v>
      </c>
      <c r="B2441">
        <v>52084</v>
      </c>
      <c r="C2441" t="s">
        <v>52</v>
      </c>
      <c r="D2441">
        <v>53252</v>
      </c>
      <c r="E2441" t="s">
        <v>127</v>
      </c>
      <c r="F2441">
        <v>12142</v>
      </c>
      <c r="G2441">
        <v>0.87138019499466879</v>
      </c>
      <c r="H2441">
        <v>0</v>
      </c>
      <c r="I2441">
        <v>0</v>
      </c>
      <c r="J2441">
        <v>0.74776533780019683</v>
      </c>
      <c r="K2441">
        <v>0</v>
      </c>
      <c r="L2441">
        <v>0</v>
      </c>
      <c r="M2441">
        <v>0.55739090216360199</v>
      </c>
      <c r="N2441">
        <v>0</v>
      </c>
      <c r="O2441">
        <v>0</v>
      </c>
      <c r="P2441">
        <v>0.75930344422894702</v>
      </c>
      <c r="Q2441">
        <v>2.4456675786658559</v>
      </c>
      <c r="R2441">
        <v>-1.322993668233849</v>
      </c>
      <c r="S2441">
        <v>0.26391143827052682</v>
      </c>
      <c r="T2441">
        <v>0.20561274209059491</v>
      </c>
      <c r="U2441">
        <v>4.3321083397298636</v>
      </c>
      <c r="V2441">
        <v>0.19166879784814261</v>
      </c>
      <c r="W2441">
        <v>9.2719032455114476</v>
      </c>
      <c r="X2441">
        <v>0.53794906911090667</v>
      </c>
      <c r="Z2441" t="s">
        <v>392</v>
      </c>
      <c r="AA2441">
        <v>9400</v>
      </c>
      <c r="AB2441" t="s">
        <v>2832</v>
      </c>
      <c r="AC2441" t="str">
        <f>HYPERLINK("plots/3FT6Y578R01_012_S11P_20251111092011_M5358ACSH101811_RBGEUFRF26/dpll_52084/txpa_53252.png","plot")</f>
        <v>plot</v>
      </c>
    </row>
    <row r="2442" spans="1:29" hidden="1" x14ac:dyDescent="0.35">
      <c r="A2442" t="s">
        <v>48</v>
      </c>
      <c r="B2442">
        <v>52084</v>
      </c>
      <c r="C2442" t="s">
        <v>52</v>
      </c>
      <c r="D2442">
        <v>53253</v>
      </c>
      <c r="E2442" t="s">
        <v>128</v>
      </c>
      <c r="F2442">
        <v>12128</v>
      </c>
      <c r="G2442">
        <v>0.87094305008537898</v>
      </c>
      <c r="H2442">
        <v>0</v>
      </c>
      <c r="I2442">
        <v>0</v>
      </c>
      <c r="J2442">
        <v>0.7424462213123969</v>
      </c>
      <c r="K2442">
        <v>0</v>
      </c>
      <c r="L2442">
        <v>0</v>
      </c>
      <c r="M2442">
        <v>0.55223107743991506</v>
      </c>
      <c r="N2442">
        <v>0</v>
      </c>
      <c r="O2442">
        <v>0</v>
      </c>
      <c r="P2442">
        <v>0.75854179649202291</v>
      </c>
      <c r="Q2442">
        <v>2.4165073186468469</v>
      </c>
      <c r="R2442">
        <v>-1.1836266906895501</v>
      </c>
      <c r="S2442">
        <v>0.26090885398982361</v>
      </c>
      <c r="T2442">
        <v>0.20315829646579531</v>
      </c>
      <c r="U2442">
        <v>4.3325534583608194</v>
      </c>
      <c r="V2442">
        <v>0.19137596040892371</v>
      </c>
      <c r="W2442">
        <v>9.2860204498680741</v>
      </c>
      <c r="X2442">
        <v>0.53098926375943645</v>
      </c>
      <c r="Z2442" t="s">
        <v>392</v>
      </c>
      <c r="AA2442">
        <v>9400</v>
      </c>
      <c r="AB2442" t="s">
        <v>2833</v>
      </c>
      <c r="AC2442" t="str">
        <f>HYPERLINK("plots/3FT6Y578R01_012_S11P_20251111092011_M5358ACSH101811_RBGEUFRF26/dpll_52084/txpa_53253.png","plot")</f>
        <v>plot</v>
      </c>
    </row>
    <row r="2443" spans="1:29" hidden="1" x14ac:dyDescent="0.35">
      <c r="A2443" t="s">
        <v>48</v>
      </c>
      <c r="B2443">
        <v>52084</v>
      </c>
      <c r="C2443" t="s">
        <v>52</v>
      </c>
      <c r="D2443">
        <v>53254</v>
      </c>
      <c r="E2443" t="s">
        <v>129</v>
      </c>
      <c r="F2443">
        <v>12150</v>
      </c>
      <c r="G2443">
        <v>0.87541647031365499</v>
      </c>
      <c r="H2443">
        <v>0</v>
      </c>
      <c r="I2443">
        <v>0</v>
      </c>
      <c r="J2443">
        <v>0.7503047589992059</v>
      </c>
      <c r="K2443">
        <v>0</v>
      </c>
      <c r="L2443">
        <v>0</v>
      </c>
      <c r="M2443">
        <v>0.55999791394686005</v>
      </c>
      <c r="N2443">
        <v>0</v>
      </c>
      <c r="O2443">
        <v>0</v>
      </c>
      <c r="P2443">
        <v>0.76635399649641844</v>
      </c>
      <c r="Q2443">
        <v>2.4534230708630149</v>
      </c>
      <c r="R2443">
        <v>-1.323935501030912</v>
      </c>
      <c r="S2443">
        <v>0.25976049761577891</v>
      </c>
      <c r="T2443">
        <v>0.20290999767831761</v>
      </c>
      <c r="U2443">
        <v>4.3319415112757209</v>
      </c>
      <c r="V2443">
        <v>0.191758255685164</v>
      </c>
      <c r="W2443">
        <v>9.3041497443621388</v>
      </c>
      <c r="X2443">
        <v>0.53741749724889998</v>
      </c>
      <c r="Z2443" t="s">
        <v>392</v>
      </c>
      <c r="AA2443">
        <v>9400</v>
      </c>
      <c r="AB2443" t="s">
        <v>2834</v>
      </c>
      <c r="AC2443" t="str">
        <f>HYPERLINK("plots/3FT6Y578R01_012_S11P_20251111092011_M5358ACSH101811_RBGEUFRF26/dpll_52084/txpa_53254.png","plot")</f>
        <v>plot</v>
      </c>
    </row>
    <row r="2444" spans="1:29" hidden="1" x14ac:dyDescent="0.35">
      <c r="A2444" t="s">
        <v>48</v>
      </c>
      <c r="B2444">
        <v>52084</v>
      </c>
      <c r="C2444" t="s">
        <v>52</v>
      </c>
      <c r="D2444">
        <v>53255</v>
      </c>
      <c r="E2444" t="s">
        <v>130</v>
      </c>
      <c r="F2444">
        <v>12131</v>
      </c>
      <c r="G2444">
        <v>0.87601718600988621</v>
      </c>
      <c r="H2444">
        <v>0</v>
      </c>
      <c r="I2444">
        <v>0</v>
      </c>
      <c r="J2444">
        <v>0.74888464273893118</v>
      </c>
      <c r="K2444">
        <v>0</v>
      </c>
      <c r="L2444">
        <v>0</v>
      </c>
      <c r="M2444">
        <v>0.55846285353127711</v>
      </c>
      <c r="N2444">
        <v>0</v>
      </c>
      <c r="O2444">
        <v>0</v>
      </c>
      <c r="P2444">
        <v>0.76740611018467952</v>
      </c>
      <c r="Q2444">
        <v>2.4552904293353039</v>
      </c>
      <c r="R2444">
        <v>-1.359012659682689</v>
      </c>
      <c r="S2444">
        <v>0.25877468126440839</v>
      </c>
      <c r="T2444">
        <v>0.20322524389096219</v>
      </c>
      <c r="U2444">
        <v>4.3324191816008577</v>
      </c>
      <c r="V2444">
        <v>0.19144775933919911</v>
      </c>
      <c r="W2444">
        <v>9.2783346927705868</v>
      </c>
      <c r="X2444">
        <v>0.53658747651318284</v>
      </c>
      <c r="Z2444" t="s">
        <v>392</v>
      </c>
      <c r="AA2444">
        <v>9400</v>
      </c>
      <c r="AB2444" t="s">
        <v>2835</v>
      </c>
      <c r="AC2444" t="str">
        <f>HYPERLINK("plots/3FT6Y578R01_012_S11P_20251111092011_M5358ACSH101811_RBGEUFRF26/dpll_52084/txpa_53255.png","plot")</f>
        <v>plot</v>
      </c>
    </row>
    <row r="2445" spans="1:29" hidden="1" x14ac:dyDescent="0.35">
      <c r="A2445" t="s">
        <v>48</v>
      </c>
      <c r="B2445">
        <v>52084</v>
      </c>
      <c r="C2445" t="s">
        <v>52</v>
      </c>
      <c r="D2445">
        <v>53256</v>
      </c>
      <c r="E2445" t="s">
        <v>131</v>
      </c>
      <c r="F2445">
        <v>12147</v>
      </c>
      <c r="G2445">
        <v>0.87630718230468574</v>
      </c>
      <c r="H2445">
        <v>0</v>
      </c>
      <c r="I2445">
        <v>0</v>
      </c>
      <c r="J2445">
        <v>0.75241589043953738</v>
      </c>
      <c r="K2445">
        <v>0</v>
      </c>
      <c r="L2445">
        <v>0</v>
      </c>
      <c r="M2445">
        <v>0.56212762649802894</v>
      </c>
      <c r="N2445">
        <v>0</v>
      </c>
      <c r="O2445">
        <v>0</v>
      </c>
      <c r="P2445">
        <v>0.76791427775877774</v>
      </c>
      <c r="Q2445">
        <v>2.4708838029106142</v>
      </c>
      <c r="R2445">
        <v>-1.428758724427603</v>
      </c>
      <c r="S2445">
        <v>0.26031092723074112</v>
      </c>
      <c r="T2445">
        <v>0.20399559881741189</v>
      </c>
      <c r="U2445">
        <v>4.3320293620647066</v>
      </c>
      <c r="V2445">
        <v>0.19164174351108551</v>
      </c>
      <c r="W2445">
        <v>9.2751824600312833</v>
      </c>
      <c r="X2445">
        <v>0.5403635729171169</v>
      </c>
      <c r="Z2445" t="s">
        <v>392</v>
      </c>
      <c r="AA2445">
        <v>9400</v>
      </c>
      <c r="AB2445" t="s">
        <v>2836</v>
      </c>
      <c r="AC2445" t="str">
        <f>HYPERLINK("plots/3FT6Y578R01_012_S11P_20251111092011_M5358ACSH101811_RBGEUFRF26/dpll_52084/txpa_53256.png","plot")</f>
        <v>plot</v>
      </c>
    </row>
    <row r="2446" spans="1:29" hidden="1" x14ac:dyDescent="0.35">
      <c r="A2446" t="s">
        <v>48</v>
      </c>
      <c r="B2446">
        <v>52084</v>
      </c>
      <c r="C2446" t="s">
        <v>52</v>
      </c>
      <c r="D2446">
        <v>53257</v>
      </c>
      <c r="E2446" t="s">
        <v>132</v>
      </c>
      <c r="F2446">
        <v>12116</v>
      </c>
      <c r="G2446">
        <v>0.87679149797394562</v>
      </c>
      <c r="H2446">
        <v>0</v>
      </c>
      <c r="I2446">
        <v>0</v>
      </c>
      <c r="J2446">
        <v>0.74747718021109721</v>
      </c>
      <c r="K2446">
        <v>0</v>
      </c>
      <c r="L2446">
        <v>0</v>
      </c>
      <c r="M2446">
        <v>0.55869641617813659</v>
      </c>
      <c r="N2446">
        <v>0</v>
      </c>
      <c r="O2446">
        <v>0</v>
      </c>
      <c r="P2446">
        <v>0.76876333091939553</v>
      </c>
      <c r="Q2446">
        <v>2.4477339249049899</v>
      </c>
      <c r="R2446">
        <v>-1.3170423239296769</v>
      </c>
      <c r="S2446">
        <v>0.25653955525234462</v>
      </c>
      <c r="T2446">
        <v>0.20153782438160819</v>
      </c>
      <c r="U2446">
        <v>4.3329347654341364</v>
      </c>
      <c r="V2446">
        <v>0.1911067518243566</v>
      </c>
      <c r="W2446">
        <v>9.2888290958237043</v>
      </c>
      <c r="X2446">
        <v>0.5335116510593455</v>
      </c>
      <c r="Z2446" t="s">
        <v>392</v>
      </c>
      <c r="AA2446">
        <v>9400</v>
      </c>
      <c r="AB2446" t="s">
        <v>2837</v>
      </c>
      <c r="AC2446" t="str">
        <f>HYPERLINK("plots/3FT6Y578R01_012_S11P_20251111092011_M5358ACSH101811_RBGEUFRF26/dpll_52084/txpa_53257.png","plot")</f>
        <v>plot</v>
      </c>
    </row>
    <row r="2447" spans="1:29" hidden="1" x14ac:dyDescent="0.35">
      <c r="A2447" t="s">
        <v>48</v>
      </c>
      <c r="B2447">
        <v>52084</v>
      </c>
      <c r="C2447" t="s">
        <v>52</v>
      </c>
      <c r="D2447">
        <v>53258</v>
      </c>
      <c r="E2447" t="s">
        <v>133</v>
      </c>
      <c r="F2447">
        <v>12137</v>
      </c>
      <c r="G2447">
        <v>0.87268648019141093</v>
      </c>
      <c r="H2447">
        <v>0</v>
      </c>
      <c r="I2447">
        <v>0</v>
      </c>
      <c r="J2447">
        <v>0.74443175006120599</v>
      </c>
      <c r="K2447">
        <v>0</v>
      </c>
      <c r="L2447">
        <v>0</v>
      </c>
      <c r="M2447">
        <v>0.55490352104491147</v>
      </c>
      <c r="N2447">
        <v>0</v>
      </c>
      <c r="O2447">
        <v>0</v>
      </c>
      <c r="P2447">
        <v>0.76158169270887388</v>
      </c>
      <c r="Q2447">
        <v>2.439225100528013</v>
      </c>
      <c r="R2447">
        <v>-1.3015260953859651</v>
      </c>
      <c r="S2447">
        <v>0.26124897508359612</v>
      </c>
      <c r="T2447">
        <v>0.204156515449846</v>
      </c>
      <c r="U2447">
        <v>4.3323786249485048</v>
      </c>
      <c r="V2447">
        <v>0.19142958361406931</v>
      </c>
      <c r="W2447">
        <v>9.2661205915794689</v>
      </c>
      <c r="X2447">
        <v>0.53506024893687776</v>
      </c>
      <c r="Z2447" t="s">
        <v>392</v>
      </c>
      <c r="AA2447">
        <v>9400</v>
      </c>
      <c r="AB2447" t="s">
        <v>2838</v>
      </c>
      <c r="AC2447" t="str">
        <f>HYPERLINK("plots/3FT6Y578R01_012_S11P_20251111092011_M5358ACSH101811_RBGEUFRF26/dpll_52084/txpa_53258.png","plot")</f>
        <v>plot</v>
      </c>
    </row>
    <row r="2448" spans="1:29" hidden="1" x14ac:dyDescent="0.35">
      <c r="A2448" t="s">
        <v>48</v>
      </c>
      <c r="B2448">
        <v>52084</v>
      </c>
      <c r="C2448" t="s">
        <v>52</v>
      </c>
      <c r="D2448">
        <v>53259</v>
      </c>
      <c r="E2448" t="s">
        <v>134</v>
      </c>
      <c r="F2448">
        <v>12114</v>
      </c>
      <c r="G2448">
        <v>0.86499280729057604</v>
      </c>
      <c r="H2448">
        <v>0</v>
      </c>
      <c r="I2448">
        <v>0</v>
      </c>
      <c r="J2448">
        <v>0.73760920319367207</v>
      </c>
      <c r="K2448">
        <v>0</v>
      </c>
      <c r="L2448">
        <v>0</v>
      </c>
      <c r="M2448">
        <v>0.54680460524592334</v>
      </c>
      <c r="N2448">
        <v>0</v>
      </c>
      <c r="O2448">
        <v>0</v>
      </c>
      <c r="P2448">
        <v>0.74821255666443165</v>
      </c>
      <c r="Q2448">
        <v>2.498421909572377</v>
      </c>
      <c r="R2448">
        <v>-1.1361902418977221</v>
      </c>
      <c r="S2448">
        <v>0.2771994707640541</v>
      </c>
      <c r="T2448">
        <v>0.21423544671359279</v>
      </c>
      <c r="U2448">
        <v>4.3328586635297999</v>
      </c>
      <c r="V2448">
        <v>0.1912669820357922</v>
      </c>
      <c r="W2448">
        <v>9.6891187741456175</v>
      </c>
      <c r="X2448">
        <v>0.55245039550424913</v>
      </c>
      <c r="Z2448" t="s">
        <v>392</v>
      </c>
      <c r="AA2448">
        <v>9400</v>
      </c>
      <c r="AB2448" t="s">
        <v>2839</v>
      </c>
      <c r="AC2448" t="str">
        <f>HYPERLINK("plots/3FT6Y578R01_012_S11P_20251111092011_M5358ACSH101811_RBGEUFRF26/dpll_52084/txpa_53259.png","plot")</f>
        <v>plot</v>
      </c>
    </row>
    <row r="2449" spans="1:29" hidden="1" x14ac:dyDescent="0.35">
      <c r="A2449" t="s">
        <v>48</v>
      </c>
      <c r="B2449">
        <v>52084</v>
      </c>
      <c r="C2449" t="s">
        <v>52</v>
      </c>
      <c r="D2449">
        <v>53260</v>
      </c>
      <c r="E2449" t="s">
        <v>135</v>
      </c>
      <c r="F2449">
        <v>12130</v>
      </c>
      <c r="G2449">
        <v>0.87191803176977434</v>
      </c>
      <c r="H2449">
        <v>0</v>
      </c>
      <c r="I2449">
        <v>0</v>
      </c>
      <c r="J2449">
        <v>0.74642584260734191</v>
      </c>
      <c r="K2449">
        <v>0</v>
      </c>
      <c r="L2449">
        <v>0</v>
      </c>
      <c r="M2449">
        <v>0.55645796811330994</v>
      </c>
      <c r="N2449">
        <v>0</v>
      </c>
      <c r="O2449">
        <v>0</v>
      </c>
      <c r="P2449">
        <v>0.7602410541252772</v>
      </c>
      <c r="Q2449">
        <v>2.536799111521665</v>
      </c>
      <c r="R2449">
        <v>-1.2660605889023631</v>
      </c>
      <c r="S2449">
        <v>0.27279017451162102</v>
      </c>
      <c r="T2449">
        <v>0.21303182549457619</v>
      </c>
      <c r="U2449">
        <v>4.3324208415498768</v>
      </c>
      <c r="V2449">
        <v>0.19149119002516321</v>
      </c>
      <c r="W2449">
        <v>9.7244207526793076</v>
      </c>
      <c r="X2449">
        <v>0.55713342656081954</v>
      </c>
      <c r="Z2449" t="s">
        <v>392</v>
      </c>
      <c r="AA2449">
        <v>9400</v>
      </c>
      <c r="AB2449" t="s">
        <v>2840</v>
      </c>
      <c r="AC2449" t="str">
        <f>HYPERLINK("plots/3FT6Y578R01_012_S11P_20251111092011_M5358ACSH101811_RBGEUFRF26/dpll_52084/txpa_53260.png","plot")</f>
        <v>plot</v>
      </c>
    </row>
    <row r="2450" spans="1:29" hidden="1" x14ac:dyDescent="0.35">
      <c r="A2450" t="s">
        <v>48</v>
      </c>
      <c r="B2450">
        <v>52084</v>
      </c>
      <c r="C2450" t="s">
        <v>52</v>
      </c>
      <c r="D2450">
        <v>53261</v>
      </c>
      <c r="E2450" t="s">
        <v>136</v>
      </c>
      <c r="F2450">
        <v>12112</v>
      </c>
      <c r="G2450">
        <v>0.87150502894425452</v>
      </c>
      <c r="H2450">
        <v>0</v>
      </c>
      <c r="I2450">
        <v>0</v>
      </c>
      <c r="J2450">
        <v>0.74103002277668695</v>
      </c>
      <c r="K2450">
        <v>0</v>
      </c>
      <c r="L2450">
        <v>0</v>
      </c>
      <c r="M2450">
        <v>0.55126411600814107</v>
      </c>
      <c r="N2450">
        <v>0</v>
      </c>
      <c r="O2450">
        <v>0</v>
      </c>
      <c r="P2450">
        <v>0.75952101547512596</v>
      </c>
      <c r="Q2450">
        <v>2.504951738634122</v>
      </c>
      <c r="R2450">
        <v>-1.1146994711341269</v>
      </c>
      <c r="S2450">
        <v>0.26938179250979088</v>
      </c>
      <c r="T2450">
        <v>0.21029596094915939</v>
      </c>
      <c r="U2450">
        <v>4.3329828163804489</v>
      </c>
      <c r="V2450">
        <v>0.19112528116367231</v>
      </c>
      <c r="W2450">
        <v>9.739213368229855</v>
      </c>
      <c r="X2450">
        <v>0.54934806965812688</v>
      </c>
      <c r="Z2450" t="s">
        <v>392</v>
      </c>
      <c r="AA2450">
        <v>9400</v>
      </c>
      <c r="AB2450" t="s">
        <v>2841</v>
      </c>
      <c r="AC2450" t="str">
        <f>HYPERLINK("plots/3FT6Y578R01_012_S11P_20251111092011_M5358ACSH101811_RBGEUFRF26/dpll_52084/txpa_53261.png","plot")</f>
        <v>plot</v>
      </c>
    </row>
    <row r="2451" spans="1:29" hidden="1" x14ac:dyDescent="0.35">
      <c r="A2451" t="s">
        <v>48</v>
      </c>
      <c r="B2451">
        <v>52084</v>
      </c>
      <c r="C2451" t="s">
        <v>52</v>
      </c>
      <c r="D2451">
        <v>53262</v>
      </c>
      <c r="E2451" t="s">
        <v>137</v>
      </c>
      <c r="F2451">
        <v>12133</v>
      </c>
      <c r="G2451">
        <v>0.87548673890012663</v>
      </c>
      <c r="H2451">
        <v>0</v>
      </c>
      <c r="I2451">
        <v>0</v>
      </c>
      <c r="J2451">
        <v>0.74857588095020378</v>
      </c>
      <c r="K2451">
        <v>0</v>
      </c>
      <c r="L2451">
        <v>0</v>
      </c>
      <c r="M2451">
        <v>0.55871256600397456</v>
      </c>
      <c r="N2451">
        <v>0</v>
      </c>
      <c r="O2451">
        <v>0</v>
      </c>
      <c r="P2451">
        <v>0.76647702998997846</v>
      </c>
      <c r="Q2451">
        <v>2.5417769678125999</v>
      </c>
      <c r="R2451">
        <v>-1.254514325701908</v>
      </c>
      <c r="S2451">
        <v>0.26854612323443222</v>
      </c>
      <c r="T2451">
        <v>0.21022867313529889</v>
      </c>
      <c r="U2451">
        <v>4.3324398138135667</v>
      </c>
      <c r="V2451">
        <v>0.19141859075364431</v>
      </c>
      <c r="W2451">
        <v>9.7575814074837233</v>
      </c>
      <c r="X2451">
        <v>0.55574041681088493</v>
      </c>
      <c r="Z2451" t="s">
        <v>392</v>
      </c>
      <c r="AA2451">
        <v>9400</v>
      </c>
      <c r="AB2451" t="s">
        <v>2842</v>
      </c>
      <c r="AC2451" t="str">
        <f>HYPERLINK("plots/3FT6Y578R01_012_S11P_20251111092011_M5358ACSH101811_RBGEUFRF26/dpll_52084/txpa_53262.png","plot")</f>
        <v>plot</v>
      </c>
    </row>
    <row r="2452" spans="1:29" hidden="1" x14ac:dyDescent="0.35">
      <c r="A2452" t="s">
        <v>48</v>
      </c>
      <c r="B2452">
        <v>52084</v>
      </c>
      <c r="C2452" t="s">
        <v>52</v>
      </c>
      <c r="D2452">
        <v>53263</v>
      </c>
      <c r="E2452" t="s">
        <v>138</v>
      </c>
      <c r="F2452">
        <v>12123</v>
      </c>
      <c r="G2452">
        <v>0.87534947060054258</v>
      </c>
      <c r="H2452">
        <v>0</v>
      </c>
      <c r="I2452">
        <v>0</v>
      </c>
      <c r="J2452">
        <v>0.74719883152264843</v>
      </c>
      <c r="K2452">
        <v>0</v>
      </c>
      <c r="L2452">
        <v>0</v>
      </c>
      <c r="M2452">
        <v>0.55724786796617465</v>
      </c>
      <c r="N2452">
        <v>0</v>
      </c>
      <c r="O2452">
        <v>0</v>
      </c>
      <c r="P2452">
        <v>0.76623669568065012</v>
      </c>
      <c r="Q2452">
        <v>2.5480111876196498</v>
      </c>
      <c r="R2452">
        <v>-1.3095466650594789</v>
      </c>
      <c r="S2452">
        <v>0.26917270462757942</v>
      </c>
      <c r="T2452">
        <v>0.21117938983253379</v>
      </c>
      <c r="U2452">
        <v>4.332669610987379</v>
      </c>
      <c r="V2452">
        <v>0.1912673783545652</v>
      </c>
      <c r="W2452">
        <v>9.7301439759960395</v>
      </c>
      <c r="X2452">
        <v>0.55675068785928405</v>
      </c>
      <c r="Z2452" t="s">
        <v>392</v>
      </c>
      <c r="AA2452">
        <v>9400</v>
      </c>
      <c r="AB2452" t="s">
        <v>2843</v>
      </c>
      <c r="AC2452" t="str">
        <f>HYPERLINK("plots/3FT6Y578R01_012_S11P_20251111092011_M5358ACSH101811_RBGEUFRF26/dpll_52084/txpa_53263.png","plot")</f>
        <v>plot</v>
      </c>
    </row>
    <row r="2453" spans="1:29" hidden="1" x14ac:dyDescent="0.35">
      <c r="A2453" t="s">
        <v>48</v>
      </c>
      <c r="B2453">
        <v>52084</v>
      </c>
      <c r="C2453" t="s">
        <v>52</v>
      </c>
      <c r="D2453">
        <v>53264</v>
      </c>
      <c r="E2453" t="s">
        <v>139</v>
      </c>
      <c r="F2453">
        <v>12129</v>
      </c>
      <c r="G2453">
        <v>0.87684622772110943</v>
      </c>
      <c r="H2453">
        <v>0</v>
      </c>
      <c r="I2453">
        <v>0</v>
      </c>
      <c r="J2453">
        <v>0.75064683410174604</v>
      </c>
      <c r="K2453">
        <v>0</v>
      </c>
      <c r="L2453">
        <v>0</v>
      </c>
      <c r="M2453">
        <v>0.56088245918651525</v>
      </c>
      <c r="N2453">
        <v>0</v>
      </c>
      <c r="O2453">
        <v>0</v>
      </c>
      <c r="P2453">
        <v>0.76885930706873973</v>
      </c>
      <c r="Q2453">
        <v>2.5595514124402978</v>
      </c>
      <c r="R2453">
        <v>-1.3611453283926609</v>
      </c>
      <c r="S2453">
        <v>0.26851277400526208</v>
      </c>
      <c r="T2453">
        <v>0.21109411943602521</v>
      </c>
      <c r="U2453">
        <v>4.3325159373402586</v>
      </c>
      <c r="V2453">
        <v>0.19133932178097179</v>
      </c>
      <c r="W2453">
        <v>9.7281519584466984</v>
      </c>
      <c r="X2453">
        <v>0.55852761389266448</v>
      </c>
      <c r="Z2453" t="s">
        <v>392</v>
      </c>
      <c r="AA2453">
        <v>9400</v>
      </c>
      <c r="AB2453" t="s">
        <v>2844</v>
      </c>
      <c r="AC2453" t="str">
        <f>HYPERLINK("plots/3FT6Y578R01_012_S11P_20251111092011_M5358ACSH101811_RBGEUFRF26/dpll_52084/txpa_53264.png","plot")</f>
        <v>plot</v>
      </c>
    </row>
    <row r="2454" spans="1:29" hidden="1" x14ac:dyDescent="0.35">
      <c r="A2454" t="s">
        <v>48</v>
      </c>
      <c r="B2454">
        <v>52084</v>
      </c>
      <c r="C2454" t="s">
        <v>52</v>
      </c>
      <c r="D2454">
        <v>53265</v>
      </c>
      <c r="E2454" t="s">
        <v>140</v>
      </c>
      <c r="F2454">
        <v>12105</v>
      </c>
      <c r="G2454">
        <v>0.87697003733385748</v>
      </c>
      <c r="H2454">
        <v>0</v>
      </c>
      <c r="I2454">
        <v>0</v>
      </c>
      <c r="J2454">
        <v>0.74624339901089198</v>
      </c>
      <c r="K2454">
        <v>0</v>
      </c>
      <c r="L2454">
        <v>0</v>
      </c>
      <c r="M2454">
        <v>0.55787951092037813</v>
      </c>
      <c r="N2454">
        <v>0</v>
      </c>
      <c r="O2454">
        <v>0</v>
      </c>
      <c r="P2454">
        <v>0.76907644638134742</v>
      </c>
      <c r="Q2454">
        <v>2.539994796852747</v>
      </c>
      <c r="R2454">
        <v>-1.2653006118031791</v>
      </c>
      <c r="S2454">
        <v>0.26569684902144042</v>
      </c>
      <c r="T2454">
        <v>0.20907009207567609</v>
      </c>
      <c r="U2454">
        <v>4.3332446342007431</v>
      </c>
      <c r="V2454">
        <v>0.19090713311865659</v>
      </c>
      <c r="W2454">
        <v>9.7411182125567954</v>
      </c>
      <c r="X2454">
        <v>0.55293009357269807</v>
      </c>
      <c r="Z2454" t="s">
        <v>392</v>
      </c>
      <c r="AA2454">
        <v>9400</v>
      </c>
      <c r="AB2454" t="s">
        <v>2845</v>
      </c>
      <c r="AC2454" t="str">
        <f>HYPERLINK("plots/3FT6Y578R01_012_S11P_20251111092011_M5358ACSH101811_RBGEUFRF26/dpll_52084/txpa_53265.png","plot")</f>
        <v>plot</v>
      </c>
    </row>
    <row r="2455" spans="1:29" hidden="1" x14ac:dyDescent="0.35">
      <c r="A2455" t="s">
        <v>48</v>
      </c>
      <c r="B2455">
        <v>52084</v>
      </c>
      <c r="C2455" t="s">
        <v>52</v>
      </c>
      <c r="D2455">
        <v>53266</v>
      </c>
      <c r="E2455" t="s">
        <v>141</v>
      </c>
      <c r="F2455">
        <v>12117</v>
      </c>
      <c r="G2455">
        <v>0.87304019553512557</v>
      </c>
      <c r="H2455">
        <v>0</v>
      </c>
      <c r="I2455">
        <v>0</v>
      </c>
      <c r="J2455">
        <v>0.74259478039581617</v>
      </c>
      <c r="K2455">
        <v>0</v>
      </c>
      <c r="L2455">
        <v>0</v>
      </c>
      <c r="M2455">
        <v>0.55353792103195076</v>
      </c>
      <c r="N2455">
        <v>0</v>
      </c>
      <c r="O2455">
        <v>0</v>
      </c>
      <c r="P2455">
        <v>0.76219918302001033</v>
      </c>
      <c r="Q2455">
        <v>2.526229065509602</v>
      </c>
      <c r="R2455">
        <v>-1.2266213869405109</v>
      </c>
      <c r="S2455">
        <v>0.26960545849013451</v>
      </c>
      <c r="T2455">
        <v>0.21131779034268319</v>
      </c>
      <c r="U2455">
        <v>4.3329305923908548</v>
      </c>
      <c r="V2455">
        <v>0.1910739330069039</v>
      </c>
      <c r="W2455">
        <v>9.7193538143930027</v>
      </c>
      <c r="X2455">
        <v>0.55289152285526644</v>
      </c>
      <c r="Z2455" t="s">
        <v>392</v>
      </c>
      <c r="AA2455">
        <v>9400</v>
      </c>
      <c r="AB2455" t="s">
        <v>2846</v>
      </c>
      <c r="AC2455" t="str">
        <f>HYPERLINK("plots/3FT6Y578R01_012_S11P_20251111092011_M5358ACSH101811_RBGEUFRF26/dpll_52084/txpa_53266.png","plot")</f>
        <v>plot</v>
      </c>
    </row>
    <row r="2456" spans="1:29" hidden="1" x14ac:dyDescent="0.35">
      <c r="A2456" t="s">
        <v>48</v>
      </c>
      <c r="B2456">
        <v>52084</v>
      </c>
      <c r="C2456" t="s">
        <v>52</v>
      </c>
      <c r="D2456">
        <v>53267</v>
      </c>
      <c r="E2456" t="s">
        <v>142</v>
      </c>
      <c r="F2456">
        <v>12103</v>
      </c>
      <c r="G2456">
        <v>0.86526891180592169</v>
      </c>
      <c r="H2456">
        <v>0</v>
      </c>
      <c r="I2456">
        <v>0</v>
      </c>
      <c r="J2456">
        <v>0.73642745169834967</v>
      </c>
      <c r="K2456">
        <v>0</v>
      </c>
      <c r="L2456">
        <v>0</v>
      </c>
      <c r="M2456">
        <v>0.54600028541203904</v>
      </c>
      <c r="N2456">
        <v>0</v>
      </c>
      <c r="O2456">
        <v>0</v>
      </c>
      <c r="P2456">
        <v>0.74869028973780394</v>
      </c>
      <c r="Q2456">
        <v>2.6002368784343779</v>
      </c>
      <c r="R2456">
        <v>-1.148844976457017</v>
      </c>
      <c r="S2456">
        <v>0.28777939626365118</v>
      </c>
      <c r="T2456">
        <v>0.22273601401826751</v>
      </c>
      <c r="U2456">
        <v>4.3331891832603482</v>
      </c>
      <c r="V2456">
        <v>0.19103422970415329</v>
      </c>
      <c r="W2456">
        <v>10.11847333908948</v>
      </c>
      <c r="X2456">
        <v>0.57408077690356218</v>
      </c>
      <c r="Z2456" t="s">
        <v>392</v>
      </c>
      <c r="AA2456">
        <v>9400</v>
      </c>
      <c r="AB2456" t="s">
        <v>2847</v>
      </c>
      <c r="AC2456" t="str">
        <f>HYPERLINK("plots/3FT6Y578R01_012_S11P_20251111092011_M5358ACSH101811_RBGEUFRF26/dpll_52084/txpa_53267.png","plot")</f>
        <v>plot</v>
      </c>
    </row>
    <row r="2457" spans="1:29" hidden="1" x14ac:dyDescent="0.35">
      <c r="A2457" t="s">
        <v>48</v>
      </c>
      <c r="B2457">
        <v>52084</v>
      </c>
      <c r="C2457" t="s">
        <v>52</v>
      </c>
      <c r="D2457">
        <v>53268</v>
      </c>
      <c r="E2457" t="s">
        <v>143</v>
      </c>
      <c r="F2457">
        <v>12119</v>
      </c>
      <c r="G2457">
        <v>0.87219015254537779</v>
      </c>
      <c r="H2457">
        <v>0</v>
      </c>
      <c r="I2457">
        <v>0</v>
      </c>
      <c r="J2457">
        <v>0.74503299854322735</v>
      </c>
      <c r="K2457">
        <v>0</v>
      </c>
      <c r="L2457">
        <v>0</v>
      </c>
      <c r="M2457">
        <v>0.55542696144570569</v>
      </c>
      <c r="N2457">
        <v>0</v>
      </c>
      <c r="O2457">
        <v>0</v>
      </c>
      <c r="P2457">
        <v>0.76071566219712938</v>
      </c>
      <c r="Q2457">
        <v>2.6393263998990211</v>
      </c>
      <c r="R2457">
        <v>-1.2809287193953529</v>
      </c>
      <c r="S2457">
        <v>0.28315305787788658</v>
      </c>
      <c r="T2457">
        <v>0.22153436578013011</v>
      </c>
      <c r="U2457">
        <v>4.3327295914679427</v>
      </c>
      <c r="V2457">
        <v>0.19129345686126639</v>
      </c>
      <c r="W2457">
        <v>10.154558874989689</v>
      </c>
      <c r="X2457">
        <v>0.57887132679546827</v>
      </c>
      <c r="Z2457" t="s">
        <v>392</v>
      </c>
      <c r="AA2457">
        <v>9400</v>
      </c>
      <c r="AB2457" t="s">
        <v>2848</v>
      </c>
      <c r="AC2457" t="str">
        <f>HYPERLINK("plots/3FT6Y578R01_012_S11P_20251111092011_M5358ACSH101811_RBGEUFRF26/dpll_52084/txpa_53268.png","plot")</f>
        <v>plot</v>
      </c>
    </row>
    <row r="2458" spans="1:29" hidden="1" x14ac:dyDescent="0.35">
      <c r="A2458" t="s">
        <v>48</v>
      </c>
      <c r="B2458">
        <v>52084</v>
      </c>
      <c r="C2458" t="s">
        <v>52</v>
      </c>
      <c r="D2458">
        <v>53269</v>
      </c>
      <c r="E2458" t="s">
        <v>144</v>
      </c>
      <c r="F2458">
        <v>12095</v>
      </c>
      <c r="G2458">
        <v>0.87216765796752194</v>
      </c>
      <c r="H2458">
        <v>0</v>
      </c>
      <c r="I2458">
        <v>0</v>
      </c>
      <c r="J2458">
        <v>0.73967631426835356</v>
      </c>
      <c r="K2458">
        <v>0</v>
      </c>
      <c r="L2458">
        <v>0</v>
      </c>
      <c r="M2458">
        <v>0.55045588143061186</v>
      </c>
      <c r="N2458">
        <v>0</v>
      </c>
      <c r="O2458">
        <v>0</v>
      </c>
      <c r="P2458">
        <v>0.76067642360455234</v>
      </c>
      <c r="Q2458">
        <v>2.6035580186617371</v>
      </c>
      <c r="R2458">
        <v>-1.1119239766165241</v>
      </c>
      <c r="S2458">
        <v>0.27870812151280833</v>
      </c>
      <c r="T2458">
        <v>0.21827533361018761</v>
      </c>
      <c r="U2458">
        <v>4.3334397714758159</v>
      </c>
      <c r="V2458">
        <v>0.1908567631723308</v>
      </c>
      <c r="W2458">
        <v>10.17043788879702</v>
      </c>
      <c r="X2458">
        <v>0.56973754029256829</v>
      </c>
      <c r="Z2458" t="s">
        <v>392</v>
      </c>
      <c r="AA2458">
        <v>9400</v>
      </c>
      <c r="AB2458" t="s">
        <v>2849</v>
      </c>
      <c r="AC2458" t="str">
        <f>HYPERLINK("plots/3FT6Y578R01_012_S11P_20251111092011_M5358ACSH101811_RBGEUFRF26/dpll_52084/txpa_53269.png","plot")</f>
        <v>plot</v>
      </c>
    </row>
    <row r="2459" spans="1:29" hidden="1" x14ac:dyDescent="0.35">
      <c r="A2459" t="s">
        <v>48</v>
      </c>
      <c r="B2459">
        <v>52084</v>
      </c>
      <c r="C2459" t="s">
        <v>52</v>
      </c>
      <c r="D2459">
        <v>53270</v>
      </c>
      <c r="E2459" t="s">
        <v>145</v>
      </c>
      <c r="F2459">
        <v>12114</v>
      </c>
      <c r="G2459">
        <v>0.87586083845979579</v>
      </c>
      <c r="H2459">
        <v>0</v>
      </c>
      <c r="I2459">
        <v>0</v>
      </c>
      <c r="J2459">
        <v>0.74667248289308208</v>
      </c>
      <c r="K2459">
        <v>0</v>
      </c>
      <c r="L2459">
        <v>0</v>
      </c>
      <c r="M2459">
        <v>0.55734395448281349</v>
      </c>
      <c r="N2459">
        <v>0</v>
      </c>
      <c r="O2459">
        <v>0</v>
      </c>
      <c r="P2459">
        <v>0.76713220834749651</v>
      </c>
      <c r="Q2459">
        <v>2.6398748326431472</v>
      </c>
      <c r="R2459">
        <v>-1.2495531436159659</v>
      </c>
      <c r="S2459">
        <v>0.27791901475682029</v>
      </c>
      <c r="T2459">
        <v>0.21831556050973669</v>
      </c>
      <c r="U2459">
        <v>4.3329666758296188</v>
      </c>
      <c r="V2459">
        <v>0.19108792659623561</v>
      </c>
      <c r="W2459">
        <v>10.18893653458808</v>
      </c>
      <c r="X2459">
        <v>0.57594561383796672</v>
      </c>
      <c r="Z2459" t="s">
        <v>392</v>
      </c>
      <c r="AA2459">
        <v>9400</v>
      </c>
      <c r="AB2459" t="s">
        <v>2850</v>
      </c>
      <c r="AC2459" t="str">
        <f>HYPERLINK("plots/3FT6Y578R01_012_S11P_20251111092011_M5358ACSH101811_RBGEUFRF26/dpll_52084/txpa_53270.png","plot")</f>
        <v>plot</v>
      </c>
    </row>
    <row r="2460" spans="1:29" hidden="1" x14ac:dyDescent="0.35">
      <c r="A2460" t="s">
        <v>48</v>
      </c>
      <c r="B2460">
        <v>52084</v>
      </c>
      <c r="C2460" t="s">
        <v>52</v>
      </c>
      <c r="D2460">
        <v>53271</v>
      </c>
      <c r="E2460" t="s">
        <v>146</v>
      </c>
      <c r="F2460">
        <v>12104</v>
      </c>
      <c r="G2460">
        <v>0.87576345723951332</v>
      </c>
      <c r="H2460">
        <v>0</v>
      </c>
      <c r="I2460">
        <v>0</v>
      </c>
      <c r="J2460">
        <v>0.74529374028912854</v>
      </c>
      <c r="K2460">
        <v>0</v>
      </c>
      <c r="L2460">
        <v>0</v>
      </c>
      <c r="M2460">
        <v>0.55588703237854797</v>
      </c>
      <c r="N2460">
        <v>0</v>
      </c>
      <c r="O2460">
        <v>0</v>
      </c>
      <c r="P2460">
        <v>0.76696163303610487</v>
      </c>
      <c r="Q2460">
        <v>2.6461602343644328</v>
      </c>
      <c r="R2460">
        <v>-1.3053513574215729</v>
      </c>
      <c r="S2460">
        <v>0.27846666407259801</v>
      </c>
      <c r="T2460">
        <v>0.21924802687460809</v>
      </c>
      <c r="U2460">
        <v>4.3332064389458029</v>
      </c>
      <c r="V2460">
        <v>0.1909185466644949</v>
      </c>
      <c r="W2460">
        <v>10.161007208608719</v>
      </c>
      <c r="X2460">
        <v>0.57686931557829202</v>
      </c>
      <c r="Z2460" t="s">
        <v>392</v>
      </c>
      <c r="AA2460">
        <v>9400</v>
      </c>
      <c r="AB2460" t="s">
        <v>2851</v>
      </c>
      <c r="AC2460" t="str">
        <f>HYPERLINK("plots/3FT6Y578R01_012_S11P_20251111092011_M5358ACSH101811_RBGEUFRF26/dpll_52084/txpa_53271.png","plot")</f>
        <v>plot</v>
      </c>
    </row>
    <row r="2461" spans="1:29" hidden="1" x14ac:dyDescent="0.35">
      <c r="A2461" t="s">
        <v>48</v>
      </c>
      <c r="B2461">
        <v>52084</v>
      </c>
      <c r="C2461" t="s">
        <v>52</v>
      </c>
      <c r="D2461">
        <v>53272</v>
      </c>
      <c r="E2461" t="s">
        <v>147</v>
      </c>
      <c r="F2461">
        <v>12105</v>
      </c>
      <c r="G2461">
        <v>0.87701857114834103</v>
      </c>
      <c r="H2461">
        <v>0</v>
      </c>
      <c r="I2461">
        <v>0</v>
      </c>
      <c r="J2461">
        <v>0.74830505158006222</v>
      </c>
      <c r="K2461">
        <v>0</v>
      </c>
      <c r="L2461">
        <v>0</v>
      </c>
      <c r="M2461">
        <v>0.55916339151141792</v>
      </c>
      <c r="N2461">
        <v>0</v>
      </c>
      <c r="O2461">
        <v>0</v>
      </c>
      <c r="P2461">
        <v>0.76916157413907771</v>
      </c>
      <c r="Q2461">
        <v>2.653918737419366</v>
      </c>
      <c r="R2461">
        <v>-1.3399475959949909</v>
      </c>
      <c r="S2461">
        <v>0.27750936993186459</v>
      </c>
      <c r="T2461">
        <v>0.21881865676683709</v>
      </c>
      <c r="U2461">
        <v>4.3332080872366792</v>
      </c>
      <c r="V2461">
        <v>0.19088100275432249</v>
      </c>
      <c r="W2461">
        <v>10.160034539859559</v>
      </c>
      <c r="X2461">
        <v>0.57761909096610198</v>
      </c>
      <c r="Z2461" t="s">
        <v>392</v>
      </c>
      <c r="AA2461">
        <v>9400</v>
      </c>
      <c r="AB2461" t="s">
        <v>2852</v>
      </c>
      <c r="AC2461" t="str">
        <f>HYPERLINK("plots/3FT6Y578R01_012_S11P_20251111092011_M5358ACSH101811_RBGEUFRF26/dpll_52084/txpa_53272.png","plot")</f>
        <v>plot</v>
      </c>
    </row>
    <row r="2462" spans="1:29" hidden="1" x14ac:dyDescent="0.35">
      <c r="A2462" t="s">
        <v>48</v>
      </c>
      <c r="B2462">
        <v>52084</v>
      </c>
      <c r="C2462" t="s">
        <v>52</v>
      </c>
      <c r="D2462">
        <v>53273</v>
      </c>
      <c r="E2462" t="s">
        <v>148</v>
      </c>
      <c r="F2462">
        <v>12089</v>
      </c>
      <c r="G2462">
        <v>0.87678759677767681</v>
      </c>
      <c r="H2462">
        <v>0</v>
      </c>
      <c r="I2462">
        <v>0</v>
      </c>
      <c r="J2462">
        <v>0.74459900051607764</v>
      </c>
      <c r="K2462">
        <v>0</v>
      </c>
      <c r="L2462">
        <v>0</v>
      </c>
      <c r="M2462">
        <v>0.55671835312837048</v>
      </c>
      <c r="N2462">
        <v>0</v>
      </c>
      <c r="O2462">
        <v>0</v>
      </c>
      <c r="P2462">
        <v>0.76875648986317402</v>
      </c>
      <c r="Q2462">
        <v>2.639621717929828</v>
      </c>
      <c r="R2462">
        <v>-1.267494880913471</v>
      </c>
      <c r="S2462">
        <v>0.2758402341174282</v>
      </c>
      <c r="T2462">
        <v>0.21737983328547381</v>
      </c>
      <c r="U2462">
        <v>4.3337385600959548</v>
      </c>
      <c r="V2462">
        <v>0.1905432216899671</v>
      </c>
      <c r="W2462">
        <v>10.17193554214575</v>
      </c>
      <c r="X2462">
        <v>0.57364181248185342</v>
      </c>
      <c r="Z2462" t="s">
        <v>392</v>
      </c>
      <c r="AA2462">
        <v>9400</v>
      </c>
      <c r="AB2462" t="s">
        <v>2853</v>
      </c>
      <c r="AC2462" t="str">
        <f>HYPERLINK("plots/3FT6Y578R01_012_S11P_20251111092011_M5358ACSH101811_RBGEUFRF26/dpll_52084/txpa_53273.png","plot")</f>
        <v>plot</v>
      </c>
    </row>
    <row r="2463" spans="1:29" hidden="1" x14ac:dyDescent="0.35">
      <c r="A2463" t="s">
        <v>48</v>
      </c>
      <c r="B2463">
        <v>52084</v>
      </c>
      <c r="C2463" t="s">
        <v>52</v>
      </c>
      <c r="D2463">
        <v>53274</v>
      </c>
      <c r="E2463" t="s">
        <v>149</v>
      </c>
      <c r="F2463">
        <v>12101</v>
      </c>
      <c r="G2463">
        <v>0.8731222568182706</v>
      </c>
      <c r="H2463">
        <v>0</v>
      </c>
      <c r="I2463">
        <v>0</v>
      </c>
      <c r="J2463">
        <v>0.74073064737001437</v>
      </c>
      <c r="K2463">
        <v>0</v>
      </c>
      <c r="L2463">
        <v>0</v>
      </c>
      <c r="M2463">
        <v>0.55220119442767923</v>
      </c>
      <c r="N2463">
        <v>0</v>
      </c>
      <c r="O2463">
        <v>0</v>
      </c>
      <c r="P2463">
        <v>0.76234247535143007</v>
      </c>
      <c r="Q2463">
        <v>2.6263803265614691</v>
      </c>
      <c r="R2463">
        <v>-1.2317055862848021</v>
      </c>
      <c r="S2463">
        <v>0.27978181280206471</v>
      </c>
      <c r="T2463">
        <v>0.21974222465859941</v>
      </c>
      <c r="U2463">
        <v>4.3333750547062229</v>
      </c>
      <c r="V2463">
        <v>0.1908003130165723</v>
      </c>
      <c r="W2463">
        <v>10.14938540500785</v>
      </c>
      <c r="X2463">
        <v>0.57393358661431559</v>
      </c>
      <c r="Z2463" t="s">
        <v>392</v>
      </c>
      <c r="AA2463">
        <v>9400</v>
      </c>
      <c r="AB2463" t="s">
        <v>2854</v>
      </c>
      <c r="AC2463" t="str">
        <f>HYPERLINK("plots/3FT6Y578R01_012_S11P_20251111092011_M5358ACSH101811_RBGEUFRF26/dpll_52084/txpa_53274.png","plot")</f>
        <v>plot</v>
      </c>
    </row>
    <row r="2464" spans="1:29" hidden="1" x14ac:dyDescent="0.35">
      <c r="A2464" t="s">
        <v>48</v>
      </c>
      <c r="B2464">
        <v>52084</v>
      </c>
      <c r="C2464" t="s">
        <v>52</v>
      </c>
      <c r="D2464">
        <v>53275</v>
      </c>
      <c r="E2464" t="s">
        <v>150</v>
      </c>
      <c r="F2464">
        <v>12051</v>
      </c>
      <c r="G2464">
        <v>0.8660437849488507</v>
      </c>
      <c r="H2464">
        <v>0</v>
      </c>
      <c r="I2464">
        <v>0</v>
      </c>
      <c r="J2464">
        <v>0.73059974801302008</v>
      </c>
      <c r="K2464">
        <v>0</v>
      </c>
      <c r="L2464">
        <v>0</v>
      </c>
      <c r="M2464">
        <v>0.54214243822166164</v>
      </c>
      <c r="N2464">
        <v>0</v>
      </c>
      <c r="O2464">
        <v>0</v>
      </c>
      <c r="P2464">
        <v>0.75003183744853119</v>
      </c>
      <c r="Q2464">
        <v>3.0226405167941648</v>
      </c>
      <c r="R2464">
        <v>-1.695935512807917</v>
      </c>
      <c r="S2464">
        <v>0.33157916421812511</v>
      </c>
      <c r="T2464">
        <v>0.25936417480380902</v>
      </c>
      <c r="U2464">
        <v>4.3346979541946729</v>
      </c>
      <c r="V2464">
        <v>0.19002741179870189</v>
      </c>
      <c r="W2464">
        <v>11.406298151605681</v>
      </c>
      <c r="X2464">
        <v>0.66322807713262411</v>
      </c>
      <c r="Z2464" t="s">
        <v>392</v>
      </c>
      <c r="AA2464">
        <v>9400</v>
      </c>
      <c r="AB2464" t="s">
        <v>2855</v>
      </c>
      <c r="AC2464" t="str">
        <f>HYPERLINK("plots/3FT6Y578R01_012_S11P_20251111092011_M5358ACSH101811_RBGEUFRF26/dpll_52084/txpa_53275.png","plot")</f>
        <v>plot</v>
      </c>
    </row>
    <row r="2465" spans="1:29" hidden="1" x14ac:dyDescent="0.35">
      <c r="A2465" t="s">
        <v>48</v>
      </c>
      <c r="B2465">
        <v>52084</v>
      </c>
      <c r="C2465" t="s">
        <v>52</v>
      </c>
      <c r="D2465">
        <v>53276</v>
      </c>
      <c r="E2465" t="s">
        <v>151</v>
      </c>
      <c r="F2465">
        <v>12073</v>
      </c>
      <c r="G2465">
        <v>0.87225380081187709</v>
      </c>
      <c r="H2465">
        <v>0</v>
      </c>
      <c r="I2465">
        <v>0</v>
      </c>
      <c r="J2465">
        <v>0.73908666633032061</v>
      </c>
      <c r="K2465">
        <v>0</v>
      </c>
      <c r="L2465">
        <v>0</v>
      </c>
      <c r="M2465">
        <v>0.55117341159518318</v>
      </c>
      <c r="N2465">
        <v>0</v>
      </c>
      <c r="O2465">
        <v>0</v>
      </c>
      <c r="P2465">
        <v>0.76082669303076578</v>
      </c>
      <c r="Q2465">
        <v>3.0666108812961088</v>
      </c>
      <c r="R2465">
        <v>-1.846136665027194</v>
      </c>
      <c r="S2465">
        <v>0.32732891936374992</v>
      </c>
      <c r="T2465">
        <v>0.25825266359625582</v>
      </c>
      <c r="U2465">
        <v>4.3340715979458304</v>
      </c>
      <c r="V2465">
        <v>0.1903838949925209</v>
      </c>
      <c r="W2465">
        <v>11.444774457549901</v>
      </c>
      <c r="X2465">
        <v>0.66933881338685997</v>
      </c>
      <c r="Z2465" t="s">
        <v>392</v>
      </c>
      <c r="AA2465">
        <v>9400</v>
      </c>
      <c r="AB2465" t="s">
        <v>2856</v>
      </c>
      <c r="AC2465" t="str">
        <f>HYPERLINK("plots/3FT6Y578R01_012_S11P_20251111092011_M5358ACSH101811_RBGEUFRF26/dpll_52084/txpa_53276.png","plot")</f>
        <v>plot</v>
      </c>
    </row>
    <row r="2466" spans="1:29" hidden="1" x14ac:dyDescent="0.35">
      <c r="A2466" t="s">
        <v>48</v>
      </c>
      <c r="B2466">
        <v>52084</v>
      </c>
      <c r="C2466" t="s">
        <v>52</v>
      </c>
      <c r="D2466">
        <v>53277</v>
      </c>
      <c r="E2466" t="s">
        <v>152</v>
      </c>
      <c r="F2466">
        <v>12042</v>
      </c>
      <c r="G2466">
        <v>0.87228038641700245</v>
      </c>
      <c r="H2466">
        <v>0</v>
      </c>
      <c r="I2466">
        <v>0</v>
      </c>
      <c r="J2466">
        <v>0.73389368512437458</v>
      </c>
      <c r="K2466">
        <v>0</v>
      </c>
      <c r="L2466">
        <v>0</v>
      </c>
      <c r="M2466">
        <v>0.54655485323138053</v>
      </c>
      <c r="N2466">
        <v>0</v>
      </c>
      <c r="O2466">
        <v>0</v>
      </c>
      <c r="P2466">
        <v>0.76087307252779512</v>
      </c>
      <c r="Q2466">
        <v>3.0250401829497431</v>
      </c>
      <c r="R2466">
        <v>-1.6519379056627841</v>
      </c>
      <c r="S2466">
        <v>0.32186798904077518</v>
      </c>
      <c r="T2466">
        <v>0.25458479943756968</v>
      </c>
      <c r="U2466">
        <v>4.3349902061949841</v>
      </c>
      <c r="V2466">
        <v>0.18980451427605249</v>
      </c>
      <c r="W2466">
        <v>11.46158166077063</v>
      </c>
      <c r="X2466">
        <v>0.65823591993025843</v>
      </c>
      <c r="Z2466" t="s">
        <v>392</v>
      </c>
      <c r="AA2466">
        <v>9400</v>
      </c>
      <c r="AB2466" t="s">
        <v>2857</v>
      </c>
      <c r="AC2466" t="str">
        <f>HYPERLINK("plots/3FT6Y578R01_012_S11P_20251111092011_M5358ACSH101811_RBGEUFRF26/dpll_52084/txpa_53277.png","plot")</f>
        <v>plot</v>
      </c>
    </row>
    <row r="2467" spans="1:29" hidden="1" x14ac:dyDescent="0.35">
      <c r="A2467" t="s">
        <v>48</v>
      </c>
      <c r="B2467">
        <v>52084</v>
      </c>
      <c r="C2467" t="s">
        <v>52</v>
      </c>
      <c r="D2467">
        <v>53278</v>
      </c>
      <c r="E2467" t="s">
        <v>153</v>
      </c>
      <c r="F2467">
        <v>12055</v>
      </c>
      <c r="G2467">
        <v>0.87596187431474148</v>
      </c>
      <c r="H2467">
        <v>0</v>
      </c>
      <c r="I2467">
        <v>0</v>
      </c>
      <c r="J2467">
        <v>0.73920376773374963</v>
      </c>
      <c r="K2467">
        <v>0</v>
      </c>
      <c r="L2467">
        <v>0</v>
      </c>
      <c r="M2467">
        <v>0.55195665842967945</v>
      </c>
      <c r="N2467">
        <v>0</v>
      </c>
      <c r="O2467">
        <v>0</v>
      </c>
      <c r="P2467">
        <v>0.76730920525299495</v>
      </c>
      <c r="Q2467">
        <v>3.0613618494537511</v>
      </c>
      <c r="R2467">
        <v>-1.789136284181055</v>
      </c>
      <c r="S2467">
        <v>0.32034761404348039</v>
      </c>
      <c r="T2467">
        <v>0.25462441967519622</v>
      </c>
      <c r="U2467">
        <v>4.3346232928245536</v>
      </c>
      <c r="V2467">
        <v>0.19002924570285509</v>
      </c>
      <c r="W2467">
        <v>11.480714096225631</v>
      </c>
      <c r="X2467">
        <v>0.66412511792284445</v>
      </c>
      <c r="Z2467" t="s">
        <v>392</v>
      </c>
      <c r="AA2467">
        <v>9400</v>
      </c>
      <c r="AB2467" t="s">
        <v>2858</v>
      </c>
      <c r="AC2467" t="str">
        <f>HYPERLINK("plots/3FT6Y578R01_012_S11P_20251111092011_M5358ACSH101811_RBGEUFRF26/dpll_52084/txpa_53278.png","plot")</f>
        <v>plot</v>
      </c>
    </row>
    <row r="2468" spans="1:29" hidden="1" x14ac:dyDescent="0.35">
      <c r="A2468" t="s">
        <v>48</v>
      </c>
      <c r="B2468">
        <v>52084</v>
      </c>
      <c r="C2468" t="s">
        <v>52</v>
      </c>
      <c r="D2468">
        <v>53279</v>
      </c>
      <c r="E2468" t="s">
        <v>154</v>
      </c>
      <c r="F2468">
        <v>12040</v>
      </c>
      <c r="G2468">
        <v>0.87569400882435355</v>
      </c>
      <c r="H2468">
        <v>0</v>
      </c>
      <c r="I2468">
        <v>0</v>
      </c>
      <c r="J2468">
        <v>0.73772759720467573</v>
      </c>
      <c r="K2468">
        <v>0</v>
      </c>
      <c r="L2468">
        <v>0</v>
      </c>
      <c r="M2468">
        <v>0.55047857781351595</v>
      </c>
      <c r="N2468">
        <v>0</v>
      </c>
      <c r="O2468">
        <v>0</v>
      </c>
      <c r="P2468">
        <v>0.76683999709086703</v>
      </c>
      <c r="Q2468">
        <v>3.060656358565637</v>
      </c>
      <c r="R2468">
        <v>-1.8147256002514121</v>
      </c>
      <c r="S2468">
        <v>0.32010591258368593</v>
      </c>
      <c r="T2468">
        <v>0.25501321105288799</v>
      </c>
      <c r="U2468">
        <v>4.335056375083056</v>
      </c>
      <c r="V2468">
        <v>0.18968042477729921</v>
      </c>
      <c r="W2468">
        <v>11.453392258887041</v>
      </c>
      <c r="X2468">
        <v>0.66295600100025076</v>
      </c>
      <c r="Z2468" t="s">
        <v>392</v>
      </c>
      <c r="AA2468">
        <v>9400</v>
      </c>
      <c r="AB2468" t="s">
        <v>2859</v>
      </c>
      <c r="AC2468" t="str">
        <f>HYPERLINK("plots/3FT6Y578R01_012_S11P_20251111092011_M5358ACSH101811_RBGEUFRF26/dpll_52084/txpa_53279.png","plot")</f>
        <v>plot</v>
      </c>
    </row>
    <row r="2469" spans="1:29" hidden="1" x14ac:dyDescent="0.35">
      <c r="A2469" t="s">
        <v>48</v>
      </c>
      <c r="B2469">
        <v>52084</v>
      </c>
      <c r="C2469" t="s">
        <v>52</v>
      </c>
      <c r="D2469">
        <v>53280</v>
      </c>
      <c r="E2469" t="s">
        <v>155</v>
      </c>
      <c r="F2469">
        <v>12050</v>
      </c>
      <c r="G2469">
        <v>0.87675759998060787</v>
      </c>
      <c r="H2469">
        <v>0</v>
      </c>
      <c r="I2469">
        <v>0</v>
      </c>
      <c r="J2469">
        <v>0.74135034089853791</v>
      </c>
      <c r="K2469">
        <v>0</v>
      </c>
      <c r="L2469">
        <v>0</v>
      </c>
      <c r="M2469">
        <v>0.55435220261528362</v>
      </c>
      <c r="N2469">
        <v>0</v>
      </c>
      <c r="O2469">
        <v>0</v>
      </c>
      <c r="P2469">
        <v>0.76870388912375565</v>
      </c>
      <c r="Q2469">
        <v>3.075245324645449</v>
      </c>
      <c r="R2469">
        <v>-1.879194762782433</v>
      </c>
      <c r="S2469">
        <v>0.32025629088566998</v>
      </c>
      <c r="T2469">
        <v>0.2548573061415696</v>
      </c>
      <c r="U2469">
        <v>4.3347738047302906</v>
      </c>
      <c r="V2469">
        <v>0.18985904752184321</v>
      </c>
      <c r="W2469">
        <v>11.45129811360996</v>
      </c>
      <c r="X2469">
        <v>0.6659345162746243</v>
      </c>
      <c r="Z2469" t="s">
        <v>392</v>
      </c>
      <c r="AA2469">
        <v>9400</v>
      </c>
      <c r="AB2469" t="s">
        <v>2860</v>
      </c>
      <c r="AC2469" t="str">
        <f>HYPERLINK("plots/3FT6Y578R01_012_S11P_20251111092011_M5358ACSH101811_RBGEUFRF26/dpll_52084/txpa_53280.png","plot")</f>
        <v>plot</v>
      </c>
    </row>
    <row r="2470" spans="1:29" hidden="1" x14ac:dyDescent="0.35">
      <c r="A2470" t="s">
        <v>48</v>
      </c>
      <c r="B2470">
        <v>52084</v>
      </c>
      <c r="C2470" t="s">
        <v>52</v>
      </c>
      <c r="D2470">
        <v>53281</v>
      </c>
      <c r="E2470" t="s">
        <v>156</v>
      </c>
      <c r="F2470">
        <v>12038</v>
      </c>
      <c r="G2470">
        <v>0.87602950453716111</v>
      </c>
      <c r="H2470">
        <v>0</v>
      </c>
      <c r="I2470">
        <v>0</v>
      </c>
      <c r="J2470">
        <v>0.7383984067446222</v>
      </c>
      <c r="K2470">
        <v>0</v>
      </c>
      <c r="L2470">
        <v>0</v>
      </c>
      <c r="M2470">
        <v>0.55246386662682512</v>
      </c>
      <c r="N2470">
        <v>0</v>
      </c>
      <c r="O2470">
        <v>0</v>
      </c>
      <c r="P2470">
        <v>0.76742769281962397</v>
      </c>
      <c r="Q2470">
        <v>3.0635825747625951</v>
      </c>
      <c r="R2470">
        <v>-1.8176222716009089</v>
      </c>
      <c r="S2470">
        <v>0.31960826796289188</v>
      </c>
      <c r="T2470">
        <v>0.25409487766242578</v>
      </c>
      <c r="U2470">
        <v>4.3352371389765736</v>
      </c>
      <c r="V2470">
        <v>0.18951613331799791</v>
      </c>
      <c r="W2470">
        <v>11.463734684831371</v>
      </c>
      <c r="X2470">
        <v>0.66276115206434116</v>
      </c>
      <c r="Z2470" t="s">
        <v>392</v>
      </c>
      <c r="AA2470">
        <v>9400</v>
      </c>
      <c r="AB2470" t="s">
        <v>2861</v>
      </c>
      <c r="AC2470" t="str">
        <f>HYPERLINK("plots/3FT6Y578R01_012_S11P_20251111092011_M5358ACSH101811_RBGEUFRF26/dpll_52084/txpa_53281.png","plot")</f>
        <v>plot</v>
      </c>
    </row>
    <row r="2471" spans="1:29" hidden="1" x14ac:dyDescent="0.35">
      <c r="A2471" t="s">
        <v>48</v>
      </c>
      <c r="B2471">
        <v>52084</v>
      </c>
      <c r="C2471" t="s">
        <v>52</v>
      </c>
      <c r="D2471">
        <v>53282</v>
      </c>
      <c r="E2471" t="s">
        <v>157</v>
      </c>
      <c r="F2471">
        <v>12034</v>
      </c>
      <c r="G2471">
        <v>0.87203672001631582</v>
      </c>
      <c r="H2471">
        <v>0</v>
      </c>
      <c r="I2471">
        <v>0</v>
      </c>
      <c r="J2471">
        <v>0.73269676875199596</v>
      </c>
      <c r="K2471">
        <v>0</v>
      </c>
      <c r="L2471">
        <v>0</v>
      </c>
      <c r="M2471">
        <v>0.54628930458177682</v>
      </c>
      <c r="N2471">
        <v>0</v>
      </c>
      <c r="O2471">
        <v>0</v>
      </c>
      <c r="P2471">
        <v>0.76044804105681441</v>
      </c>
      <c r="Q2471">
        <v>3.0412258198330329</v>
      </c>
      <c r="R2471">
        <v>-1.745685003922649</v>
      </c>
      <c r="S2471">
        <v>0.32341046254403921</v>
      </c>
      <c r="T2471">
        <v>0.25628352058226861</v>
      </c>
      <c r="U2471">
        <v>4.3353274040219372</v>
      </c>
      <c r="V2471">
        <v>0.18947780768990849</v>
      </c>
      <c r="W2471">
        <v>11.43902463461858</v>
      </c>
      <c r="X2471">
        <v>0.6608033673411442</v>
      </c>
      <c r="Z2471" t="s">
        <v>392</v>
      </c>
      <c r="AA2471">
        <v>9400</v>
      </c>
      <c r="AB2471" t="s">
        <v>2862</v>
      </c>
      <c r="AC2471" t="str">
        <f>HYPERLINK("plots/3FT6Y578R01_012_S11P_20251111092011_M5358ACSH101811_RBGEUFRF26/dpll_52084/txpa_53282.png","plot")</f>
        <v>plot</v>
      </c>
    </row>
    <row r="2472" spans="1:29" hidden="1" x14ac:dyDescent="0.35">
      <c r="A2472" t="s">
        <v>48</v>
      </c>
      <c r="B2472">
        <v>52084</v>
      </c>
      <c r="C2472" t="s">
        <v>52</v>
      </c>
      <c r="D2472">
        <v>53283</v>
      </c>
      <c r="E2472" t="s">
        <v>158</v>
      </c>
      <c r="F2472">
        <v>12038</v>
      </c>
      <c r="G2472">
        <v>0.86634007720409256</v>
      </c>
      <c r="H2472">
        <v>0</v>
      </c>
      <c r="I2472">
        <v>0</v>
      </c>
      <c r="J2472">
        <v>0.72923565474947105</v>
      </c>
      <c r="K2472">
        <v>0</v>
      </c>
      <c r="L2472">
        <v>0</v>
      </c>
      <c r="M2472">
        <v>0.54150072261946758</v>
      </c>
      <c r="N2472">
        <v>0</v>
      </c>
      <c r="O2472">
        <v>0</v>
      </c>
      <c r="P2472">
        <v>0.75054512936999307</v>
      </c>
      <c r="Q2472">
        <v>3.2090230515534381</v>
      </c>
      <c r="R2472">
        <v>-2.112186894326364</v>
      </c>
      <c r="S2472">
        <v>0.35102598056290341</v>
      </c>
      <c r="T2472">
        <v>0.27570512585683993</v>
      </c>
      <c r="U2472">
        <v>4.3350914919421832</v>
      </c>
      <c r="V2472">
        <v>0.1897478549913432</v>
      </c>
      <c r="W2472">
        <v>11.799221633909291</v>
      </c>
      <c r="X2472">
        <v>0.70284782693551096</v>
      </c>
      <c r="Z2472" t="s">
        <v>392</v>
      </c>
      <c r="AA2472">
        <v>9400</v>
      </c>
      <c r="AB2472" t="s">
        <v>2863</v>
      </c>
      <c r="AC2472" t="str">
        <f>HYPERLINK("plots/3FT6Y578R01_012_S11P_20251111092011_M5358ACSH101811_RBGEUFRF26/dpll_52084/txpa_53283.png","plot")</f>
        <v>plot</v>
      </c>
    </row>
    <row r="2473" spans="1:29" hidden="1" x14ac:dyDescent="0.35">
      <c r="A2473" t="s">
        <v>48</v>
      </c>
      <c r="B2473">
        <v>52084</v>
      </c>
      <c r="C2473" t="s">
        <v>52</v>
      </c>
      <c r="D2473">
        <v>53284</v>
      </c>
      <c r="E2473" t="s">
        <v>159</v>
      </c>
      <c r="F2473">
        <v>12067</v>
      </c>
      <c r="G2473">
        <v>0.87255025614244708</v>
      </c>
      <c r="H2473">
        <v>0</v>
      </c>
      <c r="I2473">
        <v>0</v>
      </c>
      <c r="J2473">
        <v>0.73797472246116536</v>
      </c>
      <c r="K2473">
        <v>0</v>
      </c>
      <c r="L2473">
        <v>0</v>
      </c>
      <c r="M2473">
        <v>0.55064021657368734</v>
      </c>
      <c r="N2473">
        <v>0</v>
      </c>
      <c r="O2473">
        <v>0</v>
      </c>
      <c r="P2473">
        <v>0.76134394949424999</v>
      </c>
      <c r="Q2473">
        <v>3.2581442137513181</v>
      </c>
      <c r="R2473">
        <v>-2.2829786850278939</v>
      </c>
      <c r="S2473">
        <v>0.34709732331886639</v>
      </c>
      <c r="T2473">
        <v>0.27465588459117651</v>
      </c>
      <c r="U2473">
        <v>4.3342361222341923</v>
      </c>
      <c r="V2473">
        <v>0.1902843989533605</v>
      </c>
      <c r="W2473">
        <v>11.838587657661391</v>
      </c>
      <c r="X2473">
        <v>0.7105310084463784</v>
      </c>
      <c r="Z2473" t="s">
        <v>392</v>
      </c>
      <c r="AA2473">
        <v>9400</v>
      </c>
      <c r="AB2473" t="s">
        <v>2864</v>
      </c>
      <c r="AC2473" t="str">
        <f>HYPERLINK("plots/3FT6Y578R01_012_S11P_20251111092011_M5358ACSH101811_RBGEUFRF26/dpll_52084/txpa_53284.png","plot")</f>
        <v>plot</v>
      </c>
    </row>
    <row r="2474" spans="1:29" hidden="1" x14ac:dyDescent="0.35">
      <c r="A2474" t="s">
        <v>48</v>
      </c>
      <c r="B2474">
        <v>52084</v>
      </c>
      <c r="C2474" t="s">
        <v>52</v>
      </c>
      <c r="D2474">
        <v>53285</v>
      </c>
      <c r="E2474" t="s">
        <v>160</v>
      </c>
      <c r="F2474">
        <v>12037</v>
      </c>
      <c r="G2474">
        <v>0.87235915013618459</v>
      </c>
      <c r="H2474">
        <v>0</v>
      </c>
      <c r="I2474">
        <v>0</v>
      </c>
      <c r="J2474">
        <v>0.73317057082260773</v>
      </c>
      <c r="K2474">
        <v>0</v>
      </c>
      <c r="L2474">
        <v>0</v>
      </c>
      <c r="M2474">
        <v>0.54638589345421085</v>
      </c>
      <c r="N2474">
        <v>0</v>
      </c>
      <c r="O2474">
        <v>0</v>
      </c>
      <c r="P2474">
        <v>0.76101048682632622</v>
      </c>
      <c r="Q2474">
        <v>3.2165712609862842</v>
      </c>
      <c r="R2474">
        <v>-2.0894374533246172</v>
      </c>
      <c r="S2474">
        <v>0.34185177681648321</v>
      </c>
      <c r="T2474">
        <v>0.27112544880857448</v>
      </c>
      <c r="U2474">
        <v>4.3351625980726096</v>
      </c>
      <c r="V2474">
        <v>0.1896568806757219</v>
      </c>
      <c r="W2474">
        <v>11.854921971338371</v>
      </c>
      <c r="X2474">
        <v>0.69930472069284488</v>
      </c>
      <c r="Z2474" t="s">
        <v>392</v>
      </c>
      <c r="AA2474">
        <v>9400</v>
      </c>
      <c r="AB2474" t="s">
        <v>2865</v>
      </c>
      <c r="AC2474" t="str">
        <f>HYPERLINK("plots/3FT6Y578R01_012_S11P_20251111092011_M5358ACSH101811_RBGEUFRF26/dpll_52084/txpa_53285.png","plot")</f>
        <v>plot</v>
      </c>
    </row>
    <row r="2475" spans="1:29" hidden="1" x14ac:dyDescent="0.35">
      <c r="A2475" t="s">
        <v>48</v>
      </c>
      <c r="B2475">
        <v>52084</v>
      </c>
      <c r="C2475" t="s">
        <v>52</v>
      </c>
      <c r="D2475">
        <v>53286</v>
      </c>
      <c r="E2475" t="s">
        <v>161</v>
      </c>
      <c r="F2475">
        <v>12043</v>
      </c>
      <c r="G2475">
        <v>0.87586179337474257</v>
      </c>
      <c r="H2475">
        <v>0</v>
      </c>
      <c r="I2475">
        <v>0</v>
      </c>
      <c r="J2475">
        <v>0.73735740852989951</v>
      </c>
      <c r="K2475">
        <v>0</v>
      </c>
      <c r="L2475">
        <v>0</v>
      </c>
      <c r="M2475">
        <v>0.55085122676401987</v>
      </c>
      <c r="N2475">
        <v>0</v>
      </c>
      <c r="O2475">
        <v>0</v>
      </c>
      <c r="P2475">
        <v>0.76713388109362024</v>
      </c>
      <c r="Q2475">
        <v>3.249233817014324</v>
      </c>
      <c r="R2475">
        <v>-2.2106806404215238</v>
      </c>
      <c r="S2475">
        <v>0.33972349486543729</v>
      </c>
      <c r="T2475">
        <v>0.27084912948680551</v>
      </c>
      <c r="U2475">
        <v>4.3349805085111681</v>
      </c>
      <c r="V2475">
        <v>0.1897776567312113</v>
      </c>
      <c r="W2475">
        <v>11.874684623930911</v>
      </c>
      <c r="X2475">
        <v>0.70402886006577758</v>
      </c>
      <c r="Z2475" t="s">
        <v>392</v>
      </c>
      <c r="AA2475">
        <v>9400</v>
      </c>
      <c r="AB2475" t="s">
        <v>2866</v>
      </c>
      <c r="AC2475" t="str">
        <f>HYPERLINK("plots/3FT6Y578R01_012_S11P_20251111092011_M5358ACSH101811_RBGEUFRF26/dpll_52084/txpa_53286.png","plot")</f>
        <v>plot</v>
      </c>
    </row>
    <row r="2476" spans="1:29" hidden="1" x14ac:dyDescent="0.35">
      <c r="A2476" t="s">
        <v>48</v>
      </c>
      <c r="B2476">
        <v>52084</v>
      </c>
      <c r="C2476" t="s">
        <v>52</v>
      </c>
      <c r="D2476">
        <v>53287</v>
      </c>
      <c r="E2476" t="s">
        <v>162</v>
      </c>
      <c r="F2476">
        <v>12041</v>
      </c>
      <c r="G2476">
        <v>0.87576453082011285</v>
      </c>
      <c r="H2476">
        <v>0</v>
      </c>
      <c r="I2476">
        <v>0</v>
      </c>
      <c r="J2476">
        <v>0.73690288985631924</v>
      </c>
      <c r="K2476">
        <v>0</v>
      </c>
      <c r="L2476">
        <v>0</v>
      </c>
      <c r="M2476">
        <v>0.5502177179354808</v>
      </c>
      <c r="N2476">
        <v>0</v>
      </c>
      <c r="O2476">
        <v>0</v>
      </c>
      <c r="P2476">
        <v>0.76696351344257241</v>
      </c>
      <c r="Q2476">
        <v>3.2584694507662411</v>
      </c>
      <c r="R2476">
        <v>-2.28047358505445</v>
      </c>
      <c r="S2476">
        <v>0.34071692693513378</v>
      </c>
      <c r="T2476">
        <v>0.27199347622597092</v>
      </c>
      <c r="U2476">
        <v>4.3350263010547296</v>
      </c>
      <c r="V2476">
        <v>0.1897026864008432</v>
      </c>
      <c r="W2476">
        <v>11.845077185200561</v>
      </c>
      <c r="X2476">
        <v>0.70582946284268455</v>
      </c>
      <c r="Z2476" t="s">
        <v>392</v>
      </c>
      <c r="AA2476">
        <v>9400</v>
      </c>
      <c r="AB2476" t="s">
        <v>2867</v>
      </c>
      <c r="AC2476" t="str">
        <f>HYPERLINK("plots/3FT6Y578R01_012_S11P_20251111092011_M5358ACSH101811_RBGEUFRF26/dpll_52084/txpa_53287.png","plot")</f>
        <v>plot</v>
      </c>
    </row>
    <row r="2477" spans="1:29" hidden="1" x14ac:dyDescent="0.35">
      <c r="A2477" t="s">
        <v>48</v>
      </c>
      <c r="B2477">
        <v>52084</v>
      </c>
      <c r="C2477" t="s">
        <v>52</v>
      </c>
      <c r="D2477">
        <v>53288</v>
      </c>
      <c r="E2477" t="s">
        <v>163</v>
      </c>
      <c r="F2477">
        <v>12045</v>
      </c>
      <c r="G2477">
        <v>0.87651317121812056</v>
      </c>
      <c r="H2477">
        <v>0</v>
      </c>
      <c r="I2477">
        <v>0</v>
      </c>
      <c r="J2477">
        <v>0.74011988116311633</v>
      </c>
      <c r="K2477">
        <v>0</v>
      </c>
      <c r="L2477">
        <v>0</v>
      </c>
      <c r="M2477">
        <v>0.55376095634711897</v>
      </c>
      <c r="N2477">
        <v>0</v>
      </c>
      <c r="O2477">
        <v>0</v>
      </c>
      <c r="P2477">
        <v>0.76827533931884628</v>
      </c>
      <c r="Q2477">
        <v>3.2682105039290699</v>
      </c>
      <c r="R2477">
        <v>-2.323984614942757</v>
      </c>
      <c r="S2477">
        <v>0.3405373382917099</v>
      </c>
      <c r="T2477">
        <v>0.27151224750879599</v>
      </c>
      <c r="U2477">
        <v>4.3349333427978411</v>
      </c>
      <c r="V2477">
        <v>0.18973395670004781</v>
      </c>
      <c r="W2477">
        <v>11.843490069821501</v>
      </c>
      <c r="X2477">
        <v>0.70745144579785146</v>
      </c>
      <c r="Z2477" t="s">
        <v>392</v>
      </c>
      <c r="AA2477">
        <v>9400</v>
      </c>
      <c r="AB2477" t="s">
        <v>2868</v>
      </c>
      <c r="AC2477" t="str">
        <f>HYPERLINK("plots/3FT6Y578R01_012_S11P_20251111092011_M5358ACSH101811_RBGEUFRF26/dpll_52084/txpa_53288.png","plot")</f>
        <v>plot</v>
      </c>
    </row>
    <row r="2478" spans="1:29" hidden="1" x14ac:dyDescent="0.35">
      <c r="A2478" t="s">
        <v>48</v>
      </c>
      <c r="B2478">
        <v>52084</v>
      </c>
      <c r="C2478" t="s">
        <v>52</v>
      </c>
      <c r="D2478">
        <v>53289</v>
      </c>
      <c r="E2478" t="s">
        <v>164</v>
      </c>
      <c r="F2478">
        <v>12032</v>
      </c>
      <c r="G2478">
        <v>0.87601441335830965</v>
      </c>
      <c r="H2478">
        <v>0</v>
      </c>
      <c r="I2478">
        <v>0</v>
      </c>
      <c r="J2478">
        <v>0.73773484490893315</v>
      </c>
      <c r="K2478">
        <v>0</v>
      </c>
      <c r="L2478">
        <v>0</v>
      </c>
      <c r="M2478">
        <v>0.55240095142229884</v>
      </c>
      <c r="N2478">
        <v>0</v>
      </c>
      <c r="O2478">
        <v>0</v>
      </c>
      <c r="P2478">
        <v>0.76740125241150337</v>
      </c>
      <c r="Q2478">
        <v>3.2559618790416032</v>
      </c>
      <c r="R2478">
        <v>-2.2593497965755809</v>
      </c>
      <c r="S2478">
        <v>0.33949809566669559</v>
      </c>
      <c r="T2478">
        <v>0.27066849384468888</v>
      </c>
      <c r="U2478">
        <v>4.3354077329621008</v>
      </c>
      <c r="V2478">
        <v>0.18940160072079981</v>
      </c>
      <c r="W2478">
        <v>11.8565725120512</v>
      </c>
      <c r="X2478">
        <v>0.70396603340377317</v>
      </c>
      <c r="Z2478" t="s">
        <v>392</v>
      </c>
      <c r="AA2478">
        <v>9400</v>
      </c>
      <c r="AB2478" t="s">
        <v>2869</v>
      </c>
      <c r="AC2478" t="str">
        <f>HYPERLINK("plots/3FT6Y578R01_012_S11P_20251111092011_M5358ACSH101811_RBGEUFRF26/dpll_52084/txpa_53289.png","plot")</f>
        <v>plot</v>
      </c>
    </row>
    <row r="2479" spans="1:29" hidden="1" x14ac:dyDescent="0.35">
      <c r="A2479" t="s">
        <v>48</v>
      </c>
      <c r="B2479">
        <v>52084</v>
      </c>
      <c r="C2479" t="s">
        <v>52</v>
      </c>
      <c r="D2479">
        <v>53290</v>
      </c>
      <c r="E2479" t="s">
        <v>165</v>
      </c>
      <c r="F2479">
        <v>12026</v>
      </c>
      <c r="G2479">
        <v>0.87177411733702004</v>
      </c>
      <c r="H2479">
        <v>0</v>
      </c>
      <c r="I2479">
        <v>0</v>
      </c>
      <c r="J2479">
        <v>0.73133438536083695</v>
      </c>
      <c r="K2479">
        <v>0</v>
      </c>
      <c r="L2479">
        <v>0</v>
      </c>
      <c r="M2479">
        <v>0.54556725267430473</v>
      </c>
      <c r="N2479">
        <v>0</v>
      </c>
      <c r="O2479">
        <v>0</v>
      </c>
      <c r="P2479">
        <v>0.75999011165874042</v>
      </c>
      <c r="Q2479">
        <v>3.2317997837307919</v>
      </c>
      <c r="R2479">
        <v>-2.1828986887645851</v>
      </c>
      <c r="S2479">
        <v>0.34380323754684261</v>
      </c>
      <c r="T2479">
        <v>0.27304980333506479</v>
      </c>
      <c r="U2479">
        <v>4.3355676653916513</v>
      </c>
      <c r="V2479">
        <v>0.189309747017539</v>
      </c>
      <c r="W2479">
        <v>11.82878795459837</v>
      </c>
      <c r="X2479">
        <v>0.70180014214954356</v>
      </c>
      <c r="Z2479" t="s">
        <v>392</v>
      </c>
      <c r="AA2479">
        <v>9400</v>
      </c>
      <c r="AB2479" t="s">
        <v>2870</v>
      </c>
      <c r="AC2479" t="str">
        <f>HYPERLINK("plots/3FT6Y578R01_012_S11P_20251111092011_M5358ACSH101811_RBGEUFRF26/dpll_52084/txpa_53290.png","plot")</f>
        <v>plot</v>
      </c>
    </row>
    <row r="2480" spans="1:29" hidden="1" x14ac:dyDescent="0.35">
      <c r="A2480" t="s">
        <v>48</v>
      </c>
      <c r="B2480">
        <v>52084</v>
      </c>
      <c r="C2480" t="s">
        <v>52</v>
      </c>
      <c r="D2480">
        <v>54146</v>
      </c>
      <c r="E2480" t="s">
        <v>166</v>
      </c>
      <c r="F2480">
        <v>12234</v>
      </c>
      <c r="G2480">
        <v>1.5365132249912079E-3</v>
      </c>
      <c r="H2480">
        <v>0.86506323004461605</v>
      </c>
      <c r="I2480">
        <v>0.86763018324949626</v>
      </c>
      <c r="J2480">
        <v>-6.1313504319234343E-3</v>
      </c>
      <c r="K2480">
        <v>0.49770201863446989</v>
      </c>
      <c r="L2480">
        <v>0.50016833190817889</v>
      </c>
      <c r="M2480">
        <v>-4.0458974002677006E-3</v>
      </c>
      <c r="N2480">
        <v>0.50212424503479758</v>
      </c>
      <c r="O2480">
        <v>0.50411285590622257</v>
      </c>
      <c r="P2480">
        <v>2.3608728905728808E-6</v>
      </c>
      <c r="Q2480">
        <v>4.2223438172423813E-2</v>
      </c>
      <c r="R2480">
        <v>-10.80505644024729</v>
      </c>
      <c r="S2480">
        <v>5.3005632320661471</v>
      </c>
      <c r="T2480">
        <v>3.976264360468909</v>
      </c>
      <c r="U2480">
        <v>4.3297199820990686</v>
      </c>
      <c r="V2480">
        <v>0.19289589744233709</v>
      </c>
      <c r="W2480">
        <v>-10.62224077627922</v>
      </c>
      <c r="X2480">
        <v>5.300786135060652</v>
      </c>
      <c r="Z2480" t="s">
        <v>392</v>
      </c>
      <c r="AA2480">
        <v>9400</v>
      </c>
      <c r="AB2480" t="s">
        <v>2871</v>
      </c>
      <c r="AC2480" t="str">
        <f>HYPERLINK("plots/3FT6Y578R01_012_S11P_20251111092011_M5358ACSH101811_RBGEUFRF26/dpll_52084/txpa_54146.png","plot")</f>
        <v>plot</v>
      </c>
    </row>
    <row r="2481" spans="1:29" hidden="1" x14ac:dyDescent="0.35">
      <c r="A2481" t="s">
        <v>48</v>
      </c>
      <c r="B2481">
        <v>52084</v>
      </c>
      <c r="C2481" t="s">
        <v>52</v>
      </c>
      <c r="D2481">
        <v>54147</v>
      </c>
      <c r="E2481" t="s">
        <v>167</v>
      </c>
      <c r="F2481">
        <v>12243</v>
      </c>
      <c r="G2481">
        <v>0.25224862195429959</v>
      </c>
      <c r="H2481">
        <v>5.0331351730698481E-177</v>
      </c>
      <c r="I2481">
        <v>5.1971477245344459E-177</v>
      </c>
      <c r="J2481">
        <v>0.22509667048372031</v>
      </c>
      <c r="K2481">
        <v>1.955085648662962E-140</v>
      </c>
      <c r="L2481">
        <v>2.020853055804529E-140</v>
      </c>
      <c r="M2481">
        <v>0.156711037473624</v>
      </c>
      <c r="N2481">
        <v>1.424297767546455E-139</v>
      </c>
      <c r="O2481">
        <v>1.473712179889903E-139</v>
      </c>
      <c r="P2481">
        <v>6.3629367277843157E-2</v>
      </c>
      <c r="Q2481">
        <v>1.721509783644835</v>
      </c>
      <c r="R2481">
        <v>-32.217709292876222</v>
      </c>
      <c r="S2481">
        <v>1.273657470852813</v>
      </c>
      <c r="T2481">
        <v>1.0734127651196459</v>
      </c>
      <c r="U2481">
        <v>4.3297121556807969</v>
      </c>
      <c r="V2481">
        <v>0.19287049691405411</v>
      </c>
      <c r="W2481">
        <v>-24.76406745650576</v>
      </c>
      <c r="X2481">
        <v>1.316274574035688</v>
      </c>
      <c r="Z2481" t="s">
        <v>392</v>
      </c>
      <c r="AA2481">
        <v>9400</v>
      </c>
      <c r="AB2481" t="s">
        <v>2872</v>
      </c>
      <c r="AC2481" t="str">
        <f>HYPERLINK("plots/3FT6Y578R01_012_S11P_20251111092011_M5358ACSH101811_RBGEUFRF26/dpll_52084/txpa_54147.png","plot")</f>
        <v>plot</v>
      </c>
    </row>
    <row r="2482" spans="1:29" hidden="1" x14ac:dyDescent="0.35">
      <c r="A2482" t="s">
        <v>48</v>
      </c>
      <c r="B2482">
        <v>52084</v>
      </c>
      <c r="C2482" t="s">
        <v>52</v>
      </c>
      <c r="D2482">
        <v>54148</v>
      </c>
      <c r="E2482" t="s">
        <v>168</v>
      </c>
      <c r="F2482">
        <v>12243</v>
      </c>
      <c r="G2482">
        <v>0.25539169303086251</v>
      </c>
      <c r="H2482">
        <v>1.4564086457007761E-181</v>
      </c>
      <c r="I2482">
        <v>1.5177783830838499E-181</v>
      </c>
      <c r="J2482">
        <v>0.23235744307016759</v>
      </c>
      <c r="K2482">
        <v>9.1431892910988083E-150</v>
      </c>
      <c r="L2482">
        <v>9.5579318981177239E-150</v>
      </c>
      <c r="M2482">
        <v>0.16045233509134341</v>
      </c>
      <c r="N2482">
        <v>4.0211552391489797E-148</v>
      </c>
      <c r="O2482">
        <v>4.2035581572134702E-148</v>
      </c>
      <c r="P2482">
        <v>6.5224916869170313E-2</v>
      </c>
      <c r="Q2482">
        <v>1.7649757200447671</v>
      </c>
      <c r="R2482">
        <v>-32.288634920713427</v>
      </c>
      <c r="S2482">
        <v>1.2886458938811329</v>
      </c>
      <c r="T2482">
        <v>1.086545010083102</v>
      </c>
      <c r="U2482">
        <v>4.3297121556807969</v>
      </c>
      <c r="V2482">
        <v>0.19287049691405411</v>
      </c>
      <c r="W2482">
        <v>-24.646798091154128</v>
      </c>
      <c r="X2482">
        <v>1.332900612883827</v>
      </c>
      <c r="Z2482" t="s">
        <v>392</v>
      </c>
      <c r="AA2482">
        <v>9400</v>
      </c>
      <c r="AB2482" t="s">
        <v>2873</v>
      </c>
      <c r="AC2482" t="str">
        <f>HYPERLINK("plots/3FT6Y578R01_012_S11P_20251111092011_M5358ACSH101811_RBGEUFRF26/dpll_52084/txpa_54148.png","plot")</f>
        <v>plot</v>
      </c>
    </row>
    <row r="2483" spans="1:29" hidden="1" x14ac:dyDescent="0.35">
      <c r="A2483" t="s">
        <v>48</v>
      </c>
      <c r="B2483">
        <v>52084</v>
      </c>
      <c r="C2483" t="s">
        <v>52</v>
      </c>
      <c r="D2483">
        <v>54149</v>
      </c>
      <c r="E2483" t="s">
        <v>169</v>
      </c>
      <c r="F2483">
        <v>12243</v>
      </c>
      <c r="G2483">
        <v>0.25565983684886773</v>
      </c>
      <c r="H2483">
        <v>5.9310343473341172E-182</v>
      </c>
      <c r="I2483">
        <v>6.1936857138998908E-182</v>
      </c>
      <c r="J2483">
        <v>0.22512821892966381</v>
      </c>
      <c r="K2483">
        <v>1.7837514690936499E-140</v>
      </c>
      <c r="L2483">
        <v>1.845636724143838E-140</v>
      </c>
      <c r="M2483">
        <v>0.15554781144041499</v>
      </c>
      <c r="N2483">
        <v>6.1207423513147729E-139</v>
      </c>
      <c r="O2483">
        <v>6.3266388830103772E-139</v>
      </c>
      <c r="P2483">
        <v>6.5361952177589666E-2</v>
      </c>
      <c r="Q2483">
        <v>1.748401794051444</v>
      </c>
      <c r="R2483">
        <v>-32.260955898742012</v>
      </c>
      <c r="S2483">
        <v>1.2751125685926541</v>
      </c>
      <c r="T2483">
        <v>1.0801973752738421</v>
      </c>
      <c r="U2483">
        <v>4.3297121556807969</v>
      </c>
      <c r="V2483">
        <v>0.19287049691405411</v>
      </c>
      <c r="W2483">
        <v>-24.690879398023359</v>
      </c>
      <c r="X2483">
        <v>1.3189992099676919</v>
      </c>
      <c r="Z2483" t="s">
        <v>392</v>
      </c>
      <c r="AA2483">
        <v>9400</v>
      </c>
      <c r="AB2483" t="s">
        <v>2874</v>
      </c>
      <c r="AC2483" t="str">
        <f>HYPERLINK("plots/3FT6Y578R01_012_S11P_20251111092011_M5358ACSH101811_RBGEUFRF26/dpll_52084/txpa_54149.png","plot")</f>
        <v>plot</v>
      </c>
    </row>
    <row r="2484" spans="1:29" hidden="1" x14ac:dyDescent="0.35">
      <c r="A2484" t="s">
        <v>48</v>
      </c>
      <c r="B2484">
        <v>52084</v>
      </c>
      <c r="C2484" t="s">
        <v>52</v>
      </c>
      <c r="D2484">
        <v>54150</v>
      </c>
      <c r="E2484" t="s">
        <v>170</v>
      </c>
      <c r="F2484">
        <v>12243</v>
      </c>
      <c r="G2484">
        <v>0.26640697801060081</v>
      </c>
      <c r="H2484">
        <v>5.6281492013850166E-198</v>
      </c>
      <c r="I2484">
        <v>5.938546607913015E-198</v>
      </c>
      <c r="J2484">
        <v>0.23860528488165239</v>
      </c>
      <c r="K2484">
        <v>4.6653408929273206E-158</v>
      </c>
      <c r="L2484">
        <v>4.9226385696444384E-158</v>
      </c>
      <c r="M2484">
        <v>0.16409535580169149</v>
      </c>
      <c r="N2484">
        <v>1.803523333065083E-155</v>
      </c>
      <c r="O2484">
        <v>1.902989240091566E-155</v>
      </c>
      <c r="P2484">
        <v>7.0972677932740744E-2</v>
      </c>
      <c r="Q2484">
        <v>1.849034813081732</v>
      </c>
      <c r="R2484">
        <v>-32.596027799133978</v>
      </c>
      <c r="S2484">
        <v>1.290214140432089</v>
      </c>
      <c r="T2484">
        <v>1.090652827851065</v>
      </c>
      <c r="U2484">
        <v>4.3297121556807969</v>
      </c>
      <c r="V2484">
        <v>0.19287049691405411</v>
      </c>
      <c r="W2484">
        <v>-24.590239292657031</v>
      </c>
      <c r="X2484">
        <v>1.3386446026059731</v>
      </c>
      <c r="Z2484" t="s">
        <v>392</v>
      </c>
      <c r="AA2484">
        <v>9400</v>
      </c>
      <c r="AB2484" t="s">
        <v>2875</v>
      </c>
      <c r="AC2484" t="str">
        <f>HYPERLINK("plots/3FT6Y578R01_012_S11P_20251111092011_M5358ACSH101811_RBGEUFRF26/dpll_52084/txpa_54150.png","plot")</f>
        <v>plot</v>
      </c>
    </row>
    <row r="2485" spans="1:29" hidden="1" x14ac:dyDescent="0.35">
      <c r="A2485" t="s">
        <v>48</v>
      </c>
      <c r="B2485">
        <v>52084</v>
      </c>
      <c r="C2485" t="s">
        <v>52</v>
      </c>
      <c r="D2485">
        <v>54151</v>
      </c>
      <c r="E2485" t="s">
        <v>171</v>
      </c>
      <c r="F2485">
        <v>12242</v>
      </c>
      <c r="G2485">
        <v>0.25735702522284692</v>
      </c>
      <c r="H2485">
        <v>2.0313605398798511E-184</v>
      </c>
      <c r="I2485">
        <v>2.134507344495512E-184</v>
      </c>
      <c r="J2485">
        <v>0.2343308854111236</v>
      </c>
      <c r="K2485">
        <v>2.4025890648497219E-152</v>
      </c>
      <c r="L2485">
        <v>2.5219723724198948E-152</v>
      </c>
      <c r="M2485">
        <v>0.16145596816763669</v>
      </c>
      <c r="N2485">
        <v>3.4511857510481721E-150</v>
      </c>
      <c r="O2485">
        <v>3.6226732417834851E-150</v>
      </c>
      <c r="P2485">
        <v>6.6232638431553068E-2</v>
      </c>
      <c r="Q2485">
        <v>1.780902042782923</v>
      </c>
      <c r="R2485">
        <v>-32.345522122716368</v>
      </c>
      <c r="S2485">
        <v>1.289659165027311</v>
      </c>
      <c r="T2485">
        <v>1.0912462124730791</v>
      </c>
      <c r="U2485">
        <v>4.3297262510210759</v>
      </c>
      <c r="V2485">
        <v>0.19287206860220879</v>
      </c>
      <c r="W2485">
        <v>-24.634703797582091</v>
      </c>
      <c r="X2485">
        <v>1.334668290760725</v>
      </c>
      <c r="Z2485" t="s">
        <v>392</v>
      </c>
      <c r="AA2485">
        <v>9400</v>
      </c>
      <c r="AB2485" t="s">
        <v>2876</v>
      </c>
      <c r="AC2485" t="str">
        <f>HYPERLINK("plots/3FT6Y578R01_012_S11P_20251111092011_M5358ACSH101811_RBGEUFRF26/dpll_52084/txpa_54151.png","plot")</f>
        <v>plot</v>
      </c>
    </row>
    <row r="2486" spans="1:29" hidden="1" x14ac:dyDescent="0.35">
      <c r="A2486" t="s">
        <v>48</v>
      </c>
      <c r="B2486">
        <v>52084</v>
      </c>
      <c r="C2486" t="s">
        <v>52</v>
      </c>
      <c r="D2486">
        <v>54152</v>
      </c>
      <c r="E2486" t="s">
        <v>172</v>
      </c>
      <c r="F2486">
        <v>12243</v>
      </c>
      <c r="G2486">
        <v>0.25752811692639571</v>
      </c>
      <c r="H2486">
        <v>1.10108557807743E-184</v>
      </c>
      <c r="I2486">
        <v>1.158195825903023E-184</v>
      </c>
      <c r="J2486">
        <v>0.23057451856562289</v>
      </c>
      <c r="K2486">
        <v>1.916701337535919E-147</v>
      </c>
      <c r="L2486">
        <v>1.9933693910373561E-147</v>
      </c>
      <c r="M2486">
        <v>0.159504028054159</v>
      </c>
      <c r="N2486">
        <v>9.8197121996426909E-146</v>
      </c>
      <c r="O2486">
        <v>1.022298580127073E-145</v>
      </c>
      <c r="P2486">
        <v>6.6320731007655315E-2</v>
      </c>
      <c r="Q2486">
        <v>1.776233031401403</v>
      </c>
      <c r="R2486">
        <v>-32.377162345926507</v>
      </c>
      <c r="S2486">
        <v>1.2853523919713279</v>
      </c>
      <c r="T2486">
        <v>1.0839780489703661</v>
      </c>
      <c r="U2486">
        <v>4.3297121556807969</v>
      </c>
      <c r="V2486">
        <v>0.19287049691405411</v>
      </c>
      <c r="W2486">
        <v>-24.686584598546101</v>
      </c>
      <c r="X2486">
        <v>1.3302739580061429</v>
      </c>
      <c r="Z2486" t="s">
        <v>392</v>
      </c>
      <c r="AA2486">
        <v>9400</v>
      </c>
      <c r="AB2486" t="s">
        <v>2877</v>
      </c>
      <c r="AC2486" t="str">
        <f>HYPERLINK("plots/3FT6Y578R01_012_S11P_20251111092011_M5358ACSH101811_RBGEUFRF26/dpll_52084/txpa_54152.png","plot")</f>
        <v>plot</v>
      </c>
    </row>
    <row r="2487" spans="1:29" hidden="1" x14ac:dyDescent="0.35">
      <c r="A2487" t="s">
        <v>48</v>
      </c>
      <c r="B2487">
        <v>52084</v>
      </c>
      <c r="C2487" t="s">
        <v>52</v>
      </c>
      <c r="D2487">
        <v>54153</v>
      </c>
      <c r="E2487" t="s">
        <v>173</v>
      </c>
      <c r="F2487">
        <v>12243</v>
      </c>
      <c r="G2487">
        <v>0.25532399458250482</v>
      </c>
      <c r="H2487">
        <v>1.8268874051638291E-181</v>
      </c>
      <c r="I2487">
        <v>1.901913581967272E-181</v>
      </c>
      <c r="J2487">
        <v>0.23221495301877401</v>
      </c>
      <c r="K2487">
        <v>1.4039673703355451E-149</v>
      </c>
      <c r="L2487">
        <v>1.4661410025955119E-149</v>
      </c>
      <c r="M2487">
        <v>0.16107244026638681</v>
      </c>
      <c r="N2487">
        <v>1.0616707228391601E-147</v>
      </c>
      <c r="O2487">
        <v>1.1086860071667429E-147</v>
      </c>
      <c r="P2487">
        <v>6.5190342209566918E-2</v>
      </c>
      <c r="Q2487">
        <v>1.7523430868194629</v>
      </c>
      <c r="R2487">
        <v>-32.313759597315951</v>
      </c>
      <c r="S2487">
        <v>1.2797854451583279</v>
      </c>
      <c r="T2487">
        <v>1.081043694133095</v>
      </c>
      <c r="U2487">
        <v>4.3297121556807969</v>
      </c>
      <c r="V2487">
        <v>0.19287049691405411</v>
      </c>
      <c r="W2487">
        <v>-24.726618433390509</v>
      </c>
      <c r="X2487">
        <v>1.3237113984191751</v>
      </c>
      <c r="Z2487" t="s">
        <v>392</v>
      </c>
      <c r="AA2487">
        <v>9400</v>
      </c>
      <c r="AB2487" t="s">
        <v>2878</v>
      </c>
      <c r="AC2487" t="str">
        <f>HYPERLINK("plots/3FT6Y578R01_012_S11P_20251111092011_M5358ACSH101811_RBGEUFRF26/dpll_52084/txpa_54153.png","plot")</f>
        <v>plot</v>
      </c>
    </row>
    <row r="2488" spans="1:29" hidden="1" x14ac:dyDescent="0.35">
      <c r="A2488" t="s">
        <v>48</v>
      </c>
      <c r="B2488">
        <v>52084</v>
      </c>
      <c r="C2488" t="s">
        <v>52</v>
      </c>
      <c r="D2488">
        <v>54154</v>
      </c>
      <c r="E2488" t="s">
        <v>174</v>
      </c>
      <c r="F2488">
        <v>12243</v>
      </c>
      <c r="G2488">
        <v>0.24601146346957381</v>
      </c>
      <c r="H2488">
        <v>3.3117768750287691E-168</v>
      </c>
      <c r="I2488">
        <v>3.4058232771594032E-168</v>
      </c>
      <c r="J2488">
        <v>0.2179698881054829</v>
      </c>
      <c r="K2488">
        <v>1.3542977545513721E-131</v>
      </c>
      <c r="L2488">
        <v>1.388531772613844E-131</v>
      </c>
      <c r="M2488">
        <v>0.15266373891247181</v>
      </c>
      <c r="N2488">
        <v>3.0681083633074899E-131</v>
      </c>
      <c r="O2488">
        <v>3.1456641864446862E-131</v>
      </c>
      <c r="P2488">
        <v>6.0521640158441449E-2</v>
      </c>
      <c r="Q2488">
        <v>1.629782661320496</v>
      </c>
      <c r="R2488">
        <v>-31.916614404100809</v>
      </c>
      <c r="S2488">
        <v>1.238413852828105</v>
      </c>
      <c r="T2488">
        <v>1.0406844965462549</v>
      </c>
      <c r="U2488">
        <v>4.3297121556807969</v>
      </c>
      <c r="V2488">
        <v>0.19287049691405411</v>
      </c>
      <c r="W2488">
        <v>-24.86012460426366</v>
      </c>
      <c r="X2488">
        <v>1.27773310770809</v>
      </c>
      <c r="Z2488" t="s">
        <v>392</v>
      </c>
      <c r="AA2488">
        <v>9400</v>
      </c>
      <c r="AB2488" t="s">
        <v>2879</v>
      </c>
      <c r="AC2488" t="str">
        <f>HYPERLINK("plots/3FT6Y578R01_012_S11P_20251111092011_M5358ACSH101811_RBGEUFRF26/dpll_52084/txpa_54154.png","plot")</f>
        <v>plot</v>
      </c>
    </row>
    <row r="2489" spans="1:29" hidden="1" x14ac:dyDescent="0.35">
      <c r="A2489" t="s">
        <v>48</v>
      </c>
      <c r="B2489">
        <v>52084</v>
      </c>
      <c r="C2489" t="s">
        <v>52</v>
      </c>
      <c r="D2489">
        <v>54155</v>
      </c>
      <c r="E2489" t="s">
        <v>175</v>
      </c>
      <c r="F2489">
        <v>12243</v>
      </c>
      <c r="G2489">
        <v>0.73036769975036098</v>
      </c>
      <c r="H2489">
        <v>0</v>
      </c>
      <c r="I2489">
        <v>0</v>
      </c>
      <c r="J2489">
        <v>0.62788858302733397</v>
      </c>
      <c r="K2489">
        <v>0</v>
      </c>
      <c r="L2489">
        <v>0</v>
      </c>
      <c r="M2489">
        <v>0.44953310981030792</v>
      </c>
      <c r="N2489">
        <v>0</v>
      </c>
      <c r="O2489">
        <v>0</v>
      </c>
      <c r="P2489">
        <v>0.53343697683863345</v>
      </c>
      <c r="Q2489">
        <v>1.454294834427992</v>
      </c>
      <c r="R2489">
        <v>-17.361055918507208</v>
      </c>
      <c r="S2489">
        <v>0.2623095627652281</v>
      </c>
      <c r="T2489">
        <v>0.20153634755719241</v>
      </c>
      <c r="U2489">
        <v>4.3297121556807969</v>
      </c>
      <c r="V2489">
        <v>0.19287049691405411</v>
      </c>
      <c r="W2489">
        <v>-11.06437789594054</v>
      </c>
      <c r="X2489">
        <v>0.384040213541125</v>
      </c>
      <c r="Z2489" t="s">
        <v>392</v>
      </c>
      <c r="AA2489">
        <v>9400</v>
      </c>
      <c r="AB2489" t="s">
        <v>2880</v>
      </c>
      <c r="AC2489" t="str">
        <f>HYPERLINK("plots/3FT6Y578R01_012_S11P_20251111092011_M5358ACSH101811_RBGEUFRF26/dpll_52084/txpa_54155.png","plot")</f>
        <v>plot</v>
      </c>
    </row>
    <row r="2490" spans="1:29" hidden="1" x14ac:dyDescent="0.35">
      <c r="A2490" t="s">
        <v>48</v>
      </c>
      <c r="B2490">
        <v>52084</v>
      </c>
      <c r="C2490" t="s">
        <v>52</v>
      </c>
      <c r="D2490">
        <v>54156</v>
      </c>
      <c r="E2490" t="s">
        <v>176</v>
      </c>
      <c r="F2490">
        <v>12242</v>
      </c>
      <c r="G2490">
        <v>0.74795556919880557</v>
      </c>
      <c r="H2490">
        <v>0</v>
      </c>
      <c r="I2490">
        <v>0</v>
      </c>
      <c r="J2490">
        <v>0.64297898708035628</v>
      </c>
      <c r="K2490">
        <v>0</v>
      </c>
      <c r="L2490">
        <v>0</v>
      </c>
      <c r="M2490">
        <v>0.46262634818024262</v>
      </c>
      <c r="N2490">
        <v>0</v>
      </c>
      <c r="O2490">
        <v>0</v>
      </c>
      <c r="P2490">
        <v>0.55943753349550918</v>
      </c>
      <c r="Q2490">
        <v>1.4795597807087491</v>
      </c>
      <c r="R2490">
        <v>-17.40151803539716</v>
      </c>
      <c r="S2490">
        <v>0.25322896209425388</v>
      </c>
      <c r="T2490">
        <v>0.19736405212655761</v>
      </c>
      <c r="U2490">
        <v>4.3296987265969609</v>
      </c>
      <c r="V2490">
        <v>0.1928726506826407</v>
      </c>
      <c r="W2490">
        <v>-10.995469936938409</v>
      </c>
      <c r="X2490">
        <v>0.3815288347333276</v>
      </c>
      <c r="Z2490" t="s">
        <v>392</v>
      </c>
      <c r="AA2490">
        <v>9400</v>
      </c>
      <c r="AB2490" t="s">
        <v>2881</v>
      </c>
      <c r="AC2490" t="str">
        <f>HYPERLINK("plots/3FT6Y578R01_012_S11P_20251111092011_M5358ACSH101811_RBGEUFRF26/dpll_52084/txpa_54156.png","plot")</f>
        <v>plot</v>
      </c>
    </row>
    <row r="2491" spans="1:29" hidden="1" x14ac:dyDescent="0.35">
      <c r="A2491" t="s">
        <v>48</v>
      </c>
      <c r="B2491">
        <v>52084</v>
      </c>
      <c r="C2491" t="s">
        <v>52</v>
      </c>
      <c r="D2491">
        <v>54157</v>
      </c>
      <c r="E2491" t="s">
        <v>177</v>
      </c>
      <c r="F2491">
        <v>12243</v>
      </c>
      <c r="G2491">
        <v>0.74950417290675575</v>
      </c>
      <c r="H2491">
        <v>0</v>
      </c>
      <c r="I2491">
        <v>0</v>
      </c>
      <c r="J2491">
        <v>0.6373445729643934</v>
      </c>
      <c r="K2491">
        <v>0</v>
      </c>
      <c r="L2491">
        <v>0</v>
      </c>
      <c r="M2491">
        <v>0.45734421974861028</v>
      </c>
      <c r="N2491">
        <v>0</v>
      </c>
      <c r="O2491">
        <v>0</v>
      </c>
      <c r="P2491">
        <v>0.56175650520464004</v>
      </c>
      <c r="Q2491">
        <v>1.4568097678884679</v>
      </c>
      <c r="R2491">
        <v>-17.309244860402369</v>
      </c>
      <c r="S2491">
        <v>0.24816160593373471</v>
      </c>
      <c r="T2491">
        <v>0.1938218587527743</v>
      </c>
      <c r="U2491">
        <v>4.3297121556807969</v>
      </c>
      <c r="V2491">
        <v>0.19287049691405411</v>
      </c>
      <c r="W2491">
        <v>-11.001677899861139</v>
      </c>
      <c r="X2491">
        <v>0.37488200065945759</v>
      </c>
      <c r="Z2491" t="s">
        <v>392</v>
      </c>
      <c r="AA2491">
        <v>9400</v>
      </c>
      <c r="AB2491" t="s">
        <v>2882</v>
      </c>
      <c r="AC2491" t="str">
        <f>HYPERLINK("plots/3FT6Y578R01_012_S11P_20251111092011_M5358ACSH101811_RBGEUFRF26/dpll_52084/txpa_54157.png","plot")</f>
        <v>plot</v>
      </c>
    </row>
    <row r="2492" spans="1:29" hidden="1" x14ac:dyDescent="0.35">
      <c r="A2492" t="s">
        <v>48</v>
      </c>
      <c r="B2492">
        <v>52084</v>
      </c>
      <c r="C2492" t="s">
        <v>52</v>
      </c>
      <c r="D2492">
        <v>54158</v>
      </c>
      <c r="E2492" t="s">
        <v>178</v>
      </c>
      <c r="F2492">
        <v>12242</v>
      </c>
      <c r="G2492">
        <v>0.76178502794070602</v>
      </c>
      <c r="H2492">
        <v>0</v>
      </c>
      <c r="I2492">
        <v>0</v>
      </c>
      <c r="J2492">
        <v>0.64642432494021429</v>
      </c>
      <c r="K2492">
        <v>0</v>
      </c>
      <c r="L2492">
        <v>0</v>
      </c>
      <c r="M2492">
        <v>0.46471293411443609</v>
      </c>
      <c r="N2492">
        <v>0</v>
      </c>
      <c r="O2492">
        <v>0</v>
      </c>
      <c r="P2492">
        <v>0.5803164287946222</v>
      </c>
      <c r="Q2492">
        <v>1.5033938704745999</v>
      </c>
      <c r="R2492">
        <v>-17.44775974889345</v>
      </c>
      <c r="S2492">
        <v>0.24658341477897569</v>
      </c>
      <c r="T2492">
        <v>0.19357382777918331</v>
      </c>
      <c r="U2492">
        <v>4.3297189133311553</v>
      </c>
      <c r="V2492">
        <v>0.19287692535756709</v>
      </c>
      <c r="W2492">
        <v>-10.938486873713449</v>
      </c>
      <c r="X2492">
        <v>0.38064542712583121</v>
      </c>
      <c r="Z2492" t="s">
        <v>392</v>
      </c>
      <c r="AA2492">
        <v>9400</v>
      </c>
      <c r="AB2492" t="s">
        <v>2883</v>
      </c>
      <c r="AC2492" t="str">
        <f>HYPERLINK("plots/3FT6Y578R01_012_S11P_20251111092011_M5358ACSH101811_RBGEUFRF26/dpll_52084/txpa_54158.png","plot")</f>
        <v>plot</v>
      </c>
    </row>
    <row r="2493" spans="1:29" hidden="1" x14ac:dyDescent="0.35">
      <c r="A2493" t="s">
        <v>48</v>
      </c>
      <c r="B2493">
        <v>52084</v>
      </c>
      <c r="C2493" t="s">
        <v>52</v>
      </c>
      <c r="D2493">
        <v>54159</v>
      </c>
      <c r="E2493" t="s">
        <v>179</v>
      </c>
      <c r="F2493">
        <v>12240</v>
      </c>
      <c r="G2493">
        <v>0.7584046481096145</v>
      </c>
      <c r="H2493">
        <v>0</v>
      </c>
      <c r="I2493">
        <v>0</v>
      </c>
      <c r="J2493">
        <v>0.64157112037194619</v>
      </c>
      <c r="K2493">
        <v>0</v>
      </c>
      <c r="L2493">
        <v>0</v>
      </c>
      <c r="M2493">
        <v>0.45932501962370681</v>
      </c>
      <c r="N2493">
        <v>0</v>
      </c>
      <c r="O2493">
        <v>0</v>
      </c>
      <c r="P2493">
        <v>0.57517761027426817</v>
      </c>
      <c r="Q2493">
        <v>1.498496900184882</v>
      </c>
      <c r="R2493">
        <v>-17.450295228273891</v>
      </c>
      <c r="S2493">
        <v>0.2483375842930729</v>
      </c>
      <c r="T2493">
        <v>0.1957851674678586</v>
      </c>
      <c r="U2493">
        <v>4.3297345467320261</v>
      </c>
      <c r="V2493">
        <v>0.1928420022508596</v>
      </c>
      <c r="W2493">
        <v>-10.96220143137255</v>
      </c>
      <c r="X2493">
        <v>0.38102765234713232</v>
      </c>
      <c r="Z2493" t="s">
        <v>392</v>
      </c>
      <c r="AA2493">
        <v>9400</v>
      </c>
      <c r="AB2493" t="s">
        <v>2884</v>
      </c>
      <c r="AC2493" t="str">
        <f>HYPERLINK("plots/3FT6Y578R01_012_S11P_20251111092011_M5358ACSH101811_RBGEUFRF26/dpll_52084/txpa_54159.png","plot")</f>
        <v>plot</v>
      </c>
    </row>
    <row r="2494" spans="1:29" hidden="1" x14ac:dyDescent="0.35">
      <c r="A2494" t="s">
        <v>48</v>
      </c>
      <c r="B2494">
        <v>52084</v>
      </c>
      <c r="C2494" t="s">
        <v>52</v>
      </c>
      <c r="D2494">
        <v>54160</v>
      </c>
      <c r="E2494" t="s">
        <v>180</v>
      </c>
      <c r="F2494">
        <v>12241</v>
      </c>
      <c r="G2494">
        <v>0.76058675764179229</v>
      </c>
      <c r="H2494">
        <v>0</v>
      </c>
      <c r="I2494">
        <v>0</v>
      </c>
      <c r="J2494">
        <v>0.65087106913325965</v>
      </c>
      <c r="K2494">
        <v>0</v>
      </c>
      <c r="L2494">
        <v>0</v>
      </c>
      <c r="M2494">
        <v>0.46976619534619962</v>
      </c>
      <c r="N2494">
        <v>0</v>
      </c>
      <c r="O2494">
        <v>0</v>
      </c>
      <c r="P2494">
        <v>0.57849221590005451</v>
      </c>
      <c r="Q2494">
        <v>1.496748575206744</v>
      </c>
      <c r="R2494">
        <v>-17.467017991067671</v>
      </c>
      <c r="S2494">
        <v>0.24635787156429301</v>
      </c>
      <c r="T2494">
        <v>0.1928469896850275</v>
      </c>
      <c r="U2494">
        <v>4.3297157026386737</v>
      </c>
      <c r="V2494">
        <v>0.19283296991716889</v>
      </c>
      <c r="W2494">
        <v>-10.986522182092971</v>
      </c>
      <c r="X2494">
        <v>0.37947343952093637</v>
      </c>
      <c r="Z2494" t="s">
        <v>392</v>
      </c>
      <c r="AA2494">
        <v>9400</v>
      </c>
      <c r="AB2494" t="s">
        <v>2885</v>
      </c>
      <c r="AC2494" t="str">
        <f>HYPERLINK("plots/3FT6Y578R01_012_S11P_20251111092011_M5358ACSH101811_RBGEUFRF26/dpll_52084/txpa_54160.png","plot")</f>
        <v>plot</v>
      </c>
    </row>
    <row r="2495" spans="1:29" hidden="1" x14ac:dyDescent="0.35">
      <c r="A2495" t="s">
        <v>48</v>
      </c>
      <c r="B2495">
        <v>52084</v>
      </c>
      <c r="C2495" t="s">
        <v>52</v>
      </c>
      <c r="D2495">
        <v>54161</v>
      </c>
      <c r="E2495" t="s">
        <v>181</v>
      </c>
      <c r="F2495">
        <v>12242</v>
      </c>
      <c r="G2495">
        <v>0.75657287214272317</v>
      </c>
      <c r="H2495">
        <v>0</v>
      </c>
      <c r="I2495">
        <v>0</v>
      </c>
      <c r="J2495">
        <v>0.64518195405622458</v>
      </c>
      <c r="K2495">
        <v>0</v>
      </c>
      <c r="L2495">
        <v>0</v>
      </c>
      <c r="M2495">
        <v>0.46409637279111798</v>
      </c>
      <c r="N2495">
        <v>0</v>
      </c>
      <c r="O2495">
        <v>0</v>
      </c>
      <c r="P2495">
        <v>0.57240251086228933</v>
      </c>
      <c r="Q2495">
        <v>1.4855435720985439</v>
      </c>
      <c r="R2495">
        <v>-17.41764813423633</v>
      </c>
      <c r="S2495">
        <v>0.247600022512977</v>
      </c>
      <c r="T2495">
        <v>0.19431153506569929</v>
      </c>
      <c r="U2495">
        <v>4.3297428452050317</v>
      </c>
      <c r="V2495">
        <v>0.19284847807112951</v>
      </c>
      <c r="W2495">
        <v>-10.98562648170234</v>
      </c>
      <c r="X2495">
        <v>0.37866123348592617</v>
      </c>
      <c r="Z2495" t="s">
        <v>392</v>
      </c>
      <c r="AA2495">
        <v>9400</v>
      </c>
      <c r="AB2495" t="s">
        <v>2886</v>
      </c>
      <c r="AC2495" t="str">
        <f>HYPERLINK("plots/3FT6Y578R01_012_S11P_20251111092011_M5358ACSH101811_RBGEUFRF26/dpll_52084/txpa_54161.png","plot")</f>
        <v>plot</v>
      </c>
    </row>
    <row r="2496" spans="1:29" hidden="1" x14ac:dyDescent="0.35">
      <c r="A2496" t="s">
        <v>48</v>
      </c>
      <c r="B2496">
        <v>52084</v>
      </c>
      <c r="C2496" t="s">
        <v>52</v>
      </c>
      <c r="D2496">
        <v>54162</v>
      </c>
      <c r="E2496" t="s">
        <v>182</v>
      </c>
      <c r="F2496">
        <v>12241</v>
      </c>
      <c r="G2496">
        <v>0.75030523539287142</v>
      </c>
      <c r="H2496">
        <v>0</v>
      </c>
      <c r="I2496">
        <v>0</v>
      </c>
      <c r="J2496">
        <v>0.6326306751937002</v>
      </c>
      <c r="K2496">
        <v>0</v>
      </c>
      <c r="L2496">
        <v>0</v>
      </c>
      <c r="M2496">
        <v>0.45457565845609632</v>
      </c>
      <c r="N2496">
        <v>0</v>
      </c>
      <c r="O2496">
        <v>0</v>
      </c>
      <c r="P2496">
        <v>0.56295794625795215</v>
      </c>
      <c r="Q2496">
        <v>1.465896489960226</v>
      </c>
      <c r="R2496">
        <v>-17.394762574802971</v>
      </c>
      <c r="S2496">
        <v>0.2490672681307122</v>
      </c>
      <c r="T2496">
        <v>0.19468215539284731</v>
      </c>
      <c r="U2496">
        <v>4.329762099583367</v>
      </c>
      <c r="V2496">
        <v>0.19284458788376191</v>
      </c>
      <c r="W2496">
        <v>-11.0477795106609</v>
      </c>
      <c r="X2496">
        <v>0.37676693584393278</v>
      </c>
      <c r="Z2496" t="s">
        <v>392</v>
      </c>
      <c r="AA2496">
        <v>9400</v>
      </c>
      <c r="AB2496" t="s">
        <v>2887</v>
      </c>
      <c r="AC2496" t="str">
        <f>HYPERLINK("plots/3FT6Y578R01_012_S11P_20251111092011_M5358ACSH101811_RBGEUFRF26/dpll_52084/txpa_54162.png","plot")</f>
        <v>plot</v>
      </c>
    </row>
    <row r="2497" spans="1:29" hidden="1" x14ac:dyDescent="0.35">
      <c r="A2497" t="s">
        <v>48</v>
      </c>
      <c r="B2497">
        <v>52084</v>
      </c>
      <c r="C2497" t="s">
        <v>52</v>
      </c>
      <c r="D2497">
        <v>54163</v>
      </c>
      <c r="E2497" t="s">
        <v>183</v>
      </c>
      <c r="F2497">
        <v>12243</v>
      </c>
      <c r="G2497">
        <v>0.77691477544216392</v>
      </c>
      <c r="H2497">
        <v>0</v>
      </c>
      <c r="I2497">
        <v>0</v>
      </c>
      <c r="J2497">
        <v>0.67244677724598989</v>
      </c>
      <c r="K2497">
        <v>0</v>
      </c>
      <c r="L2497">
        <v>0</v>
      </c>
      <c r="M2497">
        <v>0.48474618842378131</v>
      </c>
      <c r="N2497">
        <v>0</v>
      </c>
      <c r="O2497">
        <v>0</v>
      </c>
      <c r="P2497">
        <v>0.60359656830034802</v>
      </c>
      <c r="Q2497">
        <v>1.3025265116823941</v>
      </c>
      <c r="R2497">
        <v>-10.39738528361676</v>
      </c>
      <c r="S2497">
        <v>0.20357758389127581</v>
      </c>
      <c r="T2497">
        <v>0.15457205329998761</v>
      </c>
      <c r="U2497">
        <v>4.3297121556807969</v>
      </c>
      <c r="V2497">
        <v>0.19287049691405411</v>
      </c>
      <c r="W2497">
        <v>-4.7578204128889974</v>
      </c>
      <c r="X2497">
        <v>0.32335456023337572</v>
      </c>
      <c r="Z2497" t="s">
        <v>392</v>
      </c>
      <c r="AA2497">
        <v>9400</v>
      </c>
      <c r="AB2497" t="s">
        <v>2888</v>
      </c>
      <c r="AC2497" t="str">
        <f>HYPERLINK("plots/3FT6Y578R01_012_S11P_20251111092011_M5358ACSH101811_RBGEUFRF26/dpll_52084/txpa_54163.png","plot")</f>
        <v>plot</v>
      </c>
    </row>
    <row r="2498" spans="1:29" hidden="1" x14ac:dyDescent="0.35">
      <c r="A2498" t="s">
        <v>48</v>
      </c>
      <c r="B2498">
        <v>52084</v>
      </c>
      <c r="C2498" t="s">
        <v>52</v>
      </c>
      <c r="D2498">
        <v>54164</v>
      </c>
      <c r="E2498" t="s">
        <v>184</v>
      </c>
      <c r="F2498">
        <v>12242</v>
      </c>
      <c r="G2498">
        <v>0.79276462104013912</v>
      </c>
      <c r="H2498">
        <v>0</v>
      </c>
      <c r="I2498">
        <v>0</v>
      </c>
      <c r="J2498">
        <v>0.683199825359602</v>
      </c>
      <c r="K2498">
        <v>0</v>
      </c>
      <c r="L2498">
        <v>0</v>
      </c>
      <c r="M2498">
        <v>0.4960635957614617</v>
      </c>
      <c r="N2498">
        <v>0</v>
      </c>
      <c r="O2498">
        <v>0</v>
      </c>
      <c r="P2498">
        <v>0.62847574437291542</v>
      </c>
      <c r="Q2498">
        <v>1.320536875604976</v>
      </c>
      <c r="R2498">
        <v>-10.432337650574031</v>
      </c>
      <c r="S2498">
        <v>0.19581807170908119</v>
      </c>
      <c r="T2498">
        <v>0.15071102256712529</v>
      </c>
      <c r="U2498">
        <v>4.3296987265969609</v>
      </c>
      <c r="V2498">
        <v>0.1928726506826407</v>
      </c>
      <c r="W2498">
        <v>-4.7148108218428364</v>
      </c>
      <c r="X2498">
        <v>0.32127499230217088</v>
      </c>
      <c r="Z2498" t="s">
        <v>392</v>
      </c>
      <c r="AA2498">
        <v>9400</v>
      </c>
      <c r="AB2498" t="s">
        <v>2889</v>
      </c>
      <c r="AC2498" t="str">
        <f>HYPERLINK("plots/3FT6Y578R01_012_S11P_20251111092011_M5358ACSH101811_RBGEUFRF26/dpll_52084/txpa_54164.png","plot")</f>
        <v>plot</v>
      </c>
    </row>
    <row r="2499" spans="1:29" hidden="1" x14ac:dyDescent="0.35">
      <c r="A2499" t="s">
        <v>48</v>
      </c>
      <c r="B2499">
        <v>52084</v>
      </c>
      <c r="C2499" t="s">
        <v>52</v>
      </c>
      <c r="D2499">
        <v>54165</v>
      </c>
      <c r="E2499" t="s">
        <v>185</v>
      </c>
      <c r="F2499">
        <v>12243</v>
      </c>
      <c r="G2499">
        <v>0.79135708950951111</v>
      </c>
      <c r="H2499">
        <v>0</v>
      </c>
      <c r="I2499">
        <v>0</v>
      </c>
      <c r="J2499">
        <v>0.6805552089518403</v>
      </c>
      <c r="K2499">
        <v>0</v>
      </c>
      <c r="L2499">
        <v>0</v>
      </c>
      <c r="M2499">
        <v>0.49298204490074338</v>
      </c>
      <c r="N2499">
        <v>0</v>
      </c>
      <c r="O2499">
        <v>0</v>
      </c>
      <c r="P2499">
        <v>0.62624604311696441</v>
      </c>
      <c r="Q2499">
        <v>1.304764341685094</v>
      </c>
      <c r="R2499">
        <v>-10.36391449761688</v>
      </c>
      <c r="S2499">
        <v>0.1944019171970032</v>
      </c>
      <c r="T2499">
        <v>0.14931177646996899</v>
      </c>
      <c r="U2499">
        <v>4.3297121556807969</v>
      </c>
      <c r="V2499">
        <v>0.19287049691405411</v>
      </c>
      <c r="W2499">
        <v>-4.7146604671240713</v>
      </c>
      <c r="X2499">
        <v>0.31799872683584302</v>
      </c>
      <c r="Z2499" t="s">
        <v>392</v>
      </c>
      <c r="AA2499">
        <v>9400</v>
      </c>
      <c r="AB2499" t="s">
        <v>2890</v>
      </c>
      <c r="AC2499" t="str">
        <f>HYPERLINK("plots/3FT6Y578R01_012_S11P_20251111092011_M5358ACSH101811_RBGEUFRF26/dpll_52084/txpa_54165.png","plot")</f>
        <v>plot</v>
      </c>
    </row>
    <row r="2500" spans="1:29" hidden="1" x14ac:dyDescent="0.35">
      <c r="A2500" t="s">
        <v>48</v>
      </c>
      <c r="B2500">
        <v>52084</v>
      </c>
      <c r="C2500" t="s">
        <v>52</v>
      </c>
      <c r="D2500">
        <v>54166</v>
      </c>
      <c r="E2500" t="s">
        <v>186</v>
      </c>
      <c r="F2500">
        <v>12242</v>
      </c>
      <c r="G2500">
        <v>0.80388267458893636</v>
      </c>
      <c r="H2500">
        <v>0</v>
      </c>
      <c r="I2500">
        <v>0</v>
      </c>
      <c r="J2500">
        <v>0.68882565108149851</v>
      </c>
      <c r="K2500">
        <v>0</v>
      </c>
      <c r="L2500">
        <v>0</v>
      </c>
      <c r="M2500">
        <v>0.50027435172567813</v>
      </c>
      <c r="N2500">
        <v>0</v>
      </c>
      <c r="O2500">
        <v>0</v>
      </c>
      <c r="P2500">
        <v>0.64622735450426172</v>
      </c>
      <c r="Q2500">
        <v>1.3328515416070521</v>
      </c>
      <c r="R2500">
        <v>-10.445297180131231</v>
      </c>
      <c r="S2500">
        <v>0.19020142668283649</v>
      </c>
      <c r="T2500">
        <v>0.14774449455108629</v>
      </c>
      <c r="U2500">
        <v>4.3297189133311553</v>
      </c>
      <c r="V2500">
        <v>0.19287692535756709</v>
      </c>
      <c r="W2500">
        <v>-4.6744246517725863</v>
      </c>
      <c r="X2500">
        <v>0.3197933173951249</v>
      </c>
      <c r="Z2500" t="s">
        <v>392</v>
      </c>
      <c r="AA2500">
        <v>9400</v>
      </c>
      <c r="AB2500" t="s">
        <v>2891</v>
      </c>
      <c r="AC2500" t="str">
        <f>HYPERLINK("plots/3FT6Y578R01_012_S11P_20251111092011_M5358ACSH101811_RBGEUFRF26/dpll_52084/txpa_54166.png","plot")</f>
        <v>plot</v>
      </c>
    </row>
    <row r="2501" spans="1:29" hidden="1" x14ac:dyDescent="0.35">
      <c r="A2501" t="s">
        <v>48</v>
      </c>
      <c r="B2501">
        <v>52084</v>
      </c>
      <c r="C2501" t="s">
        <v>52</v>
      </c>
      <c r="D2501">
        <v>54167</v>
      </c>
      <c r="E2501" t="s">
        <v>187</v>
      </c>
      <c r="F2501">
        <v>12240</v>
      </c>
      <c r="G2501">
        <v>0.80224435986624609</v>
      </c>
      <c r="H2501">
        <v>0</v>
      </c>
      <c r="I2501">
        <v>0</v>
      </c>
      <c r="J2501">
        <v>0.68323008930694562</v>
      </c>
      <c r="K2501">
        <v>0</v>
      </c>
      <c r="L2501">
        <v>0</v>
      </c>
      <c r="M2501">
        <v>0.49475516365325217</v>
      </c>
      <c r="N2501">
        <v>0</v>
      </c>
      <c r="O2501">
        <v>0</v>
      </c>
      <c r="P2501">
        <v>0.64359601293720292</v>
      </c>
      <c r="Q2501">
        <v>1.339049010182066</v>
      </c>
      <c r="R2501">
        <v>-10.496164113727779</v>
      </c>
      <c r="S2501">
        <v>0.19215202592912589</v>
      </c>
      <c r="T2501">
        <v>0.1497786675263216</v>
      </c>
      <c r="U2501">
        <v>4.3297345467320261</v>
      </c>
      <c r="V2501">
        <v>0.1928420022508596</v>
      </c>
      <c r="W2501">
        <v>-4.6984373545751632</v>
      </c>
      <c r="X2501">
        <v>0.32187810242579201</v>
      </c>
      <c r="Z2501" t="s">
        <v>392</v>
      </c>
      <c r="AA2501">
        <v>9400</v>
      </c>
      <c r="AB2501" t="s">
        <v>2892</v>
      </c>
      <c r="AC2501" t="str">
        <f>HYPERLINK("plots/3FT6Y578R01_012_S11P_20251111092011_M5358ACSH101811_RBGEUFRF26/dpll_52084/txpa_54167.png","plot")</f>
        <v>plot</v>
      </c>
    </row>
    <row r="2502" spans="1:29" hidden="1" x14ac:dyDescent="0.35">
      <c r="A2502" t="s">
        <v>48</v>
      </c>
      <c r="B2502">
        <v>52084</v>
      </c>
      <c r="C2502" t="s">
        <v>52</v>
      </c>
      <c r="D2502">
        <v>54168</v>
      </c>
      <c r="E2502" t="s">
        <v>188</v>
      </c>
      <c r="F2502">
        <v>12240</v>
      </c>
      <c r="G2502">
        <v>0.80652149449806576</v>
      </c>
      <c r="H2502">
        <v>0</v>
      </c>
      <c r="I2502">
        <v>0</v>
      </c>
      <c r="J2502">
        <v>0.69393285739988897</v>
      </c>
      <c r="K2502">
        <v>0</v>
      </c>
      <c r="L2502">
        <v>0</v>
      </c>
      <c r="M2502">
        <v>0.50535149219177722</v>
      </c>
      <c r="N2502">
        <v>0</v>
      </c>
      <c r="O2502">
        <v>0</v>
      </c>
      <c r="P2502">
        <v>0.65047692108739352</v>
      </c>
      <c r="Q2502">
        <v>1.3436919709615029</v>
      </c>
      <c r="R2502">
        <v>-10.52466589405609</v>
      </c>
      <c r="S2502">
        <v>0.18991183166032949</v>
      </c>
      <c r="T2502">
        <v>0.14780771894955361</v>
      </c>
      <c r="U2502">
        <v>4.329689001062091</v>
      </c>
      <c r="V2502">
        <v>0.19281821557856541</v>
      </c>
      <c r="W2502">
        <v>-4.7068975465686274</v>
      </c>
      <c r="X2502">
        <v>0.32124164066983057</v>
      </c>
      <c r="Z2502" t="s">
        <v>392</v>
      </c>
      <c r="AA2502">
        <v>9400</v>
      </c>
      <c r="AB2502" t="s">
        <v>2893</v>
      </c>
      <c r="AC2502" t="str">
        <f>HYPERLINK("plots/3FT6Y578R01_012_S11P_20251111092011_M5358ACSH101811_RBGEUFRF26/dpll_52084/txpa_54168.png","plot")</f>
        <v>plot</v>
      </c>
    </row>
    <row r="2503" spans="1:29" hidden="1" x14ac:dyDescent="0.35">
      <c r="A2503" t="s">
        <v>48</v>
      </c>
      <c r="B2503">
        <v>52084</v>
      </c>
      <c r="C2503" t="s">
        <v>52</v>
      </c>
      <c r="D2503">
        <v>54169</v>
      </c>
      <c r="E2503" t="s">
        <v>189</v>
      </c>
      <c r="F2503">
        <v>12242</v>
      </c>
      <c r="G2503">
        <v>0.80380269786093173</v>
      </c>
      <c r="H2503">
        <v>0</v>
      </c>
      <c r="I2503">
        <v>0</v>
      </c>
      <c r="J2503">
        <v>0.6868152738675859</v>
      </c>
      <c r="K2503">
        <v>0</v>
      </c>
      <c r="L2503">
        <v>0</v>
      </c>
      <c r="M2503">
        <v>0.49912031135043078</v>
      </c>
      <c r="N2503">
        <v>0</v>
      </c>
      <c r="O2503">
        <v>0</v>
      </c>
      <c r="P2503">
        <v>0.64609877708851227</v>
      </c>
      <c r="Q2503">
        <v>1.334975512040238</v>
      </c>
      <c r="R2503">
        <v>-10.483655938648299</v>
      </c>
      <c r="S2503">
        <v>0.19052999178342289</v>
      </c>
      <c r="T2503">
        <v>0.14855424262184541</v>
      </c>
      <c r="U2503">
        <v>4.3297428452050317</v>
      </c>
      <c r="V2503">
        <v>0.19284847807112951</v>
      </c>
      <c r="W2503">
        <v>-4.7035552668681584</v>
      </c>
      <c r="X2503">
        <v>0.32028754872844267</v>
      </c>
      <c r="Z2503" t="s">
        <v>392</v>
      </c>
      <c r="AA2503">
        <v>9400</v>
      </c>
      <c r="AB2503" t="s">
        <v>2894</v>
      </c>
      <c r="AC2503" t="str">
        <f>HYPERLINK("plots/3FT6Y578R01_012_S11P_20251111092011_M5358ACSH101811_RBGEUFRF26/dpll_52084/txpa_54169.png","plot")</f>
        <v>plot</v>
      </c>
    </row>
    <row r="2504" spans="1:29" hidden="1" x14ac:dyDescent="0.35">
      <c r="A2504" t="s">
        <v>48</v>
      </c>
      <c r="B2504">
        <v>52084</v>
      </c>
      <c r="C2504" t="s">
        <v>52</v>
      </c>
      <c r="D2504">
        <v>54170</v>
      </c>
      <c r="E2504" t="s">
        <v>190</v>
      </c>
      <c r="F2504">
        <v>12239</v>
      </c>
      <c r="G2504">
        <v>0.79849216710469018</v>
      </c>
      <c r="H2504">
        <v>0</v>
      </c>
      <c r="I2504">
        <v>0</v>
      </c>
      <c r="J2504">
        <v>0.67754919341087727</v>
      </c>
      <c r="K2504">
        <v>0</v>
      </c>
      <c r="L2504">
        <v>0</v>
      </c>
      <c r="M2504">
        <v>0.49155020136867278</v>
      </c>
      <c r="N2504">
        <v>0</v>
      </c>
      <c r="O2504">
        <v>0</v>
      </c>
      <c r="P2504">
        <v>0.6375897409275445</v>
      </c>
      <c r="Q2504">
        <v>1.32052405066451</v>
      </c>
      <c r="R2504">
        <v>-10.45190770921573</v>
      </c>
      <c r="S2504">
        <v>0.19199137607656369</v>
      </c>
      <c r="T2504">
        <v>0.1490028358041785</v>
      </c>
      <c r="U2504">
        <v>4.3297844997140276</v>
      </c>
      <c r="V2504">
        <v>0.1928517426499661</v>
      </c>
      <c r="W2504">
        <v>-4.7343231431489503</v>
      </c>
      <c r="X2504">
        <v>0.31893282723768263</v>
      </c>
      <c r="Z2504" t="s">
        <v>392</v>
      </c>
      <c r="AA2504">
        <v>9400</v>
      </c>
      <c r="AB2504" t="s">
        <v>2895</v>
      </c>
      <c r="AC2504" t="str">
        <f>HYPERLINK("plots/3FT6Y578R01_012_S11P_20251111092011_M5358ACSH101811_RBGEUFRF26/dpll_52084/txpa_54170.png","plot")</f>
        <v>plot</v>
      </c>
    </row>
    <row r="2505" spans="1:29" hidden="1" x14ac:dyDescent="0.35">
      <c r="A2505" t="s">
        <v>48</v>
      </c>
      <c r="B2505">
        <v>52084</v>
      </c>
      <c r="C2505" t="s">
        <v>52</v>
      </c>
      <c r="D2505">
        <v>54171</v>
      </c>
      <c r="E2505" t="s">
        <v>191</v>
      </c>
      <c r="F2505">
        <v>12243</v>
      </c>
      <c r="G2505">
        <v>0.78924526070836742</v>
      </c>
      <c r="H2505">
        <v>0</v>
      </c>
      <c r="I2505">
        <v>0</v>
      </c>
      <c r="J2505">
        <v>0.68743943432847865</v>
      </c>
      <c r="K2505">
        <v>0</v>
      </c>
      <c r="L2505">
        <v>0</v>
      </c>
      <c r="M2505">
        <v>0.49722259119877132</v>
      </c>
      <c r="N2505">
        <v>0</v>
      </c>
      <c r="O2505">
        <v>0</v>
      </c>
      <c r="P2505">
        <v>0.62290808155061883</v>
      </c>
      <c r="Q2505">
        <v>1.329295940339944</v>
      </c>
      <c r="R2505">
        <v>-7.5410138679695269</v>
      </c>
      <c r="S2505">
        <v>0.19947173743621049</v>
      </c>
      <c r="T2505">
        <v>0.15054091030916869</v>
      </c>
      <c r="U2505">
        <v>4.3297121556807969</v>
      </c>
      <c r="V2505">
        <v>0.19287049691405411</v>
      </c>
      <c r="W2505">
        <v>-1.7855450765825369</v>
      </c>
      <c r="X2505">
        <v>0.32484448285326478</v>
      </c>
      <c r="Z2505" t="s">
        <v>392</v>
      </c>
      <c r="AA2505">
        <v>9400</v>
      </c>
      <c r="AB2505" t="s">
        <v>2896</v>
      </c>
      <c r="AC2505" t="str">
        <f>HYPERLINK("plots/3FT6Y578R01_012_S11P_20251111092011_M5358ACSH101811_RBGEUFRF26/dpll_52084/txpa_54171.png","plot")</f>
        <v>plot</v>
      </c>
    </row>
    <row r="2506" spans="1:29" hidden="1" x14ac:dyDescent="0.35">
      <c r="A2506" t="s">
        <v>48</v>
      </c>
      <c r="B2506">
        <v>52084</v>
      </c>
      <c r="C2506" t="s">
        <v>52</v>
      </c>
      <c r="D2506">
        <v>54172</v>
      </c>
      <c r="E2506" t="s">
        <v>192</v>
      </c>
      <c r="F2506">
        <v>12242</v>
      </c>
      <c r="G2506">
        <v>0.80591812384230843</v>
      </c>
      <c r="H2506">
        <v>0</v>
      </c>
      <c r="I2506">
        <v>0</v>
      </c>
      <c r="J2506">
        <v>0.69938046630244699</v>
      </c>
      <c r="K2506">
        <v>0</v>
      </c>
      <c r="L2506">
        <v>0</v>
      </c>
      <c r="M2506">
        <v>0.50966210873838669</v>
      </c>
      <c r="N2506">
        <v>0</v>
      </c>
      <c r="O2506">
        <v>0</v>
      </c>
      <c r="P2506">
        <v>0.64950402233750637</v>
      </c>
      <c r="Q2506">
        <v>1.3515187729131311</v>
      </c>
      <c r="R2506">
        <v>-7.6000202469677722</v>
      </c>
      <c r="S2506">
        <v>0.1914809571413438</v>
      </c>
      <c r="T2506">
        <v>0.1467636697696868</v>
      </c>
      <c r="U2506">
        <v>4.3296987265969609</v>
      </c>
      <c r="V2506">
        <v>0.1928726506826407</v>
      </c>
      <c r="W2506">
        <v>-1.7483511369139031</v>
      </c>
      <c r="X2506">
        <v>0.32344601823362168</v>
      </c>
      <c r="Z2506" t="s">
        <v>392</v>
      </c>
      <c r="AA2506">
        <v>9400</v>
      </c>
      <c r="AB2506" t="s">
        <v>2897</v>
      </c>
      <c r="AC2506" t="str">
        <f>HYPERLINK("plots/3FT6Y578R01_012_S11P_20251111092011_M5358ACSH101811_RBGEUFRF26/dpll_52084/txpa_54172.png","plot")</f>
        <v>plot</v>
      </c>
    </row>
    <row r="2507" spans="1:29" hidden="1" x14ac:dyDescent="0.35">
      <c r="A2507" t="s">
        <v>48</v>
      </c>
      <c r="B2507">
        <v>52084</v>
      </c>
      <c r="C2507" t="s">
        <v>52</v>
      </c>
      <c r="D2507">
        <v>54173</v>
      </c>
      <c r="E2507" t="s">
        <v>193</v>
      </c>
      <c r="F2507">
        <v>12243</v>
      </c>
      <c r="G2507">
        <v>0.80303382725792638</v>
      </c>
      <c r="H2507">
        <v>0</v>
      </c>
      <c r="I2507">
        <v>0</v>
      </c>
      <c r="J2507">
        <v>0.69492802976249968</v>
      </c>
      <c r="K2507">
        <v>0</v>
      </c>
      <c r="L2507">
        <v>0</v>
      </c>
      <c r="M2507">
        <v>0.50517123604285386</v>
      </c>
      <c r="N2507">
        <v>0</v>
      </c>
      <c r="O2507">
        <v>0</v>
      </c>
      <c r="P2507">
        <v>0.64486332772051314</v>
      </c>
      <c r="Q2507">
        <v>1.332720614217479</v>
      </c>
      <c r="R2507">
        <v>-7.517200073602627</v>
      </c>
      <c r="S2507">
        <v>0.1907440932180601</v>
      </c>
      <c r="T2507">
        <v>0.145721440451127</v>
      </c>
      <c r="U2507">
        <v>4.3297121556807969</v>
      </c>
      <c r="V2507">
        <v>0.19287049691405411</v>
      </c>
      <c r="W2507">
        <v>-1.746903430098832</v>
      </c>
      <c r="X2507">
        <v>0.32008923956471003</v>
      </c>
      <c r="Z2507" t="s">
        <v>392</v>
      </c>
      <c r="AA2507">
        <v>9400</v>
      </c>
      <c r="AB2507" t="s">
        <v>2898</v>
      </c>
      <c r="AC2507" t="str">
        <f>HYPERLINK("plots/3FT6Y578R01_012_S11P_20251111092011_M5358ACSH101811_RBGEUFRF26/dpll_52084/txpa_54173.png","plot")</f>
        <v>plot</v>
      </c>
    </row>
    <row r="2508" spans="1:29" hidden="1" x14ac:dyDescent="0.35">
      <c r="A2508" t="s">
        <v>48</v>
      </c>
      <c r="B2508">
        <v>52084</v>
      </c>
      <c r="C2508" t="s">
        <v>52</v>
      </c>
      <c r="D2508">
        <v>54174</v>
      </c>
      <c r="E2508" t="s">
        <v>194</v>
      </c>
      <c r="F2508">
        <v>12242</v>
      </c>
      <c r="G2508">
        <v>0.81524823770595634</v>
      </c>
      <c r="H2508">
        <v>0</v>
      </c>
      <c r="I2508">
        <v>0</v>
      </c>
      <c r="J2508">
        <v>0.70328070930836706</v>
      </c>
      <c r="K2508">
        <v>0</v>
      </c>
      <c r="L2508">
        <v>0</v>
      </c>
      <c r="M2508">
        <v>0.51281889874552422</v>
      </c>
      <c r="N2508">
        <v>0</v>
      </c>
      <c r="O2508">
        <v>0</v>
      </c>
      <c r="P2508">
        <v>0.66462968908266751</v>
      </c>
      <c r="Q2508">
        <v>1.358854686334749</v>
      </c>
      <c r="R2508">
        <v>-7.5967837605777468</v>
      </c>
      <c r="S2508">
        <v>0.18616926763522179</v>
      </c>
      <c r="T2508">
        <v>0.14394268825867171</v>
      </c>
      <c r="U2508">
        <v>4.3297189133311553</v>
      </c>
      <c r="V2508">
        <v>0.19287692535756709</v>
      </c>
      <c r="W2508">
        <v>-1.7133249246855089</v>
      </c>
      <c r="X2508">
        <v>0.32148700455394158</v>
      </c>
      <c r="Z2508" t="s">
        <v>392</v>
      </c>
      <c r="AA2508">
        <v>9400</v>
      </c>
      <c r="AB2508" t="s">
        <v>2899</v>
      </c>
      <c r="AC2508" t="str">
        <f>HYPERLINK("plots/3FT6Y578R01_012_S11P_20251111092011_M5358ACSH101811_RBGEUFRF26/dpll_52084/txpa_54174.png","plot")</f>
        <v>plot</v>
      </c>
    </row>
    <row r="2509" spans="1:29" hidden="1" x14ac:dyDescent="0.35">
      <c r="A2509" t="s">
        <v>48</v>
      </c>
      <c r="B2509">
        <v>52084</v>
      </c>
      <c r="C2509" t="s">
        <v>52</v>
      </c>
      <c r="D2509">
        <v>54175</v>
      </c>
      <c r="E2509" t="s">
        <v>195</v>
      </c>
      <c r="F2509">
        <v>12240</v>
      </c>
      <c r="G2509">
        <v>0.81466765565080346</v>
      </c>
      <c r="H2509">
        <v>0</v>
      </c>
      <c r="I2509">
        <v>0</v>
      </c>
      <c r="J2509">
        <v>0.69852470061089678</v>
      </c>
      <c r="K2509">
        <v>0</v>
      </c>
      <c r="L2509">
        <v>0</v>
      </c>
      <c r="M2509">
        <v>0.50778309215584339</v>
      </c>
      <c r="N2509">
        <v>0</v>
      </c>
      <c r="O2509">
        <v>0</v>
      </c>
      <c r="P2509">
        <v>0.66368338916357605</v>
      </c>
      <c r="Q2509">
        <v>1.3642752352927321</v>
      </c>
      <c r="R2509">
        <v>-7.6434653639276444</v>
      </c>
      <c r="S2509">
        <v>0.1872748988446368</v>
      </c>
      <c r="T2509">
        <v>0.14552088196648019</v>
      </c>
      <c r="U2509">
        <v>4.3297345467320261</v>
      </c>
      <c r="V2509">
        <v>0.1928420022508596</v>
      </c>
      <c r="W2509">
        <v>-1.7365157464297389</v>
      </c>
      <c r="X2509">
        <v>0.32294097620083129</v>
      </c>
      <c r="Z2509" t="s">
        <v>392</v>
      </c>
      <c r="AA2509">
        <v>9400</v>
      </c>
      <c r="AB2509" t="s">
        <v>2900</v>
      </c>
      <c r="AC2509" t="str">
        <f>HYPERLINK("plots/3FT6Y578R01_012_S11P_20251111092011_M5358ACSH101811_RBGEUFRF26/dpll_52084/txpa_54175.png","plot")</f>
        <v>plot</v>
      </c>
    </row>
    <row r="2510" spans="1:29" hidden="1" x14ac:dyDescent="0.35">
      <c r="A2510" t="s">
        <v>48</v>
      </c>
      <c r="B2510">
        <v>52084</v>
      </c>
      <c r="C2510" t="s">
        <v>52</v>
      </c>
      <c r="D2510">
        <v>54176</v>
      </c>
      <c r="E2510" t="s">
        <v>196</v>
      </c>
      <c r="F2510">
        <v>12240</v>
      </c>
      <c r="G2510">
        <v>0.81864635730933255</v>
      </c>
      <c r="H2510">
        <v>0</v>
      </c>
      <c r="I2510">
        <v>0</v>
      </c>
      <c r="J2510">
        <v>0.70797666337713006</v>
      </c>
      <c r="K2510">
        <v>0</v>
      </c>
      <c r="L2510">
        <v>0</v>
      </c>
      <c r="M2510">
        <v>0.51731245906696133</v>
      </c>
      <c r="N2510">
        <v>0</v>
      </c>
      <c r="O2510">
        <v>0</v>
      </c>
      <c r="P2510">
        <v>0.67018185833583943</v>
      </c>
      <c r="Q2510">
        <v>1.371936342826436</v>
      </c>
      <c r="R2510">
        <v>-7.6814037389135583</v>
      </c>
      <c r="S2510">
        <v>0.1855689093006625</v>
      </c>
      <c r="T2510">
        <v>0.14420845256977491</v>
      </c>
      <c r="U2510">
        <v>4.329689001062091</v>
      </c>
      <c r="V2510">
        <v>0.19281821557856541</v>
      </c>
      <c r="W2510">
        <v>-1.741346045220588</v>
      </c>
      <c r="X2510">
        <v>0.32313625431697812</v>
      </c>
      <c r="Z2510" t="s">
        <v>392</v>
      </c>
      <c r="AA2510">
        <v>9400</v>
      </c>
      <c r="AB2510" t="s">
        <v>2901</v>
      </c>
      <c r="AC2510" t="str">
        <f>HYPERLINK("plots/3FT6Y578R01_012_S11P_20251111092011_M5358ACSH101811_RBGEUFRF26/dpll_52084/txpa_54176.png","plot")</f>
        <v>plot</v>
      </c>
    </row>
    <row r="2511" spans="1:29" hidden="1" x14ac:dyDescent="0.35">
      <c r="A2511" t="s">
        <v>48</v>
      </c>
      <c r="B2511">
        <v>52084</v>
      </c>
      <c r="C2511" t="s">
        <v>52</v>
      </c>
      <c r="D2511">
        <v>54177</v>
      </c>
      <c r="E2511" t="s">
        <v>197</v>
      </c>
      <c r="F2511">
        <v>12242</v>
      </c>
      <c r="G2511">
        <v>0.81624486132328467</v>
      </c>
      <c r="H2511">
        <v>0</v>
      </c>
      <c r="I2511">
        <v>0</v>
      </c>
      <c r="J2511">
        <v>0.70184195517384806</v>
      </c>
      <c r="K2511">
        <v>0</v>
      </c>
      <c r="L2511">
        <v>0</v>
      </c>
      <c r="M2511">
        <v>0.51195622961063048</v>
      </c>
      <c r="N2511">
        <v>0</v>
      </c>
      <c r="O2511">
        <v>0</v>
      </c>
      <c r="P2511">
        <v>0.66625567363666827</v>
      </c>
      <c r="Q2511">
        <v>1.363554978494941</v>
      </c>
      <c r="R2511">
        <v>-7.6408326415401184</v>
      </c>
      <c r="S2511">
        <v>0.1861048178120408</v>
      </c>
      <c r="T2511">
        <v>0.1447122536205753</v>
      </c>
      <c r="U2511">
        <v>4.3297428452050317</v>
      </c>
      <c r="V2511">
        <v>0.19284847807112951</v>
      </c>
      <c r="W2511">
        <v>-1.736990229357948</v>
      </c>
      <c r="X2511">
        <v>0.32215762062226633</v>
      </c>
      <c r="Z2511" t="s">
        <v>392</v>
      </c>
      <c r="AA2511">
        <v>9400</v>
      </c>
      <c r="AB2511" t="s">
        <v>2902</v>
      </c>
      <c r="AC2511" t="str">
        <f>HYPERLINK("plots/3FT6Y578R01_012_S11P_20251111092011_M5358ACSH101811_RBGEUFRF26/dpll_52084/txpa_54177.png","plot")</f>
        <v>plot</v>
      </c>
    </row>
    <row r="2512" spans="1:29" hidden="1" x14ac:dyDescent="0.35">
      <c r="A2512" t="s">
        <v>48</v>
      </c>
      <c r="B2512">
        <v>52084</v>
      </c>
      <c r="C2512" t="s">
        <v>52</v>
      </c>
      <c r="D2512">
        <v>54178</v>
      </c>
      <c r="E2512" t="s">
        <v>198</v>
      </c>
      <c r="F2512">
        <v>12239</v>
      </c>
      <c r="G2512">
        <v>0.81060055157287914</v>
      </c>
      <c r="H2512">
        <v>0</v>
      </c>
      <c r="I2512">
        <v>0</v>
      </c>
      <c r="J2512">
        <v>0.69253091298359049</v>
      </c>
      <c r="K2512">
        <v>0</v>
      </c>
      <c r="L2512">
        <v>0</v>
      </c>
      <c r="M2512">
        <v>0.50443522685428388</v>
      </c>
      <c r="N2512">
        <v>0</v>
      </c>
      <c r="O2512">
        <v>0</v>
      </c>
      <c r="P2512">
        <v>0.65707325421025586</v>
      </c>
      <c r="Q2512">
        <v>1.3502940862463459</v>
      </c>
      <c r="R2512">
        <v>-7.6069129454644244</v>
      </c>
      <c r="S2512">
        <v>0.1881169697886973</v>
      </c>
      <c r="T2512">
        <v>0.145298553221199</v>
      </c>
      <c r="U2512">
        <v>4.3297844997140276</v>
      </c>
      <c r="V2512">
        <v>0.1928517426499661</v>
      </c>
      <c r="W2512">
        <v>-1.760430540779476</v>
      </c>
      <c r="X2512">
        <v>0.32125140689487791</v>
      </c>
      <c r="Z2512" t="s">
        <v>392</v>
      </c>
      <c r="AA2512">
        <v>9400</v>
      </c>
      <c r="AB2512" t="s">
        <v>2903</v>
      </c>
      <c r="AC2512" t="str">
        <f>HYPERLINK("plots/3FT6Y578R01_012_S11P_20251111092011_M5358ACSH101811_RBGEUFRF26/dpll_52084/txpa_54178.png","plot")</f>
        <v>plot</v>
      </c>
    </row>
    <row r="2513" spans="1:29" hidden="1" x14ac:dyDescent="0.35">
      <c r="A2513" t="s">
        <v>48</v>
      </c>
      <c r="B2513">
        <v>52084</v>
      </c>
      <c r="C2513" t="s">
        <v>52</v>
      </c>
      <c r="D2513">
        <v>54179</v>
      </c>
      <c r="E2513" t="s">
        <v>199</v>
      </c>
      <c r="F2513">
        <v>12242</v>
      </c>
      <c r="G2513">
        <v>0.80816937697379587</v>
      </c>
      <c r="H2513">
        <v>0</v>
      </c>
      <c r="I2513">
        <v>0</v>
      </c>
      <c r="J2513">
        <v>0.70877284710478428</v>
      </c>
      <c r="K2513">
        <v>0</v>
      </c>
      <c r="L2513">
        <v>0</v>
      </c>
      <c r="M2513">
        <v>0.51600724507177498</v>
      </c>
      <c r="N2513">
        <v>0</v>
      </c>
      <c r="O2513">
        <v>0</v>
      </c>
      <c r="P2513">
        <v>0.65313774187821338</v>
      </c>
      <c r="Q2513">
        <v>1.469250973868476</v>
      </c>
      <c r="R2513">
        <v>-4.7946066914460452</v>
      </c>
      <c r="S2513">
        <v>0.20648594175489349</v>
      </c>
      <c r="T2513">
        <v>0.15477630866183659</v>
      </c>
      <c r="U2513">
        <v>4.3297379161084786</v>
      </c>
      <c r="V2513">
        <v>0.19285731086450791</v>
      </c>
      <c r="W2513">
        <v>1.566864958391603</v>
      </c>
      <c r="X2513">
        <v>0.35061436362061182</v>
      </c>
      <c r="Z2513" t="s">
        <v>392</v>
      </c>
      <c r="AA2513">
        <v>9400</v>
      </c>
      <c r="AB2513" t="s">
        <v>2904</v>
      </c>
      <c r="AC2513" t="str">
        <f>HYPERLINK("plots/3FT6Y578R01_012_S11P_20251111092011_M5358ACSH101811_RBGEUFRF26/dpll_52084/txpa_54179.png","plot")</f>
        <v>plot</v>
      </c>
    </row>
    <row r="2514" spans="1:29" hidden="1" x14ac:dyDescent="0.35">
      <c r="A2514" t="s">
        <v>48</v>
      </c>
      <c r="B2514">
        <v>52084</v>
      </c>
      <c r="C2514" t="s">
        <v>52</v>
      </c>
      <c r="D2514">
        <v>54180</v>
      </c>
      <c r="E2514" t="s">
        <v>200</v>
      </c>
      <c r="F2514">
        <v>12242</v>
      </c>
      <c r="G2514">
        <v>0.82309380151343303</v>
      </c>
      <c r="H2514">
        <v>0</v>
      </c>
      <c r="I2514">
        <v>0</v>
      </c>
      <c r="J2514">
        <v>0.71961765576564307</v>
      </c>
      <c r="K2514">
        <v>0</v>
      </c>
      <c r="L2514">
        <v>0</v>
      </c>
      <c r="M2514">
        <v>0.5276130664744858</v>
      </c>
      <c r="N2514">
        <v>0</v>
      </c>
      <c r="O2514">
        <v>0</v>
      </c>
      <c r="P2514">
        <v>0.67748340608983471</v>
      </c>
      <c r="Q2514">
        <v>1.494820220511156</v>
      </c>
      <c r="R2514">
        <v>-4.8711804839266613</v>
      </c>
      <c r="S2514">
        <v>0.19891547700841761</v>
      </c>
      <c r="T2514">
        <v>0.15150289544793219</v>
      </c>
      <c r="U2514">
        <v>4.3296987265969609</v>
      </c>
      <c r="V2514">
        <v>0.1928726506826407</v>
      </c>
      <c r="W2514">
        <v>1.6009407213118769</v>
      </c>
      <c r="X2514">
        <v>0.35027591957791082</v>
      </c>
      <c r="Z2514" t="s">
        <v>392</v>
      </c>
      <c r="AA2514">
        <v>9400</v>
      </c>
      <c r="AB2514" t="s">
        <v>2905</v>
      </c>
      <c r="AC2514" t="str">
        <f>HYPERLINK("plots/3FT6Y578R01_012_S11P_20251111092011_M5358ACSH101811_RBGEUFRF26/dpll_52084/txpa_54180.png","plot")</f>
        <v>plot</v>
      </c>
    </row>
    <row r="2515" spans="1:29" hidden="1" x14ac:dyDescent="0.35">
      <c r="A2515" t="s">
        <v>48</v>
      </c>
      <c r="B2515">
        <v>52084</v>
      </c>
      <c r="C2515" t="s">
        <v>52</v>
      </c>
      <c r="D2515">
        <v>54181</v>
      </c>
      <c r="E2515" t="s">
        <v>201</v>
      </c>
      <c r="F2515">
        <v>12243</v>
      </c>
      <c r="G2515">
        <v>0.82098211491485018</v>
      </c>
      <c r="H2515">
        <v>0</v>
      </c>
      <c r="I2515">
        <v>0</v>
      </c>
      <c r="J2515">
        <v>0.71621430007176401</v>
      </c>
      <c r="K2515">
        <v>0</v>
      </c>
      <c r="L2515">
        <v>0</v>
      </c>
      <c r="M2515">
        <v>0.52405675002397178</v>
      </c>
      <c r="N2515">
        <v>0</v>
      </c>
      <c r="O2515">
        <v>0</v>
      </c>
      <c r="P2515">
        <v>0.67401163301006028</v>
      </c>
      <c r="Q2515">
        <v>1.4760100828360749</v>
      </c>
      <c r="R2515">
        <v>-4.7866230203268021</v>
      </c>
      <c r="S2515">
        <v>0.19797244262866889</v>
      </c>
      <c r="T2515">
        <v>0.15006782241966221</v>
      </c>
      <c r="U2515">
        <v>4.3297121556807969</v>
      </c>
      <c r="V2515">
        <v>0.19287049691405411</v>
      </c>
      <c r="W2515">
        <v>1.6040757772359719</v>
      </c>
      <c r="X2515">
        <v>0.34675395840538348</v>
      </c>
      <c r="Z2515" t="s">
        <v>392</v>
      </c>
      <c r="AA2515">
        <v>9400</v>
      </c>
      <c r="AB2515" t="s">
        <v>2906</v>
      </c>
      <c r="AC2515" t="str">
        <f>HYPERLINK("plots/3FT6Y578R01_012_S11P_20251111092011_M5358ACSH101811_RBGEUFRF26/dpll_52084/txpa_54181.png","plot")</f>
        <v>plot</v>
      </c>
    </row>
    <row r="2516" spans="1:29" hidden="1" x14ac:dyDescent="0.35">
      <c r="A2516" t="s">
        <v>48</v>
      </c>
      <c r="B2516">
        <v>52084</v>
      </c>
      <c r="C2516" t="s">
        <v>52</v>
      </c>
      <c r="D2516">
        <v>54182</v>
      </c>
      <c r="E2516" t="s">
        <v>202</v>
      </c>
      <c r="F2516">
        <v>12242</v>
      </c>
      <c r="G2516">
        <v>0.83218297810905317</v>
      </c>
      <c r="H2516">
        <v>0</v>
      </c>
      <c r="I2516">
        <v>0</v>
      </c>
      <c r="J2516">
        <v>0.72387262867675195</v>
      </c>
      <c r="K2516">
        <v>0</v>
      </c>
      <c r="L2516">
        <v>0</v>
      </c>
      <c r="M2516">
        <v>0.53149833126358426</v>
      </c>
      <c r="N2516">
        <v>0</v>
      </c>
      <c r="O2516">
        <v>0</v>
      </c>
      <c r="P2516">
        <v>0.69252850905445285</v>
      </c>
      <c r="Q2516">
        <v>1.500257548855112</v>
      </c>
      <c r="R2516">
        <v>-4.8644477812786384</v>
      </c>
      <c r="S2516">
        <v>0.19280218662141799</v>
      </c>
      <c r="T2516">
        <v>0.1480841399782111</v>
      </c>
      <c r="U2516">
        <v>4.3297189133311553</v>
      </c>
      <c r="V2516">
        <v>0.19287692535756709</v>
      </c>
      <c r="W2516">
        <v>1.631245702867179</v>
      </c>
      <c r="X2516">
        <v>0.34771807508628733</v>
      </c>
      <c r="Z2516" t="s">
        <v>392</v>
      </c>
      <c r="AA2516">
        <v>9400</v>
      </c>
      <c r="AB2516" t="s">
        <v>2907</v>
      </c>
      <c r="AC2516" t="str">
        <f>HYPERLINK("plots/3FT6Y578R01_012_S11P_20251111092011_M5358ACSH101811_RBGEUFRF26/dpll_52084/txpa_54182.png","plot")</f>
        <v>plot</v>
      </c>
    </row>
    <row r="2517" spans="1:29" hidden="1" x14ac:dyDescent="0.35">
      <c r="A2517" t="s">
        <v>48</v>
      </c>
      <c r="B2517">
        <v>52084</v>
      </c>
      <c r="C2517" t="s">
        <v>52</v>
      </c>
      <c r="D2517">
        <v>54183</v>
      </c>
      <c r="E2517" t="s">
        <v>203</v>
      </c>
      <c r="F2517">
        <v>12240</v>
      </c>
      <c r="G2517">
        <v>0.8318665030657717</v>
      </c>
      <c r="H2517">
        <v>0</v>
      </c>
      <c r="I2517">
        <v>0</v>
      </c>
      <c r="J2517">
        <v>0.72012280223131619</v>
      </c>
      <c r="K2517">
        <v>0</v>
      </c>
      <c r="L2517">
        <v>0</v>
      </c>
      <c r="M2517">
        <v>0.52721400642184468</v>
      </c>
      <c r="N2517">
        <v>0</v>
      </c>
      <c r="O2517">
        <v>0</v>
      </c>
      <c r="P2517">
        <v>0.69200187892287557</v>
      </c>
      <c r="Q2517">
        <v>1.5058536547162771</v>
      </c>
      <c r="R2517">
        <v>-4.9126808959271564</v>
      </c>
      <c r="S2517">
        <v>0.19372561782032011</v>
      </c>
      <c r="T2517">
        <v>0.14956884231613549</v>
      </c>
      <c r="U2517">
        <v>4.3297345467320261</v>
      </c>
      <c r="V2517">
        <v>0.1928420022508596</v>
      </c>
      <c r="W2517">
        <v>1.6072656952205879</v>
      </c>
      <c r="X2517">
        <v>0.34908465817778161</v>
      </c>
      <c r="Z2517" t="s">
        <v>392</v>
      </c>
      <c r="AA2517">
        <v>9400</v>
      </c>
      <c r="AB2517" t="s">
        <v>2908</v>
      </c>
      <c r="AC2517" t="str">
        <f>HYPERLINK("plots/3FT6Y578R01_012_S11P_20251111092011_M5358ACSH101811_RBGEUFRF26/dpll_52084/txpa_54183.png","plot")</f>
        <v>plot</v>
      </c>
    </row>
    <row r="2518" spans="1:29" hidden="1" x14ac:dyDescent="0.35">
      <c r="A2518" t="s">
        <v>48</v>
      </c>
      <c r="B2518">
        <v>52084</v>
      </c>
      <c r="C2518" t="s">
        <v>52</v>
      </c>
      <c r="D2518">
        <v>54184</v>
      </c>
      <c r="E2518" t="s">
        <v>204</v>
      </c>
      <c r="F2518">
        <v>12240</v>
      </c>
      <c r="G2518">
        <v>0.83483333102624369</v>
      </c>
      <c r="H2518">
        <v>0</v>
      </c>
      <c r="I2518">
        <v>0</v>
      </c>
      <c r="J2518">
        <v>0.72708533999546143</v>
      </c>
      <c r="K2518">
        <v>0</v>
      </c>
      <c r="L2518">
        <v>0</v>
      </c>
      <c r="M2518">
        <v>0.53446967759861719</v>
      </c>
      <c r="N2518">
        <v>0</v>
      </c>
      <c r="O2518">
        <v>0</v>
      </c>
      <c r="P2518">
        <v>0.6969466905923738</v>
      </c>
      <c r="Q2518">
        <v>1.514110681577403</v>
      </c>
      <c r="R2518">
        <v>-4.9489221349800321</v>
      </c>
      <c r="S2518">
        <v>0.19250750995487181</v>
      </c>
      <c r="T2518">
        <v>0.14885514628667601</v>
      </c>
      <c r="U2518">
        <v>4.329689001062091</v>
      </c>
      <c r="V2518">
        <v>0.19281821557856541</v>
      </c>
      <c r="W2518">
        <v>1.6067062294362751</v>
      </c>
      <c r="X2518">
        <v>0.34970826985467163</v>
      </c>
      <c r="Z2518" t="s">
        <v>392</v>
      </c>
      <c r="AA2518">
        <v>9400</v>
      </c>
      <c r="AB2518" t="s">
        <v>2909</v>
      </c>
      <c r="AC2518" t="str">
        <f>HYPERLINK("plots/3FT6Y578R01_012_S11P_20251111092011_M5358ACSH101811_RBGEUFRF26/dpll_52084/txpa_54184.png","plot")</f>
        <v>plot</v>
      </c>
    </row>
    <row r="2519" spans="1:29" hidden="1" x14ac:dyDescent="0.35">
      <c r="A2519" t="s">
        <v>48</v>
      </c>
      <c r="B2519">
        <v>52084</v>
      </c>
      <c r="C2519" t="s">
        <v>52</v>
      </c>
      <c r="D2519">
        <v>54185</v>
      </c>
      <c r="E2519" t="s">
        <v>205</v>
      </c>
      <c r="F2519">
        <v>12242</v>
      </c>
      <c r="G2519">
        <v>0.83302854545805671</v>
      </c>
      <c r="H2519">
        <v>0</v>
      </c>
      <c r="I2519">
        <v>0</v>
      </c>
      <c r="J2519">
        <v>0.72148542352122791</v>
      </c>
      <c r="K2519">
        <v>0</v>
      </c>
      <c r="L2519">
        <v>0</v>
      </c>
      <c r="M2519">
        <v>0.52978816956646291</v>
      </c>
      <c r="N2519">
        <v>0</v>
      </c>
      <c r="O2519">
        <v>0</v>
      </c>
      <c r="P2519">
        <v>0.69393655754796568</v>
      </c>
      <c r="Q2519">
        <v>1.5076799935963661</v>
      </c>
      <c r="R2519">
        <v>-4.9160808637194657</v>
      </c>
      <c r="S2519">
        <v>0.19308720445890651</v>
      </c>
      <c r="T2519">
        <v>0.1490946875393063</v>
      </c>
      <c r="U2519">
        <v>4.3297428452050317</v>
      </c>
      <c r="V2519">
        <v>0.19284847807112951</v>
      </c>
      <c r="W2519">
        <v>1.6117858014131681</v>
      </c>
      <c r="X2519">
        <v>0.34903220756195458</v>
      </c>
      <c r="Z2519" t="s">
        <v>392</v>
      </c>
      <c r="AA2519">
        <v>9400</v>
      </c>
      <c r="AB2519" t="s">
        <v>2910</v>
      </c>
      <c r="AC2519" t="str">
        <f>HYPERLINK("plots/3FT6Y578R01_012_S11P_20251111092011_M5358ACSH101811_RBGEUFRF26/dpll_52084/txpa_54185.png","plot")</f>
        <v>plot</v>
      </c>
    </row>
    <row r="2520" spans="1:29" hidden="1" x14ac:dyDescent="0.35">
      <c r="A2520" t="s">
        <v>48</v>
      </c>
      <c r="B2520">
        <v>52084</v>
      </c>
      <c r="C2520" t="s">
        <v>52</v>
      </c>
      <c r="D2520">
        <v>54186</v>
      </c>
      <c r="E2520" t="s">
        <v>206</v>
      </c>
      <c r="F2520">
        <v>12238</v>
      </c>
      <c r="G2520">
        <v>0.82817966133246723</v>
      </c>
      <c r="H2520">
        <v>0</v>
      </c>
      <c r="I2520">
        <v>0</v>
      </c>
      <c r="J2520">
        <v>0.71387832170567223</v>
      </c>
      <c r="K2520">
        <v>0</v>
      </c>
      <c r="L2520">
        <v>0</v>
      </c>
      <c r="M2520">
        <v>0.52335068423366615</v>
      </c>
      <c r="N2520">
        <v>0</v>
      </c>
      <c r="O2520">
        <v>0</v>
      </c>
      <c r="P2520">
        <v>0.68588155144476015</v>
      </c>
      <c r="Q2520">
        <v>1.490013283374682</v>
      </c>
      <c r="R2520">
        <v>-4.8586059091415734</v>
      </c>
      <c r="S2520">
        <v>0.19444529911035979</v>
      </c>
      <c r="T2520">
        <v>0.1493479387508399</v>
      </c>
      <c r="U2520">
        <v>4.3298076863049522</v>
      </c>
      <c r="V2520">
        <v>0.19284256140431191</v>
      </c>
      <c r="W2520">
        <v>1.5928650579106061</v>
      </c>
      <c r="X2520">
        <v>0.34695126131221488</v>
      </c>
      <c r="Z2520" t="s">
        <v>392</v>
      </c>
      <c r="AA2520">
        <v>9400</v>
      </c>
      <c r="AB2520" t="s">
        <v>2911</v>
      </c>
      <c r="AC2520" t="str">
        <f>HYPERLINK("plots/3FT6Y578R01_012_S11P_20251111092011_M5358ACSH101811_RBGEUFRF26/dpll_52084/txpa_54186.png","plot")</f>
        <v>plot</v>
      </c>
    </row>
    <row r="2521" spans="1:29" hidden="1" x14ac:dyDescent="0.35">
      <c r="A2521" t="s">
        <v>48</v>
      </c>
      <c r="B2521">
        <v>52084</v>
      </c>
      <c r="C2521" t="s">
        <v>52</v>
      </c>
      <c r="D2521">
        <v>54187</v>
      </c>
      <c r="E2521" t="s">
        <v>207</v>
      </c>
      <c r="F2521">
        <v>12242</v>
      </c>
      <c r="G2521">
        <v>0.81900944960313093</v>
      </c>
      <c r="H2521">
        <v>0</v>
      </c>
      <c r="I2521">
        <v>0</v>
      </c>
      <c r="J2521">
        <v>0.71888192821790287</v>
      </c>
      <c r="K2521">
        <v>0</v>
      </c>
      <c r="L2521">
        <v>0</v>
      </c>
      <c r="M2521">
        <v>0.52536339890543893</v>
      </c>
      <c r="N2521">
        <v>0</v>
      </c>
      <c r="O2521">
        <v>0</v>
      </c>
      <c r="P2521">
        <v>0.67077647853922351</v>
      </c>
      <c r="Q2521">
        <v>1.6077748789518469</v>
      </c>
      <c r="R2521">
        <v>-3.5265161745820759</v>
      </c>
      <c r="S2521">
        <v>0.2172201564737542</v>
      </c>
      <c r="T2521">
        <v>0.1624611699910179</v>
      </c>
      <c r="U2521">
        <v>4.3297379161084786</v>
      </c>
      <c r="V2521">
        <v>0.19285731086450791</v>
      </c>
      <c r="W2521">
        <v>3.4347276793824539</v>
      </c>
      <c r="X2521">
        <v>0.37859287188983559</v>
      </c>
      <c r="Z2521" t="s">
        <v>392</v>
      </c>
      <c r="AA2521">
        <v>9400</v>
      </c>
      <c r="AB2521" t="s">
        <v>2912</v>
      </c>
      <c r="AC2521" t="str">
        <f>HYPERLINK("plots/3FT6Y578R01_012_S11P_20251111092011_M5358ACSH101811_RBGEUFRF26/dpll_52084/txpa_54187.png","plot")</f>
        <v>plot</v>
      </c>
    </row>
    <row r="2522" spans="1:29" hidden="1" x14ac:dyDescent="0.35">
      <c r="A2522" t="s">
        <v>48</v>
      </c>
      <c r="B2522">
        <v>52084</v>
      </c>
      <c r="C2522" t="s">
        <v>52</v>
      </c>
      <c r="D2522">
        <v>54188</v>
      </c>
      <c r="E2522" t="s">
        <v>208</v>
      </c>
      <c r="F2522">
        <v>12242</v>
      </c>
      <c r="G2522">
        <v>0.83276816494611949</v>
      </c>
      <c r="H2522">
        <v>0</v>
      </c>
      <c r="I2522">
        <v>0</v>
      </c>
      <c r="J2522">
        <v>0.72930842964081111</v>
      </c>
      <c r="K2522">
        <v>0</v>
      </c>
      <c r="L2522">
        <v>0</v>
      </c>
      <c r="M2522">
        <v>0.53672958809415594</v>
      </c>
      <c r="N2522">
        <v>0</v>
      </c>
      <c r="O2522">
        <v>0</v>
      </c>
      <c r="P2522">
        <v>0.69350281654772727</v>
      </c>
      <c r="Q2522">
        <v>1.6350481020146299</v>
      </c>
      <c r="R2522">
        <v>-3.6106158612508512</v>
      </c>
      <c r="S2522">
        <v>0.20963923859344999</v>
      </c>
      <c r="T2522">
        <v>0.15921498224323019</v>
      </c>
      <c r="U2522">
        <v>4.3296987265969609</v>
      </c>
      <c r="V2522">
        <v>0.1928726506826407</v>
      </c>
      <c r="W2522">
        <v>3.4686498239666719</v>
      </c>
      <c r="X2522">
        <v>0.37868409805217063</v>
      </c>
      <c r="Z2522" t="s">
        <v>392</v>
      </c>
      <c r="AA2522">
        <v>9400</v>
      </c>
      <c r="AB2522" t="s">
        <v>2913</v>
      </c>
      <c r="AC2522" t="str">
        <f>HYPERLINK("plots/3FT6Y578R01_012_S11P_20251111092011_M5358ACSH101811_RBGEUFRF26/dpll_52084/txpa_54188.png","plot")</f>
        <v>plot</v>
      </c>
    </row>
    <row r="2523" spans="1:29" hidden="1" x14ac:dyDescent="0.35">
      <c r="A2523" t="s">
        <v>48</v>
      </c>
      <c r="B2523">
        <v>52084</v>
      </c>
      <c r="C2523" t="s">
        <v>52</v>
      </c>
      <c r="D2523">
        <v>54189</v>
      </c>
      <c r="E2523" t="s">
        <v>209</v>
      </c>
      <c r="F2523">
        <v>12243</v>
      </c>
      <c r="G2523">
        <v>0.83091270062497391</v>
      </c>
      <c r="H2523">
        <v>0</v>
      </c>
      <c r="I2523">
        <v>0</v>
      </c>
      <c r="J2523">
        <v>0.72579033863380982</v>
      </c>
      <c r="K2523">
        <v>0</v>
      </c>
      <c r="L2523">
        <v>0</v>
      </c>
      <c r="M2523">
        <v>0.53304693168986417</v>
      </c>
      <c r="N2523">
        <v>0</v>
      </c>
      <c r="O2523">
        <v>0</v>
      </c>
      <c r="P2523">
        <v>0.6904159160598875</v>
      </c>
      <c r="Q2523">
        <v>1.6157859476012331</v>
      </c>
      <c r="R2523">
        <v>-3.5231064034024322</v>
      </c>
      <c r="S2523">
        <v>0.20867278113867679</v>
      </c>
      <c r="T2523">
        <v>0.15780170236270691</v>
      </c>
      <c r="U2523">
        <v>4.3297121556807969</v>
      </c>
      <c r="V2523">
        <v>0.19287049691405411</v>
      </c>
      <c r="W2523">
        <v>3.472781654904844</v>
      </c>
      <c r="X2523">
        <v>0.37505436899230982</v>
      </c>
      <c r="Z2523" t="s">
        <v>392</v>
      </c>
      <c r="AA2523">
        <v>9400</v>
      </c>
      <c r="AB2523" t="s">
        <v>2914</v>
      </c>
      <c r="AC2523" t="str">
        <f>HYPERLINK("plots/3FT6Y578R01_012_S11P_20251111092011_M5358ACSH101811_RBGEUFRF26/dpll_52084/txpa_54189.png","plot")</f>
        <v>plot</v>
      </c>
    </row>
    <row r="2524" spans="1:29" hidden="1" x14ac:dyDescent="0.35">
      <c r="A2524" t="s">
        <v>48</v>
      </c>
      <c r="B2524">
        <v>52084</v>
      </c>
      <c r="C2524" t="s">
        <v>52</v>
      </c>
      <c r="D2524">
        <v>54190</v>
      </c>
      <c r="E2524" t="s">
        <v>210</v>
      </c>
      <c r="F2524">
        <v>12242</v>
      </c>
      <c r="G2524">
        <v>0.84121488822690837</v>
      </c>
      <c r="H2524">
        <v>0</v>
      </c>
      <c r="I2524">
        <v>0</v>
      </c>
      <c r="J2524">
        <v>0.73304810964870559</v>
      </c>
      <c r="K2524">
        <v>0</v>
      </c>
      <c r="L2524">
        <v>0</v>
      </c>
      <c r="M2524">
        <v>0.54030207571600497</v>
      </c>
      <c r="N2524">
        <v>0</v>
      </c>
      <c r="O2524">
        <v>0</v>
      </c>
      <c r="P2524">
        <v>0.70764248817460995</v>
      </c>
      <c r="Q2524">
        <v>1.6395199309874691</v>
      </c>
      <c r="R2524">
        <v>-3.6019987725552292</v>
      </c>
      <c r="S2524">
        <v>0.20324946655278431</v>
      </c>
      <c r="T2524">
        <v>0.15557003062374741</v>
      </c>
      <c r="U2524">
        <v>4.3297189133311553</v>
      </c>
      <c r="V2524">
        <v>0.19287692535756709</v>
      </c>
      <c r="W2524">
        <v>3.4966616814246039</v>
      </c>
      <c r="X2524">
        <v>0.37591531935180789</v>
      </c>
      <c r="Z2524" t="s">
        <v>392</v>
      </c>
      <c r="AA2524">
        <v>9400</v>
      </c>
      <c r="AB2524" t="s">
        <v>2915</v>
      </c>
      <c r="AC2524" t="str">
        <f>HYPERLINK("plots/3FT6Y578R01_012_S11P_20251111092011_M5358ACSH101811_RBGEUFRF26/dpll_52084/txpa_54190.png","plot")</f>
        <v>plot</v>
      </c>
    </row>
    <row r="2525" spans="1:29" hidden="1" x14ac:dyDescent="0.35">
      <c r="A2525" t="s">
        <v>48</v>
      </c>
      <c r="B2525">
        <v>52084</v>
      </c>
      <c r="C2525" t="s">
        <v>52</v>
      </c>
      <c r="D2525">
        <v>54191</v>
      </c>
      <c r="E2525" t="s">
        <v>211</v>
      </c>
      <c r="F2525">
        <v>12240</v>
      </c>
      <c r="G2525">
        <v>0.84115871802994047</v>
      </c>
      <c r="H2525">
        <v>0</v>
      </c>
      <c r="I2525">
        <v>0</v>
      </c>
      <c r="J2525">
        <v>0.72968136664860694</v>
      </c>
      <c r="K2525">
        <v>0</v>
      </c>
      <c r="L2525">
        <v>0</v>
      </c>
      <c r="M2525">
        <v>0.53637746777530915</v>
      </c>
      <c r="N2525">
        <v>0</v>
      </c>
      <c r="O2525">
        <v>0</v>
      </c>
      <c r="P2525">
        <v>0.70754798891777293</v>
      </c>
      <c r="Q2525">
        <v>1.6451209491132599</v>
      </c>
      <c r="R2525">
        <v>-3.6515060548857781</v>
      </c>
      <c r="S2525">
        <v>0.20395346073116499</v>
      </c>
      <c r="T2525">
        <v>0.1570156037659815</v>
      </c>
      <c r="U2525">
        <v>4.3297345467320261</v>
      </c>
      <c r="V2525">
        <v>0.1928420022508596</v>
      </c>
      <c r="W2525">
        <v>3.4714309520424842</v>
      </c>
      <c r="X2525">
        <v>0.37715642835499152</v>
      </c>
      <c r="Z2525" t="s">
        <v>392</v>
      </c>
      <c r="AA2525">
        <v>9400</v>
      </c>
      <c r="AB2525" t="s">
        <v>2916</v>
      </c>
      <c r="AC2525" t="str">
        <f>HYPERLINK("plots/3FT6Y578R01_012_S11P_20251111092011_M5358ACSH101811_RBGEUFRF26/dpll_52084/txpa_54191.png","plot")</f>
        <v>plot</v>
      </c>
    </row>
    <row r="2526" spans="1:29" hidden="1" x14ac:dyDescent="0.35">
      <c r="A2526" t="s">
        <v>48</v>
      </c>
      <c r="B2526">
        <v>52084</v>
      </c>
      <c r="C2526" t="s">
        <v>52</v>
      </c>
      <c r="D2526">
        <v>54192</v>
      </c>
      <c r="E2526" t="s">
        <v>212</v>
      </c>
      <c r="F2526">
        <v>12240</v>
      </c>
      <c r="G2526">
        <v>0.84376882912858142</v>
      </c>
      <c r="H2526">
        <v>0</v>
      </c>
      <c r="I2526">
        <v>0</v>
      </c>
      <c r="J2526">
        <v>0.73575683444006279</v>
      </c>
      <c r="K2526">
        <v>0</v>
      </c>
      <c r="L2526">
        <v>0</v>
      </c>
      <c r="M2526">
        <v>0.54295313986196392</v>
      </c>
      <c r="N2526">
        <v>0</v>
      </c>
      <c r="O2526">
        <v>0</v>
      </c>
      <c r="P2526">
        <v>0.71194583700901726</v>
      </c>
      <c r="Q2526">
        <v>1.6533628088338921</v>
      </c>
      <c r="R2526">
        <v>-3.6848270778137491</v>
      </c>
      <c r="S2526">
        <v>0.20277391335948031</v>
      </c>
      <c r="T2526">
        <v>0.15633352538297299</v>
      </c>
      <c r="U2526">
        <v>4.329689001062091</v>
      </c>
      <c r="V2526">
        <v>0.19281821557856541</v>
      </c>
      <c r="W2526">
        <v>3.4737196903594771</v>
      </c>
      <c r="X2526">
        <v>0.37782678797528108</v>
      </c>
      <c r="Z2526" t="s">
        <v>392</v>
      </c>
      <c r="AA2526">
        <v>9400</v>
      </c>
      <c r="AB2526" t="s">
        <v>2917</v>
      </c>
      <c r="AC2526" t="str">
        <f>HYPERLINK("plots/3FT6Y578R01_012_S11P_20251111092011_M5358ACSH101811_RBGEUFRF26/dpll_52084/txpa_54192.png","plot")</f>
        <v>plot</v>
      </c>
    </row>
    <row r="2527" spans="1:29" hidden="1" x14ac:dyDescent="0.35">
      <c r="A2527" t="s">
        <v>48</v>
      </c>
      <c r="B2527">
        <v>52084</v>
      </c>
      <c r="C2527" t="s">
        <v>52</v>
      </c>
      <c r="D2527">
        <v>54193</v>
      </c>
      <c r="E2527" t="s">
        <v>213</v>
      </c>
      <c r="F2527">
        <v>12242</v>
      </c>
      <c r="G2527">
        <v>0.84224079838163202</v>
      </c>
      <c r="H2527">
        <v>0</v>
      </c>
      <c r="I2527">
        <v>0</v>
      </c>
      <c r="J2527">
        <v>0.73073057871350222</v>
      </c>
      <c r="K2527">
        <v>0</v>
      </c>
      <c r="L2527">
        <v>0</v>
      </c>
      <c r="M2527">
        <v>0.53863552281797145</v>
      </c>
      <c r="N2527">
        <v>0</v>
      </c>
      <c r="O2527">
        <v>0</v>
      </c>
      <c r="P2527">
        <v>0.70936956245852889</v>
      </c>
      <c r="Q2527">
        <v>1.648208047619844</v>
      </c>
      <c r="R2527">
        <v>-3.6578247937005059</v>
      </c>
      <c r="S2527">
        <v>0.20344395051252701</v>
      </c>
      <c r="T2527">
        <v>0.15665822340104199</v>
      </c>
      <c r="U2527">
        <v>4.3297428452050317</v>
      </c>
      <c r="V2527">
        <v>0.19284847807112951</v>
      </c>
      <c r="W2527">
        <v>3.4784922078908669</v>
      </c>
      <c r="X2527">
        <v>0.37739137564795328</v>
      </c>
      <c r="Z2527" t="s">
        <v>392</v>
      </c>
      <c r="AA2527">
        <v>9400</v>
      </c>
      <c r="AB2527" t="s">
        <v>2918</v>
      </c>
      <c r="AC2527" t="str">
        <f>HYPERLINK("plots/3FT6Y578R01_012_S11P_20251111092011_M5358ACSH101811_RBGEUFRF26/dpll_52084/txpa_54193.png","plot")</f>
        <v>plot</v>
      </c>
    </row>
    <row r="2528" spans="1:29" hidden="1" x14ac:dyDescent="0.35">
      <c r="A2528" t="s">
        <v>48</v>
      </c>
      <c r="B2528">
        <v>52084</v>
      </c>
      <c r="C2528" t="s">
        <v>52</v>
      </c>
      <c r="D2528">
        <v>54194</v>
      </c>
      <c r="E2528" t="s">
        <v>214</v>
      </c>
      <c r="F2528">
        <v>12238</v>
      </c>
      <c r="G2528">
        <v>0.83762624903514338</v>
      </c>
      <c r="H2528">
        <v>0</v>
      </c>
      <c r="I2528">
        <v>0</v>
      </c>
      <c r="J2528">
        <v>0.72345012471999037</v>
      </c>
      <c r="K2528">
        <v>0</v>
      </c>
      <c r="L2528">
        <v>0</v>
      </c>
      <c r="M2528">
        <v>0.53226593669904232</v>
      </c>
      <c r="N2528">
        <v>0</v>
      </c>
      <c r="O2528">
        <v>0</v>
      </c>
      <c r="P2528">
        <v>0.70161773307268405</v>
      </c>
      <c r="Q2528">
        <v>1.62851541010567</v>
      </c>
      <c r="R2528">
        <v>-3.5901367385034502</v>
      </c>
      <c r="S2528">
        <v>0.20479212169546229</v>
      </c>
      <c r="T2528">
        <v>0.1569855824816038</v>
      </c>
      <c r="U2528">
        <v>4.3298076863049522</v>
      </c>
      <c r="V2528">
        <v>0.19284256140431191</v>
      </c>
      <c r="W2528">
        <v>3.461021801438144</v>
      </c>
      <c r="X2528">
        <v>0.37492507348345389</v>
      </c>
      <c r="Z2528" t="s">
        <v>392</v>
      </c>
      <c r="AA2528">
        <v>9400</v>
      </c>
      <c r="AB2528" t="s">
        <v>2919</v>
      </c>
      <c r="AC2528" t="str">
        <f>HYPERLINK("plots/3FT6Y578R01_012_S11P_20251111092011_M5358ACSH101811_RBGEUFRF26/dpll_52084/txpa_54194.png","plot")</f>
        <v>plot</v>
      </c>
    </row>
    <row r="2529" spans="1:29" hidden="1" x14ac:dyDescent="0.35">
      <c r="A2529" t="s">
        <v>48</v>
      </c>
      <c r="B2529">
        <v>52084</v>
      </c>
      <c r="C2529" t="s">
        <v>52</v>
      </c>
      <c r="D2529">
        <v>54195</v>
      </c>
      <c r="E2529" t="s">
        <v>215</v>
      </c>
      <c r="F2529">
        <v>12241</v>
      </c>
      <c r="G2529">
        <v>0.83015070363532084</v>
      </c>
      <c r="H2529">
        <v>0</v>
      </c>
      <c r="I2529">
        <v>0</v>
      </c>
      <c r="J2529">
        <v>0.72776124230633843</v>
      </c>
      <c r="K2529">
        <v>0</v>
      </c>
      <c r="L2529">
        <v>0</v>
      </c>
      <c r="M2529">
        <v>0.53431265488412449</v>
      </c>
      <c r="N2529">
        <v>0</v>
      </c>
      <c r="O2529">
        <v>0</v>
      </c>
      <c r="P2529">
        <v>0.68915019074621831</v>
      </c>
      <c r="Q2529">
        <v>1.8157289231038991</v>
      </c>
      <c r="R2529">
        <v>-2.1938611620493371</v>
      </c>
      <c r="S2529">
        <v>0.23516488869685531</v>
      </c>
      <c r="T2529">
        <v>0.17558440851089949</v>
      </c>
      <c r="U2529">
        <v>4.3297594032350304</v>
      </c>
      <c r="V2529">
        <v>0.1928505341528253</v>
      </c>
      <c r="W2529">
        <v>5.6678082164855823</v>
      </c>
      <c r="X2529">
        <v>0.42180810202763569</v>
      </c>
      <c r="Z2529" t="s">
        <v>392</v>
      </c>
      <c r="AA2529">
        <v>9400</v>
      </c>
      <c r="AB2529" t="s">
        <v>2920</v>
      </c>
      <c r="AC2529" t="str">
        <f>HYPERLINK("plots/3FT6Y578R01_012_S11P_20251111092011_M5358ACSH101811_RBGEUFRF26/dpll_52084/txpa_54195.png","plot")</f>
        <v>plot</v>
      </c>
    </row>
    <row r="2530" spans="1:29" hidden="1" x14ac:dyDescent="0.35">
      <c r="A2530" t="s">
        <v>48</v>
      </c>
      <c r="B2530">
        <v>52084</v>
      </c>
      <c r="C2530" t="s">
        <v>52</v>
      </c>
      <c r="D2530">
        <v>54196</v>
      </c>
      <c r="E2530" t="s">
        <v>216</v>
      </c>
      <c r="F2530">
        <v>12239</v>
      </c>
      <c r="G2530">
        <v>0.84250516701887967</v>
      </c>
      <c r="H2530">
        <v>0</v>
      </c>
      <c r="I2530">
        <v>0</v>
      </c>
      <c r="J2530">
        <v>0.73656349574982571</v>
      </c>
      <c r="K2530">
        <v>0</v>
      </c>
      <c r="L2530">
        <v>0</v>
      </c>
      <c r="M2530">
        <v>0.54416935061856553</v>
      </c>
      <c r="N2530">
        <v>0</v>
      </c>
      <c r="O2530">
        <v>0</v>
      </c>
      <c r="P2530">
        <v>0.70981495645351034</v>
      </c>
      <c r="Q2530">
        <v>1.8406543650888989</v>
      </c>
      <c r="R2530">
        <v>-2.266799490700202</v>
      </c>
      <c r="S2530">
        <v>0.22694086634610661</v>
      </c>
      <c r="T2530">
        <v>0.17222540621683399</v>
      </c>
      <c r="U2530">
        <v>4.3297724721791004</v>
      </c>
      <c r="V2530">
        <v>0.19283828792463359</v>
      </c>
      <c r="W2530">
        <v>5.7028151100580118</v>
      </c>
      <c r="X2530">
        <v>0.42130143567035572</v>
      </c>
      <c r="Z2530" t="s">
        <v>392</v>
      </c>
      <c r="AA2530">
        <v>9400</v>
      </c>
      <c r="AB2530" t="s">
        <v>2921</v>
      </c>
      <c r="AC2530" t="str">
        <f>HYPERLINK("plots/3FT6Y578R01_012_S11P_20251111092011_M5358ACSH101811_RBGEUFRF26/dpll_52084/txpa_54196.png","plot")</f>
        <v>plot</v>
      </c>
    </row>
    <row r="2531" spans="1:29" hidden="1" x14ac:dyDescent="0.35">
      <c r="A2531" t="s">
        <v>48</v>
      </c>
      <c r="B2531">
        <v>52084</v>
      </c>
      <c r="C2531" t="s">
        <v>52</v>
      </c>
      <c r="D2531">
        <v>54197</v>
      </c>
      <c r="E2531" t="s">
        <v>217</v>
      </c>
      <c r="F2531">
        <v>12241</v>
      </c>
      <c r="G2531">
        <v>0.84097595520641588</v>
      </c>
      <c r="H2531">
        <v>0</v>
      </c>
      <c r="I2531">
        <v>0</v>
      </c>
      <c r="J2531">
        <v>0.73331279306064057</v>
      </c>
      <c r="K2531">
        <v>0</v>
      </c>
      <c r="L2531">
        <v>0</v>
      </c>
      <c r="M2531">
        <v>0.54070398681791343</v>
      </c>
      <c r="N2531">
        <v>0</v>
      </c>
      <c r="O2531">
        <v>0</v>
      </c>
      <c r="P2531">
        <v>0.70724055723534363</v>
      </c>
      <c r="Q2531">
        <v>1.8220253114405871</v>
      </c>
      <c r="R2531">
        <v>-2.1809411979384539</v>
      </c>
      <c r="S2531">
        <v>0.2260629491628024</v>
      </c>
      <c r="T2531">
        <v>0.1708725429537139</v>
      </c>
      <c r="U2531">
        <v>4.3297594032350304</v>
      </c>
      <c r="V2531">
        <v>0.1928505341528253</v>
      </c>
      <c r="W2531">
        <v>5.7079900272036603</v>
      </c>
      <c r="X2531">
        <v>0.41782235553338709</v>
      </c>
      <c r="Z2531" t="s">
        <v>392</v>
      </c>
      <c r="AA2531">
        <v>9400</v>
      </c>
      <c r="AB2531" t="s">
        <v>2922</v>
      </c>
      <c r="AC2531" t="str">
        <f>HYPERLINK("plots/3FT6Y578R01_012_S11P_20251111092011_M5358ACSH101811_RBGEUFRF26/dpll_52084/txpa_54197.png","plot")</f>
        <v>plot</v>
      </c>
    </row>
    <row r="2532" spans="1:29" hidden="1" x14ac:dyDescent="0.35">
      <c r="A2532" t="s">
        <v>48</v>
      </c>
      <c r="B2532">
        <v>52084</v>
      </c>
      <c r="C2532" t="s">
        <v>52</v>
      </c>
      <c r="D2532">
        <v>54198</v>
      </c>
      <c r="E2532" t="s">
        <v>218</v>
      </c>
      <c r="F2532">
        <v>12242</v>
      </c>
      <c r="G2532">
        <v>0.8498325168551113</v>
      </c>
      <c r="H2532">
        <v>0</v>
      </c>
      <c r="I2532">
        <v>0</v>
      </c>
      <c r="J2532">
        <v>0.74023651166756865</v>
      </c>
      <c r="K2532">
        <v>0</v>
      </c>
      <c r="L2532">
        <v>0</v>
      </c>
      <c r="M2532">
        <v>0.54778447614960279</v>
      </c>
      <c r="N2532">
        <v>0</v>
      </c>
      <c r="O2532">
        <v>0</v>
      </c>
      <c r="P2532">
        <v>0.72221530670429301</v>
      </c>
      <c r="Q2532">
        <v>1.8477266055524579</v>
      </c>
      <c r="R2532">
        <v>-2.272051837587278</v>
      </c>
      <c r="S2532">
        <v>0.22101464866797429</v>
      </c>
      <c r="T2532">
        <v>0.16873387552252619</v>
      </c>
      <c r="U2532">
        <v>4.3297189133311553</v>
      </c>
      <c r="V2532">
        <v>0.19287692535756709</v>
      </c>
      <c r="W2532">
        <v>5.728084993138375</v>
      </c>
      <c r="X2532">
        <v>0.41935771991776161</v>
      </c>
      <c r="Z2532" t="s">
        <v>392</v>
      </c>
      <c r="AA2532">
        <v>9400</v>
      </c>
      <c r="AB2532" t="s">
        <v>2923</v>
      </c>
      <c r="AC2532" t="str">
        <f>HYPERLINK("plots/3FT6Y578R01_012_S11P_20251111092011_M5358ACSH101811_RBGEUFRF26/dpll_52084/txpa_54198.png","plot")</f>
        <v>plot</v>
      </c>
    </row>
    <row r="2533" spans="1:29" hidden="1" x14ac:dyDescent="0.35">
      <c r="A2533" t="s">
        <v>48</v>
      </c>
      <c r="B2533">
        <v>52084</v>
      </c>
      <c r="C2533" t="s">
        <v>52</v>
      </c>
      <c r="D2533">
        <v>54199</v>
      </c>
      <c r="E2533" t="s">
        <v>219</v>
      </c>
      <c r="F2533">
        <v>12240</v>
      </c>
      <c r="G2533">
        <v>0.85017208293740376</v>
      </c>
      <c r="H2533">
        <v>0</v>
      </c>
      <c r="I2533">
        <v>0</v>
      </c>
      <c r="J2533">
        <v>0.73753895022747651</v>
      </c>
      <c r="K2533">
        <v>0</v>
      </c>
      <c r="L2533">
        <v>0</v>
      </c>
      <c r="M2533">
        <v>0.54459475652950784</v>
      </c>
      <c r="N2533">
        <v>0</v>
      </c>
      <c r="O2533">
        <v>0</v>
      </c>
      <c r="P2533">
        <v>0.72279257060612379</v>
      </c>
      <c r="Q2533">
        <v>1.853730171705978</v>
      </c>
      <c r="R2533">
        <v>-2.32463643019604</v>
      </c>
      <c r="S2533">
        <v>0.22137368887592451</v>
      </c>
      <c r="T2533">
        <v>0.16999284646212429</v>
      </c>
      <c r="U2533">
        <v>4.3297345467320261</v>
      </c>
      <c r="V2533">
        <v>0.1928420022508596</v>
      </c>
      <c r="W2533">
        <v>5.7015231345588244</v>
      </c>
      <c r="X2533">
        <v>0.42047609550939691</v>
      </c>
      <c r="Z2533" t="s">
        <v>392</v>
      </c>
      <c r="AA2533">
        <v>9400</v>
      </c>
      <c r="AB2533" t="s">
        <v>2924</v>
      </c>
      <c r="AC2533" t="str">
        <f>HYPERLINK("plots/3FT6Y578R01_012_S11P_20251111092011_M5358ACSH101811_RBGEUFRF26/dpll_52084/txpa_54199.png","plot")</f>
        <v>plot</v>
      </c>
    </row>
    <row r="2534" spans="1:29" hidden="1" x14ac:dyDescent="0.35">
      <c r="A2534" t="s">
        <v>48</v>
      </c>
      <c r="B2534">
        <v>52084</v>
      </c>
      <c r="C2534" t="s">
        <v>52</v>
      </c>
      <c r="D2534">
        <v>54200</v>
      </c>
      <c r="E2534" t="s">
        <v>220</v>
      </c>
      <c r="F2534">
        <v>12240</v>
      </c>
      <c r="G2534">
        <v>0.85200011420791921</v>
      </c>
      <c r="H2534">
        <v>0</v>
      </c>
      <c r="I2534">
        <v>0</v>
      </c>
      <c r="J2534">
        <v>0.74194282107048459</v>
      </c>
      <c r="K2534">
        <v>0</v>
      </c>
      <c r="L2534">
        <v>0</v>
      </c>
      <c r="M2534">
        <v>0.5496118714491981</v>
      </c>
      <c r="N2534">
        <v>0</v>
      </c>
      <c r="O2534">
        <v>0</v>
      </c>
      <c r="P2534">
        <v>0.72590419461030742</v>
      </c>
      <c r="Q2534">
        <v>1.86079800598718</v>
      </c>
      <c r="R2534">
        <v>-2.349801787417046</v>
      </c>
      <c r="S2534">
        <v>0.22046573044186071</v>
      </c>
      <c r="T2534">
        <v>0.16943373840159051</v>
      </c>
      <c r="U2534">
        <v>4.329689001062091</v>
      </c>
      <c r="V2534">
        <v>0.19281821557856541</v>
      </c>
      <c r="W2534">
        <v>5.7068748723039224</v>
      </c>
      <c r="X2534">
        <v>0.42112171710230722</v>
      </c>
      <c r="Z2534" t="s">
        <v>392</v>
      </c>
      <c r="AA2534">
        <v>9400</v>
      </c>
      <c r="AB2534" t="s">
        <v>2925</v>
      </c>
      <c r="AC2534" t="str">
        <f>HYPERLINK("plots/3FT6Y578R01_012_S11P_20251111092011_M5358ACSH101811_RBGEUFRF26/dpll_52084/txpa_54200.png","plot")</f>
        <v>plot</v>
      </c>
    </row>
    <row r="2535" spans="1:29" hidden="1" x14ac:dyDescent="0.35">
      <c r="A2535" t="s">
        <v>48</v>
      </c>
      <c r="B2535">
        <v>52084</v>
      </c>
      <c r="C2535" t="s">
        <v>52</v>
      </c>
      <c r="D2535">
        <v>54201</v>
      </c>
      <c r="E2535" t="s">
        <v>221</v>
      </c>
      <c r="F2535">
        <v>12241</v>
      </c>
      <c r="G2535">
        <v>0.8510514681928778</v>
      </c>
      <c r="H2535">
        <v>0</v>
      </c>
      <c r="I2535">
        <v>0</v>
      </c>
      <c r="J2535">
        <v>0.73741544062555964</v>
      </c>
      <c r="K2535">
        <v>0</v>
      </c>
      <c r="L2535">
        <v>0</v>
      </c>
      <c r="M2535">
        <v>0.54572484841043423</v>
      </c>
      <c r="N2535">
        <v>0</v>
      </c>
      <c r="O2535">
        <v>0</v>
      </c>
      <c r="P2535">
        <v>0.72428860151325292</v>
      </c>
      <c r="Q2535">
        <v>1.856463578620692</v>
      </c>
      <c r="R2535">
        <v>-2.326156462341026</v>
      </c>
      <c r="S2535">
        <v>0.2208815401169916</v>
      </c>
      <c r="T2535">
        <v>0.16959533670949231</v>
      </c>
      <c r="U2535">
        <v>4.3297572162405036</v>
      </c>
      <c r="V2535">
        <v>0.1928498001836009</v>
      </c>
      <c r="W2535">
        <v>5.7118801138795847</v>
      </c>
      <c r="X2535">
        <v>0.42067800076222139</v>
      </c>
      <c r="Z2535" t="s">
        <v>392</v>
      </c>
      <c r="AA2535">
        <v>9400</v>
      </c>
      <c r="AB2535" t="s">
        <v>2926</v>
      </c>
      <c r="AC2535" t="str">
        <f>HYPERLINK("plots/3FT6Y578R01_012_S11P_20251111092011_M5358ACSH101811_RBGEUFRF26/dpll_52084/txpa_54201.png","plot")</f>
        <v>plot</v>
      </c>
    </row>
    <row r="2536" spans="1:29" hidden="1" x14ac:dyDescent="0.35">
      <c r="A2536" t="s">
        <v>48</v>
      </c>
      <c r="B2536">
        <v>52084</v>
      </c>
      <c r="C2536" t="s">
        <v>52</v>
      </c>
      <c r="D2536">
        <v>54202</v>
      </c>
      <c r="E2536" t="s">
        <v>222</v>
      </c>
      <c r="F2536">
        <v>12235</v>
      </c>
      <c r="G2536">
        <v>0.84746444988712588</v>
      </c>
      <c r="H2536">
        <v>0</v>
      </c>
      <c r="I2536">
        <v>0</v>
      </c>
      <c r="J2536">
        <v>0.7309947241034368</v>
      </c>
      <c r="K2536">
        <v>0</v>
      </c>
      <c r="L2536">
        <v>0</v>
      </c>
      <c r="M2536">
        <v>0.54001734703130466</v>
      </c>
      <c r="N2536">
        <v>0</v>
      </c>
      <c r="O2536">
        <v>0</v>
      </c>
      <c r="P2536">
        <v>0.71819599382248889</v>
      </c>
      <c r="Q2536">
        <v>1.8344719849455771</v>
      </c>
      <c r="R2536">
        <v>-2.2473439462822529</v>
      </c>
      <c r="S2536">
        <v>0.22157368043955239</v>
      </c>
      <c r="T2536">
        <v>0.16973222000251811</v>
      </c>
      <c r="U2536">
        <v>4.3298668506742954</v>
      </c>
      <c r="V2536">
        <v>0.19282917546891709</v>
      </c>
      <c r="W2536">
        <v>5.6956754898242741</v>
      </c>
      <c r="X2536">
        <v>0.41740950941953742</v>
      </c>
      <c r="Z2536" t="s">
        <v>392</v>
      </c>
      <c r="AA2536">
        <v>9400</v>
      </c>
      <c r="AB2536" t="s">
        <v>2927</v>
      </c>
      <c r="AC2536" t="str">
        <f>HYPERLINK("plots/3FT6Y578R01_012_S11P_20251111092011_M5358ACSH101811_RBGEUFRF26/dpll_52084/txpa_54202.png","plot")</f>
        <v>plot</v>
      </c>
    </row>
    <row r="2537" spans="1:29" hidden="1" x14ac:dyDescent="0.35">
      <c r="A2537" t="s">
        <v>48</v>
      </c>
      <c r="B2537">
        <v>52084</v>
      </c>
      <c r="C2537" t="s">
        <v>52</v>
      </c>
      <c r="D2537">
        <v>54203</v>
      </c>
      <c r="E2537" t="s">
        <v>223</v>
      </c>
      <c r="F2537">
        <v>12239</v>
      </c>
      <c r="G2537">
        <v>0.83352606348150293</v>
      </c>
      <c r="H2537">
        <v>0</v>
      </c>
      <c r="I2537">
        <v>0</v>
      </c>
      <c r="J2537">
        <v>0.72954805604758877</v>
      </c>
      <c r="K2537">
        <v>0</v>
      </c>
      <c r="L2537">
        <v>0</v>
      </c>
      <c r="M2537">
        <v>0.5362755395492953</v>
      </c>
      <c r="N2537">
        <v>0</v>
      </c>
      <c r="O2537">
        <v>0</v>
      </c>
      <c r="P2537">
        <v>0.69476569850297043</v>
      </c>
      <c r="Q2537">
        <v>1.9110879634260871</v>
      </c>
      <c r="R2537">
        <v>-1.6229618385895941</v>
      </c>
      <c r="S2537">
        <v>0.24424193770671521</v>
      </c>
      <c r="T2537">
        <v>0.18231283398966269</v>
      </c>
      <c r="U2537">
        <v>4.3298106825721048</v>
      </c>
      <c r="V2537">
        <v>0.19282343640720981</v>
      </c>
      <c r="W2537">
        <v>6.6516872407876448</v>
      </c>
      <c r="X2537">
        <v>0.44210081067543228</v>
      </c>
      <c r="Z2537" t="s">
        <v>392</v>
      </c>
      <c r="AA2537">
        <v>9400</v>
      </c>
      <c r="AB2537" t="s">
        <v>2928</v>
      </c>
      <c r="AC2537" t="str">
        <f>HYPERLINK("plots/3FT6Y578R01_012_S11P_20251111092011_M5358ACSH101811_RBGEUFRF26/dpll_52084/txpa_54203.png","plot")</f>
        <v>plot</v>
      </c>
    </row>
    <row r="2538" spans="1:29" hidden="1" x14ac:dyDescent="0.35">
      <c r="A2538" t="s">
        <v>48</v>
      </c>
      <c r="B2538">
        <v>52084</v>
      </c>
      <c r="C2538" t="s">
        <v>52</v>
      </c>
      <c r="D2538">
        <v>54204</v>
      </c>
      <c r="E2538" t="s">
        <v>224</v>
      </c>
      <c r="F2538">
        <v>12239</v>
      </c>
      <c r="G2538">
        <v>0.8452159965251731</v>
      </c>
      <c r="H2538">
        <v>0</v>
      </c>
      <c r="I2538">
        <v>0</v>
      </c>
      <c r="J2538">
        <v>0.73838310326164469</v>
      </c>
      <c r="K2538">
        <v>0</v>
      </c>
      <c r="L2538">
        <v>0</v>
      </c>
      <c r="M2538">
        <v>0.54611855253102659</v>
      </c>
      <c r="N2538">
        <v>0</v>
      </c>
      <c r="O2538">
        <v>0</v>
      </c>
      <c r="P2538">
        <v>0.71439008078204147</v>
      </c>
      <c r="Q2538">
        <v>1.9380235840823901</v>
      </c>
      <c r="R2538">
        <v>-1.7047273292680309</v>
      </c>
      <c r="S2538">
        <v>0.2362944477736523</v>
      </c>
      <c r="T2538">
        <v>0.17913537324309101</v>
      </c>
      <c r="U2538">
        <v>4.3297724721791004</v>
      </c>
      <c r="V2538">
        <v>0.19283828792463359</v>
      </c>
      <c r="W2538">
        <v>6.6864738355257787</v>
      </c>
      <c r="X2538">
        <v>0.44216525887874569</v>
      </c>
      <c r="Z2538" t="s">
        <v>392</v>
      </c>
      <c r="AA2538">
        <v>9400</v>
      </c>
      <c r="AB2538" t="s">
        <v>2929</v>
      </c>
      <c r="AC2538" t="str">
        <f>HYPERLINK("plots/3FT6Y578R01_012_S11P_20251111092011_M5358ACSH101811_RBGEUFRF26/dpll_52084/txpa_54204.png","plot")</f>
        <v>plot</v>
      </c>
    </row>
    <row r="2539" spans="1:29" hidden="1" x14ac:dyDescent="0.35">
      <c r="A2539" t="s">
        <v>48</v>
      </c>
      <c r="B2539">
        <v>52084</v>
      </c>
      <c r="C2539" t="s">
        <v>52</v>
      </c>
      <c r="D2539">
        <v>54205</v>
      </c>
      <c r="E2539" t="s">
        <v>225</v>
      </c>
      <c r="F2539">
        <v>12239</v>
      </c>
      <c r="G2539">
        <v>0.84449495513658557</v>
      </c>
      <c r="H2539">
        <v>0</v>
      </c>
      <c r="I2539">
        <v>0</v>
      </c>
      <c r="J2539">
        <v>0.7350625583297149</v>
      </c>
      <c r="K2539">
        <v>0</v>
      </c>
      <c r="L2539">
        <v>0</v>
      </c>
      <c r="M2539">
        <v>0.54264134201295133</v>
      </c>
      <c r="N2539">
        <v>0</v>
      </c>
      <c r="O2539">
        <v>0</v>
      </c>
      <c r="P2539">
        <v>0.71317172925114369</v>
      </c>
      <c r="Q2539">
        <v>1.918160271430094</v>
      </c>
      <c r="R2539">
        <v>-1.612688184873774</v>
      </c>
      <c r="S2539">
        <v>0.2345902387167523</v>
      </c>
      <c r="T2539">
        <v>0.17745643740059411</v>
      </c>
      <c r="U2539">
        <v>4.3297849079173139</v>
      </c>
      <c r="V2539">
        <v>0.19285409751991289</v>
      </c>
      <c r="W2539">
        <v>6.6925332093308274</v>
      </c>
      <c r="X2539">
        <v>0.43804295785919972</v>
      </c>
      <c r="Z2539" t="s">
        <v>392</v>
      </c>
      <c r="AA2539">
        <v>9400</v>
      </c>
      <c r="AB2539" t="s">
        <v>2930</v>
      </c>
      <c r="AC2539" t="str">
        <f>HYPERLINK("plots/3FT6Y578R01_012_S11P_20251111092011_M5358ACSH101811_RBGEUFRF26/dpll_52084/txpa_54205.png","plot")</f>
        <v>plot</v>
      </c>
    </row>
    <row r="2540" spans="1:29" hidden="1" x14ac:dyDescent="0.35">
      <c r="A2540" t="s">
        <v>48</v>
      </c>
      <c r="B2540">
        <v>52084</v>
      </c>
      <c r="C2540" t="s">
        <v>52</v>
      </c>
      <c r="D2540">
        <v>54206</v>
      </c>
      <c r="E2540" t="s">
        <v>226</v>
      </c>
      <c r="F2540">
        <v>12240</v>
      </c>
      <c r="G2540">
        <v>0.85257156626171893</v>
      </c>
      <c r="H2540">
        <v>0</v>
      </c>
      <c r="I2540">
        <v>0</v>
      </c>
      <c r="J2540">
        <v>0.74155349220203348</v>
      </c>
      <c r="K2540">
        <v>0</v>
      </c>
      <c r="L2540">
        <v>0</v>
      </c>
      <c r="M2540">
        <v>0.54941429480314607</v>
      </c>
      <c r="N2540">
        <v>0</v>
      </c>
      <c r="O2540">
        <v>0</v>
      </c>
      <c r="P2540">
        <v>0.72687827559796059</v>
      </c>
      <c r="Q2540">
        <v>1.943587394792204</v>
      </c>
      <c r="R2540">
        <v>-1.7038478519910389</v>
      </c>
      <c r="S2540">
        <v>0.229760621393928</v>
      </c>
      <c r="T2540">
        <v>0.1754423695333569</v>
      </c>
      <c r="U2540">
        <v>4.3297635834967316</v>
      </c>
      <c r="V2540">
        <v>0.1928599219077857</v>
      </c>
      <c r="W2540">
        <v>6.7114260713235296</v>
      </c>
      <c r="X2540">
        <v>0.43965823869091403</v>
      </c>
      <c r="Z2540" t="s">
        <v>392</v>
      </c>
      <c r="AA2540">
        <v>9400</v>
      </c>
      <c r="AB2540" t="s">
        <v>2931</v>
      </c>
      <c r="AC2540" t="str">
        <f>HYPERLINK("plots/3FT6Y578R01_012_S11P_20251111092011_M5358ACSH101811_RBGEUFRF26/dpll_52084/txpa_54206.png","plot")</f>
        <v>plot</v>
      </c>
    </row>
    <row r="2541" spans="1:29" hidden="1" x14ac:dyDescent="0.35">
      <c r="A2541" t="s">
        <v>48</v>
      </c>
      <c r="B2541">
        <v>52084</v>
      </c>
      <c r="C2541" t="s">
        <v>52</v>
      </c>
      <c r="D2541">
        <v>54207</v>
      </c>
      <c r="E2541" t="s">
        <v>227</v>
      </c>
      <c r="F2541">
        <v>12239</v>
      </c>
      <c r="G2541">
        <v>0.8528662637937362</v>
      </c>
      <c r="H2541">
        <v>0</v>
      </c>
      <c r="I2541">
        <v>0</v>
      </c>
      <c r="J2541">
        <v>0.73919716917460243</v>
      </c>
      <c r="K2541">
        <v>0</v>
      </c>
      <c r="L2541">
        <v>0</v>
      </c>
      <c r="M2541">
        <v>0.54656634639608226</v>
      </c>
      <c r="N2541">
        <v>0</v>
      </c>
      <c r="O2541">
        <v>0</v>
      </c>
      <c r="P2541">
        <v>0.7273808639174868</v>
      </c>
      <c r="Q2541">
        <v>1.951260605936503</v>
      </c>
      <c r="R2541">
        <v>-1.7646903297516789</v>
      </c>
      <c r="S2541">
        <v>0.23034624186323749</v>
      </c>
      <c r="T2541">
        <v>0.17674618369343481</v>
      </c>
      <c r="U2541">
        <v>4.3297560370945334</v>
      </c>
      <c r="V2541">
        <v>0.1928352230179636</v>
      </c>
      <c r="W2541">
        <v>6.6837920587466302</v>
      </c>
      <c r="X2541">
        <v>0.44118496660683099</v>
      </c>
      <c r="Z2541" t="s">
        <v>392</v>
      </c>
      <c r="AA2541">
        <v>9400</v>
      </c>
      <c r="AB2541" t="s">
        <v>2932</v>
      </c>
      <c r="AC2541" t="str">
        <f>HYPERLINK("plots/3FT6Y578R01_012_S11P_20251111092011_M5358ACSH101811_RBGEUFRF26/dpll_52084/txpa_54207.png","plot")</f>
        <v>plot</v>
      </c>
    </row>
    <row r="2542" spans="1:29" hidden="1" x14ac:dyDescent="0.35">
      <c r="A2542" t="s">
        <v>48</v>
      </c>
      <c r="B2542">
        <v>52084</v>
      </c>
      <c r="C2542" t="s">
        <v>52</v>
      </c>
      <c r="D2542">
        <v>54208</v>
      </c>
      <c r="E2542" t="s">
        <v>228</v>
      </c>
      <c r="F2542">
        <v>12240</v>
      </c>
      <c r="G2542">
        <v>0.8542711276698286</v>
      </c>
      <c r="H2542">
        <v>0</v>
      </c>
      <c r="I2542">
        <v>0</v>
      </c>
      <c r="J2542">
        <v>0.74302923174107494</v>
      </c>
      <c r="K2542">
        <v>0</v>
      </c>
      <c r="L2542">
        <v>0</v>
      </c>
      <c r="M2542">
        <v>0.55103141808890521</v>
      </c>
      <c r="N2542">
        <v>0</v>
      </c>
      <c r="O2542">
        <v>0</v>
      </c>
      <c r="P2542">
        <v>0.72977915957028061</v>
      </c>
      <c r="Q2542">
        <v>1.95835233975196</v>
      </c>
      <c r="R2542">
        <v>-1.788961242572715</v>
      </c>
      <c r="S2542">
        <v>0.22976551174499901</v>
      </c>
      <c r="T2542">
        <v>0.17630259238567381</v>
      </c>
      <c r="U2542">
        <v>4.329689001062091</v>
      </c>
      <c r="V2542">
        <v>0.19281821557856541</v>
      </c>
      <c r="W2542">
        <v>6.6900953430555559</v>
      </c>
      <c r="X2542">
        <v>0.44202126396928149</v>
      </c>
      <c r="Z2542" t="s">
        <v>392</v>
      </c>
      <c r="AA2542">
        <v>9400</v>
      </c>
      <c r="AB2542" t="s">
        <v>2933</v>
      </c>
      <c r="AC2542" t="str">
        <f>HYPERLINK("plots/3FT6Y578R01_012_S11P_20251111092011_M5358ACSH101811_RBGEUFRF26/dpll_52084/txpa_54208.png","plot")</f>
        <v>plot</v>
      </c>
    </row>
    <row r="2543" spans="1:29" hidden="1" x14ac:dyDescent="0.35">
      <c r="A2543" t="s">
        <v>48</v>
      </c>
      <c r="B2543">
        <v>52084</v>
      </c>
      <c r="C2543" t="s">
        <v>52</v>
      </c>
      <c r="D2543">
        <v>54209</v>
      </c>
      <c r="E2543" t="s">
        <v>229</v>
      </c>
      <c r="F2543">
        <v>12240</v>
      </c>
      <c r="G2543">
        <v>0.85363971161559982</v>
      </c>
      <c r="H2543">
        <v>0</v>
      </c>
      <c r="I2543">
        <v>0</v>
      </c>
      <c r="J2543">
        <v>0.73885262525128059</v>
      </c>
      <c r="K2543">
        <v>0</v>
      </c>
      <c r="L2543">
        <v>0</v>
      </c>
      <c r="M2543">
        <v>0.54750476509119173</v>
      </c>
      <c r="N2543">
        <v>0</v>
      </c>
      <c r="O2543">
        <v>0</v>
      </c>
      <c r="P2543">
        <v>0.72870075724716443</v>
      </c>
      <c r="Q2543">
        <v>1.9537330213023969</v>
      </c>
      <c r="R2543">
        <v>-1.7640099452297</v>
      </c>
      <c r="S2543">
        <v>0.2298770856807015</v>
      </c>
      <c r="T2543">
        <v>0.17622995144655931</v>
      </c>
      <c r="U2543">
        <v>4.3297803968137254</v>
      </c>
      <c r="V2543">
        <v>0.192840623467677</v>
      </c>
      <c r="W2543">
        <v>6.6952249910130712</v>
      </c>
      <c r="X2543">
        <v>0.44135609999245179</v>
      </c>
      <c r="Z2543" t="s">
        <v>392</v>
      </c>
      <c r="AA2543">
        <v>9400</v>
      </c>
      <c r="AB2543" t="s">
        <v>2934</v>
      </c>
      <c r="AC2543" t="str">
        <f>HYPERLINK("plots/3FT6Y578R01_012_S11P_20251111092011_M5358ACSH101811_RBGEUFRF26/dpll_52084/txpa_54209.png","plot")</f>
        <v>plot</v>
      </c>
    </row>
    <row r="2544" spans="1:29" hidden="1" x14ac:dyDescent="0.35">
      <c r="A2544" t="s">
        <v>48</v>
      </c>
      <c r="B2544">
        <v>52084</v>
      </c>
      <c r="C2544" t="s">
        <v>52</v>
      </c>
      <c r="D2544">
        <v>54210</v>
      </c>
      <c r="E2544" t="s">
        <v>230</v>
      </c>
      <c r="F2544">
        <v>12235</v>
      </c>
      <c r="G2544">
        <v>0.8499501268135049</v>
      </c>
      <c r="H2544">
        <v>0</v>
      </c>
      <c r="I2544">
        <v>0</v>
      </c>
      <c r="J2544">
        <v>0.73260247366988174</v>
      </c>
      <c r="K2544">
        <v>0</v>
      </c>
      <c r="L2544">
        <v>0</v>
      </c>
      <c r="M2544">
        <v>0.54178520110263462</v>
      </c>
      <c r="N2544">
        <v>0</v>
      </c>
      <c r="O2544">
        <v>0</v>
      </c>
      <c r="P2544">
        <v>0.72241521807029307</v>
      </c>
      <c r="Q2544">
        <v>1.9316038774574851</v>
      </c>
      <c r="R2544">
        <v>-1.684051014228843</v>
      </c>
      <c r="S2544">
        <v>0.23087528655651909</v>
      </c>
      <c r="T2544">
        <v>0.17661615031322431</v>
      </c>
      <c r="U2544">
        <v>4.3298668506742954</v>
      </c>
      <c r="V2544">
        <v>0.19282917546891709</v>
      </c>
      <c r="W2544">
        <v>6.6795365834082547</v>
      </c>
      <c r="X2544">
        <v>0.43822522201284031</v>
      </c>
      <c r="Z2544" t="s">
        <v>392</v>
      </c>
      <c r="AA2544">
        <v>9400</v>
      </c>
      <c r="AB2544" t="s">
        <v>2935</v>
      </c>
      <c r="AC2544" t="str">
        <f>HYPERLINK("plots/3FT6Y578R01_012_S11P_20251111092011_M5358ACSH101811_RBGEUFRF26/dpll_52084/txpa_54210.png","plot")</f>
        <v>plot</v>
      </c>
    </row>
    <row r="2545" spans="1:29" hidden="1" x14ac:dyDescent="0.35">
      <c r="A2545" t="s">
        <v>48</v>
      </c>
      <c r="B2545">
        <v>52084</v>
      </c>
      <c r="C2545" t="s">
        <v>52</v>
      </c>
      <c r="D2545">
        <v>54211</v>
      </c>
      <c r="E2545" t="s">
        <v>231</v>
      </c>
      <c r="F2545">
        <v>12237</v>
      </c>
      <c r="G2545">
        <v>0.83612807238614906</v>
      </c>
      <c r="H2545">
        <v>0</v>
      </c>
      <c r="I2545">
        <v>0</v>
      </c>
      <c r="J2545">
        <v>0.73095864475014893</v>
      </c>
      <c r="K2545">
        <v>0</v>
      </c>
      <c r="L2545">
        <v>0</v>
      </c>
      <c r="M2545">
        <v>0.53786013009414502</v>
      </c>
      <c r="N2545">
        <v>0</v>
      </c>
      <c r="O2545">
        <v>0</v>
      </c>
      <c r="P2545">
        <v>0.69911015343217731</v>
      </c>
      <c r="Q2545">
        <v>2.0083911389286819</v>
      </c>
      <c r="R2545">
        <v>-1.093508655962405</v>
      </c>
      <c r="S2545">
        <v>0.25400391319734372</v>
      </c>
      <c r="T2545">
        <v>0.18948197743007161</v>
      </c>
      <c r="U2545">
        <v>4.3298677338399933</v>
      </c>
      <c r="V2545">
        <v>0.19278751042316511</v>
      </c>
      <c r="W2545">
        <v>7.6025593334150523</v>
      </c>
      <c r="X2545">
        <v>0.46307825369985728</v>
      </c>
      <c r="Z2545" t="s">
        <v>392</v>
      </c>
      <c r="AA2545">
        <v>9400</v>
      </c>
      <c r="AB2545" t="s">
        <v>2936</v>
      </c>
      <c r="AC2545" t="str">
        <f>HYPERLINK("plots/3FT6Y578R01_012_S11P_20251111092011_M5358ACSH101811_RBGEUFRF26/dpll_52084/txpa_54211.png","plot")</f>
        <v>plot</v>
      </c>
    </row>
    <row r="2546" spans="1:29" hidden="1" x14ac:dyDescent="0.35">
      <c r="A2546" t="s">
        <v>48</v>
      </c>
      <c r="B2546">
        <v>52084</v>
      </c>
      <c r="C2546" t="s">
        <v>52</v>
      </c>
      <c r="D2546">
        <v>54212</v>
      </c>
      <c r="E2546" t="s">
        <v>232</v>
      </c>
      <c r="F2546">
        <v>12235</v>
      </c>
      <c r="G2546">
        <v>0.84776116081733954</v>
      </c>
      <c r="H2546">
        <v>0</v>
      </c>
      <c r="I2546">
        <v>0</v>
      </c>
      <c r="J2546">
        <v>0.73926241093185407</v>
      </c>
      <c r="K2546">
        <v>0</v>
      </c>
      <c r="L2546">
        <v>0</v>
      </c>
      <c r="M2546">
        <v>0.54724877968955787</v>
      </c>
      <c r="N2546">
        <v>0</v>
      </c>
      <c r="O2546">
        <v>0</v>
      </c>
      <c r="P2546">
        <v>0.71869898579036307</v>
      </c>
      <c r="Q2546">
        <v>2.0338552518086619</v>
      </c>
      <c r="R2546">
        <v>-1.168425437634024</v>
      </c>
      <c r="S2546">
        <v>0.24530617005470781</v>
      </c>
      <c r="T2546">
        <v>0.18613859414210709</v>
      </c>
      <c r="U2546">
        <v>4.3298685019207186</v>
      </c>
      <c r="V2546">
        <v>0.1927942363882339</v>
      </c>
      <c r="W2546">
        <v>7.6379003546383331</v>
      </c>
      <c r="X2546">
        <v>0.46253070831719328</v>
      </c>
      <c r="Z2546" t="s">
        <v>392</v>
      </c>
      <c r="AA2546">
        <v>9400</v>
      </c>
      <c r="AB2546" t="s">
        <v>2937</v>
      </c>
      <c r="AC2546" t="str">
        <f>HYPERLINK("plots/3FT6Y578R01_012_S11P_20251111092011_M5358ACSH101811_RBGEUFRF26/dpll_52084/txpa_54212.png","plot")</f>
        <v>plot</v>
      </c>
    </row>
    <row r="2547" spans="1:29" hidden="1" x14ac:dyDescent="0.35">
      <c r="A2547" t="s">
        <v>48</v>
      </c>
      <c r="B2547">
        <v>52084</v>
      </c>
      <c r="C2547" t="s">
        <v>52</v>
      </c>
      <c r="D2547">
        <v>54213</v>
      </c>
      <c r="E2547" t="s">
        <v>233</v>
      </c>
      <c r="F2547">
        <v>12238</v>
      </c>
      <c r="G2547">
        <v>0.84679347027661278</v>
      </c>
      <c r="H2547">
        <v>0</v>
      </c>
      <c r="I2547">
        <v>0</v>
      </c>
      <c r="J2547">
        <v>0.73631118467923695</v>
      </c>
      <c r="K2547">
        <v>0</v>
      </c>
      <c r="L2547">
        <v>0</v>
      </c>
      <c r="M2547">
        <v>0.54408669321300474</v>
      </c>
      <c r="N2547">
        <v>0</v>
      </c>
      <c r="O2547">
        <v>0</v>
      </c>
      <c r="P2547">
        <v>0.71705918130310864</v>
      </c>
      <c r="Q2547">
        <v>2.0162267103513329</v>
      </c>
      <c r="R2547">
        <v>-1.085782984735763</v>
      </c>
      <c r="S2547">
        <v>0.24422400238193731</v>
      </c>
      <c r="T2547">
        <v>0.18462905727334539</v>
      </c>
      <c r="U2547">
        <v>4.3298114096257558</v>
      </c>
      <c r="V2547">
        <v>0.19283968898085149</v>
      </c>
      <c r="W2547">
        <v>7.6440984301356423</v>
      </c>
      <c r="X2547">
        <v>0.45915390869987283</v>
      </c>
      <c r="Z2547" t="s">
        <v>392</v>
      </c>
      <c r="AA2547">
        <v>9400</v>
      </c>
      <c r="AB2547" t="s">
        <v>2938</v>
      </c>
      <c r="AC2547" t="str">
        <f>HYPERLINK("plots/3FT6Y578R01_012_S11P_20251111092011_M5358ACSH101811_RBGEUFRF26/dpll_52084/txpa_54213.png","plot")</f>
        <v>plot</v>
      </c>
    </row>
    <row r="2548" spans="1:29" hidden="1" x14ac:dyDescent="0.35">
      <c r="A2548" t="s">
        <v>48</v>
      </c>
      <c r="B2548">
        <v>52084</v>
      </c>
      <c r="C2548" t="s">
        <v>52</v>
      </c>
      <c r="D2548">
        <v>54214</v>
      </c>
      <c r="E2548" t="s">
        <v>234</v>
      </c>
      <c r="F2548">
        <v>12240</v>
      </c>
      <c r="G2548">
        <v>0.85435537204492029</v>
      </c>
      <c r="H2548">
        <v>0</v>
      </c>
      <c r="I2548">
        <v>0</v>
      </c>
      <c r="J2548">
        <v>0.74241226667115323</v>
      </c>
      <c r="K2548">
        <v>0</v>
      </c>
      <c r="L2548">
        <v>0</v>
      </c>
      <c r="M2548">
        <v>0.55050096330412612</v>
      </c>
      <c r="N2548">
        <v>0</v>
      </c>
      <c r="O2548">
        <v>0</v>
      </c>
      <c r="P2548">
        <v>0.72992310174201414</v>
      </c>
      <c r="Q2548">
        <v>2.043051747930412</v>
      </c>
      <c r="R2548">
        <v>-1.184270818254459</v>
      </c>
      <c r="S2548">
        <v>0.2396672959883405</v>
      </c>
      <c r="T2548">
        <v>0.1827711936922779</v>
      </c>
      <c r="U2548">
        <v>4.3297635834967316</v>
      </c>
      <c r="V2548">
        <v>0.1928599219077857</v>
      </c>
      <c r="W2548">
        <v>7.6616602391339859</v>
      </c>
      <c r="X2548">
        <v>0.46119309768758321</v>
      </c>
      <c r="Z2548" t="s">
        <v>392</v>
      </c>
      <c r="AA2548">
        <v>9400</v>
      </c>
      <c r="AB2548" t="s">
        <v>2939</v>
      </c>
      <c r="AC2548" t="str">
        <f>HYPERLINK("plots/3FT6Y578R01_012_S11P_20251111092011_M5358ACSH101811_RBGEUFRF26/dpll_52084/txpa_54214.png","plot")</f>
        <v>plot</v>
      </c>
    </row>
    <row r="2549" spans="1:29" hidden="1" x14ac:dyDescent="0.35">
      <c r="A2549" t="s">
        <v>48</v>
      </c>
      <c r="B2549">
        <v>52084</v>
      </c>
      <c r="C2549" t="s">
        <v>52</v>
      </c>
      <c r="D2549">
        <v>54215</v>
      </c>
      <c r="E2549" t="s">
        <v>235</v>
      </c>
      <c r="F2549">
        <v>12239</v>
      </c>
      <c r="G2549">
        <v>0.85472276066546959</v>
      </c>
      <c r="H2549">
        <v>0</v>
      </c>
      <c r="I2549">
        <v>0</v>
      </c>
      <c r="J2549">
        <v>0.74008601874485713</v>
      </c>
      <c r="K2549">
        <v>0</v>
      </c>
      <c r="L2549">
        <v>0</v>
      </c>
      <c r="M2549">
        <v>0.54771928339336762</v>
      </c>
      <c r="N2549">
        <v>0</v>
      </c>
      <c r="O2549">
        <v>0</v>
      </c>
      <c r="P2549">
        <v>0.73055099759960163</v>
      </c>
      <c r="Q2549">
        <v>2.0512725499167739</v>
      </c>
      <c r="R2549">
        <v>-1.2484328746343261</v>
      </c>
      <c r="S2549">
        <v>0.24021770350321839</v>
      </c>
      <c r="T2549">
        <v>0.18408954304960121</v>
      </c>
      <c r="U2549">
        <v>4.3297560370945334</v>
      </c>
      <c r="V2549">
        <v>0.1928352230179636</v>
      </c>
      <c r="W2549">
        <v>7.6330768320941251</v>
      </c>
      <c r="X2549">
        <v>0.46279053026019212</v>
      </c>
      <c r="Z2549" t="s">
        <v>392</v>
      </c>
      <c r="AA2549">
        <v>9400</v>
      </c>
      <c r="AB2549" t="s">
        <v>2940</v>
      </c>
      <c r="AC2549" t="str">
        <f>HYPERLINK("plots/3FT6Y578R01_012_S11P_20251111092011_M5358ACSH101811_RBGEUFRF26/dpll_52084/txpa_54215.png","plot")</f>
        <v>plot</v>
      </c>
    </row>
    <row r="2550" spans="1:29" hidden="1" x14ac:dyDescent="0.35">
      <c r="A2550" t="s">
        <v>48</v>
      </c>
      <c r="B2550">
        <v>52084</v>
      </c>
      <c r="C2550" t="s">
        <v>52</v>
      </c>
      <c r="D2550">
        <v>54216</v>
      </c>
      <c r="E2550" t="s">
        <v>236</v>
      </c>
      <c r="F2550">
        <v>12239</v>
      </c>
      <c r="G2550">
        <v>0.85654320667529726</v>
      </c>
      <c r="H2550">
        <v>0</v>
      </c>
      <c r="I2550">
        <v>0</v>
      </c>
      <c r="J2550">
        <v>0.74373315327256562</v>
      </c>
      <c r="K2550">
        <v>0</v>
      </c>
      <c r="L2550">
        <v>0</v>
      </c>
      <c r="M2550">
        <v>0.55205395016388037</v>
      </c>
      <c r="N2550">
        <v>0</v>
      </c>
      <c r="O2550">
        <v>0</v>
      </c>
      <c r="P2550">
        <v>0.73366626490160103</v>
      </c>
      <c r="Q2550">
        <v>2.056708160651548</v>
      </c>
      <c r="R2550">
        <v>-1.264131111993013</v>
      </c>
      <c r="S2550">
        <v>0.23894549326264319</v>
      </c>
      <c r="T2550">
        <v>0.1833836518988185</v>
      </c>
      <c r="U2550">
        <v>4.3297486986681912</v>
      </c>
      <c r="V2550">
        <v>0.19283244174969821</v>
      </c>
      <c r="W2550">
        <v>7.6408983701282782</v>
      </c>
      <c r="X2550">
        <v>0.46302399399603628</v>
      </c>
      <c r="Z2550" t="s">
        <v>392</v>
      </c>
      <c r="AA2550">
        <v>9400</v>
      </c>
      <c r="AB2550" t="s">
        <v>2941</v>
      </c>
      <c r="AC2550" t="str">
        <f>HYPERLINK("plots/3FT6Y578R01_012_S11P_20251111092011_M5358ACSH101811_RBGEUFRF26/dpll_52084/txpa_54216.png","plot")</f>
        <v>plot</v>
      </c>
    </row>
    <row r="2551" spans="1:29" hidden="1" x14ac:dyDescent="0.35">
      <c r="A2551" t="s">
        <v>48</v>
      </c>
      <c r="B2551">
        <v>52084</v>
      </c>
      <c r="C2551" t="s">
        <v>52</v>
      </c>
      <c r="D2551">
        <v>54217</v>
      </c>
      <c r="E2551" t="s">
        <v>237</v>
      </c>
      <c r="F2551">
        <v>12239</v>
      </c>
      <c r="G2551">
        <v>0.85563854824814778</v>
      </c>
      <c r="H2551">
        <v>0</v>
      </c>
      <c r="I2551">
        <v>0</v>
      </c>
      <c r="J2551">
        <v>0.73955706374367991</v>
      </c>
      <c r="K2551">
        <v>0</v>
      </c>
      <c r="L2551">
        <v>0</v>
      </c>
      <c r="M2551">
        <v>0.54853807876540028</v>
      </c>
      <c r="N2551">
        <v>0</v>
      </c>
      <c r="O2551">
        <v>0</v>
      </c>
      <c r="P2551">
        <v>0.73211732524819795</v>
      </c>
      <c r="Q2551">
        <v>2.0525669717630981</v>
      </c>
      <c r="R2551">
        <v>-1.2411233943811051</v>
      </c>
      <c r="S2551">
        <v>0.23941656656038021</v>
      </c>
      <c r="T2551">
        <v>0.18336799846307991</v>
      </c>
      <c r="U2551">
        <v>4.3297985815017563</v>
      </c>
      <c r="V2551">
        <v>0.1928380067872689</v>
      </c>
      <c r="W2551">
        <v>7.6460781683961114</v>
      </c>
      <c r="X2551">
        <v>0.46259360853081188</v>
      </c>
      <c r="Z2551" t="s">
        <v>392</v>
      </c>
      <c r="AA2551">
        <v>9400</v>
      </c>
      <c r="AB2551" t="s">
        <v>2942</v>
      </c>
      <c r="AC2551" t="str">
        <f>HYPERLINK("plots/3FT6Y578R01_012_S11P_20251111092011_M5358ACSH101811_RBGEUFRF26/dpll_52084/txpa_54217.png","plot")</f>
        <v>plot</v>
      </c>
    </row>
    <row r="2552" spans="1:29" hidden="1" x14ac:dyDescent="0.35">
      <c r="A2552" t="s">
        <v>48</v>
      </c>
      <c r="B2552">
        <v>52084</v>
      </c>
      <c r="C2552" t="s">
        <v>52</v>
      </c>
      <c r="D2552">
        <v>54218</v>
      </c>
      <c r="E2552" t="s">
        <v>238</v>
      </c>
      <c r="F2552">
        <v>12233</v>
      </c>
      <c r="G2552">
        <v>0.85213663103305415</v>
      </c>
      <c r="H2552">
        <v>0</v>
      </c>
      <c r="I2552">
        <v>0</v>
      </c>
      <c r="J2552">
        <v>0.73354679983394677</v>
      </c>
      <c r="K2552">
        <v>0</v>
      </c>
      <c r="L2552">
        <v>0</v>
      </c>
      <c r="M2552">
        <v>0.54292936556525262</v>
      </c>
      <c r="N2552">
        <v>0</v>
      </c>
      <c r="O2552">
        <v>0</v>
      </c>
      <c r="P2552">
        <v>0.72613683794836348</v>
      </c>
      <c r="Q2552">
        <v>2.029103785326936</v>
      </c>
      <c r="R2552">
        <v>-1.154973718766485</v>
      </c>
      <c r="S2552">
        <v>0.24025703908652471</v>
      </c>
      <c r="T2552">
        <v>0.18371991117099881</v>
      </c>
      <c r="U2552">
        <v>4.3299124281860539</v>
      </c>
      <c r="V2552">
        <v>0.19281110202685661</v>
      </c>
      <c r="W2552">
        <v>7.6308679793999827</v>
      </c>
      <c r="X2552">
        <v>0.4591209000151259</v>
      </c>
      <c r="Z2552" t="s">
        <v>392</v>
      </c>
      <c r="AA2552">
        <v>9400</v>
      </c>
      <c r="AB2552" t="s">
        <v>2943</v>
      </c>
      <c r="AC2552" t="str">
        <f>HYPERLINK("plots/3FT6Y578R01_012_S11P_20251111092011_M5358ACSH101811_RBGEUFRF26/dpll_52084/txpa_54218.png","plot")</f>
        <v>plot</v>
      </c>
    </row>
    <row r="2553" spans="1:29" hidden="1" x14ac:dyDescent="0.35">
      <c r="A2553" t="s">
        <v>48</v>
      </c>
      <c r="B2553">
        <v>52084</v>
      </c>
      <c r="C2553" t="s">
        <v>52</v>
      </c>
      <c r="D2553">
        <v>54219</v>
      </c>
      <c r="E2553" t="s">
        <v>239</v>
      </c>
      <c r="F2553">
        <v>12226</v>
      </c>
      <c r="G2553">
        <v>0.83984083862198888</v>
      </c>
      <c r="H2553">
        <v>0</v>
      </c>
      <c r="I2553">
        <v>0</v>
      </c>
      <c r="J2553">
        <v>0.73204268884970836</v>
      </c>
      <c r="K2553">
        <v>0</v>
      </c>
      <c r="L2553">
        <v>0</v>
      </c>
      <c r="M2553">
        <v>0.53929379141197198</v>
      </c>
      <c r="N2553">
        <v>0</v>
      </c>
      <c r="O2553">
        <v>0</v>
      </c>
      <c r="P2553">
        <v>0.70533263421728554</v>
      </c>
      <c r="Q2553">
        <v>2.1145815267175641</v>
      </c>
      <c r="R2553">
        <v>-0.59396131403374319</v>
      </c>
      <c r="S2553">
        <v>0.2632749749144086</v>
      </c>
      <c r="T2553">
        <v>0.19678927648757311</v>
      </c>
      <c r="U2553">
        <v>4.3301429919842951</v>
      </c>
      <c r="V2553">
        <v>0.19263441430476069</v>
      </c>
      <c r="W2553">
        <v>8.5624790648617708</v>
      </c>
      <c r="X2553">
        <v>0.48502186981913148</v>
      </c>
      <c r="Z2553" t="s">
        <v>392</v>
      </c>
      <c r="AA2553">
        <v>9400</v>
      </c>
      <c r="AB2553" t="s">
        <v>2944</v>
      </c>
      <c r="AC2553" t="str">
        <f>HYPERLINK("plots/3FT6Y578R01_012_S11P_20251111092011_M5358ACSH101811_RBGEUFRF26/dpll_52084/txpa_54219.png","plot")</f>
        <v>plot</v>
      </c>
    </row>
    <row r="2554" spans="1:29" hidden="1" x14ac:dyDescent="0.35">
      <c r="A2554" t="s">
        <v>48</v>
      </c>
      <c r="B2554">
        <v>52084</v>
      </c>
      <c r="C2554" t="s">
        <v>52</v>
      </c>
      <c r="D2554">
        <v>54220</v>
      </c>
      <c r="E2554" t="s">
        <v>240</v>
      </c>
      <c r="F2554">
        <v>12234</v>
      </c>
      <c r="G2554">
        <v>0.85000454723819474</v>
      </c>
      <c r="H2554">
        <v>0</v>
      </c>
      <c r="I2554">
        <v>0</v>
      </c>
      <c r="J2554">
        <v>0.74043348865830805</v>
      </c>
      <c r="K2554">
        <v>0</v>
      </c>
      <c r="L2554">
        <v>0</v>
      </c>
      <c r="M2554">
        <v>0.54864528333116491</v>
      </c>
      <c r="N2554">
        <v>0</v>
      </c>
      <c r="O2554">
        <v>0</v>
      </c>
      <c r="P2554">
        <v>0.72250773032560844</v>
      </c>
      <c r="Q2554">
        <v>2.1481354303707989</v>
      </c>
      <c r="R2554">
        <v>-0.7055487131255056</v>
      </c>
      <c r="S2554">
        <v>0.2566208336552922</v>
      </c>
      <c r="T2554">
        <v>0.19442133352061261</v>
      </c>
      <c r="U2554">
        <v>4.3298993408533599</v>
      </c>
      <c r="V2554">
        <v>0.19277193554284741</v>
      </c>
      <c r="W2554">
        <v>8.595661470900767</v>
      </c>
      <c r="X2554">
        <v>0.48717412873404781</v>
      </c>
      <c r="Z2554" t="s">
        <v>392</v>
      </c>
      <c r="AA2554">
        <v>9400</v>
      </c>
      <c r="AB2554" t="s">
        <v>2945</v>
      </c>
      <c r="AC2554" t="str">
        <f>HYPERLINK("plots/3FT6Y578R01_012_S11P_20251111092011_M5358ACSH101811_RBGEUFRF26/dpll_52084/txpa_54220.png","plot")</f>
        <v>plot</v>
      </c>
    </row>
    <row r="2555" spans="1:29" hidden="1" x14ac:dyDescent="0.35">
      <c r="A2555" t="s">
        <v>48</v>
      </c>
      <c r="B2555">
        <v>52084</v>
      </c>
      <c r="C2555" t="s">
        <v>52</v>
      </c>
      <c r="D2555">
        <v>54221</v>
      </c>
      <c r="E2555" t="s">
        <v>241</v>
      </c>
      <c r="F2555">
        <v>12236</v>
      </c>
      <c r="G2555">
        <v>0.84934053071177407</v>
      </c>
      <c r="H2555">
        <v>0</v>
      </c>
      <c r="I2555">
        <v>0</v>
      </c>
      <c r="J2555">
        <v>0.73757997648106799</v>
      </c>
      <c r="K2555">
        <v>0</v>
      </c>
      <c r="L2555">
        <v>0</v>
      </c>
      <c r="M2555">
        <v>0.54558287946143846</v>
      </c>
      <c r="N2555">
        <v>0</v>
      </c>
      <c r="O2555">
        <v>0</v>
      </c>
      <c r="P2555">
        <v>0.72137933710975799</v>
      </c>
      <c r="Q2555">
        <v>2.1296198468921128</v>
      </c>
      <c r="R2555">
        <v>-0.61855654155300144</v>
      </c>
      <c r="S2555">
        <v>0.25516867931209541</v>
      </c>
      <c r="T2555">
        <v>0.192671995331997</v>
      </c>
      <c r="U2555">
        <v>4.3298678105590058</v>
      </c>
      <c r="V2555">
        <v>0.19280496625456711</v>
      </c>
      <c r="W2555">
        <v>8.6024158822327568</v>
      </c>
      <c r="X2555">
        <v>0.4834354041376</v>
      </c>
      <c r="Z2555" t="s">
        <v>392</v>
      </c>
      <c r="AA2555">
        <v>9400</v>
      </c>
      <c r="AB2555" t="s">
        <v>2946</v>
      </c>
      <c r="AC2555" t="str">
        <f>HYPERLINK("plots/3FT6Y578R01_012_S11P_20251111092011_M5358ACSH101811_RBGEUFRF26/dpll_52084/txpa_54221.png","plot")</f>
        <v>plot</v>
      </c>
    </row>
    <row r="2556" spans="1:29" hidden="1" x14ac:dyDescent="0.35">
      <c r="A2556" t="s">
        <v>48</v>
      </c>
      <c r="B2556">
        <v>52084</v>
      </c>
      <c r="C2556" t="s">
        <v>52</v>
      </c>
      <c r="D2556">
        <v>54222</v>
      </c>
      <c r="E2556" t="s">
        <v>242</v>
      </c>
      <c r="F2556">
        <v>12240</v>
      </c>
      <c r="G2556">
        <v>0.85630209816020542</v>
      </c>
      <c r="H2556">
        <v>0</v>
      </c>
      <c r="I2556">
        <v>0</v>
      </c>
      <c r="J2556">
        <v>0.74331340757480879</v>
      </c>
      <c r="K2556">
        <v>0</v>
      </c>
      <c r="L2556">
        <v>0</v>
      </c>
      <c r="M2556">
        <v>0.55167455860982895</v>
      </c>
      <c r="N2556">
        <v>0</v>
      </c>
      <c r="O2556">
        <v>0</v>
      </c>
      <c r="P2556">
        <v>0.73325328331357009</v>
      </c>
      <c r="Q2556">
        <v>2.1588697266961172</v>
      </c>
      <c r="R2556">
        <v>-0.72842273837807703</v>
      </c>
      <c r="S2556">
        <v>0.25111532326364749</v>
      </c>
      <c r="T2556">
        <v>0.19114147016716951</v>
      </c>
      <c r="U2556">
        <v>4.3297635834967316</v>
      </c>
      <c r="V2556">
        <v>0.1928599219077857</v>
      </c>
      <c r="W2556">
        <v>8.6189727857843135</v>
      </c>
      <c r="X2556">
        <v>0.48622962362729027</v>
      </c>
      <c r="Z2556" t="s">
        <v>392</v>
      </c>
      <c r="AA2556">
        <v>9400</v>
      </c>
      <c r="AB2556" t="s">
        <v>2947</v>
      </c>
      <c r="AC2556" t="str">
        <f>HYPERLINK("plots/3FT6Y578R01_012_S11P_20251111092011_M5358ACSH101811_RBGEUFRF26/dpll_52084/txpa_54222.png","plot")</f>
        <v>plot</v>
      </c>
    </row>
    <row r="2557" spans="1:29" hidden="1" x14ac:dyDescent="0.35">
      <c r="A2557" t="s">
        <v>48</v>
      </c>
      <c r="B2557">
        <v>52084</v>
      </c>
      <c r="C2557" t="s">
        <v>52</v>
      </c>
      <c r="D2557">
        <v>54223</v>
      </c>
      <c r="E2557" t="s">
        <v>243</v>
      </c>
      <c r="F2557">
        <v>12238</v>
      </c>
      <c r="G2557">
        <v>0.85683738387114028</v>
      </c>
      <c r="H2557">
        <v>0</v>
      </c>
      <c r="I2557">
        <v>0</v>
      </c>
      <c r="J2557">
        <v>0.74109734314839315</v>
      </c>
      <c r="K2557">
        <v>0</v>
      </c>
      <c r="L2557">
        <v>0</v>
      </c>
      <c r="M2557">
        <v>0.54901763389906932</v>
      </c>
      <c r="N2557">
        <v>0</v>
      </c>
      <c r="O2557">
        <v>0</v>
      </c>
      <c r="P2557">
        <v>0.73417030239913983</v>
      </c>
      <c r="Q2557">
        <v>2.166689484903547</v>
      </c>
      <c r="R2557">
        <v>-0.79188712221161239</v>
      </c>
      <c r="S2557">
        <v>0.25139054422433149</v>
      </c>
      <c r="T2557">
        <v>0.1923062818833382</v>
      </c>
      <c r="U2557">
        <v>4.3297789251511682</v>
      </c>
      <c r="V2557">
        <v>0.19282647619318749</v>
      </c>
      <c r="W2557">
        <v>8.5893993468704029</v>
      </c>
      <c r="X2557">
        <v>0.48760138883204429</v>
      </c>
      <c r="Z2557" t="s">
        <v>392</v>
      </c>
      <c r="AA2557">
        <v>9400</v>
      </c>
      <c r="AB2557" t="s">
        <v>2948</v>
      </c>
      <c r="AC2557" t="str">
        <f>HYPERLINK("plots/3FT6Y578R01_012_S11P_20251111092011_M5358ACSH101811_RBGEUFRF26/dpll_52084/txpa_54223.png","plot")</f>
        <v>plot</v>
      </c>
    </row>
    <row r="2558" spans="1:29" hidden="1" x14ac:dyDescent="0.35">
      <c r="A2558" t="s">
        <v>48</v>
      </c>
      <c r="B2558">
        <v>52084</v>
      </c>
      <c r="C2558" t="s">
        <v>52</v>
      </c>
      <c r="D2558">
        <v>54224</v>
      </c>
      <c r="E2558" t="s">
        <v>244</v>
      </c>
      <c r="F2558">
        <v>12238</v>
      </c>
      <c r="G2558">
        <v>0.85855528344365484</v>
      </c>
      <c r="H2558">
        <v>0</v>
      </c>
      <c r="I2558">
        <v>0</v>
      </c>
      <c r="J2558">
        <v>0.74451803346421652</v>
      </c>
      <c r="K2558">
        <v>0</v>
      </c>
      <c r="L2558">
        <v>0</v>
      </c>
      <c r="M2558">
        <v>0.5531573623970425</v>
      </c>
      <c r="N2558">
        <v>0</v>
      </c>
      <c r="O2558">
        <v>0</v>
      </c>
      <c r="P2558">
        <v>0.7371171747290145</v>
      </c>
      <c r="Q2558">
        <v>2.1712844982502668</v>
      </c>
      <c r="R2558">
        <v>-0.80258117959873765</v>
      </c>
      <c r="S2558">
        <v>0.2500210955584618</v>
      </c>
      <c r="T2558">
        <v>0.1915708026168523</v>
      </c>
      <c r="U2558">
        <v>4.3297701919431271</v>
      </c>
      <c r="V2558">
        <v>0.19282565926756759</v>
      </c>
      <c r="W2558">
        <v>8.5985817191534561</v>
      </c>
      <c r="X2558">
        <v>0.48765568497026718</v>
      </c>
      <c r="Z2558" t="s">
        <v>392</v>
      </c>
      <c r="AA2558">
        <v>9400</v>
      </c>
      <c r="AB2558" t="s">
        <v>2949</v>
      </c>
      <c r="AC2558" t="str">
        <f>HYPERLINK("plots/3FT6Y578R01_012_S11P_20251111092011_M5358ACSH101811_RBGEUFRF26/dpll_52084/txpa_54224.png","plot")</f>
        <v>plot</v>
      </c>
    </row>
    <row r="2559" spans="1:29" hidden="1" x14ac:dyDescent="0.35">
      <c r="A2559" t="s">
        <v>48</v>
      </c>
      <c r="B2559">
        <v>52084</v>
      </c>
      <c r="C2559" t="s">
        <v>52</v>
      </c>
      <c r="D2559">
        <v>54225</v>
      </c>
      <c r="E2559" t="s">
        <v>245</v>
      </c>
      <c r="F2559">
        <v>12233</v>
      </c>
      <c r="G2559">
        <v>0.8585182534662088</v>
      </c>
      <c r="H2559">
        <v>0</v>
      </c>
      <c r="I2559">
        <v>0</v>
      </c>
      <c r="J2559">
        <v>0.74043471272665495</v>
      </c>
      <c r="K2559">
        <v>0</v>
      </c>
      <c r="L2559">
        <v>0</v>
      </c>
      <c r="M2559">
        <v>0.54985593341929928</v>
      </c>
      <c r="N2559">
        <v>0</v>
      </c>
      <c r="O2559">
        <v>0</v>
      </c>
      <c r="P2559">
        <v>0.73705359153466954</v>
      </c>
      <c r="Q2559">
        <v>2.1645231762122719</v>
      </c>
      <c r="R2559">
        <v>-0.76741443173363422</v>
      </c>
      <c r="S2559">
        <v>0.2492474058454188</v>
      </c>
      <c r="T2559">
        <v>0.19096797346380831</v>
      </c>
      <c r="U2559">
        <v>4.3299240887762611</v>
      </c>
      <c r="V2559">
        <v>0.1927977982811542</v>
      </c>
      <c r="W2559">
        <v>8.6048066096623881</v>
      </c>
      <c r="X2559">
        <v>0.4860878624506525</v>
      </c>
      <c r="Z2559" t="s">
        <v>392</v>
      </c>
      <c r="AA2559">
        <v>9400</v>
      </c>
      <c r="AB2559" t="s">
        <v>2950</v>
      </c>
      <c r="AC2559" t="str">
        <f>HYPERLINK("plots/3FT6Y578R01_012_S11P_20251111092011_M5358ACSH101811_RBGEUFRF26/dpll_52084/txpa_54225.png","plot")</f>
        <v>plot</v>
      </c>
    </row>
    <row r="2560" spans="1:29" hidden="1" x14ac:dyDescent="0.35">
      <c r="A2560" t="s">
        <v>48</v>
      </c>
      <c r="B2560">
        <v>52084</v>
      </c>
      <c r="C2560" t="s">
        <v>52</v>
      </c>
      <c r="D2560">
        <v>54226</v>
      </c>
      <c r="E2560" t="s">
        <v>246</v>
      </c>
      <c r="F2560">
        <v>12231</v>
      </c>
      <c r="G2560">
        <v>0.85439169346083532</v>
      </c>
      <c r="H2560">
        <v>0</v>
      </c>
      <c r="I2560">
        <v>0</v>
      </c>
      <c r="J2560">
        <v>0.73440382726568432</v>
      </c>
      <c r="K2560">
        <v>0</v>
      </c>
      <c r="L2560">
        <v>0</v>
      </c>
      <c r="M2560">
        <v>0.54405842578044505</v>
      </c>
      <c r="N2560">
        <v>0</v>
      </c>
      <c r="O2560">
        <v>0</v>
      </c>
      <c r="P2560">
        <v>0.72998516585487394</v>
      </c>
      <c r="Q2560">
        <v>2.1420144353512631</v>
      </c>
      <c r="R2560">
        <v>-0.68457120251708226</v>
      </c>
      <c r="S2560">
        <v>0.25115359430063261</v>
      </c>
      <c r="T2560">
        <v>0.19184780458768211</v>
      </c>
      <c r="U2560">
        <v>4.3299559772708696</v>
      </c>
      <c r="V2560">
        <v>0.1927959756708455</v>
      </c>
      <c r="W2560">
        <v>8.5902570052326066</v>
      </c>
      <c r="X2560">
        <v>0.48335180002954042</v>
      </c>
      <c r="Z2560" t="s">
        <v>392</v>
      </c>
      <c r="AA2560">
        <v>9400</v>
      </c>
      <c r="AB2560" t="s">
        <v>2951</v>
      </c>
      <c r="AC2560" t="str">
        <f>HYPERLINK("plots/3FT6Y578R01_012_S11P_20251111092011_M5358ACSH101811_RBGEUFRF26/dpll_52084/txpa_54226.png","plot")</f>
        <v>plot</v>
      </c>
    </row>
    <row r="2561" spans="1:29" hidden="1" x14ac:dyDescent="0.35">
      <c r="A2561" t="s">
        <v>48</v>
      </c>
      <c r="B2561">
        <v>52084</v>
      </c>
      <c r="C2561" t="s">
        <v>52</v>
      </c>
      <c r="D2561">
        <v>54227</v>
      </c>
      <c r="E2561" t="s">
        <v>247</v>
      </c>
      <c r="F2561">
        <v>12223</v>
      </c>
      <c r="G2561">
        <v>0.84089226629269898</v>
      </c>
      <c r="H2561">
        <v>0</v>
      </c>
      <c r="I2561">
        <v>0</v>
      </c>
      <c r="J2561">
        <v>0.73207074891079194</v>
      </c>
      <c r="K2561">
        <v>0</v>
      </c>
      <c r="L2561">
        <v>0</v>
      </c>
      <c r="M2561">
        <v>0.53948700011623418</v>
      </c>
      <c r="N2561">
        <v>0</v>
      </c>
      <c r="O2561">
        <v>0</v>
      </c>
      <c r="P2561">
        <v>0.70709980351087132</v>
      </c>
      <c r="Q2561">
        <v>2.17576199290807</v>
      </c>
      <c r="R2561">
        <v>-0.39333540597206529</v>
      </c>
      <c r="S2561">
        <v>0.26967386411650429</v>
      </c>
      <c r="T2561">
        <v>0.20151607668958069</v>
      </c>
      <c r="U2561">
        <v>4.33022266178516</v>
      </c>
      <c r="V2561">
        <v>0.19258646652735209</v>
      </c>
      <c r="W2561">
        <v>9.0281984823693033</v>
      </c>
      <c r="X2561">
        <v>0.4983067760464111</v>
      </c>
      <c r="Z2561" t="s">
        <v>392</v>
      </c>
      <c r="AA2561">
        <v>9400</v>
      </c>
      <c r="AB2561" t="s">
        <v>2952</v>
      </c>
      <c r="AC2561" t="str">
        <f>HYPERLINK("plots/3FT6Y578R01_012_S11P_20251111092011_M5358ACSH101811_RBGEUFRF26/dpll_52084/txpa_54227.png","plot")</f>
        <v>plot</v>
      </c>
    </row>
    <row r="2562" spans="1:29" hidden="1" x14ac:dyDescent="0.35">
      <c r="A2562" t="s">
        <v>48</v>
      </c>
      <c r="B2562">
        <v>52084</v>
      </c>
      <c r="C2562" t="s">
        <v>52</v>
      </c>
      <c r="D2562">
        <v>54228</v>
      </c>
      <c r="E2562" t="s">
        <v>248</v>
      </c>
      <c r="F2562">
        <v>12232</v>
      </c>
      <c r="G2562">
        <v>0.85101381084308492</v>
      </c>
      <c r="H2562">
        <v>0</v>
      </c>
      <c r="I2562">
        <v>0</v>
      </c>
      <c r="J2562">
        <v>0.74028337717089931</v>
      </c>
      <c r="K2562">
        <v>0</v>
      </c>
      <c r="L2562">
        <v>0</v>
      </c>
      <c r="M2562">
        <v>0.54869689045271586</v>
      </c>
      <c r="N2562">
        <v>0</v>
      </c>
      <c r="O2562">
        <v>0</v>
      </c>
      <c r="P2562">
        <v>0.72422450624566992</v>
      </c>
      <c r="Q2562">
        <v>2.21076622895644</v>
      </c>
      <c r="R2562">
        <v>-0.51131307100352963</v>
      </c>
      <c r="S2562">
        <v>0.26296406025418928</v>
      </c>
      <c r="T2562">
        <v>0.19915262727419239</v>
      </c>
      <c r="U2562">
        <v>4.3299363242315234</v>
      </c>
      <c r="V2562">
        <v>0.1927658514144405</v>
      </c>
      <c r="W2562">
        <v>9.0611639281393064</v>
      </c>
      <c r="X2562">
        <v>0.5007677066731625</v>
      </c>
      <c r="Z2562" t="s">
        <v>392</v>
      </c>
      <c r="AA2562">
        <v>9400</v>
      </c>
      <c r="AB2562" t="s">
        <v>2953</v>
      </c>
      <c r="AC2562" t="str">
        <f>HYPERLINK("plots/3FT6Y578R01_012_S11P_20251111092011_M5358ACSH101811_RBGEUFRF26/dpll_52084/txpa_54228.png","plot")</f>
        <v>plot</v>
      </c>
    </row>
    <row r="2563" spans="1:29" hidden="1" x14ac:dyDescent="0.35">
      <c r="A2563" t="s">
        <v>48</v>
      </c>
      <c r="B2563">
        <v>52084</v>
      </c>
      <c r="C2563" t="s">
        <v>52</v>
      </c>
      <c r="D2563">
        <v>54229</v>
      </c>
      <c r="E2563" t="s">
        <v>249</v>
      </c>
      <c r="F2563">
        <v>12231</v>
      </c>
      <c r="G2563">
        <v>0.85079127491442808</v>
      </c>
      <c r="H2563">
        <v>0</v>
      </c>
      <c r="I2563">
        <v>0</v>
      </c>
      <c r="J2563">
        <v>0.73740688577970959</v>
      </c>
      <c r="K2563">
        <v>0</v>
      </c>
      <c r="L2563">
        <v>0</v>
      </c>
      <c r="M2563">
        <v>0.54565087099242071</v>
      </c>
      <c r="N2563">
        <v>0</v>
      </c>
      <c r="O2563">
        <v>0</v>
      </c>
      <c r="P2563">
        <v>0.72384579347051792</v>
      </c>
      <c r="Q2563">
        <v>2.1905994082653808</v>
      </c>
      <c r="R2563">
        <v>-0.41670320745587652</v>
      </c>
      <c r="S2563">
        <v>0.26079839320814141</v>
      </c>
      <c r="T2563">
        <v>0.19714061538056471</v>
      </c>
      <c r="U2563">
        <v>4.3299765765677378</v>
      </c>
      <c r="V2563">
        <v>0.1927555519209489</v>
      </c>
      <c r="W2563">
        <v>9.068540918976371</v>
      </c>
      <c r="X2563">
        <v>0.49630292461610792</v>
      </c>
      <c r="Z2563" t="s">
        <v>392</v>
      </c>
      <c r="AA2563">
        <v>9400</v>
      </c>
      <c r="AB2563" t="s">
        <v>2954</v>
      </c>
      <c r="AC2563" t="str">
        <f>HYPERLINK("plots/3FT6Y578R01_012_S11P_20251111092011_M5358ACSH101811_RBGEUFRF26/dpll_52084/txpa_54229.png","plot")</f>
        <v>plot</v>
      </c>
    </row>
    <row r="2564" spans="1:29" hidden="1" x14ac:dyDescent="0.35">
      <c r="A2564" t="s">
        <v>48</v>
      </c>
      <c r="B2564">
        <v>52084</v>
      </c>
      <c r="C2564" t="s">
        <v>52</v>
      </c>
      <c r="D2564">
        <v>54230</v>
      </c>
      <c r="E2564" t="s">
        <v>250</v>
      </c>
      <c r="F2564">
        <v>12238</v>
      </c>
      <c r="G2564">
        <v>0.85699957087867962</v>
      </c>
      <c r="H2564">
        <v>0</v>
      </c>
      <c r="I2564">
        <v>0</v>
      </c>
      <c r="J2564">
        <v>0.74301564955237598</v>
      </c>
      <c r="K2564">
        <v>0</v>
      </c>
      <c r="L2564">
        <v>0</v>
      </c>
      <c r="M2564">
        <v>0.55156128884396516</v>
      </c>
      <c r="N2564">
        <v>0</v>
      </c>
      <c r="O2564">
        <v>0</v>
      </c>
      <c r="P2564">
        <v>0.73444826448624101</v>
      </c>
      <c r="Q2564">
        <v>2.222229094426051</v>
      </c>
      <c r="R2564">
        <v>-0.53757255152653904</v>
      </c>
      <c r="S2564">
        <v>0.25766571719041598</v>
      </c>
      <c r="T2564">
        <v>0.1960385825716203</v>
      </c>
      <c r="U2564">
        <v>4.3298125414283382</v>
      </c>
      <c r="V2564">
        <v>0.19283754168622161</v>
      </c>
      <c r="W2564">
        <v>9.0842628514463151</v>
      </c>
      <c r="X2564">
        <v>0.50003431762905981</v>
      </c>
      <c r="Z2564" t="s">
        <v>392</v>
      </c>
      <c r="AA2564">
        <v>9400</v>
      </c>
      <c r="AB2564" t="s">
        <v>2955</v>
      </c>
      <c r="AC2564" t="str">
        <f>HYPERLINK("plots/3FT6Y578R01_012_S11P_20251111092011_M5358ACSH101811_RBGEUFRF26/dpll_52084/txpa_54230.png","plot")</f>
        <v>plot</v>
      </c>
    </row>
    <row r="2565" spans="1:29" hidden="1" x14ac:dyDescent="0.35">
      <c r="A2565" t="s">
        <v>48</v>
      </c>
      <c r="B2565">
        <v>52084</v>
      </c>
      <c r="C2565" t="s">
        <v>52</v>
      </c>
      <c r="D2565">
        <v>54231</v>
      </c>
      <c r="E2565" t="s">
        <v>251</v>
      </c>
      <c r="F2565">
        <v>12235</v>
      </c>
      <c r="G2565">
        <v>0.85763672374322253</v>
      </c>
      <c r="H2565">
        <v>0</v>
      </c>
      <c r="I2565">
        <v>0</v>
      </c>
      <c r="J2565">
        <v>0.74088347056697801</v>
      </c>
      <c r="K2565">
        <v>0</v>
      </c>
      <c r="L2565">
        <v>0</v>
      </c>
      <c r="M2565">
        <v>0.54907461850182038</v>
      </c>
      <c r="N2565">
        <v>0</v>
      </c>
      <c r="O2565">
        <v>0</v>
      </c>
      <c r="P2565">
        <v>0.73554074991300855</v>
      </c>
      <c r="Q2565">
        <v>2.2293284203087032</v>
      </c>
      <c r="R2565">
        <v>-0.59857470565970061</v>
      </c>
      <c r="S2565">
        <v>0.25770502269881512</v>
      </c>
      <c r="T2565">
        <v>0.19707339649294051</v>
      </c>
      <c r="U2565">
        <v>4.3298514781364936</v>
      </c>
      <c r="V2565">
        <v>0.19279269190199391</v>
      </c>
      <c r="W2565">
        <v>9.0540862502656321</v>
      </c>
      <c r="X2565">
        <v>0.50114251802213738</v>
      </c>
      <c r="Z2565" t="s">
        <v>392</v>
      </c>
      <c r="AA2565">
        <v>9400</v>
      </c>
      <c r="AB2565" t="s">
        <v>2956</v>
      </c>
      <c r="AC2565" t="str">
        <f>HYPERLINK("plots/3FT6Y578R01_012_S11P_20251111092011_M5358ACSH101811_RBGEUFRF26/dpll_52084/txpa_54231.png","plot")</f>
        <v>plot</v>
      </c>
    </row>
    <row r="2566" spans="1:29" hidden="1" x14ac:dyDescent="0.35">
      <c r="A2566" t="s">
        <v>48</v>
      </c>
      <c r="B2566">
        <v>52084</v>
      </c>
      <c r="C2566" t="s">
        <v>52</v>
      </c>
      <c r="D2566">
        <v>54232</v>
      </c>
      <c r="E2566" t="s">
        <v>252</v>
      </c>
      <c r="F2566">
        <v>12237</v>
      </c>
      <c r="G2566">
        <v>0.85919795665200904</v>
      </c>
      <c r="H2566">
        <v>0</v>
      </c>
      <c r="I2566">
        <v>0</v>
      </c>
      <c r="J2566">
        <v>0.74426424284161852</v>
      </c>
      <c r="K2566">
        <v>0</v>
      </c>
      <c r="L2566">
        <v>0</v>
      </c>
      <c r="M2566">
        <v>0.55313940884527946</v>
      </c>
      <c r="N2566">
        <v>0</v>
      </c>
      <c r="O2566">
        <v>0</v>
      </c>
      <c r="P2566">
        <v>0.73822112871498757</v>
      </c>
      <c r="Q2566">
        <v>2.2353980297959462</v>
      </c>
      <c r="R2566">
        <v>-0.61527321729669637</v>
      </c>
      <c r="S2566">
        <v>0.25666416807953307</v>
      </c>
      <c r="T2566">
        <v>0.1964747445997852</v>
      </c>
      <c r="U2566">
        <v>4.3297901622946799</v>
      </c>
      <c r="V2566">
        <v>0.19282088188867</v>
      </c>
      <c r="W2566">
        <v>9.0635311809266987</v>
      </c>
      <c r="X2566">
        <v>0.50166718407598032</v>
      </c>
      <c r="Z2566" t="s">
        <v>392</v>
      </c>
      <c r="AA2566">
        <v>9400</v>
      </c>
      <c r="AB2566" t="s">
        <v>2957</v>
      </c>
      <c r="AC2566" t="str">
        <f>HYPERLINK("plots/3FT6Y578R01_012_S11P_20251111092011_M5358ACSH101811_RBGEUFRF26/dpll_52084/txpa_54232.png","plot")</f>
        <v>plot</v>
      </c>
    </row>
    <row r="2567" spans="1:29" hidden="1" x14ac:dyDescent="0.35">
      <c r="A2567" t="s">
        <v>48</v>
      </c>
      <c r="B2567">
        <v>52084</v>
      </c>
      <c r="C2567" t="s">
        <v>52</v>
      </c>
      <c r="D2567">
        <v>54233</v>
      </c>
      <c r="E2567" t="s">
        <v>253</v>
      </c>
      <c r="F2567">
        <v>12229</v>
      </c>
      <c r="G2567">
        <v>0.85963905731361356</v>
      </c>
      <c r="H2567">
        <v>0</v>
      </c>
      <c r="I2567">
        <v>0</v>
      </c>
      <c r="J2567">
        <v>0.74012317437904829</v>
      </c>
      <c r="K2567">
        <v>0</v>
      </c>
      <c r="L2567">
        <v>0</v>
      </c>
      <c r="M2567">
        <v>0.549833003694436</v>
      </c>
      <c r="N2567">
        <v>0</v>
      </c>
      <c r="O2567">
        <v>0</v>
      </c>
      <c r="P2567">
        <v>0.73897930885903818</v>
      </c>
      <c r="Q2567">
        <v>2.226660356099655</v>
      </c>
      <c r="R2567">
        <v>-0.57103728408619148</v>
      </c>
      <c r="S2567">
        <v>0.25509414141491249</v>
      </c>
      <c r="T2567">
        <v>0.19556518633004499</v>
      </c>
      <c r="U2567">
        <v>4.3300041347616318</v>
      </c>
      <c r="V2567">
        <v>0.1927715488177823</v>
      </c>
      <c r="W2567">
        <v>9.0704112645351209</v>
      </c>
      <c r="X2567">
        <v>0.49932208394283201</v>
      </c>
      <c r="Z2567" t="s">
        <v>392</v>
      </c>
      <c r="AA2567">
        <v>9400</v>
      </c>
      <c r="AB2567" t="s">
        <v>2958</v>
      </c>
      <c r="AC2567" t="str">
        <f>HYPERLINK("plots/3FT6Y578R01_012_S11P_20251111092011_M5358ACSH101811_RBGEUFRF26/dpll_52084/txpa_54233.png","plot")</f>
        <v>plot</v>
      </c>
    </row>
    <row r="2568" spans="1:29" hidden="1" x14ac:dyDescent="0.35">
      <c r="A2568" t="s">
        <v>48</v>
      </c>
      <c r="B2568">
        <v>52084</v>
      </c>
      <c r="C2568" t="s">
        <v>52</v>
      </c>
      <c r="D2568">
        <v>54234</v>
      </c>
      <c r="E2568" t="s">
        <v>254</v>
      </c>
      <c r="F2568">
        <v>12227</v>
      </c>
      <c r="G2568">
        <v>0.85511593440407863</v>
      </c>
      <c r="H2568">
        <v>0</v>
      </c>
      <c r="I2568">
        <v>0</v>
      </c>
      <c r="J2568">
        <v>0.73392035885336582</v>
      </c>
      <c r="K2568">
        <v>0</v>
      </c>
      <c r="L2568">
        <v>0</v>
      </c>
      <c r="M2568">
        <v>0.54380207678105619</v>
      </c>
      <c r="N2568">
        <v>0</v>
      </c>
      <c r="O2568">
        <v>0</v>
      </c>
      <c r="P2568">
        <v>0.73122326127176052</v>
      </c>
      <c r="Q2568">
        <v>2.203179602215529</v>
      </c>
      <c r="R2568">
        <v>-0.48360590673098081</v>
      </c>
      <c r="S2568">
        <v>0.25743602669262688</v>
      </c>
      <c r="T2568">
        <v>0.19662685593415541</v>
      </c>
      <c r="U2568">
        <v>4.330061709168235</v>
      </c>
      <c r="V2568">
        <v>0.19273755321936081</v>
      </c>
      <c r="W2568">
        <v>9.0562977272429865</v>
      </c>
      <c r="X2568">
        <v>0.49658230977738682</v>
      </c>
      <c r="Z2568" t="s">
        <v>392</v>
      </c>
      <c r="AA2568">
        <v>9400</v>
      </c>
      <c r="AB2568" t="s">
        <v>2959</v>
      </c>
      <c r="AC2568" t="str">
        <f>HYPERLINK("plots/3FT6Y578R01_012_S11P_20251111092011_M5358ACSH101811_RBGEUFRF26/dpll_52084/txpa_54234.png","plot")</f>
        <v>plot</v>
      </c>
    </row>
    <row r="2569" spans="1:29" hidden="1" x14ac:dyDescent="0.35">
      <c r="A2569" t="s">
        <v>48</v>
      </c>
      <c r="B2569">
        <v>52084</v>
      </c>
      <c r="C2569" t="s">
        <v>52</v>
      </c>
      <c r="D2569">
        <v>54235</v>
      </c>
      <c r="E2569" t="s">
        <v>255</v>
      </c>
      <c r="F2569">
        <v>12217</v>
      </c>
      <c r="G2569">
        <v>0.84236805407633553</v>
      </c>
      <c r="H2569">
        <v>0</v>
      </c>
      <c r="I2569">
        <v>0</v>
      </c>
      <c r="J2569">
        <v>0.73180403841660246</v>
      </c>
      <c r="K2569">
        <v>0</v>
      </c>
      <c r="L2569">
        <v>0</v>
      </c>
      <c r="M2569">
        <v>0.53945350073374698</v>
      </c>
      <c r="N2569">
        <v>0</v>
      </c>
      <c r="O2569">
        <v>0</v>
      </c>
      <c r="P2569">
        <v>0.70958393852835211</v>
      </c>
      <c r="Q2569">
        <v>2.2422073382305889</v>
      </c>
      <c r="R2569">
        <v>-0.23431016227847221</v>
      </c>
      <c r="S2569">
        <v>0.27613501921040828</v>
      </c>
      <c r="T2569">
        <v>0.2065186317395063</v>
      </c>
      <c r="U2569">
        <v>4.3303671050175989</v>
      </c>
      <c r="V2569">
        <v>0.1925107850155868</v>
      </c>
      <c r="W2569">
        <v>9.4752707378243421</v>
      </c>
      <c r="X2569">
        <v>0.51242339113131163</v>
      </c>
      <c r="Z2569" t="s">
        <v>392</v>
      </c>
      <c r="AA2569">
        <v>9400</v>
      </c>
      <c r="AB2569" t="s">
        <v>2960</v>
      </c>
      <c r="AC2569" t="str">
        <f>HYPERLINK("plots/3FT6Y578R01_012_S11P_20251111092011_M5358ACSH101811_RBGEUFRF26/dpll_52084/txpa_54235.png","plot")</f>
        <v>plot</v>
      </c>
    </row>
    <row r="2570" spans="1:29" hidden="1" x14ac:dyDescent="0.35">
      <c r="A2570" t="s">
        <v>48</v>
      </c>
      <c r="B2570">
        <v>52084</v>
      </c>
      <c r="C2570" t="s">
        <v>52</v>
      </c>
      <c r="D2570">
        <v>54236</v>
      </c>
      <c r="E2570" t="s">
        <v>256</v>
      </c>
      <c r="F2570">
        <v>12231</v>
      </c>
      <c r="G2570">
        <v>0.85165721216167944</v>
      </c>
      <c r="H2570">
        <v>0</v>
      </c>
      <c r="I2570">
        <v>0</v>
      </c>
      <c r="J2570">
        <v>0.74011139838503504</v>
      </c>
      <c r="K2570">
        <v>0</v>
      </c>
      <c r="L2570">
        <v>0</v>
      </c>
      <c r="M2570">
        <v>0.54867035172997758</v>
      </c>
      <c r="N2570">
        <v>0</v>
      </c>
      <c r="O2570">
        <v>0</v>
      </c>
      <c r="P2570">
        <v>0.72532000702700383</v>
      </c>
      <c r="Q2570">
        <v>2.281522089505148</v>
      </c>
      <c r="R2570">
        <v>-0.37119614228138609</v>
      </c>
      <c r="S2570">
        <v>0.27060737704417831</v>
      </c>
      <c r="T2570">
        <v>0.20465612458122481</v>
      </c>
      <c r="U2570">
        <v>4.3299662050527354</v>
      </c>
      <c r="V2570">
        <v>0.19274540044864391</v>
      </c>
      <c r="W2570">
        <v>9.5077174013572066</v>
      </c>
      <c r="X2570">
        <v>0.51634963280345392</v>
      </c>
      <c r="Z2570" t="s">
        <v>392</v>
      </c>
      <c r="AA2570">
        <v>9400</v>
      </c>
      <c r="AB2570" t="s">
        <v>2961</v>
      </c>
      <c r="AC2570" t="str">
        <f>HYPERLINK("plots/3FT6Y578R01_012_S11P_20251111092011_M5358ACSH101811_RBGEUFRF26/dpll_52084/txpa_54236.png","plot")</f>
        <v>plot</v>
      </c>
    </row>
    <row r="2571" spans="1:29" hidden="1" x14ac:dyDescent="0.35">
      <c r="A2571" t="s">
        <v>48</v>
      </c>
      <c r="B2571">
        <v>52084</v>
      </c>
      <c r="C2571" t="s">
        <v>52</v>
      </c>
      <c r="D2571">
        <v>54237</v>
      </c>
      <c r="E2571" t="s">
        <v>257</v>
      </c>
      <c r="F2571">
        <v>12224</v>
      </c>
      <c r="G2571">
        <v>0.85227293503762014</v>
      </c>
      <c r="H2571">
        <v>0</v>
      </c>
      <c r="I2571">
        <v>0</v>
      </c>
      <c r="J2571">
        <v>0.73695863923488236</v>
      </c>
      <c r="K2571">
        <v>0</v>
      </c>
      <c r="L2571">
        <v>0</v>
      </c>
      <c r="M2571">
        <v>0.54547585071569016</v>
      </c>
      <c r="N2571">
        <v>0</v>
      </c>
      <c r="O2571">
        <v>0</v>
      </c>
      <c r="P2571">
        <v>0.7263691557976395</v>
      </c>
      <c r="Q2571">
        <v>2.2570079012961819</v>
      </c>
      <c r="R2571">
        <v>-0.25681964434981991</v>
      </c>
      <c r="S2571">
        <v>0.26690083029654382</v>
      </c>
      <c r="T2571">
        <v>0.20200991826114351</v>
      </c>
      <c r="U2571">
        <v>4.3301423027650534</v>
      </c>
      <c r="V2571">
        <v>0.19267740211762741</v>
      </c>
      <c r="W2571">
        <v>9.5163457467277475</v>
      </c>
      <c r="X2571">
        <v>0.51025252721595671</v>
      </c>
      <c r="Z2571" t="s">
        <v>392</v>
      </c>
      <c r="AA2571">
        <v>9400</v>
      </c>
      <c r="AB2571" t="s">
        <v>2962</v>
      </c>
      <c r="AC2571" t="str">
        <f>HYPERLINK("plots/3FT6Y578R01_012_S11P_20251111092011_M5358ACSH101811_RBGEUFRF26/dpll_52084/txpa_54237.png","plot")</f>
        <v>plot</v>
      </c>
    </row>
    <row r="2572" spans="1:29" hidden="1" x14ac:dyDescent="0.35">
      <c r="A2572" t="s">
        <v>48</v>
      </c>
      <c r="B2572">
        <v>52084</v>
      </c>
      <c r="C2572" t="s">
        <v>52</v>
      </c>
      <c r="D2572">
        <v>54238</v>
      </c>
      <c r="E2572" t="s">
        <v>258</v>
      </c>
      <c r="F2572">
        <v>12236</v>
      </c>
      <c r="G2572">
        <v>0.85777134363088858</v>
      </c>
      <c r="H2572">
        <v>0</v>
      </c>
      <c r="I2572">
        <v>0</v>
      </c>
      <c r="J2572">
        <v>0.74260596769388609</v>
      </c>
      <c r="K2572">
        <v>0</v>
      </c>
      <c r="L2572">
        <v>0</v>
      </c>
      <c r="M2572">
        <v>0.55133407887478736</v>
      </c>
      <c r="N2572">
        <v>0</v>
      </c>
      <c r="O2572">
        <v>0</v>
      </c>
      <c r="P2572">
        <v>0.73577167795433995</v>
      </c>
      <c r="Q2572">
        <v>2.2931717067918358</v>
      </c>
      <c r="R2572">
        <v>-0.39846354039464238</v>
      </c>
      <c r="S2572">
        <v>0.26495873474600951</v>
      </c>
      <c r="T2572">
        <v>0.20145031557334381</v>
      </c>
      <c r="U2572">
        <v>4.3298607302222951</v>
      </c>
      <c r="V2572">
        <v>0.19281519839628011</v>
      </c>
      <c r="W2572">
        <v>9.5306505805001631</v>
      </c>
      <c r="X2572">
        <v>0.51547345441755765</v>
      </c>
      <c r="Z2572" t="s">
        <v>392</v>
      </c>
      <c r="AA2572">
        <v>9400</v>
      </c>
      <c r="AB2572" t="s">
        <v>2963</v>
      </c>
      <c r="AC2572" t="str">
        <f>HYPERLINK("plots/3FT6Y578R01_012_S11P_20251111092011_M5358ACSH101811_RBGEUFRF26/dpll_52084/txpa_54238.png","plot")</f>
        <v>plot</v>
      </c>
    </row>
    <row r="2573" spans="1:29" hidden="1" x14ac:dyDescent="0.35">
      <c r="A2573" t="s">
        <v>48</v>
      </c>
      <c r="B2573">
        <v>52084</v>
      </c>
      <c r="C2573" t="s">
        <v>52</v>
      </c>
      <c r="D2573">
        <v>54239</v>
      </c>
      <c r="E2573" t="s">
        <v>259</v>
      </c>
      <c r="F2573">
        <v>12233</v>
      </c>
      <c r="G2573">
        <v>0.85780940147611517</v>
      </c>
      <c r="H2573">
        <v>0</v>
      </c>
      <c r="I2573">
        <v>0</v>
      </c>
      <c r="J2573">
        <v>0.74019022596401851</v>
      </c>
      <c r="K2573">
        <v>0</v>
      </c>
      <c r="L2573">
        <v>0</v>
      </c>
      <c r="M2573">
        <v>0.54870689635044334</v>
      </c>
      <c r="N2573">
        <v>0</v>
      </c>
      <c r="O2573">
        <v>0</v>
      </c>
      <c r="P2573">
        <v>0.73583696926081099</v>
      </c>
      <c r="Q2573">
        <v>2.2988660201275</v>
      </c>
      <c r="R2573">
        <v>-0.45363920716987138</v>
      </c>
      <c r="S2573">
        <v>0.26549290739809589</v>
      </c>
      <c r="T2573">
        <v>0.2025637573166886</v>
      </c>
      <c r="U2573">
        <v>4.3299079628055246</v>
      </c>
      <c r="V2573">
        <v>0.19275772706832181</v>
      </c>
      <c r="W2573">
        <v>9.5002390788032365</v>
      </c>
      <c r="X2573">
        <v>0.51657651234860491</v>
      </c>
      <c r="Z2573" t="s">
        <v>392</v>
      </c>
      <c r="AA2573">
        <v>9400</v>
      </c>
      <c r="AB2573" t="s">
        <v>2964</v>
      </c>
      <c r="AC2573" t="str">
        <f>HYPERLINK("plots/3FT6Y578R01_012_S11P_20251111092011_M5358ACSH101811_RBGEUFRF26/dpll_52084/txpa_54239.png","plot")</f>
        <v>plot</v>
      </c>
    </row>
    <row r="2574" spans="1:29" hidden="1" x14ac:dyDescent="0.35">
      <c r="A2574" t="s">
        <v>48</v>
      </c>
      <c r="B2574">
        <v>52084</v>
      </c>
      <c r="C2574" t="s">
        <v>52</v>
      </c>
      <c r="D2574">
        <v>54240</v>
      </c>
      <c r="E2574" t="s">
        <v>260</v>
      </c>
      <c r="F2574">
        <v>12234</v>
      </c>
      <c r="G2574">
        <v>0.85994031773501356</v>
      </c>
      <c r="H2574">
        <v>0</v>
      </c>
      <c r="I2574">
        <v>0</v>
      </c>
      <c r="J2574">
        <v>0.74366660547539665</v>
      </c>
      <c r="K2574">
        <v>0</v>
      </c>
      <c r="L2574">
        <v>0</v>
      </c>
      <c r="M2574">
        <v>0.55280694757370719</v>
      </c>
      <c r="N2574">
        <v>0</v>
      </c>
      <c r="O2574">
        <v>0</v>
      </c>
      <c r="P2574">
        <v>0.7394973500661961</v>
      </c>
      <c r="Q2574">
        <v>2.3055030436894879</v>
      </c>
      <c r="R2574">
        <v>-0.47225788199191682</v>
      </c>
      <c r="S2574">
        <v>0.26378436305311681</v>
      </c>
      <c r="T2574">
        <v>0.20184927787763829</v>
      </c>
      <c r="U2574">
        <v>4.3298672477521656</v>
      </c>
      <c r="V2574">
        <v>0.1927806036881661</v>
      </c>
      <c r="W2574">
        <v>9.5102642364721284</v>
      </c>
      <c r="X2574">
        <v>0.51684548264699559</v>
      </c>
      <c r="Z2574" t="s">
        <v>392</v>
      </c>
      <c r="AA2574">
        <v>9400</v>
      </c>
      <c r="AB2574" t="s">
        <v>2965</v>
      </c>
      <c r="AC2574" t="str">
        <f>HYPERLINK("plots/3FT6Y578R01_012_S11P_20251111092011_M5358ACSH101811_RBGEUFRF26/dpll_52084/txpa_54240.png","plot")</f>
        <v>plot</v>
      </c>
    </row>
    <row r="2575" spans="1:29" hidden="1" x14ac:dyDescent="0.35">
      <c r="A2575" t="s">
        <v>48</v>
      </c>
      <c r="B2575">
        <v>52084</v>
      </c>
      <c r="C2575" t="s">
        <v>52</v>
      </c>
      <c r="D2575">
        <v>54241</v>
      </c>
      <c r="E2575" t="s">
        <v>261</v>
      </c>
      <c r="F2575">
        <v>12227</v>
      </c>
      <c r="G2575">
        <v>0.86045799008560564</v>
      </c>
      <c r="H2575">
        <v>0</v>
      </c>
      <c r="I2575">
        <v>0</v>
      </c>
      <c r="J2575">
        <v>0.73987630892272116</v>
      </c>
      <c r="K2575">
        <v>0</v>
      </c>
      <c r="L2575">
        <v>0</v>
      </c>
      <c r="M2575">
        <v>0.54985335971232596</v>
      </c>
      <c r="N2575">
        <v>0</v>
      </c>
      <c r="O2575">
        <v>0</v>
      </c>
      <c r="P2575">
        <v>0.74038795270216018</v>
      </c>
      <c r="Q2575">
        <v>2.2977952986002639</v>
      </c>
      <c r="R2575">
        <v>-0.43246550899426589</v>
      </c>
      <c r="S2575">
        <v>0.26225737887852618</v>
      </c>
      <c r="T2575">
        <v>0.2008741034085694</v>
      </c>
      <c r="U2575">
        <v>4.3300505712766828</v>
      </c>
      <c r="V2575">
        <v>0.1927531086574315</v>
      </c>
      <c r="W2575">
        <v>9.5171043363866854</v>
      </c>
      <c r="X2575">
        <v>0.51473423684469188</v>
      </c>
      <c r="Z2575" t="s">
        <v>392</v>
      </c>
      <c r="AA2575">
        <v>9400</v>
      </c>
      <c r="AB2575" t="s">
        <v>2966</v>
      </c>
      <c r="AC2575" t="str">
        <f>HYPERLINK("plots/3FT6Y578R01_012_S11P_20251111092011_M5358ACSH101811_RBGEUFRF26/dpll_52084/txpa_54241.png","plot")</f>
        <v>plot</v>
      </c>
    </row>
    <row r="2576" spans="1:29" hidden="1" x14ac:dyDescent="0.35">
      <c r="A2576" t="s">
        <v>48</v>
      </c>
      <c r="B2576">
        <v>52084</v>
      </c>
      <c r="C2576" t="s">
        <v>52</v>
      </c>
      <c r="D2576">
        <v>54242</v>
      </c>
      <c r="E2576" t="s">
        <v>262</v>
      </c>
      <c r="F2576">
        <v>12224</v>
      </c>
      <c r="G2576">
        <v>0.85576965386801573</v>
      </c>
      <c r="H2576">
        <v>0</v>
      </c>
      <c r="I2576">
        <v>0</v>
      </c>
      <c r="J2576">
        <v>0.73344544253042898</v>
      </c>
      <c r="K2576">
        <v>0</v>
      </c>
      <c r="L2576">
        <v>0</v>
      </c>
      <c r="M2576">
        <v>0.54352559408308243</v>
      </c>
      <c r="N2576">
        <v>0</v>
      </c>
      <c r="O2576">
        <v>0</v>
      </c>
      <c r="P2576">
        <v>0.73234170048138347</v>
      </c>
      <c r="Q2576">
        <v>2.2724176323485068</v>
      </c>
      <c r="R2576">
        <v>-0.3365415288071798</v>
      </c>
      <c r="S2576">
        <v>0.26470433015643591</v>
      </c>
      <c r="T2576">
        <v>0.20205579961817111</v>
      </c>
      <c r="U2576">
        <v>4.330143680955497</v>
      </c>
      <c r="V2576">
        <v>0.19268911624320681</v>
      </c>
      <c r="W2576">
        <v>9.50335332239856</v>
      </c>
      <c r="X2576">
        <v>0.51166823143771645</v>
      </c>
      <c r="Z2576" t="s">
        <v>392</v>
      </c>
      <c r="AA2576">
        <v>9400</v>
      </c>
      <c r="AB2576" t="s">
        <v>2967</v>
      </c>
      <c r="AC2576" t="str">
        <f>HYPERLINK("plots/3FT6Y578R01_012_S11P_20251111092011_M5358ACSH101811_RBGEUFRF26/dpll_52084/txpa_54242.png","plot")</f>
        <v>plot</v>
      </c>
    </row>
    <row r="2577" spans="1:29" hidden="1" x14ac:dyDescent="0.35">
      <c r="A2577" t="s">
        <v>48</v>
      </c>
      <c r="B2577">
        <v>52084</v>
      </c>
      <c r="C2577" t="s">
        <v>52</v>
      </c>
      <c r="D2577">
        <v>54243</v>
      </c>
      <c r="E2577" t="s">
        <v>263</v>
      </c>
      <c r="F2577">
        <v>12197</v>
      </c>
      <c r="G2577">
        <v>0.84794900447760357</v>
      </c>
      <c r="H2577">
        <v>0</v>
      </c>
      <c r="I2577">
        <v>0</v>
      </c>
      <c r="J2577">
        <v>0.72872594847648542</v>
      </c>
      <c r="K2577">
        <v>0</v>
      </c>
      <c r="L2577">
        <v>0</v>
      </c>
      <c r="M2577">
        <v>0.53772083856392883</v>
      </c>
      <c r="N2577">
        <v>0</v>
      </c>
      <c r="O2577">
        <v>0</v>
      </c>
      <c r="P2577">
        <v>0.71901751419455895</v>
      </c>
      <c r="Q2577">
        <v>2.5568389939522271</v>
      </c>
      <c r="R2577">
        <v>-0.21011027397301699</v>
      </c>
      <c r="S2577">
        <v>0.30749647166384442</v>
      </c>
      <c r="T2577">
        <v>0.2318847126611647</v>
      </c>
      <c r="U2577">
        <v>4.3307555631712713</v>
      </c>
      <c r="V2577">
        <v>0.1923909633992795</v>
      </c>
      <c r="W2577">
        <v>10.862934423218819</v>
      </c>
      <c r="X2577">
        <v>0.58012063780458889</v>
      </c>
      <c r="Z2577" t="s">
        <v>392</v>
      </c>
      <c r="AA2577">
        <v>9400</v>
      </c>
      <c r="AB2577" t="s">
        <v>2968</v>
      </c>
      <c r="AC2577" t="str">
        <f>HYPERLINK("plots/3FT6Y578R01_012_S11P_20251111092011_M5358ACSH101811_RBGEUFRF26/dpll_52084/txpa_54243.png","plot")</f>
        <v>plot</v>
      </c>
    </row>
    <row r="2578" spans="1:29" hidden="1" x14ac:dyDescent="0.35">
      <c r="A2578" t="s">
        <v>48</v>
      </c>
      <c r="B2578">
        <v>52084</v>
      </c>
      <c r="C2578" t="s">
        <v>52</v>
      </c>
      <c r="D2578">
        <v>54244</v>
      </c>
      <c r="E2578" t="s">
        <v>264</v>
      </c>
      <c r="F2578">
        <v>12210</v>
      </c>
      <c r="G2578">
        <v>0.85655330145659381</v>
      </c>
      <c r="H2578">
        <v>0</v>
      </c>
      <c r="I2578">
        <v>0</v>
      </c>
      <c r="J2578">
        <v>0.73659653607692277</v>
      </c>
      <c r="K2578">
        <v>0</v>
      </c>
      <c r="L2578">
        <v>0</v>
      </c>
      <c r="M2578">
        <v>0.54645520358968658</v>
      </c>
      <c r="N2578">
        <v>0</v>
      </c>
      <c r="O2578">
        <v>0</v>
      </c>
      <c r="P2578">
        <v>0.73368355823619047</v>
      </c>
      <c r="Q2578">
        <v>2.5979620811552642</v>
      </c>
      <c r="R2578">
        <v>-0.35375351942052369</v>
      </c>
      <c r="S2578">
        <v>0.30147885610649799</v>
      </c>
      <c r="T2578">
        <v>0.22975608102918629</v>
      </c>
      <c r="U2578">
        <v>4.3303760680589676</v>
      </c>
      <c r="V2578">
        <v>0.19261816422102301</v>
      </c>
      <c r="W2578">
        <v>10.896399302538899</v>
      </c>
      <c r="X2578">
        <v>0.58421896913710536</v>
      </c>
      <c r="Z2578" t="s">
        <v>392</v>
      </c>
      <c r="AA2578">
        <v>9400</v>
      </c>
      <c r="AB2578" t="s">
        <v>2969</v>
      </c>
      <c r="AC2578" t="str">
        <f>HYPERLINK("plots/3FT6Y578R01_012_S11P_20251111092011_M5358ACSH101811_RBGEUFRF26/dpll_52084/txpa_54244.png","plot")</f>
        <v>plot</v>
      </c>
    </row>
    <row r="2579" spans="1:29" hidden="1" x14ac:dyDescent="0.35">
      <c r="A2579" t="s">
        <v>48</v>
      </c>
      <c r="B2579">
        <v>52084</v>
      </c>
      <c r="C2579" t="s">
        <v>52</v>
      </c>
      <c r="D2579">
        <v>54245</v>
      </c>
      <c r="E2579" t="s">
        <v>265</v>
      </c>
      <c r="F2579">
        <v>12203</v>
      </c>
      <c r="G2579">
        <v>0.85691068463811704</v>
      </c>
      <c r="H2579">
        <v>0</v>
      </c>
      <c r="I2579">
        <v>0</v>
      </c>
      <c r="J2579">
        <v>0.73381544587761316</v>
      </c>
      <c r="K2579">
        <v>0</v>
      </c>
      <c r="L2579">
        <v>0</v>
      </c>
      <c r="M2579">
        <v>0.54370295152853643</v>
      </c>
      <c r="N2579">
        <v>0</v>
      </c>
      <c r="O2579">
        <v>0</v>
      </c>
      <c r="P2579">
        <v>0.73429592144696643</v>
      </c>
      <c r="Q2579">
        <v>2.5726838789930091</v>
      </c>
      <c r="R2579">
        <v>-0.2363145128292814</v>
      </c>
      <c r="S2579">
        <v>0.29786901470334448</v>
      </c>
      <c r="T2579">
        <v>0.2269822189210573</v>
      </c>
      <c r="U2579">
        <v>4.3306041658608541</v>
      </c>
      <c r="V2579">
        <v>0.19248334025283481</v>
      </c>
      <c r="W2579">
        <v>10.904961010980911</v>
      </c>
      <c r="X2579">
        <v>0.57788844896049107</v>
      </c>
      <c r="Z2579" t="s">
        <v>392</v>
      </c>
      <c r="AA2579">
        <v>9400</v>
      </c>
      <c r="AB2579" t="s">
        <v>2970</v>
      </c>
      <c r="AC2579" t="str">
        <f>HYPERLINK("plots/3FT6Y578R01_012_S11P_20251111092011_M5358ACSH101811_RBGEUFRF26/dpll_52084/txpa_54245.png","plot")</f>
        <v>plot</v>
      </c>
    </row>
    <row r="2580" spans="1:29" hidden="1" x14ac:dyDescent="0.35">
      <c r="A2580" t="s">
        <v>48</v>
      </c>
      <c r="B2580">
        <v>52084</v>
      </c>
      <c r="C2580" t="s">
        <v>52</v>
      </c>
      <c r="D2580">
        <v>54246</v>
      </c>
      <c r="E2580" t="s">
        <v>266</v>
      </c>
      <c r="F2580">
        <v>12218</v>
      </c>
      <c r="G2580">
        <v>0.86148552903257825</v>
      </c>
      <c r="H2580">
        <v>0</v>
      </c>
      <c r="I2580">
        <v>0</v>
      </c>
      <c r="J2580">
        <v>0.73874957152005705</v>
      </c>
      <c r="K2580">
        <v>0</v>
      </c>
      <c r="L2580">
        <v>0</v>
      </c>
      <c r="M2580">
        <v>0.54887376620754791</v>
      </c>
      <c r="N2580">
        <v>0</v>
      </c>
      <c r="O2580">
        <v>0</v>
      </c>
      <c r="P2580">
        <v>0.74215731673254126</v>
      </c>
      <c r="Q2580">
        <v>2.615366596901179</v>
      </c>
      <c r="R2580">
        <v>-0.4086805136311451</v>
      </c>
      <c r="S2580">
        <v>0.29700121316856049</v>
      </c>
      <c r="T2580">
        <v>0.2270728773923702</v>
      </c>
      <c r="U2580">
        <v>4.3302414247831074</v>
      </c>
      <c r="V2580">
        <v>0.1926699588995604</v>
      </c>
      <c r="W2580">
        <v>10.916488265264359</v>
      </c>
      <c r="X2580">
        <v>0.58492285447684833</v>
      </c>
      <c r="Z2580" t="s">
        <v>392</v>
      </c>
      <c r="AA2580">
        <v>9400</v>
      </c>
      <c r="AB2580" t="s">
        <v>2971</v>
      </c>
      <c r="AC2580" t="str">
        <f>HYPERLINK("plots/3FT6Y578R01_012_S11P_20251111092011_M5358ACSH101811_RBGEUFRF26/dpll_52084/txpa_54246.png","plot")</f>
        <v>plot</v>
      </c>
    </row>
    <row r="2581" spans="1:29" hidden="1" x14ac:dyDescent="0.35">
      <c r="A2581" t="s">
        <v>48</v>
      </c>
      <c r="B2581">
        <v>52084</v>
      </c>
      <c r="C2581" t="s">
        <v>52</v>
      </c>
      <c r="D2581">
        <v>54247</v>
      </c>
      <c r="E2581" t="s">
        <v>267</v>
      </c>
      <c r="F2581">
        <v>12214</v>
      </c>
      <c r="G2581">
        <v>0.86065737723554536</v>
      </c>
      <c r="H2581">
        <v>0</v>
      </c>
      <c r="I2581">
        <v>0</v>
      </c>
      <c r="J2581">
        <v>0.73643493411404604</v>
      </c>
      <c r="K2581">
        <v>0</v>
      </c>
      <c r="L2581">
        <v>0</v>
      </c>
      <c r="M2581">
        <v>0.54635865292590802</v>
      </c>
      <c r="N2581">
        <v>0</v>
      </c>
      <c r="O2581">
        <v>0</v>
      </c>
      <c r="P2581">
        <v>0.74073112098996785</v>
      </c>
      <c r="Q2581">
        <v>2.6169617622477919</v>
      </c>
      <c r="R2581">
        <v>-0.44708485996886788</v>
      </c>
      <c r="S2581">
        <v>0.29802702773141659</v>
      </c>
      <c r="T2581">
        <v>0.2283574613947226</v>
      </c>
      <c r="U2581">
        <v>4.3303966044702804</v>
      </c>
      <c r="V2581">
        <v>0.19250018648453279</v>
      </c>
      <c r="W2581">
        <v>10.88539746929753</v>
      </c>
      <c r="X2581">
        <v>0.58532656615772083</v>
      </c>
      <c r="Z2581" t="s">
        <v>392</v>
      </c>
      <c r="AA2581">
        <v>9400</v>
      </c>
      <c r="AB2581" t="s">
        <v>2972</v>
      </c>
      <c r="AC2581" t="str">
        <f>HYPERLINK("plots/3FT6Y578R01_012_S11P_20251111092011_M5358ACSH101811_RBGEUFRF26/dpll_52084/txpa_54247.png","plot")</f>
        <v>plot</v>
      </c>
    </row>
    <row r="2582" spans="1:29" hidden="1" x14ac:dyDescent="0.35">
      <c r="A2582" t="s">
        <v>48</v>
      </c>
      <c r="B2582">
        <v>52084</v>
      </c>
      <c r="C2582" t="s">
        <v>52</v>
      </c>
      <c r="D2582">
        <v>54248</v>
      </c>
      <c r="E2582" t="s">
        <v>268</v>
      </c>
      <c r="F2582">
        <v>12223</v>
      </c>
      <c r="G2582">
        <v>0.86220057181977106</v>
      </c>
      <c r="H2582">
        <v>0</v>
      </c>
      <c r="I2582">
        <v>0</v>
      </c>
      <c r="J2582">
        <v>0.74020978970583473</v>
      </c>
      <c r="K2582">
        <v>0</v>
      </c>
      <c r="L2582">
        <v>0</v>
      </c>
      <c r="M2582">
        <v>0.55063476320888638</v>
      </c>
      <c r="N2582">
        <v>0</v>
      </c>
      <c r="O2582">
        <v>0</v>
      </c>
      <c r="P2582">
        <v>0.74338982604634019</v>
      </c>
      <c r="Q2582">
        <v>2.6305639185246701</v>
      </c>
      <c r="R2582">
        <v>-0.49352008687728949</v>
      </c>
      <c r="S2582">
        <v>0.29777261203515892</v>
      </c>
      <c r="T2582">
        <v>0.22814767662764601</v>
      </c>
      <c r="U2582">
        <v>4.3301187128364562</v>
      </c>
      <c r="V2582">
        <v>0.19267484966951071</v>
      </c>
      <c r="W2582">
        <v>10.897133962038779</v>
      </c>
      <c r="X2582">
        <v>0.5878487258226115</v>
      </c>
      <c r="Z2582" t="s">
        <v>392</v>
      </c>
      <c r="AA2582">
        <v>9400</v>
      </c>
      <c r="AB2582" t="s">
        <v>2973</v>
      </c>
      <c r="AC2582" t="str">
        <f>HYPERLINK("plots/3FT6Y578R01_012_S11P_20251111092011_M5358ACSH101811_RBGEUFRF26/dpll_52084/txpa_54248.png","plot")</f>
        <v>plot</v>
      </c>
    </row>
    <row r="2583" spans="1:29" hidden="1" x14ac:dyDescent="0.35">
      <c r="A2583" t="s">
        <v>48</v>
      </c>
      <c r="B2583">
        <v>52084</v>
      </c>
      <c r="C2583" t="s">
        <v>52</v>
      </c>
      <c r="D2583">
        <v>54249</v>
      </c>
      <c r="E2583" t="s">
        <v>269</v>
      </c>
      <c r="F2583">
        <v>12209</v>
      </c>
      <c r="G2583">
        <v>0.86324991935578366</v>
      </c>
      <c r="H2583">
        <v>0</v>
      </c>
      <c r="I2583">
        <v>0</v>
      </c>
      <c r="J2583">
        <v>0.73645898861831927</v>
      </c>
      <c r="K2583">
        <v>0</v>
      </c>
      <c r="L2583">
        <v>0</v>
      </c>
      <c r="M2583">
        <v>0.54784307004326649</v>
      </c>
      <c r="N2583">
        <v>0</v>
      </c>
      <c r="O2583">
        <v>0</v>
      </c>
      <c r="P2583">
        <v>0.74520042326776703</v>
      </c>
      <c r="Q2583">
        <v>2.617870125263162</v>
      </c>
      <c r="R2583">
        <v>-0.43067002025951417</v>
      </c>
      <c r="S2583">
        <v>0.29473572420638178</v>
      </c>
      <c r="T2583">
        <v>0.22659461059122779</v>
      </c>
      <c r="U2583">
        <v>4.3304781416987472</v>
      </c>
      <c r="V2583">
        <v>0.19254828895275269</v>
      </c>
      <c r="W2583">
        <v>10.905959334998769</v>
      </c>
      <c r="X2583">
        <v>0.583917127610182</v>
      </c>
      <c r="Z2583" t="s">
        <v>392</v>
      </c>
      <c r="AA2583">
        <v>9400</v>
      </c>
      <c r="AB2583" t="s">
        <v>2974</v>
      </c>
      <c r="AC2583" t="str">
        <f>HYPERLINK("plots/3FT6Y578R01_012_S11P_20251111092011_M5358ACSH101811_RBGEUFRF26/dpll_52084/txpa_54249.png","plot")</f>
        <v>plot</v>
      </c>
    </row>
    <row r="2584" spans="1:29" hidden="1" x14ac:dyDescent="0.35">
      <c r="A2584" t="s">
        <v>48</v>
      </c>
      <c r="B2584">
        <v>52084</v>
      </c>
      <c r="C2584" t="s">
        <v>52</v>
      </c>
      <c r="D2584">
        <v>54250</v>
      </c>
      <c r="E2584" t="s">
        <v>270</v>
      </c>
      <c r="F2584">
        <v>12203</v>
      </c>
      <c r="G2584">
        <v>0.85840757110480637</v>
      </c>
      <c r="H2584">
        <v>0</v>
      </c>
      <c r="I2584">
        <v>0</v>
      </c>
      <c r="J2584">
        <v>0.72923718517520097</v>
      </c>
      <c r="K2584">
        <v>0</v>
      </c>
      <c r="L2584">
        <v>0</v>
      </c>
      <c r="M2584">
        <v>0.54062579046601555</v>
      </c>
      <c r="N2584">
        <v>0</v>
      </c>
      <c r="O2584">
        <v>0</v>
      </c>
      <c r="P2584">
        <v>0.73686355813005322</v>
      </c>
      <c r="Q2584">
        <v>2.5891760523648091</v>
      </c>
      <c r="R2584">
        <v>-0.31994243686539292</v>
      </c>
      <c r="S2584">
        <v>0.29775241064850227</v>
      </c>
      <c r="T2584">
        <v>0.22819146519478439</v>
      </c>
      <c r="U2584">
        <v>4.3306450703105801</v>
      </c>
      <c r="V2584">
        <v>0.1924485044943621</v>
      </c>
      <c r="W2584">
        <v>10.89286007047447</v>
      </c>
      <c r="X2584">
        <v>0.58047374688099795</v>
      </c>
      <c r="Z2584" t="s">
        <v>392</v>
      </c>
      <c r="AA2584">
        <v>9400</v>
      </c>
      <c r="AB2584" t="s">
        <v>2975</v>
      </c>
      <c r="AC2584" t="str">
        <f>HYPERLINK("plots/3FT6Y578R01_012_S11P_20251111092011_M5358ACSH101811_RBGEUFRF26/dpll_52084/txpa_54250.png","plot")</f>
        <v>plot</v>
      </c>
    </row>
    <row r="2585" spans="1:29" hidden="1" x14ac:dyDescent="0.35">
      <c r="A2585" t="s">
        <v>48</v>
      </c>
      <c r="B2585">
        <v>52084</v>
      </c>
      <c r="C2585" t="s">
        <v>52</v>
      </c>
      <c r="D2585">
        <v>54251</v>
      </c>
      <c r="E2585" t="s">
        <v>271</v>
      </c>
      <c r="F2585">
        <v>12194</v>
      </c>
      <c r="G2585">
        <v>0.84926693048729718</v>
      </c>
      <c r="H2585">
        <v>0</v>
      </c>
      <c r="I2585">
        <v>0</v>
      </c>
      <c r="J2585">
        <v>0.72712903432312659</v>
      </c>
      <c r="K2585">
        <v>0</v>
      </c>
      <c r="L2585">
        <v>0</v>
      </c>
      <c r="M2585">
        <v>0.53673673597082339</v>
      </c>
      <c r="N2585">
        <v>0</v>
      </c>
      <c r="O2585">
        <v>0</v>
      </c>
      <c r="P2585">
        <v>0.72125431921931571</v>
      </c>
      <c r="Q2585">
        <v>2.7206859049169689</v>
      </c>
      <c r="R2585">
        <v>-0.46731819790064583</v>
      </c>
      <c r="S2585">
        <v>0.32534086927546141</v>
      </c>
      <c r="T2585">
        <v>0.24603858420267211</v>
      </c>
      <c r="U2585">
        <v>4.3308225643759233</v>
      </c>
      <c r="V2585">
        <v>0.19236150428938739</v>
      </c>
      <c r="W2585">
        <v>11.31548970969329</v>
      </c>
      <c r="X2585">
        <v>0.61624350905606051</v>
      </c>
      <c r="Z2585" t="s">
        <v>392</v>
      </c>
      <c r="AA2585">
        <v>9400</v>
      </c>
      <c r="AB2585" t="s">
        <v>2976</v>
      </c>
      <c r="AC2585" t="str">
        <f>HYPERLINK("plots/3FT6Y578R01_012_S11P_20251111092011_M5358ACSH101811_RBGEUFRF26/dpll_52084/txpa_54251.png","plot")</f>
        <v>plot</v>
      </c>
    </row>
    <row r="2586" spans="1:29" hidden="1" x14ac:dyDescent="0.35">
      <c r="A2586" t="s">
        <v>48</v>
      </c>
      <c r="B2586">
        <v>52084</v>
      </c>
      <c r="C2586" t="s">
        <v>52</v>
      </c>
      <c r="D2586">
        <v>54252</v>
      </c>
      <c r="E2586" t="s">
        <v>272</v>
      </c>
      <c r="F2586">
        <v>12207</v>
      </c>
      <c r="G2586">
        <v>0.85725520941546784</v>
      </c>
      <c r="H2586">
        <v>0</v>
      </c>
      <c r="I2586">
        <v>0</v>
      </c>
      <c r="J2586">
        <v>0.73484023201615034</v>
      </c>
      <c r="K2586">
        <v>0</v>
      </c>
      <c r="L2586">
        <v>0</v>
      </c>
      <c r="M2586">
        <v>0.54524749456876309</v>
      </c>
      <c r="N2586">
        <v>0</v>
      </c>
      <c r="O2586">
        <v>0</v>
      </c>
      <c r="P2586">
        <v>0.73488649406995765</v>
      </c>
      <c r="Q2586">
        <v>2.761892828182309</v>
      </c>
      <c r="R2586">
        <v>-0.61058794815462036</v>
      </c>
      <c r="S2586">
        <v>0.3194211209401922</v>
      </c>
      <c r="T2586">
        <v>0.24382095260287751</v>
      </c>
      <c r="U2586">
        <v>4.3304632639469149</v>
      </c>
      <c r="V2586">
        <v>0.1925612085676931</v>
      </c>
      <c r="W2586">
        <v>11.349687483247321</v>
      </c>
      <c r="X2586">
        <v>0.62039100502155919</v>
      </c>
      <c r="Z2586" t="s">
        <v>392</v>
      </c>
      <c r="AA2586">
        <v>9400</v>
      </c>
      <c r="AB2586" t="s">
        <v>2977</v>
      </c>
      <c r="AC2586" t="str">
        <f>HYPERLINK("plots/3FT6Y578R01_012_S11P_20251111092011_M5358ACSH101811_RBGEUFRF26/dpll_52084/txpa_54252.png","plot")</f>
        <v>plot</v>
      </c>
    </row>
    <row r="2587" spans="1:29" hidden="1" x14ac:dyDescent="0.35">
      <c r="A2587" t="s">
        <v>48</v>
      </c>
      <c r="B2587">
        <v>52084</v>
      </c>
      <c r="C2587" t="s">
        <v>52</v>
      </c>
      <c r="D2587">
        <v>54253</v>
      </c>
      <c r="E2587" t="s">
        <v>273</v>
      </c>
      <c r="F2587">
        <v>12196</v>
      </c>
      <c r="G2587">
        <v>0.85825757007046954</v>
      </c>
      <c r="H2587">
        <v>0</v>
      </c>
      <c r="I2587">
        <v>0</v>
      </c>
      <c r="J2587">
        <v>0.73209453286939219</v>
      </c>
      <c r="K2587">
        <v>0</v>
      </c>
      <c r="L2587">
        <v>0</v>
      </c>
      <c r="M2587">
        <v>0.5426496958092516</v>
      </c>
      <c r="N2587">
        <v>0</v>
      </c>
      <c r="O2587">
        <v>0</v>
      </c>
      <c r="P2587">
        <v>0.73660605658326694</v>
      </c>
      <c r="Q2587">
        <v>2.7335607772134658</v>
      </c>
      <c r="R2587">
        <v>-0.47979548050269472</v>
      </c>
      <c r="S2587">
        <v>0.31450344228478588</v>
      </c>
      <c r="T2587">
        <v>0.24054923813479151</v>
      </c>
      <c r="U2587">
        <v>4.3307679402263037</v>
      </c>
      <c r="V2587">
        <v>0.19241070237375549</v>
      </c>
      <c r="W2587">
        <v>11.35862189611348</v>
      </c>
      <c r="X2587">
        <v>0.61283042231926499</v>
      </c>
      <c r="Z2587" t="s">
        <v>392</v>
      </c>
      <c r="AA2587">
        <v>9400</v>
      </c>
      <c r="AB2587" t="s">
        <v>2978</v>
      </c>
      <c r="AC2587" t="str">
        <f>HYPERLINK("plots/3FT6Y578R01_012_S11P_20251111092011_M5358ACSH101811_RBGEUFRF26/dpll_52084/txpa_54253.png","plot")</f>
        <v>plot</v>
      </c>
    </row>
    <row r="2588" spans="1:29" hidden="1" x14ac:dyDescent="0.35">
      <c r="A2588" t="s">
        <v>48</v>
      </c>
      <c r="B2588">
        <v>52084</v>
      </c>
      <c r="C2588" t="s">
        <v>52</v>
      </c>
      <c r="D2588">
        <v>54254</v>
      </c>
      <c r="E2588" t="s">
        <v>274</v>
      </c>
      <c r="F2588">
        <v>12211</v>
      </c>
      <c r="G2588">
        <v>0.86263146296230764</v>
      </c>
      <c r="H2588">
        <v>0</v>
      </c>
      <c r="I2588">
        <v>0</v>
      </c>
      <c r="J2588">
        <v>0.73660002978498618</v>
      </c>
      <c r="K2588">
        <v>0</v>
      </c>
      <c r="L2588">
        <v>0</v>
      </c>
      <c r="M2588">
        <v>0.54742907629638504</v>
      </c>
      <c r="N2588">
        <v>0</v>
      </c>
      <c r="O2588">
        <v>0</v>
      </c>
      <c r="P2588">
        <v>0.7441330408924911</v>
      </c>
      <c r="Q2588">
        <v>2.7785182466466658</v>
      </c>
      <c r="R2588">
        <v>-0.66335062251263288</v>
      </c>
      <c r="S2588">
        <v>0.31380010626515259</v>
      </c>
      <c r="T2588">
        <v>0.24075844026953361</v>
      </c>
      <c r="U2588">
        <v>4.3303955490950781</v>
      </c>
      <c r="V2588">
        <v>0.19260865882789441</v>
      </c>
      <c r="W2588">
        <v>11.36873242584555</v>
      </c>
      <c r="X2588">
        <v>0.62038853901487112</v>
      </c>
      <c r="Z2588" t="s">
        <v>392</v>
      </c>
      <c r="AA2588">
        <v>9400</v>
      </c>
      <c r="AB2588" t="s">
        <v>2979</v>
      </c>
      <c r="AC2588" t="str">
        <f>HYPERLINK("plots/3FT6Y578R01_012_S11P_20251111092011_M5358ACSH101811_RBGEUFRF26/dpll_52084/txpa_54254.png","plot")</f>
        <v>plot</v>
      </c>
    </row>
    <row r="2589" spans="1:29" hidden="1" x14ac:dyDescent="0.35">
      <c r="A2589" t="s">
        <v>48</v>
      </c>
      <c r="B2589">
        <v>52084</v>
      </c>
      <c r="C2589" t="s">
        <v>52</v>
      </c>
      <c r="D2589">
        <v>54255</v>
      </c>
      <c r="E2589" t="s">
        <v>275</v>
      </c>
      <c r="F2589">
        <v>12211</v>
      </c>
      <c r="G2589">
        <v>0.86142801567205141</v>
      </c>
      <c r="H2589">
        <v>0</v>
      </c>
      <c r="I2589">
        <v>0</v>
      </c>
      <c r="J2589">
        <v>0.73475219690528426</v>
      </c>
      <c r="K2589">
        <v>0</v>
      </c>
      <c r="L2589">
        <v>0</v>
      </c>
      <c r="M2589">
        <v>0.54526792236410038</v>
      </c>
      <c r="N2589">
        <v>0</v>
      </c>
      <c r="O2589">
        <v>0</v>
      </c>
      <c r="P2589">
        <v>0.74205822618468809</v>
      </c>
      <c r="Q2589">
        <v>2.7831059256074848</v>
      </c>
      <c r="R2589">
        <v>-0.71568538309825058</v>
      </c>
      <c r="S2589">
        <v>0.31580230140914151</v>
      </c>
      <c r="T2589">
        <v>0.24254925067273511</v>
      </c>
      <c r="U2589">
        <v>4.3304662247973136</v>
      </c>
      <c r="V2589">
        <v>0.19246930990734731</v>
      </c>
      <c r="W2589">
        <v>11.336460827778231</v>
      </c>
      <c r="X2589">
        <v>0.62183080554075021</v>
      </c>
      <c r="Z2589" t="s">
        <v>392</v>
      </c>
      <c r="AA2589">
        <v>9400</v>
      </c>
      <c r="AB2589" t="s">
        <v>2980</v>
      </c>
      <c r="AC2589" t="str">
        <f>HYPERLINK("plots/3FT6Y578R01_012_S11P_20251111092011_M5358ACSH101811_RBGEUFRF26/dpll_52084/txpa_54255.png","plot")</f>
        <v>plot</v>
      </c>
    </row>
    <row r="2590" spans="1:29" hidden="1" x14ac:dyDescent="0.35">
      <c r="A2590" t="s">
        <v>48</v>
      </c>
      <c r="B2590">
        <v>52084</v>
      </c>
      <c r="C2590" t="s">
        <v>52</v>
      </c>
      <c r="D2590">
        <v>54256</v>
      </c>
      <c r="E2590" t="s">
        <v>276</v>
      </c>
      <c r="F2590">
        <v>12219</v>
      </c>
      <c r="G2590">
        <v>0.86254580820057913</v>
      </c>
      <c r="H2590">
        <v>0</v>
      </c>
      <c r="I2590">
        <v>0</v>
      </c>
      <c r="J2590">
        <v>0.73820814448110139</v>
      </c>
      <c r="K2590">
        <v>0</v>
      </c>
      <c r="L2590">
        <v>0</v>
      </c>
      <c r="M2590">
        <v>0.54927041853299985</v>
      </c>
      <c r="N2590">
        <v>0</v>
      </c>
      <c r="O2590">
        <v>0</v>
      </c>
      <c r="P2590">
        <v>0.74398527124439029</v>
      </c>
      <c r="Q2590">
        <v>2.7953177379919878</v>
      </c>
      <c r="R2590">
        <v>-0.75525507778899659</v>
      </c>
      <c r="S2590">
        <v>0.31580606135482853</v>
      </c>
      <c r="T2590">
        <v>0.24233342157169391</v>
      </c>
      <c r="U2590">
        <v>4.330234315083068</v>
      </c>
      <c r="V2590">
        <v>0.1926002054896277</v>
      </c>
      <c r="W2590">
        <v>11.349125712824289</v>
      </c>
      <c r="X2590">
        <v>0.62417411994524685</v>
      </c>
      <c r="Z2590" t="s">
        <v>392</v>
      </c>
      <c r="AA2590">
        <v>9400</v>
      </c>
      <c r="AB2590" t="s">
        <v>2981</v>
      </c>
      <c r="AC2590" t="str">
        <f>HYPERLINK("plots/3FT6Y578R01_012_S11P_20251111092011_M5358ACSH101811_RBGEUFRF26/dpll_52084/txpa_54256.png","plot")</f>
        <v>plot</v>
      </c>
    </row>
    <row r="2591" spans="1:29" hidden="1" x14ac:dyDescent="0.35">
      <c r="A2591" t="s">
        <v>48</v>
      </c>
      <c r="B2591">
        <v>52084</v>
      </c>
      <c r="C2591" t="s">
        <v>52</v>
      </c>
      <c r="D2591">
        <v>54257</v>
      </c>
      <c r="E2591" t="s">
        <v>277</v>
      </c>
      <c r="F2591">
        <v>12203</v>
      </c>
      <c r="G2591">
        <v>0.86434462360315412</v>
      </c>
      <c r="H2591">
        <v>0</v>
      </c>
      <c r="I2591">
        <v>0</v>
      </c>
      <c r="J2591">
        <v>0.73487730874757229</v>
      </c>
      <c r="K2591">
        <v>0</v>
      </c>
      <c r="L2591">
        <v>0</v>
      </c>
      <c r="M2591">
        <v>0.5469061169267555</v>
      </c>
      <c r="N2591">
        <v>0</v>
      </c>
      <c r="O2591">
        <v>0</v>
      </c>
      <c r="P2591">
        <v>0.74709162835167819</v>
      </c>
      <c r="Q2591">
        <v>2.7820672707303169</v>
      </c>
      <c r="R2591">
        <v>-0.68939052076841101</v>
      </c>
      <c r="S2591">
        <v>0.31159235778770428</v>
      </c>
      <c r="T2591">
        <v>0.24046641230820159</v>
      </c>
      <c r="U2591">
        <v>4.3306004672621494</v>
      </c>
      <c r="V2591">
        <v>0.19250512583860421</v>
      </c>
      <c r="W2591">
        <v>11.35863130181103</v>
      </c>
      <c r="X2591">
        <v>0.61961652264443767</v>
      </c>
      <c r="Z2591" t="s">
        <v>392</v>
      </c>
      <c r="AA2591">
        <v>9400</v>
      </c>
      <c r="AB2591" t="s">
        <v>2982</v>
      </c>
      <c r="AC2591" t="str">
        <f>HYPERLINK("plots/3FT6Y578R01_012_S11P_20251111092011_M5358ACSH101811_RBGEUFRF26/dpll_52084/txpa_54257.png","plot")</f>
        <v>plot</v>
      </c>
    </row>
    <row r="2592" spans="1:29" hidden="1" x14ac:dyDescent="0.35">
      <c r="A2592" t="s">
        <v>48</v>
      </c>
      <c r="B2592">
        <v>52084</v>
      </c>
      <c r="C2592" t="s">
        <v>52</v>
      </c>
      <c r="D2592">
        <v>54258</v>
      </c>
      <c r="E2592" t="s">
        <v>278</v>
      </c>
      <c r="F2592">
        <v>12198</v>
      </c>
      <c r="G2592">
        <v>0.85894223542456449</v>
      </c>
      <c r="H2592">
        <v>0</v>
      </c>
      <c r="I2592">
        <v>0</v>
      </c>
      <c r="J2592">
        <v>0.72707544524195145</v>
      </c>
      <c r="K2592">
        <v>0</v>
      </c>
      <c r="L2592">
        <v>0</v>
      </c>
      <c r="M2592">
        <v>0.53909549531007095</v>
      </c>
      <c r="N2592">
        <v>0</v>
      </c>
      <c r="O2592">
        <v>0</v>
      </c>
      <c r="P2592">
        <v>0.73778176379614802</v>
      </c>
      <c r="Q2592">
        <v>2.753578725237682</v>
      </c>
      <c r="R2592">
        <v>-0.58057507672193687</v>
      </c>
      <c r="S2592">
        <v>0.31582062026610919</v>
      </c>
      <c r="T2592">
        <v>0.24251625750136591</v>
      </c>
      <c r="U2592">
        <v>4.3307643858829321</v>
      </c>
      <c r="V2592">
        <v>0.19239478653431599</v>
      </c>
      <c r="W2592">
        <v>11.34452560026234</v>
      </c>
      <c r="X2592">
        <v>0.61677510919657696</v>
      </c>
      <c r="Z2592" t="s">
        <v>392</v>
      </c>
      <c r="AA2592">
        <v>9400</v>
      </c>
      <c r="AB2592" t="s">
        <v>2983</v>
      </c>
      <c r="AC2592" t="str">
        <f>HYPERLINK("plots/3FT6Y578R01_012_S11P_20251111092011_M5358ACSH101811_RBGEUFRF26/dpll_52084/txpa_54258.png","plot")</f>
        <v>plot</v>
      </c>
    </row>
    <row r="2593" spans="1:29" hidden="1" x14ac:dyDescent="0.35">
      <c r="A2593" t="s">
        <v>48</v>
      </c>
      <c r="B2593">
        <v>52084</v>
      </c>
      <c r="C2593" t="s">
        <v>52</v>
      </c>
      <c r="D2593">
        <v>55146</v>
      </c>
      <c r="E2593" t="s">
        <v>279</v>
      </c>
      <c r="F2593">
        <v>12233</v>
      </c>
      <c r="G2593">
        <v>1.492458507229554E-3</v>
      </c>
      <c r="H2593">
        <v>0.86890190970788772</v>
      </c>
      <c r="I2593">
        <v>0.86975966085271295</v>
      </c>
      <c r="J2593">
        <v>-6.1090278795162952E-3</v>
      </c>
      <c r="K2593">
        <v>0.4992861210136571</v>
      </c>
      <c r="L2593">
        <v>0.50126349178994878</v>
      </c>
      <c r="M2593">
        <v>-4.0488320833662909E-3</v>
      </c>
      <c r="N2593">
        <v>0.50183178146488594</v>
      </c>
      <c r="O2593">
        <v>0.50411285590622257</v>
      </c>
      <c r="P2593">
        <v>2.2274323958018691E-6</v>
      </c>
      <c r="Q2593">
        <v>4.0926898008446552E-2</v>
      </c>
      <c r="R2593">
        <v>-10.798079560227301</v>
      </c>
      <c r="S2593">
        <v>5.2895067336920611</v>
      </c>
      <c r="T2593">
        <v>3.975235297039807</v>
      </c>
      <c r="U2593">
        <v>4.3297099793182374</v>
      </c>
      <c r="V2593">
        <v>0.1928976098139932</v>
      </c>
      <c r="W2593">
        <v>-10.620877961497589</v>
      </c>
      <c r="X2593">
        <v>5.2897288364722286</v>
      </c>
      <c r="Z2593" t="s">
        <v>392</v>
      </c>
      <c r="AA2593">
        <v>9400</v>
      </c>
      <c r="AB2593" t="s">
        <v>2984</v>
      </c>
      <c r="AC2593" t="str">
        <f>HYPERLINK("plots/3FT6Y578R01_012_S11P_20251111092011_M5358ACSH101811_RBGEUFRF26/dpll_52084/txpa_55146.png","plot")</f>
        <v>plot</v>
      </c>
    </row>
    <row r="2594" spans="1:29" hidden="1" x14ac:dyDescent="0.35">
      <c r="A2594" t="s">
        <v>48</v>
      </c>
      <c r="B2594">
        <v>52084</v>
      </c>
      <c r="C2594" t="s">
        <v>52</v>
      </c>
      <c r="D2594">
        <v>55147</v>
      </c>
      <c r="E2594" t="s">
        <v>280</v>
      </c>
      <c r="F2594">
        <v>12243</v>
      </c>
      <c r="G2594">
        <v>0.23264115320464221</v>
      </c>
      <c r="H2594">
        <v>3.8892073376436249E-150</v>
      </c>
      <c r="I2594">
        <v>3.9357846710285792E-150</v>
      </c>
      <c r="J2594">
        <v>0.21068994238504071</v>
      </c>
      <c r="K2594">
        <v>6.9319514001714581E-123</v>
      </c>
      <c r="L2594">
        <v>7.0079747953876956E-123</v>
      </c>
      <c r="M2594">
        <v>0.14709045970880291</v>
      </c>
      <c r="N2594">
        <v>2.3557969588467299E-121</v>
      </c>
      <c r="O2594">
        <v>2.381633216620723E-121</v>
      </c>
      <c r="P2594">
        <v>5.412190616438578E-2</v>
      </c>
      <c r="Q2594">
        <v>1.520903446940105</v>
      </c>
      <c r="R2594">
        <v>-31.494412362040858</v>
      </c>
      <c r="S2594">
        <v>1.2262548784809859</v>
      </c>
      <c r="T2594">
        <v>1.028939014487724</v>
      </c>
      <c r="U2594">
        <v>4.3297121556807969</v>
      </c>
      <c r="V2594">
        <v>0.19287049691405411</v>
      </c>
      <c r="W2594">
        <v>-24.909338220207459</v>
      </c>
      <c r="X2594">
        <v>1.2609007457575749</v>
      </c>
      <c r="Z2594" t="s">
        <v>392</v>
      </c>
      <c r="AA2594">
        <v>9400</v>
      </c>
      <c r="AB2594" t="s">
        <v>2985</v>
      </c>
      <c r="AC2594" t="str">
        <f>HYPERLINK("plots/3FT6Y578R01_012_S11P_20251111092011_M5358ACSH101811_RBGEUFRF26/dpll_52084/txpa_55147.png","plot")</f>
        <v>plot</v>
      </c>
    </row>
    <row r="2595" spans="1:29" hidden="1" x14ac:dyDescent="0.35">
      <c r="A2595" t="s">
        <v>48</v>
      </c>
      <c r="B2595">
        <v>52084</v>
      </c>
      <c r="C2595" t="s">
        <v>52</v>
      </c>
      <c r="D2595">
        <v>55148</v>
      </c>
      <c r="E2595" t="s">
        <v>281</v>
      </c>
      <c r="F2595">
        <v>12243</v>
      </c>
      <c r="G2595">
        <v>0.22958584011788061</v>
      </c>
      <c r="H2595">
        <v>3.6417853172096592E-146</v>
      </c>
      <c r="I2595">
        <v>3.6707458366308101E-146</v>
      </c>
      <c r="J2595">
        <v>0.20348473185578489</v>
      </c>
      <c r="K2595">
        <v>1.3924948484197259E-114</v>
      </c>
      <c r="L2595">
        <v>1.402174554416685E-114</v>
      </c>
      <c r="M2595">
        <v>0.1417141344068851</v>
      </c>
      <c r="N2595">
        <v>1.4991750684229969E-113</v>
      </c>
      <c r="O2595">
        <v>1.509596344966156E-113</v>
      </c>
      <c r="P2595">
        <v>5.2709657982633037E-2</v>
      </c>
      <c r="Q2595">
        <v>1.5323006746890071</v>
      </c>
      <c r="R2595">
        <v>-31.473638053307582</v>
      </c>
      <c r="S2595">
        <v>1.252819517860378</v>
      </c>
      <c r="T2595">
        <v>1.0567252112926091</v>
      </c>
      <c r="U2595">
        <v>4.3297121556807969</v>
      </c>
      <c r="V2595">
        <v>0.19287049691405411</v>
      </c>
      <c r="W2595">
        <v>-24.839217195948699</v>
      </c>
      <c r="X2595">
        <v>1.2872553132948741</v>
      </c>
      <c r="Z2595" t="s">
        <v>392</v>
      </c>
      <c r="AA2595">
        <v>9400</v>
      </c>
      <c r="AB2595" t="s">
        <v>2986</v>
      </c>
      <c r="AC2595" t="str">
        <f>HYPERLINK("plots/3FT6Y578R01_012_S11P_20251111092011_M5358ACSH101811_RBGEUFRF26/dpll_52084/txpa_55148.png","plot")</f>
        <v>plot</v>
      </c>
    </row>
    <row r="2596" spans="1:29" hidden="1" x14ac:dyDescent="0.35">
      <c r="A2596" t="s">
        <v>48</v>
      </c>
      <c r="B2596">
        <v>52084</v>
      </c>
      <c r="C2596" t="s">
        <v>52</v>
      </c>
      <c r="D2596">
        <v>55149</v>
      </c>
      <c r="E2596" t="s">
        <v>282</v>
      </c>
      <c r="F2596">
        <v>12243</v>
      </c>
      <c r="G2596">
        <v>0.24561367747920759</v>
      </c>
      <c r="H2596">
        <v>1.18580625348022E-167</v>
      </c>
      <c r="I2596">
        <v>1.2157811334974139E-167</v>
      </c>
      <c r="J2596">
        <v>0.21857142138861141</v>
      </c>
      <c r="K2596">
        <v>2.4980562071294631E-132</v>
      </c>
      <c r="L2596">
        <v>2.5716030396236299E-132</v>
      </c>
      <c r="M2596">
        <v>0.15242771494426921</v>
      </c>
      <c r="N2596">
        <v>1.2045583184593581E-131</v>
      </c>
      <c r="O2596">
        <v>1.2400224719977549E-131</v>
      </c>
      <c r="P2596">
        <v>6.0326078564860219E-2</v>
      </c>
      <c r="Q2596">
        <v>1.643774703630456</v>
      </c>
      <c r="R2596">
        <v>-31.932709155907968</v>
      </c>
      <c r="S2596">
        <v>1.2511990165250659</v>
      </c>
      <c r="T2596">
        <v>1.057392082028153</v>
      </c>
      <c r="U2596">
        <v>4.3297121556807969</v>
      </c>
      <c r="V2596">
        <v>0.19287049691405411</v>
      </c>
      <c r="W2596">
        <v>-24.81563784039859</v>
      </c>
      <c r="X2596">
        <v>1.2907898581128341</v>
      </c>
      <c r="Z2596" t="s">
        <v>392</v>
      </c>
      <c r="AA2596">
        <v>9400</v>
      </c>
      <c r="AB2596" t="s">
        <v>2987</v>
      </c>
      <c r="AC2596" t="str">
        <f>HYPERLINK("plots/3FT6Y578R01_012_S11P_20251111092011_M5358ACSH101811_RBGEUFRF26/dpll_52084/txpa_55149.png","plot")</f>
        <v>plot</v>
      </c>
    </row>
    <row r="2597" spans="1:29" hidden="1" x14ac:dyDescent="0.35">
      <c r="A2597" t="s">
        <v>48</v>
      </c>
      <c r="B2597">
        <v>52084</v>
      </c>
      <c r="C2597" t="s">
        <v>52</v>
      </c>
      <c r="D2597">
        <v>55150</v>
      </c>
      <c r="E2597" t="s">
        <v>283</v>
      </c>
      <c r="F2597">
        <v>12243</v>
      </c>
      <c r="G2597">
        <v>0.25360063356715062</v>
      </c>
      <c r="H2597">
        <v>5.7196462299936072E-179</v>
      </c>
      <c r="I2597">
        <v>5.9241279644673308E-179</v>
      </c>
      <c r="J2597">
        <v>0.23488036713994989</v>
      </c>
      <c r="K2597">
        <v>4.3868005798162928E-153</v>
      </c>
      <c r="L2597">
        <v>4.6143317302217028E-153</v>
      </c>
      <c r="M2597">
        <v>0.16279451609615861</v>
      </c>
      <c r="N2597">
        <v>8.4709869870873088E-151</v>
      </c>
      <c r="O2597">
        <v>8.9103535320607171E-151</v>
      </c>
      <c r="P2597">
        <v>6.4313281345660181E-2</v>
      </c>
      <c r="Q2597">
        <v>1.7260105933415331</v>
      </c>
      <c r="R2597">
        <v>-32.223616265643578</v>
      </c>
      <c r="S2597">
        <v>1.2697154887847399</v>
      </c>
      <c r="T2597">
        <v>1.069329437589104</v>
      </c>
      <c r="U2597">
        <v>4.3297121556807969</v>
      </c>
      <c r="V2597">
        <v>0.19287049691405411</v>
      </c>
      <c r="W2597">
        <v>-24.750487218818922</v>
      </c>
      <c r="X2597">
        <v>1.312680162246344</v>
      </c>
      <c r="Z2597" t="s">
        <v>392</v>
      </c>
      <c r="AA2597">
        <v>9400</v>
      </c>
      <c r="AB2597" t="s">
        <v>2988</v>
      </c>
      <c r="AC2597" t="str">
        <f>HYPERLINK("plots/3FT6Y578R01_012_S11P_20251111092011_M5358ACSH101811_RBGEUFRF26/dpll_52084/txpa_55150.png","plot")</f>
        <v>plot</v>
      </c>
    </row>
    <row r="2598" spans="1:29" hidden="1" x14ac:dyDescent="0.35">
      <c r="A2598" t="s">
        <v>48</v>
      </c>
      <c r="B2598">
        <v>52084</v>
      </c>
      <c r="C2598" t="s">
        <v>52</v>
      </c>
      <c r="D2598">
        <v>55151</v>
      </c>
      <c r="E2598" t="s">
        <v>284</v>
      </c>
      <c r="F2598">
        <v>12242</v>
      </c>
      <c r="G2598">
        <v>0.2395749425567342</v>
      </c>
      <c r="H2598">
        <v>2.3592307804489382E-159</v>
      </c>
      <c r="I2598">
        <v>2.4067002126511298E-159</v>
      </c>
      <c r="J2598">
        <v>0.21546213306365941</v>
      </c>
      <c r="K2598">
        <v>1.508851159209351E-128</v>
      </c>
      <c r="L2598">
        <v>1.5361195536528941E-128</v>
      </c>
      <c r="M2598">
        <v>0.14995529305952651</v>
      </c>
      <c r="N2598">
        <v>1.7372769270588271E-127</v>
      </c>
      <c r="O2598">
        <v>1.7668995025452859E-127</v>
      </c>
      <c r="P2598">
        <v>5.7396153101062483E-2</v>
      </c>
      <c r="Q2598">
        <v>1.601970106872068</v>
      </c>
      <c r="R2598">
        <v>-31.744381611743879</v>
      </c>
      <c r="S2598">
        <v>1.2520717557424419</v>
      </c>
      <c r="T2598">
        <v>1.0602680534002631</v>
      </c>
      <c r="U2598">
        <v>4.3297262510210759</v>
      </c>
      <c r="V2598">
        <v>0.19287206860220879</v>
      </c>
      <c r="W2598">
        <v>-24.808289586668849</v>
      </c>
      <c r="X2598">
        <v>1.289681153855013</v>
      </c>
      <c r="Z2598" t="s">
        <v>392</v>
      </c>
      <c r="AA2598">
        <v>9400</v>
      </c>
      <c r="AB2598" t="s">
        <v>2989</v>
      </c>
      <c r="AC2598" t="str">
        <f>HYPERLINK("plots/3FT6Y578R01_012_S11P_20251111092011_M5358ACSH101811_RBGEUFRF26/dpll_52084/txpa_55151.png","plot")</f>
        <v>plot</v>
      </c>
    </row>
    <row r="2599" spans="1:29" hidden="1" x14ac:dyDescent="0.35">
      <c r="A2599" t="s">
        <v>48</v>
      </c>
      <c r="B2599">
        <v>52084</v>
      </c>
      <c r="C2599" t="s">
        <v>52</v>
      </c>
      <c r="D2599">
        <v>55152</v>
      </c>
      <c r="E2599" t="s">
        <v>285</v>
      </c>
      <c r="F2599">
        <v>12243</v>
      </c>
      <c r="G2599">
        <v>0.24225819820089869</v>
      </c>
      <c r="H2599">
        <v>5.0900839987928748E-163</v>
      </c>
      <c r="I2599">
        <v>5.2082191470998751E-163</v>
      </c>
      <c r="J2599">
        <v>0.2161425258145957</v>
      </c>
      <c r="K2599">
        <v>2.2296402531890331E-129</v>
      </c>
      <c r="L2599">
        <v>2.276792766096354E-129</v>
      </c>
      <c r="M2599">
        <v>0.15110197580368559</v>
      </c>
      <c r="N2599">
        <v>8.8315037245291051E-129</v>
      </c>
      <c r="O2599">
        <v>9.027363686161808E-129</v>
      </c>
      <c r="P2599">
        <v>5.8689034595545912E-2</v>
      </c>
      <c r="Q2599">
        <v>1.612394280293215</v>
      </c>
      <c r="R2599">
        <v>-31.831547470277432</v>
      </c>
      <c r="S2599">
        <v>1.245395772667949</v>
      </c>
      <c r="T2599">
        <v>1.0488349393406731</v>
      </c>
      <c r="U2599">
        <v>4.3297121556807969</v>
      </c>
      <c r="V2599">
        <v>0.19287049691405411</v>
      </c>
      <c r="W2599">
        <v>-24.850344355141711</v>
      </c>
      <c r="X2599">
        <v>1.2836852926795079</v>
      </c>
      <c r="Z2599" t="s">
        <v>392</v>
      </c>
      <c r="AA2599">
        <v>9400</v>
      </c>
      <c r="AB2599" t="s">
        <v>2990</v>
      </c>
      <c r="AC2599" t="str">
        <f>HYPERLINK("plots/3FT6Y578R01_012_S11P_20251111092011_M5358ACSH101811_RBGEUFRF26/dpll_52084/txpa_55152.png","plot")</f>
        <v>plot</v>
      </c>
    </row>
    <row r="2600" spans="1:29" hidden="1" x14ac:dyDescent="0.35">
      <c r="A2600" t="s">
        <v>48</v>
      </c>
      <c r="B2600">
        <v>52084</v>
      </c>
      <c r="C2600" t="s">
        <v>52</v>
      </c>
      <c r="D2600">
        <v>55153</v>
      </c>
      <c r="E2600" t="s">
        <v>286</v>
      </c>
      <c r="F2600">
        <v>12243</v>
      </c>
      <c r="G2600">
        <v>0.2384863539733092</v>
      </c>
      <c r="H2600">
        <v>6.7456320635897602E-158</v>
      </c>
      <c r="I2600">
        <v>6.8606528710932969E-158</v>
      </c>
      <c r="J2600">
        <v>0.2166560894855015</v>
      </c>
      <c r="K2600">
        <v>5.3378516817336899E-130</v>
      </c>
      <c r="L2600">
        <v>5.4562314569334286E-130</v>
      </c>
      <c r="M2600">
        <v>0.15122830491396061</v>
      </c>
      <c r="N2600">
        <v>1.136027116045125E-128</v>
      </c>
      <c r="O2600">
        <v>1.160051858680521E-128</v>
      </c>
      <c r="P2600">
        <v>5.6875741031482518E-2</v>
      </c>
      <c r="Q2600">
        <v>1.565643428883716</v>
      </c>
      <c r="R2600">
        <v>-31.655671675624561</v>
      </c>
      <c r="S2600">
        <v>1.229594312613141</v>
      </c>
      <c r="T2600">
        <v>1.038332457558157</v>
      </c>
      <c r="U2600">
        <v>4.3297121556807969</v>
      </c>
      <c r="V2600">
        <v>0.19287049691405411</v>
      </c>
      <c r="W2600">
        <v>-24.876886290124968</v>
      </c>
      <c r="X2600">
        <v>1.26617905422304</v>
      </c>
      <c r="Z2600" t="s">
        <v>392</v>
      </c>
      <c r="AA2600">
        <v>9400</v>
      </c>
      <c r="AB2600" t="s">
        <v>2991</v>
      </c>
      <c r="AC2600" t="str">
        <f>HYPERLINK("plots/3FT6Y578R01_012_S11P_20251111092011_M5358ACSH101811_RBGEUFRF26/dpll_52084/txpa_55153.png","plot")</f>
        <v>plot</v>
      </c>
    </row>
    <row r="2601" spans="1:29" hidden="1" x14ac:dyDescent="0.35">
      <c r="A2601" t="s">
        <v>48</v>
      </c>
      <c r="B2601">
        <v>52084</v>
      </c>
      <c r="C2601" t="s">
        <v>52</v>
      </c>
      <c r="D2601">
        <v>55154</v>
      </c>
      <c r="E2601" t="s">
        <v>287</v>
      </c>
      <c r="F2601">
        <v>12243</v>
      </c>
      <c r="G2601">
        <v>0.23323057041678441</v>
      </c>
      <c r="H2601">
        <v>6.5613741052593152E-151</v>
      </c>
      <c r="I2601">
        <v>6.6465867559769681E-151</v>
      </c>
      <c r="J2601">
        <v>0.21419034824753769</v>
      </c>
      <c r="K2601">
        <v>4.9385193179735434E-127</v>
      </c>
      <c r="L2601">
        <v>5.0076585884251729E-127</v>
      </c>
      <c r="M2601">
        <v>0.15059519589594189</v>
      </c>
      <c r="N2601">
        <v>6.9013508604348674E-126</v>
      </c>
      <c r="O2601">
        <v>6.9979697724809558E-126</v>
      </c>
      <c r="P2601">
        <v>5.4396498976938643E-2</v>
      </c>
      <c r="Q2601">
        <v>1.487943030320525</v>
      </c>
      <c r="R2601">
        <v>-31.432606857406601</v>
      </c>
      <c r="S2601">
        <v>1.196474444620429</v>
      </c>
      <c r="T2601">
        <v>1.0058742341794029</v>
      </c>
      <c r="U2601">
        <v>4.3297121556807969</v>
      </c>
      <c r="V2601">
        <v>0.19287049691405411</v>
      </c>
      <c r="W2601">
        <v>-24.990241832067301</v>
      </c>
      <c r="X2601">
        <v>1.230457530180918</v>
      </c>
      <c r="Z2601" t="s">
        <v>392</v>
      </c>
      <c r="AA2601">
        <v>9400</v>
      </c>
      <c r="AB2601" t="s">
        <v>2992</v>
      </c>
      <c r="AC2601" t="str">
        <f>HYPERLINK("plots/3FT6Y578R01_012_S11P_20251111092011_M5358ACSH101811_RBGEUFRF26/dpll_52084/txpa_55154.png","plot")</f>
        <v>plot</v>
      </c>
    </row>
    <row r="2602" spans="1:29" hidden="1" x14ac:dyDescent="0.35">
      <c r="A2602" t="s">
        <v>48</v>
      </c>
      <c r="B2602">
        <v>52084</v>
      </c>
      <c r="C2602" t="s">
        <v>52</v>
      </c>
      <c r="D2602">
        <v>55155</v>
      </c>
      <c r="E2602" t="s">
        <v>288</v>
      </c>
      <c r="F2602">
        <v>12243</v>
      </c>
      <c r="G2602">
        <v>0.72221179008193748</v>
      </c>
      <c r="H2602">
        <v>0</v>
      </c>
      <c r="I2602">
        <v>0</v>
      </c>
      <c r="J2602">
        <v>0.62542767939674648</v>
      </c>
      <c r="K2602">
        <v>0</v>
      </c>
      <c r="L2602">
        <v>0</v>
      </c>
      <c r="M2602">
        <v>0.44720415392808072</v>
      </c>
      <c r="N2602">
        <v>0</v>
      </c>
      <c r="O2602">
        <v>0</v>
      </c>
      <c r="P2602">
        <v>0.52158986973335653</v>
      </c>
      <c r="Q2602">
        <v>1.4451756826242039</v>
      </c>
      <c r="R2602">
        <v>-17.481676296563322</v>
      </c>
      <c r="S2602">
        <v>0.26693425981456842</v>
      </c>
      <c r="T2602">
        <v>0.20568875451948651</v>
      </c>
      <c r="U2602">
        <v>4.3297121556807969</v>
      </c>
      <c r="V2602">
        <v>0.19287049691405411</v>
      </c>
      <c r="W2602">
        <v>-11.22448157641101</v>
      </c>
      <c r="X2602">
        <v>0.38594184678737292</v>
      </c>
      <c r="Z2602" t="s">
        <v>392</v>
      </c>
      <c r="AA2602">
        <v>9400</v>
      </c>
      <c r="AB2602" t="s">
        <v>2993</v>
      </c>
      <c r="AC2602" t="str">
        <f>HYPERLINK("plots/3FT6Y578R01_012_S11P_20251111092011_M5358ACSH101811_RBGEUFRF26/dpll_52084/txpa_55155.png","plot")</f>
        <v>plot</v>
      </c>
    </row>
    <row r="2603" spans="1:29" hidden="1" x14ac:dyDescent="0.35">
      <c r="A2603" t="s">
        <v>48</v>
      </c>
      <c r="B2603">
        <v>52084</v>
      </c>
      <c r="C2603" t="s">
        <v>52</v>
      </c>
      <c r="D2603">
        <v>55156</v>
      </c>
      <c r="E2603" t="s">
        <v>289</v>
      </c>
      <c r="F2603">
        <v>12242</v>
      </c>
      <c r="G2603">
        <v>0.73813023808425948</v>
      </c>
      <c r="H2603">
        <v>0</v>
      </c>
      <c r="I2603">
        <v>0</v>
      </c>
      <c r="J2603">
        <v>0.63390484642979483</v>
      </c>
      <c r="K2603">
        <v>0</v>
      </c>
      <c r="L2603">
        <v>0</v>
      </c>
      <c r="M2603">
        <v>0.45525322225357462</v>
      </c>
      <c r="N2603">
        <v>0</v>
      </c>
      <c r="O2603">
        <v>0</v>
      </c>
      <c r="P2603">
        <v>0.54483624837432554</v>
      </c>
      <c r="Q2603">
        <v>1.47363496402461</v>
      </c>
      <c r="R2603">
        <v>-17.54111829356782</v>
      </c>
      <c r="S2603">
        <v>0.25977279371471801</v>
      </c>
      <c r="T2603">
        <v>0.20240391486845311</v>
      </c>
      <c r="U2603">
        <v>4.3296987265969609</v>
      </c>
      <c r="V2603">
        <v>0.1928726506826407</v>
      </c>
      <c r="W2603">
        <v>-11.160722866361709</v>
      </c>
      <c r="X2603">
        <v>0.38505925781840061</v>
      </c>
      <c r="Z2603" t="s">
        <v>392</v>
      </c>
      <c r="AA2603">
        <v>9400</v>
      </c>
      <c r="AB2603" t="s">
        <v>2994</v>
      </c>
      <c r="AC2603" t="str">
        <f>HYPERLINK("plots/3FT6Y578R01_012_S11P_20251111092011_M5358ACSH101811_RBGEUFRF26/dpll_52084/txpa_55156.png","plot")</f>
        <v>plot</v>
      </c>
    </row>
    <row r="2604" spans="1:29" hidden="1" x14ac:dyDescent="0.35">
      <c r="A2604" t="s">
        <v>48</v>
      </c>
      <c r="B2604">
        <v>52084</v>
      </c>
      <c r="C2604" t="s">
        <v>52</v>
      </c>
      <c r="D2604">
        <v>55157</v>
      </c>
      <c r="E2604" t="s">
        <v>290</v>
      </c>
      <c r="F2604">
        <v>12243</v>
      </c>
      <c r="G2604">
        <v>0.74145448945937953</v>
      </c>
      <c r="H2604">
        <v>0</v>
      </c>
      <c r="I2604">
        <v>0</v>
      </c>
      <c r="J2604">
        <v>0.63499829426284449</v>
      </c>
      <c r="K2604">
        <v>0</v>
      </c>
      <c r="L2604">
        <v>0</v>
      </c>
      <c r="M2604">
        <v>0.45690137863233021</v>
      </c>
      <c r="N2604">
        <v>0</v>
      </c>
      <c r="O2604">
        <v>0</v>
      </c>
      <c r="P2604">
        <v>0.5497547599394691</v>
      </c>
      <c r="Q2604">
        <v>1.4687746429584789</v>
      </c>
      <c r="R2604">
        <v>-17.49837178659568</v>
      </c>
      <c r="S2604">
        <v>0.25635588659720637</v>
      </c>
      <c r="T2604">
        <v>0.19931907186926701</v>
      </c>
      <c r="U2604">
        <v>4.3297121556807969</v>
      </c>
      <c r="V2604">
        <v>0.19287049691405411</v>
      </c>
      <c r="W2604">
        <v>-11.13900036102263</v>
      </c>
      <c r="X2604">
        <v>0.38206430639959582</v>
      </c>
      <c r="Z2604" t="s">
        <v>392</v>
      </c>
      <c r="AA2604">
        <v>9400</v>
      </c>
      <c r="AB2604" t="s">
        <v>2995</v>
      </c>
      <c r="AC2604" t="str">
        <f>HYPERLINK("plots/3FT6Y578R01_012_S11P_20251111092011_M5358ACSH101811_RBGEUFRF26/dpll_52084/txpa_55157.png","plot")</f>
        <v>plot</v>
      </c>
    </row>
    <row r="2605" spans="1:29" hidden="1" x14ac:dyDescent="0.35">
      <c r="A2605" t="s">
        <v>48</v>
      </c>
      <c r="B2605">
        <v>52084</v>
      </c>
      <c r="C2605" t="s">
        <v>52</v>
      </c>
      <c r="D2605">
        <v>55158</v>
      </c>
      <c r="E2605" t="s">
        <v>291</v>
      </c>
      <c r="F2605">
        <v>12242</v>
      </c>
      <c r="G2605">
        <v>0.74908007845433189</v>
      </c>
      <c r="H2605">
        <v>0</v>
      </c>
      <c r="I2605">
        <v>0</v>
      </c>
      <c r="J2605">
        <v>0.63955561677508288</v>
      </c>
      <c r="K2605">
        <v>0</v>
      </c>
      <c r="L2605">
        <v>0</v>
      </c>
      <c r="M2605">
        <v>0.46000892287688239</v>
      </c>
      <c r="N2605">
        <v>0</v>
      </c>
      <c r="O2605">
        <v>0</v>
      </c>
      <c r="P2605">
        <v>0.56112096393714805</v>
      </c>
      <c r="Q2605">
        <v>1.4903370352344241</v>
      </c>
      <c r="R2605">
        <v>-17.543902528417899</v>
      </c>
      <c r="S2605">
        <v>0.2542091629117767</v>
      </c>
      <c r="T2605">
        <v>0.19831803795519651</v>
      </c>
      <c r="U2605">
        <v>4.3297189133311553</v>
      </c>
      <c r="V2605">
        <v>0.19287692535756709</v>
      </c>
      <c r="W2605">
        <v>-11.091162079725541</v>
      </c>
      <c r="X2605">
        <v>0.3837395137989274</v>
      </c>
      <c r="Z2605" t="s">
        <v>392</v>
      </c>
      <c r="AA2605">
        <v>9400</v>
      </c>
      <c r="AB2605" t="s">
        <v>2996</v>
      </c>
      <c r="AC2605" t="str">
        <f>HYPERLINK("plots/3FT6Y578R01_012_S11P_20251111092011_M5358ACSH101811_RBGEUFRF26/dpll_52084/txpa_55158.png","plot")</f>
        <v>plot</v>
      </c>
    </row>
    <row r="2606" spans="1:29" hidden="1" x14ac:dyDescent="0.35">
      <c r="A2606" t="s">
        <v>48</v>
      </c>
      <c r="B2606">
        <v>52084</v>
      </c>
      <c r="C2606" t="s">
        <v>52</v>
      </c>
      <c r="D2606">
        <v>55159</v>
      </c>
      <c r="E2606" t="s">
        <v>292</v>
      </c>
      <c r="F2606">
        <v>12240</v>
      </c>
      <c r="G2606">
        <v>0.75088659049636819</v>
      </c>
      <c r="H2606">
        <v>0</v>
      </c>
      <c r="I2606">
        <v>0</v>
      </c>
      <c r="J2606">
        <v>0.63870619020813924</v>
      </c>
      <c r="K2606">
        <v>0</v>
      </c>
      <c r="L2606">
        <v>0</v>
      </c>
      <c r="M2606">
        <v>0.45790055275840102</v>
      </c>
      <c r="N2606">
        <v>0</v>
      </c>
      <c r="O2606">
        <v>0</v>
      </c>
      <c r="P2606">
        <v>0.56383067178726054</v>
      </c>
      <c r="Q2606">
        <v>1.4914053746912339</v>
      </c>
      <c r="R2606">
        <v>-17.574815052413829</v>
      </c>
      <c r="S2606">
        <v>0.25294890686346128</v>
      </c>
      <c r="T2606">
        <v>0.19862347547727391</v>
      </c>
      <c r="U2606">
        <v>4.3297345467320261</v>
      </c>
      <c r="V2606">
        <v>0.1928420022508596</v>
      </c>
      <c r="W2606">
        <v>-11.117425678431371</v>
      </c>
      <c r="X2606">
        <v>0.38302135404100313</v>
      </c>
      <c r="Z2606" t="s">
        <v>392</v>
      </c>
      <c r="AA2606">
        <v>9400</v>
      </c>
      <c r="AB2606" t="s">
        <v>2997</v>
      </c>
      <c r="AC2606" t="str">
        <f>HYPERLINK("plots/3FT6Y578R01_012_S11P_20251111092011_M5358ACSH101811_RBGEUFRF26/dpll_52084/txpa_55159.png","plot")</f>
        <v>plot</v>
      </c>
    </row>
    <row r="2607" spans="1:29" hidden="1" x14ac:dyDescent="0.35">
      <c r="A2607" t="s">
        <v>48</v>
      </c>
      <c r="B2607">
        <v>52084</v>
      </c>
      <c r="C2607" t="s">
        <v>52</v>
      </c>
      <c r="D2607">
        <v>55160</v>
      </c>
      <c r="E2607" t="s">
        <v>293</v>
      </c>
      <c r="F2607">
        <v>12241</v>
      </c>
      <c r="G2607">
        <v>0.75141933760580137</v>
      </c>
      <c r="H2607">
        <v>0</v>
      </c>
      <c r="I2607">
        <v>0</v>
      </c>
      <c r="J2607">
        <v>0.6440869875311076</v>
      </c>
      <c r="K2607">
        <v>0</v>
      </c>
      <c r="L2607">
        <v>0</v>
      </c>
      <c r="M2607">
        <v>0.46373459841171583</v>
      </c>
      <c r="N2607">
        <v>0</v>
      </c>
      <c r="O2607">
        <v>0</v>
      </c>
      <c r="P2607">
        <v>0.56463102092794126</v>
      </c>
      <c r="Q2607">
        <v>1.4900672258610681</v>
      </c>
      <c r="R2607">
        <v>-17.590919421520489</v>
      </c>
      <c r="S2607">
        <v>0.25229914913567281</v>
      </c>
      <c r="T2607">
        <v>0.1975105155061935</v>
      </c>
      <c r="U2607">
        <v>4.3297157026386737</v>
      </c>
      <c r="V2607">
        <v>0.19283296991716889</v>
      </c>
      <c r="W2607">
        <v>-11.139351955722571</v>
      </c>
      <c r="X2607">
        <v>0.38238846694382489</v>
      </c>
      <c r="Z2607" t="s">
        <v>392</v>
      </c>
      <c r="AA2607">
        <v>9400</v>
      </c>
      <c r="AB2607" t="s">
        <v>2998</v>
      </c>
      <c r="AC2607" t="str">
        <f>HYPERLINK("plots/3FT6Y578R01_012_S11P_20251111092011_M5358ACSH101811_RBGEUFRF26/dpll_52084/txpa_55160.png","plot")</f>
        <v>plot</v>
      </c>
    </row>
    <row r="2608" spans="1:29" hidden="1" x14ac:dyDescent="0.35">
      <c r="A2608" t="s">
        <v>48</v>
      </c>
      <c r="B2608">
        <v>52084</v>
      </c>
      <c r="C2608" t="s">
        <v>52</v>
      </c>
      <c r="D2608">
        <v>55161</v>
      </c>
      <c r="E2608" t="s">
        <v>294</v>
      </c>
      <c r="F2608">
        <v>12242</v>
      </c>
      <c r="G2608">
        <v>0.75262477482819867</v>
      </c>
      <c r="H2608">
        <v>0</v>
      </c>
      <c r="I2608">
        <v>0</v>
      </c>
      <c r="J2608">
        <v>0.64169545190301724</v>
      </c>
      <c r="K2608">
        <v>0</v>
      </c>
      <c r="L2608">
        <v>0</v>
      </c>
      <c r="M2608">
        <v>0.46206862937515092</v>
      </c>
      <c r="N2608">
        <v>0</v>
      </c>
      <c r="O2608">
        <v>0</v>
      </c>
      <c r="P2608">
        <v>0.56644405168519674</v>
      </c>
      <c r="Q2608">
        <v>1.4957184771213441</v>
      </c>
      <c r="R2608">
        <v>-17.613136613688649</v>
      </c>
      <c r="S2608">
        <v>0.25234366136505348</v>
      </c>
      <c r="T2608">
        <v>0.19737299121935231</v>
      </c>
      <c r="U2608">
        <v>4.3297428452050317</v>
      </c>
      <c r="V2608">
        <v>0.19284847807112951</v>
      </c>
      <c r="W2608">
        <v>-11.13706023893155</v>
      </c>
      <c r="X2608">
        <v>0.38325476596430458</v>
      </c>
      <c r="Z2608" t="s">
        <v>392</v>
      </c>
      <c r="AA2608">
        <v>9400</v>
      </c>
      <c r="AB2608" t="s">
        <v>2999</v>
      </c>
      <c r="AC2608" t="str">
        <f>HYPERLINK("plots/3FT6Y578R01_012_S11P_20251111092011_M5358ACSH101811_RBGEUFRF26/dpll_52084/txpa_55161.png","plot")</f>
        <v>plot</v>
      </c>
    </row>
    <row r="2609" spans="1:29" hidden="1" x14ac:dyDescent="0.35">
      <c r="A2609" t="s">
        <v>48</v>
      </c>
      <c r="B2609">
        <v>52084</v>
      </c>
      <c r="C2609" t="s">
        <v>52</v>
      </c>
      <c r="D2609">
        <v>55162</v>
      </c>
      <c r="E2609" t="s">
        <v>295</v>
      </c>
      <c r="F2609">
        <v>12241</v>
      </c>
      <c r="G2609">
        <v>0.74302907178709887</v>
      </c>
      <c r="H2609">
        <v>0</v>
      </c>
      <c r="I2609">
        <v>0</v>
      </c>
      <c r="J2609">
        <v>0.62999108027740391</v>
      </c>
      <c r="K2609">
        <v>0</v>
      </c>
      <c r="L2609">
        <v>0</v>
      </c>
      <c r="M2609">
        <v>0.45234856591603723</v>
      </c>
      <c r="N2609">
        <v>0</v>
      </c>
      <c r="O2609">
        <v>0</v>
      </c>
      <c r="P2609">
        <v>0.55209220152079774</v>
      </c>
      <c r="Q2609">
        <v>1.472578417618259</v>
      </c>
      <c r="R2609">
        <v>-17.574456302062039</v>
      </c>
      <c r="S2609">
        <v>0.25577415098200917</v>
      </c>
      <c r="T2609">
        <v>0.19956141150556961</v>
      </c>
      <c r="U2609">
        <v>4.329762099583367</v>
      </c>
      <c r="V2609">
        <v>0.19284458788376191</v>
      </c>
      <c r="W2609">
        <v>-11.19854208079405</v>
      </c>
      <c r="X2609">
        <v>0.38219066905296578</v>
      </c>
      <c r="Z2609" t="s">
        <v>392</v>
      </c>
      <c r="AA2609">
        <v>9400</v>
      </c>
      <c r="AB2609" t="s">
        <v>3000</v>
      </c>
      <c r="AC2609" t="str">
        <f>HYPERLINK("plots/3FT6Y578R01_012_S11P_20251111092011_M5358ACSH101811_RBGEUFRF26/dpll_52084/txpa_55162.png","plot")</f>
        <v>plot</v>
      </c>
    </row>
    <row r="2610" spans="1:29" hidden="1" x14ac:dyDescent="0.35">
      <c r="A2610" t="s">
        <v>48</v>
      </c>
      <c r="B2610">
        <v>52084</v>
      </c>
      <c r="C2610" t="s">
        <v>52</v>
      </c>
      <c r="D2610">
        <v>55163</v>
      </c>
      <c r="E2610" t="s">
        <v>296</v>
      </c>
      <c r="F2610">
        <v>12243</v>
      </c>
      <c r="G2610">
        <v>0.76773445493789294</v>
      </c>
      <c r="H2610">
        <v>0</v>
      </c>
      <c r="I2610">
        <v>0</v>
      </c>
      <c r="J2610">
        <v>0.66736649403517823</v>
      </c>
      <c r="K2610">
        <v>0</v>
      </c>
      <c r="L2610">
        <v>0</v>
      </c>
      <c r="M2610">
        <v>0.48046178676166479</v>
      </c>
      <c r="N2610">
        <v>0</v>
      </c>
      <c r="O2610">
        <v>0</v>
      </c>
      <c r="P2610">
        <v>0.58941619329878359</v>
      </c>
      <c r="Q2610">
        <v>1.2925864654499279</v>
      </c>
      <c r="R2610">
        <v>-10.50251983822054</v>
      </c>
      <c r="S2610">
        <v>0.20806428733437971</v>
      </c>
      <c r="T2610">
        <v>0.15753236204957249</v>
      </c>
      <c r="U2610">
        <v>4.3297121556807969</v>
      </c>
      <c r="V2610">
        <v>0.19287049691405411</v>
      </c>
      <c r="W2610">
        <v>-4.9059925064935062</v>
      </c>
      <c r="X2610">
        <v>0.3247239879521574</v>
      </c>
      <c r="Z2610" t="s">
        <v>392</v>
      </c>
      <c r="AA2610">
        <v>9400</v>
      </c>
      <c r="AB2610" t="s">
        <v>3001</v>
      </c>
      <c r="AC2610" t="str">
        <f>HYPERLINK("plots/3FT6Y578R01_012_S11P_20251111092011_M5358ACSH101811_RBGEUFRF26/dpll_52084/txpa_55163.png","plot")</f>
        <v>plot</v>
      </c>
    </row>
    <row r="2611" spans="1:29" hidden="1" x14ac:dyDescent="0.35">
      <c r="A2611" t="s">
        <v>48</v>
      </c>
      <c r="B2611">
        <v>52084</v>
      </c>
      <c r="C2611" t="s">
        <v>52</v>
      </c>
      <c r="D2611">
        <v>55164</v>
      </c>
      <c r="E2611" t="s">
        <v>297</v>
      </c>
      <c r="F2611">
        <v>12242</v>
      </c>
      <c r="G2611">
        <v>0.78486641058375273</v>
      </c>
      <c r="H2611">
        <v>0</v>
      </c>
      <c r="I2611">
        <v>0</v>
      </c>
      <c r="J2611">
        <v>0.67833768386635562</v>
      </c>
      <c r="K2611">
        <v>0</v>
      </c>
      <c r="L2611">
        <v>0</v>
      </c>
      <c r="M2611">
        <v>0.49178150823661371</v>
      </c>
      <c r="N2611">
        <v>0</v>
      </c>
      <c r="O2611">
        <v>0</v>
      </c>
      <c r="P2611">
        <v>0.61601528246262394</v>
      </c>
      <c r="Q2611">
        <v>1.3174234620854259</v>
      </c>
      <c r="R2611">
        <v>-10.568973439978629</v>
      </c>
      <c r="S2611">
        <v>0.20060397332289809</v>
      </c>
      <c r="T2611">
        <v>0.15403532610623979</v>
      </c>
      <c r="U2611">
        <v>4.3296987265969609</v>
      </c>
      <c r="V2611">
        <v>0.1928726506826407</v>
      </c>
      <c r="W2611">
        <v>-4.8649267537983976</v>
      </c>
      <c r="X2611">
        <v>0.32374293481986538</v>
      </c>
      <c r="Z2611" t="s">
        <v>392</v>
      </c>
      <c r="AA2611">
        <v>9400</v>
      </c>
      <c r="AB2611" t="s">
        <v>3002</v>
      </c>
      <c r="AC2611" t="str">
        <f>HYPERLINK("plots/3FT6Y578R01_012_S11P_20251111092011_M5358ACSH101811_RBGEUFRF26/dpll_52084/txpa_55164.png","plot")</f>
        <v>plot</v>
      </c>
    </row>
    <row r="2612" spans="1:29" hidden="1" x14ac:dyDescent="0.35">
      <c r="A2612" t="s">
        <v>48</v>
      </c>
      <c r="B2612">
        <v>52084</v>
      </c>
      <c r="C2612" t="s">
        <v>52</v>
      </c>
      <c r="D2612">
        <v>55165</v>
      </c>
      <c r="E2612" t="s">
        <v>298</v>
      </c>
      <c r="F2612">
        <v>12243</v>
      </c>
      <c r="G2612">
        <v>0.78302474537085343</v>
      </c>
      <c r="H2612">
        <v>0</v>
      </c>
      <c r="I2612">
        <v>0</v>
      </c>
      <c r="J2612">
        <v>0.67546589822742553</v>
      </c>
      <c r="K2612">
        <v>0</v>
      </c>
      <c r="L2612">
        <v>0</v>
      </c>
      <c r="M2612">
        <v>0.48915718962502169</v>
      </c>
      <c r="N2612">
        <v>0</v>
      </c>
      <c r="O2612">
        <v>0</v>
      </c>
      <c r="P2612">
        <v>0.61312775186308988</v>
      </c>
      <c r="Q2612">
        <v>1.3025781607916549</v>
      </c>
      <c r="R2612">
        <v>-10.48982808761725</v>
      </c>
      <c r="S2612">
        <v>0.19955387079625209</v>
      </c>
      <c r="T2612">
        <v>0.1526983686453576</v>
      </c>
      <c r="U2612">
        <v>4.3297121556807969</v>
      </c>
      <c r="V2612">
        <v>0.19287049691405411</v>
      </c>
      <c r="W2612">
        <v>-4.8500395911132896</v>
      </c>
      <c r="X2612">
        <v>0.32084413503725873</v>
      </c>
      <c r="Z2612" t="s">
        <v>392</v>
      </c>
      <c r="AA2612">
        <v>9400</v>
      </c>
      <c r="AB2612" t="s">
        <v>3003</v>
      </c>
      <c r="AC2612" t="str">
        <f>HYPERLINK("plots/3FT6Y578R01_012_S11P_20251111092011_M5358ACSH101811_RBGEUFRF26/dpll_52084/txpa_55165.png","plot")</f>
        <v>plot</v>
      </c>
    </row>
    <row r="2613" spans="1:29" hidden="1" x14ac:dyDescent="0.35">
      <c r="A2613" t="s">
        <v>48</v>
      </c>
      <c r="B2613">
        <v>52084</v>
      </c>
      <c r="C2613" t="s">
        <v>52</v>
      </c>
      <c r="D2613">
        <v>55166</v>
      </c>
      <c r="E2613" t="s">
        <v>299</v>
      </c>
      <c r="F2613">
        <v>12242</v>
      </c>
      <c r="G2613">
        <v>0.79488541573645399</v>
      </c>
      <c r="H2613">
        <v>0</v>
      </c>
      <c r="I2613">
        <v>0</v>
      </c>
      <c r="J2613">
        <v>0.68381603213703057</v>
      </c>
      <c r="K2613">
        <v>0</v>
      </c>
      <c r="L2613">
        <v>0</v>
      </c>
      <c r="M2613">
        <v>0.49672021012879009</v>
      </c>
      <c r="N2613">
        <v>0</v>
      </c>
      <c r="O2613">
        <v>0</v>
      </c>
      <c r="P2613">
        <v>0.63184282415051529</v>
      </c>
      <c r="Q2613">
        <v>1.3278504995318909</v>
      </c>
      <c r="R2613">
        <v>-10.56696771090451</v>
      </c>
      <c r="S2613">
        <v>0.19548967435841039</v>
      </c>
      <c r="T2613">
        <v>0.15095162206596391</v>
      </c>
      <c r="U2613">
        <v>4.3297189133311553</v>
      </c>
      <c r="V2613">
        <v>0.19287692535756709</v>
      </c>
      <c r="W2613">
        <v>-4.8177482890050642</v>
      </c>
      <c r="X2613">
        <v>0.32219954802785677</v>
      </c>
      <c r="Z2613" t="s">
        <v>392</v>
      </c>
      <c r="AA2613">
        <v>9400</v>
      </c>
      <c r="AB2613" t="s">
        <v>3004</v>
      </c>
      <c r="AC2613" t="str">
        <f>HYPERLINK("plots/3FT6Y578R01_012_S11P_20251111092011_M5358ACSH101811_RBGEUFRF26/dpll_52084/txpa_55166.png","plot")</f>
        <v>plot</v>
      </c>
    </row>
    <row r="2614" spans="1:29" hidden="1" x14ac:dyDescent="0.35">
      <c r="A2614" t="s">
        <v>48</v>
      </c>
      <c r="B2614">
        <v>52084</v>
      </c>
      <c r="C2614" t="s">
        <v>52</v>
      </c>
      <c r="D2614">
        <v>55167</v>
      </c>
      <c r="E2614" t="s">
        <v>300</v>
      </c>
      <c r="F2614">
        <v>12240</v>
      </c>
      <c r="G2614">
        <v>0.79428973582034912</v>
      </c>
      <c r="H2614">
        <v>0</v>
      </c>
      <c r="I2614">
        <v>0</v>
      </c>
      <c r="J2614">
        <v>0.6780729215638106</v>
      </c>
      <c r="K2614">
        <v>0</v>
      </c>
      <c r="L2614">
        <v>0</v>
      </c>
      <c r="M2614">
        <v>0.49077222938266057</v>
      </c>
      <c r="N2614">
        <v>0</v>
      </c>
      <c r="O2614">
        <v>0</v>
      </c>
      <c r="P2614">
        <v>0.63089618442955997</v>
      </c>
      <c r="Q2614">
        <v>1.3291804654456461</v>
      </c>
      <c r="R2614">
        <v>-10.59699687387222</v>
      </c>
      <c r="S2614">
        <v>0.19604833461224691</v>
      </c>
      <c r="T2614">
        <v>0.15237893884640799</v>
      </c>
      <c r="U2614">
        <v>4.3297345467320261</v>
      </c>
      <c r="V2614">
        <v>0.1928420022508596</v>
      </c>
      <c r="W2614">
        <v>-4.8419982937908497</v>
      </c>
      <c r="X2614">
        <v>0.32270569635970031</v>
      </c>
      <c r="Z2614" t="s">
        <v>392</v>
      </c>
      <c r="AA2614">
        <v>9400</v>
      </c>
      <c r="AB2614" t="s">
        <v>3005</v>
      </c>
      <c r="AC2614" t="str">
        <f>HYPERLINK("plots/3FT6Y578R01_012_S11P_20251111092011_M5358ACSH101811_RBGEUFRF26/dpll_52084/txpa_55167.png","plot")</f>
        <v>plot</v>
      </c>
    </row>
    <row r="2615" spans="1:29" hidden="1" x14ac:dyDescent="0.35">
      <c r="A2615" t="s">
        <v>48</v>
      </c>
      <c r="B2615">
        <v>52084</v>
      </c>
      <c r="C2615" t="s">
        <v>52</v>
      </c>
      <c r="D2615">
        <v>55168</v>
      </c>
      <c r="E2615" t="s">
        <v>301</v>
      </c>
      <c r="F2615">
        <v>12241</v>
      </c>
      <c r="G2615">
        <v>0.79684848426955068</v>
      </c>
      <c r="H2615">
        <v>0</v>
      </c>
      <c r="I2615">
        <v>0</v>
      </c>
      <c r="J2615">
        <v>0.68671123535755918</v>
      </c>
      <c r="K2615">
        <v>0</v>
      </c>
      <c r="L2615">
        <v>0</v>
      </c>
      <c r="M2615">
        <v>0.49905921493205663</v>
      </c>
      <c r="N2615">
        <v>0</v>
      </c>
      <c r="O2615">
        <v>0</v>
      </c>
      <c r="P2615">
        <v>0.63496750688268033</v>
      </c>
      <c r="Q2615">
        <v>1.336289779245037</v>
      </c>
      <c r="R2615">
        <v>-10.636555611161469</v>
      </c>
      <c r="S2615">
        <v>0.19536834976349049</v>
      </c>
      <c r="T2615">
        <v>0.15166602144861449</v>
      </c>
      <c r="U2615">
        <v>4.3297157026386737</v>
      </c>
      <c r="V2615">
        <v>0.19283296991716889</v>
      </c>
      <c r="W2615">
        <v>-4.8508007706886689</v>
      </c>
      <c r="X2615">
        <v>0.32337480950094011</v>
      </c>
      <c r="Z2615" t="s">
        <v>392</v>
      </c>
      <c r="AA2615">
        <v>9400</v>
      </c>
      <c r="AB2615" t="s">
        <v>3006</v>
      </c>
      <c r="AC2615" t="str">
        <f>HYPERLINK("plots/3FT6Y578R01_012_S11P_20251111092011_M5358ACSH101811_RBGEUFRF26/dpll_52084/txpa_55168.png","plot")</f>
        <v>plot</v>
      </c>
    </row>
    <row r="2616" spans="1:29" hidden="1" x14ac:dyDescent="0.35">
      <c r="A2616" t="s">
        <v>48</v>
      </c>
      <c r="B2616">
        <v>52084</v>
      </c>
      <c r="C2616" t="s">
        <v>52</v>
      </c>
      <c r="D2616">
        <v>55169</v>
      </c>
      <c r="E2616" t="s">
        <v>302</v>
      </c>
      <c r="F2616">
        <v>12242</v>
      </c>
      <c r="G2616">
        <v>0.79597007022336408</v>
      </c>
      <c r="H2616">
        <v>0</v>
      </c>
      <c r="I2616">
        <v>0</v>
      </c>
      <c r="J2616">
        <v>0.68034610804797691</v>
      </c>
      <c r="K2616">
        <v>0</v>
      </c>
      <c r="L2616">
        <v>0</v>
      </c>
      <c r="M2616">
        <v>0.4937802063671165</v>
      </c>
      <c r="N2616">
        <v>0</v>
      </c>
      <c r="O2616">
        <v>0</v>
      </c>
      <c r="P2616">
        <v>0.63356835269138712</v>
      </c>
      <c r="Q2616">
        <v>1.3293676460533761</v>
      </c>
      <c r="R2616">
        <v>-10.602395124805049</v>
      </c>
      <c r="S2616">
        <v>0.19495901932974891</v>
      </c>
      <c r="T2616">
        <v>0.1517043355644058</v>
      </c>
      <c r="U2616">
        <v>4.3297428452050317</v>
      </c>
      <c r="V2616">
        <v>0.19284847807112951</v>
      </c>
      <c r="W2616">
        <v>-4.846575070658389</v>
      </c>
      <c r="X2616">
        <v>0.32208061198388072</v>
      </c>
      <c r="Z2616" t="s">
        <v>392</v>
      </c>
      <c r="AA2616">
        <v>9400</v>
      </c>
      <c r="AB2616" t="s">
        <v>3007</v>
      </c>
      <c r="AC2616" t="str">
        <f>HYPERLINK("plots/3FT6Y578R01_012_S11P_20251111092011_M5358ACSH101811_RBGEUFRF26/dpll_52084/txpa_55169.png","plot")</f>
        <v>plot</v>
      </c>
    </row>
    <row r="2617" spans="1:29" hidden="1" x14ac:dyDescent="0.35">
      <c r="A2617" t="s">
        <v>48</v>
      </c>
      <c r="B2617">
        <v>52084</v>
      </c>
      <c r="C2617" t="s">
        <v>52</v>
      </c>
      <c r="D2617">
        <v>55170</v>
      </c>
      <c r="E2617" t="s">
        <v>303</v>
      </c>
      <c r="F2617">
        <v>12239</v>
      </c>
      <c r="G2617">
        <v>0.78959308703660802</v>
      </c>
      <c r="H2617">
        <v>0</v>
      </c>
      <c r="I2617">
        <v>0</v>
      </c>
      <c r="J2617">
        <v>0.67216893242934983</v>
      </c>
      <c r="K2617">
        <v>0</v>
      </c>
      <c r="L2617">
        <v>0</v>
      </c>
      <c r="M2617">
        <v>0.48730787716688939</v>
      </c>
      <c r="N2617">
        <v>0</v>
      </c>
      <c r="O2617">
        <v>0</v>
      </c>
      <c r="P2617">
        <v>0.62345724309600048</v>
      </c>
      <c r="Q2617">
        <v>1.3168601395912469</v>
      </c>
      <c r="R2617">
        <v>-10.57771991622411</v>
      </c>
      <c r="S2617">
        <v>0.19735552468070339</v>
      </c>
      <c r="T2617">
        <v>0.15254322685745339</v>
      </c>
      <c r="U2617">
        <v>4.3297844997140276</v>
      </c>
      <c r="V2617">
        <v>0.1928517426499661</v>
      </c>
      <c r="W2617">
        <v>-4.875999295530681</v>
      </c>
      <c r="X2617">
        <v>0.32163246729979961</v>
      </c>
      <c r="Z2617" t="s">
        <v>392</v>
      </c>
      <c r="AA2617">
        <v>9400</v>
      </c>
      <c r="AB2617" t="s">
        <v>3008</v>
      </c>
      <c r="AC2617" t="str">
        <f>HYPERLINK("plots/3FT6Y578R01_012_S11P_20251111092011_M5358ACSH101811_RBGEUFRF26/dpll_52084/txpa_55170.png","plot")</f>
        <v>plot</v>
      </c>
    </row>
    <row r="2618" spans="1:29" hidden="1" x14ac:dyDescent="0.35">
      <c r="A2618" t="s">
        <v>48</v>
      </c>
      <c r="B2618">
        <v>52084</v>
      </c>
      <c r="C2618" t="s">
        <v>52</v>
      </c>
      <c r="D2618">
        <v>55171</v>
      </c>
      <c r="E2618" t="s">
        <v>304</v>
      </c>
      <c r="F2618">
        <v>12243</v>
      </c>
      <c r="G2618">
        <v>0.77955055203062928</v>
      </c>
      <c r="H2618">
        <v>0</v>
      </c>
      <c r="I2618">
        <v>0</v>
      </c>
      <c r="J2618">
        <v>0.68162825710633967</v>
      </c>
      <c r="K2618">
        <v>0</v>
      </c>
      <c r="L2618">
        <v>0</v>
      </c>
      <c r="M2618">
        <v>0.49192948155594018</v>
      </c>
      <c r="N2618">
        <v>0</v>
      </c>
      <c r="O2618">
        <v>0</v>
      </c>
      <c r="P2618">
        <v>0.60769906317125888</v>
      </c>
      <c r="Q2618">
        <v>1.31663923711102</v>
      </c>
      <c r="R2618">
        <v>-7.6316269243498338</v>
      </c>
      <c r="S2618">
        <v>0.2040235240601426</v>
      </c>
      <c r="T2618">
        <v>0.1536603413215204</v>
      </c>
      <c r="U2618">
        <v>4.3297121556807969</v>
      </c>
      <c r="V2618">
        <v>0.19287049691405411</v>
      </c>
      <c r="W2618">
        <v>-1.930958014783958</v>
      </c>
      <c r="X2618">
        <v>0.32575291397929262</v>
      </c>
      <c r="Z2618" t="s">
        <v>392</v>
      </c>
      <c r="AA2618">
        <v>9400</v>
      </c>
      <c r="AB2618" t="s">
        <v>3009</v>
      </c>
      <c r="AC2618" t="str">
        <f>HYPERLINK("plots/3FT6Y578R01_012_S11P_20251111092011_M5358ACSH101811_RBGEUFRF26/dpll_52084/txpa_55171.png","plot")</f>
        <v>plot</v>
      </c>
    </row>
    <row r="2619" spans="1:29" hidden="1" x14ac:dyDescent="0.35">
      <c r="A2619" t="s">
        <v>48</v>
      </c>
      <c r="B2619">
        <v>52084</v>
      </c>
      <c r="C2619" t="s">
        <v>52</v>
      </c>
      <c r="D2619">
        <v>55172</v>
      </c>
      <c r="E2619" t="s">
        <v>305</v>
      </c>
      <c r="F2619">
        <v>12242</v>
      </c>
      <c r="G2619">
        <v>0.79795339321236447</v>
      </c>
      <c r="H2619">
        <v>0</v>
      </c>
      <c r="I2619">
        <v>0</v>
      </c>
      <c r="J2619">
        <v>0.69393369777113767</v>
      </c>
      <c r="K2619">
        <v>0</v>
      </c>
      <c r="L2619">
        <v>0</v>
      </c>
      <c r="M2619">
        <v>0.50497245688750447</v>
      </c>
      <c r="N2619">
        <v>0</v>
      </c>
      <c r="O2619">
        <v>0</v>
      </c>
      <c r="P2619">
        <v>0.6367296177391264</v>
      </c>
      <c r="Q2619">
        <v>1.3440371620332081</v>
      </c>
      <c r="R2619">
        <v>-7.714632537965775</v>
      </c>
      <c r="S2619">
        <v>0.19579502703031679</v>
      </c>
      <c r="T2619">
        <v>0.14935487487295021</v>
      </c>
      <c r="U2619">
        <v>4.3296987265969609</v>
      </c>
      <c r="V2619">
        <v>0.1928726506826407</v>
      </c>
      <c r="W2619">
        <v>-1.8953565490116</v>
      </c>
      <c r="X2619">
        <v>0.32486610403864619</v>
      </c>
      <c r="Z2619" t="s">
        <v>392</v>
      </c>
      <c r="AA2619">
        <v>9400</v>
      </c>
      <c r="AB2619" t="s">
        <v>3010</v>
      </c>
      <c r="AC2619" t="str">
        <f>HYPERLINK("plots/3FT6Y578R01_012_S11P_20251111092011_M5358ACSH101811_RBGEUFRF26/dpll_52084/txpa_55172.png","plot")</f>
        <v>plot</v>
      </c>
    </row>
    <row r="2620" spans="1:29" hidden="1" x14ac:dyDescent="0.35">
      <c r="A2620" t="s">
        <v>48</v>
      </c>
      <c r="B2620">
        <v>52084</v>
      </c>
      <c r="C2620" t="s">
        <v>52</v>
      </c>
      <c r="D2620">
        <v>55173</v>
      </c>
      <c r="E2620" t="s">
        <v>306</v>
      </c>
      <c r="F2620">
        <v>12243</v>
      </c>
      <c r="G2620">
        <v>0.795303974677256</v>
      </c>
      <c r="H2620">
        <v>0</v>
      </c>
      <c r="I2620">
        <v>0</v>
      </c>
      <c r="J2620">
        <v>0.69035702949362787</v>
      </c>
      <c r="K2620">
        <v>0</v>
      </c>
      <c r="L2620">
        <v>0</v>
      </c>
      <c r="M2620">
        <v>0.50157595143457323</v>
      </c>
      <c r="N2620">
        <v>0</v>
      </c>
      <c r="O2620">
        <v>0</v>
      </c>
      <c r="P2620">
        <v>0.63250841213744147</v>
      </c>
      <c r="Q2620">
        <v>1.3260590158985761</v>
      </c>
      <c r="R2620">
        <v>-7.6243312571774657</v>
      </c>
      <c r="S2620">
        <v>0.1949402250436385</v>
      </c>
      <c r="T2620">
        <v>0.1485326254594336</v>
      </c>
      <c r="U2620">
        <v>4.3297121556807969</v>
      </c>
      <c r="V2620">
        <v>0.19287049691405411</v>
      </c>
      <c r="W2620">
        <v>-1.882877416891285</v>
      </c>
      <c r="X2620">
        <v>0.3215847895611354</v>
      </c>
      <c r="Z2620" t="s">
        <v>392</v>
      </c>
      <c r="AA2620">
        <v>9400</v>
      </c>
      <c r="AB2620" t="s">
        <v>3011</v>
      </c>
      <c r="AC2620" t="str">
        <f>HYPERLINK("plots/3FT6Y578R01_012_S11P_20251111092011_M5358ACSH101811_RBGEUFRF26/dpll_52084/txpa_55173.png","plot")</f>
        <v>plot</v>
      </c>
    </row>
    <row r="2621" spans="1:29" hidden="1" x14ac:dyDescent="0.35">
      <c r="A2621" t="s">
        <v>48</v>
      </c>
      <c r="B2621">
        <v>52084</v>
      </c>
      <c r="C2621" t="s">
        <v>52</v>
      </c>
      <c r="D2621">
        <v>55174</v>
      </c>
      <c r="E2621" t="s">
        <v>307</v>
      </c>
      <c r="F2621">
        <v>12242</v>
      </c>
      <c r="G2621">
        <v>0.80657304203451041</v>
      </c>
      <c r="H2621">
        <v>0</v>
      </c>
      <c r="I2621">
        <v>0</v>
      </c>
      <c r="J2621">
        <v>0.69708602459429003</v>
      </c>
      <c r="K2621">
        <v>0</v>
      </c>
      <c r="L2621">
        <v>0</v>
      </c>
      <c r="M2621">
        <v>0.50787989898689834</v>
      </c>
      <c r="N2621">
        <v>0</v>
      </c>
      <c r="O2621">
        <v>0</v>
      </c>
      <c r="P2621">
        <v>0.65056007213680411</v>
      </c>
      <c r="Q2621">
        <v>1.3495621959385491</v>
      </c>
      <c r="R2621">
        <v>-7.6988831563522719</v>
      </c>
      <c r="S2621">
        <v>0.19076469431313889</v>
      </c>
      <c r="T2621">
        <v>0.14696189636771301</v>
      </c>
      <c r="U2621">
        <v>4.3297189133311553</v>
      </c>
      <c r="V2621">
        <v>0.19287692535756709</v>
      </c>
      <c r="W2621">
        <v>-1.855658191880412</v>
      </c>
      <c r="X2621">
        <v>0.32272267155724821</v>
      </c>
      <c r="Z2621" t="s">
        <v>392</v>
      </c>
      <c r="AA2621">
        <v>9400</v>
      </c>
      <c r="AB2621" t="s">
        <v>3012</v>
      </c>
      <c r="AC2621" t="str">
        <f>HYPERLINK("plots/3FT6Y578R01_012_S11P_20251111092011_M5358ACSH101811_RBGEUFRF26/dpll_52084/txpa_55174.png","plot")</f>
        <v>plot</v>
      </c>
    </row>
    <row r="2622" spans="1:29" hidden="1" x14ac:dyDescent="0.35">
      <c r="A2622" t="s">
        <v>48</v>
      </c>
      <c r="B2622">
        <v>52084</v>
      </c>
      <c r="C2622" t="s">
        <v>52</v>
      </c>
      <c r="D2622">
        <v>55175</v>
      </c>
      <c r="E2622" t="s">
        <v>308</v>
      </c>
      <c r="F2622">
        <v>12240</v>
      </c>
      <c r="G2622">
        <v>0.80631303819131472</v>
      </c>
      <c r="H2622">
        <v>0</v>
      </c>
      <c r="I2622">
        <v>0</v>
      </c>
      <c r="J2622">
        <v>0.69232977313502597</v>
      </c>
      <c r="K2622">
        <v>0</v>
      </c>
      <c r="L2622">
        <v>0</v>
      </c>
      <c r="M2622">
        <v>0.50275580110353446</v>
      </c>
      <c r="N2622">
        <v>0</v>
      </c>
      <c r="O2622">
        <v>0</v>
      </c>
      <c r="P2622">
        <v>0.65014071555730857</v>
      </c>
      <c r="Q2622">
        <v>1.354741582956434</v>
      </c>
      <c r="R2622">
        <v>-7.7442726916274376</v>
      </c>
      <c r="S2622">
        <v>0.1916387684638089</v>
      </c>
      <c r="T2622">
        <v>0.148398239186572</v>
      </c>
      <c r="U2622">
        <v>4.3297345467320261</v>
      </c>
      <c r="V2622">
        <v>0.1928420022508596</v>
      </c>
      <c r="W2622">
        <v>-1.8786012580065361</v>
      </c>
      <c r="X2622">
        <v>0.3240070134247669</v>
      </c>
      <c r="Z2622" t="s">
        <v>392</v>
      </c>
      <c r="AA2622">
        <v>9400</v>
      </c>
      <c r="AB2622" t="s">
        <v>3013</v>
      </c>
      <c r="AC2622" t="str">
        <f>HYPERLINK("plots/3FT6Y578R01_012_S11P_20251111092011_M5358ACSH101811_RBGEUFRF26/dpll_52084/txpa_55175.png","plot")</f>
        <v>plot</v>
      </c>
    </row>
    <row r="2623" spans="1:29" hidden="1" x14ac:dyDescent="0.35">
      <c r="A2623" t="s">
        <v>48</v>
      </c>
      <c r="B2623">
        <v>52084</v>
      </c>
      <c r="C2623" t="s">
        <v>52</v>
      </c>
      <c r="D2623">
        <v>55176</v>
      </c>
      <c r="E2623" t="s">
        <v>309</v>
      </c>
      <c r="F2623">
        <v>12240</v>
      </c>
      <c r="G2623">
        <v>0.810198000337776</v>
      </c>
      <c r="H2623">
        <v>0</v>
      </c>
      <c r="I2623">
        <v>0</v>
      </c>
      <c r="J2623">
        <v>0.70160543731916314</v>
      </c>
      <c r="K2623">
        <v>0</v>
      </c>
      <c r="L2623">
        <v>0</v>
      </c>
      <c r="M2623">
        <v>0.51166097090228102</v>
      </c>
      <c r="N2623">
        <v>0</v>
      </c>
      <c r="O2623">
        <v>0</v>
      </c>
      <c r="P2623">
        <v>0.65642079975133083</v>
      </c>
      <c r="Q2623">
        <v>1.361454024156191</v>
      </c>
      <c r="R2623">
        <v>-7.779002984674114</v>
      </c>
      <c r="S2623">
        <v>0.18991337993592999</v>
      </c>
      <c r="T2623">
        <v>0.1473580391650211</v>
      </c>
      <c r="U2623">
        <v>4.329689001062091</v>
      </c>
      <c r="V2623">
        <v>0.19281821557856541</v>
      </c>
      <c r="W2623">
        <v>-1.884330470833333</v>
      </c>
      <c r="X2623">
        <v>0.32401108793234562</v>
      </c>
      <c r="Z2623" t="s">
        <v>392</v>
      </c>
      <c r="AA2623">
        <v>9400</v>
      </c>
      <c r="AB2623" t="s">
        <v>3014</v>
      </c>
      <c r="AC2623" t="str">
        <f>HYPERLINK("plots/3FT6Y578R01_012_S11P_20251111092011_M5358ACSH101811_RBGEUFRF26/dpll_52084/txpa_55176.png","plot")</f>
        <v>plot</v>
      </c>
    </row>
    <row r="2624" spans="1:29" hidden="1" x14ac:dyDescent="0.35">
      <c r="A2624" t="s">
        <v>48</v>
      </c>
      <c r="B2624">
        <v>52084</v>
      </c>
      <c r="C2624" t="s">
        <v>52</v>
      </c>
      <c r="D2624">
        <v>55177</v>
      </c>
      <c r="E2624" t="s">
        <v>310</v>
      </c>
      <c r="F2624">
        <v>12242</v>
      </c>
      <c r="G2624">
        <v>0.80860441780386461</v>
      </c>
      <c r="H2624">
        <v>0</v>
      </c>
      <c r="I2624">
        <v>0</v>
      </c>
      <c r="J2624">
        <v>0.69567790591615308</v>
      </c>
      <c r="K2624">
        <v>0</v>
      </c>
      <c r="L2624">
        <v>0</v>
      </c>
      <c r="M2624">
        <v>0.50672814607096184</v>
      </c>
      <c r="N2624">
        <v>0</v>
      </c>
      <c r="O2624">
        <v>0</v>
      </c>
      <c r="P2624">
        <v>0.65384110449192678</v>
      </c>
      <c r="Q2624">
        <v>1.3557707834343899</v>
      </c>
      <c r="R2624">
        <v>-7.7493351027030384</v>
      </c>
      <c r="S2624">
        <v>0.1902332319683033</v>
      </c>
      <c r="T2624">
        <v>0.14746615243802241</v>
      </c>
      <c r="U2624">
        <v>4.3297428452050317</v>
      </c>
      <c r="V2624">
        <v>0.19284847807112951</v>
      </c>
      <c r="W2624">
        <v>-1.8791962533899691</v>
      </c>
      <c r="X2624">
        <v>0.32334516908618283</v>
      </c>
      <c r="Z2624" t="s">
        <v>392</v>
      </c>
      <c r="AA2624">
        <v>9400</v>
      </c>
      <c r="AB2624" t="s">
        <v>3015</v>
      </c>
      <c r="AC2624" t="str">
        <f>HYPERLINK("plots/3FT6Y578R01_012_S11P_20251111092011_M5358ACSH101811_RBGEUFRF26/dpll_52084/txpa_55177.png","plot")</f>
        <v>plot</v>
      </c>
    </row>
    <row r="2625" spans="1:29" hidden="1" x14ac:dyDescent="0.35">
      <c r="A2625" t="s">
        <v>48</v>
      </c>
      <c r="B2625">
        <v>52084</v>
      </c>
      <c r="C2625" t="s">
        <v>52</v>
      </c>
      <c r="D2625">
        <v>55178</v>
      </c>
      <c r="E2625" t="s">
        <v>311</v>
      </c>
      <c r="F2625">
        <v>12239</v>
      </c>
      <c r="G2625">
        <v>0.80153181611314606</v>
      </c>
      <c r="H2625">
        <v>0</v>
      </c>
      <c r="I2625">
        <v>0</v>
      </c>
      <c r="J2625">
        <v>0.68627311593586826</v>
      </c>
      <c r="K2625">
        <v>0</v>
      </c>
      <c r="L2625">
        <v>0</v>
      </c>
      <c r="M2625">
        <v>0.49890460373279849</v>
      </c>
      <c r="N2625">
        <v>0</v>
      </c>
      <c r="O2625">
        <v>0</v>
      </c>
      <c r="P2625">
        <v>0.64245325224163818</v>
      </c>
      <c r="Q2625">
        <v>1.3419340271319919</v>
      </c>
      <c r="R2625">
        <v>-7.7114458391783929</v>
      </c>
      <c r="S2625">
        <v>0.19305570500942831</v>
      </c>
      <c r="T2625">
        <v>0.1485582263368011</v>
      </c>
      <c r="U2625">
        <v>4.3297844997140276</v>
      </c>
      <c r="V2625">
        <v>0.1928517426499661</v>
      </c>
      <c r="W2625">
        <v>-1.9011606888634689</v>
      </c>
      <c r="X2625">
        <v>0.32287466380144231</v>
      </c>
      <c r="Z2625" t="s">
        <v>392</v>
      </c>
      <c r="AA2625">
        <v>9400</v>
      </c>
      <c r="AB2625" t="s">
        <v>3016</v>
      </c>
      <c r="AC2625" t="str">
        <f>HYPERLINK("plots/3FT6Y578R01_012_S11P_20251111092011_M5358ACSH101811_RBGEUFRF26/dpll_52084/txpa_55178.png","plot")</f>
        <v>plot</v>
      </c>
    </row>
    <row r="2626" spans="1:29" hidden="1" x14ac:dyDescent="0.35">
      <c r="A2626" t="s">
        <v>48</v>
      </c>
      <c r="B2626">
        <v>52084</v>
      </c>
      <c r="C2626" t="s">
        <v>52</v>
      </c>
      <c r="D2626">
        <v>55179</v>
      </c>
      <c r="E2626" t="s">
        <v>312</v>
      </c>
      <c r="F2626">
        <v>12242</v>
      </c>
      <c r="G2626">
        <v>0.7989841097467143</v>
      </c>
      <c r="H2626">
        <v>0</v>
      </c>
      <c r="I2626">
        <v>0</v>
      </c>
      <c r="J2626">
        <v>0.70253193021397542</v>
      </c>
      <c r="K2626">
        <v>0</v>
      </c>
      <c r="L2626">
        <v>0</v>
      </c>
      <c r="M2626">
        <v>0.51027252083050612</v>
      </c>
      <c r="N2626">
        <v>0</v>
      </c>
      <c r="O2626">
        <v>0</v>
      </c>
      <c r="P2626">
        <v>0.63837560762774959</v>
      </c>
      <c r="Q2626">
        <v>1.4517166808352759</v>
      </c>
      <c r="R2626">
        <v>-4.8626293116281616</v>
      </c>
      <c r="S2626">
        <v>0.2107128162448966</v>
      </c>
      <c r="T2626">
        <v>0.15749572998685329</v>
      </c>
      <c r="U2626">
        <v>4.3297379161084786</v>
      </c>
      <c r="V2626">
        <v>0.19285731086450791</v>
      </c>
      <c r="W2626">
        <v>1.422923444831482</v>
      </c>
      <c r="X2626">
        <v>0.35041269505571898</v>
      </c>
      <c r="Z2626" t="s">
        <v>392</v>
      </c>
      <c r="AA2626">
        <v>9400</v>
      </c>
      <c r="AB2626" t="s">
        <v>3017</v>
      </c>
      <c r="AC2626" t="str">
        <f>HYPERLINK("plots/3FT6Y578R01_012_S11P_20251111092011_M5358ACSH101811_RBGEUFRF26/dpll_52084/txpa_55179.png","plot")</f>
        <v>plot</v>
      </c>
    </row>
    <row r="2627" spans="1:29" hidden="1" x14ac:dyDescent="0.35">
      <c r="A2627" t="s">
        <v>48</v>
      </c>
      <c r="B2627">
        <v>52084</v>
      </c>
      <c r="C2627" t="s">
        <v>52</v>
      </c>
      <c r="D2627">
        <v>55180</v>
      </c>
      <c r="E2627" t="s">
        <v>313</v>
      </c>
      <c r="F2627">
        <v>12242</v>
      </c>
      <c r="G2627">
        <v>0.81566821498403097</v>
      </c>
      <c r="H2627">
        <v>0</v>
      </c>
      <c r="I2627">
        <v>0</v>
      </c>
      <c r="J2627">
        <v>0.71483433190363954</v>
      </c>
      <c r="K2627">
        <v>0</v>
      </c>
      <c r="L2627">
        <v>0</v>
      </c>
      <c r="M2627">
        <v>0.52321928297391407</v>
      </c>
      <c r="N2627">
        <v>0</v>
      </c>
      <c r="O2627">
        <v>0</v>
      </c>
      <c r="P2627">
        <v>0.6653146369352354</v>
      </c>
      <c r="Q2627">
        <v>1.4801128549932729</v>
      </c>
      <c r="R2627">
        <v>-4.9530879464139179</v>
      </c>
      <c r="S2627">
        <v>0.2024662139709843</v>
      </c>
      <c r="T2627">
        <v>0.15361979857265859</v>
      </c>
      <c r="U2627">
        <v>4.3296987265969609</v>
      </c>
      <c r="V2627">
        <v>0.1928726506826407</v>
      </c>
      <c r="W2627">
        <v>1.4553547970702501</v>
      </c>
      <c r="X2627">
        <v>0.3499870221835143</v>
      </c>
      <c r="Z2627" t="s">
        <v>392</v>
      </c>
      <c r="AA2627">
        <v>9400</v>
      </c>
      <c r="AB2627" t="s">
        <v>3018</v>
      </c>
      <c r="AC2627" t="str">
        <f>HYPERLINK("plots/3FT6Y578R01_012_S11P_20251111092011_M5358ACSH101811_RBGEUFRF26/dpll_52084/txpa_55180.png","plot")</f>
        <v>plot</v>
      </c>
    </row>
    <row r="2628" spans="1:29" hidden="1" x14ac:dyDescent="0.35">
      <c r="A2628" t="s">
        <v>48</v>
      </c>
      <c r="B2628">
        <v>52084</v>
      </c>
      <c r="C2628" t="s">
        <v>52</v>
      </c>
      <c r="D2628">
        <v>55181</v>
      </c>
      <c r="E2628" t="s">
        <v>314</v>
      </c>
      <c r="F2628">
        <v>12243</v>
      </c>
      <c r="G2628">
        <v>0.81310909765026074</v>
      </c>
      <c r="H2628">
        <v>0</v>
      </c>
      <c r="I2628">
        <v>0</v>
      </c>
      <c r="J2628">
        <v>0.7109709331638937</v>
      </c>
      <c r="K2628">
        <v>0</v>
      </c>
      <c r="L2628">
        <v>0</v>
      </c>
      <c r="M2628">
        <v>0.51936642791411614</v>
      </c>
      <c r="N2628">
        <v>0</v>
      </c>
      <c r="O2628">
        <v>0</v>
      </c>
      <c r="P2628">
        <v>0.66114640468162122</v>
      </c>
      <c r="Q2628">
        <v>1.462936250840509</v>
      </c>
      <c r="R2628">
        <v>-4.8675050979186238</v>
      </c>
      <c r="S2628">
        <v>0.20199038295974209</v>
      </c>
      <c r="T2628">
        <v>0.15273257879510599</v>
      </c>
      <c r="U2628">
        <v>4.3297121556807969</v>
      </c>
      <c r="V2628">
        <v>0.19287049691405411</v>
      </c>
      <c r="W2628">
        <v>1.4665877703316179</v>
      </c>
      <c r="X2628">
        <v>0.3470103119846718</v>
      </c>
      <c r="Z2628" t="s">
        <v>392</v>
      </c>
      <c r="AA2628">
        <v>9400</v>
      </c>
      <c r="AB2628" t="s">
        <v>3019</v>
      </c>
      <c r="AC2628" t="str">
        <f>HYPERLINK("plots/3FT6Y578R01_012_S11P_20251111092011_M5358ACSH101811_RBGEUFRF26/dpll_52084/txpa_55181.png","plot")</f>
        <v>plot</v>
      </c>
    </row>
    <row r="2629" spans="1:29" hidden="1" x14ac:dyDescent="0.35">
      <c r="A2629" t="s">
        <v>48</v>
      </c>
      <c r="B2629">
        <v>52084</v>
      </c>
      <c r="C2629" t="s">
        <v>52</v>
      </c>
      <c r="D2629">
        <v>55182</v>
      </c>
      <c r="E2629" t="s">
        <v>315</v>
      </c>
      <c r="F2629">
        <v>12242</v>
      </c>
      <c r="G2629">
        <v>0.82400983546128637</v>
      </c>
      <c r="H2629">
        <v>0</v>
      </c>
      <c r="I2629">
        <v>0</v>
      </c>
      <c r="J2629">
        <v>0.71738303037340512</v>
      </c>
      <c r="K2629">
        <v>0</v>
      </c>
      <c r="L2629">
        <v>0</v>
      </c>
      <c r="M2629">
        <v>0.52573254730449437</v>
      </c>
      <c r="N2629">
        <v>0</v>
      </c>
      <c r="O2629">
        <v>0</v>
      </c>
      <c r="P2629">
        <v>0.67899220893693624</v>
      </c>
      <c r="Q2629">
        <v>1.4850575453621719</v>
      </c>
      <c r="R2629">
        <v>-4.9409446927233658</v>
      </c>
      <c r="S2629">
        <v>0.19693876471549179</v>
      </c>
      <c r="T2629">
        <v>0.1508458136523893</v>
      </c>
      <c r="U2629">
        <v>4.3297189133311553</v>
      </c>
      <c r="V2629">
        <v>0.19287692535756709</v>
      </c>
      <c r="W2629">
        <v>1.48893704881637</v>
      </c>
      <c r="X2629">
        <v>0.347609119456886</v>
      </c>
      <c r="Z2629" t="s">
        <v>392</v>
      </c>
      <c r="AA2629">
        <v>9400</v>
      </c>
      <c r="AB2629" t="s">
        <v>3020</v>
      </c>
      <c r="AC2629" t="str">
        <f>HYPERLINK("plots/3FT6Y578R01_012_S11P_20251111092011_M5358ACSH101811_RBGEUFRF26/dpll_52084/txpa_55182.png","plot")</f>
        <v>plot</v>
      </c>
    </row>
    <row r="2630" spans="1:29" hidden="1" x14ac:dyDescent="0.35">
      <c r="A2630" t="s">
        <v>48</v>
      </c>
      <c r="B2630">
        <v>52084</v>
      </c>
      <c r="C2630" t="s">
        <v>52</v>
      </c>
      <c r="D2630">
        <v>55183</v>
      </c>
      <c r="E2630" t="s">
        <v>316</v>
      </c>
      <c r="F2630">
        <v>12240</v>
      </c>
      <c r="G2630">
        <v>0.8242461282583905</v>
      </c>
      <c r="H2630">
        <v>0</v>
      </c>
      <c r="I2630">
        <v>0</v>
      </c>
      <c r="J2630">
        <v>0.7144220559428357</v>
      </c>
      <c r="K2630">
        <v>0</v>
      </c>
      <c r="L2630">
        <v>0</v>
      </c>
      <c r="M2630">
        <v>0.52224604576723199</v>
      </c>
      <c r="N2630">
        <v>0</v>
      </c>
      <c r="O2630">
        <v>0</v>
      </c>
      <c r="P2630">
        <v>0.67938167994894716</v>
      </c>
      <c r="Q2630">
        <v>1.4908058121968271</v>
      </c>
      <c r="R2630">
        <v>-4.9890173830839037</v>
      </c>
      <c r="S2630">
        <v>0.19748868549191129</v>
      </c>
      <c r="T2630">
        <v>0.1520308887599372</v>
      </c>
      <c r="U2630">
        <v>4.3297345467320261</v>
      </c>
      <c r="V2630">
        <v>0.1928420022508596</v>
      </c>
      <c r="W2630">
        <v>1.465776044453595</v>
      </c>
      <c r="X2630">
        <v>0.34879142034760108</v>
      </c>
      <c r="Z2630" t="s">
        <v>392</v>
      </c>
      <c r="AA2630">
        <v>9400</v>
      </c>
      <c r="AB2630" t="s">
        <v>3021</v>
      </c>
      <c r="AC2630" t="str">
        <f>HYPERLINK("plots/3FT6Y578R01_012_S11P_20251111092011_M5358ACSH101811_RBGEUFRF26/dpll_52084/txpa_55183.png","plot")</f>
        <v>plot</v>
      </c>
    </row>
    <row r="2631" spans="1:29" hidden="1" x14ac:dyDescent="0.35">
      <c r="A2631" t="s">
        <v>48</v>
      </c>
      <c r="B2631">
        <v>52084</v>
      </c>
      <c r="C2631" t="s">
        <v>52</v>
      </c>
      <c r="D2631">
        <v>55184</v>
      </c>
      <c r="E2631" t="s">
        <v>317</v>
      </c>
      <c r="F2631">
        <v>12240</v>
      </c>
      <c r="G2631">
        <v>0.82714059957846797</v>
      </c>
      <c r="H2631">
        <v>0</v>
      </c>
      <c r="I2631">
        <v>0</v>
      </c>
      <c r="J2631">
        <v>0.72067771587049356</v>
      </c>
      <c r="K2631">
        <v>0</v>
      </c>
      <c r="L2631">
        <v>0</v>
      </c>
      <c r="M2631">
        <v>0.52863127996188164</v>
      </c>
      <c r="N2631">
        <v>0</v>
      </c>
      <c r="O2631">
        <v>0</v>
      </c>
      <c r="P2631">
        <v>0.68416157147102752</v>
      </c>
      <c r="Q2631">
        <v>1.4983582122291179</v>
      </c>
      <c r="R2631">
        <v>-5.023389383598623</v>
      </c>
      <c r="S2631">
        <v>0.19629042578265871</v>
      </c>
      <c r="T2631">
        <v>0.15146845592854541</v>
      </c>
      <c r="U2631">
        <v>4.329689001062091</v>
      </c>
      <c r="V2631">
        <v>0.19281821557856541</v>
      </c>
      <c r="W2631">
        <v>1.46403568754085</v>
      </c>
      <c r="X2631">
        <v>0.34928856947264381</v>
      </c>
      <c r="Z2631" t="s">
        <v>392</v>
      </c>
      <c r="AA2631">
        <v>9400</v>
      </c>
      <c r="AB2631" t="s">
        <v>3022</v>
      </c>
      <c r="AC2631" t="str">
        <f>HYPERLINK("plots/3FT6Y578R01_012_S11P_20251111092011_M5358ACSH101811_RBGEUFRF26/dpll_52084/txpa_55184.png","plot")</f>
        <v>plot</v>
      </c>
    </row>
    <row r="2632" spans="1:29" hidden="1" x14ac:dyDescent="0.35">
      <c r="A2632" t="s">
        <v>48</v>
      </c>
      <c r="B2632">
        <v>52084</v>
      </c>
      <c r="C2632" t="s">
        <v>52</v>
      </c>
      <c r="D2632">
        <v>55185</v>
      </c>
      <c r="E2632" t="s">
        <v>318</v>
      </c>
      <c r="F2632">
        <v>12242</v>
      </c>
      <c r="G2632">
        <v>0.82579782968346205</v>
      </c>
      <c r="H2632">
        <v>0</v>
      </c>
      <c r="I2632">
        <v>0</v>
      </c>
      <c r="J2632">
        <v>0.71537673225397314</v>
      </c>
      <c r="K2632">
        <v>0</v>
      </c>
      <c r="L2632">
        <v>0</v>
      </c>
      <c r="M2632">
        <v>0.52418487168403116</v>
      </c>
      <c r="N2632">
        <v>0</v>
      </c>
      <c r="O2632">
        <v>0</v>
      </c>
      <c r="P2632">
        <v>0.68194205550991616</v>
      </c>
      <c r="Q2632">
        <v>1.493287125400431</v>
      </c>
      <c r="R2632">
        <v>-4.9957227293134441</v>
      </c>
      <c r="S2632">
        <v>0.19666233205843089</v>
      </c>
      <c r="T2632">
        <v>0.1514621778590311</v>
      </c>
      <c r="U2632">
        <v>4.3297428452050317</v>
      </c>
      <c r="V2632">
        <v>0.19284847807112951</v>
      </c>
      <c r="W2632">
        <v>1.469826517725862</v>
      </c>
      <c r="X2632">
        <v>0.34872718128487978</v>
      </c>
      <c r="Z2632" t="s">
        <v>392</v>
      </c>
      <c r="AA2632">
        <v>9400</v>
      </c>
      <c r="AB2632" t="s">
        <v>3023</v>
      </c>
      <c r="AC2632" t="str">
        <f>HYPERLINK("plots/3FT6Y578R01_012_S11P_20251111092011_M5358ACSH101811_RBGEUFRF26/dpll_52084/txpa_55185.png","plot")</f>
        <v>plot</v>
      </c>
    </row>
    <row r="2633" spans="1:29" hidden="1" x14ac:dyDescent="0.35">
      <c r="A2633" t="s">
        <v>48</v>
      </c>
      <c r="B2633">
        <v>52084</v>
      </c>
      <c r="C2633" t="s">
        <v>52</v>
      </c>
      <c r="D2633">
        <v>55186</v>
      </c>
      <c r="E2633" t="s">
        <v>319</v>
      </c>
      <c r="F2633">
        <v>12238</v>
      </c>
      <c r="G2633">
        <v>0.81972125549279273</v>
      </c>
      <c r="H2633">
        <v>0</v>
      </c>
      <c r="I2633">
        <v>0</v>
      </c>
      <c r="J2633">
        <v>0.70686059190925887</v>
      </c>
      <c r="K2633">
        <v>0</v>
      </c>
      <c r="L2633">
        <v>0</v>
      </c>
      <c r="M2633">
        <v>0.51682597002269426</v>
      </c>
      <c r="N2633">
        <v>0</v>
      </c>
      <c r="O2633">
        <v>0</v>
      </c>
      <c r="P2633">
        <v>0.67194293670668037</v>
      </c>
      <c r="Q2633">
        <v>1.4761837412158829</v>
      </c>
      <c r="R2633">
        <v>-4.9392402307028531</v>
      </c>
      <c r="S2633">
        <v>0.19889967085239921</v>
      </c>
      <c r="T2633">
        <v>0.15243568134682089</v>
      </c>
      <c r="U2633">
        <v>4.3298076863049522</v>
      </c>
      <c r="V2633">
        <v>0.19284256140431191</v>
      </c>
      <c r="W2633">
        <v>1.452351478412077</v>
      </c>
      <c r="X2633">
        <v>0.34727787263285581</v>
      </c>
      <c r="Z2633" t="s">
        <v>392</v>
      </c>
      <c r="AA2633">
        <v>9400</v>
      </c>
      <c r="AB2633" t="s">
        <v>3024</v>
      </c>
      <c r="AC2633" t="str">
        <f>HYPERLINK("plots/3FT6Y578R01_012_S11P_20251111092011_M5358ACSH101811_RBGEUFRF26/dpll_52084/txpa_55186.png","plot")</f>
        <v>plot</v>
      </c>
    </row>
    <row r="2634" spans="1:29" hidden="1" x14ac:dyDescent="0.35">
      <c r="A2634" t="s">
        <v>48</v>
      </c>
      <c r="B2634">
        <v>52084</v>
      </c>
      <c r="C2634" t="s">
        <v>52</v>
      </c>
      <c r="D2634">
        <v>55187</v>
      </c>
      <c r="E2634" t="s">
        <v>320</v>
      </c>
      <c r="F2634">
        <v>12242</v>
      </c>
      <c r="G2634">
        <v>0.81053085069242092</v>
      </c>
      <c r="H2634">
        <v>0</v>
      </c>
      <c r="I2634">
        <v>0</v>
      </c>
      <c r="J2634">
        <v>0.71321596225385897</v>
      </c>
      <c r="K2634">
        <v>0</v>
      </c>
      <c r="L2634">
        <v>0</v>
      </c>
      <c r="M2634">
        <v>0.52016992346601143</v>
      </c>
      <c r="N2634">
        <v>0</v>
      </c>
      <c r="O2634">
        <v>0</v>
      </c>
      <c r="P2634">
        <v>0.6569602599241795</v>
      </c>
      <c r="Q2634">
        <v>1.5862325914044599</v>
      </c>
      <c r="R2634">
        <v>-3.5764813484549371</v>
      </c>
      <c r="S2634">
        <v>0.22104866917573429</v>
      </c>
      <c r="T2634">
        <v>0.16482414632059811</v>
      </c>
      <c r="U2634">
        <v>4.3297379161084786</v>
      </c>
      <c r="V2634">
        <v>0.19285731086450791</v>
      </c>
      <c r="W2634">
        <v>3.2914900463159609</v>
      </c>
      <c r="X2634">
        <v>0.3774274004778046</v>
      </c>
      <c r="Z2634" t="s">
        <v>392</v>
      </c>
      <c r="AA2634">
        <v>9400</v>
      </c>
      <c r="AB2634" t="s">
        <v>3025</v>
      </c>
      <c r="AC2634" t="str">
        <f>HYPERLINK("plots/3FT6Y578R01_012_S11P_20251111092011_M5358ACSH101811_RBGEUFRF26/dpll_52084/txpa_55187.png","plot")</f>
        <v>plot</v>
      </c>
    </row>
    <row r="2635" spans="1:29" hidden="1" x14ac:dyDescent="0.35">
      <c r="A2635" t="s">
        <v>48</v>
      </c>
      <c r="B2635">
        <v>52084</v>
      </c>
      <c r="C2635" t="s">
        <v>52</v>
      </c>
      <c r="D2635">
        <v>55188</v>
      </c>
      <c r="E2635" t="s">
        <v>321</v>
      </c>
      <c r="F2635">
        <v>12242</v>
      </c>
      <c r="G2635">
        <v>0.82584384826443324</v>
      </c>
      <c r="H2635">
        <v>0</v>
      </c>
      <c r="I2635">
        <v>0</v>
      </c>
      <c r="J2635">
        <v>0.72460989146376731</v>
      </c>
      <c r="K2635">
        <v>0</v>
      </c>
      <c r="L2635">
        <v>0</v>
      </c>
      <c r="M2635">
        <v>0.53238254081657443</v>
      </c>
      <c r="N2635">
        <v>0</v>
      </c>
      <c r="O2635">
        <v>0</v>
      </c>
      <c r="P2635">
        <v>0.68201806171620827</v>
      </c>
      <c r="Q2635">
        <v>1.615530084997209</v>
      </c>
      <c r="R2635">
        <v>-3.670850056447597</v>
      </c>
      <c r="S2635">
        <v>0.21275082291428679</v>
      </c>
      <c r="T2635">
        <v>0.16108285195791081</v>
      </c>
      <c r="U2635">
        <v>4.3296987265969609</v>
      </c>
      <c r="V2635">
        <v>0.1928726506826407</v>
      </c>
      <c r="W2635">
        <v>3.3239084953438982</v>
      </c>
      <c r="X2635">
        <v>0.37730083042429191</v>
      </c>
      <c r="Z2635" t="s">
        <v>392</v>
      </c>
      <c r="AA2635">
        <v>9400</v>
      </c>
      <c r="AB2635" t="s">
        <v>3026</v>
      </c>
      <c r="AC2635" t="str">
        <f>HYPERLINK("plots/3FT6Y578R01_012_S11P_20251111092011_M5358ACSH101811_RBGEUFRF26/dpll_52084/txpa_55188.png","plot")</f>
        <v>plot</v>
      </c>
    </row>
    <row r="2636" spans="1:29" hidden="1" x14ac:dyDescent="0.35">
      <c r="A2636" t="s">
        <v>48</v>
      </c>
      <c r="B2636">
        <v>52084</v>
      </c>
      <c r="C2636" t="s">
        <v>52</v>
      </c>
      <c r="D2636">
        <v>55189</v>
      </c>
      <c r="E2636" t="s">
        <v>322</v>
      </c>
      <c r="F2636">
        <v>12243</v>
      </c>
      <c r="G2636">
        <v>0.82361540597563421</v>
      </c>
      <c r="H2636">
        <v>0</v>
      </c>
      <c r="I2636">
        <v>0</v>
      </c>
      <c r="J2636">
        <v>0.72097573861898578</v>
      </c>
      <c r="K2636">
        <v>0</v>
      </c>
      <c r="L2636">
        <v>0</v>
      </c>
      <c r="M2636">
        <v>0.52859739239999248</v>
      </c>
      <c r="N2636">
        <v>0</v>
      </c>
      <c r="O2636">
        <v>0</v>
      </c>
      <c r="P2636">
        <v>0.6783423369604088</v>
      </c>
      <c r="Q2636">
        <v>1.5980662931683609</v>
      </c>
      <c r="R2636">
        <v>-3.5842594421114549</v>
      </c>
      <c r="S2636">
        <v>0.2122341875414922</v>
      </c>
      <c r="T2636">
        <v>0.16004724242470639</v>
      </c>
      <c r="U2636">
        <v>4.3297121556807969</v>
      </c>
      <c r="V2636">
        <v>0.19287049691405411</v>
      </c>
      <c r="W2636">
        <v>3.3349076130033479</v>
      </c>
      <c r="X2636">
        <v>0.37422787119902479</v>
      </c>
      <c r="Z2636" t="s">
        <v>392</v>
      </c>
      <c r="AA2636">
        <v>9400</v>
      </c>
      <c r="AB2636" t="s">
        <v>3027</v>
      </c>
      <c r="AC2636" t="str">
        <f>HYPERLINK("plots/3FT6Y578R01_012_S11P_20251111092011_M5358ACSH101811_RBGEUFRF26/dpll_52084/txpa_55189.png","plot")</f>
        <v>plot</v>
      </c>
    </row>
    <row r="2637" spans="1:29" hidden="1" x14ac:dyDescent="0.35">
      <c r="A2637" t="s">
        <v>48</v>
      </c>
      <c r="B2637">
        <v>52084</v>
      </c>
      <c r="C2637" t="s">
        <v>52</v>
      </c>
      <c r="D2637">
        <v>55190</v>
      </c>
      <c r="E2637" t="s">
        <v>323</v>
      </c>
      <c r="F2637">
        <v>12242</v>
      </c>
      <c r="G2637">
        <v>0.83354212592523325</v>
      </c>
      <c r="H2637">
        <v>0</v>
      </c>
      <c r="I2637">
        <v>0</v>
      </c>
      <c r="J2637">
        <v>0.72682961621832365</v>
      </c>
      <c r="K2637">
        <v>0</v>
      </c>
      <c r="L2637">
        <v>0</v>
      </c>
      <c r="M2637">
        <v>0.53452533598673213</v>
      </c>
      <c r="N2637">
        <v>0</v>
      </c>
      <c r="O2637">
        <v>0</v>
      </c>
      <c r="P2637">
        <v>0.69479247569195735</v>
      </c>
      <c r="Q2637">
        <v>1.6192683290926739</v>
      </c>
      <c r="R2637">
        <v>-3.656471387570992</v>
      </c>
      <c r="S2637">
        <v>0.2069909807097427</v>
      </c>
      <c r="T2637">
        <v>0.15808791221266411</v>
      </c>
      <c r="U2637">
        <v>4.3297189133311553</v>
      </c>
      <c r="V2637">
        <v>0.19287692535756709</v>
      </c>
      <c r="W2637">
        <v>3.3545053226596959</v>
      </c>
      <c r="X2637">
        <v>0.3746895170986167</v>
      </c>
      <c r="Z2637" t="s">
        <v>392</v>
      </c>
      <c r="AA2637">
        <v>9400</v>
      </c>
      <c r="AB2637" t="s">
        <v>3028</v>
      </c>
      <c r="AC2637" t="str">
        <f>HYPERLINK("plots/3FT6Y578R01_012_S11P_20251111092011_M5358ACSH101811_RBGEUFRF26/dpll_52084/txpa_55190.png","plot")</f>
        <v>plot</v>
      </c>
    </row>
    <row r="2638" spans="1:29" hidden="1" x14ac:dyDescent="0.35">
      <c r="A2638" t="s">
        <v>48</v>
      </c>
      <c r="B2638">
        <v>52084</v>
      </c>
      <c r="C2638" t="s">
        <v>52</v>
      </c>
      <c r="D2638">
        <v>55191</v>
      </c>
      <c r="E2638" t="s">
        <v>324</v>
      </c>
      <c r="F2638">
        <v>12240</v>
      </c>
      <c r="G2638">
        <v>0.834166538789059</v>
      </c>
      <c r="H2638">
        <v>0</v>
      </c>
      <c r="I2638">
        <v>0</v>
      </c>
      <c r="J2638">
        <v>0.7242818596880064</v>
      </c>
      <c r="K2638">
        <v>0</v>
      </c>
      <c r="L2638">
        <v>0</v>
      </c>
      <c r="M2638">
        <v>0.53139054579753642</v>
      </c>
      <c r="N2638">
        <v>0</v>
      </c>
      <c r="O2638">
        <v>0</v>
      </c>
      <c r="P2638">
        <v>0.69583381443531866</v>
      </c>
      <c r="Q2638">
        <v>1.6253829242383979</v>
      </c>
      <c r="R2638">
        <v>-3.7072863713740341</v>
      </c>
      <c r="S2638">
        <v>0.20722506489166051</v>
      </c>
      <c r="T2638">
        <v>0.15927486907938671</v>
      </c>
      <c r="U2638">
        <v>4.3297345467320261</v>
      </c>
      <c r="V2638">
        <v>0.1928420022508596</v>
      </c>
      <c r="W2638">
        <v>3.3301902273692812</v>
      </c>
      <c r="X2638">
        <v>0.37575481988225862</v>
      </c>
      <c r="Z2638" t="s">
        <v>392</v>
      </c>
      <c r="AA2638">
        <v>9400</v>
      </c>
      <c r="AB2638" t="s">
        <v>3029</v>
      </c>
      <c r="AC2638" t="str">
        <f>HYPERLINK("plots/3FT6Y578R01_012_S11P_20251111092011_M5358ACSH101811_RBGEUFRF26/dpll_52084/txpa_55191.png","plot")</f>
        <v>plot</v>
      </c>
    </row>
    <row r="2639" spans="1:29" hidden="1" x14ac:dyDescent="0.35">
      <c r="A2639" t="s">
        <v>48</v>
      </c>
      <c r="B2639">
        <v>52084</v>
      </c>
      <c r="C2639" t="s">
        <v>52</v>
      </c>
      <c r="D2639">
        <v>55192</v>
      </c>
      <c r="E2639" t="s">
        <v>325</v>
      </c>
      <c r="F2639">
        <v>12240</v>
      </c>
      <c r="G2639">
        <v>0.83658819845142041</v>
      </c>
      <c r="H2639">
        <v>0</v>
      </c>
      <c r="I2639">
        <v>0</v>
      </c>
      <c r="J2639">
        <v>0.7296035225201305</v>
      </c>
      <c r="K2639">
        <v>0</v>
      </c>
      <c r="L2639">
        <v>0</v>
      </c>
      <c r="M2639">
        <v>0.53714771764071634</v>
      </c>
      <c r="N2639">
        <v>0</v>
      </c>
      <c r="O2639">
        <v>0</v>
      </c>
      <c r="P2639">
        <v>0.69987981378819319</v>
      </c>
      <c r="Q2639">
        <v>1.6336540918606279</v>
      </c>
      <c r="R2639">
        <v>-3.7417367528239409</v>
      </c>
      <c r="S2639">
        <v>0.2062653569049385</v>
      </c>
      <c r="T2639">
        <v>0.15874518158986711</v>
      </c>
      <c r="U2639">
        <v>4.329689001062091</v>
      </c>
      <c r="V2639">
        <v>0.19281821557856541</v>
      </c>
      <c r="W2639">
        <v>3.331477400245098</v>
      </c>
      <c r="X2639">
        <v>0.37652726568253098</v>
      </c>
      <c r="Z2639" t="s">
        <v>392</v>
      </c>
      <c r="AA2639">
        <v>9400</v>
      </c>
      <c r="AB2639" t="s">
        <v>3030</v>
      </c>
      <c r="AC2639" t="str">
        <f>HYPERLINK("plots/3FT6Y578R01_012_S11P_20251111092011_M5358ACSH101811_RBGEUFRF26/dpll_52084/txpa_55192.png","plot")</f>
        <v>plot</v>
      </c>
    </row>
    <row r="2640" spans="1:29" hidden="1" x14ac:dyDescent="0.35">
      <c r="A2640" t="s">
        <v>48</v>
      </c>
      <c r="B2640">
        <v>52084</v>
      </c>
      <c r="C2640" t="s">
        <v>52</v>
      </c>
      <c r="D2640">
        <v>55193</v>
      </c>
      <c r="E2640" t="s">
        <v>326</v>
      </c>
      <c r="F2640">
        <v>12242</v>
      </c>
      <c r="G2640">
        <v>0.83548909062144971</v>
      </c>
      <c r="H2640">
        <v>0</v>
      </c>
      <c r="I2640">
        <v>0</v>
      </c>
      <c r="J2640">
        <v>0.72471362929283134</v>
      </c>
      <c r="K2640">
        <v>0</v>
      </c>
      <c r="L2640">
        <v>0</v>
      </c>
      <c r="M2640">
        <v>0.53299511461609961</v>
      </c>
      <c r="N2640">
        <v>0</v>
      </c>
      <c r="O2640">
        <v>0</v>
      </c>
      <c r="P2640">
        <v>0.69804202054745701</v>
      </c>
      <c r="Q2640">
        <v>1.629008170587614</v>
      </c>
      <c r="R2640">
        <v>-3.7163240460432632</v>
      </c>
      <c r="S2640">
        <v>0.20661136725042631</v>
      </c>
      <c r="T2640">
        <v>0.15882595621582879</v>
      </c>
      <c r="U2640">
        <v>4.3297428452050317</v>
      </c>
      <c r="V2640">
        <v>0.19284847807112951</v>
      </c>
      <c r="W2640">
        <v>3.336862425338996</v>
      </c>
      <c r="X2640">
        <v>0.37600939376669218</v>
      </c>
      <c r="Z2640" t="s">
        <v>392</v>
      </c>
      <c r="AA2640">
        <v>9400</v>
      </c>
      <c r="AB2640" t="s">
        <v>3031</v>
      </c>
      <c r="AC2640" t="str">
        <f>HYPERLINK("plots/3FT6Y578R01_012_S11P_20251111092011_M5358ACSH101811_RBGEUFRF26/dpll_52084/txpa_55193.png","plot")</f>
        <v>plot</v>
      </c>
    </row>
    <row r="2641" spans="1:29" hidden="1" x14ac:dyDescent="0.35">
      <c r="A2641" t="s">
        <v>48</v>
      </c>
      <c r="B2641">
        <v>52084</v>
      </c>
      <c r="C2641" t="s">
        <v>52</v>
      </c>
      <c r="D2641">
        <v>55194</v>
      </c>
      <c r="E2641" t="s">
        <v>327</v>
      </c>
      <c r="F2641">
        <v>12238</v>
      </c>
      <c r="G2641">
        <v>0.83005177287477661</v>
      </c>
      <c r="H2641">
        <v>0</v>
      </c>
      <c r="I2641">
        <v>0</v>
      </c>
      <c r="J2641">
        <v>0.71685910823393073</v>
      </c>
      <c r="K2641">
        <v>0</v>
      </c>
      <c r="L2641">
        <v>0</v>
      </c>
      <c r="M2641">
        <v>0.52603693109344962</v>
      </c>
      <c r="N2641">
        <v>0</v>
      </c>
      <c r="O2641">
        <v>0</v>
      </c>
      <c r="P2641">
        <v>0.68898594565255977</v>
      </c>
      <c r="Q2641">
        <v>1.6108319098693129</v>
      </c>
      <c r="R2641">
        <v>-3.6538203270082739</v>
      </c>
      <c r="S2641">
        <v>0.208698917750409</v>
      </c>
      <c r="T2641">
        <v>0.15954413290889571</v>
      </c>
      <c r="U2641">
        <v>4.3298076863049522</v>
      </c>
      <c r="V2641">
        <v>0.19284256140431191</v>
      </c>
      <c r="W2641">
        <v>3.3207720576891648</v>
      </c>
      <c r="X2641">
        <v>0.37423804350799372</v>
      </c>
      <c r="Z2641" t="s">
        <v>392</v>
      </c>
      <c r="AA2641">
        <v>9400</v>
      </c>
      <c r="AB2641" t="s">
        <v>3032</v>
      </c>
      <c r="AC2641" t="str">
        <f>HYPERLINK("plots/3FT6Y578R01_012_S11P_20251111092011_M5358ACSH101811_RBGEUFRF26/dpll_52084/txpa_55194.png","plot")</f>
        <v>plot</v>
      </c>
    </row>
    <row r="2642" spans="1:29" hidden="1" x14ac:dyDescent="0.35">
      <c r="A2642" t="s">
        <v>48</v>
      </c>
      <c r="B2642">
        <v>52084</v>
      </c>
      <c r="C2642" t="s">
        <v>52</v>
      </c>
      <c r="D2642">
        <v>55195</v>
      </c>
      <c r="E2642" t="s">
        <v>328</v>
      </c>
      <c r="F2642">
        <v>12241</v>
      </c>
      <c r="G2642">
        <v>0.82259255505808537</v>
      </c>
      <c r="H2642">
        <v>0</v>
      </c>
      <c r="I2642">
        <v>0</v>
      </c>
      <c r="J2642">
        <v>0.72271338991889922</v>
      </c>
      <c r="K2642">
        <v>0</v>
      </c>
      <c r="L2642">
        <v>0</v>
      </c>
      <c r="M2642">
        <v>0.52954168202111573</v>
      </c>
      <c r="N2642">
        <v>0</v>
      </c>
      <c r="O2642">
        <v>0</v>
      </c>
      <c r="P2642">
        <v>0.6766585116369892</v>
      </c>
      <c r="Q2642">
        <v>1.786583351108691</v>
      </c>
      <c r="R2642">
        <v>-2.209233104808956</v>
      </c>
      <c r="S2642">
        <v>0.23816192423817559</v>
      </c>
      <c r="T2642">
        <v>0.17729560128715721</v>
      </c>
      <c r="U2642">
        <v>4.3297594032350304</v>
      </c>
      <c r="V2642">
        <v>0.1928505341528253</v>
      </c>
      <c r="W2642">
        <v>5.5262429593170488</v>
      </c>
      <c r="X2642">
        <v>0.41885080463137231</v>
      </c>
      <c r="Z2642" t="s">
        <v>392</v>
      </c>
      <c r="AA2642">
        <v>9400</v>
      </c>
      <c r="AB2642" t="s">
        <v>3033</v>
      </c>
      <c r="AC2642" t="str">
        <f>HYPERLINK("plots/3FT6Y578R01_012_S11P_20251111092011_M5358ACSH101811_RBGEUFRF26/dpll_52084/txpa_55195.png","plot")</f>
        <v>plot</v>
      </c>
    </row>
    <row r="2643" spans="1:29" hidden="1" x14ac:dyDescent="0.35">
      <c r="A2643" t="s">
        <v>48</v>
      </c>
      <c r="B2643">
        <v>52084</v>
      </c>
      <c r="C2643" t="s">
        <v>52</v>
      </c>
      <c r="D2643">
        <v>55196</v>
      </c>
      <c r="E2643" t="s">
        <v>329</v>
      </c>
      <c r="F2643">
        <v>12239</v>
      </c>
      <c r="G2643">
        <v>0.83627282042864726</v>
      </c>
      <c r="H2643">
        <v>0</v>
      </c>
      <c r="I2643">
        <v>0</v>
      </c>
      <c r="J2643">
        <v>0.73227250184796033</v>
      </c>
      <c r="K2643">
        <v>0</v>
      </c>
      <c r="L2643">
        <v>0</v>
      </c>
      <c r="M2643">
        <v>0.54010713603045901</v>
      </c>
      <c r="N2643">
        <v>0</v>
      </c>
      <c r="O2643">
        <v>0</v>
      </c>
      <c r="P2643">
        <v>0.69935223018768455</v>
      </c>
      <c r="Q2643">
        <v>1.8133706869051049</v>
      </c>
      <c r="R2643">
        <v>-2.2917425385587951</v>
      </c>
      <c r="S2643">
        <v>0.22926783314599389</v>
      </c>
      <c r="T2643">
        <v>0.17355783797463109</v>
      </c>
      <c r="U2643">
        <v>4.3297724721791004</v>
      </c>
      <c r="V2643">
        <v>0.19283828792463359</v>
      </c>
      <c r="W2643">
        <v>5.5597399434594319</v>
      </c>
      <c r="X2643">
        <v>0.41814978329232122</v>
      </c>
      <c r="Z2643" t="s">
        <v>392</v>
      </c>
      <c r="AA2643">
        <v>9400</v>
      </c>
      <c r="AB2643" t="s">
        <v>3034</v>
      </c>
      <c r="AC2643" t="str">
        <f>HYPERLINK("plots/3FT6Y578R01_012_S11P_20251111092011_M5358ACSH101811_RBGEUFRF26/dpll_52084/txpa_55196.png","plot")</f>
        <v>plot</v>
      </c>
    </row>
    <row r="2644" spans="1:29" hidden="1" x14ac:dyDescent="0.35">
      <c r="A2644" t="s">
        <v>48</v>
      </c>
      <c r="B2644">
        <v>52084</v>
      </c>
      <c r="C2644" t="s">
        <v>52</v>
      </c>
      <c r="D2644">
        <v>55197</v>
      </c>
      <c r="E2644" t="s">
        <v>330</v>
      </c>
      <c r="F2644">
        <v>12241</v>
      </c>
      <c r="G2644">
        <v>0.83430793953435067</v>
      </c>
      <c r="H2644">
        <v>0</v>
      </c>
      <c r="I2644">
        <v>0</v>
      </c>
      <c r="J2644">
        <v>0.7287100017647401</v>
      </c>
      <c r="K2644">
        <v>0</v>
      </c>
      <c r="L2644">
        <v>0</v>
      </c>
      <c r="M2644">
        <v>0.5363032033839894</v>
      </c>
      <c r="N2644">
        <v>0</v>
      </c>
      <c r="O2644">
        <v>0</v>
      </c>
      <c r="P2644">
        <v>0.69606973797005378</v>
      </c>
      <c r="Q2644">
        <v>1.7953343559160539</v>
      </c>
      <c r="R2644">
        <v>-2.2026863698084771</v>
      </c>
      <c r="S2644">
        <v>0.22877525258831699</v>
      </c>
      <c r="T2644">
        <v>0.1724476214524911</v>
      </c>
      <c r="U2644">
        <v>4.3297594032350304</v>
      </c>
      <c r="V2644">
        <v>0.1928505341528253</v>
      </c>
      <c r="W2644">
        <v>5.570679439669961</v>
      </c>
      <c r="X2644">
        <v>0.41499208279687477</v>
      </c>
      <c r="Z2644" t="s">
        <v>392</v>
      </c>
      <c r="AA2644">
        <v>9400</v>
      </c>
      <c r="AB2644" t="s">
        <v>3035</v>
      </c>
      <c r="AC2644" t="str">
        <f>HYPERLINK("plots/3FT6Y578R01_012_S11P_20251111092011_M5358ACSH101811_RBGEUFRF26/dpll_52084/txpa_55197.png","plot")</f>
        <v>plot</v>
      </c>
    </row>
    <row r="2645" spans="1:29" hidden="1" x14ac:dyDescent="0.35">
      <c r="A2645" t="s">
        <v>48</v>
      </c>
      <c r="B2645">
        <v>52084</v>
      </c>
      <c r="C2645" t="s">
        <v>52</v>
      </c>
      <c r="D2645">
        <v>55198</v>
      </c>
      <c r="E2645" t="s">
        <v>331</v>
      </c>
      <c r="F2645">
        <v>12242</v>
      </c>
      <c r="G2645">
        <v>0.84307063572239982</v>
      </c>
      <c r="H2645">
        <v>0</v>
      </c>
      <c r="I2645">
        <v>0</v>
      </c>
      <c r="J2645">
        <v>0.73459865677218483</v>
      </c>
      <c r="K2645">
        <v>0</v>
      </c>
      <c r="L2645">
        <v>0</v>
      </c>
      <c r="M2645">
        <v>0.5424098189566452</v>
      </c>
      <c r="N2645">
        <v>0</v>
      </c>
      <c r="O2645">
        <v>0</v>
      </c>
      <c r="P2645">
        <v>0.71076809681737141</v>
      </c>
      <c r="Q2645">
        <v>1.819409898291998</v>
      </c>
      <c r="R2645">
        <v>-2.290621402319363</v>
      </c>
      <c r="S2645">
        <v>0.22384748715234759</v>
      </c>
      <c r="T2645">
        <v>0.17053762279258081</v>
      </c>
      <c r="U2645">
        <v>4.3297189133311553</v>
      </c>
      <c r="V2645">
        <v>0.19287692535756709</v>
      </c>
      <c r="W2645">
        <v>5.5869120454174146</v>
      </c>
      <c r="X2645">
        <v>0.41624292470700353</v>
      </c>
      <c r="Z2645" t="s">
        <v>392</v>
      </c>
      <c r="AA2645">
        <v>9400</v>
      </c>
      <c r="AB2645" t="s">
        <v>3036</v>
      </c>
      <c r="AC2645" t="str">
        <f>HYPERLINK("plots/3FT6Y578R01_012_S11P_20251111092011_M5358ACSH101811_RBGEUFRF26/dpll_52084/txpa_55198.png","plot")</f>
        <v>plot</v>
      </c>
    </row>
    <row r="2646" spans="1:29" hidden="1" x14ac:dyDescent="0.35">
      <c r="A2646" t="s">
        <v>48</v>
      </c>
      <c r="B2646">
        <v>52084</v>
      </c>
      <c r="C2646" t="s">
        <v>52</v>
      </c>
      <c r="D2646">
        <v>55199</v>
      </c>
      <c r="E2646" t="s">
        <v>332</v>
      </c>
      <c r="F2646">
        <v>12240</v>
      </c>
      <c r="G2646">
        <v>0.84393160524095634</v>
      </c>
      <c r="H2646">
        <v>0</v>
      </c>
      <c r="I2646">
        <v>0</v>
      </c>
      <c r="J2646">
        <v>0.73245935270306495</v>
      </c>
      <c r="K2646">
        <v>0</v>
      </c>
      <c r="L2646">
        <v>0</v>
      </c>
      <c r="M2646">
        <v>0.53979929842466468</v>
      </c>
      <c r="N2646">
        <v>0</v>
      </c>
      <c r="O2646">
        <v>0</v>
      </c>
      <c r="P2646">
        <v>0.71222055432457732</v>
      </c>
      <c r="Q2646">
        <v>1.825667125479377</v>
      </c>
      <c r="R2646">
        <v>-2.343345782109246</v>
      </c>
      <c r="S2646">
        <v>0.223783530013517</v>
      </c>
      <c r="T2646">
        <v>0.17156490185374301</v>
      </c>
      <c r="U2646">
        <v>4.3297345467320261</v>
      </c>
      <c r="V2646">
        <v>0.1928420022508596</v>
      </c>
      <c r="W2646">
        <v>5.5613082419117648</v>
      </c>
      <c r="X2646">
        <v>0.41717279188814582</v>
      </c>
      <c r="Z2646" t="s">
        <v>392</v>
      </c>
      <c r="AA2646">
        <v>9400</v>
      </c>
      <c r="AB2646" t="s">
        <v>3037</v>
      </c>
      <c r="AC2646" t="str">
        <f>HYPERLINK("plots/3FT6Y578R01_012_S11P_20251111092011_M5358ACSH101811_RBGEUFRF26/dpll_52084/txpa_55199.png","plot")</f>
        <v>plot</v>
      </c>
    </row>
    <row r="2647" spans="1:29" hidden="1" x14ac:dyDescent="0.35">
      <c r="A2647" t="s">
        <v>48</v>
      </c>
      <c r="B2647">
        <v>52084</v>
      </c>
      <c r="C2647" t="s">
        <v>52</v>
      </c>
      <c r="D2647">
        <v>55200</v>
      </c>
      <c r="E2647" t="s">
        <v>333</v>
      </c>
      <c r="F2647">
        <v>12240</v>
      </c>
      <c r="G2647">
        <v>0.84574980335326755</v>
      </c>
      <c r="H2647">
        <v>0</v>
      </c>
      <c r="I2647">
        <v>0</v>
      </c>
      <c r="J2647">
        <v>0.73641442004272206</v>
      </c>
      <c r="K2647">
        <v>0</v>
      </c>
      <c r="L2647">
        <v>0</v>
      </c>
      <c r="M2647">
        <v>0.54437230318002605</v>
      </c>
      <c r="N2647">
        <v>0</v>
      </c>
      <c r="O2647">
        <v>0</v>
      </c>
      <c r="P2647">
        <v>0.71529272987209069</v>
      </c>
      <c r="Q2647">
        <v>1.8333409794112561</v>
      </c>
      <c r="R2647">
        <v>-2.371908670403641</v>
      </c>
      <c r="S2647">
        <v>0.2230133887809809</v>
      </c>
      <c r="T2647">
        <v>0.17105722072413149</v>
      </c>
      <c r="U2647">
        <v>4.329689001062091</v>
      </c>
      <c r="V2647">
        <v>0.19281821557856541</v>
      </c>
      <c r="W2647">
        <v>5.5658876033496734</v>
      </c>
      <c r="X2647">
        <v>0.41797412756770203</v>
      </c>
      <c r="Z2647" t="s">
        <v>392</v>
      </c>
      <c r="AA2647">
        <v>9400</v>
      </c>
      <c r="AB2647" t="s">
        <v>3038</v>
      </c>
      <c r="AC2647" t="str">
        <f>HYPERLINK("plots/3FT6Y578R01_012_S11P_20251111092011_M5358ACSH101811_RBGEUFRF26/dpll_52084/txpa_55200.png","plot")</f>
        <v>plot</v>
      </c>
    </row>
    <row r="2648" spans="1:29" hidden="1" x14ac:dyDescent="0.35">
      <c r="A2648" t="s">
        <v>48</v>
      </c>
      <c r="B2648">
        <v>52084</v>
      </c>
      <c r="C2648" t="s">
        <v>52</v>
      </c>
      <c r="D2648">
        <v>55201</v>
      </c>
      <c r="E2648" t="s">
        <v>334</v>
      </c>
      <c r="F2648">
        <v>12242</v>
      </c>
      <c r="G2648">
        <v>0.84484924843648612</v>
      </c>
      <c r="H2648">
        <v>0</v>
      </c>
      <c r="I2648">
        <v>0</v>
      </c>
      <c r="J2648">
        <v>0.73226388496987094</v>
      </c>
      <c r="K2648">
        <v>0</v>
      </c>
      <c r="L2648">
        <v>0</v>
      </c>
      <c r="M2648">
        <v>0.54077883900300017</v>
      </c>
      <c r="N2648">
        <v>0</v>
      </c>
      <c r="O2648">
        <v>0</v>
      </c>
      <c r="P2648">
        <v>0.71377025258369542</v>
      </c>
      <c r="Q2648">
        <v>1.8296878105419909</v>
      </c>
      <c r="R2648">
        <v>-2.3510205124854271</v>
      </c>
      <c r="S2648">
        <v>0.22343624987457769</v>
      </c>
      <c r="T2648">
        <v>0.1710528909695497</v>
      </c>
      <c r="U2648">
        <v>4.3297428452050317</v>
      </c>
      <c r="V2648">
        <v>0.19284847807112951</v>
      </c>
      <c r="W2648">
        <v>5.5710571941676204</v>
      </c>
      <c r="X2648">
        <v>0.4176514452268546</v>
      </c>
      <c r="Z2648" t="s">
        <v>392</v>
      </c>
      <c r="AA2648">
        <v>9400</v>
      </c>
      <c r="AB2648" t="s">
        <v>3039</v>
      </c>
      <c r="AC2648" t="str">
        <f>HYPERLINK("plots/3FT6Y578R01_012_S11P_20251111092011_M5358ACSH101811_RBGEUFRF26/dpll_52084/txpa_55201.png","plot")</f>
        <v>plot</v>
      </c>
    </row>
    <row r="2649" spans="1:29" hidden="1" x14ac:dyDescent="0.35">
      <c r="A2649" t="s">
        <v>48</v>
      </c>
      <c r="B2649">
        <v>52084</v>
      </c>
      <c r="C2649" t="s">
        <v>52</v>
      </c>
      <c r="D2649">
        <v>55202</v>
      </c>
      <c r="E2649" t="s">
        <v>335</v>
      </c>
      <c r="F2649">
        <v>12237</v>
      </c>
      <c r="G2649">
        <v>0.84028288331455203</v>
      </c>
      <c r="H2649">
        <v>0</v>
      </c>
      <c r="I2649">
        <v>0</v>
      </c>
      <c r="J2649">
        <v>0.72507055884848326</v>
      </c>
      <c r="K2649">
        <v>0</v>
      </c>
      <c r="L2649">
        <v>0</v>
      </c>
      <c r="M2649">
        <v>0.53429017256241085</v>
      </c>
      <c r="N2649">
        <v>0</v>
      </c>
      <c r="O2649">
        <v>0</v>
      </c>
      <c r="P2649">
        <v>0.70607532399141704</v>
      </c>
      <c r="Q2649">
        <v>1.8103498332721459</v>
      </c>
      <c r="R2649">
        <v>-2.2822322093206062</v>
      </c>
      <c r="S2649">
        <v>0.22523212613526161</v>
      </c>
      <c r="T2649">
        <v>0.17191875816746699</v>
      </c>
      <c r="U2649">
        <v>4.3298273272043808</v>
      </c>
      <c r="V2649">
        <v>0.1928381999531027</v>
      </c>
      <c r="W2649">
        <v>5.5562699705810257</v>
      </c>
      <c r="X2649">
        <v>0.41546080500477861</v>
      </c>
      <c r="Z2649" t="s">
        <v>392</v>
      </c>
      <c r="AA2649">
        <v>9400</v>
      </c>
      <c r="AB2649" t="s">
        <v>3040</v>
      </c>
      <c r="AC2649" t="str">
        <f>HYPERLINK("plots/3FT6Y578R01_012_S11P_20251111092011_M5358ACSH101811_RBGEUFRF26/dpll_52084/txpa_55202.png","plot")</f>
        <v>plot</v>
      </c>
    </row>
    <row r="2650" spans="1:29" hidden="1" x14ac:dyDescent="0.35">
      <c r="A2650" t="s">
        <v>48</v>
      </c>
      <c r="B2650">
        <v>52084</v>
      </c>
      <c r="C2650" t="s">
        <v>52</v>
      </c>
      <c r="D2650">
        <v>55203</v>
      </c>
      <c r="E2650" t="s">
        <v>336</v>
      </c>
      <c r="F2650">
        <v>12241</v>
      </c>
      <c r="G2650">
        <v>0.82602160695162175</v>
      </c>
      <c r="H2650">
        <v>0</v>
      </c>
      <c r="I2650">
        <v>0</v>
      </c>
      <c r="J2650">
        <v>0.72487908777569321</v>
      </c>
      <c r="K2650">
        <v>0</v>
      </c>
      <c r="L2650">
        <v>0</v>
      </c>
      <c r="M2650">
        <v>0.53186115683988466</v>
      </c>
      <c r="N2650">
        <v>0</v>
      </c>
      <c r="O2650">
        <v>0</v>
      </c>
      <c r="P2650">
        <v>0.68231169515093948</v>
      </c>
      <c r="Q2650">
        <v>1.8790043353122561</v>
      </c>
      <c r="R2650">
        <v>-1.6243970868907831</v>
      </c>
      <c r="S2650">
        <v>0.2472521599131958</v>
      </c>
      <c r="T2650">
        <v>0.18385097258089261</v>
      </c>
      <c r="U2650">
        <v>4.3297594032350304</v>
      </c>
      <c r="V2650">
        <v>0.1928505341528253</v>
      </c>
      <c r="W2650">
        <v>6.5112396026468424</v>
      </c>
      <c r="X2650">
        <v>0.43868948062718888</v>
      </c>
      <c r="Z2650" t="s">
        <v>392</v>
      </c>
      <c r="AA2650">
        <v>9400</v>
      </c>
      <c r="AB2650" t="s">
        <v>3041</v>
      </c>
      <c r="AC2650" t="str">
        <f>HYPERLINK("plots/3FT6Y578R01_012_S11P_20251111092011_M5358ACSH101811_RBGEUFRF26/dpll_52084/txpa_55203.png","plot")</f>
        <v>plot</v>
      </c>
    </row>
    <row r="2651" spans="1:29" hidden="1" x14ac:dyDescent="0.35">
      <c r="A2651" t="s">
        <v>48</v>
      </c>
      <c r="B2651">
        <v>52084</v>
      </c>
      <c r="C2651" t="s">
        <v>52</v>
      </c>
      <c r="D2651">
        <v>55204</v>
      </c>
      <c r="E2651" t="s">
        <v>337</v>
      </c>
      <c r="F2651">
        <v>12239</v>
      </c>
      <c r="G2651">
        <v>0.83917875638159178</v>
      </c>
      <c r="H2651">
        <v>0</v>
      </c>
      <c r="I2651">
        <v>0</v>
      </c>
      <c r="J2651">
        <v>0.73419858599216081</v>
      </c>
      <c r="K2651">
        <v>0</v>
      </c>
      <c r="L2651">
        <v>0</v>
      </c>
      <c r="M2651">
        <v>0.54215598677572607</v>
      </c>
      <c r="N2651">
        <v>0</v>
      </c>
      <c r="O2651">
        <v>0</v>
      </c>
      <c r="P2651">
        <v>0.70422098516215492</v>
      </c>
      <c r="Q2651">
        <v>1.905531735128122</v>
      </c>
      <c r="R2651">
        <v>-1.705832448238789</v>
      </c>
      <c r="S2651">
        <v>0.23813372631370369</v>
      </c>
      <c r="T2651">
        <v>0.18007310269372129</v>
      </c>
      <c r="U2651">
        <v>4.3297724721791004</v>
      </c>
      <c r="V2651">
        <v>0.19283828792463359</v>
      </c>
      <c r="W2651">
        <v>6.5446864033826291</v>
      </c>
      <c r="X2651">
        <v>0.43787986122598199</v>
      </c>
      <c r="Z2651" t="s">
        <v>392</v>
      </c>
      <c r="AA2651">
        <v>9400</v>
      </c>
      <c r="AB2651" t="s">
        <v>3042</v>
      </c>
      <c r="AC2651" t="str">
        <f>HYPERLINK("plots/3FT6Y578R01_012_S11P_20251111092011_M5358ACSH101811_RBGEUFRF26/dpll_52084/txpa_55204.png","plot")</f>
        <v>plot</v>
      </c>
    </row>
    <row r="2652" spans="1:29" hidden="1" x14ac:dyDescent="0.35">
      <c r="A2652" t="s">
        <v>48</v>
      </c>
      <c r="B2652">
        <v>52084</v>
      </c>
      <c r="C2652" t="s">
        <v>52</v>
      </c>
      <c r="D2652">
        <v>55205</v>
      </c>
      <c r="E2652" t="s">
        <v>338</v>
      </c>
      <c r="F2652">
        <v>12240</v>
      </c>
      <c r="G2652">
        <v>0.83756767481569372</v>
      </c>
      <c r="H2652">
        <v>0</v>
      </c>
      <c r="I2652">
        <v>0</v>
      </c>
      <c r="J2652">
        <v>0.73047999845305822</v>
      </c>
      <c r="K2652">
        <v>0</v>
      </c>
      <c r="L2652">
        <v>0</v>
      </c>
      <c r="M2652">
        <v>0.53821302326623199</v>
      </c>
      <c r="N2652">
        <v>0</v>
      </c>
      <c r="O2652">
        <v>0</v>
      </c>
      <c r="P2652">
        <v>0.70151960989616768</v>
      </c>
      <c r="Q2652">
        <v>1.886449912544423</v>
      </c>
      <c r="R2652">
        <v>-1.611826879369374</v>
      </c>
      <c r="S2652">
        <v>0.2372905765867328</v>
      </c>
      <c r="T2652">
        <v>0.1788490306677098</v>
      </c>
      <c r="U2652">
        <v>4.3297775847222226</v>
      </c>
      <c r="V2652">
        <v>0.19284792061017139</v>
      </c>
      <c r="W2652">
        <v>6.5560816666666666</v>
      </c>
      <c r="X2652">
        <v>0.43435050552719262</v>
      </c>
      <c r="Z2652" t="s">
        <v>392</v>
      </c>
      <c r="AA2652">
        <v>9400</v>
      </c>
      <c r="AB2652" t="s">
        <v>3043</v>
      </c>
      <c r="AC2652" t="str">
        <f>HYPERLINK("plots/3FT6Y578R01_012_S11P_20251111092011_M5358ACSH101811_RBGEUFRF26/dpll_52084/txpa_55205.png","plot")</f>
        <v>plot</v>
      </c>
    </row>
    <row r="2653" spans="1:29" hidden="1" x14ac:dyDescent="0.35">
      <c r="A2653" t="s">
        <v>48</v>
      </c>
      <c r="B2653">
        <v>52084</v>
      </c>
      <c r="C2653" t="s">
        <v>52</v>
      </c>
      <c r="D2653">
        <v>55206</v>
      </c>
      <c r="E2653" t="s">
        <v>339</v>
      </c>
      <c r="F2653">
        <v>12242</v>
      </c>
      <c r="G2653">
        <v>0.84580044463465631</v>
      </c>
      <c r="H2653">
        <v>0</v>
      </c>
      <c r="I2653">
        <v>0</v>
      </c>
      <c r="J2653">
        <v>0.73623669190515928</v>
      </c>
      <c r="K2653">
        <v>0</v>
      </c>
      <c r="L2653">
        <v>0</v>
      </c>
      <c r="M2653">
        <v>0.54426646473345508</v>
      </c>
      <c r="N2653">
        <v>0</v>
      </c>
      <c r="O2653">
        <v>0</v>
      </c>
      <c r="P2653">
        <v>0.71537839214418231</v>
      </c>
      <c r="Q2653">
        <v>1.9118750722820239</v>
      </c>
      <c r="R2653">
        <v>-1.7069500666920101</v>
      </c>
      <c r="S2653">
        <v>0.23258841075264369</v>
      </c>
      <c r="T2653">
        <v>0.1770341184122278</v>
      </c>
      <c r="U2653">
        <v>4.3297189133311553</v>
      </c>
      <c r="V2653">
        <v>0.19287692535756709</v>
      </c>
      <c r="W2653">
        <v>6.5709315936938397</v>
      </c>
      <c r="X2653">
        <v>0.43598532957595859</v>
      </c>
      <c r="Z2653" t="s">
        <v>392</v>
      </c>
      <c r="AA2653">
        <v>9400</v>
      </c>
      <c r="AB2653" t="s">
        <v>3044</v>
      </c>
      <c r="AC2653" t="str">
        <f>HYPERLINK("plots/3FT6Y578R01_012_S11P_20251111092011_M5358ACSH101811_RBGEUFRF26/dpll_52084/txpa_55206.png","plot")</f>
        <v>plot</v>
      </c>
    </row>
    <row r="2654" spans="1:29" hidden="1" x14ac:dyDescent="0.35">
      <c r="A2654" t="s">
        <v>48</v>
      </c>
      <c r="B2654">
        <v>52084</v>
      </c>
      <c r="C2654" t="s">
        <v>52</v>
      </c>
      <c r="D2654">
        <v>55207</v>
      </c>
      <c r="E2654" t="s">
        <v>340</v>
      </c>
      <c r="F2654">
        <v>12240</v>
      </c>
      <c r="G2654">
        <v>0.84674086457825193</v>
      </c>
      <c r="H2654">
        <v>0</v>
      </c>
      <c r="I2654">
        <v>0</v>
      </c>
      <c r="J2654">
        <v>0.73415589347893773</v>
      </c>
      <c r="K2654">
        <v>0</v>
      </c>
      <c r="L2654">
        <v>0</v>
      </c>
      <c r="M2654">
        <v>0.54171086815047331</v>
      </c>
      <c r="N2654">
        <v>0</v>
      </c>
      <c r="O2654">
        <v>0</v>
      </c>
      <c r="P2654">
        <v>0.71697009174672555</v>
      </c>
      <c r="Q2654">
        <v>1.918792722189524</v>
      </c>
      <c r="R2654">
        <v>-1.763335490141448</v>
      </c>
      <c r="S2654">
        <v>0.232475718490113</v>
      </c>
      <c r="T2654">
        <v>0.17804431764590681</v>
      </c>
      <c r="U2654">
        <v>4.3297345467320261</v>
      </c>
      <c r="V2654">
        <v>0.1928420022508596</v>
      </c>
      <c r="W2654">
        <v>6.5445276471405238</v>
      </c>
      <c r="X2654">
        <v>0.43699772377905532</v>
      </c>
      <c r="Z2654" t="s">
        <v>392</v>
      </c>
      <c r="AA2654">
        <v>9400</v>
      </c>
      <c r="AB2654" t="s">
        <v>3045</v>
      </c>
      <c r="AC2654" t="str">
        <f>HYPERLINK("plots/3FT6Y578R01_012_S11P_20251111092011_M5358ACSH101811_RBGEUFRF26/dpll_52084/txpa_55207.png","plot")</f>
        <v>plot</v>
      </c>
    </row>
    <row r="2655" spans="1:29" hidden="1" x14ac:dyDescent="0.35">
      <c r="A2655" t="s">
        <v>48</v>
      </c>
      <c r="B2655">
        <v>52084</v>
      </c>
      <c r="C2655" t="s">
        <v>52</v>
      </c>
      <c r="D2655">
        <v>55208</v>
      </c>
      <c r="E2655" t="s">
        <v>341</v>
      </c>
      <c r="F2655">
        <v>12240</v>
      </c>
      <c r="G2655">
        <v>0.84837285288586539</v>
      </c>
      <c r="H2655">
        <v>0</v>
      </c>
      <c r="I2655">
        <v>0</v>
      </c>
      <c r="J2655">
        <v>0.73791065930920907</v>
      </c>
      <c r="K2655">
        <v>0</v>
      </c>
      <c r="L2655">
        <v>0</v>
      </c>
      <c r="M2655">
        <v>0.54610683247834113</v>
      </c>
      <c r="N2655">
        <v>0</v>
      </c>
      <c r="O2655">
        <v>0</v>
      </c>
      <c r="P2655">
        <v>0.71973649751370217</v>
      </c>
      <c r="Q2655">
        <v>1.9257087588152859</v>
      </c>
      <c r="R2655">
        <v>-1.787525319954874</v>
      </c>
      <c r="S2655">
        <v>0.23169541151502759</v>
      </c>
      <c r="T2655">
        <v>0.17749404565068139</v>
      </c>
      <c r="U2655">
        <v>4.329689001062091</v>
      </c>
      <c r="V2655">
        <v>0.19281821557856541</v>
      </c>
      <c r="W2655">
        <v>6.5501947123366024</v>
      </c>
      <c r="X2655">
        <v>0.43767516291416653</v>
      </c>
      <c r="Z2655" t="s">
        <v>392</v>
      </c>
      <c r="AA2655">
        <v>9400</v>
      </c>
      <c r="AB2655" t="s">
        <v>3046</v>
      </c>
      <c r="AC2655" t="str">
        <f>HYPERLINK("plots/3FT6Y578R01_012_S11P_20251111092011_M5358ACSH101811_RBGEUFRF26/dpll_52084/txpa_55208.png","plot")</f>
        <v>plot</v>
      </c>
    </row>
    <row r="2656" spans="1:29" hidden="1" x14ac:dyDescent="0.35">
      <c r="A2656" t="s">
        <v>48</v>
      </c>
      <c r="B2656">
        <v>52084</v>
      </c>
      <c r="C2656" t="s">
        <v>52</v>
      </c>
      <c r="D2656">
        <v>55209</v>
      </c>
      <c r="E2656" t="s">
        <v>342</v>
      </c>
      <c r="F2656">
        <v>12241</v>
      </c>
      <c r="G2656">
        <v>0.84787914488251392</v>
      </c>
      <c r="H2656">
        <v>0</v>
      </c>
      <c r="I2656">
        <v>0</v>
      </c>
      <c r="J2656">
        <v>0.73385756774512667</v>
      </c>
      <c r="K2656">
        <v>0</v>
      </c>
      <c r="L2656">
        <v>0</v>
      </c>
      <c r="M2656">
        <v>0.5426171724051182</v>
      </c>
      <c r="N2656">
        <v>0</v>
      </c>
      <c r="O2656">
        <v>0</v>
      </c>
      <c r="P2656">
        <v>0.71889904432670304</v>
      </c>
      <c r="Q2656">
        <v>1.922344370073974</v>
      </c>
      <c r="R2656">
        <v>-1.767829708974435</v>
      </c>
      <c r="S2656">
        <v>0.231808763923671</v>
      </c>
      <c r="T2656">
        <v>0.17731618580916869</v>
      </c>
      <c r="U2656">
        <v>4.3297572162405036</v>
      </c>
      <c r="V2656">
        <v>0.1928498001836009</v>
      </c>
      <c r="W2656">
        <v>6.5554546994526577</v>
      </c>
      <c r="X2656">
        <v>0.43723652113675371</v>
      </c>
      <c r="Z2656" t="s">
        <v>392</v>
      </c>
      <c r="AA2656">
        <v>9400</v>
      </c>
      <c r="AB2656" t="s">
        <v>3047</v>
      </c>
      <c r="AC2656" t="str">
        <f>HYPERLINK("plots/3FT6Y578R01_012_S11P_20251111092011_M5358ACSH101811_RBGEUFRF26/dpll_52084/txpa_55209.png","plot")</f>
        <v>plot</v>
      </c>
    </row>
    <row r="2657" spans="1:29" hidden="1" x14ac:dyDescent="0.35">
      <c r="A2657" t="s">
        <v>48</v>
      </c>
      <c r="B2657">
        <v>52084</v>
      </c>
      <c r="C2657" t="s">
        <v>52</v>
      </c>
      <c r="D2657">
        <v>55210</v>
      </c>
      <c r="E2657" t="s">
        <v>343</v>
      </c>
      <c r="F2657">
        <v>12235</v>
      </c>
      <c r="G2657">
        <v>0.84366747999339986</v>
      </c>
      <c r="H2657">
        <v>0</v>
      </c>
      <c r="I2657">
        <v>0</v>
      </c>
      <c r="J2657">
        <v>0.7268824104378877</v>
      </c>
      <c r="K2657">
        <v>0</v>
      </c>
      <c r="L2657">
        <v>0</v>
      </c>
      <c r="M2657">
        <v>0.53632486965089576</v>
      </c>
      <c r="N2657">
        <v>0</v>
      </c>
      <c r="O2657">
        <v>0</v>
      </c>
      <c r="P2657">
        <v>0.7117748167984137</v>
      </c>
      <c r="Q2657">
        <v>1.9014335829287099</v>
      </c>
      <c r="R2657">
        <v>-1.691414026159439</v>
      </c>
      <c r="S2657">
        <v>0.2333086326455491</v>
      </c>
      <c r="T2657">
        <v>0.17808533452958869</v>
      </c>
      <c r="U2657">
        <v>4.3298668506742954</v>
      </c>
      <c r="V2657">
        <v>0.19282917546891709</v>
      </c>
      <c r="W2657">
        <v>6.5415402133224347</v>
      </c>
      <c r="X2657">
        <v>0.43459286828019028</v>
      </c>
      <c r="Z2657" t="s">
        <v>392</v>
      </c>
      <c r="AA2657">
        <v>9400</v>
      </c>
      <c r="AB2657" t="s">
        <v>3048</v>
      </c>
      <c r="AC2657" t="str">
        <f>HYPERLINK("plots/3FT6Y578R01_012_S11P_20251111092011_M5358ACSH101811_RBGEUFRF26/dpll_52084/txpa_55210.png","plot")</f>
        <v>plot</v>
      </c>
    </row>
    <row r="2658" spans="1:29" hidden="1" x14ac:dyDescent="0.35">
      <c r="A2658" t="s">
        <v>48</v>
      </c>
      <c r="B2658">
        <v>52084</v>
      </c>
      <c r="C2658" t="s">
        <v>52</v>
      </c>
      <c r="D2658">
        <v>55211</v>
      </c>
      <c r="E2658" t="s">
        <v>344</v>
      </c>
      <c r="F2658">
        <v>12238</v>
      </c>
      <c r="G2658">
        <v>0.82912072310681428</v>
      </c>
      <c r="H2658">
        <v>0</v>
      </c>
      <c r="I2658">
        <v>0</v>
      </c>
      <c r="J2658">
        <v>0.72648661714338503</v>
      </c>
      <c r="K2658">
        <v>0</v>
      </c>
      <c r="L2658">
        <v>0</v>
      </c>
      <c r="M2658">
        <v>0.53362036885484077</v>
      </c>
      <c r="N2658">
        <v>0</v>
      </c>
      <c r="O2658">
        <v>0</v>
      </c>
      <c r="P2658">
        <v>0.68744117348516665</v>
      </c>
      <c r="Q2658">
        <v>1.9696527540551489</v>
      </c>
      <c r="R2658">
        <v>-1.063935719093847</v>
      </c>
      <c r="S2658">
        <v>0.25605700501322048</v>
      </c>
      <c r="T2658">
        <v>0.19039667834861729</v>
      </c>
      <c r="U2658">
        <v>4.3298398786566432</v>
      </c>
      <c r="V2658">
        <v>0.1928042595766489</v>
      </c>
      <c r="W2658">
        <v>7.4643453225200203</v>
      </c>
      <c r="X2658">
        <v>0.45802430247517389</v>
      </c>
      <c r="Z2658" t="s">
        <v>392</v>
      </c>
      <c r="AA2658">
        <v>9400</v>
      </c>
      <c r="AB2658" t="s">
        <v>3049</v>
      </c>
      <c r="AC2658" t="str">
        <f>HYPERLINK("plots/3FT6Y578R01_012_S11P_20251111092011_M5358ACSH101811_RBGEUFRF26/dpll_52084/txpa_55211.png","plot")</f>
        <v>plot</v>
      </c>
    </row>
    <row r="2659" spans="1:29" hidden="1" x14ac:dyDescent="0.35">
      <c r="A2659" t="s">
        <v>48</v>
      </c>
      <c r="B2659">
        <v>52084</v>
      </c>
      <c r="C2659" t="s">
        <v>52</v>
      </c>
      <c r="D2659">
        <v>55212</v>
      </c>
      <c r="E2659" t="s">
        <v>345</v>
      </c>
      <c r="F2659">
        <v>12237</v>
      </c>
      <c r="G2659">
        <v>0.84161307441759803</v>
      </c>
      <c r="H2659">
        <v>0</v>
      </c>
      <c r="I2659">
        <v>0</v>
      </c>
      <c r="J2659">
        <v>0.73514625183930071</v>
      </c>
      <c r="K2659">
        <v>0</v>
      </c>
      <c r="L2659">
        <v>0</v>
      </c>
      <c r="M2659">
        <v>0.54324736039283006</v>
      </c>
      <c r="N2659">
        <v>0</v>
      </c>
      <c r="O2659">
        <v>0</v>
      </c>
      <c r="P2659">
        <v>0.70831256703064138</v>
      </c>
      <c r="Q2659">
        <v>1.9964353601509659</v>
      </c>
      <c r="R2659">
        <v>-1.1464573214936931</v>
      </c>
      <c r="S2659">
        <v>0.24702082761208699</v>
      </c>
      <c r="T2659">
        <v>0.1867909786379561</v>
      </c>
      <c r="U2659">
        <v>4.329818508866552</v>
      </c>
      <c r="V2659">
        <v>0.19281893480878651</v>
      </c>
      <c r="W2659">
        <v>7.4977454526436214</v>
      </c>
      <c r="X2659">
        <v>0.45739610191452129</v>
      </c>
      <c r="Z2659" t="s">
        <v>392</v>
      </c>
      <c r="AA2659">
        <v>9400</v>
      </c>
      <c r="AB2659" t="s">
        <v>3050</v>
      </c>
      <c r="AC2659" t="str">
        <f>HYPERLINK("plots/3FT6Y578R01_012_S11P_20251111092011_M5358ACSH101811_RBGEUFRF26/dpll_52084/txpa_55212.png","plot")</f>
        <v>plot</v>
      </c>
    </row>
    <row r="2660" spans="1:29" hidden="1" x14ac:dyDescent="0.35">
      <c r="A2660" t="s">
        <v>48</v>
      </c>
      <c r="B2660">
        <v>52084</v>
      </c>
      <c r="C2660" t="s">
        <v>52</v>
      </c>
      <c r="D2660">
        <v>55213</v>
      </c>
      <c r="E2660" t="s">
        <v>346</v>
      </c>
      <c r="F2660">
        <v>12240</v>
      </c>
      <c r="G2660">
        <v>0.83997919340194771</v>
      </c>
      <c r="H2660">
        <v>0</v>
      </c>
      <c r="I2660">
        <v>0</v>
      </c>
      <c r="J2660">
        <v>0.73185330074490096</v>
      </c>
      <c r="K2660">
        <v>0</v>
      </c>
      <c r="L2660">
        <v>0</v>
      </c>
      <c r="M2660">
        <v>0.53974216564920696</v>
      </c>
      <c r="N2660">
        <v>0</v>
      </c>
      <c r="O2660">
        <v>0</v>
      </c>
      <c r="P2660">
        <v>0.70556504534818665</v>
      </c>
      <c r="Q2660">
        <v>1.97907394957389</v>
      </c>
      <c r="R2660">
        <v>-1.059807466794275</v>
      </c>
      <c r="S2660">
        <v>0.24653886722883711</v>
      </c>
      <c r="T2660">
        <v>0.18559288073406929</v>
      </c>
      <c r="U2660">
        <v>4.3297775847222226</v>
      </c>
      <c r="V2660">
        <v>0.19284792061017139</v>
      </c>
      <c r="W2660">
        <v>7.5091425585784322</v>
      </c>
      <c r="X2660">
        <v>0.45436874973455621</v>
      </c>
      <c r="Z2660" t="s">
        <v>392</v>
      </c>
      <c r="AA2660">
        <v>9400</v>
      </c>
      <c r="AB2660" t="s">
        <v>3051</v>
      </c>
      <c r="AC2660" t="str">
        <f>HYPERLINK("plots/3FT6Y578R01_012_S11P_20251111092011_M5358ACSH101811_RBGEUFRF26/dpll_52084/txpa_55213.png","plot")</f>
        <v>plot</v>
      </c>
    </row>
    <row r="2661" spans="1:29" hidden="1" x14ac:dyDescent="0.35">
      <c r="A2661" t="s">
        <v>48</v>
      </c>
      <c r="B2661">
        <v>52084</v>
      </c>
      <c r="C2661" t="s">
        <v>52</v>
      </c>
      <c r="D2661">
        <v>55214</v>
      </c>
      <c r="E2661" t="s">
        <v>347</v>
      </c>
      <c r="F2661">
        <v>12240</v>
      </c>
      <c r="G2661">
        <v>0.84819490626027383</v>
      </c>
      <c r="H2661">
        <v>0</v>
      </c>
      <c r="I2661">
        <v>0</v>
      </c>
      <c r="J2661">
        <v>0.73698605332155542</v>
      </c>
      <c r="K2661">
        <v>0</v>
      </c>
      <c r="L2661">
        <v>0</v>
      </c>
      <c r="M2661">
        <v>0.5452364126548398</v>
      </c>
      <c r="N2661">
        <v>0</v>
      </c>
      <c r="O2661">
        <v>0</v>
      </c>
      <c r="P2661">
        <v>0.7194345990058747</v>
      </c>
      <c r="Q2661">
        <v>2.0032851884057279</v>
      </c>
      <c r="R2661">
        <v>-1.150579542882215</v>
      </c>
      <c r="S2661">
        <v>0.24126172112904121</v>
      </c>
      <c r="T2661">
        <v>0.1836530028322749</v>
      </c>
      <c r="U2661">
        <v>4.3297635834967316</v>
      </c>
      <c r="V2661">
        <v>0.1928599219077857</v>
      </c>
      <c r="W2661">
        <v>7.5231717132352944</v>
      </c>
      <c r="X2661">
        <v>0.45550076066643752</v>
      </c>
      <c r="Z2661" t="s">
        <v>392</v>
      </c>
      <c r="AA2661">
        <v>9400</v>
      </c>
      <c r="AB2661" t="s">
        <v>3052</v>
      </c>
      <c r="AC2661" t="str">
        <f>HYPERLINK("plots/3FT6Y578R01_012_S11P_20251111092011_M5358ACSH101811_RBGEUFRF26/dpll_52084/txpa_55214.png","plot")</f>
        <v>plot</v>
      </c>
    </row>
    <row r="2662" spans="1:29" hidden="1" x14ac:dyDescent="0.35">
      <c r="A2662" t="s">
        <v>48</v>
      </c>
      <c r="B2662">
        <v>52084</v>
      </c>
      <c r="C2662" t="s">
        <v>52</v>
      </c>
      <c r="D2662">
        <v>55215</v>
      </c>
      <c r="E2662" t="s">
        <v>348</v>
      </c>
      <c r="F2662">
        <v>12239</v>
      </c>
      <c r="G2662">
        <v>0.84901200346868289</v>
      </c>
      <c r="H2662">
        <v>0</v>
      </c>
      <c r="I2662">
        <v>0</v>
      </c>
      <c r="J2662">
        <v>0.73525439211261834</v>
      </c>
      <c r="K2662">
        <v>0</v>
      </c>
      <c r="L2662">
        <v>0</v>
      </c>
      <c r="M2662">
        <v>0.54308935661699331</v>
      </c>
      <c r="N2662">
        <v>0</v>
      </c>
      <c r="O2662">
        <v>0</v>
      </c>
      <c r="P2662">
        <v>0.72082138203390678</v>
      </c>
      <c r="Q2662">
        <v>2.0121624281387458</v>
      </c>
      <c r="R2662">
        <v>-1.2163437618077599</v>
      </c>
      <c r="S2662">
        <v>0.24146762080708151</v>
      </c>
      <c r="T2662">
        <v>0.18478647252976321</v>
      </c>
      <c r="U2662">
        <v>4.3297560370945334</v>
      </c>
      <c r="V2662">
        <v>0.1928352230179636</v>
      </c>
      <c r="W2662">
        <v>7.4958286590407717</v>
      </c>
      <c r="X2662">
        <v>0.45702038250724758</v>
      </c>
      <c r="Z2662" t="s">
        <v>392</v>
      </c>
      <c r="AA2662">
        <v>9400</v>
      </c>
      <c r="AB2662" t="s">
        <v>3053</v>
      </c>
      <c r="AC2662" t="str">
        <f>HYPERLINK("plots/3FT6Y578R01_012_S11P_20251111092011_M5358ACSH101811_RBGEUFRF26/dpll_52084/txpa_55215.png","plot")</f>
        <v>plot</v>
      </c>
    </row>
    <row r="2663" spans="1:29" hidden="1" x14ac:dyDescent="0.35">
      <c r="A2663" t="s">
        <v>48</v>
      </c>
      <c r="B2663">
        <v>52084</v>
      </c>
      <c r="C2663" t="s">
        <v>52</v>
      </c>
      <c r="D2663">
        <v>55216</v>
      </c>
      <c r="E2663" t="s">
        <v>349</v>
      </c>
      <c r="F2663">
        <v>12241</v>
      </c>
      <c r="G2663">
        <v>0.85035374654930374</v>
      </c>
      <c r="H2663">
        <v>0</v>
      </c>
      <c r="I2663">
        <v>0</v>
      </c>
      <c r="J2663">
        <v>0.73871050957498985</v>
      </c>
      <c r="K2663">
        <v>0</v>
      </c>
      <c r="L2663">
        <v>0</v>
      </c>
      <c r="M2663">
        <v>0.54716655236799905</v>
      </c>
      <c r="N2663">
        <v>0</v>
      </c>
      <c r="O2663">
        <v>0</v>
      </c>
      <c r="P2663">
        <v>0.72310149427043746</v>
      </c>
      <c r="Q2663">
        <v>2.0192990909606618</v>
      </c>
      <c r="R2663">
        <v>-1.2403905508918529</v>
      </c>
      <c r="S2663">
        <v>0.24094981144421199</v>
      </c>
      <c r="T2663">
        <v>0.1843162187797947</v>
      </c>
      <c r="U2663">
        <v>4.3297161480271216</v>
      </c>
      <c r="V2663">
        <v>0.19283373115024419</v>
      </c>
      <c r="W2663">
        <v>7.502601330937015</v>
      </c>
      <c r="X2663">
        <v>0.4579141088027931</v>
      </c>
      <c r="Z2663" t="s">
        <v>392</v>
      </c>
      <c r="AA2663">
        <v>9400</v>
      </c>
      <c r="AB2663" t="s">
        <v>3054</v>
      </c>
      <c r="AC2663" t="str">
        <f>HYPERLINK("plots/3FT6Y578R01_012_S11P_20251111092011_M5358ACSH101811_RBGEUFRF26/dpll_52084/txpa_55216.png","plot")</f>
        <v>plot</v>
      </c>
    </row>
    <row r="2664" spans="1:29" hidden="1" x14ac:dyDescent="0.35">
      <c r="A2664" t="s">
        <v>48</v>
      </c>
      <c r="B2664">
        <v>52084</v>
      </c>
      <c r="C2664" t="s">
        <v>52</v>
      </c>
      <c r="D2664">
        <v>55217</v>
      </c>
      <c r="E2664" t="s">
        <v>350</v>
      </c>
      <c r="F2664">
        <v>12239</v>
      </c>
      <c r="G2664">
        <v>0.85020610945329</v>
      </c>
      <c r="H2664">
        <v>0</v>
      </c>
      <c r="I2664">
        <v>0</v>
      </c>
      <c r="J2664">
        <v>0.73460642762618156</v>
      </c>
      <c r="K2664">
        <v>0</v>
      </c>
      <c r="L2664">
        <v>0</v>
      </c>
      <c r="M2664">
        <v>0.5436984810545864</v>
      </c>
      <c r="N2664">
        <v>0</v>
      </c>
      <c r="O2664">
        <v>0</v>
      </c>
      <c r="P2664">
        <v>0.72285042855169979</v>
      </c>
      <c r="Q2664">
        <v>2.0146573921156028</v>
      </c>
      <c r="R2664">
        <v>-1.214796543253043</v>
      </c>
      <c r="S2664">
        <v>0.24055200264985679</v>
      </c>
      <c r="T2664">
        <v>0.18394461659062961</v>
      </c>
      <c r="U2664">
        <v>4.3297985815017563</v>
      </c>
      <c r="V2664">
        <v>0.1928380067872689</v>
      </c>
      <c r="W2664">
        <v>7.5082641753411226</v>
      </c>
      <c r="X2664">
        <v>0.45695098110342858</v>
      </c>
      <c r="Z2664" t="s">
        <v>392</v>
      </c>
      <c r="AA2664">
        <v>9400</v>
      </c>
      <c r="AB2664" t="s">
        <v>3055</v>
      </c>
      <c r="AC2664" t="str">
        <f>HYPERLINK("plots/3FT6Y578R01_012_S11P_20251111092011_M5358ACSH101811_RBGEUFRF26/dpll_52084/txpa_55217.png","plot")</f>
        <v>plot</v>
      </c>
    </row>
    <row r="2665" spans="1:29" hidden="1" x14ac:dyDescent="0.35">
      <c r="A2665" t="s">
        <v>48</v>
      </c>
      <c r="B2665">
        <v>52084</v>
      </c>
      <c r="C2665" t="s">
        <v>52</v>
      </c>
      <c r="D2665">
        <v>55218</v>
      </c>
      <c r="E2665" t="s">
        <v>351</v>
      </c>
      <c r="F2665">
        <v>12234</v>
      </c>
      <c r="G2665">
        <v>0.84600614930834217</v>
      </c>
      <c r="H2665">
        <v>0</v>
      </c>
      <c r="I2665">
        <v>0</v>
      </c>
      <c r="J2665">
        <v>0.72790198489833735</v>
      </c>
      <c r="K2665">
        <v>0</v>
      </c>
      <c r="L2665">
        <v>0</v>
      </c>
      <c r="M2665">
        <v>0.53754680131178945</v>
      </c>
      <c r="N2665">
        <v>0</v>
      </c>
      <c r="O2665">
        <v>0</v>
      </c>
      <c r="P2665">
        <v>0.7157264046675289</v>
      </c>
      <c r="Q2665">
        <v>1.9933620492426909</v>
      </c>
      <c r="R2665">
        <v>-1.1364664382454901</v>
      </c>
      <c r="S2665">
        <v>0.2422298841033339</v>
      </c>
      <c r="T2665">
        <v>0.18476942752813891</v>
      </c>
      <c r="U2665">
        <v>4.3298859073892428</v>
      </c>
      <c r="V2665">
        <v>0.1928255348197209</v>
      </c>
      <c r="W2665">
        <v>7.4945638070949796</v>
      </c>
      <c r="X2665">
        <v>0.45433606309930741</v>
      </c>
      <c r="Z2665" t="s">
        <v>392</v>
      </c>
      <c r="AA2665">
        <v>9400</v>
      </c>
      <c r="AB2665" t="s">
        <v>3056</v>
      </c>
      <c r="AC2665" t="str">
        <f>HYPERLINK("plots/3FT6Y578R01_012_S11P_20251111092011_M5358ACSH101811_RBGEUFRF26/dpll_52084/txpa_55218.png","plot")</f>
        <v>plot</v>
      </c>
    </row>
    <row r="2666" spans="1:29" hidden="1" x14ac:dyDescent="0.35">
      <c r="A2666" t="s">
        <v>48</v>
      </c>
      <c r="B2666">
        <v>52084</v>
      </c>
      <c r="C2666" t="s">
        <v>52</v>
      </c>
      <c r="D2666">
        <v>55219</v>
      </c>
      <c r="E2666" t="s">
        <v>352</v>
      </c>
      <c r="F2666">
        <v>12232</v>
      </c>
      <c r="G2666">
        <v>0.83249703987512702</v>
      </c>
      <c r="H2666">
        <v>0</v>
      </c>
      <c r="I2666">
        <v>0</v>
      </c>
      <c r="J2666">
        <v>0.72779206731353663</v>
      </c>
      <c r="K2666">
        <v>0</v>
      </c>
      <c r="L2666">
        <v>0</v>
      </c>
      <c r="M2666">
        <v>0.53515435909572084</v>
      </c>
      <c r="N2666">
        <v>0</v>
      </c>
      <c r="O2666">
        <v>0</v>
      </c>
      <c r="P2666">
        <v>0.6930513214008488</v>
      </c>
      <c r="Q2666">
        <v>2.0709109518608191</v>
      </c>
      <c r="R2666">
        <v>-0.54000682530824839</v>
      </c>
      <c r="S2666">
        <v>0.26557358105971118</v>
      </c>
      <c r="T2666">
        <v>0.19744307597484209</v>
      </c>
      <c r="U2666">
        <v>4.3300045178221058</v>
      </c>
      <c r="V2666">
        <v>0.19270412531687181</v>
      </c>
      <c r="W2666">
        <v>8.4270469522563758</v>
      </c>
      <c r="X2666">
        <v>0.47936877186653981</v>
      </c>
      <c r="Z2666" t="s">
        <v>392</v>
      </c>
      <c r="AA2666">
        <v>9400</v>
      </c>
      <c r="AB2666" t="s">
        <v>3057</v>
      </c>
      <c r="AC2666" t="str">
        <f>HYPERLINK("plots/3FT6Y578R01_012_S11P_20251111092011_M5358ACSH101811_RBGEUFRF26/dpll_52084/txpa_55219.png","plot")</f>
        <v>plot</v>
      </c>
    </row>
    <row r="2667" spans="1:29" hidden="1" x14ac:dyDescent="0.35">
      <c r="A2667" t="s">
        <v>48</v>
      </c>
      <c r="B2667">
        <v>52084</v>
      </c>
      <c r="C2667" t="s">
        <v>52</v>
      </c>
      <c r="D2667">
        <v>55220</v>
      </c>
      <c r="E2667" t="s">
        <v>353</v>
      </c>
      <c r="F2667">
        <v>12235</v>
      </c>
      <c r="G2667">
        <v>0.84433175743704481</v>
      </c>
      <c r="H2667">
        <v>0</v>
      </c>
      <c r="I2667">
        <v>0</v>
      </c>
      <c r="J2667">
        <v>0.73632056777076427</v>
      </c>
      <c r="K2667">
        <v>0</v>
      </c>
      <c r="L2667">
        <v>0</v>
      </c>
      <c r="M2667">
        <v>0.54464849298113482</v>
      </c>
      <c r="N2667">
        <v>0</v>
      </c>
      <c r="O2667">
        <v>0</v>
      </c>
      <c r="P2667">
        <v>0.71289611661672869</v>
      </c>
      <c r="Q2667">
        <v>2.101541390300588</v>
      </c>
      <c r="R2667">
        <v>-0.6403716622728588</v>
      </c>
      <c r="S2667">
        <v>0.25711099827177419</v>
      </c>
      <c r="T2667">
        <v>0.19428186136825751</v>
      </c>
      <c r="U2667">
        <v>4.3298685019207186</v>
      </c>
      <c r="V2667">
        <v>0.1927942363882339</v>
      </c>
      <c r="W2667">
        <v>8.4590262090723325</v>
      </c>
      <c r="X2667">
        <v>0.47986477354723839</v>
      </c>
      <c r="Z2667" t="s">
        <v>392</v>
      </c>
      <c r="AA2667">
        <v>9400</v>
      </c>
      <c r="AB2667" t="s">
        <v>3058</v>
      </c>
      <c r="AC2667" t="str">
        <f>HYPERLINK("plots/3FT6Y578R01_012_S11P_20251111092011_M5358ACSH101811_RBGEUFRF26/dpll_52084/txpa_55220.png","plot")</f>
        <v>plot</v>
      </c>
    </row>
    <row r="2668" spans="1:29" hidden="1" x14ac:dyDescent="0.35">
      <c r="A2668" t="s">
        <v>48</v>
      </c>
      <c r="B2668">
        <v>52084</v>
      </c>
      <c r="C2668" t="s">
        <v>52</v>
      </c>
      <c r="D2668">
        <v>55221</v>
      </c>
      <c r="E2668" t="s">
        <v>354</v>
      </c>
      <c r="F2668">
        <v>12237</v>
      </c>
      <c r="G2668">
        <v>0.84332939012944264</v>
      </c>
      <c r="H2668">
        <v>0</v>
      </c>
      <c r="I2668">
        <v>0</v>
      </c>
      <c r="J2668">
        <v>0.73330676157963914</v>
      </c>
      <c r="K2668">
        <v>0</v>
      </c>
      <c r="L2668">
        <v>0</v>
      </c>
      <c r="M2668">
        <v>0.54145513396205891</v>
      </c>
      <c r="N2668">
        <v>0</v>
      </c>
      <c r="O2668">
        <v>0</v>
      </c>
      <c r="P2668">
        <v>0.71120446025609763</v>
      </c>
      <c r="Q2668">
        <v>2.083783427553255</v>
      </c>
      <c r="R2668">
        <v>-0.55175174458743115</v>
      </c>
      <c r="S2668">
        <v>0.25602877453999928</v>
      </c>
      <c r="T2668">
        <v>0.1927500490531415</v>
      </c>
      <c r="U2668">
        <v>4.329839953093078</v>
      </c>
      <c r="V2668">
        <v>0.19282171384494809</v>
      </c>
      <c r="W2668">
        <v>8.4706969936258876</v>
      </c>
      <c r="X2668">
        <v>0.47644336422432398</v>
      </c>
      <c r="Z2668" t="s">
        <v>392</v>
      </c>
      <c r="AA2668">
        <v>9400</v>
      </c>
      <c r="AB2668" t="s">
        <v>3059</v>
      </c>
      <c r="AC2668" t="str">
        <f>HYPERLINK("plots/3FT6Y578R01_012_S11P_20251111092011_M5358ACSH101811_RBGEUFRF26/dpll_52084/txpa_55221.png","plot")</f>
        <v>plot</v>
      </c>
    </row>
    <row r="2669" spans="1:29" hidden="1" x14ac:dyDescent="0.35">
      <c r="A2669" t="s">
        <v>48</v>
      </c>
      <c r="B2669">
        <v>52084</v>
      </c>
      <c r="C2669" t="s">
        <v>52</v>
      </c>
      <c r="D2669">
        <v>55222</v>
      </c>
      <c r="E2669" t="s">
        <v>355</v>
      </c>
      <c r="F2669">
        <v>12240</v>
      </c>
      <c r="G2669">
        <v>0.85053673467766244</v>
      </c>
      <c r="H2669">
        <v>0</v>
      </c>
      <c r="I2669">
        <v>0</v>
      </c>
      <c r="J2669">
        <v>0.73815225245374272</v>
      </c>
      <c r="K2669">
        <v>0</v>
      </c>
      <c r="L2669">
        <v>0</v>
      </c>
      <c r="M2669">
        <v>0.54665821392503566</v>
      </c>
      <c r="N2669">
        <v>0</v>
      </c>
      <c r="O2669">
        <v>0</v>
      </c>
      <c r="P2669">
        <v>0.7234127370361404</v>
      </c>
      <c r="Q2669">
        <v>2.111040767343515</v>
      </c>
      <c r="R2669">
        <v>-0.65678802464904962</v>
      </c>
      <c r="S2669">
        <v>0.25173516010019908</v>
      </c>
      <c r="T2669">
        <v>0.19123328034509041</v>
      </c>
      <c r="U2669">
        <v>4.3297635834967316</v>
      </c>
      <c r="V2669">
        <v>0.1928599219077857</v>
      </c>
      <c r="W2669">
        <v>8.4835194130718961</v>
      </c>
      <c r="X2669">
        <v>0.47868027438969912</v>
      </c>
      <c r="Z2669" t="s">
        <v>392</v>
      </c>
      <c r="AA2669">
        <v>9400</v>
      </c>
      <c r="AB2669" t="s">
        <v>3060</v>
      </c>
      <c r="AC2669" t="str">
        <f>HYPERLINK("plots/3FT6Y578R01_012_S11P_20251111092011_M5358ACSH101811_RBGEUFRF26/dpll_52084/txpa_55222.png","plot")</f>
        <v>plot</v>
      </c>
    </row>
    <row r="2670" spans="1:29" hidden="1" x14ac:dyDescent="0.35">
      <c r="A2670" t="s">
        <v>48</v>
      </c>
      <c r="B2670">
        <v>52084</v>
      </c>
      <c r="C2670" t="s">
        <v>52</v>
      </c>
      <c r="D2670">
        <v>55223</v>
      </c>
      <c r="E2670" t="s">
        <v>356</v>
      </c>
      <c r="F2670">
        <v>12239</v>
      </c>
      <c r="G2670">
        <v>0.85132825253186462</v>
      </c>
      <c r="H2670">
        <v>0</v>
      </c>
      <c r="I2670">
        <v>0</v>
      </c>
      <c r="J2670">
        <v>0.73642159645660588</v>
      </c>
      <c r="K2670">
        <v>0</v>
      </c>
      <c r="L2670">
        <v>0</v>
      </c>
      <c r="M2670">
        <v>0.54451220565387193</v>
      </c>
      <c r="N2670">
        <v>0</v>
      </c>
      <c r="O2670">
        <v>0</v>
      </c>
      <c r="P2670">
        <v>0.72475979355895825</v>
      </c>
      <c r="Q2670">
        <v>2.1197591793766519</v>
      </c>
      <c r="R2670">
        <v>-0.72292703562296623</v>
      </c>
      <c r="S2670">
        <v>0.25189180428344132</v>
      </c>
      <c r="T2670">
        <v>0.19237221330739471</v>
      </c>
      <c r="U2670">
        <v>4.3297560370945334</v>
      </c>
      <c r="V2670">
        <v>0.1928352230179636</v>
      </c>
      <c r="W2670">
        <v>8.4551130684696467</v>
      </c>
      <c r="X2670">
        <v>0.48014879440897262</v>
      </c>
      <c r="Z2670" t="s">
        <v>392</v>
      </c>
      <c r="AA2670">
        <v>9400</v>
      </c>
      <c r="AB2670" t="s">
        <v>3061</v>
      </c>
      <c r="AC2670" t="str">
        <f>HYPERLINK("plots/3FT6Y578R01_012_S11P_20251111092011_M5358ACSH101811_RBGEUFRF26/dpll_52084/txpa_55223.png","plot")</f>
        <v>plot</v>
      </c>
    </row>
    <row r="2671" spans="1:29" hidden="1" x14ac:dyDescent="0.35">
      <c r="A2671" t="s">
        <v>48</v>
      </c>
      <c r="B2671">
        <v>52084</v>
      </c>
      <c r="C2671" t="s">
        <v>52</v>
      </c>
      <c r="D2671">
        <v>55224</v>
      </c>
      <c r="E2671" t="s">
        <v>357</v>
      </c>
      <c r="F2671">
        <v>12238</v>
      </c>
      <c r="G2671">
        <v>0.85320341060657534</v>
      </c>
      <c r="H2671">
        <v>0</v>
      </c>
      <c r="I2671">
        <v>0</v>
      </c>
      <c r="J2671">
        <v>0.73945774765166816</v>
      </c>
      <c r="K2671">
        <v>0</v>
      </c>
      <c r="L2671">
        <v>0</v>
      </c>
      <c r="M2671">
        <v>0.54825842265411751</v>
      </c>
      <c r="N2671">
        <v>0</v>
      </c>
      <c r="O2671">
        <v>0</v>
      </c>
      <c r="P2671">
        <v>0.72795605987069245</v>
      </c>
      <c r="Q2671">
        <v>2.1239759168536758</v>
      </c>
      <c r="R2671">
        <v>-0.73251512692585585</v>
      </c>
      <c r="S2671">
        <v>0.25035923386491898</v>
      </c>
      <c r="T2671">
        <v>0.19151963737112199</v>
      </c>
      <c r="U2671">
        <v>4.3297701919431271</v>
      </c>
      <c r="V2671">
        <v>0.19282565926756759</v>
      </c>
      <c r="W2671">
        <v>8.4638124862722659</v>
      </c>
      <c r="X2671">
        <v>0.48002276050980192</v>
      </c>
      <c r="Z2671" t="s">
        <v>392</v>
      </c>
      <c r="AA2671">
        <v>9400</v>
      </c>
      <c r="AB2671" t="s">
        <v>3062</v>
      </c>
      <c r="AC2671" t="str">
        <f>HYPERLINK("plots/3FT6Y578R01_012_S11P_20251111092011_M5358ACSH101811_RBGEUFRF26/dpll_52084/txpa_55224.png","plot")</f>
        <v>plot</v>
      </c>
    </row>
    <row r="2672" spans="1:29" hidden="1" x14ac:dyDescent="0.35">
      <c r="A2672" t="s">
        <v>48</v>
      </c>
      <c r="B2672">
        <v>52084</v>
      </c>
      <c r="C2672" t="s">
        <v>52</v>
      </c>
      <c r="D2672">
        <v>55225</v>
      </c>
      <c r="E2672" t="s">
        <v>358</v>
      </c>
      <c r="F2672">
        <v>12239</v>
      </c>
      <c r="G2672">
        <v>0.852474062271671</v>
      </c>
      <c r="H2672">
        <v>0</v>
      </c>
      <c r="I2672">
        <v>0</v>
      </c>
      <c r="J2672">
        <v>0.73588977480501261</v>
      </c>
      <c r="K2672">
        <v>0</v>
      </c>
      <c r="L2672">
        <v>0</v>
      </c>
      <c r="M2672">
        <v>0.54528072979032527</v>
      </c>
      <c r="N2672">
        <v>0</v>
      </c>
      <c r="O2672">
        <v>0</v>
      </c>
      <c r="P2672">
        <v>0.72671202684596481</v>
      </c>
      <c r="Q2672">
        <v>2.1222349242059462</v>
      </c>
      <c r="R2672">
        <v>-0.71967857112394462</v>
      </c>
      <c r="S2672">
        <v>0.25095591365354009</v>
      </c>
      <c r="T2672">
        <v>0.1914442195689561</v>
      </c>
      <c r="U2672">
        <v>4.3297985815017563</v>
      </c>
      <c r="V2672">
        <v>0.1928380067872689</v>
      </c>
      <c r="W2672">
        <v>8.4691711933164466</v>
      </c>
      <c r="X2672">
        <v>0.48007038669029167</v>
      </c>
      <c r="Z2672" t="s">
        <v>392</v>
      </c>
      <c r="AA2672">
        <v>9400</v>
      </c>
      <c r="AB2672" t="s">
        <v>3063</v>
      </c>
      <c r="AC2672" t="str">
        <f>HYPERLINK("plots/3FT6Y578R01_012_S11P_20251111092011_M5358ACSH101811_RBGEUFRF26/dpll_52084/txpa_55225.png","plot")</f>
        <v>plot</v>
      </c>
    </row>
    <row r="2673" spans="1:29" hidden="1" x14ac:dyDescent="0.35">
      <c r="A2673" t="s">
        <v>48</v>
      </c>
      <c r="B2673">
        <v>52084</v>
      </c>
      <c r="C2673" t="s">
        <v>52</v>
      </c>
      <c r="D2673">
        <v>55226</v>
      </c>
      <c r="E2673" t="s">
        <v>359</v>
      </c>
      <c r="F2673">
        <v>12234</v>
      </c>
      <c r="G2673">
        <v>0.84832967093493128</v>
      </c>
      <c r="H2673">
        <v>0</v>
      </c>
      <c r="I2673">
        <v>0</v>
      </c>
      <c r="J2673">
        <v>0.72915709412933605</v>
      </c>
      <c r="K2673">
        <v>0</v>
      </c>
      <c r="L2673">
        <v>0</v>
      </c>
      <c r="M2673">
        <v>0.53895367311242415</v>
      </c>
      <c r="N2673">
        <v>0</v>
      </c>
      <c r="O2673">
        <v>0</v>
      </c>
      <c r="P2673">
        <v>0.71966323058856874</v>
      </c>
      <c r="Q2673">
        <v>2.0998104161929629</v>
      </c>
      <c r="R2673">
        <v>-0.63506897547851793</v>
      </c>
      <c r="S2673">
        <v>0.2526982621431384</v>
      </c>
      <c r="T2673">
        <v>0.19236520133242421</v>
      </c>
      <c r="U2673">
        <v>4.3298859073892428</v>
      </c>
      <c r="V2673">
        <v>0.1928255348197209</v>
      </c>
      <c r="W2673">
        <v>8.4568705537845332</v>
      </c>
      <c r="X2673">
        <v>0.47728740417177429</v>
      </c>
      <c r="Z2673" t="s">
        <v>392</v>
      </c>
      <c r="AA2673">
        <v>9400</v>
      </c>
      <c r="AB2673" t="s">
        <v>3064</v>
      </c>
      <c r="AC2673" t="str">
        <f>HYPERLINK("plots/3FT6Y578R01_012_S11P_20251111092011_M5358ACSH101811_RBGEUFRF26/dpll_52084/txpa_55226.png","plot")</f>
        <v>plot</v>
      </c>
    </row>
    <row r="2674" spans="1:29" hidden="1" x14ac:dyDescent="0.35">
      <c r="A2674" t="s">
        <v>48</v>
      </c>
      <c r="B2674">
        <v>52084</v>
      </c>
      <c r="C2674" t="s">
        <v>52</v>
      </c>
      <c r="D2674">
        <v>55227</v>
      </c>
      <c r="E2674" t="s">
        <v>360</v>
      </c>
      <c r="F2674">
        <v>12227</v>
      </c>
      <c r="G2674">
        <v>0.83416657742996714</v>
      </c>
      <c r="H2674">
        <v>0</v>
      </c>
      <c r="I2674">
        <v>0</v>
      </c>
      <c r="J2674">
        <v>0.72786067097743901</v>
      </c>
      <c r="K2674">
        <v>0</v>
      </c>
      <c r="L2674">
        <v>0</v>
      </c>
      <c r="M2674">
        <v>0.53543650710712598</v>
      </c>
      <c r="N2674">
        <v>0</v>
      </c>
      <c r="O2674">
        <v>0</v>
      </c>
      <c r="P2674">
        <v>0.69583387890122539</v>
      </c>
      <c r="Q2674">
        <v>2.1258624707998521</v>
      </c>
      <c r="R2674">
        <v>-0.3097249128470132</v>
      </c>
      <c r="S2674">
        <v>0.27077204979478092</v>
      </c>
      <c r="T2674">
        <v>0.20150873306941039</v>
      </c>
      <c r="U2674">
        <v>4.3301122354625008</v>
      </c>
      <c r="V2674">
        <v>0.1926565563366405</v>
      </c>
      <c r="W2674">
        <v>8.8954981828739683</v>
      </c>
      <c r="X2674">
        <v>0.49098268133859158</v>
      </c>
      <c r="Z2674" t="s">
        <v>392</v>
      </c>
      <c r="AA2674">
        <v>9400</v>
      </c>
      <c r="AB2674" t="s">
        <v>3065</v>
      </c>
      <c r="AC2674" t="str">
        <f>HYPERLINK("plots/3FT6Y578R01_012_S11P_20251111092011_M5358ACSH101811_RBGEUFRF26/dpll_52084/txpa_55227.png","plot")</f>
        <v>plot</v>
      </c>
    </row>
    <row r="2675" spans="1:29" hidden="1" x14ac:dyDescent="0.35">
      <c r="A2675" t="s">
        <v>48</v>
      </c>
      <c r="B2675">
        <v>52084</v>
      </c>
      <c r="C2675" t="s">
        <v>52</v>
      </c>
      <c r="D2675">
        <v>55228</v>
      </c>
      <c r="E2675" t="s">
        <v>361</v>
      </c>
      <c r="F2675">
        <v>12234</v>
      </c>
      <c r="G2675">
        <v>0.84504676705432624</v>
      </c>
      <c r="H2675">
        <v>0</v>
      </c>
      <c r="I2675">
        <v>0</v>
      </c>
      <c r="J2675">
        <v>0.73620958133252945</v>
      </c>
      <c r="K2675">
        <v>0</v>
      </c>
      <c r="L2675">
        <v>0</v>
      </c>
      <c r="M2675">
        <v>0.54469117719671911</v>
      </c>
      <c r="N2675">
        <v>0</v>
      </c>
      <c r="O2675">
        <v>0</v>
      </c>
      <c r="P2675">
        <v>0.71410403850896875</v>
      </c>
      <c r="Q2675">
        <v>2.1595120929511049</v>
      </c>
      <c r="R2675">
        <v>-0.42383895685461148</v>
      </c>
      <c r="S2675">
        <v>0.26339344576716139</v>
      </c>
      <c r="T2675">
        <v>0.1987823856136911</v>
      </c>
      <c r="U2675">
        <v>4.3298993408533599</v>
      </c>
      <c r="V2675">
        <v>0.19277193554284741</v>
      </c>
      <c r="W2675">
        <v>8.9266310309792374</v>
      </c>
      <c r="X2675">
        <v>0.49262755887167048</v>
      </c>
      <c r="Z2675" t="s">
        <v>392</v>
      </c>
      <c r="AA2675">
        <v>9400</v>
      </c>
      <c r="AB2675" t="s">
        <v>3066</v>
      </c>
      <c r="AC2675" t="str">
        <f>HYPERLINK("plots/3FT6Y578R01_012_S11P_20251111092011_M5358ACSH101811_RBGEUFRF26/dpll_52084/txpa_55228.png","plot")</f>
        <v>plot</v>
      </c>
    </row>
    <row r="2676" spans="1:29" hidden="1" x14ac:dyDescent="0.35">
      <c r="A2676" t="s">
        <v>48</v>
      </c>
      <c r="B2676">
        <v>52084</v>
      </c>
      <c r="C2676" t="s">
        <v>52</v>
      </c>
      <c r="D2676">
        <v>55229</v>
      </c>
      <c r="E2676" t="s">
        <v>362</v>
      </c>
      <c r="F2676">
        <v>12236</v>
      </c>
      <c r="G2676">
        <v>0.84421154947290522</v>
      </c>
      <c r="H2676">
        <v>0</v>
      </c>
      <c r="I2676">
        <v>0</v>
      </c>
      <c r="J2676">
        <v>0.73331177173666584</v>
      </c>
      <c r="K2676">
        <v>0</v>
      </c>
      <c r="L2676">
        <v>0</v>
      </c>
      <c r="M2676">
        <v>0.5415876083729505</v>
      </c>
      <c r="N2676">
        <v>0</v>
      </c>
      <c r="O2676">
        <v>0</v>
      </c>
      <c r="P2676">
        <v>0.71269314026344355</v>
      </c>
      <c r="Q2676">
        <v>2.1420617035938552</v>
      </c>
      <c r="R2676">
        <v>-0.33648221517337801</v>
      </c>
      <c r="S2676">
        <v>0.26221296058937599</v>
      </c>
      <c r="T2676">
        <v>0.19720748513045661</v>
      </c>
      <c r="U2676">
        <v>4.3298678105590058</v>
      </c>
      <c r="V2676">
        <v>0.19280496625456711</v>
      </c>
      <c r="W2676">
        <v>8.9383618034488403</v>
      </c>
      <c r="X2676">
        <v>0.48921403022083232</v>
      </c>
      <c r="Z2676" t="s">
        <v>392</v>
      </c>
      <c r="AA2676">
        <v>9400</v>
      </c>
      <c r="AB2676" t="s">
        <v>3067</v>
      </c>
      <c r="AC2676" t="str">
        <f>HYPERLINK("plots/3FT6Y578R01_012_S11P_20251111092011_M5358ACSH101811_RBGEUFRF26/dpll_52084/txpa_55229.png","plot")</f>
        <v>plot</v>
      </c>
    </row>
    <row r="2677" spans="1:29" hidden="1" x14ac:dyDescent="0.35">
      <c r="A2677" t="s">
        <v>48</v>
      </c>
      <c r="B2677">
        <v>52084</v>
      </c>
      <c r="C2677" t="s">
        <v>52</v>
      </c>
      <c r="D2677">
        <v>55230</v>
      </c>
      <c r="E2677" t="s">
        <v>363</v>
      </c>
      <c r="F2677">
        <v>12240</v>
      </c>
      <c r="G2677">
        <v>0.85115182151200452</v>
      </c>
      <c r="H2677">
        <v>0</v>
      </c>
      <c r="I2677">
        <v>0</v>
      </c>
      <c r="J2677">
        <v>0.73809170861019091</v>
      </c>
      <c r="K2677">
        <v>0</v>
      </c>
      <c r="L2677">
        <v>0</v>
      </c>
      <c r="M2677">
        <v>0.54673288134281817</v>
      </c>
      <c r="N2677">
        <v>0</v>
      </c>
      <c r="O2677">
        <v>0</v>
      </c>
      <c r="P2677">
        <v>0.72445942326320323</v>
      </c>
      <c r="Q2677">
        <v>2.1702179707999778</v>
      </c>
      <c r="R2677">
        <v>-0.44586733062187989</v>
      </c>
      <c r="S2677">
        <v>0.2581150626438054</v>
      </c>
      <c r="T2677">
        <v>0.19580136593766731</v>
      </c>
      <c r="U2677">
        <v>4.3297635834967316</v>
      </c>
      <c r="V2677">
        <v>0.1928599219077857</v>
      </c>
      <c r="W2677">
        <v>8.9506634075980394</v>
      </c>
      <c r="X2677">
        <v>0.49174313887719728</v>
      </c>
      <c r="Z2677" t="s">
        <v>392</v>
      </c>
      <c r="AA2677">
        <v>9400</v>
      </c>
      <c r="AB2677" t="s">
        <v>3068</v>
      </c>
      <c r="AC2677" t="str">
        <f>HYPERLINK("plots/3FT6Y578R01_012_S11P_20251111092011_M5358ACSH101811_RBGEUFRF26/dpll_52084/txpa_55230.png","plot")</f>
        <v>plot</v>
      </c>
    </row>
    <row r="2678" spans="1:29" hidden="1" x14ac:dyDescent="0.35">
      <c r="A2678" t="s">
        <v>48</v>
      </c>
      <c r="B2678">
        <v>52084</v>
      </c>
      <c r="C2678" t="s">
        <v>52</v>
      </c>
      <c r="D2678">
        <v>55231</v>
      </c>
      <c r="E2678" t="s">
        <v>364</v>
      </c>
      <c r="F2678">
        <v>12239</v>
      </c>
      <c r="G2678">
        <v>0.85189582830193744</v>
      </c>
      <c r="H2678">
        <v>0</v>
      </c>
      <c r="I2678">
        <v>0</v>
      </c>
      <c r="J2678">
        <v>0.73624954250132324</v>
      </c>
      <c r="K2678">
        <v>0</v>
      </c>
      <c r="L2678">
        <v>0</v>
      </c>
      <c r="M2678">
        <v>0.54449905388501152</v>
      </c>
      <c r="N2678">
        <v>0</v>
      </c>
      <c r="O2678">
        <v>0</v>
      </c>
      <c r="P2678">
        <v>0.72572650227824409</v>
      </c>
      <c r="Q2678">
        <v>2.17935731968497</v>
      </c>
      <c r="R2678">
        <v>-0.51445707762465176</v>
      </c>
      <c r="S2678">
        <v>0.25834644746115248</v>
      </c>
      <c r="T2678">
        <v>0.19697149523870611</v>
      </c>
      <c r="U2678">
        <v>4.3297560370945334</v>
      </c>
      <c r="V2678">
        <v>0.1928352230179636</v>
      </c>
      <c r="W2678">
        <v>8.9216284342675056</v>
      </c>
      <c r="X2678">
        <v>0.49331953604582129</v>
      </c>
      <c r="Z2678" t="s">
        <v>392</v>
      </c>
      <c r="AA2678">
        <v>9400</v>
      </c>
      <c r="AB2678" t="s">
        <v>3069</v>
      </c>
      <c r="AC2678" t="str">
        <f>HYPERLINK("plots/3FT6Y578R01_012_S11P_20251111092011_M5358ACSH101811_RBGEUFRF26/dpll_52084/txpa_55231.png","plot")</f>
        <v>plot</v>
      </c>
    </row>
    <row r="2679" spans="1:29" hidden="1" x14ac:dyDescent="0.35">
      <c r="A2679" t="s">
        <v>48</v>
      </c>
      <c r="B2679">
        <v>52084</v>
      </c>
      <c r="C2679" t="s">
        <v>52</v>
      </c>
      <c r="D2679">
        <v>55232</v>
      </c>
      <c r="E2679" t="s">
        <v>365</v>
      </c>
      <c r="F2679">
        <v>12238</v>
      </c>
      <c r="G2679">
        <v>0.8538162868994762</v>
      </c>
      <c r="H2679">
        <v>0</v>
      </c>
      <c r="I2679">
        <v>0</v>
      </c>
      <c r="J2679">
        <v>0.73937857884036107</v>
      </c>
      <c r="K2679">
        <v>0</v>
      </c>
      <c r="L2679">
        <v>0</v>
      </c>
      <c r="M2679">
        <v>0.54836558463333784</v>
      </c>
      <c r="N2679">
        <v>0</v>
      </c>
      <c r="O2679">
        <v>0</v>
      </c>
      <c r="P2679">
        <v>0.7290022517748086</v>
      </c>
      <c r="Q2679">
        <v>2.1835651545430679</v>
      </c>
      <c r="R2679">
        <v>-0.52344796555254547</v>
      </c>
      <c r="S2679">
        <v>0.25670341242210942</v>
      </c>
      <c r="T2679">
        <v>0.19607516381956661</v>
      </c>
      <c r="U2679">
        <v>4.3297701919431271</v>
      </c>
      <c r="V2679">
        <v>0.19282565926756759</v>
      </c>
      <c r="W2679">
        <v>8.9308873527537198</v>
      </c>
      <c r="X2679">
        <v>0.49313581497424291</v>
      </c>
      <c r="Z2679" t="s">
        <v>392</v>
      </c>
      <c r="AA2679">
        <v>9400</v>
      </c>
      <c r="AB2679" t="s">
        <v>3070</v>
      </c>
      <c r="AC2679" t="str">
        <f>HYPERLINK("plots/3FT6Y578R01_012_S11P_20251111092011_M5358ACSH101811_RBGEUFRF26/dpll_52084/txpa_55232.png","plot")</f>
        <v>plot</v>
      </c>
    </row>
    <row r="2680" spans="1:29" hidden="1" x14ac:dyDescent="0.35">
      <c r="A2680" t="s">
        <v>48</v>
      </c>
      <c r="B2680">
        <v>52084</v>
      </c>
      <c r="C2680" t="s">
        <v>52</v>
      </c>
      <c r="D2680">
        <v>55233</v>
      </c>
      <c r="E2680" t="s">
        <v>366</v>
      </c>
      <c r="F2680">
        <v>12236</v>
      </c>
      <c r="G2680">
        <v>0.85348206522816161</v>
      </c>
      <c r="H2680">
        <v>0</v>
      </c>
      <c r="I2680">
        <v>0</v>
      </c>
      <c r="J2680">
        <v>0.73570570793466339</v>
      </c>
      <c r="K2680">
        <v>0</v>
      </c>
      <c r="L2680">
        <v>0</v>
      </c>
      <c r="M2680">
        <v>0.54535225525051323</v>
      </c>
      <c r="N2680">
        <v>0</v>
      </c>
      <c r="O2680">
        <v>0</v>
      </c>
      <c r="P2680">
        <v>0.7284316356661279</v>
      </c>
      <c r="Q2680">
        <v>2.1800173722726282</v>
      </c>
      <c r="R2680">
        <v>-0.50242062912980145</v>
      </c>
      <c r="S2680">
        <v>0.25663045383061539</v>
      </c>
      <c r="T2680">
        <v>0.19565763810884251</v>
      </c>
      <c r="U2680">
        <v>4.3298695402909448</v>
      </c>
      <c r="V2680">
        <v>0.19280611154511751</v>
      </c>
      <c r="W2680">
        <v>8.9367701883785546</v>
      </c>
      <c r="X2680">
        <v>0.49247745180951819</v>
      </c>
      <c r="Z2680" t="s">
        <v>392</v>
      </c>
      <c r="AA2680">
        <v>9400</v>
      </c>
      <c r="AB2680" t="s">
        <v>3071</v>
      </c>
      <c r="AC2680" t="str">
        <f>HYPERLINK("plots/3FT6Y578R01_012_S11P_20251111092011_M5358ACSH101811_RBGEUFRF26/dpll_52084/txpa_55233.png","plot")</f>
        <v>plot</v>
      </c>
    </row>
    <row r="2681" spans="1:29" hidden="1" x14ac:dyDescent="0.35">
      <c r="A2681" t="s">
        <v>48</v>
      </c>
      <c r="B2681">
        <v>52084</v>
      </c>
      <c r="C2681" t="s">
        <v>52</v>
      </c>
      <c r="D2681">
        <v>55234</v>
      </c>
      <c r="E2681" t="s">
        <v>367</v>
      </c>
      <c r="F2681">
        <v>12232</v>
      </c>
      <c r="G2681">
        <v>0.84911947844569846</v>
      </c>
      <c r="H2681">
        <v>0</v>
      </c>
      <c r="I2681">
        <v>0</v>
      </c>
      <c r="J2681">
        <v>0.72875455512893017</v>
      </c>
      <c r="K2681">
        <v>0</v>
      </c>
      <c r="L2681">
        <v>0</v>
      </c>
      <c r="M2681">
        <v>0.53876956880539029</v>
      </c>
      <c r="N2681">
        <v>0</v>
      </c>
      <c r="O2681">
        <v>0</v>
      </c>
      <c r="P2681">
        <v>0.72100388867589493</v>
      </c>
      <c r="Q2681">
        <v>2.1573707761125931</v>
      </c>
      <c r="R2681">
        <v>-0.41636288710565772</v>
      </c>
      <c r="S2681">
        <v>0.25873990538009223</v>
      </c>
      <c r="T2681">
        <v>0.19688855671833219</v>
      </c>
      <c r="U2681">
        <v>4.3299306340745582</v>
      </c>
      <c r="V2681">
        <v>0.1928084685682582</v>
      </c>
      <c r="W2681">
        <v>8.9249029254414651</v>
      </c>
      <c r="X2681">
        <v>0.48987140918918892</v>
      </c>
      <c r="Z2681" t="s">
        <v>392</v>
      </c>
      <c r="AA2681">
        <v>9400</v>
      </c>
      <c r="AB2681" t="s">
        <v>3072</v>
      </c>
      <c r="AC2681" t="str">
        <f>HYPERLINK("plots/3FT6Y578R01_012_S11P_20251111092011_M5358ACSH101811_RBGEUFRF26/dpll_52084/txpa_55234.png","plot")</f>
        <v>plot</v>
      </c>
    </row>
    <row r="2682" spans="1:29" hidden="1" x14ac:dyDescent="0.35">
      <c r="A2682" t="s">
        <v>48</v>
      </c>
      <c r="B2682">
        <v>52084</v>
      </c>
      <c r="C2682" t="s">
        <v>52</v>
      </c>
      <c r="D2682">
        <v>55235</v>
      </c>
      <c r="E2682" t="s">
        <v>368</v>
      </c>
      <c r="F2682">
        <v>12225</v>
      </c>
      <c r="G2682">
        <v>0.83541245651042251</v>
      </c>
      <c r="H2682">
        <v>0</v>
      </c>
      <c r="I2682">
        <v>0</v>
      </c>
      <c r="J2682">
        <v>0.72787485924952755</v>
      </c>
      <c r="K2682">
        <v>0</v>
      </c>
      <c r="L2682">
        <v>0</v>
      </c>
      <c r="M2682">
        <v>0.53558324744975794</v>
      </c>
      <c r="N2682">
        <v>0</v>
      </c>
      <c r="O2682">
        <v>0</v>
      </c>
      <c r="P2682">
        <v>0.69791397249277853</v>
      </c>
      <c r="Q2682">
        <v>2.1896504163239481</v>
      </c>
      <c r="R2682">
        <v>-0.13667906777031821</v>
      </c>
      <c r="S2682">
        <v>0.27749316983460492</v>
      </c>
      <c r="T2682">
        <v>0.20638213594551241</v>
      </c>
      <c r="U2682">
        <v>4.3301600159509208</v>
      </c>
      <c r="V2682">
        <v>0.1926330959884292</v>
      </c>
      <c r="W2682">
        <v>9.3448576139059298</v>
      </c>
      <c r="X2682">
        <v>0.50489926926720718</v>
      </c>
      <c r="Z2682" t="s">
        <v>392</v>
      </c>
      <c r="AA2682">
        <v>9400</v>
      </c>
      <c r="AB2682" t="s">
        <v>3073</v>
      </c>
      <c r="AC2682" t="str">
        <f>HYPERLINK("plots/3FT6Y578R01_012_S11P_20251111092011_M5358ACSH101811_RBGEUFRF26/dpll_52084/txpa_55235.png","plot")</f>
        <v>plot</v>
      </c>
    </row>
    <row r="2683" spans="1:29" hidden="1" x14ac:dyDescent="0.35">
      <c r="A2683" t="s">
        <v>48</v>
      </c>
      <c r="B2683">
        <v>52084</v>
      </c>
      <c r="C2683" t="s">
        <v>52</v>
      </c>
      <c r="D2683">
        <v>55236</v>
      </c>
      <c r="E2683" t="s">
        <v>369</v>
      </c>
      <c r="F2683">
        <v>12232</v>
      </c>
      <c r="G2683">
        <v>0.84617734381314313</v>
      </c>
      <c r="H2683">
        <v>0</v>
      </c>
      <c r="I2683">
        <v>0</v>
      </c>
      <c r="J2683">
        <v>0.73601432672115374</v>
      </c>
      <c r="K2683">
        <v>0</v>
      </c>
      <c r="L2683">
        <v>0</v>
      </c>
      <c r="M2683">
        <v>0.54467417985176636</v>
      </c>
      <c r="N2683">
        <v>0</v>
      </c>
      <c r="O2683">
        <v>0</v>
      </c>
      <c r="P2683">
        <v>0.71601609718266623</v>
      </c>
      <c r="Q2683">
        <v>2.2237464402066349</v>
      </c>
      <c r="R2683">
        <v>-0.25246881532340382</v>
      </c>
      <c r="S2683">
        <v>0.26994984491327062</v>
      </c>
      <c r="T2683">
        <v>0.20363198135148991</v>
      </c>
      <c r="U2683">
        <v>4.3299363242315234</v>
      </c>
      <c r="V2683">
        <v>0.1927658514144405</v>
      </c>
      <c r="W2683">
        <v>9.3762116720078481</v>
      </c>
      <c r="X2683">
        <v>0.506586921772893</v>
      </c>
      <c r="Z2683" t="s">
        <v>392</v>
      </c>
      <c r="AA2683">
        <v>9400</v>
      </c>
      <c r="AB2683" t="s">
        <v>3074</v>
      </c>
      <c r="AC2683" t="str">
        <f>HYPERLINK("plots/3FT6Y578R01_012_S11P_20251111092011_M5358ACSH101811_RBGEUFRF26/dpll_52084/txpa_55236.png","plot")</f>
        <v>plot</v>
      </c>
    </row>
    <row r="2684" spans="1:29" hidden="1" x14ac:dyDescent="0.35">
      <c r="A2684" t="s">
        <v>48</v>
      </c>
      <c r="B2684">
        <v>52084</v>
      </c>
      <c r="C2684" t="s">
        <v>52</v>
      </c>
      <c r="D2684">
        <v>55237</v>
      </c>
      <c r="E2684" t="s">
        <v>370</v>
      </c>
      <c r="F2684">
        <v>12232</v>
      </c>
      <c r="G2684">
        <v>0.84596576406681523</v>
      </c>
      <c r="H2684">
        <v>0</v>
      </c>
      <c r="I2684">
        <v>0</v>
      </c>
      <c r="J2684">
        <v>0.73324612834764302</v>
      </c>
      <c r="K2684">
        <v>0</v>
      </c>
      <c r="L2684">
        <v>0</v>
      </c>
      <c r="M2684">
        <v>0.54175553965970957</v>
      </c>
      <c r="N2684">
        <v>0</v>
      </c>
      <c r="O2684">
        <v>0</v>
      </c>
      <c r="P2684">
        <v>0.71565807397315051</v>
      </c>
      <c r="Q2684">
        <v>2.205587111222302</v>
      </c>
      <c r="R2684">
        <v>-0.16160458007861139</v>
      </c>
      <c r="S2684">
        <v>0.26800902660034082</v>
      </c>
      <c r="T2684">
        <v>0.2017360912427921</v>
      </c>
      <c r="U2684">
        <v>4.3299411040712883</v>
      </c>
      <c r="V2684">
        <v>0.19278591300096279</v>
      </c>
      <c r="W2684">
        <v>9.3884577114126877</v>
      </c>
      <c r="X2684">
        <v>0.50262805305034075</v>
      </c>
      <c r="Z2684" t="s">
        <v>392</v>
      </c>
      <c r="AA2684">
        <v>9400</v>
      </c>
      <c r="AB2684" t="s">
        <v>3075</v>
      </c>
      <c r="AC2684" t="str">
        <f>HYPERLINK("plots/3FT6Y578R01_012_S11P_20251111092011_M5358ACSH101811_RBGEUFRF26/dpll_52084/txpa_55237.png","plot")</f>
        <v>plot</v>
      </c>
    </row>
    <row r="2685" spans="1:29" hidden="1" x14ac:dyDescent="0.35">
      <c r="A2685" t="s">
        <v>48</v>
      </c>
      <c r="B2685">
        <v>52084</v>
      </c>
      <c r="C2685" t="s">
        <v>52</v>
      </c>
      <c r="D2685">
        <v>55238</v>
      </c>
      <c r="E2685" t="s">
        <v>371</v>
      </c>
      <c r="F2685">
        <v>12239</v>
      </c>
      <c r="G2685">
        <v>0.85192894691759524</v>
      </c>
      <c r="H2685">
        <v>0</v>
      </c>
      <c r="I2685">
        <v>0</v>
      </c>
      <c r="J2685">
        <v>0.73776598260488091</v>
      </c>
      <c r="K2685">
        <v>0</v>
      </c>
      <c r="L2685">
        <v>0</v>
      </c>
      <c r="M2685">
        <v>0.54659041321055513</v>
      </c>
      <c r="N2685">
        <v>0</v>
      </c>
      <c r="O2685">
        <v>0</v>
      </c>
      <c r="P2685">
        <v>0.72578293059612287</v>
      </c>
      <c r="Q2685">
        <v>2.2359444020740522</v>
      </c>
      <c r="R2685">
        <v>-0.28156636163106619</v>
      </c>
      <c r="S2685">
        <v>0.26503265734751558</v>
      </c>
      <c r="T2685">
        <v>0.20082310204879381</v>
      </c>
      <c r="U2685">
        <v>4.329789354440722</v>
      </c>
      <c r="V2685">
        <v>0.19284672416477261</v>
      </c>
      <c r="W2685">
        <v>9.3996019075904886</v>
      </c>
      <c r="X2685">
        <v>0.50613910340136659</v>
      </c>
      <c r="Z2685" t="s">
        <v>392</v>
      </c>
      <c r="AA2685">
        <v>9400</v>
      </c>
      <c r="AB2685" t="s">
        <v>3076</v>
      </c>
      <c r="AC2685" t="str">
        <f>HYPERLINK("plots/3FT6Y578R01_012_S11P_20251111092011_M5358ACSH101811_RBGEUFRF26/dpll_52084/txpa_55238.png","plot")</f>
        <v>plot</v>
      </c>
    </row>
    <row r="2686" spans="1:29" hidden="1" x14ac:dyDescent="0.35">
      <c r="A2686" t="s">
        <v>48</v>
      </c>
      <c r="B2686">
        <v>52084</v>
      </c>
      <c r="C2686" t="s">
        <v>52</v>
      </c>
      <c r="D2686">
        <v>55239</v>
      </c>
      <c r="E2686" t="s">
        <v>372</v>
      </c>
      <c r="F2686">
        <v>12237</v>
      </c>
      <c r="G2686">
        <v>0.85223302295150327</v>
      </c>
      <c r="H2686">
        <v>0</v>
      </c>
      <c r="I2686">
        <v>0</v>
      </c>
      <c r="J2686">
        <v>0.73575546271143089</v>
      </c>
      <c r="K2686">
        <v>0</v>
      </c>
      <c r="L2686">
        <v>0</v>
      </c>
      <c r="M2686">
        <v>0.54431188161311495</v>
      </c>
      <c r="N2686">
        <v>0</v>
      </c>
      <c r="O2686">
        <v>0</v>
      </c>
      <c r="P2686">
        <v>0.72630112540905756</v>
      </c>
      <c r="Q2686">
        <v>2.242958759274571</v>
      </c>
      <c r="R2686">
        <v>-0.34110205866001841</v>
      </c>
      <c r="S2686">
        <v>0.26546131126930428</v>
      </c>
      <c r="T2686">
        <v>0.20192379274692249</v>
      </c>
      <c r="U2686">
        <v>4.3298108563373381</v>
      </c>
      <c r="V2686">
        <v>0.1928055563796823</v>
      </c>
      <c r="W2686">
        <v>9.3704851275639456</v>
      </c>
      <c r="X2686">
        <v>0.50743740253212921</v>
      </c>
      <c r="Z2686" t="s">
        <v>392</v>
      </c>
      <c r="AA2686">
        <v>9400</v>
      </c>
      <c r="AB2686" t="s">
        <v>3077</v>
      </c>
      <c r="AC2686" t="str">
        <f>HYPERLINK("plots/3FT6Y578R01_012_S11P_20251111092011_M5358ACSH101811_RBGEUFRF26/dpll_52084/txpa_55239.png","plot")</f>
        <v>plot</v>
      </c>
    </row>
    <row r="2687" spans="1:29" hidden="1" x14ac:dyDescent="0.35">
      <c r="A2687" t="s">
        <v>48</v>
      </c>
      <c r="B2687">
        <v>52084</v>
      </c>
      <c r="C2687" t="s">
        <v>52</v>
      </c>
      <c r="D2687">
        <v>55240</v>
      </c>
      <c r="E2687" t="s">
        <v>373</v>
      </c>
      <c r="F2687">
        <v>12238</v>
      </c>
      <c r="G2687">
        <v>0.85448038190167275</v>
      </c>
      <c r="H2687">
        <v>0</v>
      </c>
      <c r="I2687">
        <v>0</v>
      </c>
      <c r="J2687">
        <v>0.73915036774731657</v>
      </c>
      <c r="K2687">
        <v>0</v>
      </c>
      <c r="L2687">
        <v>0</v>
      </c>
      <c r="M2687">
        <v>0.54833450269930006</v>
      </c>
      <c r="N2687">
        <v>0</v>
      </c>
      <c r="O2687">
        <v>0</v>
      </c>
      <c r="P2687">
        <v>0.73013672305482846</v>
      </c>
      <c r="Q2687">
        <v>2.250263505163244</v>
      </c>
      <c r="R2687">
        <v>-0.36306011995942988</v>
      </c>
      <c r="S2687">
        <v>0.26378509719053611</v>
      </c>
      <c r="T2687">
        <v>0.2011437797458486</v>
      </c>
      <c r="U2687">
        <v>4.3297701919431271</v>
      </c>
      <c r="V2687">
        <v>0.19282565926756759</v>
      </c>
      <c r="W2687">
        <v>9.3800637287138429</v>
      </c>
      <c r="X2687">
        <v>0.50780398602384891</v>
      </c>
      <c r="Z2687" t="s">
        <v>392</v>
      </c>
      <c r="AA2687">
        <v>9400</v>
      </c>
      <c r="AB2687" t="s">
        <v>3078</v>
      </c>
      <c r="AC2687" t="str">
        <f>HYPERLINK("plots/3FT6Y578R01_012_S11P_20251111092011_M5358ACSH101811_RBGEUFRF26/dpll_52084/txpa_55240.png","plot")</f>
        <v>plot</v>
      </c>
    </row>
    <row r="2688" spans="1:29" hidden="1" x14ac:dyDescent="0.35">
      <c r="A2688" t="s">
        <v>48</v>
      </c>
      <c r="B2688">
        <v>52084</v>
      </c>
      <c r="C2688" t="s">
        <v>52</v>
      </c>
      <c r="D2688">
        <v>55241</v>
      </c>
      <c r="E2688" t="s">
        <v>374</v>
      </c>
      <c r="F2688">
        <v>12234</v>
      </c>
      <c r="G2688">
        <v>0.85447717148747881</v>
      </c>
      <c r="H2688">
        <v>0</v>
      </c>
      <c r="I2688">
        <v>0</v>
      </c>
      <c r="J2688">
        <v>0.73544908602639392</v>
      </c>
      <c r="K2688">
        <v>0</v>
      </c>
      <c r="L2688">
        <v>0</v>
      </c>
      <c r="M2688">
        <v>0.54533874494169032</v>
      </c>
      <c r="N2688">
        <v>0</v>
      </c>
      <c r="O2688">
        <v>0</v>
      </c>
      <c r="P2688">
        <v>0.73013123659324231</v>
      </c>
      <c r="Q2688">
        <v>2.2452583116202738</v>
      </c>
      <c r="R2688">
        <v>-0.33557021468007869</v>
      </c>
      <c r="S2688">
        <v>0.26316300640243501</v>
      </c>
      <c r="T2688">
        <v>0.20048381124094919</v>
      </c>
      <c r="U2688">
        <v>4.3299090738924306</v>
      </c>
      <c r="V2688">
        <v>0.1927970709165738</v>
      </c>
      <c r="W2688">
        <v>9.3861941220369456</v>
      </c>
      <c r="X2688">
        <v>0.50660127663553878</v>
      </c>
      <c r="Z2688" t="s">
        <v>392</v>
      </c>
      <c r="AA2688">
        <v>9400</v>
      </c>
      <c r="AB2688" t="s">
        <v>3079</v>
      </c>
      <c r="AC2688" t="str">
        <f>HYPERLINK("plots/3FT6Y578R01_012_S11P_20251111092011_M5358ACSH101811_RBGEUFRF26/dpll_52084/txpa_55241.png","plot")</f>
        <v>plot</v>
      </c>
    </row>
    <row r="2689" spans="1:29" hidden="1" x14ac:dyDescent="0.35">
      <c r="A2689" t="s">
        <v>48</v>
      </c>
      <c r="B2689">
        <v>52084</v>
      </c>
      <c r="C2689" t="s">
        <v>52</v>
      </c>
      <c r="D2689">
        <v>55242</v>
      </c>
      <c r="E2689" t="s">
        <v>375</v>
      </c>
      <c r="F2689">
        <v>12228</v>
      </c>
      <c r="G2689">
        <v>0.85006793116948243</v>
      </c>
      <c r="H2689">
        <v>0</v>
      </c>
      <c r="I2689">
        <v>0</v>
      </c>
      <c r="J2689">
        <v>0.72833976527343758</v>
      </c>
      <c r="K2689">
        <v>0</v>
      </c>
      <c r="L2689">
        <v>0</v>
      </c>
      <c r="M2689">
        <v>0.53858333556701754</v>
      </c>
      <c r="N2689">
        <v>0</v>
      </c>
      <c r="O2689">
        <v>0</v>
      </c>
      <c r="P2689">
        <v>0.72261548760276395</v>
      </c>
      <c r="Q2689">
        <v>2.2200890779167541</v>
      </c>
      <c r="R2689">
        <v>-0.2381635196142273</v>
      </c>
      <c r="S2689">
        <v>0.26511953484469952</v>
      </c>
      <c r="T2689">
        <v>0.20170217235170329</v>
      </c>
      <c r="U2689">
        <v>4.3300344694962378</v>
      </c>
      <c r="V2689">
        <v>0.19275320858236461</v>
      </c>
      <c r="W2689">
        <v>9.3748987131174353</v>
      </c>
      <c r="X2689">
        <v>0.50340599546955378</v>
      </c>
      <c r="Z2689" t="s">
        <v>392</v>
      </c>
      <c r="AA2689">
        <v>9400</v>
      </c>
      <c r="AB2689" t="s">
        <v>3080</v>
      </c>
      <c r="AC2689" t="str">
        <f>HYPERLINK("plots/3FT6Y578R01_012_S11P_20251111092011_M5358ACSH101811_RBGEUFRF26/dpll_52084/txpa_55242.png","plot")</f>
        <v>plot</v>
      </c>
    </row>
    <row r="2690" spans="1:29" hidden="1" x14ac:dyDescent="0.35">
      <c r="A2690" t="s">
        <v>48</v>
      </c>
      <c r="B2690">
        <v>52084</v>
      </c>
      <c r="C2690" t="s">
        <v>52</v>
      </c>
      <c r="D2690">
        <v>55243</v>
      </c>
      <c r="E2690" t="s">
        <v>376</v>
      </c>
      <c r="F2690">
        <v>12203</v>
      </c>
      <c r="G2690">
        <v>0.84139073912459461</v>
      </c>
      <c r="H2690">
        <v>0</v>
      </c>
      <c r="I2690">
        <v>0</v>
      </c>
      <c r="J2690">
        <v>0.7248897817612604</v>
      </c>
      <c r="K2690">
        <v>0</v>
      </c>
      <c r="L2690">
        <v>0</v>
      </c>
      <c r="M2690">
        <v>0.53386588812380575</v>
      </c>
      <c r="N2690">
        <v>0</v>
      </c>
      <c r="O2690">
        <v>0</v>
      </c>
      <c r="P2690">
        <v>0.7079383758846316</v>
      </c>
      <c r="Q2690">
        <v>2.478634818584962</v>
      </c>
      <c r="R2690">
        <v>1.5877322074778991E-2</v>
      </c>
      <c r="S2690">
        <v>0.30637437088390268</v>
      </c>
      <c r="T2690">
        <v>0.2297170481673626</v>
      </c>
      <c r="U2690">
        <v>4.3306218397934932</v>
      </c>
      <c r="V2690">
        <v>0.19245010893183481</v>
      </c>
      <c r="W2690">
        <v>10.7499074003114</v>
      </c>
      <c r="X2690">
        <v>0.56693462223652713</v>
      </c>
      <c r="Z2690" t="s">
        <v>392</v>
      </c>
      <c r="AA2690">
        <v>9400</v>
      </c>
      <c r="AB2690" t="s">
        <v>3081</v>
      </c>
      <c r="AC2690" t="str">
        <f>HYPERLINK("plots/3FT6Y578R01_012_S11P_20251111092011_M5358ACSH101811_RBGEUFRF26/dpll_52084/txpa_55243.png","plot")</f>
        <v>plot</v>
      </c>
    </row>
    <row r="2691" spans="1:29" hidden="1" x14ac:dyDescent="0.35">
      <c r="A2691" t="s">
        <v>48</v>
      </c>
      <c r="B2691">
        <v>52084</v>
      </c>
      <c r="C2691" t="s">
        <v>52</v>
      </c>
      <c r="D2691">
        <v>55244</v>
      </c>
      <c r="E2691" t="s">
        <v>377</v>
      </c>
      <c r="F2691">
        <v>12219</v>
      </c>
      <c r="G2691">
        <v>0.85002770421812435</v>
      </c>
      <c r="H2691">
        <v>0</v>
      </c>
      <c r="I2691">
        <v>0</v>
      </c>
      <c r="J2691">
        <v>0.73291420712770083</v>
      </c>
      <c r="K2691">
        <v>0</v>
      </c>
      <c r="L2691">
        <v>0</v>
      </c>
      <c r="M2691">
        <v>0.5426637952492761</v>
      </c>
      <c r="N2691">
        <v>0</v>
      </c>
      <c r="O2691">
        <v>0</v>
      </c>
      <c r="P2691">
        <v>0.72254709793833505</v>
      </c>
      <c r="Q2691">
        <v>2.5212632911797348</v>
      </c>
      <c r="R2691">
        <v>-0.1377628535438831</v>
      </c>
      <c r="S2691">
        <v>0.3010111927864707</v>
      </c>
      <c r="T2691">
        <v>0.22765641851555041</v>
      </c>
      <c r="U2691">
        <v>4.3302077088959816</v>
      </c>
      <c r="V2691">
        <v>0.19267291175494791</v>
      </c>
      <c r="W2691">
        <v>10.779830886079059</v>
      </c>
      <c r="X2691">
        <v>0.57148624356813627</v>
      </c>
      <c r="Z2691" t="s">
        <v>392</v>
      </c>
      <c r="AA2691">
        <v>9400</v>
      </c>
      <c r="AB2691" t="s">
        <v>3082</v>
      </c>
      <c r="AC2691" t="str">
        <f>HYPERLINK("plots/3FT6Y578R01_012_S11P_20251111092011_M5358ACSH101811_RBGEUFRF26/dpll_52084/txpa_55244.png","plot")</f>
        <v>plot</v>
      </c>
    </row>
    <row r="2692" spans="1:29" hidden="1" x14ac:dyDescent="0.35">
      <c r="A2692" t="s">
        <v>48</v>
      </c>
      <c r="B2692">
        <v>52084</v>
      </c>
      <c r="C2692" t="s">
        <v>52</v>
      </c>
      <c r="D2692">
        <v>55245</v>
      </c>
      <c r="E2692" t="s">
        <v>378</v>
      </c>
      <c r="F2692">
        <v>12214</v>
      </c>
      <c r="G2692">
        <v>0.85089774340622881</v>
      </c>
      <c r="H2692">
        <v>0</v>
      </c>
      <c r="I2692">
        <v>0</v>
      </c>
      <c r="J2692">
        <v>0.73050941939159086</v>
      </c>
      <c r="K2692">
        <v>0</v>
      </c>
      <c r="L2692">
        <v>0</v>
      </c>
      <c r="M2692">
        <v>0.54022743830786468</v>
      </c>
      <c r="N2692">
        <v>0</v>
      </c>
      <c r="O2692">
        <v>0</v>
      </c>
      <c r="P2692">
        <v>0.72402696973381242</v>
      </c>
      <c r="Q2692">
        <v>2.499743082657397</v>
      </c>
      <c r="R2692">
        <v>-3.1952891710254512E-2</v>
      </c>
      <c r="S2692">
        <v>0.29726424610761037</v>
      </c>
      <c r="T2692">
        <v>0.22496328985957861</v>
      </c>
      <c r="U2692">
        <v>4.3303353362534791</v>
      </c>
      <c r="V2692">
        <v>0.1926234387570207</v>
      </c>
      <c r="W2692">
        <v>10.79277291067627</v>
      </c>
      <c r="X2692">
        <v>0.56588363563289501</v>
      </c>
      <c r="Z2692" t="s">
        <v>392</v>
      </c>
      <c r="AA2692">
        <v>9400</v>
      </c>
      <c r="AB2692" t="s">
        <v>3083</v>
      </c>
      <c r="AC2692" t="str">
        <f>HYPERLINK("plots/3FT6Y578R01_012_S11P_20251111092011_M5358ACSH101811_RBGEUFRF26/dpll_52084/txpa_55245.png","plot")</f>
        <v>plot</v>
      </c>
    </row>
    <row r="2693" spans="1:29" hidden="1" x14ac:dyDescent="0.35">
      <c r="A2693" t="s">
        <v>48</v>
      </c>
      <c r="B2693">
        <v>52084</v>
      </c>
      <c r="C2693" t="s">
        <v>52</v>
      </c>
      <c r="D2693">
        <v>55246</v>
      </c>
      <c r="E2693" t="s">
        <v>379</v>
      </c>
      <c r="F2693">
        <v>12227</v>
      </c>
      <c r="G2693">
        <v>0.8551891802277195</v>
      </c>
      <c r="H2693">
        <v>0</v>
      </c>
      <c r="I2693">
        <v>0</v>
      </c>
      <c r="J2693">
        <v>0.73432635019567949</v>
      </c>
      <c r="K2693">
        <v>0</v>
      </c>
      <c r="L2693">
        <v>0</v>
      </c>
      <c r="M2693">
        <v>0.54430294128509871</v>
      </c>
      <c r="N2693">
        <v>0</v>
      </c>
      <c r="O2693">
        <v>0</v>
      </c>
      <c r="P2693">
        <v>0.73134853397855892</v>
      </c>
      <c r="Q2693">
        <v>2.5381915402805588</v>
      </c>
      <c r="R2693">
        <v>-0.19011095405202741</v>
      </c>
      <c r="S2693">
        <v>0.29647835402739092</v>
      </c>
      <c r="T2693">
        <v>0.2251070901196284</v>
      </c>
      <c r="U2693">
        <v>4.3300597050789236</v>
      </c>
      <c r="V2693">
        <v>0.19273205369605351</v>
      </c>
      <c r="W2693">
        <v>10.80040995828903</v>
      </c>
      <c r="X2693">
        <v>0.5720264937191557</v>
      </c>
      <c r="Z2693" t="s">
        <v>392</v>
      </c>
      <c r="AA2693">
        <v>9400</v>
      </c>
      <c r="AB2693" t="s">
        <v>3084</v>
      </c>
      <c r="AC2693" t="str">
        <f>HYPERLINK("plots/3FT6Y578R01_012_S11P_20251111092011_M5358ACSH101811_RBGEUFRF26/dpll_52084/txpa_55246.png","plot")</f>
        <v>plot</v>
      </c>
    </row>
    <row r="2694" spans="1:29" hidden="1" x14ac:dyDescent="0.35">
      <c r="A2694" t="s">
        <v>48</v>
      </c>
      <c r="B2694">
        <v>52084</v>
      </c>
      <c r="C2694" t="s">
        <v>52</v>
      </c>
      <c r="D2694">
        <v>55247</v>
      </c>
      <c r="E2694" t="s">
        <v>380</v>
      </c>
      <c r="F2694">
        <v>12229</v>
      </c>
      <c r="G2694">
        <v>0.85516527727672476</v>
      </c>
      <c r="H2694">
        <v>0</v>
      </c>
      <c r="I2694">
        <v>0</v>
      </c>
      <c r="J2694">
        <v>0.73288348564174888</v>
      </c>
      <c r="K2694">
        <v>0</v>
      </c>
      <c r="L2694">
        <v>0</v>
      </c>
      <c r="M2694">
        <v>0.54254440430652606</v>
      </c>
      <c r="N2694">
        <v>0</v>
      </c>
      <c r="O2694">
        <v>0</v>
      </c>
      <c r="P2694">
        <v>0.7313076514597775</v>
      </c>
      <c r="Q2694">
        <v>2.5469342299251871</v>
      </c>
      <c r="R2694">
        <v>-0.2583823963043006</v>
      </c>
      <c r="S2694">
        <v>0.29750940644717949</v>
      </c>
      <c r="T2694">
        <v>0.22661332354571359</v>
      </c>
      <c r="U2694">
        <v>4.3300020717965504</v>
      </c>
      <c r="V2694">
        <v>0.19271838064151209</v>
      </c>
      <c r="W2694">
        <v>10.76984809600131</v>
      </c>
      <c r="X2694">
        <v>0.57397213548555515</v>
      </c>
      <c r="Z2694" t="s">
        <v>392</v>
      </c>
      <c r="AA2694">
        <v>9400</v>
      </c>
      <c r="AB2694" t="s">
        <v>3085</v>
      </c>
      <c r="AC2694" t="str">
        <f>HYPERLINK("plots/3FT6Y578R01_012_S11P_20251111092011_M5358ACSH101811_RBGEUFRF26/dpll_52084/txpa_55247.png","plot")</f>
        <v>plot</v>
      </c>
    </row>
    <row r="2695" spans="1:29" hidden="1" x14ac:dyDescent="0.35">
      <c r="A2695" t="s">
        <v>48</v>
      </c>
      <c r="B2695">
        <v>52084</v>
      </c>
      <c r="C2695" t="s">
        <v>52</v>
      </c>
      <c r="D2695">
        <v>55248</v>
      </c>
      <c r="E2695" t="s">
        <v>381</v>
      </c>
      <c r="F2695">
        <v>12231</v>
      </c>
      <c r="G2695">
        <v>0.856727710183391</v>
      </c>
      <c r="H2695">
        <v>0</v>
      </c>
      <c r="I2695">
        <v>0</v>
      </c>
      <c r="J2695">
        <v>0.73615071839924207</v>
      </c>
      <c r="K2695">
        <v>0</v>
      </c>
      <c r="L2695">
        <v>0</v>
      </c>
      <c r="M2695">
        <v>0.54643341136194057</v>
      </c>
      <c r="N2695">
        <v>0</v>
      </c>
      <c r="O2695">
        <v>0</v>
      </c>
      <c r="P2695">
        <v>0.73398236939607642</v>
      </c>
      <c r="Q2695">
        <v>2.5545869524597822</v>
      </c>
      <c r="R2695">
        <v>-0.27850454989014928</v>
      </c>
      <c r="S2695">
        <v>0.29641946731336227</v>
      </c>
      <c r="T2695">
        <v>0.22585327442895969</v>
      </c>
      <c r="U2695">
        <v>4.3299391224756762</v>
      </c>
      <c r="V2695">
        <v>0.19274867040822541</v>
      </c>
      <c r="W2695">
        <v>10.782701437331371</v>
      </c>
      <c r="X2695">
        <v>0.57473714539176246</v>
      </c>
      <c r="Z2695" t="s">
        <v>392</v>
      </c>
      <c r="AA2695">
        <v>9400</v>
      </c>
      <c r="AB2695" t="s">
        <v>3086</v>
      </c>
      <c r="AC2695" t="str">
        <f>HYPERLINK("plots/3FT6Y578R01_012_S11P_20251111092011_M5358ACSH101811_RBGEUFRF26/dpll_52084/txpa_55248.png","plot")</f>
        <v>plot</v>
      </c>
    </row>
    <row r="2696" spans="1:29" hidden="1" x14ac:dyDescent="0.35">
      <c r="A2696" t="s">
        <v>48</v>
      </c>
      <c r="B2696">
        <v>52084</v>
      </c>
      <c r="C2696" t="s">
        <v>52</v>
      </c>
      <c r="D2696">
        <v>55249</v>
      </c>
      <c r="E2696" t="s">
        <v>382</v>
      </c>
      <c r="F2696">
        <v>12224</v>
      </c>
      <c r="G2696">
        <v>0.85749740109591954</v>
      </c>
      <c r="H2696">
        <v>0</v>
      </c>
      <c r="I2696">
        <v>0</v>
      </c>
      <c r="J2696">
        <v>0.73272218508280973</v>
      </c>
      <c r="K2696">
        <v>0</v>
      </c>
      <c r="L2696">
        <v>0</v>
      </c>
      <c r="M2696">
        <v>0.54379273018900076</v>
      </c>
      <c r="N2696">
        <v>0</v>
      </c>
      <c r="O2696">
        <v>0</v>
      </c>
      <c r="P2696">
        <v>0.7353017928862563</v>
      </c>
      <c r="Q2696">
        <v>2.54875985666619</v>
      </c>
      <c r="R2696">
        <v>-0.24676797053294841</v>
      </c>
      <c r="S2696">
        <v>0.29470369312275763</v>
      </c>
      <c r="T2696">
        <v>0.22488255886225131</v>
      </c>
      <c r="U2696">
        <v>4.3301197372382196</v>
      </c>
      <c r="V2696">
        <v>0.19272219675244881</v>
      </c>
      <c r="W2696">
        <v>10.789667390297771</v>
      </c>
      <c r="X2696">
        <v>0.57283275487877383</v>
      </c>
      <c r="Z2696" t="s">
        <v>392</v>
      </c>
      <c r="AA2696">
        <v>9400</v>
      </c>
      <c r="AB2696" t="s">
        <v>3087</v>
      </c>
      <c r="AC2696" t="str">
        <f>HYPERLINK("plots/3FT6Y578R01_012_S11P_20251111092011_M5358ACSH101811_RBGEUFRF26/dpll_52084/txpa_55249.png","plot")</f>
        <v>plot</v>
      </c>
    </row>
    <row r="2697" spans="1:29" hidden="1" x14ac:dyDescent="0.35">
      <c r="A2697" t="s">
        <v>48</v>
      </c>
      <c r="B2697">
        <v>52084</v>
      </c>
      <c r="C2697" t="s">
        <v>52</v>
      </c>
      <c r="D2697">
        <v>55250</v>
      </c>
      <c r="E2697" t="s">
        <v>383</v>
      </c>
      <c r="F2697">
        <v>12220</v>
      </c>
      <c r="G2697">
        <v>0.85187276130638279</v>
      </c>
      <c r="H2697">
        <v>0</v>
      </c>
      <c r="I2697">
        <v>0</v>
      </c>
      <c r="J2697">
        <v>0.72512683027929969</v>
      </c>
      <c r="K2697">
        <v>0</v>
      </c>
      <c r="L2697">
        <v>0</v>
      </c>
      <c r="M2697">
        <v>0.5363280681127377</v>
      </c>
      <c r="N2697">
        <v>0</v>
      </c>
      <c r="O2697">
        <v>0</v>
      </c>
      <c r="P2697">
        <v>0.72568720145576138</v>
      </c>
      <c r="Q2697">
        <v>2.5228750976884129</v>
      </c>
      <c r="R2697">
        <v>-0.14592713877342331</v>
      </c>
      <c r="S2697">
        <v>0.29876858353633712</v>
      </c>
      <c r="T2697">
        <v>0.2270856324206274</v>
      </c>
      <c r="U2697">
        <v>4.3302542443535197</v>
      </c>
      <c r="V2697">
        <v>0.19262322291271919</v>
      </c>
      <c r="W2697">
        <v>10.77876346096563</v>
      </c>
      <c r="X2697">
        <v>0.57046586579166669</v>
      </c>
      <c r="Z2697" t="s">
        <v>392</v>
      </c>
      <c r="AA2697">
        <v>9400</v>
      </c>
      <c r="AB2697" t="s">
        <v>3088</v>
      </c>
      <c r="AC2697" t="str">
        <f>HYPERLINK("plots/3FT6Y578R01_012_S11P_20251111092011_M5358ACSH101811_RBGEUFRF26/dpll_52084/txpa_55250.png","plot")</f>
        <v>plot</v>
      </c>
    </row>
    <row r="2698" spans="1:29" hidden="1" x14ac:dyDescent="0.35">
      <c r="A2698" t="s">
        <v>48</v>
      </c>
      <c r="B2698">
        <v>52084</v>
      </c>
      <c r="C2698" t="s">
        <v>52</v>
      </c>
      <c r="D2698">
        <v>55251</v>
      </c>
      <c r="E2698" t="s">
        <v>384</v>
      </c>
      <c r="F2698">
        <v>12202</v>
      </c>
      <c r="G2698">
        <v>0.84264087306014945</v>
      </c>
      <c r="H2698">
        <v>0</v>
      </c>
      <c r="I2698">
        <v>0</v>
      </c>
      <c r="J2698">
        <v>0.72327625049345867</v>
      </c>
      <c r="K2698">
        <v>0</v>
      </c>
      <c r="L2698">
        <v>0</v>
      </c>
      <c r="M2698">
        <v>0.53281643871222595</v>
      </c>
      <c r="N2698">
        <v>0</v>
      </c>
      <c r="O2698">
        <v>0</v>
      </c>
      <c r="P2698">
        <v>0.71004364095157091</v>
      </c>
      <c r="Q2698">
        <v>2.6361570363047671</v>
      </c>
      <c r="R2698">
        <v>-0.2035802319412845</v>
      </c>
      <c r="S2698">
        <v>0.32417930587548438</v>
      </c>
      <c r="T2698">
        <v>0.24351992705610359</v>
      </c>
      <c r="U2698">
        <v>4.3306416037534827</v>
      </c>
      <c r="V2698">
        <v>0.19244561036213381</v>
      </c>
      <c r="W2698">
        <v>11.212671103507621</v>
      </c>
      <c r="X2698">
        <v>0.60205582957271475</v>
      </c>
      <c r="Z2698" t="s">
        <v>392</v>
      </c>
      <c r="AA2698">
        <v>9400</v>
      </c>
      <c r="AB2698" t="s">
        <v>3089</v>
      </c>
      <c r="AC2698" t="str">
        <f>HYPERLINK("plots/3FT6Y578R01_012_S11P_20251111092011_M5358ACSH101811_RBGEUFRF26/dpll_52084/txpa_55251.png","plot")</f>
        <v>plot</v>
      </c>
    </row>
    <row r="2699" spans="1:29" hidden="1" x14ac:dyDescent="0.35">
      <c r="A2699" t="s">
        <v>48</v>
      </c>
      <c r="B2699">
        <v>52084</v>
      </c>
      <c r="C2699" t="s">
        <v>52</v>
      </c>
      <c r="D2699">
        <v>55252</v>
      </c>
      <c r="E2699" t="s">
        <v>385</v>
      </c>
      <c r="F2699">
        <v>12215</v>
      </c>
      <c r="G2699">
        <v>0.85170349432607828</v>
      </c>
      <c r="H2699">
        <v>0</v>
      </c>
      <c r="I2699">
        <v>0</v>
      </c>
      <c r="J2699">
        <v>0.73111862512377557</v>
      </c>
      <c r="K2699">
        <v>0</v>
      </c>
      <c r="L2699">
        <v>0</v>
      </c>
      <c r="M2699">
        <v>0.54139516858044279</v>
      </c>
      <c r="N2699">
        <v>0</v>
      </c>
      <c r="O2699">
        <v>0</v>
      </c>
      <c r="P2699">
        <v>0.72539884224725204</v>
      </c>
      <c r="Q2699">
        <v>2.6780611527995468</v>
      </c>
      <c r="R2699">
        <v>-0.35348153522428127</v>
      </c>
      <c r="S2699">
        <v>0.31744709232206358</v>
      </c>
      <c r="T2699">
        <v>0.24092339451561329</v>
      </c>
      <c r="U2699">
        <v>4.3302623136307821</v>
      </c>
      <c r="V2699">
        <v>0.19266635829683559</v>
      </c>
      <c r="W2699">
        <v>11.2432257483422</v>
      </c>
      <c r="X2699">
        <v>0.60581210837274313</v>
      </c>
      <c r="Z2699" t="s">
        <v>392</v>
      </c>
      <c r="AA2699">
        <v>9400</v>
      </c>
      <c r="AB2699" t="s">
        <v>3090</v>
      </c>
      <c r="AC2699" t="str">
        <f>HYPERLINK("plots/3FT6Y578R01_012_S11P_20251111092011_M5358ACSH101811_RBGEUFRF26/dpll_52084/txpa_55252.png","plot")</f>
        <v>plot</v>
      </c>
    </row>
    <row r="2700" spans="1:29" hidden="1" x14ac:dyDescent="0.35">
      <c r="A2700" t="s">
        <v>48</v>
      </c>
      <c r="B2700">
        <v>52084</v>
      </c>
      <c r="C2700" t="s">
        <v>52</v>
      </c>
      <c r="D2700">
        <v>55253</v>
      </c>
      <c r="E2700" t="s">
        <v>386</v>
      </c>
      <c r="F2700">
        <v>12214</v>
      </c>
      <c r="G2700">
        <v>0.85185108456146086</v>
      </c>
      <c r="H2700">
        <v>0</v>
      </c>
      <c r="I2700">
        <v>0</v>
      </c>
      <c r="J2700">
        <v>0.72918760175344888</v>
      </c>
      <c r="K2700">
        <v>0</v>
      </c>
      <c r="L2700">
        <v>0</v>
      </c>
      <c r="M2700">
        <v>0.53941874638163601</v>
      </c>
      <c r="N2700">
        <v>0</v>
      </c>
      <c r="O2700">
        <v>0</v>
      </c>
      <c r="P2700">
        <v>0.72565027026853712</v>
      </c>
      <c r="Q2700">
        <v>2.6585348551063701</v>
      </c>
      <c r="R2700">
        <v>-0.25710220278775081</v>
      </c>
      <c r="S2700">
        <v>0.31486348546449322</v>
      </c>
      <c r="T2700">
        <v>0.2385936044501345</v>
      </c>
      <c r="U2700">
        <v>4.3303353362534791</v>
      </c>
      <c r="V2700">
        <v>0.1926234387570207</v>
      </c>
      <c r="W2700">
        <v>11.255245222940889</v>
      </c>
      <c r="X2700">
        <v>0.60115686312663164</v>
      </c>
      <c r="Z2700" t="s">
        <v>392</v>
      </c>
      <c r="AA2700">
        <v>9400</v>
      </c>
      <c r="AB2700" t="s">
        <v>3091</v>
      </c>
      <c r="AC2700" t="str">
        <f>HYPERLINK("plots/3FT6Y578R01_012_S11P_20251111092011_M5358ACSH101811_RBGEUFRF26/dpll_52084/txpa_55253.png","plot")</f>
        <v>plot</v>
      </c>
    </row>
    <row r="2701" spans="1:29" hidden="1" x14ac:dyDescent="0.35">
      <c r="A2701" t="s">
        <v>48</v>
      </c>
      <c r="B2701">
        <v>52084</v>
      </c>
      <c r="C2701" t="s">
        <v>52</v>
      </c>
      <c r="D2701">
        <v>55254</v>
      </c>
      <c r="E2701" t="s">
        <v>387</v>
      </c>
      <c r="F2701">
        <v>12223</v>
      </c>
      <c r="G2701">
        <v>0.85614795559238821</v>
      </c>
      <c r="H2701">
        <v>0</v>
      </c>
      <c r="I2701">
        <v>0</v>
      </c>
      <c r="J2701">
        <v>0.73228150257843216</v>
      </c>
      <c r="K2701">
        <v>0</v>
      </c>
      <c r="L2701">
        <v>0</v>
      </c>
      <c r="M2701">
        <v>0.54287988802883802</v>
      </c>
      <c r="N2701">
        <v>0</v>
      </c>
      <c r="O2701">
        <v>0</v>
      </c>
      <c r="P2701">
        <v>0.73298932186502597</v>
      </c>
      <c r="Q2701">
        <v>2.695407057591257</v>
      </c>
      <c r="R2701">
        <v>-0.40955127477977088</v>
      </c>
      <c r="S2701">
        <v>0.31344569909415848</v>
      </c>
      <c r="T2701">
        <v>0.2384925849088296</v>
      </c>
      <c r="U2701">
        <v>4.3301594357359079</v>
      </c>
      <c r="V2701">
        <v>0.19268159343757571</v>
      </c>
      <c r="W2701">
        <v>11.261991028798169</v>
      </c>
      <c r="X2701">
        <v>0.60661866144411536</v>
      </c>
      <c r="Z2701" t="s">
        <v>392</v>
      </c>
      <c r="AA2701">
        <v>9400</v>
      </c>
      <c r="AB2701" t="s">
        <v>3092</v>
      </c>
      <c r="AC2701" t="str">
        <f>HYPERLINK("plots/3FT6Y578R01_012_S11P_20251111092011_M5358ACSH101811_RBGEUFRF26/dpll_52084/txpa_55254.png","plot")</f>
        <v>plot</v>
      </c>
    </row>
    <row r="2702" spans="1:29" hidden="1" x14ac:dyDescent="0.35">
      <c r="A2702" t="s">
        <v>48</v>
      </c>
      <c r="B2702">
        <v>52084</v>
      </c>
      <c r="C2702" t="s">
        <v>52</v>
      </c>
      <c r="D2702">
        <v>55255</v>
      </c>
      <c r="E2702" t="s">
        <v>388</v>
      </c>
      <c r="F2702">
        <v>12226</v>
      </c>
      <c r="G2702">
        <v>0.85591862697710774</v>
      </c>
      <c r="H2702">
        <v>0</v>
      </c>
      <c r="I2702">
        <v>0</v>
      </c>
      <c r="J2702">
        <v>0.73123846395548786</v>
      </c>
      <c r="K2702">
        <v>0</v>
      </c>
      <c r="L2702">
        <v>0</v>
      </c>
      <c r="M2702">
        <v>0.54146097677610083</v>
      </c>
      <c r="N2702">
        <v>0</v>
      </c>
      <c r="O2702">
        <v>0</v>
      </c>
      <c r="P2702">
        <v>0.73259669600637733</v>
      </c>
      <c r="Q2702">
        <v>2.7053662514084031</v>
      </c>
      <c r="R2702">
        <v>-0.48376983388184591</v>
      </c>
      <c r="S2702">
        <v>0.31488335639968551</v>
      </c>
      <c r="T2702">
        <v>0.24021805179111669</v>
      </c>
      <c r="U2702">
        <v>4.3300903773106496</v>
      </c>
      <c r="V2702">
        <v>0.1926595285090402</v>
      </c>
      <c r="W2702">
        <v>11.23071053844266</v>
      </c>
      <c r="X2702">
        <v>0.60895343320358986</v>
      </c>
      <c r="Z2702" t="s">
        <v>392</v>
      </c>
      <c r="AA2702">
        <v>9400</v>
      </c>
      <c r="AB2702" t="s">
        <v>3093</v>
      </c>
      <c r="AC2702" t="str">
        <f>HYPERLINK("plots/3FT6Y578R01_012_S11P_20251111092011_M5358ACSH101811_RBGEUFRF26/dpll_52084/txpa_55255.png","plot")</f>
        <v>plot</v>
      </c>
    </row>
    <row r="2703" spans="1:29" hidden="1" x14ac:dyDescent="0.35">
      <c r="A2703" t="s">
        <v>48</v>
      </c>
      <c r="B2703">
        <v>52084</v>
      </c>
      <c r="C2703" t="s">
        <v>52</v>
      </c>
      <c r="D2703">
        <v>55256</v>
      </c>
      <c r="E2703" t="s">
        <v>389</v>
      </c>
      <c r="F2703">
        <v>12230</v>
      </c>
      <c r="G2703">
        <v>0.85726711443807135</v>
      </c>
      <c r="H2703">
        <v>0</v>
      </c>
      <c r="I2703">
        <v>0</v>
      </c>
      <c r="J2703">
        <v>0.73428366948913404</v>
      </c>
      <c r="K2703">
        <v>0</v>
      </c>
      <c r="L2703">
        <v>0</v>
      </c>
      <c r="M2703">
        <v>0.54513701242644386</v>
      </c>
      <c r="N2703">
        <v>0</v>
      </c>
      <c r="O2703">
        <v>0</v>
      </c>
      <c r="P2703">
        <v>0.73490690549697735</v>
      </c>
      <c r="Q2703">
        <v>2.7148573269966092</v>
      </c>
      <c r="R2703">
        <v>-0.51095899799766187</v>
      </c>
      <c r="S2703">
        <v>0.31426185106662169</v>
      </c>
      <c r="T2703">
        <v>0.23966993338236761</v>
      </c>
      <c r="U2703">
        <v>4.3299595322976288</v>
      </c>
      <c r="V2703">
        <v>0.19274333347855241</v>
      </c>
      <c r="W2703">
        <v>11.244263363859361</v>
      </c>
      <c r="X2703">
        <v>0.61039393942808162</v>
      </c>
      <c r="Z2703" t="s">
        <v>392</v>
      </c>
      <c r="AA2703">
        <v>9400</v>
      </c>
      <c r="AB2703" t="s">
        <v>3094</v>
      </c>
      <c r="AC2703" t="str">
        <f>HYPERLINK("plots/3FT6Y578R01_012_S11P_20251111092011_M5358ACSH101811_RBGEUFRF26/dpll_52084/txpa_55256.png","plot")</f>
        <v>plot</v>
      </c>
    </row>
    <row r="2704" spans="1:29" hidden="1" x14ac:dyDescent="0.35">
      <c r="A2704" t="s">
        <v>48</v>
      </c>
      <c r="B2704">
        <v>52084</v>
      </c>
      <c r="C2704" t="s">
        <v>52</v>
      </c>
      <c r="D2704">
        <v>55257</v>
      </c>
      <c r="E2704" t="s">
        <v>390</v>
      </c>
      <c r="F2704">
        <v>12221</v>
      </c>
      <c r="G2704">
        <v>0.85824445699050989</v>
      </c>
      <c r="H2704">
        <v>0</v>
      </c>
      <c r="I2704">
        <v>0</v>
      </c>
      <c r="J2704">
        <v>0.73121920637150162</v>
      </c>
      <c r="K2704">
        <v>0</v>
      </c>
      <c r="L2704">
        <v>0</v>
      </c>
      <c r="M2704">
        <v>0.54287664783485678</v>
      </c>
      <c r="N2704">
        <v>0</v>
      </c>
      <c r="O2704">
        <v>0</v>
      </c>
      <c r="P2704">
        <v>0.73658354795493519</v>
      </c>
      <c r="Q2704">
        <v>2.7075406290876249</v>
      </c>
      <c r="R2704">
        <v>-0.47254393589655841</v>
      </c>
      <c r="S2704">
        <v>0.31197522799030158</v>
      </c>
      <c r="T2704">
        <v>0.2384639277926118</v>
      </c>
      <c r="U2704">
        <v>4.3301937170444322</v>
      </c>
      <c r="V2704">
        <v>0.19268701847140651</v>
      </c>
      <c r="W2704">
        <v>11.25163148482121</v>
      </c>
      <c r="X2704">
        <v>0.60787800836895978</v>
      </c>
      <c r="Z2704" t="s">
        <v>392</v>
      </c>
      <c r="AA2704">
        <v>9400</v>
      </c>
      <c r="AB2704" t="s">
        <v>3095</v>
      </c>
      <c r="AC2704" t="str">
        <f>HYPERLINK("plots/3FT6Y578R01_012_S11P_20251111092011_M5358ACSH101811_RBGEUFRF26/dpll_52084/txpa_55257.png","plot")</f>
        <v>plot</v>
      </c>
    </row>
    <row r="2705" spans="1:29" hidden="1" x14ac:dyDescent="0.35">
      <c r="A2705" t="s">
        <v>48</v>
      </c>
      <c r="B2705">
        <v>52084</v>
      </c>
      <c r="C2705" t="s">
        <v>52</v>
      </c>
      <c r="D2705">
        <v>55258</v>
      </c>
      <c r="E2705" t="s">
        <v>391</v>
      </c>
      <c r="F2705">
        <v>12214</v>
      </c>
      <c r="G2705">
        <v>0.8528638144559807</v>
      </c>
      <c r="H2705">
        <v>0</v>
      </c>
      <c r="I2705">
        <v>0</v>
      </c>
      <c r="J2705">
        <v>0.72299048966650892</v>
      </c>
      <c r="K2705">
        <v>0</v>
      </c>
      <c r="L2705">
        <v>0</v>
      </c>
      <c r="M2705">
        <v>0.53483750199602753</v>
      </c>
      <c r="N2705">
        <v>0</v>
      </c>
      <c r="O2705">
        <v>0</v>
      </c>
      <c r="P2705">
        <v>0.72737668600840544</v>
      </c>
      <c r="Q2705">
        <v>2.679335543310156</v>
      </c>
      <c r="R2705">
        <v>-0.36171852785061448</v>
      </c>
      <c r="S2705">
        <v>0.31586952420238851</v>
      </c>
      <c r="T2705">
        <v>0.2407276613978365</v>
      </c>
      <c r="U2705">
        <v>4.3303868329785491</v>
      </c>
      <c r="V2705">
        <v>0.19257353036773109</v>
      </c>
      <c r="W2705">
        <v>11.240840830031109</v>
      </c>
      <c r="X2705">
        <v>0.60498416730706572</v>
      </c>
      <c r="Z2705" t="s">
        <v>392</v>
      </c>
      <c r="AA2705">
        <v>9400</v>
      </c>
      <c r="AB2705" t="s">
        <v>3096</v>
      </c>
      <c r="AC2705" t="str">
        <f>HYPERLINK("plots/3FT6Y578R01_012_S11P_20251111092011_M5358ACSH101811_RBGEUFRF26/dpll_52084/txpa_55258.png","plot")</f>
        <v>plot</v>
      </c>
    </row>
    <row r="2706" spans="1:29" hidden="1" x14ac:dyDescent="0.35">
      <c r="A2706" t="s">
        <v>48</v>
      </c>
      <c r="B2706">
        <v>52094</v>
      </c>
      <c r="C2706" t="s">
        <v>53</v>
      </c>
      <c r="D2706">
        <v>53179</v>
      </c>
      <c r="E2706" t="s">
        <v>54</v>
      </c>
      <c r="F2706">
        <v>12243</v>
      </c>
      <c r="G2706">
        <v>0.29478628184465838</v>
      </c>
      <c r="H2706">
        <v>5.5425731056389607E-244</v>
      </c>
      <c r="I2706">
        <v>5.8604474756182544E-244</v>
      </c>
      <c r="J2706">
        <v>0.25605020900928238</v>
      </c>
      <c r="K2706">
        <v>1.6006678312486798E-182</v>
      </c>
      <c r="L2706">
        <v>1.6924683846571019E-182</v>
      </c>
      <c r="M2706">
        <v>0.1740099432793345</v>
      </c>
      <c r="N2706">
        <v>9.907182417639486E-181</v>
      </c>
      <c r="O2706">
        <v>1.047537327579399E-180</v>
      </c>
      <c r="P2706">
        <v>8.6898951963798404E-2</v>
      </c>
      <c r="Q2706">
        <v>1.9599988171665941</v>
      </c>
      <c r="R2706">
        <v>-32.390275673674211</v>
      </c>
      <c r="S2706">
        <v>1.377620101495673</v>
      </c>
      <c r="T2706">
        <v>1.142861989249891</v>
      </c>
      <c r="U2706">
        <v>4.3319153779302466</v>
      </c>
      <c r="V2706">
        <v>0.21683992469153379</v>
      </c>
      <c r="W2706">
        <v>-23.899726656865148</v>
      </c>
      <c r="X2706">
        <v>1.44174278820024</v>
      </c>
      <c r="Z2706" t="s">
        <v>392</v>
      </c>
      <c r="AA2706">
        <v>9400</v>
      </c>
      <c r="AB2706" t="s">
        <v>3097</v>
      </c>
      <c r="AC2706" t="str">
        <f>HYPERLINK("plots/3FT6Y578R01_012_S11P_20251111092011_M5358ACSH101811_RBGEUFRF26/dpll_52094/txpa_53179.png","plot")</f>
        <v>plot</v>
      </c>
    </row>
    <row r="2707" spans="1:29" hidden="1" x14ac:dyDescent="0.35">
      <c r="A2707" t="s">
        <v>48</v>
      </c>
      <c r="B2707">
        <v>52094</v>
      </c>
      <c r="C2707" t="s">
        <v>53</v>
      </c>
      <c r="D2707">
        <v>53180</v>
      </c>
      <c r="E2707" t="s">
        <v>55</v>
      </c>
      <c r="F2707">
        <v>12243</v>
      </c>
      <c r="G2707">
        <v>0.30990082911081779</v>
      </c>
      <c r="H2707">
        <v>9.5955171592619233E-271</v>
      </c>
      <c r="I2707">
        <v>1.0372979103935599E-270</v>
      </c>
      <c r="J2707">
        <v>0.27436675686770873</v>
      </c>
      <c r="K2707">
        <v>2.4733324743597779E-210</v>
      </c>
      <c r="L2707">
        <v>2.6765839156892369E-210</v>
      </c>
      <c r="M2707">
        <v>0.1858888849907063</v>
      </c>
      <c r="N2707">
        <v>1.7799168867845151E-206</v>
      </c>
      <c r="O2707">
        <v>1.9261854036280671E-206</v>
      </c>
      <c r="P2707">
        <v>9.6038523883572327E-2</v>
      </c>
      <c r="Q2707">
        <v>2.0462453556476841</v>
      </c>
      <c r="R2707">
        <v>-32.679637437434259</v>
      </c>
      <c r="S2707">
        <v>1.361229776189701</v>
      </c>
      <c r="T2707">
        <v>1.1237090557253311</v>
      </c>
      <c r="U2707">
        <v>4.3319153779302466</v>
      </c>
      <c r="V2707">
        <v>0.21683992469153379</v>
      </c>
      <c r="W2707">
        <v>-23.815475714285711</v>
      </c>
      <c r="X2707">
        <v>1.431773158181447</v>
      </c>
      <c r="Z2707" t="s">
        <v>392</v>
      </c>
      <c r="AA2707">
        <v>9400</v>
      </c>
      <c r="AB2707" t="s">
        <v>3098</v>
      </c>
      <c r="AC2707" t="str">
        <f>HYPERLINK("plots/3FT6Y578R01_012_S11P_20251111092011_M5358ACSH101811_RBGEUFRF26/dpll_52094/txpa_53180.png","plot")</f>
        <v>plot</v>
      </c>
    </row>
    <row r="2708" spans="1:29" hidden="1" x14ac:dyDescent="0.35">
      <c r="A2708" t="s">
        <v>48</v>
      </c>
      <c r="B2708">
        <v>52094</v>
      </c>
      <c r="C2708" t="s">
        <v>53</v>
      </c>
      <c r="D2708">
        <v>53181</v>
      </c>
      <c r="E2708" t="s">
        <v>56</v>
      </c>
      <c r="F2708">
        <v>12243</v>
      </c>
      <c r="G2708">
        <v>0.30894523544013691</v>
      </c>
      <c r="H2708">
        <v>5.2692540187771077E-269</v>
      </c>
      <c r="I2708">
        <v>5.6901209531842261E-269</v>
      </c>
      <c r="J2708">
        <v>0.26822823823490421</v>
      </c>
      <c r="K2708">
        <v>9.1202978175715044E-201</v>
      </c>
      <c r="L2708">
        <v>9.8278235781269982E-201</v>
      </c>
      <c r="M2708">
        <v>0.18151569792892319</v>
      </c>
      <c r="N2708">
        <v>1.9839715525334619E-197</v>
      </c>
      <c r="O2708">
        <v>2.133347989680732E-197</v>
      </c>
      <c r="P2708">
        <v>9.544715850116163E-2</v>
      </c>
      <c r="Q2708">
        <v>2.0225586159759912</v>
      </c>
      <c r="R2708">
        <v>-32.524585531256157</v>
      </c>
      <c r="S2708">
        <v>1.3500756258608799</v>
      </c>
      <c r="T2708">
        <v>1.1091720686907001</v>
      </c>
      <c r="U2708">
        <v>4.3319153779302466</v>
      </c>
      <c r="V2708">
        <v>0.21683992469153379</v>
      </c>
      <c r="W2708">
        <v>-23.763032759944451</v>
      </c>
      <c r="X2708">
        <v>1.4195767005360631</v>
      </c>
      <c r="Z2708" t="s">
        <v>392</v>
      </c>
      <c r="AA2708">
        <v>9400</v>
      </c>
      <c r="AB2708" t="s">
        <v>3099</v>
      </c>
      <c r="AC2708" t="str">
        <f>HYPERLINK("plots/3FT6Y578R01_012_S11P_20251111092011_M5358ACSH101811_RBGEUFRF26/dpll_52094/txpa_53181.png","plot")</f>
        <v>plot</v>
      </c>
    </row>
    <row r="2709" spans="1:29" hidden="1" x14ac:dyDescent="0.35">
      <c r="A2709" t="s">
        <v>48</v>
      </c>
      <c r="B2709">
        <v>52094</v>
      </c>
      <c r="C2709" t="s">
        <v>53</v>
      </c>
      <c r="D2709">
        <v>53182</v>
      </c>
      <c r="E2709" t="s">
        <v>57</v>
      </c>
      <c r="F2709">
        <v>12243</v>
      </c>
      <c r="G2709">
        <v>0.30824828907117519</v>
      </c>
      <c r="H2709">
        <v>9.6930311912450364E-268</v>
      </c>
      <c r="I2709">
        <v>1.041179409737549E-267</v>
      </c>
      <c r="J2709">
        <v>0.26698741120547098</v>
      </c>
      <c r="K2709">
        <v>7.3022914433895058E-199</v>
      </c>
      <c r="L2709">
        <v>7.8271918854090473E-199</v>
      </c>
      <c r="M2709">
        <v>0.1809327393497665</v>
      </c>
      <c r="N2709">
        <v>2.6057980873119089E-196</v>
      </c>
      <c r="O2709">
        <v>2.7931070407339061E-196</v>
      </c>
      <c r="P2709">
        <v>9.5017007715306773E-2</v>
      </c>
      <c r="Q2709">
        <v>2.0268256638647268</v>
      </c>
      <c r="R2709">
        <v>-32.488823107468733</v>
      </c>
      <c r="S2709">
        <v>1.356305239050057</v>
      </c>
      <c r="T2709">
        <v>1.1127454588351451</v>
      </c>
      <c r="U2709">
        <v>4.3319153779302466</v>
      </c>
      <c r="V2709">
        <v>0.21683992469153379</v>
      </c>
      <c r="W2709">
        <v>-23.708785845789428</v>
      </c>
      <c r="X2709">
        <v>1.425788041320855</v>
      </c>
      <c r="Z2709" t="s">
        <v>392</v>
      </c>
      <c r="AA2709">
        <v>9400</v>
      </c>
      <c r="AB2709" t="s">
        <v>3100</v>
      </c>
      <c r="AC2709" t="str">
        <f>HYPERLINK("plots/3FT6Y578R01_012_S11P_20251111092011_M5358ACSH101811_RBGEUFRF26/dpll_52094/txpa_53182.png","plot")</f>
        <v>plot</v>
      </c>
    </row>
    <row r="2710" spans="1:29" hidden="1" x14ac:dyDescent="0.35">
      <c r="A2710" t="s">
        <v>48</v>
      </c>
      <c r="B2710">
        <v>52094</v>
      </c>
      <c r="C2710" t="s">
        <v>53</v>
      </c>
      <c r="D2710">
        <v>53183</v>
      </c>
      <c r="E2710" t="s">
        <v>58</v>
      </c>
      <c r="F2710">
        <v>12242</v>
      </c>
      <c r="G2710">
        <v>0.30655344084082969</v>
      </c>
      <c r="H2710">
        <v>1.172377167642512E-264</v>
      </c>
      <c r="I2710">
        <v>1.251358366304745E-264</v>
      </c>
      <c r="J2710">
        <v>0.26446181246029671</v>
      </c>
      <c r="K2710">
        <v>5.2744760051519682E-195</v>
      </c>
      <c r="L2710">
        <v>5.6003336850514094E-195</v>
      </c>
      <c r="M2710">
        <v>0.1789173070689602</v>
      </c>
      <c r="N2710">
        <v>8.7340058466206132E-192</v>
      </c>
      <c r="O2710">
        <v>9.2735936423804209E-192</v>
      </c>
      <c r="P2710">
        <v>9.3975012091352103E-2</v>
      </c>
      <c r="Q2710">
        <v>2.030269455340572</v>
      </c>
      <c r="R2710">
        <v>-32.525496680317197</v>
      </c>
      <c r="S2710">
        <v>1.3669203195624891</v>
      </c>
      <c r="T2710">
        <v>1.122856306619759</v>
      </c>
      <c r="U2710">
        <v>4.3319308992811631</v>
      </c>
      <c r="V2710">
        <v>0.21684198016641831</v>
      </c>
      <c r="W2710">
        <v>-23.73050969286064</v>
      </c>
      <c r="X2710">
        <v>1.4361203963651901</v>
      </c>
      <c r="Z2710" t="s">
        <v>392</v>
      </c>
      <c r="AA2710">
        <v>9400</v>
      </c>
      <c r="AB2710" t="s">
        <v>3101</v>
      </c>
      <c r="AC2710" t="str">
        <f>HYPERLINK("plots/3FT6Y578R01_012_S11P_20251111092011_M5358ACSH101811_RBGEUFRF26/dpll_52094/txpa_53183.png","plot")</f>
        <v>plot</v>
      </c>
    </row>
    <row r="2711" spans="1:29" hidden="1" x14ac:dyDescent="0.35">
      <c r="A2711" t="s">
        <v>48</v>
      </c>
      <c r="B2711">
        <v>52094</v>
      </c>
      <c r="C2711" t="s">
        <v>53</v>
      </c>
      <c r="D2711">
        <v>53184</v>
      </c>
      <c r="E2711" t="s">
        <v>59</v>
      </c>
      <c r="F2711">
        <v>12243</v>
      </c>
      <c r="G2711">
        <v>0.30304537048175628</v>
      </c>
      <c r="H2711">
        <v>2.0854575917210481E-258</v>
      </c>
      <c r="I2711">
        <v>2.2189443840557641E-258</v>
      </c>
      <c r="J2711">
        <v>0.26483894961900412</v>
      </c>
      <c r="K2711">
        <v>1.3653057331647269E-195</v>
      </c>
      <c r="L2711">
        <v>1.4526967612057009E-195</v>
      </c>
      <c r="M2711">
        <v>0.17941345082947019</v>
      </c>
      <c r="N2711">
        <v>1.9187455045646539E-192</v>
      </c>
      <c r="O2711">
        <v>2.0415613238494851E-192</v>
      </c>
      <c r="P2711">
        <v>9.1836496570424961E-2</v>
      </c>
      <c r="Q2711">
        <v>1.9976272267003909</v>
      </c>
      <c r="R2711">
        <v>-32.509951113578921</v>
      </c>
      <c r="S2711">
        <v>1.362104186632221</v>
      </c>
      <c r="T2711">
        <v>1.1241042360144271</v>
      </c>
      <c r="U2711">
        <v>4.3319153779302466</v>
      </c>
      <c r="V2711">
        <v>0.21683992469153379</v>
      </c>
      <c r="W2711">
        <v>-23.856399010863349</v>
      </c>
      <c r="X2711">
        <v>1.429374541214274</v>
      </c>
      <c r="Z2711" t="s">
        <v>392</v>
      </c>
      <c r="AA2711">
        <v>9400</v>
      </c>
      <c r="AB2711" t="s">
        <v>3102</v>
      </c>
      <c r="AC2711" t="str">
        <f>HYPERLINK("plots/3FT6Y578R01_012_S11P_20251111092011_M5358ACSH101811_RBGEUFRF26/dpll_52094/txpa_53184.png","plot")</f>
        <v>plot</v>
      </c>
    </row>
    <row r="2712" spans="1:29" hidden="1" x14ac:dyDescent="0.35">
      <c r="A2712" t="s">
        <v>48</v>
      </c>
      <c r="B2712">
        <v>52094</v>
      </c>
      <c r="C2712" t="s">
        <v>53</v>
      </c>
      <c r="D2712">
        <v>53185</v>
      </c>
      <c r="E2712" t="s">
        <v>60</v>
      </c>
      <c r="F2712">
        <v>12243</v>
      </c>
      <c r="G2712">
        <v>0.30271660760651808</v>
      </c>
      <c r="H2712">
        <v>7.9892351336775592E-258</v>
      </c>
      <c r="I2712">
        <v>8.4828109168052826E-258</v>
      </c>
      <c r="J2712">
        <v>0.26638742825913231</v>
      </c>
      <c r="K2712">
        <v>6.0283590410295703E-198</v>
      </c>
      <c r="L2712">
        <v>6.4480549236328953E-198</v>
      </c>
      <c r="M2712">
        <v>0.18074082579663989</v>
      </c>
      <c r="N2712">
        <v>1.7877082375601041E-195</v>
      </c>
      <c r="O2712">
        <v>1.9141881234276091E-195</v>
      </c>
      <c r="P2712">
        <v>9.1637344520798678E-2</v>
      </c>
      <c r="Q2712">
        <v>1.9898211513437449</v>
      </c>
      <c r="R2712">
        <v>-32.448315922677239</v>
      </c>
      <c r="S2712">
        <v>1.3584039676935631</v>
      </c>
      <c r="T2712">
        <v>1.122647376917792</v>
      </c>
      <c r="U2712">
        <v>4.3319153779302466</v>
      </c>
      <c r="V2712">
        <v>0.21683992469153379</v>
      </c>
      <c r="W2712">
        <v>-23.828579077840399</v>
      </c>
      <c r="X2712">
        <v>1.425335306240755</v>
      </c>
      <c r="Z2712" t="s">
        <v>392</v>
      </c>
      <c r="AA2712">
        <v>9400</v>
      </c>
      <c r="AB2712" t="s">
        <v>3103</v>
      </c>
      <c r="AC2712" t="str">
        <f>HYPERLINK("plots/3FT6Y578R01_012_S11P_20251111092011_M5358ACSH101811_RBGEUFRF26/dpll_52094/txpa_53185.png","plot")</f>
        <v>plot</v>
      </c>
    </row>
    <row r="2713" spans="1:29" hidden="1" x14ac:dyDescent="0.35">
      <c r="A2713" t="s">
        <v>48</v>
      </c>
      <c r="B2713">
        <v>52094</v>
      </c>
      <c r="C2713" t="s">
        <v>53</v>
      </c>
      <c r="D2713">
        <v>53186</v>
      </c>
      <c r="E2713" t="s">
        <v>61</v>
      </c>
      <c r="F2713">
        <v>12243</v>
      </c>
      <c r="G2713">
        <v>0.30845188442334098</v>
      </c>
      <c r="H2713">
        <v>4.1434605313566481E-268</v>
      </c>
      <c r="I2713">
        <v>4.4554283974503089E-268</v>
      </c>
      <c r="J2713">
        <v>0.26840263879757342</v>
      </c>
      <c r="K2713">
        <v>4.9165473901962073E-201</v>
      </c>
      <c r="L2713">
        <v>5.3035947379350577E-201</v>
      </c>
      <c r="M2713">
        <v>0.1828757586355044</v>
      </c>
      <c r="N2713">
        <v>7.6788621974141029E-199</v>
      </c>
      <c r="O2713">
        <v>8.2833683704020224E-199</v>
      </c>
      <c r="P2713">
        <v>9.5142565004310134E-2</v>
      </c>
      <c r="Q2713">
        <v>2.0565276517248749</v>
      </c>
      <c r="R2713">
        <v>-32.90799271823434</v>
      </c>
      <c r="S2713">
        <v>1.3751773661474711</v>
      </c>
      <c r="T2713">
        <v>1.1385913814765409</v>
      </c>
      <c r="U2713">
        <v>4.3319153779302466</v>
      </c>
      <c r="V2713">
        <v>0.21683992469153379</v>
      </c>
      <c r="W2713">
        <v>-23.999288958588579</v>
      </c>
      <c r="X2713">
        <v>1.44572727107753</v>
      </c>
      <c r="Z2713" t="s">
        <v>392</v>
      </c>
      <c r="AA2713">
        <v>9400</v>
      </c>
      <c r="AB2713" t="s">
        <v>3104</v>
      </c>
      <c r="AC2713" t="str">
        <f>HYPERLINK("plots/3FT6Y578R01_012_S11P_20251111092011_M5358ACSH101811_RBGEUFRF26/dpll_52094/txpa_53186.png","plot")</f>
        <v>plot</v>
      </c>
    </row>
    <row r="2714" spans="1:29" hidden="1" x14ac:dyDescent="0.35">
      <c r="A2714" t="s">
        <v>48</v>
      </c>
      <c r="B2714">
        <v>52094</v>
      </c>
      <c r="C2714" t="s">
        <v>53</v>
      </c>
      <c r="D2714">
        <v>53187</v>
      </c>
      <c r="E2714" t="s">
        <v>62</v>
      </c>
      <c r="F2714">
        <v>12243</v>
      </c>
      <c r="G2714">
        <v>0.76749788551643383</v>
      </c>
      <c r="H2714">
        <v>0</v>
      </c>
      <c r="I2714">
        <v>0</v>
      </c>
      <c r="J2714">
        <v>0.6385110154296979</v>
      </c>
      <c r="K2714">
        <v>0</v>
      </c>
      <c r="L2714">
        <v>0</v>
      </c>
      <c r="M2714">
        <v>0.45658226164147059</v>
      </c>
      <c r="N2714">
        <v>0</v>
      </c>
      <c r="O2714">
        <v>0</v>
      </c>
      <c r="P2714">
        <v>0.58905300427219698</v>
      </c>
      <c r="Q2714">
        <v>1.3272074207534721</v>
      </c>
      <c r="R2714">
        <v>-15.993981501122921</v>
      </c>
      <c r="S2714">
        <v>0.2403676564355712</v>
      </c>
      <c r="T2714">
        <v>0.18685800100716859</v>
      </c>
      <c r="U2714">
        <v>4.3319153779302466</v>
      </c>
      <c r="V2714">
        <v>0.21683992469153379</v>
      </c>
      <c r="W2714">
        <v>-10.24463126545781</v>
      </c>
      <c r="X2714">
        <v>0.37497374598312871</v>
      </c>
      <c r="Z2714" t="s">
        <v>392</v>
      </c>
      <c r="AA2714">
        <v>9400</v>
      </c>
      <c r="AB2714" t="s">
        <v>3105</v>
      </c>
      <c r="AC2714" t="str">
        <f>HYPERLINK("plots/3FT6Y578R01_012_S11P_20251111092011_M5358ACSH101811_RBGEUFRF26/dpll_52094/txpa_53187.png","plot")</f>
        <v>plot</v>
      </c>
    </row>
    <row r="2715" spans="1:29" hidden="1" x14ac:dyDescent="0.35">
      <c r="A2715" t="s">
        <v>48</v>
      </c>
      <c r="B2715">
        <v>52094</v>
      </c>
      <c r="C2715" t="s">
        <v>53</v>
      </c>
      <c r="D2715">
        <v>53188</v>
      </c>
      <c r="E2715" t="s">
        <v>63</v>
      </c>
      <c r="F2715">
        <v>12242</v>
      </c>
      <c r="G2715">
        <v>0.78161398940248306</v>
      </c>
      <c r="H2715">
        <v>0</v>
      </c>
      <c r="I2715">
        <v>0</v>
      </c>
      <c r="J2715">
        <v>0.65271270586561558</v>
      </c>
      <c r="K2715">
        <v>0</v>
      </c>
      <c r="L2715">
        <v>0</v>
      </c>
      <c r="M2715">
        <v>0.47005819958190831</v>
      </c>
      <c r="N2715">
        <v>0</v>
      </c>
      <c r="O2715">
        <v>0</v>
      </c>
      <c r="P2715">
        <v>0.61092042842966487</v>
      </c>
      <c r="Q2715">
        <v>1.334285548977399</v>
      </c>
      <c r="R2715">
        <v>-15.96418283881129</v>
      </c>
      <c r="S2715">
        <v>0.2308887326935315</v>
      </c>
      <c r="T2715">
        <v>0.18000646787133109</v>
      </c>
      <c r="U2715">
        <v>4.3319007004574406</v>
      </c>
      <c r="V2715">
        <v>0.21684269964686589</v>
      </c>
      <c r="W2715">
        <v>-10.18419033458585</v>
      </c>
      <c r="X2715">
        <v>0.37017003848823471</v>
      </c>
      <c r="Z2715" t="s">
        <v>392</v>
      </c>
      <c r="AA2715">
        <v>9400</v>
      </c>
      <c r="AB2715" t="s">
        <v>3106</v>
      </c>
      <c r="AC2715" t="str">
        <f>HYPERLINK("plots/3FT6Y578R01_012_S11P_20251111092011_M5358ACSH101811_RBGEUFRF26/dpll_52094/txpa_53188.png","plot")</f>
        <v>plot</v>
      </c>
    </row>
    <row r="2716" spans="1:29" hidden="1" x14ac:dyDescent="0.35">
      <c r="A2716" t="s">
        <v>48</v>
      </c>
      <c r="B2716">
        <v>52094</v>
      </c>
      <c r="C2716" t="s">
        <v>53</v>
      </c>
      <c r="D2716">
        <v>53189</v>
      </c>
      <c r="E2716" t="s">
        <v>64</v>
      </c>
      <c r="F2716">
        <v>12243</v>
      </c>
      <c r="G2716">
        <v>0.77922095309636341</v>
      </c>
      <c r="H2716">
        <v>0</v>
      </c>
      <c r="I2716">
        <v>0</v>
      </c>
      <c r="J2716">
        <v>0.64764408772998383</v>
      </c>
      <c r="K2716">
        <v>0</v>
      </c>
      <c r="L2716">
        <v>0</v>
      </c>
      <c r="M2716">
        <v>0.4658396761701642</v>
      </c>
      <c r="N2716">
        <v>0</v>
      </c>
      <c r="O2716">
        <v>0</v>
      </c>
      <c r="P2716">
        <v>0.607185293744405</v>
      </c>
      <c r="Q2716">
        <v>1.326168497086361</v>
      </c>
      <c r="R2716">
        <v>-15.91229133559427</v>
      </c>
      <c r="S2716">
        <v>0.231288193960313</v>
      </c>
      <c r="T2716">
        <v>0.1800744488079776</v>
      </c>
      <c r="U2716">
        <v>4.3319153779302466</v>
      </c>
      <c r="V2716">
        <v>0.21683992469153379</v>
      </c>
      <c r="W2716">
        <v>-10.16744162933921</v>
      </c>
      <c r="X2716">
        <v>0.36904330651505068</v>
      </c>
      <c r="Z2716" t="s">
        <v>392</v>
      </c>
      <c r="AA2716">
        <v>9400</v>
      </c>
      <c r="AB2716" t="s">
        <v>3107</v>
      </c>
      <c r="AC2716" t="str">
        <f>HYPERLINK("plots/3FT6Y578R01_012_S11P_20251111092011_M5358ACSH101811_RBGEUFRF26/dpll_52094/txpa_53189.png","plot")</f>
        <v>plot</v>
      </c>
    </row>
    <row r="2717" spans="1:29" hidden="1" x14ac:dyDescent="0.35">
      <c r="A2717" t="s">
        <v>48</v>
      </c>
      <c r="B2717">
        <v>52094</v>
      </c>
      <c r="C2717" t="s">
        <v>53</v>
      </c>
      <c r="D2717">
        <v>53190</v>
      </c>
      <c r="E2717" t="s">
        <v>65</v>
      </c>
      <c r="F2717">
        <v>12242</v>
      </c>
      <c r="G2717">
        <v>0.78539879958342629</v>
      </c>
      <c r="H2717">
        <v>0</v>
      </c>
      <c r="I2717">
        <v>0</v>
      </c>
      <c r="J2717">
        <v>0.64884359049515816</v>
      </c>
      <c r="K2717">
        <v>0</v>
      </c>
      <c r="L2717">
        <v>0</v>
      </c>
      <c r="M2717">
        <v>0.46692523756191329</v>
      </c>
      <c r="N2717">
        <v>0</v>
      </c>
      <c r="O2717">
        <v>0</v>
      </c>
      <c r="P2717">
        <v>0.61685127438708698</v>
      </c>
      <c r="Q2717">
        <v>1.3385330185363959</v>
      </c>
      <c r="R2717">
        <v>-15.91688580226362</v>
      </c>
      <c r="S2717">
        <v>0.22874836873452781</v>
      </c>
      <c r="T2717">
        <v>0.17921174171023721</v>
      </c>
      <c r="U2717">
        <v>4.3319235655121711</v>
      </c>
      <c r="V2717">
        <v>0.21684688906752619</v>
      </c>
      <c r="W2717">
        <v>-10.11846307604967</v>
      </c>
      <c r="X2717">
        <v>0.36956603592688769</v>
      </c>
      <c r="Z2717" t="s">
        <v>392</v>
      </c>
      <c r="AA2717">
        <v>9400</v>
      </c>
      <c r="AB2717" t="s">
        <v>3108</v>
      </c>
      <c r="AC2717" t="str">
        <f>HYPERLINK("plots/3FT6Y578R01_012_S11P_20251111092011_M5358ACSH101811_RBGEUFRF26/dpll_52094/txpa_53190.png","plot")</f>
        <v>plot</v>
      </c>
    </row>
    <row r="2718" spans="1:29" hidden="1" x14ac:dyDescent="0.35">
      <c r="A2718" t="s">
        <v>48</v>
      </c>
      <c r="B2718">
        <v>52094</v>
      </c>
      <c r="C2718" t="s">
        <v>53</v>
      </c>
      <c r="D2718">
        <v>53191</v>
      </c>
      <c r="E2718" t="s">
        <v>66</v>
      </c>
      <c r="F2718">
        <v>12240</v>
      </c>
      <c r="G2718">
        <v>0.78876723137524074</v>
      </c>
      <c r="H2718">
        <v>0</v>
      </c>
      <c r="I2718">
        <v>0</v>
      </c>
      <c r="J2718">
        <v>0.65113275437464524</v>
      </c>
      <c r="K2718">
        <v>0</v>
      </c>
      <c r="L2718">
        <v>0</v>
      </c>
      <c r="M2718">
        <v>0.46799255204105789</v>
      </c>
      <c r="N2718">
        <v>0</v>
      </c>
      <c r="O2718">
        <v>0</v>
      </c>
      <c r="P2718">
        <v>0.62215374529136258</v>
      </c>
      <c r="Q2718">
        <v>1.3475390688633739</v>
      </c>
      <c r="R2718">
        <v>-15.97542185304907</v>
      </c>
      <c r="S2718">
        <v>0.22767183158356311</v>
      </c>
      <c r="T2718">
        <v>0.17956771659645041</v>
      </c>
      <c r="U2718">
        <v>4.3319400696078434</v>
      </c>
      <c r="V2718">
        <v>0.21680883535870621</v>
      </c>
      <c r="W2718">
        <v>-10.137963365277781</v>
      </c>
      <c r="X2718">
        <v>0.37039872410931168</v>
      </c>
      <c r="Z2718" t="s">
        <v>392</v>
      </c>
      <c r="AA2718">
        <v>9400</v>
      </c>
      <c r="AB2718" t="s">
        <v>3109</v>
      </c>
      <c r="AC2718" t="str">
        <f>HYPERLINK("plots/3FT6Y578R01_012_S11P_20251111092011_M5358ACSH101811_RBGEUFRF26/dpll_52094/txpa_53191.png","plot")</f>
        <v>plot</v>
      </c>
    </row>
    <row r="2719" spans="1:29" hidden="1" x14ac:dyDescent="0.35">
      <c r="A2719" t="s">
        <v>48</v>
      </c>
      <c r="B2719">
        <v>52094</v>
      </c>
      <c r="C2719" t="s">
        <v>53</v>
      </c>
      <c r="D2719">
        <v>53192</v>
      </c>
      <c r="E2719" t="s">
        <v>67</v>
      </c>
      <c r="F2719">
        <v>12240</v>
      </c>
      <c r="G2719">
        <v>0.79175702808993453</v>
      </c>
      <c r="H2719">
        <v>0</v>
      </c>
      <c r="I2719">
        <v>0</v>
      </c>
      <c r="J2719">
        <v>0.66169456021135309</v>
      </c>
      <c r="K2719">
        <v>0</v>
      </c>
      <c r="L2719">
        <v>0</v>
      </c>
      <c r="M2719">
        <v>0.47753869956904921</v>
      </c>
      <c r="N2719">
        <v>0</v>
      </c>
      <c r="O2719">
        <v>0</v>
      </c>
      <c r="P2719">
        <v>0.62687919152980542</v>
      </c>
      <c r="Q2719">
        <v>1.3491332290283651</v>
      </c>
      <c r="R2719">
        <v>-16.01726582638717</v>
      </c>
      <c r="S2719">
        <v>0.2256298139343321</v>
      </c>
      <c r="T2719">
        <v>0.17715474233836129</v>
      </c>
      <c r="U2719">
        <v>4.331890278839869</v>
      </c>
      <c r="V2719">
        <v>0.21678367779622049</v>
      </c>
      <c r="W2719">
        <v>-10.172968706699351</v>
      </c>
      <c r="X2719">
        <v>0.3693937064650073</v>
      </c>
      <c r="Z2719" t="s">
        <v>392</v>
      </c>
      <c r="AA2719">
        <v>9400</v>
      </c>
      <c r="AB2719" t="s">
        <v>3110</v>
      </c>
      <c r="AC2719" t="str">
        <f>HYPERLINK("plots/3FT6Y578R01_012_S11P_20251111092011_M5358ACSH101811_RBGEUFRF26/dpll_52094/txpa_53192.png","plot")</f>
        <v>plot</v>
      </c>
    </row>
    <row r="2720" spans="1:29" hidden="1" x14ac:dyDescent="0.35">
      <c r="A2720" t="s">
        <v>48</v>
      </c>
      <c r="B2720">
        <v>52094</v>
      </c>
      <c r="C2720" t="s">
        <v>53</v>
      </c>
      <c r="D2720">
        <v>53193</v>
      </c>
      <c r="E2720" t="s">
        <v>68</v>
      </c>
      <c r="F2720">
        <v>12242</v>
      </c>
      <c r="G2720">
        <v>0.79067348639430102</v>
      </c>
      <c r="H2720">
        <v>0</v>
      </c>
      <c r="I2720">
        <v>0</v>
      </c>
      <c r="J2720">
        <v>0.6601686791458079</v>
      </c>
      <c r="K2720">
        <v>0</v>
      </c>
      <c r="L2720">
        <v>0</v>
      </c>
      <c r="M2720">
        <v>0.47710946034818902</v>
      </c>
      <c r="N2720">
        <v>0</v>
      </c>
      <c r="O2720">
        <v>0</v>
      </c>
      <c r="P2720">
        <v>0.62516456208691895</v>
      </c>
      <c r="Q2720">
        <v>1.3479068219753729</v>
      </c>
      <c r="R2720">
        <v>-15.99813087030917</v>
      </c>
      <c r="S2720">
        <v>0.22628510126677431</v>
      </c>
      <c r="T2720">
        <v>0.17644439677360341</v>
      </c>
      <c r="U2720">
        <v>4.331949619669988</v>
      </c>
      <c r="V2720">
        <v>0.21681567757630049</v>
      </c>
      <c r="W2720">
        <v>-10.15906642550237</v>
      </c>
      <c r="X2720">
        <v>0.36961822540558459</v>
      </c>
      <c r="Z2720" t="s">
        <v>392</v>
      </c>
      <c r="AA2720">
        <v>9400</v>
      </c>
      <c r="AB2720" t="s">
        <v>3111</v>
      </c>
      <c r="AC2720" t="str">
        <f>HYPERLINK("plots/3FT6Y578R01_012_S11P_20251111092011_M5358ACSH101811_RBGEUFRF26/dpll_52094/txpa_53193.png","plot")</f>
        <v>plot</v>
      </c>
    </row>
    <row r="2721" spans="1:29" hidden="1" x14ac:dyDescent="0.35">
      <c r="A2721" t="s">
        <v>48</v>
      </c>
      <c r="B2721">
        <v>52094</v>
      </c>
      <c r="C2721" t="s">
        <v>53</v>
      </c>
      <c r="D2721">
        <v>53194</v>
      </c>
      <c r="E2721" t="s">
        <v>69</v>
      </c>
      <c r="F2721">
        <v>12239</v>
      </c>
      <c r="G2721">
        <v>0.78519306999063099</v>
      </c>
      <c r="H2721">
        <v>0</v>
      </c>
      <c r="I2721">
        <v>0</v>
      </c>
      <c r="J2721">
        <v>0.64827123188710722</v>
      </c>
      <c r="K2721">
        <v>0</v>
      </c>
      <c r="L2721">
        <v>0</v>
      </c>
      <c r="M2721">
        <v>0.46722608426876389</v>
      </c>
      <c r="N2721">
        <v>0</v>
      </c>
      <c r="O2721">
        <v>0</v>
      </c>
      <c r="P2721">
        <v>0.61652815716131193</v>
      </c>
      <c r="Q2721">
        <v>1.345068024934241</v>
      </c>
      <c r="R2721">
        <v>-16.039697697725551</v>
      </c>
      <c r="S2721">
        <v>0.22999472720103001</v>
      </c>
      <c r="T2721">
        <v>0.179780334431415</v>
      </c>
      <c r="U2721">
        <v>4.3319942728981129</v>
      </c>
      <c r="V2721">
        <v>0.21682087438449071</v>
      </c>
      <c r="W2721">
        <v>-10.21287071705205</v>
      </c>
      <c r="X2721">
        <v>0.37142307595295232</v>
      </c>
      <c r="Z2721" t="s">
        <v>392</v>
      </c>
      <c r="AA2721">
        <v>9400</v>
      </c>
      <c r="AB2721" t="s">
        <v>3112</v>
      </c>
      <c r="AC2721" t="str">
        <f>HYPERLINK("plots/3FT6Y578R01_012_S11P_20251111092011_M5358ACSH101811_RBGEUFRF26/dpll_52094/txpa_53194.png","plot")</f>
        <v>plot</v>
      </c>
    </row>
    <row r="2722" spans="1:29" hidden="1" x14ac:dyDescent="0.35">
      <c r="A2722" t="s">
        <v>48</v>
      </c>
      <c r="B2722">
        <v>52094</v>
      </c>
      <c r="C2722" t="s">
        <v>53</v>
      </c>
      <c r="D2722">
        <v>53195</v>
      </c>
      <c r="E2722" t="s">
        <v>70</v>
      </c>
      <c r="F2722">
        <v>12242</v>
      </c>
      <c r="G2722">
        <v>0.80656444654933679</v>
      </c>
      <c r="H2722">
        <v>0</v>
      </c>
      <c r="I2722">
        <v>0</v>
      </c>
      <c r="J2722">
        <v>0.68657165745098281</v>
      </c>
      <c r="K2722">
        <v>0</v>
      </c>
      <c r="L2722">
        <v>0</v>
      </c>
      <c r="M2722">
        <v>0.49644379040788361</v>
      </c>
      <c r="N2722">
        <v>0</v>
      </c>
      <c r="O2722">
        <v>0</v>
      </c>
      <c r="P2722">
        <v>0.65054620643743799</v>
      </c>
      <c r="Q2722">
        <v>1.2201580108208121</v>
      </c>
      <c r="R2722">
        <v>-9.28123289756725</v>
      </c>
      <c r="S2722">
        <v>0.1938947002654475</v>
      </c>
      <c r="T2722">
        <v>0.14801928228353961</v>
      </c>
      <c r="U2722">
        <v>4.3319436473615429</v>
      </c>
      <c r="V2722">
        <v>0.21682621882247419</v>
      </c>
      <c r="W2722">
        <v>-3.995577153814736</v>
      </c>
      <c r="X2722">
        <v>0.32801129405602331</v>
      </c>
      <c r="Z2722" t="s">
        <v>392</v>
      </c>
      <c r="AA2722">
        <v>9400</v>
      </c>
      <c r="AB2722" t="s">
        <v>3113</v>
      </c>
      <c r="AC2722" t="str">
        <f>HYPERLINK("plots/3FT6Y578R01_012_S11P_20251111092011_M5358ACSH101811_RBGEUFRF26/dpll_52094/txpa_53195.png","plot")</f>
        <v>plot</v>
      </c>
    </row>
    <row r="2723" spans="1:29" hidden="1" x14ac:dyDescent="0.35">
      <c r="A2723" t="s">
        <v>48</v>
      </c>
      <c r="B2723">
        <v>52094</v>
      </c>
      <c r="C2723" t="s">
        <v>53</v>
      </c>
      <c r="D2723">
        <v>53196</v>
      </c>
      <c r="E2723" t="s">
        <v>71</v>
      </c>
      <c r="F2723">
        <v>12240</v>
      </c>
      <c r="G2723">
        <v>0.82007837753230173</v>
      </c>
      <c r="H2723">
        <v>0</v>
      </c>
      <c r="I2723">
        <v>0</v>
      </c>
      <c r="J2723">
        <v>0.69881095629469514</v>
      </c>
      <c r="K2723">
        <v>0</v>
      </c>
      <c r="L2723">
        <v>0</v>
      </c>
      <c r="M2723">
        <v>0.50938335370619781</v>
      </c>
      <c r="N2723">
        <v>0</v>
      </c>
      <c r="O2723">
        <v>0</v>
      </c>
      <c r="P2723">
        <v>0.67252854529601236</v>
      </c>
      <c r="Q2723">
        <v>1.2316477935394341</v>
      </c>
      <c r="R2723">
        <v>-9.2906315086534228</v>
      </c>
      <c r="S2723">
        <v>0.18632999317232579</v>
      </c>
      <c r="T2723">
        <v>0.1436919594971533</v>
      </c>
      <c r="U2723">
        <v>4.3319594375817001</v>
      </c>
      <c r="V2723">
        <v>0.21681164930720501</v>
      </c>
      <c r="W2723">
        <v>-3.9551832256535948</v>
      </c>
      <c r="X2723">
        <v>0.32562203418458779</v>
      </c>
      <c r="Z2723" t="s">
        <v>392</v>
      </c>
      <c r="AA2723">
        <v>9400</v>
      </c>
      <c r="AB2723" t="s">
        <v>3114</v>
      </c>
      <c r="AC2723" t="str">
        <f>HYPERLINK("plots/3FT6Y578R01_012_S11P_20251111092011_M5358ACSH101811_RBGEUFRF26/dpll_52094/txpa_53196.png","plot")</f>
        <v>plot</v>
      </c>
    </row>
    <row r="2724" spans="1:29" hidden="1" x14ac:dyDescent="0.35">
      <c r="A2724" t="s">
        <v>48</v>
      </c>
      <c r="B2724">
        <v>52094</v>
      </c>
      <c r="C2724" t="s">
        <v>53</v>
      </c>
      <c r="D2724">
        <v>53197</v>
      </c>
      <c r="E2724" t="s">
        <v>72</v>
      </c>
      <c r="F2724">
        <v>12243</v>
      </c>
      <c r="G2724">
        <v>0.81628729391426391</v>
      </c>
      <c r="H2724">
        <v>0</v>
      </c>
      <c r="I2724">
        <v>0</v>
      </c>
      <c r="J2724">
        <v>0.69391203074021879</v>
      </c>
      <c r="K2724">
        <v>0</v>
      </c>
      <c r="L2724">
        <v>0</v>
      </c>
      <c r="M2724">
        <v>0.50447850144934925</v>
      </c>
      <c r="N2724">
        <v>0</v>
      </c>
      <c r="O2724">
        <v>0</v>
      </c>
      <c r="P2724">
        <v>0.6663249462058719</v>
      </c>
      <c r="Q2724">
        <v>1.2166948565839659</v>
      </c>
      <c r="R2724">
        <v>-9.2134398023827</v>
      </c>
      <c r="S2724">
        <v>0.1866904127476057</v>
      </c>
      <c r="T2724">
        <v>0.143168836335483</v>
      </c>
      <c r="U2724">
        <v>4.3319153779302466</v>
      </c>
      <c r="V2724">
        <v>0.21683992469153379</v>
      </c>
      <c r="W2724">
        <v>-3.9428206428979831</v>
      </c>
      <c r="X2724">
        <v>0.32320486064303983</v>
      </c>
      <c r="Z2724" t="s">
        <v>392</v>
      </c>
      <c r="AA2724">
        <v>9400</v>
      </c>
      <c r="AB2724" t="s">
        <v>3115</v>
      </c>
      <c r="AC2724" t="str">
        <f>HYPERLINK("plots/3FT6Y578R01_012_S11P_20251111092011_M5358ACSH101811_RBGEUFRF26/dpll_52094/txpa_53197.png","plot")</f>
        <v>plot</v>
      </c>
    </row>
    <row r="2725" spans="1:29" hidden="1" x14ac:dyDescent="0.35">
      <c r="A2725" t="s">
        <v>48</v>
      </c>
      <c r="B2725">
        <v>52094</v>
      </c>
      <c r="C2725" t="s">
        <v>53</v>
      </c>
      <c r="D2725">
        <v>53198</v>
      </c>
      <c r="E2725" t="s">
        <v>73</v>
      </c>
      <c r="F2725">
        <v>12242</v>
      </c>
      <c r="G2725">
        <v>0.82585653950066862</v>
      </c>
      <c r="H2725">
        <v>0</v>
      </c>
      <c r="I2725">
        <v>0</v>
      </c>
      <c r="J2725">
        <v>0.70019683623083051</v>
      </c>
      <c r="K2725">
        <v>0</v>
      </c>
      <c r="L2725">
        <v>0</v>
      </c>
      <c r="M2725">
        <v>0.51074208159101908</v>
      </c>
      <c r="N2725">
        <v>0</v>
      </c>
      <c r="O2725">
        <v>0</v>
      </c>
      <c r="P2725">
        <v>0.68203902383601944</v>
      </c>
      <c r="Q2725">
        <v>1.233461506004716</v>
      </c>
      <c r="R2725">
        <v>-9.2512477440533356</v>
      </c>
      <c r="S2725">
        <v>0.1826179051999223</v>
      </c>
      <c r="T2725">
        <v>0.1417482150357543</v>
      </c>
      <c r="U2725">
        <v>4.3319235655121711</v>
      </c>
      <c r="V2725">
        <v>0.21684688906752619</v>
      </c>
      <c r="W2725">
        <v>-3.9079867790393732</v>
      </c>
      <c r="X2725">
        <v>0.32387258266839952</v>
      </c>
      <c r="Z2725" t="s">
        <v>392</v>
      </c>
      <c r="AA2725">
        <v>9400</v>
      </c>
      <c r="AB2725" t="s">
        <v>3116</v>
      </c>
      <c r="AC2725" t="str">
        <f>HYPERLINK("plots/3FT6Y578R01_012_S11P_20251111092011_M5358ACSH101811_RBGEUFRF26/dpll_52094/txpa_53198.png","plot")</f>
        <v>plot</v>
      </c>
    </row>
    <row r="2726" spans="1:29" hidden="1" x14ac:dyDescent="0.35">
      <c r="A2726" t="s">
        <v>48</v>
      </c>
      <c r="B2726">
        <v>52094</v>
      </c>
      <c r="C2726" t="s">
        <v>53</v>
      </c>
      <c r="D2726">
        <v>53199</v>
      </c>
      <c r="E2726" t="s">
        <v>74</v>
      </c>
      <c r="F2726">
        <v>12240</v>
      </c>
      <c r="G2726">
        <v>0.82689153962341322</v>
      </c>
      <c r="H2726">
        <v>0</v>
      </c>
      <c r="I2726">
        <v>0</v>
      </c>
      <c r="J2726">
        <v>0.69984568038173256</v>
      </c>
      <c r="K2726">
        <v>0</v>
      </c>
      <c r="L2726">
        <v>0</v>
      </c>
      <c r="M2726">
        <v>0.50977883615161823</v>
      </c>
      <c r="N2726">
        <v>0</v>
      </c>
      <c r="O2726">
        <v>0</v>
      </c>
      <c r="P2726">
        <v>0.68374961830077874</v>
      </c>
      <c r="Q2726">
        <v>1.2463885041708589</v>
      </c>
      <c r="R2726">
        <v>-9.3282889407712304</v>
      </c>
      <c r="S2726">
        <v>0.18377213060541289</v>
      </c>
      <c r="T2726">
        <v>0.1429075253189297</v>
      </c>
      <c r="U2726">
        <v>4.3319400696078434</v>
      </c>
      <c r="V2726">
        <v>0.21680883535870621</v>
      </c>
      <c r="W2726">
        <v>-3.9290086372549018</v>
      </c>
      <c r="X2726">
        <v>0.32679986073727679</v>
      </c>
      <c r="Z2726" t="s">
        <v>392</v>
      </c>
      <c r="AA2726">
        <v>9400</v>
      </c>
      <c r="AB2726" t="s">
        <v>3117</v>
      </c>
      <c r="AC2726" t="str">
        <f>HYPERLINK("plots/3FT6Y578R01_012_S11P_20251111092011_M5358ACSH101811_RBGEUFRF26/dpll_52094/txpa_53199.png","plot")</f>
        <v>plot</v>
      </c>
    </row>
    <row r="2727" spans="1:29" hidden="1" x14ac:dyDescent="0.35">
      <c r="A2727" t="s">
        <v>48</v>
      </c>
      <c r="B2727">
        <v>52094</v>
      </c>
      <c r="C2727" t="s">
        <v>53</v>
      </c>
      <c r="D2727">
        <v>53200</v>
      </c>
      <c r="E2727" t="s">
        <v>75</v>
      </c>
      <c r="F2727">
        <v>12240</v>
      </c>
      <c r="G2727">
        <v>0.82976338212834944</v>
      </c>
      <c r="H2727">
        <v>0</v>
      </c>
      <c r="I2727">
        <v>0</v>
      </c>
      <c r="J2727">
        <v>0.70884811678377535</v>
      </c>
      <c r="K2727">
        <v>0</v>
      </c>
      <c r="L2727">
        <v>0</v>
      </c>
      <c r="M2727">
        <v>0.51802875058010545</v>
      </c>
      <c r="N2727">
        <v>0</v>
      </c>
      <c r="O2727">
        <v>0</v>
      </c>
      <c r="P2727">
        <v>0.68850727032107728</v>
      </c>
      <c r="Q2727">
        <v>1.2485400679812391</v>
      </c>
      <c r="R2727">
        <v>-9.3554586628051624</v>
      </c>
      <c r="S2727">
        <v>0.18204594710357211</v>
      </c>
      <c r="T2727">
        <v>0.1415987750774142</v>
      </c>
      <c r="U2727">
        <v>4.331890278839869</v>
      </c>
      <c r="V2727">
        <v>0.21678367779622049</v>
      </c>
      <c r="W2727">
        <v>-3.9469200795751629</v>
      </c>
      <c r="X2727">
        <v>0.32619312160855229</v>
      </c>
      <c r="Z2727" t="s">
        <v>392</v>
      </c>
      <c r="AA2727">
        <v>9400</v>
      </c>
      <c r="AB2727" t="s">
        <v>3118</v>
      </c>
      <c r="AC2727" t="str">
        <f>HYPERLINK("plots/3FT6Y578R01_012_S11P_20251111092011_M5358ACSH101811_RBGEUFRF26/dpll_52094/txpa_53200.png","plot")</f>
        <v>plot</v>
      </c>
    </row>
    <row r="2728" spans="1:29" hidden="1" x14ac:dyDescent="0.35">
      <c r="A2728" t="s">
        <v>48</v>
      </c>
      <c r="B2728">
        <v>52094</v>
      </c>
      <c r="C2728" t="s">
        <v>53</v>
      </c>
      <c r="D2728">
        <v>53201</v>
      </c>
      <c r="E2728" t="s">
        <v>76</v>
      </c>
      <c r="F2728">
        <v>12241</v>
      </c>
      <c r="G2728">
        <v>0.82905011327516465</v>
      </c>
      <c r="H2728">
        <v>0</v>
      </c>
      <c r="I2728">
        <v>0</v>
      </c>
      <c r="J2728">
        <v>0.70520413177866936</v>
      </c>
      <c r="K2728">
        <v>0</v>
      </c>
      <c r="L2728">
        <v>0</v>
      </c>
      <c r="M2728">
        <v>0.51565509377072738</v>
      </c>
      <c r="N2728">
        <v>0</v>
      </c>
      <c r="O2728">
        <v>0</v>
      </c>
      <c r="P2728">
        <v>0.68732409032156339</v>
      </c>
      <c r="Q2728">
        <v>1.2465207663086419</v>
      </c>
      <c r="R2728">
        <v>-9.3359344411127552</v>
      </c>
      <c r="S2728">
        <v>0.1822717122912744</v>
      </c>
      <c r="T2728">
        <v>0.1409261145954642</v>
      </c>
      <c r="U2728">
        <v>4.3319753201535818</v>
      </c>
      <c r="V2728">
        <v>0.21680588545298299</v>
      </c>
      <c r="W2728">
        <v>-3.9360372454047869</v>
      </c>
      <c r="X2728">
        <v>0.32597913461158651</v>
      </c>
      <c r="Z2728" t="s">
        <v>392</v>
      </c>
      <c r="AA2728">
        <v>9400</v>
      </c>
      <c r="AB2728" t="s">
        <v>3119</v>
      </c>
      <c r="AC2728" t="str">
        <f>HYPERLINK("plots/3FT6Y578R01_012_S11P_20251111092011_M5358ACSH101811_RBGEUFRF26/dpll_52094/txpa_53201.png","plot")</f>
        <v>plot</v>
      </c>
    </row>
    <row r="2729" spans="1:29" hidden="1" x14ac:dyDescent="0.35">
      <c r="A2729" t="s">
        <v>48</v>
      </c>
      <c r="B2729">
        <v>52094</v>
      </c>
      <c r="C2729" t="s">
        <v>53</v>
      </c>
      <c r="D2729">
        <v>53202</v>
      </c>
      <c r="E2729" t="s">
        <v>77</v>
      </c>
      <c r="F2729">
        <v>12237</v>
      </c>
      <c r="G2729">
        <v>0.82448558537632399</v>
      </c>
      <c r="H2729">
        <v>0</v>
      </c>
      <c r="I2729">
        <v>0</v>
      </c>
      <c r="J2729">
        <v>0.6964722698969501</v>
      </c>
      <c r="K2729">
        <v>0</v>
      </c>
      <c r="L2729">
        <v>0</v>
      </c>
      <c r="M2729">
        <v>0.50782198265119105</v>
      </c>
      <c r="N2729">
        <v>0</v>
      </c>
      <c r="O2729">
        <v>0</v>
      </c>
      <c r="P2729">
        <v>0.67977648049333961</v>
      </c>
      <c r="Q2729">
        <v>1.2379334465856759</v>
      </c>
      <c r="R2729">
        <v>-9.3262872954101663</v>
      </c>
      <c r="S2729">
        <v>0.1842021144364801</v>
      </c>
      <c r="T2729">
        <v>0.14279855735569269</v>
      </c>
      <c r="U2729">
        <v>4.3320421161232332</v>
      </c>
      <c r="V2729">
        <v>0.21680610839409331</v>
      </c>
      <c r="W2729">
        <v>-3.9635074678434261</v>
      </c>
      <c r="X2729">
        <v>0.32552604650161882</v>
      </c>
      <c r="Z2729" t="s">
        <v>392</v>
      </c>
      <c r="AA2729">
        <v>9400</v>
      </c>
      <c r="AB2729" t="s">
        <v>3120</v>
      </c>
      <c r="AC2729" t="str">
        <f>HYPERLINK("plots/3FT6Y578R01_012_S11P_20251111092011_M5358ACSH101811_RBGEUFRF26/dpll_52094/txpa_53202.png","plot")</f>
        <v>plot</v>
      </c>
    </row>
    <row r="2730" spans="1:29" hidden="1" x14ac:dyDescent="0.35">
      <c r="A2730" t="s">
        <v>48</v>
      </c>
      <c r="B2730">
        <v>52094</v>
      </c>
      <c r="C2730" t="s">
        <v>53</v>
      </c>
      <c r="D2730">
        <v>53203</v>
      </c>
      <c r="E2730" t="s">
        <v>78</v>
      </c>
      <c r="F2730">
        <v>12241</v>
      </c>
      <c r="G2730">
        <v>0.81880183111123672</v>
      </c>
      <c r="H2730">
        <v>0</v>
      </c>
      <c r="I2730">
        <v>0</v>
      </c>
      <c r="J2730">
        <v>0.70467685466726659</v>
      </c>
      <c r="K2730">
        <v>0</v>
      </c>
      <c r="L2730">
        <v>0</v>
      </c>
      <c r="M2730">
        <v>0.51237958324776833</v>
      </c>
      <c r="N2730">
        <v>0</v>
      </c>
      <c r="O2730">
        <v>0</v>
      </c>
      <c r="P2730">
        <v>0.67043643863111424</v>
      </c>
      <c r="Q2730">
        <v>1.2696435249592191</v>
      </c>
      <c r="R2730">
        <v>-6.5378811266421106</v>
      </c>
      <c r="S2730">
        <v>0.192997492793651</v>
      </c>
      <c r="T2730">
        <v>0.1462255034470035</v>
      </c>
      <c r="U2730">
        <v>4.331967701903439</v>
      </c>
      <c r="V2730">
        <v>0.21681874017982869</v>
      </c>
      <c r="W2730">
        <v>-1.037826383587942</v>
      </c>
      <c r="X2730">
        <v>0.3362016291359966</v>
      </c>
      <c r="Z2730" t="s">
        <v>392</v>
      </c>
      <c r="AA2730">
        <v>9400</v>
      </c>
      <c r="AB2730" t="s">
        <v>3121</v>
      </c>
      <c r="AC2730" t="str">
        <f>HYPERLINK("plots/3FT6Y578R01_012_S11P_20251111092011_M5358ACSH101811_RBGEUFRF26/dpll_52094/txpa_53203.png","plot")</f>
        <v>plot</v>
      </c>
    </row>
    <row r="2731" spans="1:29" hidden="1" x14ac:dyDescent="0.35">
      <c r="A2731" t="s">
        <v>48</v>
      </c>
      <c r="B2731">
        <v>52094</v>
      </c>
      <c r="C2731" t="s">
        <v>53</v>
      </c>
      <c r="D2731">
        <v>53204</v>
      </c>
      <c r="E2731" t="s">
        <v>79</v>
      </c>
      <c r="F2731">
        <v>12239</v>
      </c>
      <c r="G2731">
        <v>0.83190283577122892</v>
      </c>
      <c r="H2731">
        <v>0</v>
      </c>
      <c r="I2731">
        <v>0</v>
      </c>
      <c r="J2731">
        <v>0.71653549556509621</v>
      </c>
      <c r="K2731">
        <v>0</v>
      </c>
      <c r="L2731">
        <v>0</v>
      </c>
      <c r="M2731">
        <v>0.52503711933070241</v>
      </c>
      <c r="N2731">
        <v>0</v>
      </c>
      <c r="O2731">
        <v>0</v>
      </c>
      <c r="P2731">
        <v>0.69206232816421231</v>
      </c>
      <c r="Q2731">
        <v>1.284737940156139</v>
      </c>
      <c r="R2731">
        <v>-6.5674802161631574</v>
      </c>
      <c r="S2731">
        <v>0.1857751608605368</v>
      </c>
      <c r="T2731">
        <v>0.14240935722781339</v>
      </c>
      <c r="U2731">
        <v>4.3319941963395703</v>
      </c>
      <c r="V2731">
        <v>0.21678639981202771</v>
      </c>
      <c r="W2731">
        <v>-1.0020029155895089</v>
      </c>
      <c r="X2731">
        <v>0.33479115681841531</v>
      </c>
      <c r="Z2731" t="s">
        <v>392</v>
      </c>
      <c r="AA2731">
        <v>9400</v>
      </c>
      <c r="AB2731" t="s">
        <v>3122</v>
      </c>
      <c r="AC2731" t="str">
        <f>HYPERLINK("plots/3FT6Y578R01_012_S11P_20251111092011_M5358ACSH101811_RBGEUFRF26/dpll_52094/txpa_53204.png","plot")</f>
        <v>plot</v>
      </c>
    </row>
    <row r="2732" spans="1:29" hidden="1" x14ac:dyDescent="0.35">
      <c r="A2732" t="s">
        <v>48</v>
      </c>
      <c r="B2732">
        <v>52094</v>
      </c>
      <c r="C2732" t="s">
        <v>53</v>
      </c>
      <c r="D2732">
        <v>53205</v>
      </c>
      <c r="E2732" t="s">
        <v>80</v>
      </c>
      <c r="F2732">
        <v>12242</v>
      </c>
      <c r="G2732">
        <v>0.82850602113806449</v>
      </c>
      <c r="H2732">
        <v>0</v>
      </c>
      <c r="I2732">
        <v>0</v>
      </c>
      <c r="J2732">
        <v>0.71044258542571526</v>
      </c>
      <c r="K2732">
        <v>0</v>
      </c>
      <c r="L2732">
        <v>0</v>
      </c>
      <c r="M2732">
        <v>0.51923866272349128</v>
      </c>
      <c r="N2732">
        <v>0</v>
      </c>
      <c r="O2732">
        <v>0</v>
      </c>
      <c r="P2732">
        <v>0.68642222706202694</v>
      </c>
      <c r="Q2732">
        <v>1.2690449475565</v>
      </c>
      <c r="R2732">
        <v>-6.4884870651703999</v>
      </c>
      <c r="S2732">
        <v>0.18599017755210381</v>
      </c>
      <c r="T2732">
        <v>0.14189258318760381</v>
      </c>
      <c r="U2732">
        <v>4.3319229125142948</v>
      </c>
      <c r="V2732">
        <v>0.21684717891130981</v>
      </c>
      <c r="W2732">
        <v>-0.99108217983989544</v>
      </c>
      <c r="X2732">
        <v>0.3321506540305757</v>
      </c>
      <c r="Z2732" t="s">
        <v>392</v>
      </c>
      <c r="AA2732">
        <v>9400</v>
      </c>
      <c r="AB2732" t="s">
        <v>3123</v>
      </c>
      <c r="AC2732" t="str">
        <f>HYPERLINK("plots/3FT6Y578R01_012_S11P_20251111092011_M5358ACSH101811_RBGEUFRF26/dpll_52094/txpa_53205.png","plot")</f>
        <v>plot</v>
      </c>
    </row>
    <row r="2733" spans="1:29" hidden="1" x14ac:dyDescent="0.35">
      <c r="A2733" t="s">
        <v>48</v>
      </c>
      <c r="B2733">
        <v>52094</v>
      </c>
      <c r="C2733" t="s">
        <v>53</v>
      </c>
      <c r="D2733">
        <v>53206</v>
      </c>
      <c r="E2733" t="s">
        <v>81</v>
      </c>
      <c r="F2733">
        <v>12241</v>
      </c>
      <c r="G2733">
        <v>0.83769344425075898</v>
      </c>
      <c r="H2733">
        <v>0</v>
      </c>
      <c r="I2733">
        <v>0</v>
      </c>
      <c r="J2733">
        <v>0.71848172079522665</v>
      </c>
      <c r="K2733">
        <v>0</v>
      </c>
      <c r="L2733">
        <v>0</v>
      </c>
      <c r="M2733">
        <v>0.52675186666557705</v>
      </c>
      <c r="N2733">
        <v>0</v>
      </c>
      <c r="O2733">
        <v>0</v>
      </c>
      <c r="P2733">
        <v>0.70173030654069946</v>
      </c>
      <c r="Q2733">
        <v>1.286519247702524</v>
      </c>
      <c r="R2733">
        <v>-6.533474348134197</v>
      </c>
      <c r="S2733">
        <v>0.18185969597644611</v>
      </c>
      <c r="T2733">
        <v>0.1403434219587841</v>
      </c>
      <c r="U2733">
        <v>4.331954029164284</v>
      </c>
      <c r="V2733">
        <v>0.21682954847098279</v>
      </c>
      <c r="W2733">
        <v>-0.96033210945184222</v>
      </c>
      <c r="X2733">
        <v>0.33300414309445558</v>
      </c>
      <c r="Z2733" t="s">
        <v>392</v>
      </c>
      <c r="AA2733">
        <v>9400</v>
      </c>
      <c r="AB2733" t="s">
        <v>3124</v>
      </c>
      <c r="AC2733" t="str">
        <f>HYPERLINK("plots/3FT6Y578R01_012_S11P_20251111092011_M5358ACSH101811_RBGEUFRF26/dpll_52094/txpa_53206.png","plot")</f>
        <v>plot</v>
      </c>
    </row>
    <row r="2734" spans="1:29" hidden="1" x14ac:dyDescent="0.35">
      <c r="A2734" t="s">
        <v>48</v>
      </c>
      <c r="B2734">
        <v>52094</v>
      </c>
      <c r="C2734" t="s">
        <v>53</v>
      </c>
      <c r="D2734">
        <v>53207</v>
      </c>
      <c r="E2734" t="s">
        <v>82</v>
      </c>
      <c r="F2734">
        <v>12240</v>
      </c>
      <c r="G2734">
        <v>0.83803919132724647</v>
      </c>
      <c r="H2734">
        <v>0</v>
      </c>
      <c r="I2734">
        <v>0</v>
      </c>
      <c r="J2734">
        <v>0.71750640206972682</v>
      </c>
      <c r="K2734">
        <v>0</v>
      </c>
      <c r="L2734">
        <v>0</v>
      </c>
      <c r="M2734">
        <v>0.52544326308502909</v>
      </c>
      <c r="N2734">
        <v>0</v>
      </c>
      <c r="O2734">
        <v>0</v>
      </c>
      <c r="P2734">
        <v>0.70230968620042522</v>
      </c>
      <c r="Q2734">
        <v>1.2972809627324819</v>
      </c>
      <c r="R2734">
        <v>-6.6008640348989696</v>
      </c>
      <c r="S2734">
        <v>0.18310967964198011</v>
      </c>
      <c r="T2734">
        <v>0.14170983903168891</v>
      </c>
      <c r="U2734">
        <v>4.3319400696078434</v>
      </c>
      <c r="V2734">
        <v>0.21680883535870621</v>
      </c>
      <c r="W2734">
        <v>-0.98112065089869283</v>
      </c>
      <c r="X2734">
        <v>0.33561911850160769</v>
      </c>
      <c r="Z2734" t="s">
        <v>392</v>
      </c>
      <c r="AA2734">
        <v>9400</v>
      </c>
      <c r="AB2734" t="s">
        <v>3125</v>
      </c>
      <c r="AC2734" t="str">
        <f>HYPERLINK("plots/3FT6Y578R01_012_S11P_20251111092011_M5358ACSH101811_RBGEUFRF26/dpll_52094/txpa_53207.png","plot")</f>
        <v>plot</v>
      </c>
    </row>
    <row r="2735" spans="1:29" hidden="1" x14ac:dyDescent="0.35">
      <c r="A2735" t="s">
        <v>48</v>
      </c>
      <c r="B2735">
        <v>52094</v>
      </c>
      <c r="C2735" t="s">
        <v>53</v>
      </c>
      <c r="D2735">
        <v>53208</v>
      </c>
      <c r="E2735" t="s">
        <v>83</v>
      </c>
      <c r="F2735">
        <v>12240</v>
      </c>
      <c r="G2735">
        <v>0.84145618424687718</v>
      </c>
      <c r="H2735">
        <v>0</v>
      </c>
      <c r="I2735">
        <v>0</v>
      </c>
      <c r="J2735">
        <v>0.72707306926318338</v>
      </c>
      <c r="K2735">
        <v>0</v>
      </c>
      <c r="L2735">
        <v>0</v>
      </c>
      <c r="M2735">
        <v>0.53437375772750506</v>
      </c>
      <c r="N2735">
        <v>0</v>
      </c>
      <c r="O2735">
        <v>0</v>
      </c>
      <c r="P2735">
        <v>0.7080485100073145</v>
      </c>
      <c r="Q2735">
        <v>1.3027514497582251</v>
      </c>
      <c r="R2735">
        <v>-6.6377507735257302</v>
      </c>
      <c r="S2735">
        <v>0.1813402645578869</v>
      </c>
      <c r="T2735">
        <v>0.14024905089130671</v>
      </c>
      <c r="U2735">
        <v>4.331890278839869</v>
      </c>
      <c r="V2735">
        <v>0.21678367779622049</v>
      </c>
      <c r="W2735">
        <v>-0.99437443257352942</v>
      </c>
      <c r="X2735">
        <v>0.3356268048415551</v>
      </c>
      <c r="Z2735" t="s">
        <v>392</v>
      </c>
      <c r="AA2735">
        <v>9400</v>
      </c>
      <c r="AB2735" t="s">
        <v>3126</v>
      </c>
      <c r="AC2735" t="str">
        <f>HYPERLINK("plots/3FT6Y578R01_012_S11P_20251111092011_M5358ACSH101811_RBGEUFRF26/dpll_52094/txpa_53208.png","plot")</f>
        <v>plot</v>
      </c>
    </row>
    <row r="2736" spans="1:29" hidden="1" x14ac:dyDescent="0.35">
      <c r="A2736" t="s">
        <v>48</v>
      </c>
      <c r="B2736">
        <v>52094</v>
      </c>
      <c r="C2736" t="s">
        <v>53</v>
      </c>
      <c r="D2736">
        <v>53209</v>
      </c>
      <c r="E2736" t="s">
        <v>84</v>
      </c>
      <c r="F2736">
        <v>12241</v>
      </c>
      <c r="G2736">
        <v>0.84011516212018111</v>
      </c>
      <c r="H2736">
        <v>0</v>
      </c>
      <c r="I2736">
        <v>0</v>
      </c>
      <c r="J2736">
        <v>0.72265666936142903</v>
      </c>
      <c r="K2736">
        <v>0</v>
      </c>
      <c r="L2736">
        <v>0</v>
      </c>
      <c r="M2736">
        <v>0.53102602049174541</v>
      </c>
      <c r="N2736">
        <v>0</v>
      </c>
      <c r="O2736">
        <v>0</v>
      </c>
      <c r="P2736">
        <v>0.70579348562421818</v>
      </c>
      <c r="Q2736">
        <v>1.2987954349818751</v>
      </c>
      <c r="R2736">
        <v>-6.6104546863549052</v>
      </c>
      <c r="S2736">
        <v>0.1817947764891846</v>
      </c>
      <c r="T2736">
        <v>0.13995117305925731</v>
      </c>
      <c r="U2736">
        <v>4.3319753201535818</v>
      </c>
      <c r="V2736">
        <v>0.21680588545298299</v>
      </c>
      <c r="W2736">
        <v>-0.98410491608528716</v>
      </c>
      <c r="X2736">
        <v>0.33517606513957388</v>
      </c>
      <c r="Z2736" t="s">
        <v>392</v>
      </c>
      <c r="AA2736">
        <v>9400</v>
      </c>
      <c r="AB2736" t="s">
        <v>3127</v>
      </c>
      <c r="AC2736" t="str">
        <f>HYPERLINK("plots/3FT6Y578R01_012_S11P_20251111092011_M5358ACSH101811_RBGEUFRF26/dpll_52094/txpa_53209.png","plot")</f>
        <v>plot</v>
      </c>
    </row>
    <row r="2737" spans="1:29" hidden="1" x14ac:dyDescent="0.35">
      <c r="A2737" t="s">
        <v>48</v>
      </c>
      <c r="B2737">
        <v>52094</v>
      </c>
      <c r="C2737" t="s">
        <v>53</v>
      </c>
      <c r="D2737">
        <v>53210</v>
      </c>
      <c r="E2737" t="s">
        <v>85</v>
      </c>
      <c r="F2737">
        <v>12235</v>
      </c>
      <c r="G2737">
        <v>0.83603795672212655</v>
      </c>
      <c r="H2737">
        <v>0</v>
      </c>
      <c r="I2737">
        <v>0</v>
      </c>
      <c r="J2737">
        <v>0.71331315363121861</v>
      </c>
      <c r="K2737">
        <v>0</v>
      </c>
      <c r="L2737">
        <v>0</v>
      </c>
      <c r="M2737">
        <v>0.52288970593928219</v>
      </c>
      <c r="N2737">
        <v>0</v>
      </c>
      <c r="O2737">
        <v>0</v>
      </c>
      <c r="P2737">
        <v>0.69895946508010831</v>
      </c>
      <c r="Q2737">
        <v>1.285676551592696</v>
      </c>
      <c r="R2737">
        <v>-6.5753013540972471</v>
      </c>
      <c r="S2737">
        <v>0.18291676803155471</v>
      </c>
      <c r="T2737">
        <v>0.14128202332096609</v>
      </c>
      <c r="U2737">
        <v>4.3320857962402943</v>
      </c>
      <c r="V2737">
        <v>0.21679689176247041</v>
      </c>
      <c r="W2737">
        <v>-1.005640226383326</v>
      </c>
      <c r="X2737">
        <v>0.33339476749358798</v>
      </c>
      <c r="Z2737" t="s">
        <v>392</v>
      </c>
      <c r="AA2737">
        <v>9400</v>
      </c>
      <c r="AB2737" t="s">
        <v>3128</v>
      </c>
      <c r="AC2737" t="str">
        <f>HYPERLINK("plots/3FT6Y578R01_012_S11P_20251111092011_M5358ACSH101811_RBGEUFRF26/dpll_52094/txpa_53210.png","plot")</f>
        <v>plot</v>
      </c>
    </row>
    <row r="2738" spans="1:29" hidden="1" x14ac:dyDescent="0.35">
      <c r="A2738" t="s">
        <v>48</v>
      </c>
      <c r="B2738">
        <v>52094</v>
      </c>
      <c r="C2738" t="s">
        <v>53</v>
      </c>
      <c r="D2738">
        <v>53211</v>
      </c>
      <c r="E2738" t="s">
        <v>86</v>
      </c>
      <c r="F2738">
        <v>12238</v>
      </c>
      <c r="G2738">
        <v>0.83507750396059643</v>
      </c>
      <c r="H2738">
        <v>0</v>
      </c>
      <c r="I2738">
        <v>0</v>
      </c>
      <c r="J2738">
        <v>0.72668062097428521</v>
      </c>
      <c r="K2738">
        <v>0</v>
      </c>
      <c r="L2738">
        <v>0</v>
      </c>
      <c r="M2738">
        <v>0.53247884998810824</v>
      </c>
      <c r="N2738">
        <v>0</v>
      </c>
      <c r="O2738">
        <v>0</v>
      </c>
      <c r="P2738">
        <v>0.69735443762105997</v>
      </c>
      <c r="Q2738">
        <v>1.4352016826705569</v>
      </c>
      <c r="R2738">
        <v>-3.9157479553671308</v>
      </c>
      <c r="S2738">
        <v>0.2049398529720759</v>
      </c>
      <c r="T2738">
        <v>0.1540225184271786</v>
      </c>
      <c r="U2738">
        <v>4.3320586041836906</v>
      </c>
      <c r="V2738">
        <v>0.21676584801412349</v>
      </c>
      <c r="W2738">
        <v>2.3016298427847679</v>
      </c>
      <c r="X2738">
        <v>0.37254351642797912</v>
      </c>
      <c r="Z2738" t="s">
        <v>392</v>
      </c>
      <c r="AA2738">
        <v>9400</v>
      </c>
      <c r="AB2738" t="s">
        <v>3129</v>
      </c>
      <c r="AC2738" t="str">
        <f>HYPERLINK("plots/3FT6Y578R01_012_S11P_20251111092011_M5358ACSH101811_RBGEUFRF26/dpll_52094/txpa_53211.png","plot")</f>
        <v>plot</v>
      </c>
    </row>
    <row r="2739" spans="1:29" hidden="1" x14ac:dyDescent="0.35">
      <c r="A2739" t="s">
        <v>48</v>
      </c>
      <c r="B2739">
        <v>52094</v>
      </c>
      <c r="C2739" t="s">
        <v>53</v>
      </c>
      <c r="D2739">
        <v>53212</v>
      </c>
      <c r="E2739" t="s">
        <v>87</v>
      </c>
      <c r="F2739">
        <v>12235</v>
      </c>
      <c r="G2739">
        <v>0.8471789381568251</v>
      </c>
      <c r="H2739">
        <v>0</v>
      </c>
      <c r="I2739">
        <v>0</v>
      </c>
      <c r="J2739">
        <v>0.73764244464316231</v>
      </c>
      <c r="K2739">
        <v>0</v>
      </c>
      <c r="L2739">
        <v>0</v>
      </c>
      <c r="M2739">
        <v>0.54460795044997623</v>
      </c>
      <c r="N2739">
        <v>0</v>
      </c>
      <c r="O2739">
        <v>0</v>
      </c>
      <c r="P2739">
        <v>0.71771215325652571</v>
      </c>
      <c r="Q2739">
        <v>1.4525873122751469</v>
      </c>
      <c r="R2739">
        <v>-3.956697756048567</v>
      </c>
      <c r="S2739">
        <v>0.1974331415140235</v>
      </c>
      <c r="T2739">
        <v>0.150490754470334</v>
      </c>
      <c r="U2739">
        <v>4.3321054752758483</v>
      </c>
      <c r="V2739">
        <v>0.21673278812879429</v>
      </c>
      <c r="W2739">
        <v>2.3360636927748271</v>
      </c>
      <c r="X2739">
        <v>0.37161369813424971</v>
      </c>
      <c r="Z2739" t="s">
        <v>392</v>
      </c>
      <c r="AA2739">
        <v>9400</v>
      </c>
      <c r="AB2739" t="s">
        <v>3130</v>
      </c>
      <c r="AC2739" t="str">
        <f>HYPERLINK("plots/3FT6Y578R01_012_S11P_20251111092011_M5358ACSH101811_RBGEUFRF26/dpll_52094/txpa_53212.png","plot")</f>
        <v>plot</v>
      </c>
    </row>
    <row r="2740" spans="1:29" hidden="1" x14ac:dyDescent="0.35">
      <c r="A2740" t="s">
        <v>48</v>
      </c>
      <c r="B2740">
        <v>52094</v>
      </c>
      <c r="C2740" t="s">
        <v>53</v>
      </c>
      <c r="D2740">
        <v>53213</v>
      </c>
      <c r="E2740" t="s">
        <v>88</v>
      </c>
      <c r="F2740">
        <v>12239</v>
      </c>
      <c r="G2740">
        <v>0.84461131246851551</v>
      </c>
      <c r="H2740">
        <v>0</v>
      </c>
      <c r="I2740">
        <v>0</v>
      </c>
      <c r="J2740">
        <v>0.7320783751993718</v>
      </c>
      <c r="K2740">
        <v>0</v>
      </c>
      <c r="L2740">
        <v>0</v>
      </c>
      <c r="M2740">
        <v>0.5390685966064992</v>
      </c>
      <c r="N2740">
        <v>0</v>
      </c>
      <c r="O2740">
        <v>0</v>
      </c>
      <c r="P2740">
        <v>0.71336826914978835</v>
      </c>
      <c r="Q2740">
        <v>1.4383846728743981</v>
      </c>
      <c r="R2740">
        <v>-3.8848270380586141</v>
      </c>
      <c r="S2740">
        <v>0.1976594733531335</v>
      </c>
      <c r="T2740">
        <v>0.1495798718214065</v>
      </c>
      <c r="U2740">
        <v>4.3320114170275348</v>
      </c>
      <c r="V2740">
        <v>0.2167979099350843</v>
      </c>
      <c r="W2740">
        <v>2.346271786910695</v>
      </c>
      <c r="X2740">
        <v>0.36920982013658948</v>
      </c>
      <c r="Z2740" t="s">
        <v>392</v>
      </c>
      <c r="AA2740">
        <v>9400</v>
      </c>
      <c r="AB2740" t="s">
        <v>3131</v>
      </c>
      <c r="AC2740" t="str">
        <f>HYPERLINK("plots/3FT6Y578R01_012_S11P_20251111092011_M5358ACSH101811_RBGEUFRF26/dpll_52094/txpa_53213.png","plot")</f>
        <v>plot</v>
      </c>
    </row>
    <row r="2741" spans="1:29" hidden="1" x14ac:dyDescent="0.35">
      <c r="A2741" t="s">
        <v>48</v>
      </c>
      <c r="B2741">
        <v>52094</v>
      </c>
      <c r="C2741" t="s">
        <v>53</v>
      </c>
      <c r="D2741">
        <v>53214</v>
      </c>
      <c r="E2741" t="s">
        <v>89</v>
      </c>
      <c r="F2741">
        <v>12240</v>
      </c>
      <c r="G2741">
        <v>0.85260717637016792</v>
      </c>
      <c r="H2741">
        <v>0</v>
      </c>
      <c r="I2741">
        <v>0</v>
      </c>
      <c r="J2741">
        <v>0.74060557657522919</v>
      </c>
      <c r="K2741">
        <v>0</v>
      </c>
      <c r="L2741">
        <v>0</v>
      </c>
      <c r="M2741">
        <v>0.54741137860491118</v>
      </c>
      <c r="N2741">
        <v>0</v>
      </c>
      <c r="O2741">
        <v>0</v>
      </c>
      <c r="P2741">
        <v>0.72693899719791066</v>
      </c>
      <c r="Q2741">
        <v>1.4544806162663899</v>
      </c>
      <c r="R2741">
        <v>-3.928310799054763</v>
      </c>
      <c r="S2741">
        <v>0.19327818692829379</v>
      </c>
      <c r="T2741">
        <v>0.14797971443517899</v>
      </c>
      <c r="U2741">
        <v>4.3319748101307187</v>
      </c>
      <c r="V2741">
        <v>0.2168262156955765</v>
      </c>
      <c r="W2741">
        <v>2.372462592434641</v>
      </c>
      <c r="X2741">
        <v>0.36988842759950041</v>
      </c>
      <c r="Z2741" t="s">
        <v>392</v>
      </c>
      <c r="AA2741">
        <v>9400</v>
      </c>
      <c r="AB2741" t="s">
        <v>3132</v>
      </c>
      <c r="AC2741" t="str">
        <f>HYPERLINK("plots/3FT6Y578R01_012_S11P_20251111092011_M5358ACSH101811_RBGEUFRF26/dpll_52094/txpa_53214.png","plot")</f>
        <v>plot</v>
      </c>
    </row>
    <row r="2742" spans="1:29" hidden="1" x14ac:dyDescent="0.35">
      <c r="A2742" t="s">
        <v>48</v>
      </c>
      <c r="B2742">
        <v>52094</v>
      </c>
      <c r="C2742" t="s">
        <v>53</v>
      </c>
      <c r="D2742">
        <v>53215</v>
      </c>
      <c r="E2742" t="s">
        <v>90</v>
      </c>
      <c r="F2742">
        <v>12237</v>
      </c>
      <c r="G2742">
        <v>0.85306079821438707</v>
      </c>
      <c r="H2742">
        <v>0</v>
      </c>
      <c r="I2742">
        <v>0</v>
      </c>
      <c r="J2742">
        <v>0.74054243635221062</v>
      </c>
      <c r="K2742">
        <v>0</v>
      </c>
      <c r="L2742">
        <v>0</v>
      </c>
      <c r="M2742">
        <v>0.54682809764421747</v>
      </c>
      <c r="N2742">
        <v>0</v>
      </c>
      <c r="O2742">
        <v>0</v>
      </c>
      <c r="P2742">
        <v>0.72771272545016719</v>
      </c>
      <c r="Q2742">
        <v>1.4645369526914029</v>
      </c>
      <c r="R2742">
        <v>-3.9937464981809709</v>
      </c>
      <c r="S2742">
        <v>0.194182789172336</v>
      </c>
      <c r="T2742">
        <v>0.14916576195339279</v>
      </c>
      <c r="U2742">
        <v>4.3320238376236011</v>
      </c>
      <c r="V2742">
        <v>0.21676764474084309</v>
      </c>
      <c r="W2742">
        <v>2.350662491958813</v>
      </c>
      <c r="X2742">
        <v>0.37214724499749352</v>
      </c>
      <c r="Z2742" t="s">
        <v>392</v>
      </c>
      <c r="AA2742">
        <v>9400</v>
      </c>
      <c r="AB2742" t="s">
        <v>3133</v>
      </c>
      <c r="AC2742" t="str">
        <f>HYPERLINK("plots/3FT6Y578R01_012_S11P_20251111092011_M5358ACSH101811_RBGEUFRF26/dpll_52094/txpa_53215.png","plot")</f>
        <v>plot</v>
      </c>
    </row>
    <row r="2743" spans="1:29" hidden="1" x14ac:dyDescent="0.35">
      <c r="A2743" t="s">
        <v>48</v>
      </c>
      <c r="B2743">
        <v>52094</v>
      </c>
      <c r="C2743" t="s">
        <v>53</v>
      </c>
      <c r="D2743">
        <v>53216</v>
      </c>
      <c r="E2743" t="s">
        <v>91</v>
      </c>
      <c r="F2743">
        <v>12237</v>
      </c>
      <c r="G2743">
        <v>0.85546464348556561</v>
      </c>
      <c r="H2743">
        <v>0</v>
      </c>
      <c r="I2743">
        <v>0</v>
      </c>
      <c r="J2743">
        <v>0.74568416326761999</v>
      </c>
      <c r="K2743">
        <v>0</v>
      </c>
      <c r="L2743">
        <v>0</v>
      </c>
      <c r="M2743">
        <v>0.55191798669368275</v>
      </c>
      <c r="N2743">
        <v>0</v>
      </c>
      <c r="O2743">
        <v>0</v>
      </c>
      <c r="P2743">
        <v>0.73181975625388584</v>
      </c>
      <c r="Q2743">
        <v>1.471165762522604</v>
      </c>
      <c r="R2743">
        <v>-4.0309451445548117</v>
      </c>
      <c r="S2743">
        <v>0.193048222473196</v>
      </c>
      <c r="T2743">
        <v>0.14867044072349481</v>
      </c>
      <c r="U2743">
        <v>4.331949707281197</v>
      </c>
      <c r="V2743">
        <v>0.21677571027902651</v>
      </c>
      <c r="W2743">
        <v>2.3420709497671002</v>
      </c>
      <c r="X2743">
        <v>0.37279507170468368</v>
      </c>
      <c r="Z2743" t="s">
        <v>392</v>
      </c>
      <c r="AA2743">
        <v>9400</v>
      </c>
      <c r="AB2743" t="s">
        <v>3134</v>
      </c>
      <c r="AC2743" t="str">
        <f>HYPERLINK("plots/3FT6Y578R01_012_S11P_20251111092011_M5358ACSH101811_RBGEUFRF26/dpll_52094/txpa_53216.png","plot")</f>
        <v>plot</v>
      </c>
    </row>
    <row r="2744" spans="1:29" hidden="1" x14ac:dyDescent="0.35">
      <c r="A2744" t="s">
        <v>48</v>
      </c>
      <c r="B2744">
        <v>52094</v>
      </c>
      <c r="C2744" t="s">
        <v>53</v>
      </c>
      <c r="D2744">
        <v>53217</v>
      </c>
      <c r="E2744" t="s">
        <v>92</v>
      </c>
      <c r="F2744">
        <v>12236</v>
      </c>
      <c r="G2744">
        <v>0.8546874848872954</v>
      </c>
      <c r="H2744">
        <v>0</v>
      </c>
      <c r="I2744">
        <v>0</v>
      </c>
      <c r="J2744">
        <v>0.74139085023294027</v>
      </c>
      <c r="K2744">
        <v>0</v>
      </c>
      <c r="L2744">
        <v>0</v>
      </c>
      <c r="M2744">
        <v>0.54877125639838964</v>
      </c>
      <c r="N2744">
        <v>0</v>
      </c>
      <c r="O2744">
        <v>0</v>
      </c>
      <c r="P2744">
        <v>0.73049069682297085</v>
      </c>
      <c r="Q2744">
        <v>1.46639366477775</v>
      </c>
      <c r="R2744">
        <v>-4.0005251386667817</v>
      </c>
      <c r="S2744">
        <v>0.19307278632849759</v>
      </c>
      <c r="T2744">
        <v>0.14804813695433169</v>
      </c>
      <c r="U2744">
        <v>4.3320855531219351</v>
      </c>
      <c r="V2744">
        <v>0.2167747529051165</v>
      </c>
      <c r="W2744">
        <v>2.3520176717064398</v>
      </c>
      <c r="X2744">
        <v>0.37192205334063422</v>
      </c>
      <c r="Z2744" t="s">
        <v>392</v>
      </c>
      <c r="AA2744">
        <v>9400</v>
      </c>
      <c r="AB2744" t="s">
        <v>3135</v>
      </c>
      <c r="AC2744" t="str">
        <f>HYPERLINK("plots/3FT6Y578R01_012_S11P_20251111092011_M5358ACSH101811_RBGEUFRF26/dpll_52094/txpa_53217.png","plot")</f>
        <v>plot</v>
      </c>
    </row>
    <row r="2745" spans="1:29" hidden="1" x14ac:dyDescent="0.35">
      <c r="A2745" t="s">
        <v>48</v>
      </c>
      <c r="B2745">
        <v>52094</v>
      </c>
      <c r="C2745" t="s">
        <v>53</v>
      </c>
      <c r="D2745">
        <v>53218</v>
      </c>
      <c r="E2745" t="s">
        <v>93</v>
      </c>
      <c r="F2745">
        <v>12232</v>
      </c>
      <c r="G2745">
        <v>0.85118195636135074</v>
      </c>
      <c r="H2745">
        <v>0</v>
      </c>
      <c r="I2745">
        <v>0</v>
      </c>
      <c r="J2745">
        <v>0.73498071976877877</v>
      </c>
      <c r="K2745">
        <v>0</v>
      </c>
      <c r="L2745">
        <v>0</v>
      </c>
      <c r="M2745">
        <v>0.54291572645373476</v>
      </c>
      <c r="N2745">
        <v>0</v>
      </c>
      <c r="O2745">
        <v>0</v>
      </c>
      <c r="P2745">
        <v>0.7245107228351364</v>
      </c>
      <c r="Q2745">
        <v>1.451337659383539</v>
      </c>
      <c r="R2745">
        <v>-3.954564953264109</v>
      </c>
      <c r="S2745">
        <v>0.19397100637074499</v>
      </c>
      <c r="T2745">
        <v>0.1489864741567411</v>
      </c>
      <c r="U2745">
        <v>4.3321749636200133</v>
      </c>
      <c r="V2745">
        <v>0.21674853292530699</v>
      </c>
      <c r="W2745">
        <v>2.3328837184761282</v>
      </c>
      <c r="X2745">
        <v>0.36957469093374989</v>
      </c>
      <c r="Z2745" t="s">
        <v>392</v>
      </c>
      <c r="AA2745">
        <v>9400</v>
      </c>
      <c r="AB2745" t="s">
        <v>3136</v>
      </c>
      <c r="AC2745" t="str">
        <f>HYPERLINK("plots/3FT6Y578R01_012_S11P_20251111092011_M5358ACSH101811_RBGEUFRF26/dpll_52094/txpa_53218.png","plot")</f>
        <v>plot</v>
      </c>
    </row>
    <row r="2746" spans="1:29" hidden="1" x14ac:dyDescent="0.35">
      <c r="A2746" t="s">
        <v>48</v>
      </c>
      <c r="B2746">
        <v>52094</v>
      </c>
      <c r="C2746" t="s">
        <v>53</v>
      </c>
      <c r="D2746">
        <v>53219</v>
      </c>
      <c r="E2746" t="s">
        <v>94</v>
      </c>
      <c r="F2746">
        <v>12229</v>
      </c>
      <c r="G2746">
        <v>0.84359303622834858</v>
      </c>
      <c r="H2746">
        <v>0</v>
      </c>
      <c r="I2746">
        <v>0</v>
      </c>
      <c r="J2746">
        <v>0.73456804430010481</v>
      </c>
      <c r="K2746">
        <v>0</v>
      </c>
      <c r="L2746">
        <v>0</v>
      </c>
      <c r="M2746">
        <v>0.54033323914866527</v>
      </c>
      <c r="N2746">
        <v>0</v>
      </c>
      <c r="O2746">
        <v>0</v>
      </c>
      <c r="P2746">
        <v>0.71164921077296384</v>
      </c>
      <c r="Q2746">
        <v>1.581712723341608</v>
      </c>
      <c r="R2746">
        <v>-2.6916418162600562</v>
      </c>
      <c r="S2746">
        <v>0.21804572109836659</v>
      </c>
      <c r="T2746">
        <v>0.16387021354997261</v>
      </c>
      <c r="U2746">
        <v>4.3323504559653294</v>
      </c>
      <c r="V2746">
        <v>0.2165759019446368</v>
      </c>
      <c r="W2746">
        <v>4.16089202191512</v>
      </c>
      <c r="X2746">
        <v>0.40607359824422518</v>
      </c>
      <c r="Z2746" t="s">
        <v>392</v>
      </c>
      <c r="AA2746">
        <v>9400</v>
      </c>
      <c r="AB2746" t="s">
        <v>3137</v>
      </c>
      <c r="AC2746" t="str">
        <f>HYPERLINK("plots/3FT6Y578R01_012_S11P_20251111092011_M5358ACSH101811_RBGEUFRF26/dpll_52094/txpa_53219.png","plot")</f>
        <v>plot</v>
      </c>
    </row>
    <row r="2747" spans="1:29" hidden="1" x14ac:dyDescent="0.35">
      <c r="A2747" t="s">
        <v>48</v>
      </c>
      <c r="B2747">
        <v>52094</v>
      </c>
      <c r="C2747" t="s">
        <v>53</v>
      </c>
      <c r="D2747">
        <v>53220</v>
      </c>
      <c r="E2747" t="s">
        <v>95</v>
      </c>
      <c r="F2747">
        <v>12230</v>
      </c>
      <c r="G2747">
        <v>0.85499171226226611</v>
      </c>
      <c r="H2747">
        <v>0</v>
      </c>
      <c r="I2747">
        <v>0</v>
      </c>
      <c r="J2747">
        <v>0.74503484764400341</v>
      </c>
      <c r="K2747">
        <v>0</v>
      </c>
      <c r="L2747">
        <v>0</v>
      </c>
      <c r="M2747">
        <v>0.55206974493368077</v>
      </c>
      <c r="N2747">
        <v>0</v>
      </c>
      <c r="O2747">
        <v>0</v>
      </c>
      <c r="P2747">
        <v>0.73101082803716166</v>
      </c>
      <c r="Q2747">
        <v>1.6041383748642739</v>
      </c>
      <c r="R2747">
        <v>-2.7541118272966938</v>
      </c>
      <c r="S2747">
        <v>0.21085278700168369</v>
      </c>
      <c r="T2747">
        <v>0.16080726538484441</v>
      </c>
      <c r="U2747">
        <v>4.3322225804578904</v>
      </c>
      <c r="V2747">
        <v>0.21669544352034689</v>
      </c>
      <c r="W2747">
        <v>4.1953726624693379</v>
      </c>
      <c r="X2747">
        <v>0.40656473229367879</v>
      </c>
      <c r="Z2747" t="s">
        <v>392</v>
      </c>
      <c r="AA2747">
        <v>9400</v>
      </c>
      <c r="AB2747" t="s">
        <v>3138</v>
      </c>
      <c r="AC2747" t="str">
        <f>HYPERLINK("plots/3FT6Y578R01_012_S11P_20251111092011_M5358ACSH101811_RBGEUFRF26/dpll_52094/txpa_53220.png","plot")</f>
        <v>plot</v>
      </c>
    </row>
    <row r="2748" spans="1:29" hidden="1" x14ac:dyDescent="0.35">
      <c r="A2748" t="s">
        <v>48</v>
      </c>
      <c r="B2748">
        <v>52094</v>
      </c>
      <c r="C2748" t="s">
        <v>53</v>
      </c>
      <c r="D2748">
        <v>53221</v>
      </c>
      <c r="E2748" t="s">
        <v>96</v>
      </c>
      <c r="F2748">
        <v>12231</v>
      </c>
      <c r="G2748">
        <v>0.85295073690168177</v>
      </c>
      <c r="H2748">
        <v>0</v>
      </c>
      <c r="I2748">
        <v>0</v>
      </c>
      <c r="J2748">
        <v>0.73968393863489112</v>
      </c>
      <c r="K2748">
        <v>0</v>
      </c>
      <c r="L2748">
        <v>0</v>
      </c>
      <c r="M2748">
        <v>0.54671480359356461</v>
      </c>
      <c r="N2748">
        <v>0</v>
      </c>
      <c r="O2748">
        <v>0</v>
      </c>
      <c r="P2748">
        <v>0.72752495958112195</v>
      </c>
      <c r="Q2748">
        <v>1.587891985593501</v>
      </c>
      <c r="R2748">
        <v>-2.6728655048728869</v>
      </c>
      <c r="S2748">
        <v>0.21056516905442099</v>
      </c>
      <c r="T2748">
        <v>0.1596180732623742</v>
      </c>
      <c r="U2748">
        <v>4.3322305065816371</v>
      </c>
      <c r="V2748">
        <v>0.21669251843931439</v>
      </c>
      <c r="W2748">
        <v>4.2062485962717684</v>
      </c>
      <c r="X2748">
        <v>0.4034046733082563</v>
      </c>
      <c r="Z2748" t="s">
        <v>392</v>
      </c>
      <c r="AA2748">
        <v>9400</v>
      </c>
      <c r="AB2748" t="s">
        <v>3139</v>
      </c>
      <c r="AC2748" t="str">
        <f>HYPERLINK("plots/3FT6Y578R01_012_S11P_20251111092011_M5358ACSH101811_RBGEUFRF26/dpll_52094/txpa_53221.png","plot")</f>
        <v>plot</v>
      </c>
    </row>
    <row r="2749" spans="1:29" hidden="1" x14ac:dyDescent="0.35">
      <c r="A2749" t="s">
        <v>48</v>
      </c>
      <c r="B2749">
        <v>52094</v>
      </c>
      <c r="C2749" t="s">
        <v>53</v>
      </c>
      <c r="D2749">
        <v>53222</v>
      </c>
      <c r="E2749" t="s">
        <v>97</v>
      </c>
      <c r="F2749">
        <v>12234</v>
      </c>
      <c r="G2749">
        <v>0.86024929493646052</v>
      </c>
      <c r="H2749">
        <v>0</v>
      </c>
      <c r="I2749">
        <v>0</v>
      </c>
      <c r="J2749">
        <v>0.748411979480887</v>
      </c>
      <c r="K2749">
        <v>0</v>
      </c>
      <c r="L2749">
        <v>0</v>
      </c>
      <c r="M2749">
        <v>0.55519711714778464</v>
      </c>
      <c r="N2749">
        <v>0</v>
      </c>
      <c r="O2749">
        <v>0</v>
      </c>
      <c r="P2749">
        <v>0.74002884943867742</v>
      </c>
      <c r="Q2749">
        <v>1.6054161461102161</v>
      </c>
      <c r="R2749">
        <v>-2.7250574505204028</v>
      </c>
      <c r="S2749">
        <v>0.20624431911896249</v>
      </c>
      <c r="T2749">
        <v>0.15784195704510709</v>
      </c>
      <c r="U2749">
        <v>4.3321245067026313</v>
      </c>
      <c r="V2749">
        <v>0.21675736652354971</v>
      </c>
      <c r="W2749">
        <v>4.2298051794997553</v>
      </c>
      <c r="X2749">
        <v>0.40451736264537069</v>
      </c>
      <c r="Z2749" t="s">
        <v>392</v>
      </c>
      <c r="AA2749">
        <v>9400</v>
      </c>
      <c r="AB2749" t="s">
        <v>3140</v>
      </c>
      <c r="AC2749" t="str">
        <f>HYPERLINK("plots/3FT6Y578R01_012_S11P_20251111092011_M5358ACSH101811_RBGEUFRF26/dpll_52094/txpa_53222.png","plot")</f>
        <v>plot</v>
      </c>
    </row>
    <row r="2750" spans="1:29" hidden="1" x14ac:dyDescent="0.35">
      <c r="A2750" t="s">
        <v>48</v>
      </c>
      <c r="B2750">
        <v>52094</v>
      </c>
      <c r="C2750" t="s">
        <v>53</v>
      </c>
      <c r="D2750">
        <v>53223</v>
      </c>
      <c r="E2750" t="s">
        <v>98</v>
      </c>
      <c r="F2750">
        <v>12234</v>
      </c>
      <c r="G2750">
        <v>0.85998832654786339</v>
      </c>
      <c r="H2750">
        <v>0</v>
      </c>
      <c r="I2750">
        <v>0</v>
      </c>
      <c r="J2750">
        <v>0.74839654812856193</v>
      </c>
      <c r="K2750">
        <v>0</v>
      </c>
      <c r="L2750">
        <v>0</v>
      </c>
      <c r="M2750">
        <v>0.55468372782406539</v>
      </c>
      <c r="N2750">
        <v>0</v>
      </c>
      <c r="O2750">
        <v>0</v>
      </c>
      <c r="P2750">
        <v>0.73957992179859455</v>
      </c>
      <c r="Q2750">
        <v>1.6166976950418139</v>
      </c>
      <c r="R2750">
        <v>-2.797582848988041</v>
      </c>
      <c r="S2750">
        <v>0.20789055349047</v>
      </c>
      <c r="T2750">
        <v>0.15938314637523759</v>
      </c>
      <c r="U2750">
        <v>4.3321183464933792</v>
      </c>
      <c r="V2750">
        <v>0.21671002901968359</v>
      </c>
      <c r="W2750">
        <v>4.2061428964361616</v>
      </c>
      <c r="X2750">
        <v>0.40739460477905443</v>
      </c>
      <c r="Z2750" t="s">
        <v>392</v>
      </c>
      <c r="AA2750">
        <v>9400</v>
      </c>
      <c r="AB2750" t="s">
        <v>3141</v>
      </c>
      <c r="AC2750" t="str">
        <f>HYPERLINK("plots/3FT6Y578R01_012_S11P_20251111092011_M5358ACSH101811_RBGEUFRF26/dpll_52094/txpa_53223.png","plot")</f>
        <v>plot</v>
      </c>
    </row>
    <row r="2751" spans="1:29" hidden="1" x14ac:dyDescent="0.35">
      <c r="A2751" t="s">
        <v>48</v>
      </c>
      <c r="B2751">
        <v>52094</v>
      </c>
      <c r="C2751" t="s">
        <v>53</v>
      </c>
      <c r="D2751">
        <v>53224</v>
      </c>
      <c r="E2751" t="s">
        <v>99</v>
      </c>
      <c r="F2751">
        <v>12231</v>
      </c>
      <c r="G2751">
        <v>0.86259420005426823</v>
      </c>
      <c r="H2751">
        <v>0</v>
      </c>
      <c r="I2751">
        <v>0</v>
      </c>
      <c r="J2751">
        <v>0.75229554202295768</v>
      </c>
      <c r="K2751">
        <v>0</v>
      </c>
      <c r="L2751">
        <v>0</v>
      </c>
      <c r="M2751">
        <v>0.55881777144780342</v>
      </c>
      <c r="N2751">
        <v>0</v>
      </c>
      <c r="O2751">
        <v>0</v>
      </c>
      <c r="P2751">
        <v>0.74406875396726291</v>
      </c>
      <c r="Q2751">
        <v>1.6221163577488871</v>
      </c>
      <c r="R2751">
        <v>-2.8262929984889311</v>
      </c>
      <c r="S2751">
        <v>0.20615208953396419</v>
      </c>
      <c r="T2751">
        <v>0.15878651365035759</v>
      </c>
      <c r="U2751">
        <v>4.3321101747199737</v>
      </c>
      <c r="V2751">
        <v>0.21670471965103991</v>
      </c>
      <c r="W2751">
        <v>4.2008937794947263</v>
      </c>
      <c r="X2751">
        <v>0.40751522619236641</v>
      </c>
      <c r="Z2751" t="s">
        <v>392</v>
      </c>
      <c r="AA2751">
        <v>9400</v>
      </c>
      <c r="AB2751" t="s">
        <v>3142</v>
      </c>
      <c r="AC2751" t="str">
        <f>HYPERLINK("plots/3FT6Y578R01_012_S11P_20251111092011_M5358ACSH101811_RBGEUFRF26/dpll_52094/txpa_53224.png","plot")</f>
        <v>plot</v>
      </c>
    </row>
    <row r="2752" spans="1:29" hidden="1" x14ac:dyDescent="0.35">
      <c r="A2752" t="s">
        <v>48</v>
      </c>
      <c r="B2752">
        <v>52094</v>
      </c>
      <c r="C2752" t="s">
        <v>53</v>
      </c>
      <c r="D2752">
        <v>53225</v>
      </c>
      <c r="E2752" t="s">
        <v>100</v>
      </c>
      <c r="F2752">
        <v>12227</v>
      </c>
      <c r="G2752">
        <v>0.86228056100710704</v>
      </c>
      <c r="H2752">
        <v>0</v>
      </c>
      <c r="I2752">
        <v>0</v>
      </c>
      <c r="J2752">
        <v>0.74801780073043977</v>
      </c>
      <c r="K2752">
        <v>0</v>
      </c>
      <c r="L2752">
        <v>0</v>
      </c>
      <c r="M2752">
        <v>0.55568668876444605</v>
      </c>
      <c r="N2752">
        <v>0</v>
      </c>
      <c r="O2752">
        <v>0</v>
      </c>
      <c r="P2752">
        <v>0.74352776589073122</v>
      </c>
      <c r="Q2752">
        <v>1.6164611341170601</v>
      </c>
      <c r="R2752">
        <v>-2.7925394914924371</v>
      </c>
      <c r="S2752">
        <v>0.20569387281856669</v>
      </c>
      <c r="T2752">
        <v>0.1579489698337827</v>
      </c>
      <c r="U2752">
        <v>4.3323160121043589</v>
      </c>
      <c r="V2752">
        <v>0.21667173787876881</v>
      </c>
      <c r="W2752">
        <v>4.2104809627872726</v>
      </c>
      <c r="X2752">
        <v>0.40618037675992802</v>
      </c>
      <c r="Z2752" t="s">
        <v>392</v>
      </c>
      <c r="AA2752">
        <v>9400</v>
      </c>
      <c r="AB2752" t="s">
        <v>3143</v>
      </c>
      <c r="AC2752" t="str">
        <f>HYPERLINK("plots/3FT6Y578R01_012_S11P_20251111092011_M5358ACSH101811_RBGEUFRF26/dpll_52094/txpa_53225.png","plot")</f>
        <v>plot</v>
      </c>
    </row>
    <row r="2753" spans="1:29" hidden="1" x14ac:dyDescent="0.35">
      <c r="A2753" t="s">
        <v>48</v>
      </c>
      <c r="B2753">
        <v>52094</v>
      </c>
      <c r="C2753" t="s">
        <v>53</v>
      </c>
      <c r="D2753">
        <v>53226</v>
      </c>
      <c r="E2753" t="s">
        <v>101</v>
      </c>
      <c r="F2753">
        <v>12225</v>
      </c>
      <c r="G2753">
        <v>0.85881753490941892</v>
      </c>
      <c r="H2753">
        <v>0</v>
      </c>
      <c r="I2753">
        <v>0</v>
      </c>
      <c r="J2753">
        <v>0.7428662818233942</v>
      </c>
      <c r="K2753">
        <v>0</v>
      </c>
      <c r="L2753">
        <v>0</v>
      </c>
      <c r="M2753">
        <v>0.55070278200275558</v>
      </c>
      <c r="N2753">
        <v>0</v>
      </c>
      <c r="O2753">
        <v>0</v>
      </c>
      <c r="P2753">
        <v>0.737567558267891</v>
      </c>
      <c r="Q2753">
        <v>1.600023948040495</v>
      </c>
      <c r="R2753">
        <v>-2.740204415317689</v>
      </c>
      <c r="S2753">
        <v>0.20676323957469989</v>
      </c>
      <c r="T2753">
        <v>0.1588485921773011</v>
      </c>
      <c r="U2753">
        <v>4.3323715152556241</v>
      </c>
      <c r="V2753">
        <v>0.2166490309917046</v>
      </c>
      <c r="W2753">
        <v>4.1916937608997964</v>
      </c>
      <c r="X2753">
        <v>0.40362897101659201</v>
      </c>
      <c r="Z2753" t="s">
        <v>392</v>
      </c>
      <c r="AA2753">
        <v>9400</v>
      </c>
      <c r="AB2753" t="s">
        <v>3144</v>
      </c>
      <c r="AC2753" t="str">
        <f>HYPERLINK("plots/3FT6Y578R01_012_S11P_20251111092011_M5358ACSH101811_RBGEUFRF26/dpll_52094/txpa_53226.png","plot")</f>
        <v>plot</v>
      </c>
    </row>
    <row r="2754" spans="1:29" hidden="1" x14ac:dyDescent="0.35">
      <c r="A2754" t="s">
        <v>48</v>
      </c>
      <c r="B2754">
        <v>52094</v>
      </c>
      <c r="C2754" t="s">
        <v>53</v>
      </c>
      <c r="D2754">
        <v>53227</v>
      </c>
      <c r="E2754" t="s">
        <v>102</v>
      </c>
      <c r="F2754">
        <v>12200</v>
      </c>
      <c r="G2754">
        <v>0.85449251396455805</v>
      </c>
      <c r="H2754">
        <v>0</v>
      </c>
      <c r="I2754">
        <v>0</v>
      </c>
      <c r="J2754">
        <v>0.73959508861548584</v>
      </c>
      <c r="K2754">
        <v>0</v>
      </c>
      <c r="L2754">
        <v>0</v>
      </c>
      <c r="M2754">
        <v>0.54618882081139453</v>
      </c>
      <c r="N2754">
        <v>0</v>
      </c>
      <c r="O2754">
        <v>0</v>
      </c>
      <c r="P2754">
        <v>0.73015745642147045</v>
      </c>
      <c r="Q2754">
        <v>1.79456125846716</v>
      </c>
      <c r="R2754">
        <v>-1.3952571569694401</v>
      </c>
      <c r="S2754">
        <v>0.23598260593851639</v>
      </c>
      <c r="T2754">
        <v>0.1792984413942513</v>
      </c>
      <c r="U2754">
        <v>4.333029738360656</v>
      </c>
      <c r="V2754">
        <v>0.21631794867034171</v>
      </c>
      <c r="W2754">
        <v>6.3806301432786876</v>
      </c>
      <c r="X2754">
        <v>0.45429983744829422</v>
      </c>
      <c r="Z2754" t="s">
        <v>392</v>
      </c>
      <c r="AA2754">
        <v>9400</v>
      </c>
      <c r="AB2754" t="s">
        <v>3145</v>
      </c>
      <c r="AC2754" t="str">
        <f>HYPERLINK("plots/3FT6Y578R01_012_S11P_20251111092011_M5358ACSH101811_RBGEUFRF26/dpll_52094/txpa_53227.png","plot")</f>
        <v>plot</v>
      </c>
    </row>
    <row r="2755" spans="1:29" hidden="1" x14ac:dyDescent="0.35">
      <c r="A2755" t="s">
        <v>48</v>
      </c>
      <c r="B2755">
        <v>52094</v>
      </c>
      <c r="C2755" t="s">
        <v>53</v>
      </c>
      <c r="D2755">
        <v>53228</v>
      </c>
      <c r="E2755" t="s">
        <v>103</v>
      </c>
      <c r="F2755">
        <v>12215</v>
      </c>
      <c r="G2755">
        <v>0.86250201205933408</v>
      </c>
      <c r="H2755">
        <v>0</v>
      </c>
      <c r="I2755">
        <v>0</v>
      </c>
      <c r="J2755">
        <v>0.74973321134488813</v>
      </c>
      <c r="K2755">
        <v>0</v>
      </c>
      <c r="L2755">
        <v>0</v>
      </c>
      <c r="M2755">
        <v>0.55729693667998204</v>
      </c>
      <c r="N2755">
        <v>0</v>
      </c>
      <c r="O2755">
        <v>0</v>
      </c>
      <c r="P2755">
        <v>0.74390972080639972</v>
      </c>
      <c r="Q2755">
        <v>1.8250119200451329</v>
      </c>
      <c r="R2755">
        <v>-1.492239283245143</v>
      </c>
      <c r="S2755">
        <v>0.23187923595857041</v>
      </c>
      <c r="T2755">
        <v>0.17769501101124549</v>
      </c>
      <c r="U2755">
        <v>4.332576371346704</v>
      </c>
      <c r="V2755">
        <v>0.21655963122278299</v>
      </c>
      <c r="W2755">
        <v>6.4147642389684814</v>
      </c>
      <c r="X2755">
        <v>0.45822954944593047</v>
      </c>
      <c r="Z2755" t="s">
        <v>392</v>
      </c>
      <c r="AA2755">
        <v>9400</v>
      </c>
      <c r="AB2755" t="s">
        <v>3146</v>
      </c>
      <c r="AC2755" t="str">
        <f>HYPERLINK("plots/3FT6Y578R01_012_S11P_20251111092011_M5358ACSH101811_RBGEUFRF26/dpll_52094/txpa_53228.png","plot")</f>
        <v>plot</v>
      </c>
    </row>
    <row r="2756" spans="1:29" hidden="1" x14ac:dyDescent="0.35">
      <c r="A2756" t="s">
        <v>48</v>
      </c>
      <c r="B2756">
        <v>52094</v>
      </c>
      <c r="C2756" t="s">
        <v>53</v>
      </c>
      <c r="D2756">
        <v>53229</v>
      </c>
      <c r="E2756" t="s">
        <v>104</v>
      </c>
      <c r="F2756">
        <v>12207</v>
      </c>
      <c r="G2756">
        <v>0.86212856955256378</v>
      </c>
      <c r="H2756">
        <v>0</v>
      </c>
      <c r="I2756">
        <v>0</v>
      </c>
      <c r="J2756">
        <v>0.74424769021746373</v>
      </c>
      <c r="K2756">
        <v>0</v>
      </c>
      <c r="L2756">
        <v>0</v>
      </c>
      <c r="M2756">
        <v>0.55197581501455695</v>
      </c>
      <c r="N2756">
        <v>0</v>
      </c>
      <c r="O2756">
        <v>0</v>
      </c>
      <c r="P2756">
        <v>0.7432656704387498</v>
      </c>
      <c r="Q2756">
        <v>1.8037699691050419</v>
      </c>
      <c r="R2756">
        <v>-1.3881828417985409</v>
      </c>
      <c r="S2756">
        <v>0.22946799582403429</v>
      </c>
      <c r="T2756">
        <v>0.1756272925713605</v>
      </c>
      <c r="U2756">
        <v>4.3328059472433864</v>
      </c>
      <c r="V2756">
        <v>0.2164655676670949</v>
      </c>
      <c r="W2756">
        <v>6.4272024077988039</v>
      </c>
      <c r="X2756">
        <v>0.45289543125316301</v>
      </c>
      <c r="Z2756" t="s">
        <v>392</v>
      </c>
      <c r="AA2756">
        <v>9400</v>
      </c>
      <c r="AB2756" t="s">
        <v>3147</v>
      </c>
      <c r="AC2756" t="str">
        <f>HYPERLINK("plots/3FT6Y578R01_012_S11P_20251111092011_M5358ACSH101811_RBGEUFRF26/dpll_52094/txpa_53229.png","plot")</f>
        <v>plot</v>
      </c>
    </row>
    <row r="2757" spans="1:29" hidden="1" x14ac:dyDescent="0.35">
      <c r="A2757" t="s">
        <v>48</v>
      </c>
      <c r="B2757">
        <v>52094</v>
      </c>
      <c r="C2757" t="s">
        <v>53</v>
      </c>
      <c r="D2757">
        <v>53230</v>
      </c>
      <c r="E2757" t="s">
        <v>105</v>
      </c>
      <c r="F2757">
        <v>12215</v>
      </c>
      <c r="G2757">
        <v>0.86767245033484452</v>
      </c>
      <c r="H2757">
        <v>0</v>
      </c>
      <c r="I2757">
        <v>0</v>
      </c>
      <c r="J2757">
        <v>0.75255412622502316</v>
      </c>
      <c r="K2757">
        <v>0</v>
      </c>
      <c r="L2757">
        <v>0</v>
      </c>
      <c r="M2757">
        <v>0.56015943184906625</v>
      </c>
      <c r="N2757">
        <v>0</v>
      </c>
      <c r="O2757">
        <v>0</v>
      </c>
      <c r="P2757">
        <v>0.75285548107007327</v>
      </c>
      <c r="Q2757">
        <v>1.8243123945016011</v>
      </c>
      <c r="R2757">
        <v>-1.455907824154306</v>
      </c>
      <c r="S2757">
        <v>0.2263435192327623</v>
      </c>
      <c r="T2757">
        <v>0.17423499766172779</v>
      </c>
      <c r="U2757">
        <v>4.3326057484240694</v>
      </c>
      <c r="V2757">
        <v>0.21655436885894391</v>
      </c>
      <c r="W2757">
        <v>6.4481185431846084</v>
      </c>
      <c r="X2757">
        <v>0.45531331441995571</v>
      </c>
      <c r="Z2757" t="s">
        <v>392</v>
      </c>
      <c r="AA2757">
        <v>9400</v>
      </c>
      <c r="AB2757" t="s">
        <v>3148</v>
      </c>
      <c r="AC2757" t="str">
        <f>HYPERLINK("plots/3FT6Y578R01_012_S11P_20251111092011_M5358ACSH101811_RBGEUFRF26/dpll_52094/txpa_53230.png","plot")</f>
        <v>plot</v>
      </c>
    </row>
    <row r="2758" spans="1:29" hidden="1" x14ac:dyDescent="0.35">
      <c r="A2758" t="s">
        <v>48</v>
      </c>
      <c r="B2758">
        <v>52094</v>
      </c>
      <c r="C2758" t="s">
        <v>53</v>
      </c>
      <c r="D2758">
        <v>53231</v>
      </c>
      <c r="E2758" t="s">
        <v>106</v>
      </c>
      <c r="F2758">
        <v>12208</v>
      </c>
      <c r="G2758">
        <v>0.867694719834053</v>
      </c>
      <c r="H2758">
        <v>0</v>
      </c>
      <c r="I2758">
        <v>0</v>
      </c>
      <c r="J2758">
        <v>0.75243346034324476</v>
      </c>
      <c r="K2758">
        <v>0</v>
      </c>
      <c r="L2758">
        <v>0</v>
      </c>
      <c r="M2758">
        <v>0.55970778173812741</v>
      </c>
      <c r="N2758">
        <v>0</v>
      </c>
      <c r="O2758">
        <v>0</v>
      </c>
      <c r="P2758">
        <v>0.75289412682789569</v>
      </c>
      <c r="Q2758">
        <v>1.8319498147467279</v>
      </c>
      <c r="R2758">
        <v>-1.513909079171146</v>
      </c>
      <c r="S2758">
        <v>0.2270943235697874</v>
      </c>
      <c r="T2758">
        <v>0.1752902589878747</v>
      </c>
      <c r="U2758">
        <v>4.3328168375655309</v>
      </c>
      <c r="V2758">
        <v>0.216389366424631</v>
      </c>
      <c r="W2758">
        <v>6.4235939237385322</v>
      </c>
      <c r="X2758">
        <v>0.45685936617267769</v>
      </c>
      <c r="Z2758" t="s">
        <v>392</v>
      </c>
      <c r="AA2758">
        <v>9400</v>
      </c>
      <c r="AB2758" t="s">
        <v>3149</v>
      </c>
      <c r="AC2758" t="str">
        <f>HYPERLINK("plots/3FT6Y578R01_012_S11P_20251111092011_M5358ACSH101811_RBGEUFRF26/dpll_52094/txpa_53231.png","plot")</f>
        <v>plot</v>
      </c>
    </row>
    <row r="2759" spans="1:29" hidden="1" x14ac:dyDescent="0.35">
      <c r="A2759" t="s">
        <v>48</v>
      </c>
      <c r="B2759">
        <v>52094</v>
      </c>
      <c r="C2759" t="s">
        <v>53</v>
      </c>
      <c r="D2759">
        <v>53232</v>
      </c>
      <c r="E2759" t="s">
        <v>107</v>
      </c>
      <c r="F2759">
        <v>12217</v>
      </c>
      <c r="G2759">
        <v>0.86838278545556058</v>
      </c>
      <c r="H2759">
        <v>0</v>
      </c>
      <c r="I2759">
        <v>0</v>
      </c>
      <c r="J2759">
        <v>0.75548849528361461</v>
      </c>
      <c r="K2759">
        <v>0</v>
      </c>
      <c r="L2759">
        <v>0</v>
      </c>
      <c r="M2759">
        <v>0.56285809374601281</v>
      </c>
      <c r="N2759">
        <v>0</v>
      </c>
      <c r="O2759">
        <v>0</v>
      </c>
      <c r="P2759">
        <v>0.75408866207555814</v>
      </c>
      <c r="Q2759">
        <v>1.8429471086782201</v>
      </c>
      <c r="R2759">
        <v>-1.5650996165575499</v>
      </c>
      <c r="S2759">
        <v>0.2278433616306198</v>
      </c>
      <c r="T2759">
        <v>0.17586181810488841</v>
      </c>
      <c r="U2759">
        <v>4.332507509863305</v>
      </c>
      <c r="V2759">
        <v>0.2165026479202751</v>
      </c>
      <c r="W2759">
        <v>6.4194825720717041</v>
      </c>
      <c r="X2759">
        <v>0.45947816526156671</v>
      </c>
      <c r="Z2759" t="s">
        <v>392</v>
      </c>
      <c r="AA2759">
        <v>9400</v>
      </c>
      <c r="AB2759" t="s">
        <v>3150</v>
      </c>
      <c r="AC2759" t="str">
        <f>HYPERLINK("plots/3FT6Y578R01_012_S11P_20251111092011_M5358ACSH101811_RBGEUFRF26/dpll_52094/txpa_53232.png","plot")</f>
        <v>plot</v>
      </c>
    </row>
    <row r="2760" spans="1:29" hidden="1" x14ac:dyDescent="0.35">
      <c r="A2760" t="s">
        <v>48</v>
      </c>
      <c r="B2760">
        <v>52094</v>
      </c>
      <c r="C2760" t="s">
        <v>53</v>
      </c>
      <c r="D2760">
        <v>53233</v>
      </c>
      <c r="E2760" t="s">
        <v>108</v>
      </c>
      <c r="F2760">
        <v>12205</v>
      </c>
      <c r="G2760">
        <v>0.86982442729601595</v>
      </c>
      <c r="H2760">
        <v>0</v>
      </c>
      <c r="I2760">
        <v>0</v>
      </c>
      <c r="J2760">
        <v>0.75146560903838699</v>
      </c>
      <c r="K2760">
        <v>0</v>
      </c>
      <c r="L2760">
        <v>0</v>
      </c>
      <c r="M2760">
        <v>0.56014315858697927</v>
      </c>
      <c r="N2760">
        <v>0</v>
      </c>
      <c r="O2760">
        <v>0</v>
      </c>
      <c r="P2760">
        <v>0.75659453432084212</v>
      </c>
      <c r="Q2760">
        <v>1.834006115838372</v>
      </c>
      <c r="R2760">
        <v>-1.516618844044622</v>
      </c>
      <c r="S2760">
        <v>0.22514998153771371</v>
      </c>
      <c r="T2760">
        <v>0.17398091105784469</v>
      </c>
      <c r="U2760">
        <v>4.3328637181483014</v>
      </c>
      <c r="V2760">
        <v>0.21644889112748711</v>
      </c>
      <c r="W2760">
        <v>6.4298797141335511</v>
      </c>
      <c r="X2760">
        <v>0.45637783630460221</v>
      </c>
      <c r="Z2760" t="s">
        <v>392</v>
      </c>
      <c r="AA2760">
        <v>9400</v>
      </c>
      <c r="AB2760" t="s">
        <v>3151</v>
      </c>
      <c r="AC2760" t="str">
        <f>HYPERLINK("plots/3FT6Y578R01_012_S11P_20251111092011_M5358ACSH101811_RBGEUFRF26/dpll_52094/txpa_53233.png","plot")</f>
        <v>plot</v>
      </c>
    </row>
    <row r="2761" spans="1:29" hidden="1" x14ac:dyDescent="0.35">
      <c r="A2761" t="s">
        <v>48</v>
      </c>
      <c r="B2761">
        <v>52094</v>
      </c>
      <c r="C2761" t="s">
        <v>53</v>
      </c>
      <c r="D2761">
        <v>53234</v>
      </c>
      <c r="E2761" t="s">
        <v>109</v>
      </c>
      <c r="F2761">
        <v>12195</v>
      </c>
      <c r="G2761">
        <v>0.866446600696272</v>
      </c>
      <c r="H2761">
        <v>0</v>
      </c>
      <c r="I2761">
        <v>0</v>
      </c>
      <c r="J2761">
        <v>0.74652837235664127</v>
      </c>
      <c r="K2761">
        <v>0</v>
      </c>
      <c r="L2761">
        <v>0</v>
      </c>
      <c r="M2761">
        <v>0.55523821070222246</v>
      </c>
      <c r="N2761">
        <v>0</v>
      </c>
      <c r="O2761">
        <v>0</v>
      </c>
      <c r="P2761">
        <v>0.75072971185812498</v>
      </c>
      <c r="Q2761">
        <v>1.811320113785295</v>
      </c>
      <c r="R2761">
        <v>-1.4369211918449301</v>
      </c>
      <c r="S2761">
        <v>0.22566689405795909</v>
      </c>
      <c r="T2761">
        <v>0.17466680282358471</v>
      </c>
      <c r="U2761">
        <v>4.3332006944649448</v>
      </c>
      <c r="V2761">
        <v>0.21622056265579431</v>
      </c>
      <c r="W2761">
        <v>6.4118923831078316</v>
      </c>
      <c r="X2761">
        <v>0.45201245389812839</v>
      </c>
      <c r="Z2761" t="s">
        <v>392</v>
      </c>
      <c r="AA2761">
        <v>9400</v>
      </c>
      <c r="AB2761" t="s">
        <v>3152</v>
      </c>
      <c r="AC2761" t="str">
        <f>HYPERLINK("plots/3FT6Y578R01_012_S11P_20251111092011_M5358ACSH101811_RBGEUFRF26/dpll_52094/txpa_53234.png","plot")</f>
        <v>plot</v>
      </c>
    </row>
    <row r="2762" spans="1:29" hidden="1" x14ac:dyDescent="0.35">
      <c r="A2762" t="s">
        <v>48</v>
      </c>
      <c r="B2762">
        <v>52094</v>
      </c>
      <c r="C2762" t="s">
        <v>53</v>
      </c>
      <c r="D2762">
        <v>53235</v>
      </c>
      <c r="E2762" t="s">
        <v>110</v>
      </c>
      <c r="F2762">
        <v>12187</v>
      </c>
      <c r="G2762">
        <v>0.85770139105163612</v>
      </c>
      <c r="H2762">
        <v>0</v>
      </c>
      <c r="I2762">
        <v>0</v>
      </c>
      <c r="J2762">
        <v>0.74012534334870239</v>
      </c>
      <c r="K2762">
        <v>0</v>
      </c>
      <c r="L2762">
        <v>0</v>
      </c>
      <c r="M2762">
        <v>0.54717097305632134</v>
      </c>
      <c r="N2762">
        <v>0</v>
      </c>
      <c r="O2762">
        <v>0</v>
      </c>
      <c r="P2762">
        <v>0.73565167621191163</v>
      </c>
      <c r="Q2762">
        <v>1.90002374707904</v>
      </c>
      <c r="R2762">
        <v>-0.87836400658182434</v>
      </c>
      <c r="S2762">
        <v>0.24623420123333159</v>
      </c>
      <c r="T2762">
        <v>0.1878706396236581</v>
      </c>
      <c r="U2762">
        <v>4.3333362802986786</v>
      </c>
      <c r="V2762">
        <v>0.21619965608328831</v>
      </c>
      <c r="W2762">
        <v>7.3550778300648236</v>
      </c>
      <c r="X2762">
        <v>0.4789364748084442</v>
      </c>
      <c r="Z2762" t="s">
        <v>392</v>
      </c>
      <c r="AA2762">
        <v>9400</v>
      </c>
      <c r="AB2762" t="s">
        <v>3153</v>
      </c>
      <c r="AC2762" t="str">
        <f>HYPERLINK("plots/3FT6Y578R01_012_S11P_20251111092011_M5358ACSH101811_RBGEUFRF26/dpll_52094/txpa_53235.png","plot")</f>
        <v>plot</v>
      </c>
    </row>
    <row r="2763" spans="1:29" hidden="1" x14ac:dyDescent="0.35">
      <c r="A2763" t="s">
        <v>48</v>
      </c>
      <c r="B2763">
        <v>52094</v>
      </c>
      <c r="C2763" t="s">
        <v>53</v>
      </c>
      <c r="D2763">
        <v>53236</v>
      </c>
      <c r="E2763" t="s">
        <v>111</v>
      </c>
      <c r="F2763">
        <v>12192</v>
      </c>
      <c r="G2763">
        <v>0.86576359127666425</v>
      </c>
      <c r="H2763">
        <v>0</v>
      </c>
      <c r="I2763">
        <v>0</v>
      </c>
      <c r="J2763">
        <v>0.74961912950188547</v>
      </c>
      <c r="K2763">
        <v>0</v>
      </c>
      <c r="L2763">
        <v>0</v>
      </c>
      <c r="M2763">
        <v>0.55773027457546032</v>
      </c>
      <c r="N2763">
        <v>0</v>
      </c>
      <c r="O2763">
        <v>0</v>
      </c>
      <c r="P2763">
        <v>0.74954659598026696</v>
      </c>
      <c r="Q2763">
        <v>1.925597982150048</v>
      </c>
      <c r="R2763">
        <v>-0.9529286868963176</v>
      </c>
      <c r="S2763">
        <v>0.24070391643004821</v>
      </c>
      <c r="T2763">
        <v>0.18566231510352041</v>
      </c>
      <c r="U2763">
        <v>4.3331881824967198</v>
      </c>
      <c r="V2763">
        <v>0.21625750817899539</v>
      </c>
      <c r="W2763">
        <v>7.3910497335957999</v>
      </c>
      <c r="X2763">
        <v>0.48099160737425561</v>
      </c>
      <c r="Z2763" t="s">
        <v>392</v>
      </c>
      <c r="AA2763">
        <v>9400</v>
      </c>
      <c r="AB2763" t="s">
        <v>3154</v>
      </c>
      <c r="AC2763" t="str">
        <f>HYPERLINK("plots/3FT6Y578R01_012_S11P_20251111092011_M5358ACSH101811_RBGEUFRF26/dpll_52094/txpa_53236.png","plot")</f>
        <v>plot</v>
      </c>
    </row>
    <row r="2764" spans="1:29" hidden="1" x14ac:dyDescent="0.35">
      <c r="A2764" t="s">
        <v>48</v>
      </c>
      <c r="B2764">
        <v>52094</v>
      </c>
      <c r="C2764" t="s">
        <v>53</v>
      </c>
      <c r="D2764">
        <v>53237</v>
      </c>
      <c r="E2764" t="s">
        <v>112</v>
      </c>
      <c r="F2764">
        <v>12188</v>
      </c>
      <c r="G2764">
        <v>0.86503583296314446</v>
      </c>
      <c r="H2764">
        <v>0</v>
      </c>
      <c r="I2764">
        <v>0</v>
      </c>
      <c r="J2764">
        <v>0.74440823968877268</v>
      </c>
      <c r="K2764">
        <v>0</v>
      </c>
      <c r="L2764">
        <v>0</v>
      </c>
      <c r="M2764">
        <v>0.55263462344880687</v>
      </c>
      <c r="N2764">
        <v>0</v>
      </c>
      <c r="O2764">
        <v>0</v>
      </c>
      <c r="P2764">
        <v>0.74828699231024121</v>
      </c>
      <c r="Q2764">
        <v>1.9054091075890669</v>
      </c>
      <c r="R2764">
        <v>-0.85350357817495048</v>
      </c>
      <c r="S2764">
        <v>0.23893164800864131</v>
      </c>
      <c r="T2764">
        <v>0.18381207736427041</v>
      </c>
      <c r="U2764">
        <v>4.3333251926485072</v>
      </c>
      <c r="V2764">
        <v>0.21621435650413701</v>
      </c>
      <c r="W2764">
        <v>7.403253710042665</v>
      </c>
      <c r="X2764">
        <v>0.47625403292633861</v>
      </c>
      <c r="Z2764" t="s">
        <v>392</v>
      </c>
      <c r="AA2764">
        <v>9400</v>
      </c>
      <c r="AB2764" t="s">
        <v>3155</v>
      </c>
      <c r="AC2764" t="str">
        <f>HYPERLINK("plots/3FT6Y578R01_012_S11P_20251111092011_M5358ACSH101811_RBGEUFRF26/dpll_52094/txpa_53237.png","plot")</f>
        <v>plot</v>
      </c>
    </row>
    <row r="2765" spans="1:29" hidden="1" x14ac:dyDescent="0.35">
      <c r="A2765" t="s">
        <v>48</v>
      </c>
      <c r="B2765">
        <v>52094</v>
      </c>
      <c r="C2765" t="s">
        <v>53</v>
      </c>
      <c r="D2765">
        <v>53238</v>
      </c>
      <c r="E2765" t="s">
        <v>113</v>
      </c>
      <c r="F2765">
        <v>12200</v>
      </c>
      <c r="G2765">
        <v>0.87007127871040124</v>
      </c>
      <c r="H2765">
        <v>0</v>
      </c>
      <c r="I2765">
        <v>0</v>
      </c>
      <c r="J2765">
        <v>0.75258860192391086</v>
      </c>
      <c r="K2765">
        <v>0</v>
      </c>
      <c r="L2765">
        <v>0</v>
      </c>
      <c r="M2765">
        <v>0.56071000411440575</v>
      </c>
      <c r="N2765">
        <v>0</v>
      </c>
      <c r="O2765">
        <v>0</v>
      </c>
      <c r="P2765">
        <v>0.75702403003675267</v>
      </c>
      <c r="Q2765">
        <v>1.929817131931959</v>
      </c>
      <c r="R2765">
        <v>-0.9387447965472786</v>
      </c>
      <c r="S2765">
        <v>0.23655693231443051</v>
      </c>
      <c r="T2765">
        <v>0.1828928764633104</v>
      </c>
      <c r="U2765">
        <v>4.3329999236065584</v>
      </c>
      <c r="V2765">
        <v>0.21637669960389441</v>
      </c>
      <c r="W2765">
        <v>7.423152688688524</v>
      </c>
      <c r="X2765">
        <v>0.47992327992414491</v>
      </c>
      <c r="Z2765" t="s">
        <v>392</v>
      </c>
      <c r="AA2765">
        <v>9400</v>
      </c>
      <c r="AB2765" t="s">
        <v>3156</v>
      </c>
      <c r="AC2765" t="str">
        <f>HYPERLINK("plots/3FT6Y578R01_012_S11P_20251111092011_M5358ACSH101811_RBGEUFRF26/dpll_52094/txpa_53238.png","plot")</f>
        <v>plot</v>
      </c>
    </row>
    <row r="2766" spans="1:29" hidden="1" x14ac:dyDescent="0.35">
      <c r="A2766" t="s">
        <v>48</v>
      </c>
      <c r="B2766">
        <v>52094</v>
      </c>
      <c r="C2766" t="s">
        <v>53</v>
      </c>
      <c r="D2766">
        <v>53239</v>
      </c>
      <c r="E2766" t="s">
        <v>114</v>
      </c>
      <c r="F2766">
        <v>12190</v>
      </c>
      <c r="G2766">
        <v>0.87081599669815313</v>
      </c>
      <c r="H2766">
        <v>0</v>
      </c>
      <c r="I2766">
        <v>0</v>
      </c>
      <c r="J2766">
        <v>0.75238321480182047</v>
      </c>
      <c r="K2766">
        <v>0</v>
      </c>
      <c r="L2766">
        <v>0</v>
      </c>
      <c r="M2766">
        <v>0.56021641074775752</v>
      </c>
      <c r="N2766">
        <v>0</v>
      </c>
      <c r="O2766">
        <v>0</v>
      </c>
      <c r="P2766">
        <v>0.75832050010539787</v>
      </c>
      <c r="Q2766">
        <v>1.936902509724016</v>
      </c>
      <c r="R2766">
        <v>-0.99498702961027785</v>
      </c>
      <c r="S2766">
        <v>0.23639814125956651</v>
      </c>
      <c r="T2766">
        <v>0.18356750091073981</v>
      </c>
      <c r="U2766">
        <v>4.3332482737489748</v>
      </c>
      <c r="V2766">
        <v>0.21620244519887349</v>
      </c>
      <c r="W2766">
        <v>7.3980924270713686</v>
      </c>
      <c r="X2766">
        <v>0.48088581319357743</v>
      </c>
      <c r="Z2766" t="s">
        <v>392</v>
      </c>
      <c r="AA2766">
        <v>9400</v>
      </c>
      <c r="AB2766" t="s">
        <v>3157</v>
      </c>
      <c r="AC2766" t="str">
        <f>HYPERLINK("plots/3FT6Y578R01_012_S11P_20251111092011_M5358ACSH101811_RBGEUFRF26/dpll_52094/txpa_53239.png","plot")</f>
        <v>plot</v>
      </c>
    </row>
    <row r="2767" spans="1:29" hidden="1" x14ac:dyDescent="0.35">
      <c r="A2767" t="s">
        <v>48</v>
      </c>
      <c r="B2767">
        <v>52094</v>
      </c>
      <c r="C2767" t="s">
        <v>53</v>
      </c>
      <c r="D2767">
        <v>53240</v>
      </c>
      <c r="E2767" t="s">
        <v>115</v>
      </c>
      <c r="F2767">
        <v>12204</v>
      </c>
      <c r="G2767">
        <v>0.87082212002286252</v>
      </c>
      <c r="H2767">
        <v>0</v>
      </c>
      <c r="I2767">
        <v>0</v>
      </c>
      <c r="J2767">
        <v>0.75539840280914095</v>
      </c>
      <c r="K2767">
        <v>0</v>
      </c>
      <c r="L2767">
        <v>0</v>
      </c>
      <c r="M2767">
        <v>0.56334055306963848</v>
      </c>
      <c r="N2767">
        <v>0</v>
      </c>
      <c r="O2767">
        <v>0</v>
      </c>
      <c r="P2767">
        <v>0.75833116472111273</v>
      </c>
      <c r="Q2767">
        <v>1.9501188949216599</v>
      </c>
      <c r="R2767">
        <v>-1.0556520791222479</v>
      </c>
      <c r="S2767">
        <v>0.23818601675661871</v>
      </c>
      <c r="T2767">
        <v>0.18455671394733569</v>
      </c>
      <c r="U2767">
        <v>4.3328250753031794</v>
      </c>
      <c r="V2767">
        <v>0.216367532797168</v>
      </c>
      <c r="W2767">
        <v>7.393871968616847</v>
      </c>
      <c r="X2767">
        <v>0.48453341302843927</v>
      </c>
      <c r="Z2767" t="s">
        <v>392</v>
      </c>
      <c r="AA2767">
        <v>9400</v>
      </c>
      <c r="AB2767" t="s">
        <v>3158</v>
      </c>
      <c r="AC2767" t="str">
        <f>HYPERLINK("plots/3FT6Y578R01_012_S11P_20251111092011_M5358ACSH101811_RBGEUFRF26/dpll_52094/txpa_53240.png","plot")</f>
        <v>plot</v>
      </c>
    </row>
    <row r="2768" spans="1:29" hidden="1" x14ac:dyDescent="0.35">
      <c r="A2768" t="s">
        <v>48</v>
      </c>
      <c r="B2768">
        <v>52094</v>
      </c>
      <c r="C2768" t="s">
        <v>53</v>
      </c>
      <c r="D2768">
        <v>53241</v>
      </c>
      <c r="E2768" t="s">
        <v>116</v>
      </c>
      <c r="F2768">
        <v>12186</v>
      </c>
      <c r="G2768">
        <v>0.87182114066524385</v>
      </c>
      <c r="H2768">
        <v>0</v>
      </c>
      <c r="I2768">
        <v>0</v>
      </c>
      <c r="J2768">
        <v>0.75122364304098976</v>
      </c>
      <c r="K2768">
        <v>0</v>
      </c>
      <c r="L2768">
        <v>0</v>
      </c>
      <c r="M2768">
        <v>0.56045296759259811</v>
      </c>
      <c r="N2768">
        <v>0</v>
      </c>
      <c r="O2768">
        <v>0</v>
      </c>
      <c r="P2768">
        <v>0.7600721013108469</v>
      </c>
      <c r="Q2768">
        <v>1.9373603606312899</v>
      </c>
      <c r="R2768">
        <v>-0.99034799480732172</v>
      </c>
      <c r="S2768">
        <v>0.23521245568517651</v>
      </c>
      <c r="T2768">
        <v>0.1823627665140127</v>
      </c>
      <c r="U2768">
        <v>4.3334344627441332</v>
      </c>
      <c r="V2768">
        <v>0.21609999028362989</v>
      </c>
      <c r="W2768">
        <v>7.4050761587067138</v>
      </c>
      <c r="X2768">
        <v>0.48021725509988211</v>
      </c>
      <c r="Z2768" t="s">
        <v>392</v>
      </c>
      <c r="AA2768">
        <v>9400</v>
      </c>
      <c r="AB2768" t="s">
        <v>3159</v>
      </c>
      <c r="AC2768" t="str">
        <f>HYPERLINK("plots/3FT6Y578R01_012_S11P_20251111092011_M5358ACSH101811_RBGEUFRF26/dpll_52094/txpa_53241.png","plot")</f>
        <v>plot</v>
      </c>
    </row>
    <row r="2769" spans="1:29" hidden="1" x14ac:dyDescent="0.35">
      <c r="A2769" t="s">
        <v>48</v>
      </c>
      <c r="B2769">
        <v>52094</v>
      </c>
      <c r="C2769" t="s">
        <v>53</v>
      </c>
      <c r="D2769">
        <v>53242</v>
      </c>
      <c r="E2769" t="s">
        <v>117</v>
      </c>
      <c r="F2769">
        <v>12177</v>
      </c>
      <c r="G2769">
        <v>0.86877739613290583</v>
      </c>
      <c r="H2769">
        <v>0</v>
      </c>
      <c r="I2769">
        <v>0</v>
      </c>
      <c r="J2769">
        <v>0.7461884892674675</v>
      </c>
      <c r="K2769">
        <v>0</v>
      </c>
      <c r="L2769">
        <v>0</v>
      </c>
      <c r="M2769">
        <v>0.55548395577742615</v>
      </c>
      <c r="N2769">
        <v>0</v>
      </c>
      <c r="O2769">
        <v>0</v>
      </c>
      <c r="P2769">
        <v>0.75477416403147202</v>
      </c>
      <c r="Q2769">
        <v>1.9139288361180651</v>
      </c>
      <c r="R2769">
        <v>-0.90730291279210906</v>
      </c>
      <c r="S2769">
        <v>0.23561209968266089</v>
      </c>
      <c r="T2769">
        <v>0.18309413144940581</v>
      </c>
      <c r="U2769">
        <v>4.333691920752238</v>
      </c>
      <c r="V2769">
        <v>0.21598074662445679</v>
      </c>
      <c r="W2769">
        <v>7.387075021187484</v>
      </c>
      <c r="X2769">
        <v>0.47580862583540279</v>
      </c>
      <c r="Z2769" t="s">
        <v>392</v>
      </c>
      <c r="AA2769">
        <v>9400</v>
      </c>
      <c r="AB2769" t="s">
        <v>3160</v>
      </c>
      <c r="AC2769" t="str">
        <f>HYPERLINK("plots/3FT6Y578R01_012_S11P_20251111092011_M5358ACSH101811_RBGEUFRF26/dpll_52094/txpa_53242.png","plot")</f>
        <v>plot</v>
      </c>
    </row>
    <row r="2770" spans="1:29" hidden="1" x14ac:dyDescent="0.35">
      <c r="A2770" t="s">
        <v>48</v>
      </c>
      <c r="B2770">
        <v>52094</v>
      </c>
      <c r="C2770" t="s">
        <v>53</v>
      </c>
      <c r="D2770">
        <v>53243</v>
      </c>
      <c r="E2770" t="s">
        <v>118</v>
      </c>
      <c r="F2770">
        <v>12162</v>
      </c>
      <c r="G2770">
        <v>0.86052955973989054</v>
      </c>
      <c r="H2770">
        <v>0</v>
      </c>
      <c r="I2770">
        <v>0</v>
      </c>
      <c r="J2770">
        <v>0.73966622140583727</v>
      </c>
      <c r="K2770">
        <v>0</v>
      </c>
      <c r="L2770">
        <v>0</v>
      </c>
      <c r="M2770">
        <v>0.54742250899619049</v>
      </c>
      <c r="N2770">
        <v>0</v>
      </c>
      <c r="O2770">
        <v>0</v>
      </c>
      <c r="P2770">
        <v>0.74051112318612988</v>
      </c>
      <c r="Q2770">
        <v>2.0084795906614619</v>
      </c>
      <c r="R2770">
        <v>-0.40986624075207168</v>
      </c>
      <c r="S2770">
        <v>0.25664908998348701</v>
      </c>
      <c r="T2770">
        <v>0.1969289984853192</v>
      </c>
      <c r="U2770">
        <v>4.3340201346817961</v>
      </c>
      <c r="V2770">
        <v>0.21587213219616061</v>
      </c>
      <c r="W2770">
        <v>8.2949247452721586</v>
      </c>
      <c r="X2770">
        <v>0.50384645919614535</v>
      </c>
      <c r="Z2770" t="s">
        <v>392</v>
      </c>
      <c r="AA2770">
        <v>9400</v>
      </c>
      <c r="AB2770" t="s">
        <v>3161</v>
      </c>
      <c r="AC2770" t="str">
        <f>HYPERLINK("plots/3FT6Y578R01_012_S11P_20251111092011_M5358ACSH101811_RBGEUFRF26/dpll_52094/txpa_53243.png","plot")</f>
        <v>plot</v>
      </c>
    </row>
    <row r="2771" spans="1:29" hidden="1" x14ac:dyDescent="0.35">
      <c r="A2771" t="s">
        <v>48</v>
      </c>
      <c r="B2771">
        <v>52094</v>
      </c>
      <c r="C2771" t="s">
        <v>53</v>
      </c>
      <c r="D2771">
        <v>53244</v>
      </c>
      <c r="E2771" t="s">
        <v>119</v>
      </c>
      <c r="F2771">
        <v>12173</v>
      </c>
      <c r="G2771">
        <v>0.86767929510915609</v>
      </c>
      <c r="H2771">
        <v>0</v>
      </c>
      <c r="I2771">
        <v>0</v>
      </c>
      <c r="J2771">
        <v>0.74879174441294416</v>
      </c>
      <c r="K2771">
        <v>0</v>
      </c>
      <c r="L2771">
        <v>0</v>
      </c>
      <c r="M2771">
        <v>0.55748719375244271</v>
      </c>
      <c r="N2771">
        <v>0</v>
      </c>
      <c r="O2771">
        <v>0</v>
      </c>
      <c r="P2771">
        <v>0.75286735916112202</v>
      </c>
      <c r="Q2771">
        <v>2.0379199248851081</v>
      </c>
      <c r="R2771">
        <v>-0.50098357100502966</v>
      </c>
      <c r="S2771">
        <v>0.25217180996011329</v>
      </c>
      <c r="T2771">
        <v>0.19527114977993831</v>
      </c>
      <c r="U2771">
        <v>4.3337184815575451</v>
      </c>
      <c r="V2771">
        <v>0.21598392966138691</v>
      </c>
      <c r="W2771">
        <v>8.3307876714039271</v>
      </c>
      <c r="X2771">
        <v>0.50728184502380147</v>
      </c>
      <c r="Z2771" t="s">
        <v>392</v>
      </c>
      <c r="AA2771">
        <v>9400</v>
      </c>
      <c r="AB2771" t="s">
        <v>3162</v>
      </c>
      <c r="AC2771" t="str">
        <f>HYPERLINK("plots/3FT6Y578R01_012_S11P_20251111092011_M5358ACSH101811_RBGEUFRF26/dpll_52094/txpa_53244.png","plot")</f>
        <v>plot</v>
      </c>
    </row>
    <row r="2772" spans="1:29" hidden="1" x14ac:dyDescent="0.35">
      <c r="A2772" t="s">
        <v>48</v>
      </c>
      <c r="B2772">
        <v>52094</v>
      </c>
      <c r="C2772" t="s">
        <v>53</v>
      </c>
      <c r="D2772">
        <v>53245</v>
      </c>
      <c r="E2772" t="s">
        <v>120</v>
      </c>
      <c r="F2772">
        <v>12158</v>
      </c>
      <c r="G2772">
        <v>0.86750861500637155</v>
      </c>
      <c r="H2772">
        <v>0</v>
      </c>
      <c r="I2772">
        <v>0</v>
      </c>
      <c r="J2772">
        <v>0.74331683317714747</v>
      </c>
      <c r="K2772">
        <v>0</v>
      </c>
      <c r="L2772">
        <v>0</v>
      </c>
      <c r="M2772">
        <v>0.55220725991412944</v>
      </c>
      <c r="N2772">
        <v>0</v>
      </c>
      <c r="O2772">
        <v>0</v>
      </c>
      <c r="P2772">
        <v>0.75257119711027298</v>
      </c>
      <c r="Q2772">
        <v>2.0116248866363682</v>
      </c>
      <c r="R2772">
        <v>-0.37399112623081798</v>
      </c>
      <c r="S2772">
        <v>0.2487833385512625</v>
      </c>
      <c r="T2772">
        <v>0.19268969420408569</v>
      </c>
      <c r="U2772">
        <v>4.3342072139332144</v>
      </c>
      <c r="V2772">
        <v>0.21569536970863151</v>
      </c>
      <c r="W2772">
        <v>8.3448079691561112</v>
      </c>
      <c r="X2772">
        <v>0.5001658382780767</v>
      </c>
      <c r="Z2772" t="s">
        <v>392</v>
      </c>
      <c r="AA2772">
        <v>9400</v>
      </c>
      <c r="AB2772" t="s">
        <v>3163</v>
      </c>
      <c r="AC2772" t="str">
        <f>HYPERLINK("plots/3FT6Y578R01_012_S11P_20251111092011_M5358ACSH101811_RBGEUFRF26/dpll_52094/txpa_53245.png","plot")</f>
        <v>plot</v>
      </c>
    </row>
    <row r="2773" spans="1:29" hidden="1" x14ac:dyDescent="0.35">
      <c r="A2773" t="s">
        <v>48</v>
      </c>
      <c r="B2773">
        <v>52094</v>
      </c>
      <c r="C2773" t="s">
        <v>53</v>
      </c>
      <c r="D2773">
        <v>53246</v>
      </c>
      <c r="E2773" t="s">
        <v>121</v>
      </c>
      <c r="F2773">
        <v>12183</v>
      </c>
      <c r="G2773">
        <v>0.87164311071672085</v>
      </c>
      <c r="H2773">
        <v>0</v>
      </c>
      <c r="I2773">
        <v>0</v>
      </c>
      <c r="J2773">
        <v>0.7517364918865409</v>
      </c>
      <c r="K2773">
        <v>0</v>
      </c>
      <c r="L2773">
        <v>0</v>
      </c>
      <c r="M2773">
        <v>0.56036640523843162</v>
      </c>
      <c r="N2773">
        <v>0</v>
      </c>
      <c r="O2773">
        <v>0</v>
      </c>
      <c r="P2773">
        <v>0.75976171245992163</v>
      </c>
      <c r="Q2773">
        <v>2.0442695731342382</v>
      </c>
      <c r="R2773">
        <v>-0.49631183365895382</v>
      </c>
      <c r="S2773">
        <v>0.24840180130552439</v>
      </c>
      <c r="T2773">
        <v>0.19273942567429761</v>
      </c>
      <c r="U2773">
        <v>4.3334872428794222</v>
      </c>
      <c r="V2773">
        <v>0.2160986187078206</v>
      </c>
      <c r="W2773">
        <v>8.3625042825248297</v>
      </c>
      <c r="X2773">
        <v>0.50681732648295508</v>
      </c>
      <c r="Z2773" t="s">
        <v>392</v>
      </c>
      <c r="AA2773">
        <v>9400</v>
      </c>
      <c r="AB2773" t="s">
        <v>3164</v>
      </c>
      <c r="AC2773" t="str">
        <f>HYPERLINK("plots/3FT6Y578R01_012_S11P_20251111092011_M5358ACSH101811_RBGEUFRF26/dpll_52094/txpa_53246.png","plot")</f>
        <v>plot</v>
      </c>
    </row>
    <row r="2774" spans="1:29" hidden="1" x14ac:dyDescent="0.35">
      <c r="A2774" t="s">
        <v>48</v>
      </c>
      <c r="B2774">
        <v>52094</v>
      </c>
      <c r="C2774" t="s">
        <v>53</v>
      </c>
      <c r="D2774">
        <v>53247</v>
      </c>
      <c r="E2774" t="s">
        <v>122</v>
      </c>
      <c r="F2774">
        <v>12170</v>
      </c>
      <c r="G2774">
        <v>0.87293503766910141</v>
      </c>
      <c r="H2774">
        <v>0</v>
      </c>
      <c r="I2774">
        <v>0</v>
      </c>
      <c r="J2774">
        <v>0.75131320032663529</v>
      </c>
      <c r="K2774">
        <v>0</v>
      </c>
      <c r="L2774">
        <v>0</v>
      </c>
      <c r="M2774">
        <v>0.55982954917696603</v>
      </c>
      <c r="N2774">
        <v>0</v>
      </c>
      <c r="O2774">
        <v>0</v>
      </c>
      <c r="P2774">
        <v>0.76201557999035552</v>
      </c>
      <c r="Q2774">
        <v>2.050392794619913</v>
      </c>
      <c r="R2774">
        <v>-0.54903174368924468</v>
      </c>
      <c r="S2774">
        <v>0.2474635140253148</v>
      </c>
      <c r="T2774">
        <v>0.19312887219646879</v>
      </c>
      <c r="U2774">
        <v>4.3337663301561218</v>
      </c>
      <c r="V2774">
        <v>0.21597307639467289</v>
      </c>
      <c r="W2774">
        <v>8.3368915132292525</v>
      </c>
      <c r="X2774">
        <v>0.50728819506886869</v>
      </c>
      <c r="Z2774" t="s">
        <v>392</v>
      </c>
      <c r="AA2774">
        <v>9400</v>
      </c>
      <c r="AB2774" t="s">
        <v>3165</v>
      </c>
      <c r="AC2774" t="str">
        <f>HYPERLINK("plots/3FT6Y578R01_012_S11P_20251111092011_M5358ACSH101811_RBGEUFRF26/dpll_52094/txpa_53247.png","plot")</f>
        <v>plot</v>
      </c>
    </row>
    <row r="2775" spans="1:29" hidden="1" x14ac:dyDescent="0.35">
      <c r="A2775" t="s">
        <v>48</v>
      </c>
      <c r="B2775">
        <v>52094</v>
      </c>
      <c r="C2775" t="s">
        <v>53</v>
      </c>
      <c r="D2775">
        <v>53248</v>
      </c>
      <c r="E2775" t="s">
        <v>123</v>
      </c>
      <c r="F2775">
        <v>12180</v>
      </c>
      <c r="G2775">
        <v>0.87266250034486059</v>
      </c>
      <c r="H2775">
        <v>0</v>
      </c>
      <c r="I2775">
        <v>0</v>
      </c>
      <c r="J2775">
        <v>0.75408348728675878</v>
      </c>
      <c r="K2775">
        <v>0</v>
      </c>
      <c r="L2775">
        <v>0</v>
      </c>
      <c r="M2775">
        <v>0.56271342994836082</v>
      </c>
      <c r="N2775">
        <v>0</v>
      </c>
      <c r="O2775">
        <v>0</v>
      </c>
      <c r="P2775">
        <v>0.76153983950814386</v>
      </c>
      <c r="Q2775">
        <v>2.060173358672281</v>
      </c>
      <c r="R2775">
        <v>-0.59386688914414343</v>
      </c>
      <c r="S2775">
        <v>0.24895624740922229</v>
      </c>
      <c r="T2775">
        <v>0.19386043312934489</v>
      </c>
      <c r="U2775">
        <v>4.3335941670771758</v>
      </c>
      <c r="V2775">
        <v>0.21596107935842149</v>
      </c>
      <c r="W2775">
        <v>8.3340883611658469</v>
      </c>
      <c r="X2775">
        <v>0.50983886901122311</v>
      </c>
      <c r="Z2775" t="s">
        <v>392</v>
      </c>
      <c r="AA2775">
        <v>9400</v>
      </c>
      <c r="AB2775" t="s">
        <v>3166</v>
      </c>
      <c r="AC2775" t="str">
        <f>HYPERLINK("plots/3FT6Y578R01_012_S11P_20251111092011_M5358ACSH101811_RBGEUFRF26/dpll_52094/txpa_53248.png","plot")</f>
        <v>plot</v>
      </c>
    </row>
    <row r="2776" spans="1:29" hidden="1" x14ac:dyDescent="0.35">
      <c r="A2776" t="s">
        <v>48</v>
      </c>
      <c r="B2776">
        <v>52094</v>
      </c>
      <c r="C2776" t="s">
        <v>53</v>
      </c>
      <c r="D2776">
        <v>53249</v>
      </c>
      <c r="E2776" t="s">
        <v>124</v>
      </c>
      <c r="F2776">
        <v>12155</v>
      </c>
      <c r="G2776">
        <v>0.87365911276418418</v>
      </c>
      <c r="H2776">
        <v>0</v>
      </c>
      <c r="I2776">
        <v>0</v>
      </c>
      <c r="J2776">
        <v>0.74953105491387373</v>
      </c>
      <c r="K2776">
        <v>0</v>
      </c>
      <c r="L2776">
        <v>0</v>
      </c>
      <c r="M2776">
        <v>0.55961434874979377</v>
      </c>
      <c r="N2776">
        <v>0</v>
      </c>
      <c r="O2776">
        <v>0</v>
      </c>
      <c r="P2776">
        <v>0.76328024531590144</v>
      </c>
      <c r="Q2776">
        <v>2.043763568415661</v>
      </c>
      <c r="R2776">
        <v>-0.51206838542997701</v>
      </c>
      <c r="S2776">
        <v>0.24532909592606519</v>
      </c>
      <c r="T2776">
        <v>0.1913037584670868</v>
      </c>
      <c r="U2776">
        <v>4.3343626520773348</v>
      </c>
      <c r="V2776">
        <v>0.21555645411945271</v>
      </c>
      <c r="W2776">
        <v>8.346344095187165</v>
      </c>
      <c r="X2776">
        <v>0.50425437270647511</v>
      </c>
      <c r="Z2776" t="s">
        <v>392</v>
      </c>
      <c r="AA2776">
        <v>9400</v>
      </c>
      <c r="AB2776" t="s">
        <v>3167</v>
      </c>
      <c r="AC2776" t="str">
        <f>HYPERLINK("plots/3FT6Y578R01_012_S11P_20251111092011_M5358ACSH101811_RBGEUFRF26/dpll_52094/txpa_53249.png","plot")</f>
        <v>plot</v>
      </c>
    </row>
    <row r="2777" spans="1:29" hidden="1" x14ac:dyDescent="0.35">
      <c r="A2777" t="s">
        <v>48</v>
      </c>
      <c r="B2777">
        <v>52094</v>
      </c>
      <c r="C2777" t="s">
        <v>53</v>
      </c>
      <c r="D2777">
        <v>53250</v>
      </c>
      <c r="E2777" t="s">
        <v>125</v>
      </c>
      <c r="F2777">
        <v>12164</v>
      </c>
      <c r="G2777">
        <v>0.86975933652964088</v>
      </c>
      <c r="H2777">
        <v>0</v>
      </c>
      <c r="I2777">
        <v>0</v>
      </c>
      <c r="J2777">
        <v>0.74573040300535687</v>
      </c>
      <c r="K2777">
        <v>0</v>
      </c>
      <c r="L2777">
        <v>0</v>
      </c>
      <c r="M2777">
        <v>0.5554444798999213</v>
      </c>
      <c r="N2777">
        <v>0</v>
      </c>
      <c r="O2777">
        <v>0</v>
      </c>
      <c r="P2777">
        <v>0.75648130348048115</v>
      </c>
      <c r="Q2777">
        <v>2.0287625665649149</v>
      </c>
      <c r="R2777">
        <v>-0.46750871862907323</v>
      </c>
      <c r="S2777">
        <v>0.24829953276874811</v>
      </c>
      <c r="T2777">
        <v>0.19318208045569329</v>
      </c>
      <c r="U2777">
        <v>4.3341006193686296</v>
      </c>
      <c r="V2777">
        <v>0.2157225155380105</v>
      </c>
      <c r="W2777">
        <v>8.3253523776718179</v>
      </c>
      <c r="X2777">
        <v>0.50318489944007527</v>
      </c>
      <c r="Z2777" t="s">
        <v>392</v>
      </c>
      <c r="AA2777">
        <v>9400</v>
      </c>
      <c r="AB2777" t="s">
        <v>3168</v>
      </c>
      <c r="AC2777" t="str">
        <f>HYPERLINK("plots/3FT6Y578R01_012_S11P_20251111092011_M5358ACSH101811_RBGEUFRF26/dpll_52094/txpa_53250.png","plot")</f>
        <v>plot</v>
      </c>
    </row>
    <row r="2778" spans="1:29" hidden="1" x14ac:dyDescent="0.35">
      <c r="A2778" t="s">
        <v>48</v>
      </c>
      <c r="B2778">
        <v>52094</v>
      </c>
      <c r="C2778" t="s">
        <v>53</v>
      </c>
      <c r="D2778">
        <v>53251</v>
      </c>
      <c r="E2778" t="s">
        <v>126</v>
      </c>
      <c r="F2778">
        <v>12131</v>
      </c>
      <c r="G2778">
        <v>0.86278822372264663</v>
      </c>
      <c r="H2778">
        <v>0</v>
      </c>
      <c r="I2778">
        <v>0</v>
      </c>
      <c r="J2778">
        <v>0.73855586764680725</v>
      </c>
      <c r="K2778">
        <v>0</v>
      </c>
      <c r="L2778">
        <v>0</v>
      </c>
      <c r="M2778">
        <v>0.54707575086648352</v>
      </c>
      <c r="N2778">
        <v>0</v>
      </c>
      <c r="O2778">
        <v>0</v>
      </c>
      <c r="P2778">
        <v>0.74440351899447976</v>
      </c>
      <c r="Q2778">
        <v>2.1412752430275268</v>
      </c>
      <c r="R2778">
        <v>-4.6244984065667787E-2</v>
      </c>
      <c r="S2778">
        <v>0.2701501944086353</v>
      </c>
      <c r="T2778">
        <v>0.20847917665989171</v>
      </c>
      <c r="U2778">
        <v>4.3349568067760282</v>
      </c>
      <c r="V2778">
        <v>0.2153165750932293</v>
      </c>
      <c r="W2778">
        <v>9.236090705877503</v>
      </c>
      <c r="X2778">
        <v>0.53437453013825531</v>
      </c>
      <c r="Z2778" t="s">
        <v>392</v>
      </c>
      <c r="AA2778">
        <v>9400</v>
      </c>
      <c r="AB2778" t="s">
        <v>3169</v>
      </c>
      <c r="AC2778" t="str">
        <f>HYPERLINK("plots/3FT6Y578R01_012_S11P_20251111092011_M5358ACSH101811_RBGEUFRF26/dpll_52094/txpa_53251.png","plot")</f>
        <v>plot</v>
      </c>
    </row>
    <row r="2779" spans="1:29" hidden="1" x14ac:dyDescent="0.35">
      <c r="A2779" t="s">
        <v>48</v>
      </c>
      <c r="B2779">
        <v>52094</v>
      </c>
      <c r="C2779" t="s">
        <v>53</v>
      </c>
      <c r="D2779">
        <v>53252</v>
      </c>
      <c r="E2779" t="s">
        <v>127</v>
      </c>
      <c r="F2779">
        <v>12142</v>
      </c>
      <c r="G2779">
        <v>0.87018940884292084</v>
      </c>
      <c r="H2779">
        <v>0</v>
      </c>
      <c r="I2779">
        <v>0</v>
      </c>
      <c r="J2779">
        <v>0.74742326847022211</v>
      </c>
      <c r="K2779">
        <v>0</v>
      </c>
      <c r="L2779">
        <v>0</v>
      </c>
      <c r="M2779">
        <v>0.55691835757207031</v>
      </c>
      <c r="N2779">
        <v>0</v>
      </c>
      <c r="O2779">
        <v>0</v>
      </c>
      <c r="P2779">
        <v>0.75722960726239208</v>
      </c>
      <c r="Q2779">
        <v>2.1721341772618969</v>
      </c>
      <c r="R2779">
        <v>-0.14342437059868021</v>
      </c>
      <c r="S2779">
        <v>0.26504592780385422</v>
      </c>
      <c r="T2779">
        <v>0.20668556315667261</v>
      </c>
      <c r="U2779">
        <v>4.3345976112666769</v>
      </c>
      <c r="V2779">
        <v>0.21551043546826801</v>
      </c>
      <c r="W2779">
        <v>9.2719032455114476</v>
      </c>
      <c r="X2779">
        <v>0.53794906911090667</v>
      </c>
      <c r="Z2779" t="s">
        <v>392</v>
      </c>
      <c r="AA2779">
        <v>9400</v>
      </c>
      <c r="AB2779" t="s">
        <v>3170</v>
      </c>
      <c r="AC2779" t="str">
        <f>HYPERLINK("plots/3FT6Y578R01_012_S11P_20251111092011_M5358ACSH101811_RBGEUFRF26/dpll_52094/txpa_53252.png","plot")</f>
        <v>plot</v>
      </c>
    </row>
    <row r="2780" spans="1:29" hidden="1" x14ac:dyDescent="0.35">
      <c r="A2780" t="s">
        <v>48</v>
      </c>
      <c r="B2780">
        <v>52094</v>
      </c>
      <c r="C2780" t="s">
        <v>53</v>
      </c>
      <c r="D2780">
        <v>53253</v>
      </c>
      <c r="E2780" t="s">
        <v>128</v>
      </c>
      <c r="F2780">
        <v>12128</v>
      </c>
      <c r="G2780">
        <v>0.86972457223517341</v>
      </c>
      <c r="H2780">
        <v>0</v>
      </c>
      <c r="I2780">
        <v>0</v>
      </c>
      <c r="J2780">
        <v>0.74216778901484459</v>
      </c>
      <c r="K2780">
        <v>0</v>
      </c>
      <c r="L2780">
        <v>0</v>
      </c>
      <c r="M2780">
        <v>0.5518527883363642</v>
      </c>
      <c r="N2780">
        <v>0</v>
      </c>
      <c r="O2780">
        <v>0</v>
      </c>
      <c r="P2780">
        <v>0.75642083154965534</v>
      </c>
      <c r="Q2780">
        <v>2.1461419602037828</v>
      </c>
      <c r="R2780">
        <v>-1.7713116484118881E-2</v>
      </c>
      <c r="S2780">
        <v>0.26205225813913741</v>
      </c>
      <c r="T2780">
        <v>0.20420853169673009</v>
      </c>
      <c r="U2780">
        <v>4.3350969967842996</v>
      </c>
      <c r="V2780">
        <v>0.2151835334512516</v>
      </c>
      <c r="W2780">
        <v>9.2860204498680741</v>
      </c>
      <c r="X2780">
        <v>0.53098926375943645</v>
      </c>
      <c r="Z2780" t="s">
        <v>392</v>
      </c>
      <c r="AA2780">
        <v>9400</v>
      </c>
      <c r="AB2780" t="s">
        <v>3171</v>
      </c>
      <c r="AC2780" t="str">
        <f>HYPERLINK("plots/3FT6Y578R01_012_S11P_20251111092011_M5358ACSH101811_RBGEUFRF26/dpll_52094/txpa_53253.png","plot")</f>
        <v>plot</v>
      </c>
    </row>
    <row r="2781" spans="1:29" hidden="1" x14ac:dyDescent="0.35">
      <c r="A2781" t="s">
        <v>48</v>
      </c>
      <c r="B2781">
        <v>52094</v>
      </c>
      <c r="C2781" t="s">
        <v>53</v>
      </c>
      <c r="D2781">
        <v>53254</v>
      </c>
      <c r="E2781" t="s">
        <v>129</v>
      </c>
      <c r="F2781">
        <v>12150</v>
      </c>
      <c r="G2781">
        <v>0.8741887133730154</v>
      </c>
      <c r="H2781">
        <v>0</v>
      </c>
      <c r="I2781">
        <v>0</v>
      </c>
      <c r="J2781">
        <v>0.75004948546272432</v>
      </c>
      <c r="K2781">
        <v>0</v>
      </c>
      <c r="L2781">
        <v>0</v>
      </c>
      <c r="M2781">
        <v>0.55953843519652002</v>
      </c>
      <c r="N2781">
        <v>0</v>
      </c>
      <c r="O2781">
        <v>0</v>
      </c>
      <c r="P2781">
        <v>0.76420590658876808</v>
      </c>
      <c r="Q2781">
        <v>2.178958269569045</v>
      </c>
      <c r="R2781">
        <v>-0.14034986943872421</v>
      </c>
      <c r="S2781">
        <v>0.26095185601714682</v>
      </c>
      <c r="T2781">
        <v>0.2041317998166064</v>
      </c>
      <c r="U2781">
        <v>4.3344105051028814</v>
      </c>
      <c r="V2781">
        <v>0.21560959520215139</v>
      </c>
      <c r="W2781">
        <v>9.3041497443621388</v>
      </c>
      <c r="X2781">
        <v>0.53741749724889998</v>
      </c>
      <c r="Z2781" t="s">
        <v>392</v>
      </c>
      <c r="AA2781">
        <v>9400</v>
      </c>
      <c r="AB2781" t="s">
        <v>3172</v>
      </c>
      <c r="AC2781" t="str">
        <f>HYPERLINK("plots/3FT6Y578R01_012_S11P_20251111092011_M5358ACSH101811_RBGEUFRF26/dpll_52094/txpa_53254.png","plot")</f>
        <v>plot</v>
      </c>
    </row>
    <row r="2782" spans="1:29" hidden="1" x14ac:dyDescent="0.35">
      <c r="A2782" t="s">
        <v>48</v>
      </c>
      <c r="B2782">
        <v>52094</v>
      </c>
      <c r="C2782" t="s">
        <v>53</v>
      </c>
      <c r="D2782">
        <v>53255</v>
      </c>
      <c r="E2782" t="s">
        <v>130</v>
      </c>
      <c r="F2782">
        <v>12131</v>
      </c>
      <c r="G2782">
        <v>0.87484262686018666</v>
      </c>
      <c r="H2782">
        <v>0</v>
      </c>
      <c r="I2782">
        <v>0</v>
      </c>
      <c r="J2782">
        <v>0.74901653894823972</v>
      </c>
      <c r="K2782">
        <v>0</v>
      </c>
      <c r="L2782">
        <v>0</v>
      </c>
      <c r="M2782">
        <v>0.55845944488651467</v>
      </c>
      <c r="N2782">
        <v>0</v>
      </c>
      <c r="O2782">
        <v>0</v>
      </c>
      <c r="P2782">
        <v>0.76534962177163179</v>
      </c>
      <c r="Q2782">
        <v>2.1807451220408089</v>
      </c>
      <c r="R2782">
        <v>-0.17508105689226211</v>
      </c>
      <c r="S2782">
        <v>0.25991614721439071</v>
      </c>
      <c r="T2782">
        <v>0.20424437176185009</v>
      </c>
      <c r="U2782">
        <v>4.3349475617838591</v>
      </c>
      <c r="V2782">
        <v>0.21526110169801249</v>
      </c>
      <c r="W2782">
        <v>9.2783346927705868</v>
      </c>
      <c r="X2782">
        <v>0.53658747651318284</v>
      </c>
      <c r="Z2782" t="s">
        <v>392</v>
      </c>
      <c r="AA2782">
        <v>9400</v>
      </c>
      <c r="AB2782" t="s">
        <v>3173</v>
      </c>
      <c r="AC2782" t="str">
        <f>HYPERLINK("plots/3FT6Y578R01_012_S11P_20251111092011_M5358ACSH101811_RBGEUFRF26/dpll_52094/txpa_53255.png","plot")</f>
        <v>plot</v>
      </c>
    </row>
    <row r="2783" spans="1:29" hidden="1" x14ac:dyDescent="0.35">
      <c r="A2783" t="s">
        <v>48</v>
      </c>
      <c r="B2783">
        <v>52094</v>
      </c>
      <c r="C2783" t="s">
        <v>53</v>
      </c>
      <c r="D2783">
        <v>53256</v>
      </c>
      <c r="E2783" t="s">
        <v>131</v>
      </c>
      <c r="F2783">
        <v>12147</v>
      </c>
      <c r="G2783">
        <v>0.87510948968997859</v>
      </c>
      <c r="H2783">
        <v>0</v>
      </c>
      <c r="I2783">
        <v>0</v>
      </c>
      <c r="J2783">
        <v>0.75234680012131305</v>
      </c>
      <c r="K2783">
        <v>0</v>
      </c>
      <c r="L2783">
        <v>0</v>
      </c>
      <c r="M2783">
        <v>0.56188830278837698</v>
      </c>
      <c r="N2783">
        <v>0</v>
      </c>
      <c r="O2783">
        <v>0</v>
      </c>
      <c r="P2783">
        <v>0.76581661894545472</v>
      </c>
      <c r="Q2783">
        <v>2.1946385325268509</v>
      </c>
      <c r="R2783">
        <v>-0.23751065338639421</v>
      </c>
      <c r="S2783">
        <v>0.26148466429789968</v>
      </c>
      <c r="T2783">
        <v>0.20511076324888419</v>
      </c>
      <c r="U2783">
        <v>4.3345147605993253</v>
      </c>
      <c r="V2783">
        <v>0.2154693283354015</v>
      </c>
      <c r="W2783">
        <v>9.2751824600312833</v>
      </c>
      <c r="X2783">
        <v>0.5403635729171169</v>
      </c>
      <c r="Z2783" t="s">
        <v>392</v>
      </c>
      <c r="AA2783">
        <v>9400</v>
      </c>
      <c r="AB2783" t="s">
        <v>3174</v>
      </c>
      <c r="AC2783" t="str">
        <f>HYPERLINK("plots/3FT6Y578R01_012_S11P_20251111092011_M5358ACSH101811_RBGEUFRF26/dpll_52094/txpa_53256.png","plot")</f>
        <v>plot</v>
      </c>
    </row>
    <row r="2784" spans="1:29" hidden="1" x14ac:dyDescent="0.35">
      <c r="A2784" t="s">
        <v>48</v>
      </c>
      <c r="B2784">
        <v>52094</v>
      </c>
      <c r="C2784" t="s">
        <v>53</v>
      </c>
      <c r="D2784">
        <v>53257</v>
      </c>
      <c r="E2784" t="s">
        <v>132</v>
      </c>
      <c r="F2784">
        <v>12116</v>
      </c>
      <c r="G2784">
        <v>0.875614253079538</v>
      </c>
      <c r="H2784">
        <v>0</v>
      </c>
      <c r="I2784">
        <v>0</v>
      </c>
      <c r="J2784">
        <v>0.7474179794799779</v>
      </c>
      <c r="K2784">
        <v>0</v>
      </c>
      <c r="L2784">
        <v>0</v>
      </c>
      <c r="M2784">
        <v>0.55852661237561974</v>
      </c>
      <c r="N2784">
        <v>0</v>
      </c>
      <c r="O2784">
        <v>0</v>
      </c>
      <c r="P2784">
        <v>0.76670032019603718</v>
      </c>
      <c r="Q2784">
        <v>2.1740576512614171</v>
      </c>
      <c r="R2784">
        <v>-0.13685859904912509</v>
      </c>
      <c r="S2784">
        <v>0.25768139114940752</v>
      </c>
      <c r="T2784">
        <v>0.2024526795664745</v>
      </c>
      <c r="U2784">
        <v>4.3355279421426207</v>
      </c>
      <c r="V2784">
        <v>0.2148748933040083</v>
      </c>
      <c r="W2784">
        <v>9.2888290958237043</v>
      </c>
      <c r="X2784">
        <v>0.5335116510593455</v>
      </c>
      <c r="Z2784" t="s">
        <v>392</v>
      </c>
      <c r="AA2784">
        <v>9400</v>
      </c>
      <c r="AB2784" t="s">
        <v>3175</v>
      </c>
      <c r="AC2784" t="str">
        <f>HYPERLINK("plots/3FT6Y578R01_012_S11P_20251111092011_M5358ACSH101811_RBGEUFRF26/dpll_52094/txpa_53257.png","plot")</f>
        <v>plot</v>
      </c>
    </row>
    <row r="2785" spans="1:29" hidden="1" x14ac:dyDescent="0.35">
      <c r="A2785" t="s">
        <v>48</v>
      </c>
      <c r="B2785">
        <v>52094</v>
      </c>
      <c r="C2785" t="s">
        <v>53</v>
      </c>
      <c r="D2785">
        <v>53258</v>
      </c>
      <c r="E2785" t="s">
        <v>133</v>
      </c>
      <c r="F2785">
        <v>12137</v>
      </c>
      <c r="G2785">
        <v>0.87133676620872769</v>
      </c>
      <c r="H2785">
        <v>0</v>
      </c>
      <c r="I2785">
        <v>0</v>
      </c>
      <c r="J2785">
        <v>0.74420929295383342</v>
      </c>
      <c r="K2785">
        <v>0</v>
      </c>
      <c r="L2785">
        <v>0</v>
      </c>
      <c r="M2785">
        <v>0.55460997418510827</v>
      </c>
      <c r="N2785">
        <v>0</v>
      </c>
      <c r="O2785">
        <v>0</v>
      </c>
      <c r="P2785">
        <v>0.75922776014708293</v>
      </c>
      <c r="Q2785">
        <v>2.1660748417718438</v>
      </c>
      <c r="R2785">
        <v>-0.12360516777626</v>
      </c>
      <c r="S2785">
        <v>0.26253547867442578</v>
      </c>
      <c r="T2785">
        <v>0.2052259412925943</v>
      </c>
      <c r="U2785">
        <v>4.334903659965395</v>
      </c>
      <c r="V2785">
        <v>0.21523617653678631</v>
      </c>
      <c r="W2785">
        <v>9.2661205915794689</v>
      </c>
      <c r="X2785">
        <v>0.53506024893687776</v>
      </c>
      <c r="Z2785" t="s">
        <v>392</v>
      </c>
      <c r="AA2785">
        <v>9400</v>
      </c>
      <c r="AB2785" t="s">
        <v>3176</v>
      </c>
      <c r="AC2785" t="str">
        <f>HYPERLINK("plots/3FT6Y578R01_012_S11P_20251111092011_M5358ACSH101811_RBGEUFRF26/dpll_52094/txpa_53258.png","plot")</f>
        <v>plot</v>
      </c>
    </row>
    <row r="2786" spans="1:29" hidden="1" x14ac:dyDescent="0.35">
      <c r="A2786" t="s">
        <v>48</v>
      </c>
      <c r="B2786">
        <v>52094</v>
      </c>
      <c r="C2786" t="s">
        <v>53</v>
      </c>
      <c r="D2786">
        <v>53259</v>
      </c>
      <c r="E2786" t="s">
        <v>134</v>
      </c>
      <c r="F2786">
        <v>12114</v>
      </c>
      <c r="G2786">
        <v>0.86380089719937714</v>
      </c>
      <c r="H2786">
        <v>0</v>
      </c>
      <c r="I2786">
        <v>0</v>
      </c>
      <c r="J2786">
        <v>0.73729207941343533</v>
      </c>
      <c r="K2786">
        <v>0</v>
      </c>
      <c r="L2786">
        <v>0</v>
      </c>
      <c r="M2786">
        <v>0.54633689824249954</v>
      </c>
      <c r="N2786">
        <v>0</v>
      </c>
      <c r="O2786">
        <v>0</v>
      </c>
      <c r="P2786">
        <v>0.74615199000244892</v>
      </c>
      <c r="Q2786">
        <v>2.218825055113554</v>
      </c>
      <c r="R2786">
        <v>6.9549898625245632E-2</v>
      </c>
      <c r="S2786">
        <v>0.27833142580229431</v>
      </c>
      <c r="T2786">
        <v>0.21552523588525499</v>
      </c>
      <c r="U2786">
        <v>4.3354336807000156</v>
      </c>
      <c r="V2786">
        <v>0.2150720022720759</v>
      </c>
      <c r="W2786">
        <v>9.6891187741456175</v>
      </c>
      <c r="X2786">
        <v>0.55245039550424913</v>
      </c>
      <c r="Z2786" t="s">
        <v>392</v>
      </c>
      <c r="AA2786">
        <v>9400</v>
      </c>
      <c r="AB2786" t="s">
        <v>3177</v>
      </c>
      <c r="AC2786" t="str">
        <f>HYPERLINK("plots/3FT6Y578R01_012_S11P_20251111092011_M5358ACSH101811_RBGEUFRF26/dpll_52094/txpa_53259.png","plot")</f>
        <v>plot</v>
      </c>
    </row>
    <row r="2787" spans="1:29" hidden="1" x14ac:dyDescent="0.35">
      <c r="A2787" t="s">
        <v>48</v>
      </c>
      <c r="B2787">
        <v>52094</v>
      </c>
      <c r="C2787" t="s">
        <v>53</v>
      </c>
      <c r="D2787">
        <v>53260</v>
      </c>
      <c r="E2787" t="s">
        <v>135</v>
      </c>
      <c r="F2787">
        <v>12130</v>
      </c>
      <c r="G2787">
        <v>0.87066552859455348</v>
      </c>
      <c r="H2787">
        <v>0</v>
      </c>
      <c r="I2787">
        <v>0</v>
      </c>
      <c r="J2787">
        <v>0.74608237094637109</v>
      </c>
      <c r="K2787">
        <v>0</v>
      </c>
      <c r="L2787">
        <v>0</v>
      </c>
      <c r="M2787">
        <v>0.55597937781787821</v>
      </c>
      <c r="N2787">
        <v>0</v>
      </c>
      <c r="O2787">
        <v>0</v>
      </c>
      <c r="P2787">
        <v>0.75805846268283328</v>
      </c>
      <c r="Q2787">
        <v>2.2529623614689611</v>
      </c>
      <c r="R2787">
        <v>-4.2062210300422009E-2</v>
      </c>
      <c r="S2787">
        <v>0.27402900343710368</v>
      </c>
      <c r="T2787">
        <v>0.21418365850454771</v>
      </c>
      <c r="U2787">
        <v>4.33495167518549</v>
      </c>
      <c r="V2787">
        <v>0.21530624640262261</v>
      </c>
      <c r="W2787">
        <v>9.7244207526793076</v>
      </c>
      <c r="X2787">
        <v>0.55713342656081954</v>
      </c>
      <c r="Z2787" t="s">
        <v>392</v>
      </c>
      <c r="AA2787">
        <v>9400</v>
      </c>
      <c r="AB2787" t="s">
        <v>3178</v>
      </c>
      <c r="AC2787" t="str">
        <f>HYPERLINK("plots/3FT6Y578R01_012_S11P_20251111092011_M5358ACSH101811_RBGEUFRF26/dpll_52094/txpa_53260.png","plot")</f>
        <v>plot</v>
      </c>
    </row>
    <row r="2788" spans="1:29" hidden="1" x14ac:dyDescent="0.35">
      <c r="A2788" t="s">
        <v>48</v>
      </c>
      <c r="B2788">
        <v>52094</v>
      </c>
      <c r="C2788" t="s">
        <v>53</v>
      </c>
      <c r="D2788">
        <v>53261</v>
      </c>
      <c r="E2788" t="s">
        <v>136</v>
      </c>
      <c r="F2788">
        <v>12112</v>
      </c>
      <c r="G2788">
        <v>0.87024042915057687</v>
      </c>
      <c r="H2788">
        <v>0</v>
      </c>
      <c r="I2788">
        <v>0</v>
      </c>
      <c r="J2788">
        <v>0.7407533746603967</v>
      </c>
      <c r="K2788">
        <v>0</v>
      </c>
      <c r="L2788">
        <v>0</v>
      </c>
      <c r="M2788">
        <v>0.55088673284737222</v>
      </c>
      <c r="N2788">
        <v>0</v>
      </c>
      <c r="O2788">
        <v>0</v>
      </c>
      <c r="P2788">
        <v>0.75731840452818022</v>
      </c>
      <c r="Q2788">
        <v>2.2245605527038101</v>
      </c>
      <c r="R2788">
        <v>9.4454306640239238E-2</v>
      </c>
      <c r="S2788">
        <v>0.27061265022019187</v>
      </c>
      <c r="T2788">
        <v>0.21147355662346931</v>
      </c>
      <c r="U2788">
        <v>4.3355794697820347</v>
      </c>
      <c r="V2788">
        <v>0.21490307346827331</v>
      </c>
      <c r="W2788">
        <v>9.739213368229855</v>
      </c>
      <c r="X2788">
        <v>0.54934806965812688</v>
      </c>
      <c r="Z2788" t="s">
        <v>392</v>
      </c>
      <c r="AA2788">
        <v>9400</v>
      </c>
      <c r="AB2788" t="s">
        <v>3179</v>
      </c>
      <c r="AC2788" t="str">
        <f>HYPERLINK("plots/3FT6Y578R01_012_S11P_20251111092011_M5358ACSH101811_RBGEUFRF26/dpll_52094/txpa_53261.png","plot")</f>
        <v>plot</v>
      </c>
    </row>
    <row r="2789" spans="1:29" hidden="1" x14ac:dyDescent="0.35">
      <c r="A2789" t="s">
        <v>48</v>
      </c>
      <c r="B2789">
        <v>52094</v>
      </c>
      <c r="C2789" t="s">
        <v>53</v>
      </c>
      <c r="D2789">
        <v>53262</v>
      </c>
      <c r="E2789" t="s">
        <v>137</v>
      </c>
      <c r="F2789">
        <v>12133</v>
      </c>
      <c r="G2789">
        <v>0.87422912905395089</v>
      </c>
      <c r="H2789">
        <v>0</v>
      </c>
      <c r="I2789">
        <v>0</v>
      </c>
      <c r="J2789">
        <v>0.74832609308712361</v>
      </c>
      <c r="K2789">
        <v>0</v>
      </c>
      <c r="L2789">
        <v>0</v>
      </c>
      <c r="M2789">
        <v>0.55826356643244646</v>
      </c>
      <c r="N2789">
        <v>0</v>
      </c>
      <c r="O2789">
        <v>0</v>
      </c>
      <c r="P2789">
        <v>0.76427657008642957</v>
      </c>
      <c r="Q2789">
        <v>2.2572885500407609</v>
      </c>
      <c r="R2789">
        <v>-2.7692644171924741E-2</v>
      </c>
      <c r="S2789">
        <v>0.26980839615390451</v>
      </c>
      <c r="T2789">
        <v>0.2115608236524841</v>
      </c>
      <c r="U2789">
        <v>4.3349681862688536</v>
      </c>
      <c r="V2789">
        <v>0.2152336530302634</v>
      </c>
      <c r="W2789">
        <v>9.7575814074837233</v>
      </c>
      <c r="X2789">
        <v>0.55574041681088493</v>
      </c>
      <c r="Z2789" t="s">
        <v>392</v>
      </c>
      <c r="AA2789">
        <v>9400</v>
      </c>
      <c r="AB2789" t="s">
        <v>3180</v>
      </c>
      <c r="AC2789" t="str">
        <f>HYPERLINK("plots/3FT6Y578R01_012_S11P_20251111092011_M5358ACSH101811_RBGEUFRF26/dpll_52094/txpa_53262.png","plot")</f>
        <v>plot</v>
      </c>
    </row>
    <row r="2790" spans="1:29" hidden="1" x14ac:dyDescent="0.35">
      <c r="A2790" t="s">
        <v>48</v>
      </c>
      <c r="B2790">
        <v>52094</v>
      </c>
      <c r="C2790" t="s">
        <v>53</v>
      </c>
      <c r="D2790">
        <v>53263</v>
      </c>
      <c r="E2790" t="s">
        <v>138</v>
      </c>
      <c r="F2790">
        <v>12123</v>
      </c>
      <c r="G2790">
        <v>0.87414337522802754</v>
      </c>
      <c r="H2790">
        <v>0</v>
      </c>
      <c r="I2790">
        <v>0</v>
      </c>
      <c r="J2790">
        <v>0.74731904405861538</v>
      </c>
      <c r="K2790">
        <v>0</v>
      </c>
      <c r="L2790">
        <v>0</v>
      </c>
      <c r="M2790">
        <v>0.55722645394114045</v>
      </c>
      <c r="N2790">
        <v>0</v>
      </c>
      <c r="O2790">
        <v>0</v>
      </c>
      <c r="P2790">
        <v>0.76412664045504819</v>
      </c>
      <c r="Q2790">
        <v>2.2629987378398591</v>
      </c>
      <c r="R2790">
        <v>-8.0472624324279707E-2</v>
      </c>
      <c r="S2790">
        <v>0.27038481389707719</v>
      </c>
      <c r="T2790">
        <v>0.2123031615894668</v>
      </c>
      <c r="U2790">
        <v>4.3352284896477773</v>
      </c>
      <c r="V2790">
        <v>0.2150597423268561</v>
      </c>
      <c r="W2790">
        <v>9.7301439759960395</v>
      </c>
      <c r="X2790">
        <v>0.55675068785928405</v>
      </c>
      <c r="Z2790" t="s">
        <v>392</v>
      </c>
      <c r="AA2790">
        <v>9400</v>
      </c>
      <c r="AB2790" t="s">
        <v>3181</v>
      </c>
      <c r="AC2790" t="str">
        <f>HYPERLINK("plots/3FT6Y578R01_012_S11P_20251111092011_M5358ACSH101811_RBGEUFRF26/dpll_52094/txpa_53263.png","plot")</f>
        <v>plot</v>
      </c>
    </row>
    <row r="2791" spans="1:29" hidden="1" x14ac:dyDescent="0.35">
      <c r="A2791" t="s">
        <v>48</v>
      </c>
      <c r="B2791">
        <v>52094</v>
      </c>
      <c r="C2791" t="s">
        <v>53</v>
      </c>
      <c r="D2791">
        <v>53264</v>
      </c>
      <c r="E2791" t="s">
        <v>139</v>
      </c>
      <c r="F2791">
        <v>12129</v>
      </c>
      <c r="G2791">
        <v>0.87563104094907196</v>
      </c>
      <c r="H2791">
        <v>0</v>
      </c>
      <c r="I2791">
        <v>0</v>
      </c>
      <c r="J2791">
        <v>0.75057704303077655</v>
      </c>
      <c r="K2791">
        <v>0</v>
      </c>
      <c r="L2791">
        <v>0</v>
      </c>
      <c r="M2791">
        <v>0.56064806430772018</v>
      </c>
      <c r="N2791">
        <v>0</v>
      </c>
      <c r="O2791">
        <v>0</v>
      </c>
      <c r="P2791">
        <v>0.76672971987355532</v>
      </c>
      <c r="Q2791">
        <v>2.2732799540282151</v>
      </c>
      <c r="R2791">
        <v>-0.12664795627951969</v>
      </c>
      <c r="S2791">
        <v>0.26974689312296429</v>
      </c>
      <c r="T2791">
        <v>0.21231041854643121</v>
      </c>
      <c r="U2791">
        <v>4.3350577641190533</v>
      </c>
      <c r="V2791">
        <v>0.21513589432090041</v>
      </c>
      <c r="W2791">
        <v>9.7281519584466984</v>
      </c>
      <c r="X2791">
        <v>0.55852761389266448</v>
      </c>
      <c r="Z2791" t="s">
        <v>392</v>
      </c>
      <c r="AA2791">
        <v>9400</v>
      </c>
      <c r="AB2791" t="s">
        <v>3182</v>
      </c>
      <c r="AC2791" t="str">
        <f>HYPERLINK("plots/3FT6Y578R01_012_S11P_20251111092011_M5358ACSH101811_RBGEUFRF26/dpll_52094/txpa_53264.png","plot")</f>
        <v>plot</v>
      </c>
    </row>
    <row r="2792" spans="1:29" hidden="1" x14ac:dyDescent="0.35">
      <c r="A2792" t="s">
        <v>48</v>
      </c>
      <c r="B2792">
        <v>52094</v>
      </c>
      <c r="C2792" t="s">
        <v>53</v>
      </c>
      <c r="D2792">
        <v>53265</v>
      </c>
      <c r="E2792" t="s">
        <v>140</v>
      </c>
      <c r="F2792">
        <v>12105</v>
      </c>
      <c r="G2792">
        <v>0.87575199704440254</v>
      </c>
      <c r="H2792">
        <v>0</v>
      </c>
      <c r="I2792">
        <v>0</v>
      </c>
      <c r="J2792">
        <v>0.74618322352606714</v>
      </c>
      <c r="K2792">
        <v>0</v>
      </c>
      <c r="L2792">
        <v>0</v>
      </c>
      <c r="M2792">
        <v>0.55770544040512127</v>
      </c>
      <c r="N2792">
        <v>0</v>
      </c>
      <c r="O2792">
        <v>0</v>
      </c>
      <c r="P2792">
        <v>0.76694156032725924</v>
      </c>
      <c r="Q2792">
        <v>2.255886084401225</v>
      </c>
      <c r="R2792">
        <v>-4.0123572379904722E-2</v>
      </c>
      <c r="S2792">
        <v>0.26692220585345527</v>
      </c>
      <c r="T2792">
        <v>0.2100946536862944</v>
      </c>
      <c r="U2792">
        <v>4.3358757574555966</v>
      </c>
      <c r="V2792">
        <v>0.21465163379504901</v>
      </c>
      <c r="W2792">
        <v>9.7411182125567954</v>
      </c>
      <c r="X2792">
        <v>0.55293009357269807</v>
      </c>
      <c r="Z2792" t="s">
        <v>392</v>
      </c>
      <c r="AA2792">
        <v>9400</v>
      </c>
      <c r="AB2792" t="s">
        <v>3183</v>
      </c>
      <c r="AC2792" t="str">
        <f>HYPERLINK("plots/3FT6Y578R01_012_S11P_20251111092011_M5358ACSH101811_RBGEUFRF26/dpll_52094/txpa_53265.png","plot")</f>
        <v>plot</v>
      </c>
    </row>
    <row r="2793" spans="1:29" hidden="1" x14ac:dyDescent="0.35">
      <c r="A2793" t="s">
        <v>48</v>
      </c>
      <c r="B2793">
        <v>52094</v>
      </c>
      <c r="C2793" t="s">
        <v>53</v>
      </c>
      <c r="D2793">
        <v>53266</v>
      </c>
      <c r="E2793" t="s">
        <v>141</v>
      </c>
      <c r="F2793">
        <v>12117</v>
      </c>
      <c r="G2793">
        <v>0.87162729123039406</v>
      </c>
      <c r="H2793">
        <v>0</v>
      </c>
      <c r="I2793">
        <v>0</v>
      </c>
      <c r="J2793">
        <v>0.74237665024425448</v>
      </c>
      <c r="K2793">
        <v>0</v>
      </c>
      <c r="L2793">
        <v>0</v>
      </c>
      <c r="M2793">
        <v>0.55324049989050739</v>
      </c>
      <c r="N2793">
        <v>0</v>
      </c>
      <c r="O2793">
        <v>0</v>
      </c>
      <c r="P2793">
        <v>0.75973413481763419</v>
      </c>
      <c r="Q2793">
        <v>2.243176300309794</v>
      </c>
      <c r="R2793">
        <v>-5.9940946963994426E-3</v>
      </c>
      <c r="S2793">
        <v>0.27099922374049751</v>
      </c>
      <c r="T2793">
        <v>0.21249984680084669</v>
      </c>
      <c r="U2793">
        <v>4.3355254367417677</v>
      </c>
      <c r="V2793">
        <v>0.21483614120924349</v>
      </c>
      <c r="W2793">
        <v>9.7193538143930027</v>
      </c>
      <c r="X2793">
        <v>0.55289152285526644</v>
      </c>
      <c r="Z2793" t="s">
        <v>392</v>
      </c>
      <c r="AA2793">
        <v>9400</v>
      </c>
      <c r="AB2793" t="s">
        <v>3184</v>
      </c>
      <c r="AC2793" t="str">
        <f>HYPERLINK("plots/3FT6Y578R01_012_S11P_20251111092011_M5358ACSH101811_RBGEUFRF26/dpll_52094/txpa_53266.png","plot")</f>
        <v>plot</v>
      </c>
    </row>
    <row r="2794" spans="1:29" hidden="1" x14ac:dyDescent="0.35">
      <c r="A2794" t="s">
        <v>48</v>
      </c>
      <c r="B2794">
        <v>52094</v>
      </c>
      <c r="C2794" t="s">
        <v>53</v>
      </c>
      <c r="D2794">
        <v>53267</v>
      </c>
      <c r="E2794" t="s">
        <v>142</v>
      </c>
      <c r="F2794">
        <v>12103</v>
      </c>
      <c r="G2794">
        <v>0.86403573020808011</v>
      </c>
      <c r="H2794">
        <v>0</v>
      </c>
      <c r="I2794">
        <v>0</v>
      </c>
      <c r="J2794">
        <v>0.73610557613871208</v>
      </c>
      <c r="K2794">
        <v>0</v>
      </c>
      <c r="L2794">
        <v>0</v>
      </c>
      <c r="M2794">
        <v>0.54552243316114724</v>
      </c>
      <c r="N2794">
        <v>0</v>
      </c>
      <c r="O2794">
        <v>0</v>
      </c>
      <c r="P2794">
        <v>0.74655774307621015</v>
      </c>
      <c r="Q2794">
        <v>2.3091259213761508</v>
      </c>
      <c r="R2794">
        <v>0.10655375043221051</v>
      </c>
      <c r="S2794">
        <v>0.288997826214619</v>
      </c>
      <c r="T2794">
        <v>0.22414052770913509</v>
      </c>
      <c r="U2794">
        <v>4.335804945054945</v>
      </c>
      <c r="V2794">
        <v>0.21481128364566571</v>
      </c>
      <c r="W2794">
        <v>10.11847333908948</v>
      </c>
      <c r="X2794">
        <v>0.57408077690356218</v>
      </c>
      <c r="Z2794" t="s">
        <v>392</v>
      </c>
      <c r="AA2794">
        <v>9400</v>
      </c>
      <c r="AB2794" t="s">
        <v>3185</v>
      </c>
      <c r="AC2794" t="str">
        <f>HYPERLINK("plots/3FT6Y578R01_012_S11P_20251111092011_M5358ACSH101811_RBGEUFRF26/dpll_52094/txpa_53267.png","plot")</f>
        <v>plot</v>
      </c>
    </row>
    <row r="2795" spans="1:29" hidden="1" x14ac:dyDescent="0.35">
      <c r="A2795" t="s">
        <v>48</v>
      </c>
      <c r="B2795">
        <v>52094</v>
      </c>
      <c r="C2795" t="s">
        <v>53</v>
      </c>
      <c r="D2795">
        <v>53268</v>
      </c>
      <c r="E2795" t="s">
        <v>143</v>
      </c>
      <c r="F2795">
        <v>12119</v>
      </c>
      <c r="G2795">
        <v>0.87090308429560703</v>
      </c>
      <c r="H2795">
        <v>0</v>
      </c>
      <c r="I2795">
        <v>0</v>
      </c>
      <c r="J2795">
        <v>0.74468820826188309</v>
      </c>
      <c r="K2795">
        <v>0</v>
      </c>
      <c r="L2795">
        <v>0</v>
      </c>
      <c r="M2795">
        <v>0.55494446922786778</v>
      </c>
      <c r="N2795">
        <v>0</v>
      </c>
      <c r="O2795">
        <v>0</v>
      </c>
      <c r="P2795">
        <v>0.7584721822356012</v>
      </c>
      <c r="Q2795">
        <v>2.343882597955969</v>
      </c>
      <c r="R2795">
        <v>-6.8681547258311326E-3</v>
      </c>
      <c r="S2795">
        <v>0.28447735299926957</v>
      </c>
      <c r="T2795">
        <v>0.222798014697414</v>
      </c>
      <c r="U2795">
        <v>4.33529692936711</v>
      </c>
      <c r="V2795">
        <v>0.21508791624465759</v>
      </c>
      <c r="W2795">
        <v>10.154558874989689</v>
      </c>
      <c r="X2795">
        <v>0.57887132679546827</v>
      </c>
      <c r="Z2795" t="s">
        <v>392</v>
      </c>
      <c r="AA2795">
        <v>9400</v>
      </c>
      <c r="AB2795" t="s">
        <v>3186</v>
      </c>
      <c r="AC2795" t="str">
        <f>HYPERLINK("plots/3FT6Y578R01_012_S11P_20251111092011_M5358ACSH101811_RBGEUFRF26/dpll_52094/txpa_53268.png","plot")</f>
        <v>plot</v>
      </c>
    </row>
    <row r="2796" spans="1:29" hidden="1" x14ac:dyDescent="0.35">
      <c r="A2796" t="s">
        <v>48</v>
      </c>
      <c r="B2796">
        <v>52094</v>
      </c>
      <c r="C2796" t="s">
        <v>53</v>
      </c>
      <c r="D2796">
        <v>53269</v>
      </c>
      <c r="E2796" t="s">
        <v>144</v>
      </c>
      <c r="F2796">
        <v>12095</v>
      </c>
      <c r="G2796">
        <v>0.87087735678605482</v>
      </c>
      <c r="H2796">
        <v>0</v>
      </c>
      <c r="I2796">
        <v>0</v>
      </c>
      <c r="J2796">
        <v>0.73940101025406946</v>
      </c>
      <c r="K2796">
        <v>0</v>
      </c>
      <c r="L2796">
        <v>0</v>
      </c>
      <c r="M2796">
        <v>0.55006970953396495</v>
      </c>
      <c r="N2796">
        <v>0</v>
      </c>
      <c r="O2796">
        <v>0</v>
      </c>
      <c r="P2796">
        <v>0.7584273705626654</v>
      </c>
      <c r="Q2796">
        <v>2.312040975029785</v>
      </c>
      <c r="R2796">
        <v>0.14521711404485421</v>
      </c>
      <c r="S2796">
        <v>0.28001464461776743</v>
      </c>
      <c r="T2796">
        <v>0.21961491093459951</v>
      </c>
      <c r="U2796">
        <v>4.3360913076477878</v>
      </c>
      <c r="V2796">
        <v>0.214603256823936</v>
      </c>
      <c r="W2796">
        <v>10.17043788879702</v>
      </c>
      <c r="X2796">
        <v>0.56973754029256829</v>
      </c>
      <c r="Z2796" t="s">
        <v>392</v>
      </c>
      <c r="AA2796">
        <v>9400</v>
      </c>
      <c r="AB2796" t="s">
        <v>3187</v>
      </c>
      <c r="AC2796" t="str">
        <f>HYPERLINK("plots/3FT6Y578R01_012_S11P_20251111092011_M5358ACSH101811_RBGEUFRF26/dpll_52094/txpa_53269.png","plot")</f>
        <v>plot</v>
      </c>
    </row>
    <row r="2797" spans="1:29" hidden="1" x14ac:dyDescent="0.35">
      <c r="A2797" t="s">
        <v>48</v>
      </c>
      <c r="B2797">
        <v>52094</v>
      </c>
      <c r="C2797" t="s">
        <v>53</v>
      </c>
      <c r="D2797">
        <v>53270</v>
      </c>
      <c r="E2797" t="s">
        <v>145</v>
      </c>
      <c r="F2797">
        <v>12114</v>
      </c>
      <c r="G2797">
        <v>0.87457730793136779</v>
      </c>
      <c r="H2797">
        <v>0</v>
      </c>
      <c r="I2797">
        <v>0</v>
      </c>
      <c r="J2797">
        <v>0.746415283912639</v>
      </c>
      <c r="K2797">
        <v>0</v>
      </c>
      <c r="L2797">
        <v>0</v>
      </c>
      <c r="M2797">
        <v>0.556881906315708</v>
      </c>
      <c r="N2797">
        <v>0</v>
      </c>
      <c r="O2797">
        <v>0</v>
      </c>
      <c r="P2797">
        <v>0.76488546754847853</v>
      </c>
      <c r="Q2797">
        <v>2.3442850565932689</v>
      </c>
      <c r="R2797">
        <v>2.5153457143382241E-2</v>
      </c>
      <c r="S2797">
        <v>0.27925649707561839</v>
      </c>
      <c r="T2797">
        <v>0.21976466812598411</v>
      </c>
      <c r="U2797">
        <v>4.3355576783886418</v>
      </c>
      <c r="V2797">
        <v>0.21486677272826271</v>
      </c>
      <c r="W2797">
        <v>10.18893653458808</v>
      </c>
      <c r="X2797">
        <v>0.57594561383796672</v>
      </c>
      <c r="Z2797" t="s">
        <v>392</v>
      </c>
      <c r="AA2797">
        <v>9400</v>
      </c>
      <c r="AB2797" t="s">
        <v>3188</v>
      </c>
      <c r="AC2797" t="str">
        <f>HYPERLINK("plots/3FT6Y578R01_012_S11P_20251111092011_M5358ACSH101811_RBGEUFRF26/dpll_52094/txpa_53270.png","plot")</f>
        <v>plot</v>
      </c>
    </row>
    <row r="2798" spans="1:29" hidden="1" x14ac:dyDescent="0.35">
      <c r="A2798" t="s">
        <v>48</v>
      </c>
      <c r="B2798">
        <v>52094</v>
      </c>
      <c r="C2798" t="s">
        <v>53</v>
      </c>
      <c r="D2798">
        <v>53271</v>
      </c>
      <c r="E2798" t="s">
        <v>146</v>
      </c>
      <c r="F2798">
        <v>12104</v>
      </c>
      <c r="G2798">
        <v>0.87450914211722008</v>
      </c>
      <c r="H2798">
        <v>0</v>
      </c>
      <c r="I2798">
        <v>0</v>
      </c>
      <c r="J2798">
        <v>0.74539828169932154</v>
      </c>
      <c r="K2798">
        <v>0</v>
      </c>
      <c r="L2798">
        <v>0</v>
      </c>
      <c r="M2798">
        <v>0.55584092307479094</v>
      </c>
      <c r="N2798">
        <v>0</v>
      </c>
      <c r="O2798">
        <v>0</v>
      </c>
      <c r="P2798">
        <v>0.76476623964659618</v>
      </c>
      <c r="Q2798">
        <v>2.3500484742997378</v>
      </c>
      <c r="R2798">
        <v>-2.840804083408344E-2</v>
      </c>
      <c r="S2798">
        <v>0.27977527002510449</v>
      </c>
      <c r="T2798">
        <v>0.22047271885300671</v>
      </c>
      <c r="U2798">
        <v>4.335831945968275</v>
      </c>
      <c r="V2798">
        <v>0.21466684444900361</v>
      </c>
      <c r="W2798">
        <v>10.161007208608719</v>
      </c>
      <c r="X2798">
        <v>0.57686931557829202</v>
      </c>
      <c r="Z2798" t="s">
        <v>392</v>
      </c>
      <c r="AA2798">
        <v>9400</v>
      </c>
      <c r="AB2798" t="s">
        <v>3189</v>
      </c>
      <c r="AC2798" t="str">
        <f>HYPERLINK("plots/3FT6Y578R01_012_S11P_20251111092011_M5358ACSH101811_RBGEUFRF26/dpll_52094/txpa_53271.png","plot")</f>
        <v>plot</v>
      </c>
    </row>
    <row r="2799" spans="1:29" hidden="1" x14ac:dyDescent="0.35">
      <c r="A2799" t="s">
        <v>48</v>
      </c>
      <c r="B2799">
        <v>52094</v>
      </c>
      <c r="C2799" t="s">
        <v>53</v>
      </c>
      <c r="D2799">
        <v>53272</v>
      </c>
      <c r="E2799" t="s">
        <v>147</v>
      </c>
      <c r="F2799">
        <v>12105</v>
      </c>
      <c r="G2799">
        <v>0.87575619503863644</v>
      </c>
      <c r="H2799">
        <v>0</v>
      </c>
      <c r="I2799">
        <v>0</v>
      </c>
      <c r="J2799">
        <v>0.74824558893377946</v>
      </c>
      <c r="K2799">
        <v>0</v>
      </c>
      <c r="L2799">
        <v>0</v>
      </c>
      <c r="M2799">
        <v>0.55893556534748234</v>
      </c>
      <c r="N2799">
        <v>0</v>
      </c>
      <c r="O2799">
        <v>0</v>
      </c>
      <c r="P2799">
        <v>0.76694891314855018</v>
      </c>
      <c r="Q2799">
        <v>2.356907098546801</v>
      </c>
      <c r="R2799">
        <v>-5.9123359761114713E-2</v>
      </c>
      <c r="S2799">
        <v>0.2788362065193033</v>
      </c>
      <c r="T2799">
        <v>0.22014576672838451</v>
      </c>
      <c r="U2799">
        <v>4.3358339859562163</v>
      </c>
      <c r="V2799">
        <v>0.21462598063285729</v>
      </c>
      <c r="W2799">
        <v>10.160034539859559</v>
      </c>
      <c r="X2799">
        <v>0.57761909096610198</v>
      </c>
      <c r="Z2799" t="s">
        <v>392</v>
      </c>
      <c r="AA2799">
        <v>9400</v>
      </c>
      <c r="AB2799" t="s">
        <v>3190</v>
      </c>
      <c r="AC2799" t="str">
        <f>HYPERLINK("plots/3FT6Y578R01_012_S11P_20251111092011_M5358ACSH101811_RBGEUFRF26/dpll_52094/txpa_53272.png","plot")</f>
        <v>plot</v>
      </c>
    </row>
    <row r="2800" spans="1:29" hidden="1" x14ac:dyDescent="0.35">
      <c r="A2800" t="s">
        <v>48</v>
      </c>
      <c r="B2800">
        <v>52094</v>
      </c>
      <c r="C2800" t="s">
        <v>53</v>
      </c>
      <c r="D2800">
        <v>53273</v>
      </c>
      <c r="E2800" t="s">
        <v>148</v>
      </c>
      <c r="F2800">
        <v>12089</v>
      </c>
      <c r="G2800">
        <v>0.87551054964242248</v>
      </c>
      <c r="H2800">
        <v>0</v>
      </c>
      <c r="I2800">
        <v>0</v>
      </c>
      <c r="J2800">
        <v>0.74452246336841865</v>
      </c>
      <c r="K2800">
        <v>0</v>
      </c>
      <c r="L2800">
        <v>0</v>
      </c>
      <c r="M2800">
        <v>0.55652289973725455</v>
      </c>
      <c r="N2800">
        <v>0</v>
      </c>
      <c r="O2800">
        <v>0</v>
      </c>
      <c r="P2800">
        <v>0.76651872253517672</v>
      </c>
      <c r="Q2800">
        <v>2.3442079327272189</v>
      </c>
      <c r="R2800">
        <v>6.4389222539151802E-3</v>
      </c>
      <c r="S2800">
        <v>0.27717168793450658</v>
      </c>
      <c r="T2800">
        <v>0.21853232335806241</v>
      </c>
      <c r="U2800">
        <v>4.3364312857970058</v>
      </c>
      <c r="V2800">
        <v>0.2142427092461785</v>
      </c>
      <c r="W2800">
        <v>10.17193554214575</v>
      </c>
      <c r="X2800">
        <v>0.57364181248185342</v>
      </c>
      <c r="Z2800" t="s">
        <v>392</v>
      </c>
      <c r="AA2800">
        <v>9400</v>
      </c>
      <c r="AB2800" t="s">
        <v>3191</v>
      </c>
      <c r="AC2800" t="str">
        <f>HYPERLINK("plots/3FT6Y578R01_012_S11P_20251111092011_M5358ACSH101811_RBGEUFRF26/dpll_52094/txpa_53273.png","plot")</f>
        <v>plot</v>
      </c>
    </row>
    <row r="2801" spans="1:29" hidden="1" x14ac:dyDescent="0.35">
      <c r="A2801" t="s">
        <v>48</v>
      </c>
      <c r="B2801">
        <v>52094</v>
      </c>
      <c r="C2801" t="s">
        <v>53</v>
      </c>
      <c r="D2801">
        <v>53274</v>
      </c>
      <c r="E2801" t="s">
        <v>149</v>
      </c>
      <c r="F2801">
        <v>12101</v>
      </c>
      <c r="G2801">
        <v>0.87170123502910013</v>
      </c>
      <c r="H2801">
        <v>0</v>
      </c>
      <c r="I2801">
        <v>0</v>
      </c>
      <c r="J2801">
        <v>0.74050556775421139</v>
      </c>
      <c r="K2801">
        <v>0</v>
      </c>
      <c r="L2801">
        <v>0</v>
      </c>
      <c r="M2801">
        <v>0.55190106503648417</v>
      </c>
      <c r="N2801">
        <v>0</v>
      </c>
      <c r="O2801">
        <v>0</v>
      </c>
      <c r="P2801">
        <v>0.75986304315125841</v>
      </c>
      <c r="Q2801">
        <v>2.332009823731322</v>
      </c>
      <c r="R2801">
        <v>3.7742914941638617E-2</v>
      </c>
      <c r="S2801">
        <v>0.28123747911462621</v>
      </c>
      <c r="T2801">
        <v>0.2210433252033725</v>
      </c>
      <c r="U2801">
        <v>4.3360205378067924</v>
      </c>
      <c r="V2801">
        <v>0.2145353811056761</v>
      </c>
      <c r="W2801">
        <v>10.14938540500785</v>
      </c>
      <c r="X2801">
        <v>0.57393358661431559</v>
      </c>
      <c r="Z2801" t="s">
        <v>392</v>
      </c>
      <c r="AA2801">
        <v>9400</v>
      </c>
      <c r="AB2801" t="s">
        <v>3192</v>
      </c>
      <c r="AC2801" t="str">
        <f>HYPERLINK("plots/3FT6Y578R01_012_S11P_20251111092011_M5358ACSH101811_RBGEUFRF26/dpll_52094/txpa_53274.png","plot")</f>
        <v>plot</v>
      </c>
    </row>
    <row r="2802" spans="1:29" hidden="1" x14ac:dyDescent="0.35">
      <c r="A2802" t="s">
        <v>48</v>
      </c>
      <c r="B2802">
        <v>52094</v>
      </c>
      <c r="C2802" t="s">
        <v>53</v>
      </c>
      <c r="D2802">
        <v>53275</v>
      </c>
      <c r="E2802" t="s">
        <v>150</v>
      </c>
      <c r="F2802">
        <v>12051</v>
      </c>
      <c r="G2802">
        <v>0.86469705354404069</v>
      </c>
      <c r="H2802">
        <v>0</v>
      </c>
      <c r="I2802">
        <v>0</v>
      </c>
      <c r="J2802">
        <v>0.73028147859012993</v>
      </c>
      <c r="K2802">
        <v>0</v>
      </c>
      <c r="L2802">
        <v>0</v>
      </c>
      <c r="M2802">
        <v>0.5416734552486574</v>
      </c>
      <c r="N2802">
        <v>0</v>
      </c>
      <c r="O2802">
        <v>0</v>
      </c>
      <c r="P2802">
        <v>0.74770099440774562</v>
      </c>
      <c r="Q2802">
        <v>2.68388977589892</v>
      </c>
      <c r="R2802">
        <v>-0.23507930398553609</v>
      </c>
      <c r="S2802">
        <v>0.33312149202541808</v>
      </c>
      <c r="T2802">
        <v>0.26115806474317288</v>
      </c>
      <c r="U2802">
        <v>4.3375020688739516</v>
      </c>
      <c r="V2802">
        <v>0.213679179105699</v>
      </c>
      <c r="W2802">
        <v>11.406298151605681</v>
      </c>
      <c r="X2802">
        <v>0.66322807713262411</v>
      </c>
      <c r="Z2802" t="s">
        <v>392</v>
      </c>
      <c r="AA2802">
        <v>9400</v>
      </c>
      <c r="AB2802" t="s">
        <v>3193</v>
      </c>
      <c r="AC2802" t="str">
        <f>HYPERLINK("plots/3FT6Y578R01_012_S11P_20251111092011_M5358ACSH101811_RBGEUFRF26/dpll_52094/txpa_53275.png","plot")</f>
        <v>plot</v>
      </c>
    </row>
    <row r="2803" spans="1:29" hidden="1" x14ac:dyDescent="0.35">
      <c r="A2803" t="s">
        <v>48</v>
      </c>
      <c r="B2803">
        <v>52094</v>
      </c>
      <c r="C2803" t="s">
        <v>53</v>
      </c>
      <c r="D2803">
        <v>53276</v>
      </c>
      <c r="E2803" t="s">
        <v>151</v>
      </c>
      <c r="F2803">
        <v>12073</v>
      </c>
      <c r="G2803">
        <v>0.87090806044204983</v>
      </c>
      <c r="H2803">
        <v>0</v>
      </c>
      <c r="I2803">
        <v>0</v>
      </c>
      <c r="J2803">
        <v>0.7387429935073484</v>
      </c>
      <c r="K2803">
        <v>0</v>
      </c>
      <c r="L2803">
        <v>0</v>
      </c>
      <c r="M2803">
        <v>0.55067989134837547</v>
      </c>
      <c r="N2803">
        <v>0</v>
      </c>
      <c r="O2803">
        <v>0</v>
      </c>
      <c r="P2803">
        <v>0.75848084974293306</v>
      </c>
      <c r="Q2803">
        <v>2.72297732121657</v>
      </c>
      <c r="R2803">
        <v>-0.36422989674216671</v>
      </c>
      <c r="S2803">
        <v>0.3289302450125639</v>
      </c>
      <c r="T2803">
        <v>0.26002437526529709</v>
      </c>
      <c r="U2803">
        <v>4.3367986439990061</v>
      </c>
      <c r="V2803">
        <v>0.21407911230229809</v>
      </c>
      <c r="W2803">
        <v>11.444774457549901</v>
      </c>
      <c r="X2803">
        <v>0.66933881338685997</v>
      </c>
      <c r="Z2803" t="s">
        <v>392</v>
      </c>
      <c r="AA2803">
        <v>9400</v>
      </c>
      <c r="AB2803" t="s">
        <v>3194</v>
      </c>
      <c r="AC2803" t="str">
        <f>HYPERLINK("plots/3FT6Y578R01_012_S11P_20251111092011_M5358ACSH101811_RBGEUFRF26/dpll_52094/txpa_53276.png","plot")</f>
        <v>plot</v>
      </c>
    </row>
    <row r="2804" spans="1:29" hidden="1" x14ac:dyDescent="0.35">
      <c r="A2804" t="s">
        <v>48</v>
      </c>
      <c r="B2804">
        <v>52094</v>
      </c>
      <c r="C2804" t="s">
        <v>53</v>
      </c>
      <c r="D2804">
        <v>53277</v>
      </c>
      <c r="E2804" t="s">
        <v>152</v>
      </c>
      <c r="F2804">
        <v>12042</v>
      </c>
      <c r="G2804">
        <v>0.87087804672787139</v>
      </c>
      <c r="H2804">
        <v>0</v>
      </c>
      <c r="I2804">
        <v>0</v>
      </c>
      <c r="J2804">
        <v>0.73362439533838131</v>
      </c>
      <c r="K2804">
        <v>0</v>
      </c>
      <c r="L2804">
        <v>0</v>
      </c>
      <c r="M2804">
        <v>0.54616453294372491</v>
      </c>
      <c r="N2804">
        <v>0</v>
      </c>
      <c r="O2804">
        <v>0</v>
      </c>
      <c r="P2804">
        <v>0.75842857227255256</v>
      </c>
      <c r="Q2804">
        <v>2.685980288521415</v>
      </c>
      <c r="R2804">
        <v>-0.18975721203785059</v>
      </c>
      <c r="S2804">
        <v>0.32350897067229428</v>
      </c>
      <c r="T2804">
        <v>0.25647136078210359</v>
      </c>
      <c r="U2804">
        <v>4.3378348391463213</v>
      </c>
      <c r="V2804">
        <v>0.21342048364418459</v>
      </c>
      <c r="W2804">
        <v>11.46158166077063</v>
      </c>
      <c r="X2804">
        <v>0.65823591993025843</v>
      </c>
      <c r="Z2804" t="s">
        <v>392</v>
      </c>
      <c r="AA2804">
        <v>9400</v>
      </c>
      <c r="AB2804" t="s">
        <v>3195</v>
      </c>
      <c r="AC2804" t="str">
        <f>HYPERLINK("plots/3FT6Y578R01_012_S11P_20251111092011_M5358ACSH101811_RBGEUFRF26/dpll_52094/txpa_53277.png","plot")</f>
        <v>plot</v>
      </c>
    </row>
    <row r="2805" spans="1:29" hidden="1" x14ac:dyDescent="0.35">
      <c r="A2805" t="s">
        <v>48</v>
      </c>
      <c r="B2805">
        <v>52094</v>
      </c>
      <c r="C2805" t="s">
        <v>53</v>
      </c>
      <c r="D2805">
        <v>53278</v>
      </c>
      <c r="E2805" t="s">
        <v>153</v>
      </c>
      <c r="F2805">
        <v>12055</v>
      </c>
      <c r="G2805">
        <v>0.87456532473250281</v>
      </c>
      <c r="H2805">
        <v>0</v>
      </c>
      <c r="I2805">
        <v>0</v>
      </c>
      <c r="J2805">
        <v>0.73896358786691163</v>
      </c>
      <c r="K2805">
        <v>0</v>
      </c>
      <c r="L2805">
        <v>0</v>
      </c>
      <c r="M2805">
        <v>0.55150233053664288</v>
      </c>
      <c r="N2805">
        <v>0</v>
      </c>
      <c r="O2805">
        <v>0</v>
      </c>
      <c r="P2805">
        <v>0.76486450722446808</v>
      </c>
      <c r="Q2805">
        <v>2.7181911137768382</v>
      </c>
      <c r="R2805">
        <v>-0.3092217695336803</v>
      </c>
      <c r="S2805">
        <v>0.3220260365264932</v>
      </c>
      <c r="T2805">
        <v>0.25649226082444088</v>
      </c>
      <c r="U2805">
        <v>4.3374197664039817</v>
      </c>
      <c r="V2805">
        <v>0.2136791620263126</v>
      </c>
      <c r="W2805">
        <v>11.480714096225631</v>
      </c>
      <c r="X2805">
        <v>0.66412511792284445</v>
      </c>
      <c r="Z2805" t="s">
        <v>392</v>
      </c>
      <c r="AA2805">
        <v>9400</v>
      </c>
      <c r="AB2805" t="s">
        <v>3196</v>
      </c>
      <c r="AC2805" t="str">
        <f>HYPERLINK("plots/3FT6Y578R01_012_S11P_20251111092011_M5358ACSH101811_RBGEUFRF26/dpll_52094/txpa_53278.png","plot")</f>
        <v>plot</v>
      </c>
    </row>
    <row r="2806" spans="1:29" hidden="1" x14ac:dyDescent="0.35">
      <c r="A2806" t="s">
        <v>48</v>
      </c>
      <c r="B2806">
        <v>52094</v>
      </c>
      <c r="C2806" t="s">
        <v>53</v>
      </c>
      <c r="D2806">
        <v>53279</v>
      </c>
      <c r="E2806" t="s">
        <v>154</v>
      </c>
      <c r="F2806">
        <v>12040</v>
      </c>
      <c r="G2806">
        <v>0.87432113770017716</v>
      </c>
      <c r="H2806">
        <v>0</v>
      </c>
      <c r="I2806">
        <v>0</v>
      </c>
      <c r="J2806">
        <v>0.73777835023092331</v>
      </c>
      <c r="K2806">
        <v>0</v>
      </c>
      <c r="L2806">
        <v>0</v>
      </c>
      <c r="M2806">
        <v>0.55037113215959532</v>
      </c>
      <c r="N2806">
        <v>0</v>
      </c>
      <c r="O2806">
        <v>0</v>
      </c>
      <c r="P2806">
        <v>0.7644374518293322</v>
      </c>
      <c r="Q2806">
        <v>2.7177192735394651</v>
      </c>
      <c r="R2806">
        <v>-0.33582650048440321</v>
      </c>
      <c r="S2806">
        <v>0.32175091580262521</v>
      </c>
      <c r="T2806">
        <v>0.25663847902896858</v>
      </c>
      <c r="U2806">
        <v>4.3379089496677743</v>
      </c>
      <c r="V2806">
        <v>0.21328047038677411</v>
      </c>
      <c r="W2806">
        <v>11.453392258887041</v>
      </c>
      <c r="X2806">
        <v>0.66295600100025076</v>
      </c>
      <c r="Z2806" t="s">
        <v>392</v>
      </c>
      <c r="AA2806">
        <v>9400</v>
      </c>
      <c r="AB2806" t="s">
        <v>3197</v>
      </c>
      <c r="AC2806" t="str">
        <f>HYPERLINK("plots/3FT6Y578R01_012_S11P_20251111092011_M5358ACSH101811_RBGEUFRF26/dpll_52094/txpa_53279.png","plot")</f>
        <v>plot</v>
      </c>
    </row>
    <row r="2807" spans="1:29" hidden="1" x14ac:dyDescent="0.35">
      <c r="A2807" t="s">
        <v>48</v>
      </c>
      <c r="B2807">
        <v>52094</v>
      </c>
      <c r="C2807" t="s">
        <v>53</v>
      </c>
      <c r="D2807">
        <v>53280</v>
      </c>
      <c r="E2807" t="s">
        <v>155</v>
      </c>
      <c r="F2807">
        <v>12050</v>
      </c>
      <c r="G2807">
        <v>0.87536601635321321</v>
      </c>
      <c r="H2807">
        <v>0</v>
      </c>
      <c r="I2807">
        <v>0</v>
      </c>
      <c r="J2807">
        <v>0.74129719930981575</v>
      </c>
      <c r="K2807">
        <v>0</v>
      </c>
      <c r="L2807">
        <v>0</v>
      </c>
      <c r="M2807">
        <v>0.55411742943609266</v>
      </c>
      <c r="N2807">
        <v>0</v>
      </c>
      <c r="O2807">
        <v>0</v>
      </c>
      <c r="P2807">
        <v>0.76626566258609397</v>
      </c>
      <c r="Q2807">
        <v>2.7306603663355791</v>
      </c>
      <c r="R2807">
        <v>-0.39319923719733119</v>
      </c>
      <c r="S2807">
        <v>0.3219398693346695</v>
      </c>
      <c r="T2807">
        <v>0.2566061386591188</v>
      </c>
      <c r="U2807">
        <v>4.3375944869709544</v>
      </c>
      <c r="V2807">
        <v>0.2134781944507057</v>
      </c>
      <c r="W2807">
        <v>11.45129811360996</v>
      </c>
      <c r="X2807">
        <v>0.6659345162746243</v>
      </c>
      <c r="Z2807" t="s">
        <v>392</v>
      </c>
      <c r="AA2807">
        <v>9400</v>
      </c>
      <c r="AB2807" t="s">
        <v>3198</v>
      </c>
      <c r="AC2807" t="str">
        <f>HYPERLINK("plots/3FT6Y578R01_012_S11P_20251111092011_M5358ACSH101811_RBGEUFRF26/dpll_52094/txpa_53280.png","plot")</f>
        <v>plot</v>
      </c>
    </row>
    <row r="2808" spans="1:29" hidden="1" x14ac:dyDescent="0.35">
      <c r="A2808" t="s">
        <v>48</v>
      </c>
      <c r="B2808">
        <v>52094</v>
      </c>
      <c r="C2808" t="s">
        <v>53</v>
      </c>
      <c r="D2808">
        <v>53281</v>
      </c>
      <c r="E2808" t="s">
        <v>156</v>
      </c>
      <c r="F2808">
        <v>12038</v>
      </c>
      <c r="G2808">
        <v>0.87468168470104912</v>
      </c>
      <c r="H2808">
        <v>0</v>
      </c>
      <c r="I2808">
        <v>0</v>
      </c>
      <c r="J2808">
        <v>0.73832448334908274</v>
      </c>
      <c r="K2808">
        <v>0</v>
      </c>
      <c r="L2808">
        <v>0</v>
      </c>
      <c r="M2808">
        <v>0.55226044538791752</v>
      </c>
      <c r="N2808">
        <v>0</v>
      </c>
      <c r="O2808">
        <v>0</v>
      </c>
      <c r="P2808">
        <v>0.76506804955146546</v>
      </c>
      <c r="Q2808">
        <v>2.720305348857174</v>
      </c>
      <c r="R2808">
        <v>-0.33724477764594951</v>
      </c>
      <c r="S2808">
        <v>0.3212255246517865</v>
      </c>
      <c r="T2808">
        <v>0.25573728327919248</v>
      </c>
      <c r="U2808">
        <v>4.3381083919255694</v>
      </c>
      <c r="V2808">
        <v>0.2131029302594967</v>
      </c>
      <c r="W2808">
        <v>11.463734684831371</v>
      </c>
      <c r="X2808">
        <v>0.66276115206434116</v>
      </c>
      <c r="Z2808" t="s">
        <v>392</v>
      </c>
      <c r="AA2808">
        <v>9400</v>
      </c>
      <c r="AB2808" t="s">
        <v>3199</v>
      </c>
      <c r="AC2808" t="str">
        <f>HYPERLINK("plots/3FT6Y578R01_012_S11P_20251111092011_M5358ACSH101811_RBGEUFRF26/dpll_52094/txpa_53281.png","plot")</f>
        <v>plot</v>
      </c>
    </row>
    <row r="2809" spans="1:29" hidden="1" x14ac:dyDescent="0.35">
      <c r="A2809" t="s">
        <v>48</v>
      </c>
      <c r="B2809">
        <v>52094</v>
      </c>
      <c r="C2809" t="s">
        <v>53</v>
      </c>
      <c r="D2809">
        <v>53282</v>
      </c>
      <c r="E2809" t="s">
        <v>157</v>
      </c>
      <c r="F2809">
        <v>12034</v>
      </c>
      <c r="G2809">
        <v>0.87053033876087771</v>
      </c>
      <c r="H2809">
        <v>0</v>
      </c>
      <c r="I2809">
        <v>0</v>
      </c>
      <c r="J2809">
        <v>0.73247577641624906</v>
      </c>
      <c r="K2809">
        <v>0</v>
      </c>
      <c r="L2809">
        <v>0</v>
      </c>
      <c r="M2809">
        <v>0.54596235110895375</v>
      </c>
      <c r="N2809">
        <v>0</v>
      </c>
      <c r="O2809">
        <v>0</v>
      </c>
      <c r="P2809">
        <v>0.75782307070312849</v>
      </c>
      <c r="Q2809">
        <v>2.7000174568296069</v>
      </c>
      <c r="R2809">
        <v>-0.27422455469361928</v>
      </c>
      <c r="S2809">
        <v>0.32517757372073458</v>
      </c>
      <c r="T2809">
        <v>0.25806626984933367</v>
      </c>
      <c r="U2809">
        <v>4.3382123918065476</v>
      </c>
      <c r="V2809">
        <v>0.21305394814049819</v>
      </c>
      <c r="W2809">
        <v>11.43902463461858</v>
      </c>
      <c r="X2809">
        <v>0.6608033673411442</v>
      </c>
      <c r="Z2809" t="s">
        <v>392</v>
      </c>
      <c r="AA2809">
        <v>9400</v>
      </c>
      <c r="AB2809" t="s">
        <v>3200</v>
      </c>
      <c r="AC2809" t="str">
        <f>HYPERLINK("plots/3FT6Y578R01_012_S11P_20251111092011_M5358ACSH101811_RBGEUFRF26/dpll_52094/txpa_53282.png","plot")</f>
        <v>plot</v>
      </c>
    </row>
    <row r="2810" spans="1:29" hidden="1" x14ac:dyDescent="0.35">
      <c r="A2810" t="s">
        <v>48</v>
      </c>
      <c r="B2810">
        <v>52094</v>
      </c>
      <c r="C2810" t="s">
        <v>53</v>
      </c>
      <c r="D2810">
        <v>53283</v>
      </c>
      <c r="E2810" t="s">
        <v>158</v>
      </c>
      <c r="F2810">
        <v>12038</v>
      </c>
      <c r="G2810">
        <v>0.86499809716912734</v>
      </c>
      <c r="H2810">
        <v>0</v>
      </c>
      <c r="I2810">
        <v>0</v>
      </c>
      <c r="J2810">
        <v>0.72892661405766646</v>
      </c>
      <c r="K2810">
        <v>0</v>
      </c>
      <c r="L2810">
        <v>0</v>
      </c>
      <c r="M2810">
        <v>0.54103506088342934</v>
      </c>
      <c r="N2810">
        <v>0</v>
      </c>
      <c r="O2810">
        <v>0</v>
      </c>
      <c r="P2810">
        <v>0.74822170810621103</v>
      </c>
      <c r="Q2810">
        <v>2.8493897353259152</v>
      </c>
      <c r="R2810">
        <v>-0.56127127351839157</v>
      </c>
      <c r="S2810">
        <v>0.35265691873308458</v>
      </c>
      <c r="T2810">
        <v>0.27758922105067552</v>
      </c>
      <c r="U2810">
        <v>4.3379439303040366</v>
      </c>
      <c r="V2810">
        <v>0.21336569910438541</v>
      </c>
      <c r="W2810">
        <v>11.799221633909291</v>
      </c>
      <c r="X2810">
        <v>0.70284782693551096</v>
      </c>
      <c r="Z2810" t="s">
        <v>392</v>
      </c>
      <c r="AA2810">
        <v>9400</v>
      </c>
      <c r="AB2810" t="s">
        <v>3201</v>
      </c>
      <c r="AC2810" t="str">
        <f>HYPERLINK("plots/3FT6Y578R01_012_S11P_20251111092011_M5358ACSH101811_RBGEUFRF26/dpll_52094/txpa_53283.png","plot")</f>
        <v>plot</v>
      </c>
    </row>
    <row r="2811" spans="1:29" hidden="1" x14ac:dyDescent="0.35">
      <c r="A2811" t="s">
        <v>48</v>
      </c>
      <c r="B2811">
        <v>52094</v>
      </c>
      <c r="C2811" t="s">
        <v>53</v>
      </c>
      <c r="D2811">
        <v>53284</v>
      </c>
      <c r="E2811" t="s">
        <v>159</v>
      </c>
      <c r="F2811">
        <v>12067</v>
      </c>
      <c r="G2811">
        <v>0.87121381477397752</v>
      </c>
      <c r="H2811">
        <v>0</v>
      </c>
      <c r="I2811">
        <v>0</v>
      </c>
      <c r="J2811">
        <v>0.73764699972216385</v>
      </c>
      <c r="K2811">
        <v>0</v>
      </c>
      <c r="L2811">
        <v>0</v>
      </c>
      <c r="M2811">
        <v>0.5501491452018582</v>
      </c>
      <c r="N2811">
        <v>0</v>
      </c>
      <c r="O2811">
        <v>0</v>
      </c>
      <c r="P2811">
        <v>0.75901351105302639</v>
      </c>
      <c r="Q2811">
        <v>2.893059696437172</v>
      </c>
      <c r="R2811">
        <v>-0.70856226156926994</v>
      </c>
      <c r="S2811">
        <v>0.34878788146329037</v>
      </c>
      <c r="T2811">
        <v>0.27655320893413438</v>
      </c>
      <c r="U2811">
        <v>4.3369827227148434</v>
      </c>
      <c r="V2811">
        <v>0.21396877193585201</v>
      </c>
      <c r="W2811">
        <v>11.838587657661391</v>
      </c>
      <c r="X2811">
        <v>0.7105310084463784</v>
      </c>
      <c r="Z2811" t="s">
        <v>392</v>
      </c>
      <c r="AA2811">
        <v>9400</v>
      </c>
      <c r="AB2811" t="s">
        <v>3202</v>
      </c>
      <c r="AC2811" t="str">
        <f>HYPERLINK("plots/3FT6Y578R01_012_S11P_20251111092011_M5358ACSH101811_RBGEUFRF26/dpll_52094/txpa_53284.png","plot")</f>
        <v>plot</v>
      </c>
    </row>
    <row r="2812" spans="1:29" hidden="1" x14ac:dyDescent="0.35">
      <c r="A2812" t="s">
        <v>48</v>
      </c>
      <c r="B2812">
        <v>52094</v>
      </c>
      <c r="C2812" t="s">
        <v>53</v>
      </c>
      <c r="D2812">
        <v>53285</v>
      </c>
      <c r="E2812" t="s">
        <v>160</v>
      </c>
      <c r="F2812">
        <v>12037</v>
      </c>
      <c r="G2812">
        <v>0.87096988731767333</v>
      </c>
      <c r="H2812">
        <v>0</v>
      </c>
      <c r="I2812">
        <v>0</v>
      </c>
      <c r="J2812">
        <v>0.73292324468634074</v>
      </c>
      <c r="K2812">
        <v>0</v>
      </c>
      <c r="L2812">
        <v>0</v>
      </c>
      <c r="M2812">
        <v>0.54601890036244194</v>
      </c>
      <c r="N2812">
        <v>0</v>
      </c>
      <c r="O2812">
        <v>0</v>
      </c>
      <c r="P2812">
        <v>0.75858854461416059</v>
      </c>
      <c r="Q2812">
        <v>2.8560503876208361</v>
      </c>
      <c r="R2812">
        <v>-0.53470232975279508</v>
      </c>
      <c r="S2812">
        <v>0.34357958943205208</v>
      </c>
      <c r="T2812">
        <v>0.27314476884644312</v>
      </c>
      <c r="U2812">
        <v>4.3380272122621921</v>
      </c>
      <c r="V2812">
        <v>0.21325721577690321</v>
      </c>
      <c r="W2812">
        <v>11.854921971338371</v>
      </c>
      <c r="X2812">
        <v>0.69930472069284488</v>
      </c>
      <c r="Z2812" t="s">
        <v>392</v>
      </c>
      <c r="AA2812">
        <v>9400</v>
      </c>
      <c r="AB2812" t="s">
        <v>3203</v>
      </c>
      <c r="AC2812" t="str">
        <f>HYPERLINK("plots/3FT6Y578R01_012_S11P_20251111092011_M5358ACSH101811_RBGEUFRF26/dpll_52094/txpa_53285.png","plot")</f>
        <v>plot</v>
      </c>
    </row>
    <row r="2813" spans="1:29" hidden="1" x14ac:dyDescent="0.35">
      <c r="A2813" t="s">
        <v>48</v>
      </c>
      <c r="B2813">
        <v>52094</v>
      </c>
      <c r="C2813" t="s">
        <v>53</v>
      </c>
      <c r="D2813">
        <v>53286</v>
      </c>
      <c r="E2813" t="s">
        <v>161</v>
      </c>
      <c r="F2813">
        <v>12043</v>
      </c>
      <c r="G2813">
        <v>0.87448253655461672</v>
      </c>
      <c r="H2813">
        <v>0</v>
      </c>
      <c r="I2813">
        <v>0</v>
      </c>
      <c r="J2813">
        <v>0.73712881079896608</v>
      </c>
      <c r="K2813">
        <v>0</v>
      </c>
      <c r="L2813">
        <v>0</v>
      </c>
      <c r="M2813">
        <v>0.55041508089981062</v>
      </c>
      <c r="N2813">
        <v>0</v>
      </c>
      <c r="O2813">
        <v>0</v>
      </c>
      <c r="P2813">
        <v>0.76471970673899659</v>
      </c>
      <c r="Q2813">
        <v>2.885000675004842</v>
      </c>
      <c r="R2813">
        <v>-0.63992546296771202</v>
      </c>
      <c r="S2813">
        <v>0.34147994837427192</v>
      </c>
      <c r="T2813">
        <v>0.27285588154097029</v>
      </c>
      <c r="U2813">
        <v>4.3378187725649751</v>
      </c>
      <c r="V2813">
        <v>0.21340062367817059</v>
      </c>
      <c r="W2813">
        <v>11.874684623930911</v>
      </c>
      <c r="X2813">
        <v>0.70402886006577758</v>
      </c>
      <c r="Z2813" t="s">
        <v>392</v>
      </c>
      <c r="AA2813">
        <v>9400</v>
      </c>
      <c r="AB2813" t="s">
        <v>3204</v>
      </c>
      <c r="AC2813" t="str">
        <f>HYPERLINK("plots/3FT6Y578R01_012_S11P_20251111092011_M5358ACSH101811_RBGEUFRF26/dpll_52094/txpa_53286.png","plot")</f>
        <v>plot</v>
      </c>
    </row>
    <row r="2814" spans="1:29" hidden="1" x14ac:dyDescent="0.35">
      <c r="A2814" t="s">
        <v>48</v>
      </c>
      <c r="B2814">
        <v>52094</v>
      </c>
      <c r="C2814" t="s">
        <v>53</v>
      </c>
      <c r="D2814">
        <v>53287</v>
      </c>
      <c r="E2814" t="s">
        <v>162</v>
      </c>
      <c r="F2814">
        <v>12041</v>
      </c>
      <c r="G2814">
        <v>0.8743982971389227</v>
      </c>
      <c r="H2814">
        <v>0</v>
      </c>
      <c r="I2814">
        <v>0</v>
      </c>
      <c r="J2814">
        <v>0.73692360428812009</v>
      </c>
      <c r="K2814">
        <v>0</v>
      </c>
      <c r="L2814">
        <v>0</v>
      </c>
      <c r="M2814">
        <v>0.55007996732950537</v>
      </c>
      <c r="N2814">
        <v>0</v>
      </c>
      <c r="O2814">
        <v>0</v>
      </c>
      <c r="P2814">
        <v>0.76457238203944777</v>
      </c>
      <c r="Q2814">
        <v>2.8933521179474</v>
      </c>
      <c r="R2814">
        <v>-0.70591875633425971</v>
      </c>
      <c r="S2814">
        <v>0.34246047308864919</v>
      </c>
      <c r="T2814">
        <v>0.2737210989438143</v>
      </c>
      <c r="U2814">
        <v>4.337873659995017</v>
      </c>
      <c r="V2814">
        <v>0.2133083203222291</v>
      </c>
      <c r="W2814">
        <v>11.845077185200561</v>
      </c>
      <c r="X2814">
        <v>0.70582946284268455</v>
      </c>
      <c r="Z2814" t="s">
        <v>392</v>
      </c>
      <c r="AA2814">
        <v>9400</v>
      </c>
      <c r="AB2814" t="s">
        <v>3205</v>
      </c>
      <c r="AC2814" t="str">
        <f>HYPERLINK("plots/3FT6Y578R01_012_S11P_20251111092011_M5358ACSH101811_RBGEUFRF26/dpll_52094/txpa_53287.png","plot")</f>
        <v>plot</v>
      </c>
    </row>
    <row r="2815" spans="1:29" hidden="1" x14ac:dyDescent="0.35">
      <c r="A2815" t="s">
        <v>48</v>
      </c>
      <c r="B2815">
        <v>52094</v>
      </c>
      <c r="C2815" t="s">
        <v>53</v>
      </c>
      <c r="D2815">
        <v>53288</v>
      </c>
      <c r="E2815" t="s">
        <v>163</v>
      </c>
      <c r="F2815">
        <v>12045</v>
      </c>
      <c r="G2815">
        <v>0.87512350425401064</v>
      </c>
      <c r="H2815">
        <v>0</v>
      </c>
      <c r="I2815">
        <v>0</v>
      </c>
      <c r="J2815">
        <v>0.74006723902086402</v>
      </c>
      <c r="K2815">
        <v>0</v>
      </c>
      <c r="L2815">
        <v>0</v>
      </c>
      <c r="M2815">
        <v>0.5535134428517362</v>
      </c>
      <c r="N2815">
        <v>0</v>
      </c>
      <c r="O2815">
        <v>0</v>
      </c>
      <c r="P2815">
        <v>0.76584114769781941</v>
      </c>
      <c r="Q2815">
        <v>2.9019844844990792</v>
      </c>
      <c r="R2815">
        <v>-0.74465981948952376</v>
      </c>
      <c r="S2815">
        <v>0.34232128216444069</v>
      </c>
      <c r="T2815">
        <v>0.27342063480815282</v>
      </c>
      <c r="U2815">
        <v>4.3377729814030719</v>
      </c>
      <c r="V2815">
        <v>0.2133393171614591</v>
      </c>
      <c r="W2815">
        <v>11.843490069821501</v>
      </c>
      <c r="X2815">
        <v>0.70745144579785146</v>
      </c>
      <c r="Z2815" t="s">
        <v>392</v>
      </c>
      <c r="AA2815">
        <v>9400</v>
      </c>
      <c r="AB2815" t="s">
        <v>3206</v>
      </c>
      <c r="AC2815" t="str">
        <f>HYPERLINK("plots/3FT6Y578R01_012_S11P_20251111092011_M5358ACSH101811_RBGEUFRF26/dpll_52094/txpa_53288.png","plot")</f>
        <v>plot</v>
      </c>
    </row>
    <row r="2816" spans="1:29" hidden="1" x14ac:dyDescent="0.35">
      <c r="A2816" t="s">
        <v>48</v>
      </c>
      <c r="B2816">
        <v>52094</v>
      </c>
      <c r="C2816" t="s">
        <v>53</v>
      </c>
      <c r="D2816">
        <v>53289</v>
      </c>
      <c r="E2816" t="s">
        <v>164</v>
      </c>
      <c r="F2816">
        <v>12032</v>
      </c>
      <c r="G2816">
        <v>0.87468123850954438</v>
      </c>
      <c r="H2816">
        <v>0</v>
      </c>
      <c r="I2816">
        <v>0</v>
      </c>
      <c r="J2816">
        <v>0.73766002626078242</v>
      </c>
      <c r="K2816">
        <v>0</v>
      </c>
      <c r="L2816">
        <v>0</v>
      </c>
      <c r="M2816">
        <v>0.55219705098862393</v>
      </c>
      <c r="N2816">
        <v>0</v>
      </c>
      <c r="O2816">
        <v>0</v>
      </c>
      <c r="P2816">
        <v>0.76506726900059041</v>
      </c>
      <c r="Q2816">
        <v>2.8911222829699121</v>
      </c>
      <c r="R2816">
        <v>-0.68597670215562268</v>
      </c>
      <c r="S2816">
        <v>0.34119716987767068</v>
      </c>
      <c r="T2816">
        <v>0.2724834086397438</v>
      </c>
      <c r="U2816">
        <v>4.3382977219913563</v>
      </c>
      <c r="V2816">
        <v>0.21297815232281939</v>
      </c>
      <c r="W2816">
        <v>11.8565725120512</v>
      </c>
      <c r="X2816">
        <v>0.70396603340377317</v>
      </c>
      <c r="Z2816" t="s">
        <v>392</v>
      </c>
      <c r="AA2816">
        <v>9400</v>
      </c>
      <c r="AB2816" t="s">
        <v>3207</v>
      </c>
      <c r="AC2816" t="str">
        <f>HYPERLINK("plots/3FT6Y578R01_012_S11P_20251111092011_M5358ACSH101811_RBGEUFRF26/dpll_52094/txpa_53289.png","plot")</f>
        <v>plot</v>
      </c>
    </row>
    <row r="2817" spans="1:29" hidden="1" x14ac:dyDescent="0.35">
      <c r="A2817" t="s">
        <v>48</v>
      </c>
      <c r="B2817">
        <v>52094</v>
      </c>
      <c r="C2817" t="s">
        <v>53</v>
      </c>
      <c r="D2817">
        <v>53290</v>
      </c>
      <c r="E2817" t="s">
        <v>165</v>
      </c>
      <c r="F2817">
        <v>12026</v>
      </c>
      <c r="G2817">
        <v>0.87028229822822767</v>
      </c>
      <c r="H2817">
        <v>0</v>
      </c>
      <c r="I2817">
        <v>0</v>
      </c>
      <c r="J2817">
        <v>0.73111240847071146</v>
      </c>
      <c r="K2817">
        <v>0</v>
      </c>
      <c r="L2817">
        <v>0</v>
      </c>
      <c r="M2817">
        <v>0.54522418125883421</v>
      </c>
      <c r="N2817">
        <v>0</v>
      </c>
      <c r="O2817">
        <v>0</v>
      </c>
      <c r="P2817">
        <v>0.7573912786094058</v>
      </c>
      <c r="Q2817">
        <v>2.869231786862648</v>
      </c>
      <c r="R2817">
        <v>-0.61932095047704472</v>
      </c>
      <c r="S2817">
        <v>0.34565958095354898</v>
      </c>
      <c r="T2817">
        <v>0.27496997811085111</v>
      </c>
      <c r="U2817">
        <v>4.3384814576750372</v>
      </c>
      <c r="V2817">
        <v>0.21286681801146479</v>
      </c>
      <c r="W2817">
        <v>11.82878795459837</v>
      </c>
      <c r="X2817">
        <v>0.70180014214954356</v>
      </c>
      <c r="Z2817" t="s">
        <v>392</v>
      </c>
      <c r="AA2817">
        <v>9400</v>
      </c>
      <c r="AB2817" t="s">
        <v>3208</v>
      </c>
      <c r="AC2817" t="str">
        <f>HYPERLINK("plots/3FT6Y578R01_012_S11P_20251111092011_M5358ACSH101811_RBGEUFRF26/dpll_52094/txpa_53290.png","plot")</f>
        <v>plot</v>
      </c>
    </row>
    <row r="2818" spans="1:29" hidden="1" x14ac:dyDescent="0.35">
      <c r="A2818" t="s">
        <v>48</v>
      </c>
      <c r="B2818">
        <v>52094</v>
      </c>
      <c r="C2818" t="s">
        <v>53</v>
      </c>
      <c r="D2818">
        <v>54146</v>
      </c>
      <c r="E2818" t="s">
        <v>166</v>
      </c>
      <c r="F2818">
        <v>12234</v>
      </c>
      <c r="G2818">
        <v>1.513744516870418E-3</v>
      </c>
      <c r="H2818">
        <v>0.86704403156823961</v>
      </c>
      <c r="I2818">
        <v>0.86875755732232707</v>
      </c>
      <c r="J2818">
        <v>-6.0569536151396956E-3</v>
      </c>
      <c r="K2818">
        <v>0.50293322869437351</v>
      </c>
      <c r="L2818">
        <v>0.5044256121623093</v>
      </c>
      <c r="M2818">
        <v>-3.9909013688495532E-3</v>
      </c>
      <c r="N2818">
        <v>0.50795283270647906</v>
      </c>
      <c r="O2818">
        <v>0.50895669205965388</v>
      </c>
      <c r="P2818">
        <v>2.2914224623552538E-6</v>
      </c>
      <c r="Q2818">
        <v>3.6999505447831517E-2</v>
      </c>
      <c r="R2818">
        <v>-10.782519751643759</v>
      </c>
      <c r="S2818">
        <v>5.3005634161297719</v>
      </c>
      <c r="T2818">
        <v>3.9762649760676281</v>
      </c>
      <c r="U2818">
        <v>4.3319221007029576</v>
      </c>
      <c r="V2818">
        <v>0.21686873513389271</v>
      </c>
      <c r="W2818">
        <v>-10.62224077627922</v>
      </c>
      <c r="X2818">
        <v>5.300786135060652</v>
      </c>
      <c r="Z2818" t="s">
        <v>392</v>
      </c>
      <c r="AA2818">
        <v>9400</v>
      </c>
      <c r="AB2818" t="s">
        <v>3209</v>
      </c>
      <c r="AC2818" t="str">
        <f>HYPERLINK("plots/3FT6Y578R01_012_S11P_20251111092011_M5358ACSH101811_RBGEUFRF26/dpll_52094/txpa_54146.png","plot")</f>
        <v>plot</v>
      </c>
    </row>
    <row r="2819" spans="1:29" hidden="1" x14ac:dyDescent="0.35">
      <c r="A2819" t="s">
        <v>48</v>
      </c>
      <c r="B2819">
        <v>52094</v>
      </c>
      <c r="C2819" t="s">
        <v>53</v>
      </c>
      <c r="D2819">
        <v>54147</v>
      </c>
      <c r="E2819" t="s">
        <v>167</v>
      </c>
      <c r="F2819">
        <v>12243</v>
      </c>
      <c r="G2819">
        <v>0.25211357662223538</v>
      </c>
      <c r="H2819">
        <v>7.8598479083225118E-177</v>
      </c>
      <c r="I2819">
        <v>8.1077169674862925E-177</v>
      </c>
      <c r="J2819">
        <v>0.22457928473141811</v>
      </c>
      <c r="K2819">
        <v>8.780347474106395E-140</v>
      </c>
      <c r="L2819">
        <v>9.0664687767249338E-140</v>
      </c>
      <c r="M2819">
        <v>0.15633464996774821</v>
      </c>
      <c r="N2819">
        <v>6.5070707636023471E-139</v>
      </c>
      <c r="O2819">
        <v>6.7191138027421382E-139</v>
      </c>
      <c r="P2819">
        <v>6.3561255517255777E-2</v>
      </c>
      <c r="Q2819">
        <v>1.5303947884556861</v>
      </c>
      <c r="R2819">
        <v>-31.393608174921251</v>
      </c>
      <c r="S2819">
        <v>1.2737037930420081</v>
      </c>
      <c r="T2819">
        <v>1.073516913599877</v>
      </c>
      <c r="U2819">
        <v>4.3319153779302466</v>
      </c>
      <c r="V2819">
        <v>0.21683992469153379</v>
      </c>
      <c r="W2819">
        <v>-24.76406745650576</v>
      </c>
      <c r="X2819">
        <v>1.316274574035688</v>
      </c>
      <c r="Z2819" t="s">
        <v>392</v>
      </c>
      <c r="AA2819">
        <v>9400</v>
      </c>
      <c r="AB2819" t="s">
        <v>3210</v>
      </c>
      <c r="AC2819" t="str">
        <f>HYPERLINK("plots/3FT6Y578R01_012_S11P_20251111092011_M5358ACSH101811_RBGEUFRF26/dpll_52094/txpa_54147.png","plot")</f>
        <v>plot</v>
      </c>
    </row>
    <row r="2820" spans="1:29" hidden="1" x14ac:dyDescent="0.35">
      <c r="A2820" t="s">
        <v>48</v>
      </c>
      <c r="B2820">
        <v>52094</v>
      </c>
      <c r="C2820" t="s">
        <v>53</v>
      </c>
      <c r="D2820">
        <v>54148</v>
      </c>
      <c r="E2820" t="s">
        <v>168</v>
      </c>
      <c r="F2820">
        <v>12243</v>
      </c>
      <c r="G2820">
        <v>0.25490998223647038</v>
      </c>
      <c r="H2820">
        <v>7.2947378660091963E-181</v>
      </c>
      <c r="I2820">
        <v>7.5865273806495639E-181</v>
      </c>
      <c r="J2820">
        <v>0.23149453019982039</v>
      </c>
      <c r="K2820">
        <v>1.222172044369839E-148</v>
      </c>
      <c r="L2820">
        <v>1.2736715858078281E-148</v>
      </c>
      <c r="M2820">
        <v>0.1598577134755676</v>
      </c>
      <c r="N2820">
        <v>4.8414933864833171E-147</v>
      </c>
      <c r="O2820">
        <v>5.0455028714224894E-147</v>
      </c>
      <c r="P2820">
        <v>6.4979099043797645E-2</v>
      </c>
      <c r="Q2820">
        <v>1.5669147277031059</v>
      </c>
      <c r="R2820">
        <v>-31.434540095996599</v>
      </c>
      <c r="S2820">
        <v>1.2888153203637009</v>
      </c>
      <c r="T2820">
        <v>1.086864733348976</v>
      </c>
      <c r="U2820">
        <v>4.3319153779302466</v>
      </c>
      <c r="V2820">
        <v>0.21683992469153379</v>
      </c>
      <c r="W2820">
        <v>-24.646798091154128</v>
      </c>
      <c r="X2820">
        <v>1.332900612883827</v>
      </c>
      <c r="Z2820" t="s">
        <v>392</v>
      </c>
      <c r="AA2820">
        <v>9400</v>
      </c>
      <c r="AB2820" t="s">
        <v>3211</v>
      </c>
      <c r="AC2820" t="str">
        <f>HYPERLINK("plots/3FT6Y578R01_012_S11P_20251111092011_M5358ACSH101811_RBGEUFRF26/dpll_52094/txpa_54148.png","plot")</f>
        <v>plot</v>
      </c>
    </row>
    <row r="2821" spans="1:29" hidden="1" x14ac:dyDescent="0.35">
      <c r="A2821" t="s">
        <v>48</v>
      </c>
      <c r="B2821">
        <v>52094</v>
      </c>
      <c r="C2821" t="s">
        <v>53</v>
      </c>
      <c r="D2821">
        <v>54149</v>
      </c>
      <c r="E2821" t="s">
        <v>169</v>
      </c>
      <c r="F2821">
        <v>12243</v>
      </c>
      <c r="G2821">
        <v>0.25627455832904222</v>
      </c>
      <c r="H2821">
        <v>7.5325955090765459E-183</v>
      </c>
      <c r="I2821">
        <v>7.8742802538181627E-183</v>
      </c>
      <c r="J2821">
        <v>0.22579870034763441</v>
      </c>
      <c r="K2821">
        <v>2.5314065200498031E-141</v>
      </c>
      <c r="L2821">
        <v>2.6219062424213479E-141</v>
      </c>
      <c r="M2821">
        <v>0.15607631001455219</v>
      </c>
      <c r="N2821">
        <v>7.1533822254375533E-140</v>
      </c>
      <c r="O2821">
        <v>7.4091211201161169E-140</v>
      </c>
      <c r="P2821">
        <v>6.5676649246745669E-2</v>
      </c>
      <c r="Q2821">
        <v>1.5588731662385771</v>
      </c>
      <c r="R2821">
        <v>-31.443786039095059</v>
      </c>
      <c r="S2821">
        <v>1.2748978822910779</v>
      </c>
      <c r="T2821">
        <v>1.079944071996354</v>
      </c>
      <c r="U2821">
        <v>4.3319153779302466</v>
      </c>
      <c r="V2821">
        <v>0.21683992469153379</v>
      </c>
      <c r="W2821">
        <v>-24.690879398023359</v>
      </c>
      <c r="X2821">
        <v>1.3189992099676919</v>
      </c>
      <c r="Z2821" t="s">
        <v>392</v>
      </c>
      <c r="AA2821">
        <v>9400</v>
      </c>
      <c r="AB2821" t="s">
        <v>3212</v>
      </c>
      <c r="AC2821" t="str">
        <f>HYPERLINK("plots/3FT6Y578R01_012_S11P_20251111092011_M5358ACSH101811_RBGEUFRF26/dpll_52094/txpa_54149.png","plot")</f>
        <v>plot</v>
      </c>
    </row>
    <row r="2822" spans="1:29" hidden="1" x14ac:dyDescent="0.35">
      <c r="A2822" t="s">
        <v>48</v>
      </c>
      <c r="B2822">
        <v>52094</v>
      </c>
      <c r="C2822" t="s">
        <v>53</v>
      </c>
      <c r="D2822">
        <v>54150</v>
      </c>
      <c r="E2822" t="s">
        <v>170</v>
      </c>
      <c r="F2822">
        <v>12243</v>
      </c>
      <c r="G2822">
        <v>0.26604380230310681</v>
      </c>
      <c r="H2822">
        <v>2.0145195937410469E-197</v>
      </c>
      <c r="I2822">
        <v>2.123412544754076E-197</v>
      </c>
      <c r="J2822">
        <v>0.238303970110434</v>
      </c>
      <c r="K2822">
        <v>1.186936062882109E-157</v>
      </c>
      <c r="L2822">
        <v>1.251094768983845E-157</v>
      </c>
      <c r="M2822">
        <v>0.16389123296597119</v>
      </c>
      <c r="N2822">
        <v>4.3387666397692497E-155</v>
      </c>
      <c r="O2822">
        <v>4.5732945662432628E-155</v>
      </c>
      <c r="P2822">
        <v>7.0779304743894586E-2</v>
      </c>
      <c r="Q2822">
        <v>1.6424009578330641</v>
      </c>
      <c r="R2822">
        <v>-31.704981258621441</v>
      </c>
      <c r="S2822">
        <v>1.2903484098100351</v>
      </c>
      <c r="T2822">
        <v>1.090864527996098</v>
      </c>
      <c r="U2822">
        <v>4.3319153779302466</v>
      </c>
      <c r="V2822">
        <v>0.21683992469153379</v>
      </c>
      <c r="W2822">
        <v>-24.590239292657031</v>
      </c>
      <c r="X2822">
        <v>1.3386446026059731</v>
      </c>
      <c r="Z2822" t="s">
        <v>392</v>
      </c>
      <c r="AA2822">
        <v>9400</v>
      </c>
      <c r="AB2822" t="s">
        <v>3213</v>
      </c>
      <c r="AC2822" t="str">
        <f>HYPERLINK("plots/3FT6Y578R01_012_S11P_20251111092011_M5358ACSH101811_RBGEUFRF26/dpll_52094/txpa_54150.png","plot")</f>
        <v>plot</v>
      </c>
    </row>
    <row r="2823" spans="1:29" hidden="1" x14ac:dyDescent="0.35">
      <c r="A2823" t="s">
        <v>48</v>
      </c>
      <c r="B2823">
        <v>52094</v>
      </c>
      <c r="C2823" t="s">
        <v>53</v>
      </c>
      <c r="D2823">
        <v>54151</v>
      </c>
      <c r="E2823" t="s">
        <v>171</v>
      </c>
      <c r="F2823">
        <v>12242</v>
      </c>
      <c r="G2823">
        <v>0.25715263884947331</v>
      </c>
      <c r="H2823">
        <v>4.0498508394176119E-184</v>
      </c>
      <c r="I2823">
        <v>4.2510856637365002E-184</v>
      </c>
      <c r="J2823">
        <v>0.23400641074642031</v>
      </c>
      <c r="K2823">
        <v>6.4359650139537486E-152</v>
      </c>
      <c r="L2823">
        <v>6.7487782049111699E-152</v>
      </c>
      <c r="M2823">
        <v>0.16122007377238959</v>
      </c>
      <c r="N2823">
        <v>9.3402519814936218E-150</v>
      </c>
      <c r="O2823">
        <v>9.7942249319902107E-150</v>
      </c>
      <c r="P2823">
        <v>6.6127479667247621E-2</v>
      </c>
      <c r="Q2823">
        <v>1.582781492284993</v>
      </c>
      <c r="R2823">
        <v>-31.491203850821801</v>
      </c>
      <c r="S2823">
        <v>1.2897317822292449</v>
      </c>
      <c r="T2823">
        <v>1.0914472753701909</v>
      </c>
      <c r="U2823">
        <v>4.3319308992811631</v>
      </c>
      <c r="V2823">
        <v>0.21684198016641831</v>
      </c>
      <c r="W2823">
        <v>-24.634703797582091</v>
      </c>
      <c r="X2823">
        <v>1.334668290760725</v>
      </c>
      <c r="Z2823" t="s">
        <v>392</v>
      </c>
      <c r="AA2823">
        <v>9400</v>
      </c>
      <c r="AB2823" t="s">
        <v>3214</v>
      </c>
      <c r="AC2823" t="str">
        <f>HYPERLINK("plots/3FT6Y578R01_012_S11P_20251111092011_M5358ACSH101811_RBGEUFRF26/dpll_52094/txpa_54151.png","plot")</f>
        <v>plot</v>
      </c>
    </row>
    <row r="2824" spans="1:29" hidden="1" x14ac:dyDescent="0.35">
      <c r="A2824" t="s">
        <v>48</v>
      </c>
      <c r="B2824">
        <v>52094</v>
      </c>
      <c r="C2824" t="s">
        <v>53</v>
      </c>
      <c r="D2824">
        <v>54152</v>
      </c>
      <c r="E2824" t="s">
        <v>172</v>
      </c>
      <c r="F2824">
        <v>12243</v>
      </c>
      <c r="G2824">
        <v>0.25697033482999099</v>
      </c>
      <c r="H2824">
        <v>7.238274517605357E-184</v>
      </c>
      <c r="I2824">
        <v>7.5900831032593923E-184</v>
      </c>
      <c r="J2824">
        <v>0.22963128793585899</v>
      </c>
      <c r="K2824">
        <v>3.1817463153233718E-146</v>
      </c>
      <c r="L2824">
        <v>3.3022423375004082E-146</v>
      </c>
      <c r="M2824">
        <v>0.1588803941292205</v>
      </c>
      <c r="N2824">
        <v>1.2986265701369379E-144</v>
      </c>
      <c r="O2824">
        <v>1.3478069008381321E-144</v>
      </c>
      <c r="P2824">
        <v>6.6033752982637681E-2</v>
      </c>
      <c r="Q2824">
        <v>1.5764668102091559</v>
      </c>
      <c r="R2824">
        <v>-31.515705416487791</v>
      </c>
      <c r="S2824">
        <v>1.285549911378399</v>
      </c>
      <c r="T2824">
        <v>1.0842773807929531</v>
      </c>
      <c r="U2824">
        <v>4.3319153779302466</v>
      </c>
      <c r="V2824">
        <v>0.21683992469153379</v>
      </c>
      <c r="W2824">
        <v>-24.686584598546101</v>
      </c>
      <c r="X2824">
        <v>1.3302739580061429</v>
      </c>
      <c r="Z2824" t="s">
        <v>392</v>
      </c>
      <c r="AA2824">
        <v>9400</v>
      </c>
      <c r="AB2824" t="s">
        <v>3215</v>
      </c>
      <c r="AC2824" t="str">
        <f>HYPERLINK("plots/3FT6Y578R01_012_S11P_20251111092011_M5358ACSH101811_RBGEUFRF26/dpll_52094/txpa_54152.png","plot")</f>
        <v>plot</v>
      </c>
    </row>
    <row r="2825" spans="1:29" hidden="1" x14ac:dyDescent="0.35">
      <c r="A2825" t="s">
        <v>48</v>
      </c>
      <c r="B2825">
        <v>52094</v>
      </c>
      <c r="C2825" t="s">
        <v>53</v>
      </c>
      <c r="D2825">
        <v>54153</v>
      </c>
      <c r="E2825" t="s">
        <v>173</v>
      </c>
      <c r="F2825">
        <v>12243</v>
      </c>
      <c r="G2825">
        <v>0.25555401396675831</v>
      </c>
      <c r="H2825">
        <v>8.455898323393818E-182</v>
      </c>
      <c r="I2825">
        <v>8.8212766460095998E-182</v>
      </c>
      <c r="J2825">
        <v>0.2321400854583055</v>
      </c>
      <c r="K2825">
        <v>1.7586162440724639E-149</v>
      </c>
      <c r="L2825">
        <v>1.8346058348657181E-149</v>
      </c>
      <c r="M2825">
        <v>0.16103373915406269</v>
      </c>
      <c r="N2825">
        <v>1.246664015821796E-147</v>
      </c>
      <c r="O2825">
        <v>1.3005322140363181E-147</v>
      </c>
      <c r="P2825">
        <v>6.5307854054522108E-2</v>
      </c>
      <c r="Q2825">
        <v>1.560043712802389</v>
      </c>
      <c r="R2825">
        <v>-31.484595783122579</v>
      </c>
      <c r="S2825">
        <v>1.2797050038224329</v>
      </c>
      <c r="T2825">
        <v>1.081060375390575</v>
      </c>
      <c r="U2825">
        <v>4.3319153779302466</v>
      </c>
      <c r="V2825">
        <v>0.21683992469153379</v>
      </c>
      <c r="W2825">
        <v>-24.726618433390509</v>
      </c>
      <c r="X2825">
        <v>1.3237113984191751</v>
      </c>
      <c r="Z2825" t="s">
        <v>392</v>
      </c>
      <c r="AA2825">
        <v>9400</v>
      </c>
      <c r="AB2825" t="s">
        <v>3216</v>
      </c>
      <c r="AC2825" t="str">
        <f>HYPERLINK("plots/3FT6Y578R01_012_S11P_20251111092011_M5358ACSH101811_RBGEUFRF26/dpll_52094/txpa_54153.png","plot")</f>
        <v>plot</v>
      </c>
    </row>
    <row r="2826" spans="1:29" hidden="1" x14ac:dyDescent="0.35">
      <c r="A2826" t="s">
        <v>48</v>
      </c>
      <c r="B2826">
        <v>52094</v>
      </c>
      <c r="C2826" t="s">
        <v>53</v>
      </c>
      <c r="D2826">
        <v>54154</v>
      </c>
      <c r="E2826" t="s">
        <v>174</v>
      </c>
      <c r="F2826">
        <v>12243</v>
      </c>
      <c r="G2826">
        <v>0.24629833341286239</v>
      </c>
      <c r="H2826">
        <v>1.318081852223514E-168</v>
      </c>
      <c r="I2826">
        <v>1.356888322999638E-168</v>
      </c>
      <c r="J2826">
        <v>0.21824688916407181</v>
      </c>
      <c r="K2826">
        <v>6.2221049035023301E-132</v>
      </c>
      <c r="L2826">
        <v>6.3858445062260765E-132</v>
      </c>
      <c r="M2826">
        <v>0.15281590880493981</v>
      </c>
      <c r="N2826">
        <v>1.693871815172708E-131</v>
      </c>
      <c r="O2826">
        <v>1.7384473892562001E-131</v>
      </c>
      <c r="P2826">
        <v>6.0662869041953553E-2</v>
      </c>
      <c r="Q2826">
        <v>1.4513173043323191</v>
      </c>
      <c r="R2826">
        <v>-31.147108353157101</v>
      </c>
      <c r="S2826">
        <v>1.238320765862631</v>
      </c>
      <c r="T2826">
        <v>1.0405867669968181</v>
      </c>
      <c r="U2826">
        <v>4.3319153779302466</v>
      </c>
      <c r="V2826">
        <v>0.21683992469153379</v>
      </c>
      <c r="W2826">
        <v>-24.86012460426366</v>
      </c>
      <c r="X2826">
        <v>1.27773310770809</v>
      </c>
      <c r="Z2826" t="s">
        <v>392</v>
      </c>
      <c r="AA2826">
        <v>9400</v>
      </c>
      <c r="AB2826" t="s">
        <v>3217</v>
      </c>
      <c r="AC2826" t="str">
        <f>HYPERLINK("plots/3FT6Y578R01_012_S11P_20251111092011_M5358ACSH101811_RBGEUFRF26/dpll_52094/txpa_54154.png","plot")</f>
        <v>plot</v>
      </c>
    </row>
    <row r="2827" spans="1:29" hidden="1" x14ac:dyDescent="0.35">
      <c r="A2827" t="s">
        <v>48</v>
      </c>
      <c r="B2827">
        <v>52094</v>
      </c>
      <c r="C2827" t="s">
        <v>53</v>
      </c>
      <c r="D2827">
        <v>54155</v>
      </c>
      <c r="E2827" t="s">
        <v>175</v>
      </c>
      <c r="F2827">
        <v>12243</v>
      </c>
      <c r="G2827">
        <v>0.72934721151158399</v>
      </c>
      <c r="H2827">
        <v>0</v>
      </c>
      <c r="I2827">
        <v>0</v>
      </c>
      <c r="J2827">
        <v>0.62706151811168009</v>
      </c>
      <c r="K2827">
        <v>0</v>
      </c>
      <c r="L2827">
        <v>0</v>
      </c>
      <c r="M2827">
        <v>0.44880984942484808</v>
      </c>
      <c r="N2827">
        <v>0</v>
      </c>
      <c r="O2827">
        <v>0</v>
      </c>
      <c r="P2827">
        <v>0.53194735493972323</v>
      </c>
      <c r="Q2827">
        <v>1.2917301057588351</v>
      </c>
      <c r="R2827">
        <v>-16.660043405212701</v>
      </c>
      <c r="S2827">
        <v>0.26272797427715727</v>
      </c>
      <c r="T2827">
        <v>0.20184755826528969</v>
      </c>
      <c r="U2827">
        <v>4.3319153779302466</v>
      </c>
      <c r="V2827">
        <v>0.21683992469153379</v>
      </c>
      <c r="W2827">
        <v>-11.06437789594054</v>
      </c>
      <c r="X2827">
        <v>0.384040213541125</v>
      </c>
      <c r="Z2827" t="s">
        <v>392</v>
      </c>
      <c r="AA2827">
        <v>9400</v>
      </c>
      <c r="AB2827" t="s">
        <v>3218</v>
      </c>
      <c r="AC2827" t="str">
        <f>HYPERLINK("plots/3FT6Y578R01_012_S11P_20251111092011_M5358ACSH101811_RBGEUFRF26/dpll_52094/txpa_54155.png","plot")</f>
        <v>plot</v>
      </c>
    </row>
    <row r="2828" spans="1:29" hidden="1" x14ac:dyDescent="0.35">
      <c r="A2828" t="s">
        <v>48</v>
      </c>
      <c r="B2828">
        <v>52094</v>
      </c>
      <c r="C2828" t="s">
        <v>53</v>
      </c>
      <c r="D2828">
        <v>54156</v>
      </c>
      <c r="E2828" t="s">
        <v>176</v>
      </c>
      <c r="F2828">
        <v>12242</v>
      </c>
      <c r="G2828">
        <v>0.74697186403484817</v>
      </c>
      <c r="H2828">
        <v>0</v>
      </c>
      <c r="I2828">
        <v>0</v>
      </c>
      <c r="J2828">
        <v>0.64196208638795438</v>
      </c>
      <c r="K2828">
        <v>0</v>
      </c>
      <c r="L2828">
        <v>0</v>
      </c>
      <c r="M2828">
        <v>0.4616980543443549</v>
      </c>
      <c r="N2828">
        <v>0</v>
      </c>
      <c r="O2828">
        <v>0</v>
      </c>
      <c r="P2828">
        <v>0.55796696565969572</v>
      </c>
      <c r="Q2828">
        <v>1.314276686869851</v>
      </c>
      <c r="R2828">
        <v>-16.688786037384801</v>
      </c>
      <c r="S2828">
        <v>0.25365124061218153</v>
      </c>
      <c r="T2828">
        <v>0.19763726750664709</v>
      </c>
      <c r="U2828">
        <v>4.3319007004574406</v>
      </c>
      <c r="V2828">
        <v>0.21684269964686589</v>
      </c>
      <c r="W2828">
        <v>-10.995469936938409</v>
      </c>
      <c r="X2828">
        <v>0.3815288347333276</v>
      </c>
      <c r="Z2828" t="s">
        <v>392</v>
      </c>
      <c r="AA2828">
        <v>9400</v>
      </c>
      <c r="AB2828" t="s">
        <v>3219</v>
      </c>
      <c r="AC2828" t="str">
        <f>HYPERLINK("plots/3FT6Y578R01_012_S11P_20251111092011_M5358ACSH101811_RBGEUFRF26/dpll_52094/txpa_54156.png","plot")</f>
        <v>plot</v>
      </c>
    </row>
    <row r="2829" spans="1:29" hidden="1" x14ac:dyDescent="0.35">
      <c r="A2829" t="s">
        <v>48</v>
      </c>
      <c r="B2829">
        <v>52094</v>
      </c>
      <c r="C2829" t="s">
        <v>53</v>
      </c>
      <c r="D2829">
        <v>54157</v>
      </c>
      <c r="E2829" t="s">
        <v>177</v>
      </c>
      <c r="F2829">
        <v>12243</v>
      </c>
      <c r="G2829">
        <v>0.74869869550235124</v>
      </c>
      <c r="H2829">
        <v>0</v>
      </c>
      <c r="I2829">
        <v>0</v>
      </c>
      <c r="J2829">
        <v>0.63699478183315239</v>
      </c>
      <c r="K2829">
        <v>0</v>
      </c>
      <c r="L2829">
        <v>0</v>
      </c>
      <c r="M2829">
        <v>0.4570471763181661</v>
      </c>
      <c r="N2829">
        <v>0</v>
      </c>
      <c r="O2829">
        <v>0</v>
      </c>
      <c r="P2829">
        <v>0.56054973664692243</v>
      </c>
      <c r="Q2829">
        <v>1.294381859154031</v>
      </c>
      <c r="R2829">
        <v>-16.60883058044443</v>
      </c>
      <c r="S2829">
        <v>0.24850304596526049</v>
      </c>
      <c r="T2829">
        <v>0.1940251637234614</v>
      </c>
      <c r="U2829">
        <v>4.3319153779302466</v>
      </c>
      <c r="V2829">
        <v>0.21683992469153379</v>
      </c>
      <c r="W2829">
        <v>-11.001677899861139</v>
      </c>
      <c r="X2829">
        <v>0.37488200065945759</v>
      </c>
      <c r="Z2829" t="s">
        <v>392</v>
      </c>
      <c r="AA2829">
        <v>9400</v>
      </c>
      <c r="AB2829" t="s">
        <v>3220</v>
      </c>
      <c r="AC2829" t="str">
        <f>HYPERLINK("plots/3FT6Y578R01_012_S11P_20251111092011_M5358ACSH101811_RBGEUFRF26/dpll_52094/txpa_54157.png","plot")</f>
        <v>plot</v>
      </c>
    </row>
    <row r="2830" spans="1:29" hidden="1" x14ac:dyDescent="0.35">
      <c r="A2830" t="s">
        <v>48</v>
      </c>
      <c r="B2830">
        <v>52094</v>
      </c>
      <c r="C2830" t="s">
        <v>53</v>
      </c>
      <c r="D2830">
        <v>54158</v>
      </c>
      <c r="E2830" t="s">
        <v>178</v>
      </c>
      <c r="F2830">
        <v>12242</v>
      </c>
      <c r="G2830">
        <v>0.76078965953548461</v>
      </c>
      <c r="H2830">
        <v>0</v>
      </c>
      <c r="I2830">
        <v>0</v>
      </c>
      <c r="J2830">
        <v>0.64584370752198306</v>
      </c>
      <c r="K2830">
        <v>0</v>
      </c>
      <c r="L2830">
        <v>0</v>
      </c>
      <c r="M2830">
        <v>0.46424483964203328</v>
      </c>
      <c r="N2830">
        <v>0</v>
      </c>
      <c r="O2830">
        <v>0</v>
      </c>
      <c r="P2830">
        <v>0.57880090605611856</v>
      </c>
      <c r="Q2830">
        <v>1.3354634975492841</v>
      </c>
      <c r="R2830">
        <v>-16.723612669628491</v>
      </c>
      <c r="S2830">
        <v>0.24702823325073109</v>
      </c>
      <c r="T2830">
        <v>0.19387985440097141</v>
      </c>
      <c r="U2830">
        <v>4.3319235655121711</v>
      </c>
      <c r="V2830">
        <v>0.21684688906752619</v>
      </c>
      <c r="W2830">
        <v>-10.938486873713449</v>
      </c>
      <c r="X2830">
        <v>0.38064542712583121</v>
      </c>
      <c r="Z2830" t="s">
        <v>392</v>
      </c>
      <c r="AA2830">
        <v>9400</v>
      </c>
      <c r="AB2830" t="s">
        <v>3221</v>
      </c>
      <c r="AC2830" t="str">
        <f>HYPERLINK("plots/3FT6Y578R01_012_S11P_20251111092011_M5358ACSH101811_RBGEUFRF26/dpll_52094/txpa_54158.png","plot")</f>
        <v>plot</v>
      </c>
    </row>
    <row r="2831" spans="1:29" hidden="1" x14ac:dyDescent="0.35">
      <c r="A2831" t="s">
        <v>48</v>
      </c>
      <c r="B2831">
        <v>52094</v>
      </c>
      <c r="C2831" t="s">
        <v>53</v>
      </c>
      <c r="D2831">
        <v>54159</v>
      </c>
      <c r="E2831" t="s">
        <v>179</v>
      </c>
      <c r="F2831">
        <v>12240</v>
      </c>
      <c r="G2831">
        <v>0.75731823480012883</v>
      </c>
      <c r="H2831">
        <v>0</v>
      </c>
      <c r="I2831">
        <v>0</v>
      </c>
      <c r="J2831">
        <v>0.64077889803626631</v>
      </c>
      <c r="K2831">
        <v>0</v>
      </c>
      <c r="L2831">
        <v>0</v>
      </c>
      <c r="M2831">
        <v>0.45867951033100929</v>
      </c>
      <c r="N2831">
        <v>0</v>
      </c>
      <c r="O2831">
        <v>0</v>
      </c>
      <c r="P2831">
        <v>0.57353090876078305</v>
      </c>
      <c r="Q2831">
        <v>1.3309383291882531</v>
      </c>
      <c r="R2831">
        <v>-16.727746509760049</v>
      </c>
      <c r="S2831">
        <v>0.24881842330901099</v>
      </c>
      <c r="T2831">
        <v>0.1961552295201125</v>
      </c>
      <c r="U2831">
        <v>4.3319400696078434</v>
      </c>
      <c r="V2831">
        <v>0.21680883535870621</v>
      </c>
      <c r="W2831">
        <v>-10.96220143137255</v>
      </c>
      <c r="X2831">
        <v>0.38102765234713232</v>
      </c>
      <c r="Z2831" t="s">
        <v>392</v>
      </c>
      <c r="AA2831">
        <v>9400</v>
      </c>
      <c r="AB2831" t="s">
        <v>3222</v>
      </c>
      <c r="AC2831" t="str">
        <f>HYPERLINK("plots/3FT6Y578R01_012_S11P_20251111092011_M5358ACSH101811_RBGEUFRF26/dpll_52094/txpa_54159.png","plot")</f>
        <v>plot</v>
      </c>
    </row>
    <row r="2832" spans="1:29" hidden="1" x14ac:dyDescent="0.35">
      <c r="A2832" t="s">
        <v>48</v>
      </c>
      <c r="B2832">
        <v>52094</v>
      </c>
      <c r="C2832" t="s">
        <v>53</v>
      </c>
      <c r="D2832">
        <v>54160</v>
      </c>
      <c r="E2832" t="s">
        <v>180</v>
      </c>
      <c r="F2832">
        <v>12241</v>
      </c>
      <c r="G2832">
        <v>0.75977482820496789</v>
      </c>
      <c r="H2832">
        <v>0</v>
      </c>
      <c r="I2832">
        <v>0</v>
      </c>
      <c r="J2832">
        <v>0.65038089828441048</v>
      </c>
      <c r="K2832">
        <v>0</v>
      </c>
      <c r="L2832">
        <v>0</v>
      </c>
      <c r="M2832">
        <v>0.46929583002510372</v>
      </c>
      <c r="N2832">
        <v>0</v>
      </c>
      <c r="O2832">
        <v>0</v>
      </c>
      <c r="P2832">
        <v>0.57725778957388851</v>
      </c>
      <c r="Q2832">
        <v>1.329867428980485</v>
      </c>
      <c r="R2832">
        <v>-16.747401151521089</v>
      </c>
      <c r="S2832">
        <v>0.24671834926465541</v>
      </c>
      <c r="T2832">
        <v>0.19316302463364909</v>
      </c>
      <c r="U2832">
        <v>4.3319197416877699</v>
      </c>
      <c r="V2832">
        <v>0.2167993297959015</v>
      </c>
      <c r="W2832">
        <v>-10.986522182092971</v>
      </c>
      <c r="X2832">
        <v>0.37947343952093637</v>
      </c>
      <c r="Z2832" t="s">
        <v>392</v>
      </c>
      <c r="AA2832">
        <v>9400</v>
      </c>
      <c r="AB2832" t="s">
        <v>3223</v>
      </c>
      <c r="AC2832" t="str">
        <f>HYPERLINK("plots/3FT6Y578R01_012_S11P_20251111092011_M5358ACSH101811_RBGEUFRF26/dpll_52094/txpa_54160.png","plot")</f>
        <v>plot</v>
      </c>
    </row>
    <row r="2833" spans="1:29" hidden="1" x14ac:dyDescent="0.35">
      <c r="A2833" t="s">
        <v>48</v>
      </c>
      <c r="B2833">
        <v>52094</v>
      </c>
      <c r="C2833" t="s">
        <v>53</v>
      </c>
      <c r="D2833">
        <v>54161</v>
      </c>
      <c r="E2833" t="s">
        <v>181</v>
      </c>
      <c r="F2833">
        <v>12242</v>
      </c>
      <c r="G2833">
        <v>0.75581645659376029</v>
      </c>
      <c r="H2833">
        <v>0</v>
      </c>
      <c r="I2833">
        <v>0</v>
      </c>
      <c r="J2833">
        <v>0.64484488672112472</v>
      </c>
      <c r="K2833">
        <v>0</v>
      </c>
      <c r="L2833">
        <v>0</v>
      </c>
      <c r="M2833">
        <v>0.46378539366513682</v>
      </c>
      <c r="N2833">
        <v>0</v>
      </c>
      <c r="O2833">
        <v>0</v>
      </c>
      <c r="P2833">
        <v>0.57125851605794753</v>
      </c>
      <c r="Q2833">
        <v>1.3200078285023371</v>
      </c>
      <c r="R2833">
        <v>-16.703833892344441</v>
      </c>
      <c r="S2833">
        <v>0.2479310159654271</v>
      </c>
      <c r="T2833">
        <v>0.19459078872182389</v>
      </c>
      <c r="U2833">
        <v>4.331949619669988</v>
      </c>
      <c r="V2833">
        <v>0.21681567757630049</v>
      </c>
      <c r="W2833">
        <v>-10.98562648170234</v>
      </c>
      <c r="X2833">
        <v>0.37866123348592617</v>
      </c>
      <c r="Z2833" t="s">
        <v>392</v>
      </c>
      <c r="AA2833">
        <v>9400</v>
      </c>
      <c r="AB2833" t="s">
        <v>3224</v>
      </c>
      <c r="AC2833" t="str">
        <f>HYPERLINK("plots/3FT6Y578R01_012_S11P_20251111092011_M5358ACSH101811_RBGEUFRF26/dpll_52094/txpa_54161.png","plot")</f>
        <v>plot</v>
      </c>
    </row>
    <row r="2834" spans="1:29" hidden="1" x14ac:dyDescent="0.35">
      <c r="A2834" t="s">
        <v>48</v>
      </c>
      <c r="B2834">
        <v>52094</v>
      </c>
      <c r="C2834" t="s">
        <v>53</v>
      </c>
      <c r="D2834">
        <v>54162</v>
      </c>
      <c r="E2834" t="s">
        <v>182</v>
      </c>
      <c r="F2834">
        <v>12241</v>
      </c>
      <c r="G2834">
        <v>0.74942849561728497</v>
      </c>
      <c r="H2834">
        <v>0</v>
      </c>
      <c r="I2834">
        <v>0</v>
      </c>
      <c r="J2834">
        <v>0.63244592153842816</v>
      </c>
      <c r="K2834">
        <v>0</v>
      </c>
      <c r="L2834">
        <v>0</v>
      </c>
      <c r="M2834">
        <v>0.45440504840027551</v>
      </c>
      <c r="N2834">
        <v>0</v>
      </c>
      <c r="O2834">
        <v>0</v>
      </c>
      <c r="P2834">
        <v>0.56164307004318692</v>
      </c>
      <c r="Q2834">
        <v>1.3023313718037151</v>
      </c>
      <c r="R2834">
        <v>-16.689441825535368</v>
      </c>
      <c r="S2834">
        <v>0.24944165621510689</v>
      </c>
      <c r="T2834">
        <v>0.1948866718240983</v>
      </c>
      <c r="U2834">
        <v>4.3319714452250633</v>
      </c>
      <c r="V2834">
        <v>0.21681108513633299</v>
      </c>
      <c r="W2834">
        <v>-11.0477795106609</v>
      </c>
      <c r="X2834">
        <v>0.37676693584393278</v>
      </c>
      <c r="Z2834" t="s">
        <v>392</v>
      </c>
      <c r="AA2834">
        <v>9400</v>
      </c>
      <c r="AB2834" t="s">
        <v>3225</v>
      </c>
      <c r="AC2834" t="str">
        <f>HYPERLINK("plots/3FT6Y578R01_012_S11P_20251111092011_M5358ACSH101811_RBGEUFRF26/dpll_52094/txpa_54162.png","plot")</f>
        <v>plot</v>
      </c>
    </row>
    <row r="2835" spans="1:29" hidden="1" x14ac:dyDescent="0.35">
      <c r="A2835" t="s">
        <v>48</v>
      </c>
      <c r="B2835">
        <v>52094</v>
      </c>
      <c r="C2835" t="s">
        <v>53</v>
      </c>
      <c r="D2835">
        <v>54163</v>
      </c>
      <c r="E2835" t="s">
        <v>183</v>
      </c>
      <c r="F2835">
        <v>12243</v>
      </c>
      <c r="G2835">
        <v>0.77596274479344252</v>
      </c>
      <c r="H2835">
        <v>0</v>
      </c>
      <c r="I2835">
        <v>0</v>
      </c>
      <c r="J2835">
        <v>0.67184887472098287</v>
      </c>
      <c r="K2835">
        <v>0</v>
      </c>
      <c r="L2835">
        <v>0</v>
      </c>
      <c r="M2835">
        <v>0.48419317734680251</v>
      </c>
      <c r="N2835">
        <v>0</v>
      </c>
      <c r="O2835">
        <v>0</v>
      </c>
      <c r="P2835">
        <v>0.60211818130737316</v>
      </c>
      <c r="Q2835">
        <v>1.157125895782803</v>
      </c>
      <c r="R2835">
        <v>-9.7703918750318355</v>
      </c>
      <c r="S2835">
        <v>0.2039568520010196</v>
      </c>
      <c r="T2835">
        <v>0.15485170559093189</v>
      </c>
      <c r="U2835">
        <v>4.3319153779302466</v>
      </c>
      <c r="V2835">
        <v>0.21683992469153379</v>
      </c>
      <c r="W2835">
        <v>-4.7578204128889974</v>
      </c>
      <c r="X2835">
        <v>0.32335456023337572</v>
      </c>
      <c r="Z2835" t="s">
        <v>392</v>
      </c>
      <c r="AA2835">
        <v>9400</v>
      </c>
      <c r="AB2835" t="s">
        <v>3226</v>
      </c>
      <c r="AC2835" t="str">
        <f>HYPERLINK("plots/3FT6Y578R01_012_S11P_20251111092011_M5358ACSH101811_RBGEUFRF26/dpll_52094/txpa_54163.png","plot")</f>
        <v>plot</v>
      </c>
    </row>
    <row r="2836" spans="1:29" hidden="1" x14ac:dyDescent="0.35">
      <c r="A2836" t="s">
        <v>48</v>
      </c>
      <c r="B2836">
        <v>52094</v>
      </c>
      <c r="C2836" t="s">
        <v>53</v>
      </c>
      <c r="D2836">
        <v>54164</v>
      </c>
      <c r="E2836" t="s">
        <v>184</v>
      </c>
      <c r="F2836">
        <v>12242</v>
      </c>
      <c r="G2836">
        <v>0.7917871327727648</v>
      </c>
      <c r="H2836">
        <v>0</v>
      </c>
      <c r="I2836">
        <v>0</v>
      </c>
      <c r="J2836">
        <v>0.68246942906426866</v>
      </c>
      <c r="K2836">
        <v>0</v>
      </c>
      <c r="L2836">
        <v>0</v>
      </c>
      <c r="M2836">
        <v>0.49537467853977618</v>
      </c>
      <c r="N2836">
        <v>0</v>
      </c>
      <c r="O2836">
        <v>0</v>
      </c>
      <c r="P2836">
        <v>0.62692686362451588</v>
      </c>
      <c r="Q2836">
        <v>1.17311491417878</v>
      </c>
      <c r="R2836">
        <v>-9.796628140290963</v>
      </c>
      <c r="S2836">
        <v>0.19622582891694271</v>
      </c>
      <c r="T2836">
        <v>0.15097061124812969</v>
      </c>
      <c r="U2836">
        <v>4.3319007004574406</v>
      </c>
      <c r="V2836">
        <v>0.21684269964686589</v>
      </c>
      <c r="W2836">
        <v>-4.7148108218428364</v>
      </c>
      <c r="X2836">
        <v>0.32127499230217088</v>
      </c>
      <c r="Z2836" t="s">
        <v>392</v>
      </c>
      <c r="AA2836">
        <v>9400</v>
      </c>
      <c r="AB2836" t="s">
        <v>3227</v>
      </c>
      <c r="AC2836" t="str">
        <f>HYPERLINK("plots/3FT6Y578R01_012_S11P_20251111092011_M5358ACSH101811_RBGEUFRF26/dpll_52094/txpa_54164.png","plot")</f>
        <v>plot</v>
      </c>
    </row>
    <row r="2837" spans="1:29" hidden="1" x14ac:dyDescent="0.35">
      <c r="A2837" t="s">
        <v>48</v>
      </c>
      <c r="B2837">
        <v>52094</v>
      </c>
      <c r="C2837" t="s">
        <v>53</v>
      </c>
      <c r="D2837">
        <v>54165</v>
      </c>
      <c r="E2837" t="s">
        <v>185</v>
      </c>
      <c r="F2837">
        <v>12243</v>
      </c>
      <c r="G2837">
        <v>0.7903891075681112</v>
      </c>
      <c r="H2837">
        <v>0</v>
      </c>
      <c r="I2837">
        <v>0</v>
      </c>
      <c r="J2837">
        <v>0.6800644022164728</v>
      </c>
      <c r="K2837">
        <v>0</v>
      </c>
      <c r="L2837">
        <v>0</v>
      </c>
      <c r="M2837">
        <v>0.49259279673417489</v>
      </c>
      <c r="N2837">
        <v>0</v>
      </c>
      <c r="O2837">
        <v>0</v>
      </c>
      <c r="P2837">
        <v>0.62471494136231531</v>
      </c>
      <c r="Q2837">
        <v>1.1591164785226979</v>
      </c>
      <c r="R2837">
        <v>-9.7358549652488993</v>
      </c>
      <c r="S2837">
        <v>0.19479969881271861</v>
      </c>
      <c r="T2837">
        <v>0.14953168555239529</v>
      </c>
      <c r="U2837">
        <v>4.3319153779302466</v>
      </c>
      <c r="V2837">
        <v>0.21683992469153379</v>
      </c>
      <c r="W2837">
        <v>-4.7146604671240713</v>
      </c>
      <c r="X2837">
        <v>0.31799872683584302</v>
      </c>
      <c r="Z2837" t="s">
        <v>392</v>
      </c>
      <c r="AA2837">
        <v>9400</v>
      </c>
      <c r="AB2837" t="s">
        <v>3228</v>
      </c>
      <c r="AC2837" t="str">
        <f>HYPERLINK("plots/3FT6Y578R01_012_S11P_20251111092011_M5358ACSH101811_RBGEUFRF26/dpll_52094/txpa_54165.png","plot")</f>
        <v>plot</v>
      </c>
    </row>
    <row r="2838" spans="1:29" hidden="1" x14ac:dyDescent="0.35">
      <c r="A2838" t="s">
        <v>48</v>
      </c>
      <c r="B2838">
        <v>52094</v>
      </c>
      <c r="C2838" t="s">
        <v>53</v>
      </c>
      <c r="D2838">
        <v>54166</v>
      </c>
      <c r="E2838" t="s">
        <v>186</v>
      </c>
      <c r="F2838">
        <v>12242</v>
      </c>
      <c r="G2838">
        <v>0.80288511645884797</v>
      </c>
      <c r="H2838">
        <v>0</v>
      </c>
      <c r="I2838">
        <v>0</v>
      </c>
      <c r="J2838">
        <v>0.68820256820778947</v>
      </c>
      <c r="K2838">
        <v>0</v>
      </c>
      <c r="L2838">
        <v>0</v>
      </c>
      <c r="M2838">
        <v>0.49968723022242673</v>
      </c>
      <c r="N2838">
        <v>0</v>
      </c>
      <c r="O2838">
        <v>0</v>
      </c>
      <c r="P2838">
        <v>0.64462451023113787</v>
      </c>
      <c r="Q2838">
        <v>1.1840487819937859</v>
      </c>
      <c r="R2838">
        <v>-9.8036334732074515</v>
      </c>
      <c r="S2838">
        <v>0.19063181430467799</v>
      </c>
      <c r="T2838">
        <v>0.14809652382552951</v>
      </c>
      <c r="U2838">
        <v>4.3319235655121711</v>
      </c>
      <c r="V2838">
        <v>0.21684688906752619</v>
      </c>
      <c r="W2838">
        <v>-4.6744246517725863</v>
      </c>
      <c r="X2838">
        <v>0.3197933173951249</v>
      </c>
      <c r="Z2838" t="s">
        <v>392</v>
      </c>
      <c r="AA2838">
        <v>9400</v>
      </c>
      <c r="AB2838" t="s">
        <v>3229</v>
      </c>
      <c r="AC2838" t="str">
        <f>HYPERLINK("plots/3FT6Y578R01_012_S11P_20251111092011_M5358ACSH101811_RBGEUFRF26/dpll_52094/txpa_54166.png","plot")</f>
        <v>plot</v>
      </c>
    </row>
    <row r="2839" spans="1:29" hidden="1" x14ac:dyDescent="0.35">
      <c r="A2839" t="s">
        <v>48</v>
      </c>
      <c r="B2839">
        <v>52094</v>
      </c>
      <c r="C2839" t="s">
        <v>53</v>
      </c>
      <c r="D2839">
        <v>54167</v>
      </c>
      <c r="E2839" t="s">
        <v>187</v>
      </c>
      <c r="F2839">
        <v>12240</v>
      </c>
      <c r="G2839">
        <v>0.80138071714514347</v>
      </c>
      <c r="H2839">
        <v>0</v>
      </c>
      <c r="I2839">
        <v>0</v>
      </c>
      <c r="J2839">
        <v>0.68307432333247242</v>
      </c>
      <c r="K2839">
        <v>0</v>
      </c>
      <c r="L2839">
        <v>0</v>
      </c>
      <c r="M2839">
        <v>0.4946937709205203</v>
      </c>
      <c r="N2839">
        <v>0</v>
      </c>
      <c r="O2839">
        <v>0</v>
      </c>
      <c r="P2839">
        <v>0.64221105381206445</v>
      </c>
      <c r="Q2839">
        <v>1.1897435089696911</v>
      </c>
      <c r="R2839">
        <v>-9.8523349336368042</v>
      </c>
      <c r="S2839">
        <v>0.19252500810563189</v>
      </c>
      <c r="T2839">
        <v>0.14996827034614679</v>
      </c>
      <c r="U2839">
        <v>4.3319400696078434</v>
      </c>
      <c r="V2839">
        <v>0.21680883535870621</v>
      </c>
      <c r="W2839">
        <v>-4.6984373545751632</v>
      </c>
      <c r="X2839">
        <v>0.32187810242579201</v>
      </c>
      <c r="Z2839" t="s">
        <v>392</v>
      </c>
      <c r="AA2839">
        <v>9400</v>
      </c>
      <c r="AB2839" t="s">
        <v>3230</v>
      </c>
      <c r="AC2839" t="str">
        <f>HYPERLINK("plots/3FT6Y578R01_012_S11P_20251111092011_M5358ACSH101811_RBGEUFRF26/dpll_52094/txpa_54167.png","plot")</f>
        <v>plot</v>
      </c>
    </row>
    <row r="2840" spans="1:29" hidden="1" x14ac:dyDescent="0.35">
      <c r="A2840" t="s">
        <v>48</v>
      </c>
      <c r="B2840">
        <v>52094</v>
      </c>
      <c r="C2840" t="s">
        <v>53</v>
      </c>
      <c r="D2840">
        <v>54168</v>
      </c>
      <c r="E2840" t="s">
        <v>188</v>
      </c>
      <c r="F2840">
        <v>12240</v>
      </c>
      <c r="G2840">
        <v>0.80564171769262083</v>
      </c>
      <c r="H2840">
        <v>0</v>
      </c>
      <c r="I2840">
        <v>0</v>
      </c>
      <c r="J2840">
        <v>0.69343686581344921</v>
      </c>
      <c r="K2840">
        <v>0</v>
      </c>
      <c r="L2840">
        <v>0</v>
      </c>
      <c r="M2840">
        <v>0.50492668888296777</v>
      </c>
      <c r="N2840">
        <v>0</v>
      </c>
      <c r="O2840">
        <v>0</v>
      </c>
      <c r="P2840">
        <v>0.64905857728671656</v>
      </c>
      <c r="Q2840">
        <v>1.193842958171965</v>
      </c>
      <c r="R2840">
        <v>-9.8784942515351943</v>
      </c>
      <c r="S2840">
        <v>0.19029676698564571</v>
      </c>
      <c r="T2840">
        <v>0.1480856374395218</v>
      </c>
      <c r="U2840">
        <v>4.331890278839869</v>
      </c>
      <c r="V2840">
        <v>0.21678367779622049</v>
      </c>
      <c r="W2840">
        <v>-4.7068975465686274</v>
      </c>
      <c r="X2840">
        <v>0.32124164066983057</v>
      </c>
      <c r="Z2840" t="s">
        <v>392</v>
      </c>
      <c r="AA2840">
        <v>9400</v>
      </c>
      <c r="AB2840" t="s">
        <v>3231</v>
      </c>
      <c r="AC2840" t="str">
        <f>HYPERLINK("plots/3FT6Y578R01_012_S11P_20251111092011_M5358ACSH101811_RBGEUFRF26/dpll_52094/txpa_54168.png","plot")</f>
        <v>plot</v>
      </c>
    </row>
    <row r="2841" spans="1:29" hidden="1" x14ac:dyDescent="0.35">
      <c r="A2841" t="s">
        <v>48</v>
      </c>
      <c r="B2841">
        <v>52094</v>
      </c>
      <c r="C2841" t="s">
        <v>53</v>
      </c>
      <c r="D2841">
        <v>54169</v>
      </c>
      <c r="E2841" t="s">
        <v>189</v>
      </c>
      <c r="F2841">
        <v>12242</v>
      </c>
      <c r="G2841">
        <v>0.80297733480753752</v>
      </c>
      <c r="H2841">
        <v>0</v>
      </c>
      <c r="I2841">
        <v>0</v>
      </c>
      <c r="J2841">
        <v>0.68646099374940994</v>
      </c>
      <c r="K2841">
        <v>0</v>
      </c>
      <c r="L2841">
        <v>0</v>
      </c>
      <c r="M2841">
        <v>0.49885661869703551</v>
      </c>
      <c r="N2841">
        <v>0</v>
      </c>
      <c r="O2841">
        <v>0</v>
      </c>
      <c r="P2841">
        <v>0.64477260021461624</v>
      </c>
      <c r="Q2841">
        <v>1.1861856353053519</v>
      </c>
      <c r="R2841">
        <v>-9.8420516785871808</v>
      </c>
      <c r="S2841">
        <v>0.1908866452518084</v>
      </c>
      <c r="T2841">
        <v>0.1487189600066037</v>
      </c>
      <c r="U2841">
        <v>4.331949619669988</v>
      </c>
      <c r="V2841">
        <v>0.21681567757630049</v>
      </c>
      <c r="W2841">
        <v>-4.7035552668681584</v>
      </c>
      <c r="X2841">
        <v>0.32028754872844267</v>
      </c>
      <c r="Z2841" t="s">
        <v>392</v>
      </c>
      <c r="AA2841">
        <v>9400</v>
      </c>
      <c r="AB2841" t="s">
        <v>3232</v>
      </c>
      <c r="AC2841" t="str">
        <f>HYPERLINK("plots/3FT6Y578R01_012_S11P_20251111092011_M5358ACSH101811_RBGEUFRF26/dpll_52094/txpa_54169.png","plot")</f>
        <v>plot</v>
      </c>
    </row>
    <row r="2842" spans="1:29" hidden="1" x14ac:dyDescent="0.35">
      <c r="A2842" t="s">
        <v>48</v>
      </c>
      <c r="B2842">
        <v>52094</v>
      </c>
      <c r="C2842" t="s">
        <v>53</v>
      </c>
      <c r="D2842">
        <v>54170</v>
      </c>
      <c r="E2842" t="s">
        <v>190</v>
      </c>
      <c r="F2842">
        <v>12239</v>
      </c>
      <c r="G2842">
        <v>0.79741823107557552</v>
      </c>
      <c r="H2842">
        <v>0</v>
      </c>
      <c r="I2842">
        <v>0</v>
      </c>
      <c r="J2842">
        <v>0.67693808016106616</v>
      </c>
      <c r="K2842">
        <v>0</v>
      </c>
      <c r="L2842">
        <v>0</v>
      </c>
      <c r="M2842">
        <v>0.49110284159104589</v>
      </c>
      <c r="N2842">
        <v>0</v>
      </c>
      <c r="O2842">
        <v>0</v>
      </c>
      <c r="P2842">
        <v>0.63587583525169999</v>
      </c>
      <c r="Q2842">
        <v>1.172962943027394</v>
      </c>
      <c r="R2842">
        <v>-9.8155918946653351</v>
      </c>
      <c r="S2842">
        <v>0.1924448221055014</v>
      </c>
      <c r="T2842">
        <v>0.1493311539870236</v>
      </c>
      <c r="U2842">
        <v>4.3319942728981129</v>
      </c>
      <c r="V2842">
        <v>0.21682087438449071</v>
      </c>
      <c r="W2842">
        <v>-4.7343231431489503</v>
      </c>
      <c r="X2842">
        <v>0.31893282723768263</v>
      </c>
      <c r="Z2842" t="s">
        <v>392</v>
      </c>
      <c r="AA2842">
        <v>9400</v>
      </c>
      <c r="AB2842" t="s">
        <v>3233</v>
      </c>
      <c r="AC2842" t="str">
        <f>HYPERLINK("plots/3FT6Y578R01_012_S11P_20251111092011_M5358ACSH101811_RBGEUFRF26/dpll_52094/txpa_54170.png","plot")</f>
        <v>plot</v>
      </c>
    </row>
    <row r="2843" spans="1:29" hidden="1" x14ac:dyDescent="0.35">
      <c r="A2843" t="s">
        <v>48</v>
      </c>
      <c r="B2843">
        <v>52094</v>
      </c>
      <c r="C2843" t="s">
        <v>53</v>
      </c>
      <c r="D2843">
        <v>54171</v>
      </c>
      <c r="E2843" t="s">
        <v>191</v>
      </c>
      <c r="F2843">
        <v>12243</v>
      </c>
      <c r="G2843">
        <v>0.78828795694982479</v>
      </c>
      <c r="H2843">
        <v>0</v>
      </c>
      <c r="I2843">
        <v>0</v>
      </c>
      <c r="J2843">
        <v>0.68684174315361635</v>
      </c>
      <c r="K2843">
        <v>0</v>
      </c>
      <c r="L2843">
        <v>0</v>
      </c>
      <c r="M2843">
        <v>0.49664532571779929</v>
      </c>
      <c r="N2843">
        <v>0</v>
      </c>
      <c r="O2843">
        <v>0</v>
      </c>
      <c r="P2843">
        <v>0.62139790307212883</v>
      </c>
      <c r="Q2843">
        <v>1.1809217978612421</v>
      </c>
      <c r="R2843">
        <v>-6.9011983728706863</v>
      </c>
      <c r="S2843">
        <v>0.1998707607420315</v>
      </c>
      <c r="T2843">
        <v>0.15082903620225421</v>
      </c>
      <c r="U2843">
        <v>4.3319153779302466</v>
      </c>
      <c r="V2843">
        <v>0.21683992469153379</v>
      </c>
      <c r="W2843">
        <v>-1.7855450765825369</v>
      </c>
      <c r="X2843">
        <v>0.32484448285326478</v>
      </c>
      <c r="Z2843" t="s">
        <v>392</v>
      </c>
      <c r="AA2843">
        <v>9400</v>
      </c>
      <c r="AB2843" t="s">
        <v>3234</v>
      </c>
      <c r="AC2843" t="str">
        <f>HYPERLINK("plots/3FT6Y578R01_012_S11P_20251111092011_M5358ACSH101811_RBGEUFRF26/dpll_52094/txpa_54171.png","plot")</f>
        <v>plot</v>
      </c>
    </row>
    <row r="2844" spans="1:29" hidden="1" x14ac:dyDescent="0.35">
      <c r="A2844" t="s">
        <v>48</v>
      </c>
      <c r="B2844">
        <v>52094</v>
      </c>
      <c r="C2844" t="s">
        <v>53</v>
      </c>
      <c r="D2844">
        <v>54172</v>
      </c>
      <c r="E2844" t="s">
        <v>192</v>
      </c>
      <c r="F2844">
        <v>12242</v>
      </c>
      <c r="G2844">
        <v>0.80501107715116715</v>
      </c>
      <c r="H2844">
        <v>0</v>
      </c>
      <c r="I2844">
        <v>0</v>
      </c>
      <c r="J2844">
        <v>0.69876995169860145</v>
      </c>
      <c r="K2844">
        <v>0</v>
      </c>
      <c r="L2844">
        <v>0</v>
      </c>
      <c r="M2844">
        <v>0.50906850851657182</v>
      </c>
      <c r="N2844">
        <v>0</v>
      </c>
      <c r="O2844">
        <v>0</v>
      </c>
      <c r="P2844">
        <v>0.64804283433608234</v>
      </c>
      <c r="Q2844">
        <v>1.200767321023654</v>
      </c>
      <c r="R2844">
        <v>-6.9499559359426746</v>
      </c>
      <c r="S2844">
        <v>0.1918796759516721</v>
      </c>
      <c r="T2844">
        <v>0.14696594434445909</v>
      </c>
      <c r="U2844">
        <v>4.3319007004574406</v>
      </c>
      <c r="V2844">
        <v>0.21684269964686589</v>
      </c>
      <c r="W2844">
        <v>-1.7483511369139031</v>
      </c>
      <c r="X2844">
        <v>0.32344601823362168</v>
      </c>
      <c r="Z2844" t="s">
        <v>392</v>
      </c>
      <c r="AA2844">
        <v>9400</v>
      </c>
      <c r="AB2844" t="s">
        <v>3235</v>
      </c>
      <c r="AC2844" t="str">
        <f>HYPERLINK("plots/3FT6Y578R01_012_S11P_20251111092011_M5358ACSH101811_RBGEUFRF26/dpll_52094/txpa_54172.png","plot")</f>
        <v>plot</v>
      </c>
    </row>
    <row r="2845" spans="1:29" hidden="1" x14ac:dyDescent="0.35">
      <c r="A2845" t="s">
        <v>48</v>
      </c>
      <c r="B2845">
        <v>52094</v>
      </c>
      <c r="C2845" t="s">
        <v>53</v>
      </c>
      <c r="D2845">
        <v>54173</v>
      </c>
      <c r="E2845" t="s">
        <v>193</v>
      </c>
      <c r="F2845">
        <v>12243</v>
      </c>
      <c r="G2845">
        <v>0.80209000321169066</v>
      </c>
      <c r="H2845">
        <v>0</v>
      </c>
      <c r="I2845">
        <v>0</v>
      </c>
      <c r="J2845">
        <v>0.69440775864434756</v>
      </c>
      <c r="K2845">
        <v>0</v>
      </c>
      <c r="L2845">
        <v>0</v>
      </c>
      <c r="M2845">
        <v>0.50473149315054755</v>
      </c>
      <c r="N2845">
        <v>0</v>
      </c>
      <c r="O2845">
        <v>0</v>
      </c>
      <c r="P2845">
        <v>0.6433483732521299</v>
      </c>
      <c r="Q2845">
        <v>1.1840088007580369</v>
      </c>
      <c r="R2845">
        <v>-6.8759293617073221</v>
      </c>
      <c r="S2845">
        <v>0.19115050168178241</v>
      </c>
      <c r="T2845">
        <v>0.14590580070159079</v>
      </c>
      <c r="U2845">
        <v>4.3319153779302466</v>
      </c>
      <c r="V2845">
        <v>0.21683992469153379</v>
      </c>
      <c r="W2845">
        <v>-1.746903430098832</v>
      </c>
      <c r="X2845">
        <v>0.32008923956471003</v>
      </c>
      <c r="Z2845" t="s">
        <v>392</v>
      </c>
      <c r="AA2845">
        <v>9400</v>
      </c>
      <c r="AB2845" t="s">
        <v>3236</v>
      </c>
      <c r="AC2845" t="str">
        <f>HYPERLINK("plots/3FT6Y578R01_012_S11P_20251111092011_M5358ACSH101811_RBGEUFRF26/dpll_52094/txpa_54173.png","plot")</f>
        <v>plot</v>
      </c>
    </row>
    <row r="2846" spans="1:29" hidden="1" x14ac:dyDescent="0.35">
      <c r="A2846" t="s">
        <v>48</v>
      </c>
      <c r="B2846">
        <v>52094</v>
      </c>
      <c r="C2846" t="s">
        <v>53</v>
      </c>
      <c r="D2846">
        <v>54174</v>
      </c>
      <c r="E2846" t="s">
        <v>194</v>
      </c>
      <c r="F2846">
        <v>12242</v>
      </c>
      <c r="G2846">
        <v>0.81428668570944551</v>
      </c>
      <c r="H2846">
        <v>0</v>
      </c>
      <c r="I2846">
        <v>0</v>
      </c>
      <c r="J2846">
        <v>0.70273025451690418</v>
      </c>
      <c r="K2846">
        <v>0</v>
      </c>
      <c r="L2846">
        <v>0</v>
      </c>
      <c r="M2846">
        <v>0.51226919351373212</v>
      </c>
      <c r="N2846">
        <v>0</v>
      </c>
      <c r="O2846">
        <v>0</v>
      </c>
      <c r="P2846">
        <v>0.66306280652367333</v>
      </c>
      <c r="Q2846">
        <v>1.207223163599858</v>
      </c>
      <c r="R2846">
        <v>-6.942923395915888</v>
      </c>
      <c r="S2846">
        <v>0.1866036612646981</v>
      </c>
      <c r="T2846">
        <v>0.14432609119800399</v>
      </c>
      <c r="U2846">
        <v>4.3319235655121711</v>
      </c>
      <c r="V2846">
        <v>0.21684688906752619</v>
      </c>
      <c r="W2846">
        <v>-1.7133249246855089</v>
      </c>
      <c r="X2846">
        <v>0.32148700455394158</v>
      </c>
      <c r="Z2846" t="s">
        <v>392</v>
      </c>
      <c r="AA2846">
        <v>9400</v>
      </c>
      <c r="AB2846" t="s">
        <v>3237</v>
      </c>
      <c r="AC2846" t="str">
        <f>HYPERLINK("plots/3FT6Y578R01_012_S11P_20251111092011_M5358ACSH101811_RBGEUFRF26/dpll_52094/txpa_54174.png","plot")</f>
        <v>plot</v>
      </c>
    </row>
    <row r="2847" spans="1:29" hidden="1" x14ac:dyDescent="0.35">
      <c r="A2847" t="s">
        <v>48</v>
      </c>
      <c r="B2847">
        <v>52094</v>
      </c>
      <c r="C2847" t="s">
        <v>53</v>
      </c>
      <c r="D2847">
        <v>54175</v>
      </c>
      <c r="E2847" t="s">
        <v>195</v>
      </c>
      <c r="F2847">
        <v>12240</v>
      </c>
      <c r="G2847">
        <v>0.81380530893962366</v>
      </c>
      <c r="H2847">
        <v>0</v>
      </c>
      <c r="I2847">
        <v>0</v>
      </c>
      <c r="J2847">
        <v>0.69836527611246202</v>
      </c>
      <c r="K2847">
        <v>0</v>
      </c>
      <c r="L2847">
        <v>0</v>
      </c>
      <c r="M2847">
        <v>0.5076984862012982</v>
      </c>
      <c r="N2847">
        <v>0</v>
      </c>
      <c r="O2847">
        <v>0</v>
      </c>
      <c r="P2847">
        <v>0.66227908085831633</v>
      </c>
      <c r="Q2847">
        <v>1.2121788324334899</v>
      </c>
      <c r="R2847">
        <v>-6.9876018021788244</v>
      </c>
      <c r="S2847">
        <v>0.18766547981059301</v>
      </c>
      <c r="T2847">
        <v>0.14578792855386041</v>
      </c>
      <c r="U2847">
        <v>4.3319400696078434</v>
      </c>
      <c r="V2847">
        <v>0.21680883535870621</v>
      </c>
      <c r="W2847">
        <v>-1.7365157464297389</v>
      </c>
      <c r="X2847">
        <v>0.32294097620083129</v>
      </c>
      <c r="Z2847" t="s">
        <v>392</v>
      </c>
      <c r="AA2847">
        <v>9400</v>
      </c>
      <c r="AB2847" t="s">
        <v>3238</v>
      </c>
      <c r="AC2847" t="str">
        <f>HYPERLINK("plots/3FT6Y578R01_012_S11P_20251111092011_M5358ACSH101811_RBGEUFRF26/dpll_52094/txpa_54175.png","plot")</f>
        <v>plot</v>
      </c>
    </row>
    <row r="2848" spans="1:29" hidden="1" x14ac:dyDescent="0.35">
      <c r="A2848" t="s">
        <v>48</v>
      </c>
      <c r="B2848">
        <v>52094</v>
      </c>
      <c r="C2848" t="s">
        <v>53</v>
      </c>
      <c r="D2848">
        <v>54176</v>
      </c>
      <c r="E2848" t="s">
        <v>196</v>
      </c>
      <c r="F2848">
        <v>12240</v>
      </c>
      <c r="G2848">
        <v>0.81779763799767813</v>
      </c>
      <c r="H2848">
        <v>0</v>
      </c>
      <c r="I2848">
        <v>0</v>
      </c>
      <c r="J2848">
        <v>0.70758728342277877</v>
      </c>
      <c r="K2848">
        <v>0</v>
      </c>
      <c r="L2848">
        <v>0</v>
      </c>
      <c r="M2848">
        <v>0.51695617597196242</v>
      </c>
      <c r="N2848">
        <v>0</v>
      </c>
      <c r="O2848">
        <v>0</v>
      </c>
      <c r="P2848">
        <v>0.66879297671458138</v>
      </c>
      <c r="Q2848">
        <v>1.219003516400573</v>
      </c>
      <c r="R2848">
        <v>-7.0219355277878481</v>
      </c>
      <c r="S2848">
        <v>0.1859592190695889</v>
      </c>
      <c r="T2848">
        <v>0.1444545253233652</v>
      </c>
      <c r="U2848">
        <v>4.331890278839869</v>
      </c>
      <c r="V2848">
        <v>0.21678367779622049</v>
      </c>
      <c r="W2848">
        <v>-1.741346045220588</v>
      </c>
      <c r="X2848">
        <v>0.32313625431697812</v>
      </c>
      <c r="Z2848" t="s">
        <v>392</v>
      </c>
      <c r="AA2848">
        <v>9400</v>
      </c>
      <c r="AB2848" t="s">
        <v>3239</v>
      </c>
      <c r="AC2848" t="str">
        <f>HYPERLINK("plots/3FT6Y578R01_012_S11P_20251111092011_M5358ACSH101811_RBGEUFRF26/dpll_52094/txpa_54176.png","plot")</f>
        <v>plot</v>
      </c>
    </row>
    <row r="2849" spans="1:29" hidden="1" x14ac:dyDescent="0.35">
      <c r="A2849" t="s">
        <v>48</v>
      </c>
      <c r="B2849">
        <v>52094</v>
      </c>
      <c r="C2849" t="s">
        <v>53</v>
      </c>
      <c r="D2849">
        <v>54177</v>
      </c>
      <c r="E2849" t="s">
        <v>197</v>
      </c>
      <c r="F2849">
        <v>12242</v>
      </c>
      <c r="G2849">
        <v>0.81545707745639684</v>
      </c>
      <c r="H2849">
        <v>0</v>
      </c>
      <c r="I2849">
        <v>0</v>
      </c>
      <c r="J2849">
        <v>0.70154381980431779</v>
      </c>
      <c r="K2849">
        <v>0</v>
      </c>
      <c r="L2849">
        <v>0</v>
      </c>
      <c r="M2849">
        <v>0.51171791952555123</v>
      </c>
      <c r="N2849">
        <v>0</v>
      </c>
      <c r="O2849">
        <v>0</v>
      </c>
      <c r="P2849">
        <v>0.66497024517372805</v>
      </c>
      <c r="Q2849">
        <v>1.2116545940294841</v>
      </c>
      <c r="R2849">
        <v>-6.9858168871353659</v>
      </c>
      <c r="S2849">
        <v>0.18646286813401869</v>
      </c>
      <c r="T2849">
        <v>0.14484520148952229</v>
      </c>
      <c r="U2849">
        <v>4.331949619669988</v>
      </c>
      <c r="V2849">
        <v>0.21681567757630049</v>
      </c>
      <c r="W2849">
        <v>-1.736990229357948</v>
      </c>
      <c r="X2849">
        <v>0.32215762062226633</v>
      </c>
      <c r="Z2849" t="s">
        <v>392</v>
      </c>
      <c r="AA2849">
        <v>9400</v>
      </c>
      <c r="AB2849" t="s">
        <v>3240</v>
      </c>
      <c r="AC2849" t="str">
        <f>HYPERLINK("plots/3FT6Y578R01_012_S11P_20251111092011_M5358ACSH101811_RBGEUFRF26/dpll_52094/txpa_54177.png","plot")</f>
        <v>plot</v>
      </c>
    </row>
    <row r="2850" spans="1:29" hidden="1" x14ac:dyDescent="0.35">
      <c r="A2850" t="s">
        <v>48</v>
      </c>
      <c r="B2850">
        <v>52094</v>
      </c>
      <c r="C2850" t="s">
        <v>53</v>
      </c>
      <c r="D2850">
        <v>54178</v>
      </c>
      <c r="E2850" t="s">
        <v>198</v>
      </c>
      <c r="F2850">
        <v>12239</v>
      </c>
      <c r="G2850">
        <v>0.8095054274874337</v>
      </c>
      <c r="H2850">
        <v>0</v>
      </c>
      <c r="I2850">
        <v>0</v>
      </c>
      <c r="J2850">
        <v>0.69187954692255638</v>
      </c>
      <c r="K2850">
        <v>0</v>
      </c>
      <c r="L2850">
        <v>0</v>
      </c>
      <c r="M2850">
        <v>0.50392425385300421</v>
      </c>
      <c r="N2850">
        <v>0</v>
      </c>
      <c r="O2850">
        <v>0</v>
      </c>
      <c r="P2850">
        <v>0.65529903713161275</v>
      </c>
      <c r="Q2850">
        <v>1.1993990809585049</v>
      </c>
      <c r="R2850">
        <v>-6.9562204904109803</v>
      </c>
      <c r="S2850">
        <v>0.18860297701870529</v>
      </c>
      <c r="T2850">
        <v>0.14558961928371139</v>
      </c>
      <c r="U2850">
        <v>4.3319942728981129</v>
      </c>
      <c r="V2850">
        <v>0.21682087438449071</v>
      </c>
      <c r="W2850">
        <v>-1.760430540779476</v>
      </c>
      <c r="X2850">
        <v>0.32125140689487791</v>
      </c>
      <c r="Z2850" t="s">
        <v>392</v>
      </c>
      <c r="AA2850">
        <v>9400</v>
      </c>
      <c r="AB2850" t="s">
        <v>3241</v>
      </c>
      <c r="AC2850" t="str">
        <f>HYPERLINK("plots/3FT6Y578R01_012_S11P_20251111092011_M5358ACSH101811_RBGEUFRF26/dpll_52094/txpa_54178.png","plot")</f>
        <v>plot</v>
      </c>
    </row>
    <row r="2851" spans="1:29" hidden="1" x14ac:dyDescent="0.35">
      <c r="A2851" t="s">
        <v>48</v>
      </c>
      <c r="B2851">
        <v>52094</v>
      </c>
      <c r="C2851" t="s">
        <v>53</v>
      </c>
      <c r="D2851">
        <v>54179</v>
      </c>
      <c r="E2851" t="s">
        <v>199</v>
      </c>
      <c r="F2851">
        <v>12242</v>
      </c>
      <c r="G2851">
        <v>0.80728136709590048</v>
      </c>
      <c r="H2851">
        <v>0</v>
      </c>
      <c r="I2851">
        <v>0</v>
      </c>
      <c r="J2851">
        <v>0.7082301849935243</v>
      </c>
      <c r="K2851">
        <v>0</v>
      </c>
      <c r="L2851">
        <v>0</v>
      </c>
      <c r="M2851">
        <v>0.51542000249779785</v>
      </c>
      <c r="N2851">
        <v>0</v>
      </c>
      <c r="O2851">
        <v>0</v>
      </c>
      <c r="P2851">
        <v>0.65170320566022599</v>
      </c>
      <c r="Q2851">
        <v>1.3053976789534321</v>
      </c>
      <c r="R2851">
        <v>-4.0880442242312176</v>
      </c>
      <c r="S2851">
        <v>0.2069124884925842</v>
      </c>
      <c r="T2851">
        <v>0.15513320070325981</v>
      </c>
      <c r="U2851">
        <v>4.3319436473615429</v>
      </c>
      <c r="V2851">
        <v>0.21682621882247419</v>
      </c>
      <c r="W2851">
        <v>1.566864958391603</v>
      </c>
      <c r="X2851">
        <v>0.35061436362061182</v>
      </c>
      <c r="Z2851" t="s">
        <v>392</v>
      </c>
      <c r="AA2851">
        <v>9400</v>
      </c>
      <c r="AB2851" t="s">
        <v>3242</v>
      </c>
      <c r="AC2851" t="str">
        <f>HYPERLINK("plots/3FT6Y578R01_012_S11P_20251111092011_M5358ACSH101811_RBGEUFRF26/dpll_52094/txpa_54179.png","plot")</f>
        <v>plot</v>
      </c>
    </row>
    <row r="2852" spans="1:29" hidden="1" x14ac:dyDescent="0.35">
      <c r="A2852" t="s">
        <v>48</v>
      </c>
      <c r="B2852">
        <v>52094</v>
      </c>
      <c r="C2852" t="s">
        <v>53</v>
      </c>
      <c r="D2852">
        <v>54180</v>
      </c>
      <c r="E2852" t="s">
        <v>200</v>
      </c>
      <c r="F2852">
        <v>12242</v>
      </c>
      <c r="G2852">
        <v>0.8222250631077419</v>
      </c>
      <c r="H2852">
        <v>0</v>
      </c>
      <c r="I2852">
        <v>0</v>
      </c>
      <c r="J2852">
        <v>0.71906220573601121</v>
      </c>
      <c r="K2852">
        <v>0</v>
      </c>
      <c r="L2852">
        <v>0</v>
      </c>
      <c r="M2852">
        <v>0.52701168066713189</v>
      </c>
      <c r="N2852">
        <v>0</v>
      </c>
      <c r="O2852">
        <v>0</v>
      </c>
      <c r="P2852">
        <v>0.67605405440253019</v>
      </c>
      <c r="Q2852">
        <v>1.328177709229293</v>
      </c>
      <c r="R2852">
        <v>-4.1525932276304598</v>
      </c>
      <c r="S2852">
        <v>0.1993557735027065</v>
      </c>
      <c r="T2852">
        <v>0.1517497187172043</v>
      </c>
      <c r="U2852">
        <v>4.3319007004574406</v>
      </c>
      <c r="V2852">
        <v>0.21684269964686589</v>
      </c>
      <c r="W2852">
        <v>1.6009407213118769</v>
      </c>
      <c r="X2852">
        <v>0.35027591957791082</v>
      </c>
      <c r="Z2852" t="s">
        <v>392</v>
      </c>
      <c r="AA2852">
        <v>9400</v>
      </c>
      <c r="AB2852" t="s">
        <v>3243</v>
      </c>
      <c r="AC2852" t="str">
        <f>HYPERLINK("plots/3FT6Y578R01_012_S11P_20251111092011_M5358ACSH101811_RBGEUFRF26/dpll_52094/txpa_54180.png","plot")</f>
        <v>plot</v>
      </c>
    </row>
    <row r="2853" spans="1:29" hidden="1" x14ac:dyDescent="0.35">
      <c r="A2853" t="s">
        <v>48</v>
      </c>
      <c r="B2853">
        <v>52094</v>
      </c>
      <c r="C2853" t="s">
        <v>53</v>
      </c>
      <c r="D2853">
        <v>54181</v>
      </c>
      <c r="E2853" t="s">
        <v>201</v>
      </c>
      <c r="F2853">
        <v>12243</v>
      </c>
      <c r="G2853">
        <v>0.82010156792799094</v>
      </c>
      <c r="H2853">
        <v>0</v>
      </c>
      <c r="I2853">
        <v>0</v>
      </c>
      <c r="J2853">
        <v>0.71575234222500939</v>
      </c>
      <c r="K2853">
        <v>0</v>
      </c>
      <c r="L2853">
        <v>0</v>
      </c>
      <c r="M2853">
        <v>0.52362631349897892</v>
      </c>
      <c r="N2853">
        <v>0</v>
      </c>
      <c r="O2853">
        <v>0</v>
      </c>
      <c r="P2853">
        <v>0.67256658171794914</v>
      </c>
      <c r="Q2853">
        <v>1.3114442157182471</v>
      </c>
      <c r="R2853">
        <v>-4.0769895881315756</v>
      </c>
      <c r="S2853">
        <v>0.19841074661014571</v>
      </c>
      <c r="T2853">
        <v>0.1503139818367214</v>
      </c>
      <c r="U2853">
        <v>4.3319153779302466</v>
      </c>
      <c r="V2853">
        <v>0.21683992469153379</v>
      </c>
      <c r="W2853">
        <v>1.6040757772359719</v>
      </c>
      <c r="X2853">
        <v>0.34675395840538348</v>
      </c>
      <c r="Z2853" t="s">
        <v>392</v>
      </c>
      <c r="AA2853">
        <v>9400</v>
      </c>
      <c r="AB2853" t="s">
        <v>3244</v>
      </c>
      <c r="AC2853" t="str">
        <f>HYPERLINK("plots/3FT6Y578R01_012_S11P_20251111092011_M5358ACSH101811_RBGEUFRF26/dpll_52094/txpa_54181.png","plot")</f>
        <v>plot</v>
      </c>
    </row>
    <row r="2854" spans="1:29" hidden="1" x14ac:dyDescent="0.35">
      <c r="A2854" t="s">
        <v>48</v>
      </c>
      <c r="B2854">
        <v>52094</v>
      </c>
      <c r="C2854" t="s">
        <v>53</v>
      </c>
      <c r="D2854">
        <v>54182</v>
      </c>
      <c r="E2854" t="s">
        <v>202</v>
      </c>
      <c r="F2854">
        <v>12242</v>
      </c>
      <c r="G2854">
        <v>0.83127205431983509</v>
      </c>
      <c r="H2854">
        <v>0</v>
      </c>
      <c r="I2854">
        <v>0</v>
      </c>
      <c r="J2854">
        <v>0.72342145633244892</v>
      </c>
      <c r="K2854">
        <v>0</v>
      </c>
      <c r="L2854">
        <v>0</v>
      </c>
      <c r="M2854">
        <v>0.53097228360029303</v>
      </c>
      <c r="N2854">
        <v>0</v>
      </c>
      <c r="O2854">
        <v>0</v>
      </c>
      <c r="P2854">
        <v>0.69101322829311884</v>
      </c>
      <c r="Q2854">
        <v>1.3329604120403451</v>
      </c>
      <c r="R2854">
        <v>-4.1430369179452038</v>
      </c>
      <c r="S2854">
        <v>0.1932766865250998</v>
      </c>
      <c r="T2854">
        <v>0.1484682772481648</v>
      </c>
      <c r="U2854">
        <v>4.3319235655121711</v>
      </c>
      <c r="V2854">
        <v>0.21684688906752619</v>
      </c>
      <c r="W2854">
        <v>1.631245702867179</v>
      </c>
      <c r="X2854">
        <v>0.34771807508628733</v>
      </c>
      <c r="Z2854" t="s">
        <v>392</v>
      </c>
      <c r="AA2854">
        <v>9400</v>
      </c>
      <c r="AB2854" t="s">
        <v>3245</v>
      </c>
      <c r="AC2854" t="str">
        <f>HYPERLINK("plots/3FT6Y578R01_012_S11P_20251111092011_M5358ACSH101811_RBGEUFRF26/dpll_52094/txpa_54182.png","plot")</f>
        <v>plot</v>
      </c>
    </row>
    <row r="2855" spans="1:29" hidden="1" x14ac:dyDescent="0.35">
      <c r="A2855" t="s">
        <v>48</v>
      </c>
      <c r="B2855">
        <v>52094</v>
      </c>
      <c r="C2855" t="s">
        <v>53</v>
      </c>
      <c r="D2855">
        <v>54183</v>
      </c>
      <c r="E2855" t="s">
        <v>203</v>
      </c>
      <c r="F2855">
        <v>12240</v>
      </c>
      <c r="G2855">
        <v>0.83103692369737525</v>
      </c>
      <c r="H2855">
        <v>0</v>
      </c>
      <c r="I2855">
        <v>0</v>
      </c>
      <c r="J2855">
        <v>0.71999329840005077</v>
      </c>
      <c r="K2855">
        <v>0</v>
      </c>
      <c r="L2855">
        <v>0</v>
      </c>
      <c r="M2855">
        <v>0.52708874576073683</v>
      </c>
      <c r="N2855">
        <v>0</v>
      </c>
      <c r="O2855">
        <v>0</v>
      </c>
      <c r="P2855">
        <v>0.69062236854839709</v>
      </c>
      <c r="Q2855">
        <v>1.3380554346968589</v>
      </c>
      <c r="R2855">
        <v>-4.1891102576992783</v>
      </c>
      <c r="S2855">
        <v>0.19415897747935809</v>
      </c>
      <c r="T2855">
        <v>0.14984712270894479</v>
      </c>
      <c r="U2855">
        <v>4.3319400696078434</v>
      </c>
      <c r="V2855">
        <v>0.21680883535870621</v>
      </c>
      <c r="W2855">
        <v>1.6072656952205879</v>
      </c>
      <c r="X2855">
        <v>0.34908465817778161</v>
      </c>
      <c r="Z2855" t="s">
        <v>392</v>
      </c>
      <c r="AA2855">
        <v>9400</v>
      </c>
      <c r="AB2855" t="s">
        <v>3246</v>
      </c>
      <c r="AC2855" t="str">
        <f>HYPERLINK("plots/3FT6Y578R01_012_S11P_20251111092011_M5358ACSH101811_RBGEUFRF26/dpll_52094/txpa_54183.png","plot")</f>
        <v>plot</v>
      </c>
    </row>
    <row r="2856" spans="1:29" hidden="1" x14ac:dyDescent="0.35">
      <c r="A2856" t="s">
        <v>48</v>
      </c>
      <c r="B2856">
        <v>52094</v>
      </c>
      <c r="C2856" t="s">
        <v>53</v>
      </c>
      <c r="D2856">
        <v>54184</v>
      </c>
      <c r="E2856" t="s">
        <v>204</v>
      </c>
      <c r="F2856">
        <v>12240</v>
      </c>
      <c r="G2856">
        <v>0.83404705653666267</v>
      </c>
      <c r="H2856">
        <v>0</v>
      </c>
      <c r="I2856">
        <v>0</v>
      </c>
      <c r="J2856">
        <v>0.72678916586673614</v>
      </c>
      <c r="K2856">
        <v>0</v>
      </c>
      <c r="L2856">
        <v>0</v>
      </c>
      <c r="M2856">
        <v>0.53414103608373498</v>
      </c>
      <c r="N2856">
        <v>0</v>
      </c>
      <c r="O2856">
        <v>0</v>
      </c>
      <c r="P2856">
        <v>0.695634492517471</v>
      </c>
      <c r="Q2856">
        <v>1.345457167642456</v>
      </c>
      <c r="R2856">
        <v>-4.2216665956695048</v>
      </c>
      <c r="S2856">
        <v>0.19292383131340951</v>
      </c>
      <c r="T2856">
        <v>0.14910769151254</v>
      </c>
      <c r="U2856">
        <v>4.331890278839869</v>
      </c>
      <c r="V2856">
        <v>0.21678367779622049</v>
      </c>
      <c r="W2856">
        <v>1.6067062294362751</v>
      </c>
      <c r="X2856">
        <v>0.34970826985467163</v>
      </c>
      <c r="Z2856" t="s">
        <v>392</v>
      </c>
      <c r="AA2856">
        <v>9400</v>
      </c>
      <c r="AB2856" t="s">
        <v>3247</v>
      </c>
      <c r="AC2856" t="str">
        <f>HYPERLINK("plots/3FT6Y578R01_012_S11P_20251111092011_M5358ACSH101811_RBGEUFRF26/dpll_52094/txpa_54184.png","plot")</f>
        <v>plot</v>
      </c>
    </row>
    <row r="2857" spans="1:29" hidden="1" x14ac:dyDescent="0.35">
      <c r="A2857" t="s">
        <v>48</v>
      </c>
      <c r="B2857">
        <v>52094</v>
      </c>
      <c r="C2857" t="s">
        <v>53</v>
      </c>
      <c r="D2857">
        <v>54185</v>
      </c>
      <c r="E2857" t="s">
        <v>205</v>
      </c>
      <c r="F2857">
        <v>12242</v>
      </c>
      <c r="G2857">
        <v>0.83225539754247724</v>
      </c>
      <c r="H2857">
        <v>0</v>
      </c>
      <c r="I2857">
        <v>0</v>
      </c>
      <c r="J2857">
        <v>0.7212062622993306</v>
      </c>
      <c r="K2857">
        <v>0</v>
      </c>
      <c r="L2857">
        <v>0</v>
      </c>
      <c r="M2857">
        <v>0.52954724600756731</v>
      </c>
      <c r="N2857">
        <v>0</v>
      </c>
      <c r="O2857">
        <v>0</v>
      </c>
      <c r="P2857">
        <v>0.69264904673858685</v>
      </c>
      <c r="Q2857">
        <v>1.339773681990214</v>
      </c>
      <c r="R2857">
        <v>-4.1920462907282001</v>
      </c>
      <c r="S2857">
        <v>0.1934929062347937</v>
      </c>
      <c r="T2857">
        <v>0.14923393604349411</v>
      </c>
      <c r="U2857">
        <v>4.331949619669988</v>
      </c>
      <c r="V2857">
        <v>0.21681567757630049</v>
      </c>
      <c r="W2857">
        <v>1.6117858014131681</v>
      </c>
      <c r="X2857">
        <v>0.34903220756195458</v>
      </c>
      <c r="Z2857" t="s">
        <v>392</v>
      </c>
      <c r="AA2857">
        <v>9400</v>
      </c>
      <c r="AB2857" t="s">
        <v>3248</v>
      </c>
      <c r="AC2857" t="str">
        <f>HYPERLINK("plots/3FT6Y578R01_012_S11P_20251111092011_M5358ACSH101811_RBGEUFRF26/dpll_52094/txpa_54185.png","plot")</f>
        <v>plot</v>
      </c>
    </row>
    <row r="2858" spans="1:29" hidden="1" x14ac:dyDescent="0.35">
      <c r="A2858" t="s">
        <v>48</v>
      </c>
      <c r="B2858">
        <v>52094</v>
      </c>
      <c r="C2858" t="s">
        <v>53</v>
      </c>
      <c r="D2858">
        <v>54186</v>
      </c>
      <c r="E2858" t="s">
        <v>206</v>
      </c>
      <c r="F2858">
        <v>12238</v>
      </c>
      <c r="G2858">
        <v>0.82713936402732646</v>
      </c>
      <c r="H2858">
        <v>0</v>
      </c>
      <c r="I2858">
        <v>0</v>
      </c>
      <c r="J2858">
        <v>0.71334101940183559</v>
      </c>
      <c r="K2858">
        <v>0</v>
      </c>
      <c r="L2858">
        <v>0</v>
      </c>
      <c r="M2858">
        <v>0.52286964408807313</v>
      </c>
      <c r="N2858">
        <v>0</v>
      </c>
      <c r="O2858">
        <v>0</v>
      </c>
      <c r="P2858">
        <v>0.68415952752353004</v>
      </c>
      <c r="Q2858">
        <v>1.323627242445431</v>
      </c>
      <c r="R2858">
        <v>-4.1411146068437912</v>
      </c>
      <c r="S2858">
        <v>0.19497755343512191</v>
      </c>
      <c r="T2858">
        <v>0.14966372665957359</v>
      </c>
      <c r="U2858">
        <v>4.3320199833306097</v>
      </c>
      <c r="V2858">
        <v>0.2168110752239184</v>
      </c>
      <c r="W2858">
        <v>1.5928650579106061</v>
      </c>
      <c r="X2858">
        <v>0.34695126131221488</v>
      </c>
      <c r="Z2858" t="s">
        <v>392</v>
      </c>
      <c r="AA2858">
        <v>9400</v>
      </c>
      <c r="AB2858" t="s">
        <v>3249</v>
      </c>
      <c r="AC2858" t="str">
        <f>HYPERLINK("plots/3FT6Y578R01_012_S11P_20251111092011_M5358ACSH101811_RBGEUFRF26/dpll_52094/txpa_54186.png","plot")</f>
        <v>plot</v>
      </c>
    </row>
    <row r="2859" spans="1:29" hidden="1" x14ac:dyDescent="0.35">
      <c r="A2859" t="s">
        <v>48</v>
      </c>
      <c r="B2859">
        <v>52094</v>
      </c>
      <c r="C2859" t="s">
        <v>53</v>
      </c>
      <c r="D2859">
        <v>54187</v>
      </c>
      <c r="E2859" t="s">
        <v>207</v>
      </c>
      <c r="F2859">
        <v>12242</v>
      </c>
      <c r="G2859">
        <v>0.81817552171886476</v>
      </c>
      <c r="H2859">
        <v>0</v>
      </c>
      <c r="I2859">
        <v>0</v>
      </c>
      <c r="J2859">
        <v>0.71840909069497227</v>
      </c>
      <c r="K2859">
        <v>0</v>
      </c>
      <c r="L2859">
        <v>0</v>
      </c>
      <c r="M2859">
        <v>0.52482257076665995</v>
      </c>
      <c r="N2859">
        <v>0</v>
      </c>
      <c r="O2859">
        <v>0</v>
      </c>
      <c r="P2859">
        <v>0.66941118433993652</v>
      </c>
      <c r="Q2859">
        <v>1.4285883974719911</v>
      </c>
      <c r="R2859">
        <v>-2.7538367537407442</v>
      </c>
      <c r="S2859">
        <v>0.2176700978765965</v>
      </c>
      <c r="T2859">
        <v>0.16280521983940049</v>
      </c>
      <c r="U2859">
        <v>4.3319436473615429</v>
      </c>
      <c r="V2859">
        <v>0.21682621882247419</v>
      </c>
      <c r="W2859">
        <v>3.4347276793824539</v>
      </c>
      <c r="X2859">
        <v>0.37859287188983559</v>
      </c>
      <c r="Z2859" t="s">
        <v>392</v>
      </c>
      <c r="AA2859">
        <v>9400</v>
      </c>
      <c r="AB2859" t="s">
        <v>3250</v>
      </c>
      <c r="AC2859" t="str">
        <f>HYPERLINK("plots/3FT6Y578R01_012_S11P_20251111092011_M5358ACSH101811_RBGEUFRF26/dpll_52094/txpa_54187.png","plot")</f>
        <v>plot</v>
      </c>
    </row>
    <row r="2860" spans="1:29" hidden="1" x14ac:dyDescent="0.35">
      <c r="A2860" t="s">
        <v>48</v>
      </c>
      <c r="B2860">
        <v>52094</v>
      </c>
      <c r="C2860" t="s">
        <v>53</v>
      </c>
      <c r="D2860">
        <v>54188</v>
      </c>
      <c r="E2860" t="s">
        <v>208</v>
      </c>
      <c r="F2860">
        <v>12242</v>
      </c>
      <c r="G2860">
        <v>0.83194312855132713</v>
      </c>
      <c r="H2860">
        <v>0</v>
      </c>
      <c r="I2860">
        <v>0</v>
      </c>
      <c r="J2860">
        <v>0.72881398849747181</v>
      </c>
      <c r="K2860">
        <v>0</v>
      </c>
      <c r="L2860">
        <v>0</v>
      </c>
      <c r="M2860">
        <v>0.53615132712169322</v>
      </c>
      <c r="N2860">
        <v>0</v>
      </c>
      <c r="O2860">
        <v>0</v>
      </c>
      <c r="P2860">
        <v>0.69212936914376999</v>
      </c>
      <c r="Q2860">
        <v>1.45286714184622</v>
      </c>
      <c r="R2860">
        <v>-2.8250263654685668</v>
      </c>
      <c r="S2860">
        <v>0.21010842174503619</v>
      </c>
      <c r="T2860">
        <v>0.15946209708852149</v>
      </c>
      <c r="U2860">
        <v>4.3319007004574406</v>
      </c>
      <c r="V2860">
        <v>0.21684269964686589</v>
      </c>
      <c r="W2860">
        <v>3.4686498239666719</v>
      </c>
      <c r="X2860">
        <v>0.37868409805217063</v>
      </c>
      <c r="Z2860" t="s">
        <v>392</v>
      </c>
      <c r="AA2860">
        <v>9400</v>
      </c>
      <c r="AB2860" t="s">
        <v>3251</v>
      </c>
      <c r="AC2860" t="str">
        <f>HYPERLINK("plots/3FT6Y578R01_012_S11P_20251111092011_M5358ACSH101811_RBGEUFRF26/dpll_52094/txpa_54188.png","plot")</f>
        <v>plot</v>
      </c>
    </row>
    <row r="2861" spans="1:29" hidden="1" x14ac:dyDescent="0.35">
      <c r="A2861" t="s">
        <v>48</v>
      </c>
      <c r="B2861">
        <v>52094</v>
      </c>
      <c r="C2861" t="s">
        <v>53</v>
      </c>
      <c r="D2861">
        <v>54189</v>
      </c>
      <c r="E2861" t="s">
        <v>209</v>
      </c>
      <c r="F2861">
        <v>12243</v>
      </c>
      <c r="G2861">
        <v>0.83006418773284985</v>
      </c>
      <c r="H2861">
        <v>0</v>
      </c>
      <c r="I2861">
        <v>0</v>
      </c>
      <c r="J2861">
        <v>0.72534507003258608</v>
      </c>
      <c r="K2861">
        <v>0</v>
      </c>
      <c r="L2861">
        <v>0</v>
      </c>
      <c r="M2861">
        <v>0.53258323591122092</v>
      </c>
      <c r="N2861">
        <v>0</v>
      </c>
      <c r="O2861">
        <v>0</v>
      </c>
      <c r="P2861">
        <v>0.68900655575659575</v>
      </c>
      <c r="Q2861">
        <v>1.4357097780592121</v>
      </c>
      <c r="R2861">
        <v>-2.7465916109146771</v>
      </c>
      <c r="S2861">
        <v>0.20914722604248279</v>
      </c>
      <c r="T2861">
        <v>0.15813672655837391</v>
      </c>
      <c r="U2861">
        <v>4.3319153779302466</v>
      </c>
      <c r="V2861">
        <v>0.21683992469153379</v>
      </c>
      <c r="W2861">
        <v>3.472781654904844</v>
      </c>
      <c r="X2861">
        <v>0.37505436899230982</v>
      </c>
      <c r="Z2861" t="s">
        <v>392</v>
      </c>
      <c r="AA2861">
        <v>9400</v>
      </c>
      <c r="AB2861" t="s">
        <v>3252</v>
      </c>
      <c r="AC2861" t="str">
        <f>HYPERLINK("plots/3FT6Y578R01_012_S11P_20251111092011_M5358ACSH101811_RBGEUFRF26/dpll_52094/txpa_54189.png","plot")</f>
        <v>plot</v>
      </c>
    </row>
    <row r="2862" spans="1:29" hidden="1" x14ac:dyDescent="0.35">
      <c r="A2862" t="s">
        <v>48</v>
      </c>
      <c r="B2862">
        <v>52094</v>
      </c>
      <c r="C2862" t="s">
        <v>53</v>
      </c>
      <c r="D2862">
        <v>54190</v>
      </c>
      <c r="E2862" t="s">
        <v>210</v>
      </c>
      <c r="F2862">
        <v>12242</v>
      </c>
      <c r="G2862">
        <v>0.84033950620387721</v>
      </c>
      <c r="H2862">
        <v>0</v>
      </c>
      <c r="I2862">
        <v>0</v>
      </c>
      <c r="J2862">
        <v>0.73262183154611837</v>
      </c>
      <c r="K2862">
        <v>0</v>
      </c>
      <c r="L2862">
        <v>0</v>
      </c>
      <c r="M2862">
        <v>0.5397400279927439</v>
      </c>
      <c r="N2862">
        <v>0</v>
      </c>
      <c r="O2862">
        <v>0</v>
      </c>
      <c r="P2862">
        <v>0.70617048568697616</v>
      </c>
      <c r="Q2862">
        <v>1.456772080969079</v>
      </c>
      <c r="R2862">
        <v>-2.813963625705552</v>
      </c>
      <c r="S2862">
        <v>0.20376049852625691</v>
      </c>
      <c r="T2862">
        <v>0.15596226169858551</v>
      </c>
      <c r="U2862">
        <v>4.3319235655121711</v>
      </c>
      <c r="V2862">
        <v>0.21684688906752619</v>
      </c>
      <c r="W2862">
        <v>3.4966616814246039</v>
      </c>
      <c r="X2862">
        <v>0.37591531935180789</v>
      </c>
      <c r="Z2862" t="s">
        <v>392</v>
      </c>
      <c r="AA2862">
        <v>9400</v>
      </c>
      <c r="AB2862" t="s">
        <v>3253</v>
      </c>
      <c r="AC2862" t="str">
        <f>HYPERLINK("plots/3FT6Y578R01_012_S11P_20251111092011_M5358ACSH101811_RBGEUFRF26/dpll_52094/txpa_54190.png","plot")</f>
        <v>plot</v>
      </c>
    </row>
    <row r="2863" spans="1:29" hidden="1" x14ac:dyDescent="0.35">
      <c r="A2863" t="s">
        <v>48</v>
      </c>
      <c r="B2863">
        <v>52094</v>
      </c>
      <c r="C2863" t="s">
        <v>53</v>
      </c>
      <c r="D2863">
        <v>54191</v>
      </c>
      <c r="E2863" t="s">
        <v>211</v>
      </c>
      <c r="F2863">
        <v>12240</v>
      </c>
      <c r="G2863">
        <v>0.84038128299617765</v>
      </c>
      <c r="H2863">
        <v>0</v>
      </c>
      <c r="I2863">
        <v>0</v>
      </c>
      <c r="J2863">
        <v>0.72964195288205325</v>
      </c>
      <c r="K2863">
        <v>0</v>
      </c>
      <c r="L2863">
        <v>0</v>
      </c>
      <c r="M2863">
        <v>0.53629163873392449</v>
      </c>
      <c r="N2863">
        <v>0</v>
      </c>
      <c r="O2863">
        <v>0</v>
      </c>
      <c r="P2863">
        <v>0.70624070081030166</v>
      </c>
      <c r="Q2863">
        <v>1.4619109162540691</v>
      </c>
      <c r="R2863">
        <v>-2.861479524275635</v>
      </c>
      <c r="S2863">
        <v>0.20440879806331719</v>
      </c>
      <c r="T2863">
        <v>0.15728407514166479</v>
      </c>
      <c r="U2863">
        <v>4.3319400696078434</v>
      </c>
      <c r="V2863">
        <v>0.21680883535870621</v>
      </c>
      <c r="W2863">
        <v>3.4714309520424842</v>
      </c>
      <c r="X2863">
        <v>0.37715642835499152</v>
      </c>
      <c r="Z2863" t="s">
        <v>392</v>
      </c>
      <c r="AA2863">
        <v>9400</v>
      </c>
      <c r="AB2863" t="s">
        <v>3254</v>
      </c>
      <c r="AC2863" t="str">
        <f>HYPERLINK("plots/3FT6Y578R01_012_S11P_20251111092011_M5358ACSH101811_RBGEUFRF26/dpll_52094/txpa_54191.png","plot")</f>
        <v>plot</v>
      </c>
    </row>
    <row r="2864" spans="1:29" hidden="1" x14ac:dyDescent="0.35">
      <c r="A2864" t="s">
        <v>48</v>
      </c>
      <c r="B2864">
        <v>52094</v>
      </c>
      <c r="C2864" t="s">
        <v>53</v>
      </c>
      <c r="D2864">
        <v>54192</v>
      </c>
      <c r="E2864" t="s">
        <v>212</v>
      </c>
      <c r="F2864">
        <v>12240</v>
      </c>
      <c r="G2864">
        <v>0.84300653015127791</v>
      </c>
      <c r="H2864">
        <v>0</v>
      </c>
      <c r="I2864">
        <v>0</v>
      </c>
      <c r="J2864">
        <v>0.73549787082447371</v>
      </c>
      <c r="K2864">
        <v>0</v>
      </c>
      <c r="L2864">
        <v>0</v>
      </c>
      <c r="M2864">
        <v>0.54261222391438069</v>
      </c>
      <c r="N2864">
        <v>0</v>
      </c>
      <c r="O2864">
        <v>0</v>
      </c>
      <c r="P2864">
        <v>0.7106600098776974</v>
      </c>
      <c r="Q2864">
        <v>1.4692547555570501</v>
      </c>
      <c r="R2864">
        <v>-2.8909307023773541</v>
      </c>
      <c r="S2864">
        <v>0.20322598438259509</v>
      </c>
      <c r="T2864">
        <v>0.1566288638029929</v>
      </c>
      <c r="U2864">
        <v>4.331890278839869</v>
      </c>
      <c r="V2864">
        <v>0.21678367779622049</v>
      </c>
      <c r="W2864">
        <v>3.4737196903594771</v>
      </c>
      <c r="X2864">
        <v>0.37782678797528108</v>
      </c>
      <c r="Z2864" t="s">
        <v>392</v>
      </c>
      <c r="AA2864">
        <v>9400</v>
      </c>
      <c r="AB2864" t="s">
        <v>3255</v>
      </c>
      <c r="AC2864" t="str">
        <f>HYPERLINK("plots/3FT6Y578R01_012_S11P_20251111092011_M5358ACSH101811_RBGEUFRF26/dpll_52094/txpa_54192.png","plot")</f>
        <v>plot</v>
      </c>
    </row>
    <row r="2865" spans="1:29" hidden="1" x14ac:dyDescent="0.35">
      <c r="A2865" t="s">
        <v>48</v>
      </c>
      <c r="B2865">
        <v>52094</v>
      </c>
      <c r="C2865" t="s">
        <v>53</v>
      </c>
      <c r="D2865">
        <v>54193</v>
      </c>
      <c r="E2865" t="s">
        <v>213</v>
      </c>
      <c r="F2865">
        <v>12242</v>
      </c>
      <c r="G2865">
        <v>0.84149869465705807</v>
      </c>
      <c r="H2865">
        <v>0</v>
      </c>
      <c r="I2865">
        <v>0</v>
      </c>
      <c r="J2865">
        <v>0.73049783710454586</v>
      </c>
      <c r="K2865">
        <v>0</v>
      </c>
      <c r="L2865">
        <v>0</v>
      </c>
      <c r="M2865">
        <v>0.53837725623368804</v>
      </c>
      <c r="N2865">
        <v>0</v>
      </c>
      <c r="O2865">
        <v>0</v>
      </c>
      <c r="P2865">
        <v>0.70812005310953263</v>
      </c>
      <c r="Q2865">
        <v>1.4647204184338809</v>
      </c>
      <c r="R2865">
        <v>-2.8666028516666482</v>
      </c>
      <c r="S2865">
        <v>0.20388081541842831</v>
      </c>
      <c r="T2865">
        <v>0.15677080049506911</v>
      </c>
      <c r="U2865">
        <v>4.331949619669988</v>
      </c>
      <c r="V2865">
        <v>0.21681567757630049</v>
      </c>
      <c r="W2865">
        <v>3.4784922078908669</v>
      </c>
      <c r="X2865">
        <v>0.37739137564795328</v>
      </c>
      <c r="Z2865" t="s">
        <v>392</v>
      </c>
      <c r="AA2865">
        <v>9400</v>
      </c>
      <c r="AB2865" t="s">
        <v>3256</v>
      </c>
      <c r="AC2865" t="str">
        <f>HYPERLINK("plots/3FT6Y578R01_012_S11P_20251111092011_M5358ACSH101811_RBGEUFRF26/dpll_52094/txpa_54193.png","plot")</f>
        <v>plot</v>
      </c>
    </row>
    <row r="2866" spans="1:29" hidden="1" x14ac:dyDescent="0.35">
      <c r="A2866" t="s">
        <v>48</v>
      </c>
      <c r="B2866">
        <v>52094</v>
      </c>
      <c r="C2866" t="s">
        <v>53</v>
      </c>
      <c r="D2866">
        <v>54194</v>
      </c>
      <c r="E2866" t="s">
        <v>214</v>
      </c>
      <c r="F2866">
        <v>12238</v>
      </c>
      <c r="G2866">
        <v>0.83664466280593763</v>
      </c>
      <c r="H2866">
        <v>0</v>
      </c>
      <c r="I2866">
        <v>0</v>
      </c>
      <c r="J2866">
        <v>0.72298547187274209</v>
      </c>
      <c r="K2866">
        <v>0</v>
      </c>
      <c r="L2866">
        <v>0</v>
      </c>
      <c r="M2866">
        <v>0.53179550881508153</v>
      </c>
      <c r="N2866">
        <v>0</v>
      </c>
      <c r="O2866">
        <v>0</v>
      </c>
      <c r="P2866">
        <v>0.69997429180166104</v>
      </c>
      <c r="Q2866">
        <v>1.4467852316035701</v>
      </c>
      <c r="R2866">
        <v>-2.8064807334561239</v>
      </c>
      <c r="S2866">
        <v>0.20535532819117991</v>
      </c>
      <c r="T2866">
        <v>0.15730378516288199</v>
      </c>
      <c r="U2866">
        <v>4.3320199833306097</v>
      </c>
      <c r="V2866">
        <v>0.2168110752239184</v>
      </c>
      <c r="W2866">
        <v>3.461021801438144</v>
      </c>
      <c r="X2866">
        <v>0.37492507348345389</v>
      </c>
      <c r="Z2866" t="s">
        <v>392</v>
      </c>
      <c r="AA2866">
        <v>9400</v>
      </c>
      <c r="AB2866" t="s">
        <v>3257</v>
      </c>
      <c r="AC2866" t="str">
        <f>HYPERLINK("plots/3FT6Y578R01_012_S11P_20251111092011_M5358ACSH101811_RBGEUFRF26/dpll_52094/txpa_54194.png","plot")</f>
        <v>plot</v>
      </c>
    </row>
    <row r="2867" spans="1:29" hidden="1" x14ac:dyDescent="0.35">
      <c r="A2867" t="s">
        <v>48</v>
      </c>
      <c r="B2867">
        <v>52094</v>
      </c>
      <c r="C2867" t="s">
        <v>53</v>
      </c>
      <c r="D2867">
        <v>54195</v>
      </c>
      <c r="E2867" t="s">
        <v>215</v>
      </c>
      <c r="F2867">
        <v>12241</v>
      </c>
      <c r="G2867">
        <v>0.82935276416138026</v>
      </c>
      <c r="H2867">
        <v>0</v>
      </c>
      <c r="I2867">
        <v>0</v>
      </c>
      <c r="J2867">
        <v>0.72735012135477395</v>
      </c>
      <c r="K2867">
        <v>0</v>
      </c>
      <c r="L2867">
        <v>0</v>
      </c>
      <c r="M2867">
        <v>0.53376484572708549</v>
      </c>
      <c r="N2867">
        <v>0</v>
      </c>
      <c r="O2867">
        <v>0</v>
      </c>
      <c r="P2867">
        <v>0.68782600742212208</v>
      </c>
      <c r="Q2867">
        <v>1.6134570059402571</v>
      </c>
      <c r="R2867">
        <v>-1.3216354216574371</v>
      </c>
      <c r="S2867">
        <v>0.2356652436688785</v>
      </c>
      <c r="T2867">
        <v>0.17592133337015661</v>
      </c>
      <c r="U2867">
        <v>4.331967701903439</v>
      </c>
      <c r="V2867">
        <v>0.21681874017982869</v>
      </c>
      <c r="W2867">
        <v>5.6678082164855823</v>
      </c>
      <c r="X2867">
        <v>0.42180810202763569</v>
      </c>
      <c r="Z2867" t="s">
        <v>392</v>
      </c>
      <c r="AA2867">
        <v>9400</v>
      </c>
      <c r="AB2867" t="s">
        <v>3258</v>
      </c>
      <c r="AC2867" t="str">
        <f>HYPERLINK("plots/3FT6Y578R01_012_S11P_20251111092011_M5358ACSH101811_RBGEUFRF26/dpll_52094/txpa_54195.png","plot")</f>
        <v>plot</v>
      </c>
    </row>
    <row r="2868" spans="1:29" hidden="1" x14ac:dyDescent="0.35">
      <c r="A2868" t="s">
        <v>48</v>
      </c>
      <c r="B2868">
        <v>52094</v>
      </c>
      <c r="C2868" t="s">
        <v>53</v>
      </c>
      <c r="D2868">
        <v>54196</v>
      </c>
      <c r="E2868" t="s">
        <v>216</v>
      </c>
      <c r="F2868">
        <v>12239</v>
      </c>
      <c r="G2868">
        <v>0.84169473472570056</v>
      </c>
      <c r="H2868">
        <v>0</v>
      </c>
      <c r="I2868">
        <v>0</v>
      </c>
      <c r="J2868">
        <v>0.73611963058732144</v>
      </c>
      <c r="K2868">
        <v>0</v>
      </c>
      <c r="L2868">
        <v>0</v>
      </c>
      <c r="M2868">
        <v>0.54361953811461161</v>
      </c>
      <c r="N2868">
        <v>0</v>
      </c>
      <c r="O2868">
        <v>0</v>
      </c>
      <c r="P2868">
        <v>0.70845002646496746</v>
      </c>
      <c r="Q2868">
        <v>1.635610637399578</v>
      </c>
      <c r="R2868">
        <v>-1.38262317923817</v>
      </c>
      <c r="S2868">
        <v>0.22747396583910209</v>
      </c>
      <c r="T2868">
        <v>0.17251650622036069</v>
      </c>
      <c r="U2868">
        <v>4.3319834973445541</v>
      </c>
      <c r="V2868">
        <v>0.216804165996315</v>
      </c>
      <c r="W2868">
        <v>5.7028151100580118</v>
      </c>
      <c r="X2868">
        <v>0.42130143567035572</v>
      </c>
      <c r="Z2868" t="s">
        <v>392</v>
      </c>
      <c r="AA2868">
        <v>9400</v>
      </c>
      <c r="AB2868" t="s">
        <v>3259</v>
      </c>
      <c r="AC2868" t="str">
        <f>HYPERLINK("plots/3FT6Y578R01_012_S11P_20251111092011_M5358ACSH101811_RBGEUFRF26/dpll_52094/txpa_54196.png","plot")</f>
        <v>plot</v>
      </c>
    </row>
    <row r="2869" spans="1:29" hidden="1" x14ac:dyDescent="0.35">
      <c r="A2869" t="s">
        <v>48</v>
      </c>
      <c r="B2869">
        <v>52094</v>
      </c>
      <c r="C2869" t="s">
        <v>53</v>
      </c>
      <c r="D2869">
        <v>54197</v>
      </c>
      <c r="E2869" t="s">
        <v>217</v>
      </c>
      <c r="F2869">
        <v>12241</v>
      </c>
      <c r="G2869">
        <v>0.84015928578225707</v>
      </c>
      <c r="H2869">
        <v>0</v>
      </c>
      <c r="I2869">
        <v>0</v>
      </c>
      <c r="J2869">
        <v>0.73292583305783521</v>
      </c>
      <c r="K2869">
        <v>0</v>
      </c>
      <c r="L2869">
        <v>0</v>
      </c>
      <c r="M2869">
        <v>0.54025532595429915</v>
      </c>
      <c r="N2869">
        <v>0</v>
      </c>
      <c r="O2869">
        <v>0</v>
      </c>
      <c r="P2869">
        <v>0.70586762548615234</v>
      </c>
      <c r="Q2869">
        <v>1.619035935351536</v>
      </c>
      <c r="R2869">
        <v>-1.305621352960219</v>
      </c>
      <c r="S2869">
        <v>0.22659240428394101</v>
      </c>
      <c r="T2869">
        <v>0.17121927640479531</v>
      </c>
      <c r="U2869">
        <v>4.331967701903439</v>
      </c>
      <c r="V2869">
        <v>0.21681874017982869</v>
      </c>
      <c r="W2869">
        <v>5.7079900272036603</v>
      </c>
      <c r="X2869">
        <v>0.41782235553338709</v>
      </c>
      <c r="Z2869" t="s">
        <v>392</v>
      </c>
      <c r="AA2869">
        <v>9400</v>
      </c>
      <c r="AB2869" t="s">
        <v>3260</v>
      </c>
      <c r="AC2869" t="str">
        <f>HYPERLINK("plots/3FT6Y578R01_012_S11P_20251111092011_M5358ACSH101811_RBGEUFRF26/dpll_52094/txpa_54197.png","plot")</f>
        <v>plot</v>
      </c>
    </row>
    <row r="2870" spans="1:29" hidden="1" x14ac:dyDescent="0.35">
      <c r="A2870" t="s">
        <v>48</v>
      </c>
      <c r="B2870">
        <v>52094</v>
      </c>
      <c r="C2870" t="s">
        <v>53</v>
      </c>
      <c r="D2870">
        <v>54198</v>
      </c>
      <c r="E2870" t="s">
        <v>218</v>
      </c>
      <c r="F2870">
        <v>12242</v>
      </c>
      <c r="G2870">
        <v>0.84898126020576092</v>
      </c>
      <c r="H2870">
        <v>0</v>
      </c>
      <c r="I2870">
        <v>0</v>
      </c>
      <c r="J2870">
        <v>0.73985812362382841</v>
      </c>
      <c r="K2870">
        <v>0</v>
      </c>
      <c r="L2870">
        <v>0</v>
      </c>
      <c r="M2870">
        <v>0.54723767957365865</v>
      </c>
      <c r="N2870">
        <v>0</v>
      </c>
      <c r="O2870">
        <v>0</v>
      </c>
      <c r="P2870">
        <v>0.72076918018056191</v>
      </c>
      <c r="Q2870">
        <v>1.641835154120789</v>
      </c>
      <c r="R2870">
        <v>-1.384219401683779</v>
      </c>
      <c r="S2870">
        <v>0.22158919481709441</v>
      </c>
      <c r="T2870">
        <v>0.1691565526544721</v>
      </c>
      <c r="U2870">
        <v>4.3319235655121711</v>
      </c>
      <c r="V2870">
        <v>0.21684688906752619</v>
      </c>
      <c r="W2870">
        <v>5.728084993138375</v>
      </c>
      <c r="X2870">
        <v>0.41935771991776161</v>
      </c>
      <c r="Z2870" t="s">
        <v>392</v>
      </c>
      <c r="AA2870">
        <v>9400</v>
      </c>
      <c r="AB2870" t="s">
        <v>3261</v>
      </c>
      <c r="AC2870" t="str">
        <f>HYPERLINK("plots/3FT6Y578R01_012_S11P_20251111092011_M5358ACSH101811_RBGEUFRF26/dpll_52094/txpa_54198.png","plot")</f>
        <v>plot</v>
      </c>
    </row>
    <row r="2871" spans="1:29" hidden="1" x14ac:dyDescent="0.35">
      <c r="A2871" t="s">
        <v>48</v>
      </c>
      <c r="B2871">
        <v>52094</v>
      </c>
      <c r="C2871" t="s">
        <v>53</v>
      </c>
      <c r="D2871">
        <v>54199</v>
      </c>
      <c r="E2871" t="s">
        <v>219</v>
      </c>
      <c r="F2871">
        <v>12240</v>
      </c>
      <c r="G2871">
        <v>0.84941159383072484</v>
      </c>
      <c r="H2871">
        <v>0</v>
      </c>
      <c r="I2871">
        <v>0</v>
      </c>
      <c r="J2871">
        <v>0.73753944926465254</v>
      </c>
      <c r="K2871">
        <v>0</v>
      </c>
      <c r="L2871">
        <v>0</v>
      </c>
      <c r="M2871">
        <v>0.54450795988150436</v>
      </c>
      <c r="N2871">
        <v>0</v>
      </c>
      <c r="O2871">
        <v>0</v>
      </c>
      <c r="P2871">
        <v>0.72150005573405229</v>
      </c>
      <c r="Q2871">
        <v>1.6473372492566869</v>
      </c>
      <c r="R2871">
        <v>-1.4346431036537819</v>
      </c>
      <c r="S2871">
        <v>0.22188918016907849</v>
      </c>
      <c r="T2871">
        <v>0.17027444567951941</v>
      </c>
      <c r="U2871">
        <v>4.3319400696078434</v>
      </c>
      <c r="V2871">
        <v>0.21680883535870621</v>
      </c>
      <c r="W2871">
        <v>5.7015231345588244</v>
      </c>
      <c r="X2871">
        <v>0.42047609550939691</v>
      </c>
      <c r="Z2871" t="s">
        <v>392</v>
      </c>
      <c r="AA2871">
        <v>9400</v>
      </c>
      <c r="AB2871" t="s">
        <v>3262</v>
      </c>
      <c r="AC2871" t="str">
        <f>HYPERLINK("plots/3FT6Y578R01_012_S11P_20251111092011_M5358ACSH101811_RBGEUFRF26/dpll_52094/txpa_54199.png","plot")</f>
        <v>plot</v>
      </c>
    </row>
    <row r="2872" spans="1:29" hidden="1" x14ac:dyDescent="0.35">
      <c r="A2872" t="s">
        <v>48</v>
      </c>
      <c r="B2872">
        <v>52094</v>
      </c>
      <c r="C2872" t="s">
        <v>53</v>
      </c>
      <c r="D2872">
        <v>54200</v>
      </c>
      <c r="E2872" t="s">
        <v>220</v>
      </c>
      <c r="F2872">
        <v>12240</v>
      </c>
      <c r="G2872">
        <v>0.85124331200847914</v>
      </c>
      <c r="H2872">
        <v>0</v>
      </c>
      <c r="I2872">
        <v>0</v>
      </c>
      <c r="J2872">
        <v>0.7417387446709216</v>
      </c>
      <c r="K2872">
        <v>0</v>
      </c>
      <c r="L2872">
        <v>0</v>
      </c>
      <c r="M2872">
        <v>0.54929183202259135</v>
      </c>
      <c r="N2872">
        <v>0</v>
      </c>
      <c r="O2872">
        <v>0</v>
      </c>
      <c r="P2872">
        <v>0.72461517623916494</v>
      </c>
      <c r="Q2872">
        <v>1.6536164017008641</v>
      </c>
      <c r="R2872">
        <v>-1.456409943154217</v>
      </c>
      <c r="S2872">
        <v>0.2209835257506034</v>
      </c>
      <c r="T2872">
        <v>0.1697834047158934</v>
      </c>
      <c r="U2872">
        <v>4.331890278839869</v>
      </c>
      <c r="V2872">
        <v>0.21678367779622049</v>
      </c>
      <c r="W2872">
        <v>5.7068748723039224</v>
      </c>
      <c r="X2872">
        <v>0.42112171710230722</v>
      </c>
      <c r="Z2872" t="s">
        <v>392</v>
      </c>
      <c r="AA2872">
        <v>9400</v>
      </c>
      <c r="AB2872" t="s">
        <v>3263</v>
      </c>
      <c r="AC2872" t="str">
        <f>HYPERLINK("plots/3FT6Y578R01_012_S11P_20251111092011_M5358ACSH101811_RBGEUFRF26/dpll_52094/txpa_54200.png","plot")</f>
        <v>plot</v>
      </c>
    </row>
    <row r="2873" spans="1:29" hidden="1" x14ac:dyDescent="0.35">
      <c r="A2873" t="s">
        <v>48</v>
      </c>
      <c r="B2873">
        <v>52094</v>
      </c>
      <c r="C2873" t="s">
        <v>53</v>
      </c>
      <c r="D2873">
        <v>54201</v>
      </c>
      <c r="E2873" t="s">
        <v>221</v>
      </c>
      <c r="F2873">
        <v>12241</v>
      </c>
      <c r="G2873">
        <v>0.8503267890039311</v>
      </c>
      <c r="H2873">
        <v>0</v>
      </c>
      <c r="I2873">
        <v>0</v>
      </c>
      <c r="J2873">
        <v>0.73721990333465715</v>
      </c>
      <c r="K2873">
        <v>0</v>
      </c>
      <c r="L2873">
        <v>0</v>
      </c>
      <c r="M2873">
        <v>0.54545597983015015</v>
      </c>
      <c r="N2873">
        <v>0</v>
      </c>
      <c r="O2873">
        <v>0</v>
      </c>
      <c r="P2873">
        <v>0.72305564809773593</v>
      </c>
      <c r="Q2873">
        <v>1.6498303091878539</v>
      </c>
      <c r="R2873">
        <v>-1.4351257369349859</v>
      </c>
      <c r="S2873">
        <v>0.22137486912734039</v>
      </c>
      <c r="T2873">
        <v>0.16976904579952559</v>
      </c>
      <c r="U2873">
        <v>4.3319642092966264</v>
      </c>
      <c r="V2873">
        <v>0.216818524669256</v>
      </c>
      <c r="W2873">
        <v>5.7118801138795847</v>
      </c>
      <c r="X2873">
        <v>0.42067800076222139</v>
      </c>
      <c r="Z2873" t="s">
        <v>392</v>
      </c>
      <c r="AA2873">
        <v>9400</v>
      </c>
      <c r="AB2873" t="s">
        <v>3264</v>
      </c>
      <c r="AC2873" t="str">
        <f>HYPERLINK("plots/3FT6Y578R01_012_S11P_20251111092011_M5358ACSH101811_RBGEUFRF26/dpll_52094/txpa_54201.png","plot")</f>
        <v>plot</v>
      </c>
    </row>
    <row r="2874" spans="1:29" hidden="1" x14ac:dyDescent="0.35">
      <c r="A2874" t="s">
        <v>48</v>
      </c>
      <c r="B2874">
        <v>52094</v>
      </c>
      <c r="C2874" t="s">
        <v>53</v>
      </c>
      <c r="D2874">
        <v>54202</v>
      </c>
      <c r="E2874" t="s">
        <v>222</v>
      </c>
      <c r="F2874">
        <v>12235</v>
      </c>
      <c r="G2874">
        <v>0.84652376467565349</v>
      </c>
      <c r="H2874">
        <v>0</v>
      </c>
      <c r="I2874">
        <v>0</v>
      </c>
      <c r="J2874">
        <v>0.73060756786568271</v>
      </c>
      <c r="K2874">
        <v>0</v>
      </c>
      <c r="L2874">
        <v>0</v>
      </c>
      <c r="M2874">
        <v>0.5395849520981032</v>
      </c>
      <c r="N2874">
        <v>0</v>
      </c>
      <c r="O2874">
        <v>0</v>
      </c>
      <c r="P2874">
        <v>0.71660248416064121</v>
      </c>
      <c r="Q2874">
        <v>1.629853022581075</v>
      </c>
      <c r="R2874">
        <v>-1.3649876392585141</v>
      </c>
      <c r="S2874">
        <v>0.22219926073893109</v>
      </c>
      <c r="T2874">
        <v>0.1701126691337036</v>
      </c>
      <c r="U2874">
        <v>4.3320857962402943</v>
      </c>
      <c r="V2874">
        <v>0.21679689176247041</v>
      </c>
      <c r="W2874">
        <v>5.6956754898242741</v>
      </c>
      <c r="X2874">
        <v>0.41740950941953742</v>
      </c>
      <c r="Z2874" t="s">
        <v>392</v>
      </c>
      <c r="AA2874">
        <v>9400</v>
      </c>
      <c r="AB2874" t="s">
        <v>3265</v>
      </c>
      <c r="AC2874" t="str">
        <f>HYPERLINK("plots/3FT6Y578R01_012_S11P_20251111092011_M5358ACSH101811_RBGEUFRF26/dpll_52094/txpa_54202.png","plot")</f>
        <v>plot</v>
      </c>
    </row>
    <row r="2875" spans="1:29" hidden="1" x14ac:dyDescent="0.35">
      <c r="A2875" t="s">
        <v>48</v>
      </c>
      <c r="B2875">
        <v>52094</v>
      </c>
      <c r="C2875" t="s">
        <v>53</v>
      </c>
      <c r="D2875">
        <v>54203</v>
      </c>
      <c r="E2875" t="s">
        <v>223</v>
      </c>
      <c r="F2875">
        <v>12239</v>
      </c>
      <c r="G2875">
        <v>0.83272964847725595</v>
      </c>
      <c r="H2875">
        <v>0</v>
      </c>
      <c r="I2875">
        <v>0</v>
      </c>
      <c r="J2875">
        <v>0.72913988494514859</v>
      </c>
      <c r="K2875">
        <v>0</v>
      </c>
      <c r="L2875">
        <v>0</v>
      </c>
      <c r="M2875">
        <v>0.53572317045757034</v>
      </c>
      <c r="N2875">
        <v>0</v>
      </c>
      <c r="O2875">
        <v>0</v>
      </c>
      <c r="P2875">
        <v>0.69343866745305427</v>
      </c>
      <c r="Q2875">
        <v>1.698188626097934</v>
      </c>
      <c r="R2875">
        <v>-0.70490726685442162</v>
      </c>
      <c r="S2875">
        <v>0.24477229277537371</v>
      </c>
      <c r="T2875">
        <v>0.1827124836725586</v>
      </c>
      <c r="U2875">
        <v>4.3320243667783318</v>
      </c>
      <c r="V2875">
        <v>0.2167900826842728</v>
      </c>
      <c r="W2875">
        <v>6.6516872407876448</v>
      </c>
      <c r="X2875">
        <v>0.44210081067543228</v>
      </c>
      <c r="Z2875" t="s">
        <v>392</v>
      </c>
      <c r="AA2875">
        <v>9400</v>
      </c>
      <c r="AB2875" t="s">
        <v>3266</v>
      </c>
      <c r="AC2875" t="str">
        <f>HYPERLINK("plots/3FT6Y578R01_012_S11P_20251111092011_M5358ACSH101811_RBGEUFRF26/dpll_52094/txpa_54203.png","plot")</f>
        <v>plot</v>
      </c>
    </row>
    <row r="2876" spans="1:29" hidden="1" x14ac:dyDescent="0.35">
      <c r="A2876" t="s">
        <v>48</v>
      </c>
      <c r="B2876">
        <v>52094</v>
      </c>
      <c r="C2876" t="s">
        <v>53</v>
      </c>
      <c r="D2876">
        <v>54204</v>
      </c>
      <c r="E2876" t="s">
        <v>224</v>
      </c>
      <c r="F2876">
        <v>12239</v>
      </c>
      <c r="G2876">
        <v>0.84440348180282032</v>
      </c>
      <c r="H2876">
        <v>0</v>
      </c>
      <c r="I2876">
        <v>0</v>
      </c>
      <c r="J2876">
        <v>0.73795527106208225</v>
      </c>
      <c r="K2876">
        <v>0</v>
      </c>
      <c r="L2876">
        <v>0</v>
      </c>
      <c r="M2876">
        <v>0.54558357417920644</v>
      </c>
      <c r="N2876">
        <v>0</v>
      </c>
      <c r="O2876">
        <v>0</v>
      </c>
      <c r="P2876">
        <v>0.71301724008072587</v>
      </c>
      <c r="Q2876">
        <v>1.72213426994666</v>
      </c>
      <c r="R2876">
        <v>-0.77378340209466501</v>
      </c>
      <c r="S2876">
        <v>0.23686166503551101</v>
      </c>
      <c r="T2876">
        <v>0.17942594924061381</v>
      </c>
      <c r="U2876">
        <v>4.3319834973445541</v>
      </c>
      <c r="V2876">
        <v>0.216804165996315</v>
      </c>
      <c r="W2876">
        <v>6.6864738355257787</v>
      </c>
      <c r="X2876">
        <v>0.44216525887874569</v>
      </c>
      <c r="Z2876" t="s">
        <v>392</v>
      </c>
      <c r="AA2876">
        <v>9400</v>
      </c>
      <c r="AB2876" t="s">
        <v>3267</v>
      </c>
      <c r="AC2876" t="str">
        <f>HYPERLINK("plots/3FT6Y578R01_012_S11P_20251111092011_M5358ACSH101811_RBGEUFRF26/dpll_52094/txpa_54204.png","plot")</f>
        <v>plot</v>
      </c>
    </row>
    <row r="2877" spans="1:29" hidden="1" x14ac:dyDescent="0.35">
      <c r="A2877" t="s">
        <v>48</v>
      </c>
      <c r="B2877">
        <v>52094</v>
      </c>
      <c r="C2877" t="s">
        <v>53</v>
      </c>
      <c r="D2877">
        <v>54205</v>
      </c>
      <c r="E2877" t="s">
        <v>225</v>
      </c>
      <c r="F2877">
        <v>12239</v>
      </c>
      <c r="G2877">
        <v>0.84367699338070246</v>
      </c>
      <c r="H2877">
        <v>0</v>
      </c>
      <c r="I2877">
        <v>0</v>
      </c>
      <c r="J2877">
        <v>0.73470390542595887</v>
      </c>
      <c r="K2877">
        <v>0</v>
      </c>
      <c r="L2877">
        <v>0</v>
      </c>
      <c r="M2877">
        <v>0.54221160149514258</v>
      </c>
      <c r="N2877">
        <v>0</v>
      </c>
      <c r="O2877">
        <v>0</v>
      </c>
      <c r="P2877">
        <v>0.71179086915990186</v>
      </c>
      <c r="Q2877">
        <v>1.704465622880631</v>
      </c>
      <c r="R2877">
        <v>-0.69120509610820413</v>
      </c>
      <c r="S2877">
        <v>0.23515424755120351</v>
      </c>
      <c r="T2877">
        <v>0.177824346286795</v>
      </c>
      <c r="U2877">
        <v>4.3319960263910451</v>
      </c>
      <c r="V2877">
        <v>0.21682265731687389</v>
      </c>
      <c r="W2877">
        <v>6.6925332093308274</v>
      </c>
      <c r="X2877">
        <v>0.43804295785919972</v>
      </c>
      <c r="Z2877" t="s">
        <v>392</v>
      </c>
      <c r="AA2877">
        <v>9400</v>
      </c>
      <c r="AB2877" t="s">
        <v>3268</v>
      </c>
      <c r="AC2877" t="str">
        <f>HYPERLINK("plots/3FT6Y578R01_012_S11P_20251111092011_M5358ACSH101811_RBGEUFRF26/dpll_52094/txpa_54205.png","plot")</f>
        <v>plot</v>
      </c>
    </row>
    <row r="2878" spans="1:29" hidden="1" x14ac:dyDescent="0.35">
      <c r="A2878" t="s">
        <v>48</v>
      </c>
      <c r="B2878">
        <v>52094</v>
      </c>
      <c r="C2878" t="s">
        <v>53</v>
      </c>
      <c r="D2878">
        <v>54206</v>
      </c>
      <c r="E2878" t="s">
        <v>226</v>
      </c>
      <c r="F2878">
        <v>12240</v>
      </c>
      <c r="G2878">
        <v>0.85170052859759926</v>
      </c>
      <c r="H2878">
        <v>0</v>
      </c>
      <c r="I2878">
        <v>0</v>
      </c>
      <c r="J2878">
        <v>0.74119461333422343</v>
      </c>
      <c r="K2878">
        <v>0</v>
      </c>
      <c r="L2878">
        <v>0</v>
      </c>
      <c r="M2878">
        <v>0.54887145765165479</v>
      </c>
      <c r="N2878">
        <v>0</v>
      </c>
      <c r="O2878">
        <v>0</v>
      </c>
      <c r="P2878">
        <v>0.72539379041343</v>
      </c>
      <c r="Q2878">
        <v>1.7269920664071261</v>
      </c>
      <c r="R2878">
        <v>-0.7698600576477368</v>
      </c>
      <c r="S2878">
        <v>0.23038417859297311</v>
      </c>
      <c r="T2878">
        <v>0.17587581883145809</v>
      </c>
      <c r="U2878">
        <v>4.3319748101307187</v>
      </c>
      <c r="V2878">
        <v>0.2168262156955765</v>
      </c>
      <c r="W2878">
        <v>6.7114260713235296</v>
      </c>
      <c r="X2878">
        <v>0.43965823869091403</v>
      </c>
      <c r="Z2878" t="s">
        <v>392</v>
      </c>
      <c r="AA2878">
        <v>9400</v>
      </c>
      <c r="AB2878" t="s">
        <v>3269</v>
      </c>
      <c r="AC2878" t="str">
        <f>HYPERLINK("plots/3FT6Y578R01_012_S11P_20251111092011_M5358ACSH101811_RBGEUFRF26/dpll_52094/txpa_54206.png","plot")</f>
        <v>plot</v>
      </c>
    </row>
    <row r="2879" spans="1:29" hidden="1" x14ac:dyDescent="0.35">
      <c r="A2879" t="s">
        <v>48</v>
      </c>
      <c r="B2879">
        <v>52094</v>
      </c>
      <c r="C2879" t="s">
        <v>53</v>
      </c>
      <c r="D2879">
        <v>54207</v>
      </c>
      <c r="E2879" t="s">
        <v>227</v>
      </c>
      <c r="F2879">
        <v>12239</v>
      </c>
      <c r="G2879">
        <v>0.85210103184981556</v>
      </c>
      <c r="H2879">
        <v>0</v>
      </c>
      <c r="I2879">
        <v>0</v>
      </c>
      <c r="J2879">
        <v>0.73921776314878385</v>
      </c>
      <c r="K2879">
        <v>0</v>
      </c>
      <c r="L2879">
        <v>0</v>
      </c>
      <c r="M2879">
        <v>0.54646909204601413</v>
      </c>
      <c r="N2879">
        <v>0</v>
      </c>
      <c r="O2879">
        <v>0</v>
      </c>
      <c r="P2879">
        <v>0.72607616847952039</v>
      </c>
      <c r="Q2879">
        <v>1.7340028490183019</v>
      </c>
      <c r="R2879">
        <v>-0.82784608068322285</v>
      </c>
      <c r="S2879">
        <v>0.23089677727936631</v>
      </c>
      <c r="T2879">
        <v>0.17706277244464541</v>
      </c>
      <c r="U2879">
        <v>4.3319641277882184</v>
      </c>
      <c r="V2879">
        <v>0.21680135387040489</v>
      </c>
      <c r="W2879">
        <v>6.6837920587466302</v>
      </c>
      <c r="X2879">
        <v>0.44118496660683099</v>
      </c>
      <c r="Z2879" t="s">
        <v>392</v>
      </c>
      <c r="AA2879">
        <v>9400</v>
      </c>
      <c r="AB2879" t="s">
        <v>3270</v>
      </c>
      <c r="AC2879" t="str">
        <f>HYPERLINK("plots/3FT6Y578R01_012_S11P_20251111092011_M5358ACSH101811_RBGEUFRF26/dpll_52094/txpa_54207.png","plot")</f>
        <v>plot</v>
      </c>
    </row>
    <row r="2880" spans="1:29" hidden="1" x14ac:dyDescent="0.35">
      <c r="A2880" t="s">
        <v>48</v>
      </c>
      <c r="B2880">
        <v>52094</v>
      </c>
      <c r="C2880" t="s">
        <v>53</v>
      </c>
      <c r="D2880">
        <v>54208</v>
      </c>
      <c r="E2880" t="s">
        <v>228</v>
      </c>
      <c r="F2880">
        <v>12240</v>
      </c>
      <c r="G2880">
        <v>0.85349836840598337</v>
      </c>
      <c r="H2880">
        <v>0</v>
      </c>
      <c r="I2880">
        <v>0</v>
      </c>
      <c r="J2880">
        <v>0.74283131408365644</v>
      </c>
      <c r="K2880">
        <v>0</v>
      </c>
      <c r="L2880">
        <v>0</v>
      </c>
      <c r="M2880">
        <v>0.55070547676512782</v>
      </c>
      <c r="N2880">
        <v>0</v>
      </c>
      <c r="O2880">
        <v>0</v>
      </c>
      <c r="P2880">
        <v>0.72845946487167568</v>
      </c>
      <c r="Q2880">
        <v>1.740280594156012</v>
      </c>
      <c r="R2880">
        <v>-0.84860924522254599</v>
      </c>
      <c r="S2880">
        <v>0.2303258886101982</v>
      </c>
      <c r="T2880">
        <v>0.17669113850369331</v>
      </c>
      <c r="U2880">
        <v>4.331890278839869</v>
      </c>
      <c r="V2880">
        <v>0.21678367779622049</v>
      </c>
      <c r="W2880">
        <v>6.6900953430555559</v>
      </c>
      <c r="X2880">
        <v>0.44202126396928149</v>
      </c>
      <c r="Z2880" t="s">
        <v>392</v>
      </c>
      <c r="AA2880">
        <v>9400</v>
      </c>
      <c r="AB2880" t="s">
        <v>3271</v>
      </c>
      <c r="AC2880" t="str">
        <f>HYPERLINK("plots/3FT6Y578R01_012_S11P_20251111092011_M5358ACSH101811_RBGEUFRF26/dpll_52094/txpa_54208.png","plot")</f>
        <v>plot</v>
      </c>
    </row>
    <row r="2881" spans="1:29" hidden="1" x14ac:dyDescent="0.35">
      <c r="A2881" t="s">
        <v>48</v>
      </c>
      <c r="B2881">
        <v>52094</v>
      </c>
      <c r="C2881" t="s">
        <v>53</v>
      </c>
      <c r="D2881">
        <v>54209</v>
      </c>
      <c r="E2881" t="s">
        <v>229</v>
      </c>
      <c r="F2881">
        <v>12240</v>
      </c>
      <c r="G2881">
        <v>0.85290301345916719</v>
      </c>
      <c r="H2881">
        <v>0</v>
      </c>
      <c r="I2881">
        <v>0</v>
      </c>
      <c r="J2881">
        <v>0.73866039373432857</v>
      </c>
      <c r="K2881">
        <v>0</v>
      </c>
      <c r="L2881">
        <v>0</v>
      </c>
      <c r="M2881">
        <v>0.54722095196839571</v>
      </c>
      <c r="N2881">
        <v>0</v>
      </c>
      <c r="O2881">
        <v>0</v>
      </c>
      <c r="P2881">
        <v>0.72744355036772834</v>
      </c>
      <c r="Q2881">
        <v>1.736249029444151</v>
      </c>
      <c r="R2881">
        <v>-0.82618829111985992</v>
      </c>
      <c r="S2881">
        <v>0.23040909788326211</v>
      </c>
      <c r="T2881">
        <v>0.17648386709642991</v>
      </c>
      <c r="U2881">
        <v>4.3319899130718964</v>
      </c>
      <c r="V2881">
        <v>0.21680873037703621</v>
      </c>
      <c r="W2881">
        <v>6.6952249910130712</v>
      </c>
      <c r="X2881">
        <v>0.44135609999245179</v>
      </c>
      <c r="Z2881" t="s">
        <v>392</v>
      </c>
      <c r="AA2881">
        <v>9400</v>
      </c>
      <c r="AB2881" t="s">
        <v>3272</v>
      </c>
      <c r="AC2881" t="str">
        <f>HYPERLINK("plots/3FT6Y578R01_012_S11P_20251111092011_M5358ACSH101811_RBGEUFRF26/dpll_52094/txpa_54209.png","plot")</f>
        <v>plot</v>
      </c>
    </row>
    <row r="2882" spans="1:29" hidden="1" x14ac:dyDescent="0.35">
      <c r="A2882" t="s">
        <v>48</v>
      </c>
      <c r="B2882">
        <v>52094</v>
      </c>
      <c r="C2882" t="s">
        <v>53</v>
      </c>
      <c r="D2882">
        <v>54210</v>
      </c>
      <c r="E2882" t="s">
        <v>230</v>
      </c>
      <c r="F2882">
        <v>12235</v>
      </c>
      <c r="G2882">
        <v>0.84901026662287737</v>
      </c>
      <c r="H2882">
        <v>0</v>
      </c>
      <c r="I2882">
        <v>0</v>
      </c>
      <c r="J2882">
        <v>0.7322450476109259</v>
      </c>
      <c r="K2882">
        <v>0</v>
      </c>
      <c r="L2882">
        <v>0</v>
      </c>
      <c r="M2882">
        <v>0.54137344924987019</v>
      </c>
      <c r="N2882">
        <v>0</v>
      </c>
      <c r="O2882">
        <v>0</v>
      </c>
      <c r="P2882">
        <v>0.72081843283104929</v>
      </c>
      <c r="Q2882">
        <v>1.716157964984246</v>
      </c>
      <c r="R2882">
        <v>-0.75500696080464635</v>
      </c>
      <c r="S2882">
        <v>0.23153838054340839</v>
      </c>
      <c r="T2882">
        <v>0.17702588067693281</v>
      </c>
      <c r="U2882">
        <v>4.3320857962402943</v>
      </c>
      <c r="V2882">
        <v>0.21679689176247041</v>
      </c>
      <c r="W2882">
        <v>6.6795365834082547</v>
      </c>
      <c r="X2882">
        <v>0.43822522201284031</v>
      </c>
      <c r="Z2882" t="s">
        <v>392</v>
      </c>
      <c r="AA2882">
        <v>9400</v>
      </c>
      <c r="AB2882" t="s">
        <v>3273</v>
      </c>
      <c r="AC2882" t="str">
        <f>HYPERLINK("plots/3FT6Y578R01_012_S11P_20251111092011_M5358ACSH101811_RBGEUFRF26/dpll_52094/txpa_54210.png","plot")</f>
        <v>plot</v>
      </c>
    </row>
    <row r="2883" spans="1:29" hidden="1" x14ac:dyDescent="0.35">
      <c r="A2883" t="s">
        <v>48</v>
      </c>
      <c r="B2883">
        <v>52094</v>
      </c>
      <c r="C2883" t="s">
        <v>53</v>
      </c>
      <c r="D2883">
        <v>54211</v>
      </c>
      <c r="E2883" t="s">
        <v>231</v>
      </c>
      <c r="F2883">
        <v>12237</v>
      </c>
      <c r="G2883">
        <v>0.83530770365885165</v>
      </c>
      <c r="H2883">
        <v>0</v>
      </c>
      <c r="I2883">
        <v>0</v>
      </c>
      <c r="J2883">
        <v>0.73055347050435115</v>
      </c>
      <c r="K2883">
        <v>0</v>
      </c>
      <c r="L2883">
        <v>0</v>
      </c>
      <c r="M2883">
        <v>0.53729893753497349</v>
      </c>
      <c r="N2883">
        <v>0</v>
      </c>
      <c r="O2883">
        <v>0</v>
      </c>
      <c r="P2883">
        <v>0.69773895979182388</v>
      </c>
      <c r="Q2883">
        <v>1.784618921887039</v>
      </c>
      <c r="R2883">
        <v>-0.12856916604941659</v>
      </c>
      <c r="S2883">
        <v>0.25458201953265253</v>
      </c>
      <c r="T2883">
        <v>0.18993109038590669</v>
      </c>
      <c r="U2883">
        <v>4.3320892794802646</v>
      </c>
      <c r="V2883">
        <v>0.21674814043962221</v>
      </c>
      <c r="W2883">
        <v>7.6025593334150523</v>
      </c>
      <c r="X2883">
        <v>0.46307825369985728</v>
      </c>
      <c r="Z2883" t="s">
        <v>392</v>
      </c>
      <c r="AA2883">
        <v>9400</v>
      </c>
      <c r="AB2883" t="s">
        <v>3274</v>
      </c>
      <c r="AC2883" t="str">
        <f>HYPERLINK("plots/3FT6Y578R01_012_S11P_20251111092011_M5358ACSH101811_RBGEUFRF26/dpll_52094/txpa_54211.png","plot")</f>
        <v>plot</v>
      </c>
    </row>
    <row r="2884" spans="1:29" hidden="1" x14ac:dyDescent="0.35">
      <c r="A2884" t="s">
        <v>48</v>
      </c>
      <c r="B2884">
        <v>52094</v>
      </c>
      <c r="C2884" t="s">
        <v>53</v>
      </c>
      <c r="D2884">
        <v>54212</v>
      </c>
      <c r="E2884" t="s">
        <v>232</v>
      </c>
      <c r="F2884">
        <v>12235</v>
      </c>
      <c r="G2884">
        <v>0.84692883160102883</v>
      </c>
      <c r="H2884">
        <v>0</v>
      </c>
      <c r="I2884">
        <v>0</v>
      </c>
      <c r="J2884">
        <v>0.73883612869229032</v>
      </c>
      <c r="K2884">
        <v>0</v>
      </c>
      <c r="L2884">
        <v>0</v>
      </c>
      <c r="M2884">
        <v>0.54669670903442036</v>
      </c>
      <c r="N2884">
        <v>0</v>
      </c>
      <c r="O2884">
        <v>0</v>
      </c>
      <c r="P2884">
        <v>0.71728844579708384</v>
      </c>
      <c r="Q2884">
        <v>1.807252864473508</v>
      </c>
      <c r="R2884">
        <v>-0.19128440896144469</v>
      </c>
      <c r="S2884">
        <v>0.24592042573033929</v>
      </c>
      <c r="T2884">
        <v>0.1864928582809012</v>
      </c>
      <c r="U2884">
        <v>4.3320914950551694</v>
      </c>
      <c r="V2884">
        <v>0.21675472208411559</v>
      </c>
      <c r="W2884">
        <v>7.6379003546383331</v>
      </c>
      <c r="X2884">
        <v>0.46253070831719328</v>
      </c>
      <c r="Z2884" t="s">
        <v>392</v>
      </c>
      <c r="AA2884">
        <v>9400</v>
      </c>
      <c r="AB2884" t="s">
        <v>3275</v>
      </c>
      <c r="AC2884" t="str">
        <f>HYPERLINK("plots/3FT6Y578R01_012_S11P_20251111092011_M5358ACSH101811_RBGEUFRF26/dpll_52094/txpa_54212.png","plot")</f>
        <v>plot</v>
      </c>
    </row>
    <row r="2885" spans="1:29" hidden="1" x14ac:dyDescent="0.35">
      <c r="A2885" t="s">
        <v>48</v>
      </c>
      <c r="B2885">
        <v>52094</v>
      </c>
      <c r="C2885" t="s">
        <v>53</v>
      </c>
      <c r="D2885">
        <v>54213</v>
      </c>
      <c r="E2885" t="s">
        <v>233</v>
      </c>
      <c r="F2885">
        <v>12238</v>
      </c>
      <c r="G2885">
        <v>0.84594840647099245</v>
      </c>
      <c r="H2885">
        <v>0</v>
      </c>
      <c r="I2885">
        <v>0</v>
      </c>
      <c r="J2885">
        <v>0.73595735480932423</v>
      </c>
      <c r="K2885">
        <v>0</v>
      </c>
      <c r="L2885">
        <v>0</v>
      </c>
      <c r="M2885">
        <v>0.5436488151003519</v>
      </c>
      <c r="N2885">
        <v>0</v>
      </c>
      <c r="O2885">
        <v>0</v>
      </c>
      <c r="P2885">
        <v>0.71562870641081144</v>
      </c>
      <c r="Q2885">
        <v>1.7915637686117869</v>
      </c>
      <c r="R2885">
        <v>-0.1170032980790143</v>
      </c>
      <c r="S2885">
        <v>0.2448405904271885</v>
      </c>
      <c r="T2885">
        <v>0.18502057261002849</v>
      </c>
      <c r="U2885">
        <v>4.3320265034319334</v>
      </c>
      <c r="V2885">
        <v>0.21680529836264609</v>
      </c>
      <c r="W2885">
        <v>7.6440984301356423</v>
      </c>
      <c r="X2885">
        <v>0.45915390869987283</v>
      </c>
      <c r="Z2885" t="s">
        <v>392</v>
      </c>
      <c r="AA2885">
        <v>9400</v>
      </c>
      <c r="AB2885" t="s">
        <v>3276</v>
      </c>
      <c r="AC2885" t="str">
        <f>HYPERLINK("plots/3FT6Y578R01_012_S11P_20251111092011_M5358ACSH101811_RBGEUFRF26/dpll_52094/txpa_54213.png","plot")</f>
        <v>plot</v>
      </c>
    </row>
    <row r="2886" spans="1:29" hidden="1" x14ac:dyDescent="0.35">
      <c r="A2886" t="s">
        <v>48</v>
      </c>
      <c r="B2886">
        <v>52094</v>
      </c>
      <c r="C2886" t="s">
        <v>53</v>
      </c>
      <c r="D2886">
        <v>54214</v>
      </c>
      <c r="E2886" t="s">
        <v>234</v>
      </c>
      <c r="F2886">
        <v>12240</v>
      </c>
      <c r="G2886">
        <v>0.85346998341930624</v>
      </c>
      <c r="H2886">
        <v>0</v>
      </c>
      <c r="I2886">
        <v>0</v>
      </c>
      <c r="J2886">
        <v>0.74207226625628975</v>
      </c>
      <c r="K2886">
        <v>0</v>
      </c>
      <c r="L2886">
        <v>0</v>
      </c>
      <c r="M2886">
        <v>0.54995705750091972</v>
      </c>
      <c r="N2886">
        <v>0</v>
      </c>
      <c r="O2886">
        <v>0</v>
      </c>
      <c r="P2886">
        <v>0.72841101259775087</v>
      </c>
      <c r="Q2886">
        <v>1.815345363907257</v>
      </c>
      <c r="R2886">
        <v>-0.20237014899983569</v>
      </c>
      <c r="S2886">
        <v>0.24033727644715619</v>
      </c>
      <c r="T2886">
        <v>0.18323879059092779</v>
      </c>
      <c r="U2886">
        <v>4.3319748101307187</v>
      </c>
      <c r="V2886">
        <v>0.2168262156955765</v>
      </c>
      <c r="W2886">
        <v>7.6616602391339859</v>
      </c>
      <c r="X2886">
        <v>0.46119309768758321</v>
      </c>
      <c r="Z2886" t="s">
        <v>392</v>
      </c>
      <c r="AA2886">
        <v>9400</v>
      </c>
      <c r="AB2886" t="s">
        <v>3277</v>
      </c>
      <c r="AC2886" t="str">
        <f>HYPERLINK("plots/3FT6Y578R01_012_S11P_20251111092011_M5358ACSH101811_RBGEUFRF26/dpll_52094/txpa_54214.png","plot")</f>
        <v>plot</v>
      </c>
    </row>
    <row r="2887" spans="1:29" hidden="1" x14ac:dyDescent="0.35">
      <c r="A2887" t="s">
        <v>48</v>
      </c>
      <c r="B2887">
        <v>52094</v>
      </c>
      <c r="C2887" t="s">
        <v>53</v>
      </c>
      <c r="D2887">
        <v>54215</v>
      </c>
      <c r="E2887" t="s">
        <v>235</v>
      </c>
      <c r="F2887">
        <v>12239</v>
      </c>
      <c r="G2887">
        <v>0.85393760656905315</v>
      </c>
      <c r="H2887">
        <v>0</v>
      </c>
      <c r="I2887">
        <v>0</v>
      </c>
      <c r="J2887">
        <v>0.74010068218463965</v>
      </c>
      <c r="K2887">
        <v>0</v>
      </c>
      <c r="L2887">
        <v>0</v>
      </c>
      <c r="M2887">
        <v>0.54760643191983394</v>
      </c>
      <c r="N2887">
        <v>0</v>
      </c>
      <c r="O2887">
        <v>0</v>
      </c>
      <c r="P2887">
        <v>0.72920943591288301</v>
      </c>
      <c r="Q2887">
        <v>1.822840266899082</v>
      </c>
      <c r="R2887">
        <v>-0.26340181480059938</v>
      </c>
      <c r="S2887">
        <v>0.2408149718654935</v>
      </c>
      <c r="T2887">
        <v>0.1844498748390353</v>
      </c>
      <c r="U2887">
        <v>4.3319641277882184</v>
      </c>
      <c r="V2887">
        <v>0.21680135387040489</v>
      </c>
      <c r="W2887">
        <v>7.6330768320941251</v>
      </c>
      <c r="X2887">
        <v>0.46279053026019212</v>
      </c>
      <c r="Z2887" t="s">
        <v>392</v>
      </c>
      <c r="AA2887">
        <v>9400</v>
      </c>
      <c r="AB2887" t="s">
        <v>3278</v>
      </c>
      <c r="AC2887" t="str">
        <f>HYPERLINK("plots/3FT6Y578R01_012_S11P_20251111092011_M5358ACSH101811_RBGEUFRF26/dpll_52094/txpa_54215.png","plot")</f>
        <v>plot</v>
      </c>
    </row>
    <row r="2888" spans="1:29" hidden="1" x14ac:dyDescent="0.35">
      <c r="A2888" t="s">
        <v>48</v>
      </c>
      <c r="B2888">
        <v>52094</v>
      </c>
      <c r="C2888" t="s">
        <v>53</v>
      </c>
      <c r="D2888">
        <v>54216</v>
      </c>
      <c r="E2888" t="s">
        <v>236</v>
      </c>
      <c r="F2888">
        <v>12239</v>
      </c>
      <c r="G2888">
        <v>0.85576416329381078</v>
      </c>
      <c r="H2888">
        <v>0</v>
      </c>
      <c r="I2888">
        <v>0</v>
      </c>
      <c r="J2888">
        <v>0.74354349675899067</v>
      </c>
      <c r="K2888">
        <v>0</v>
      </c>
      <c r="L2888">
        <v>0</v>
      </c>
      <c r="M2888">
        <v>0.55172025405815572</v>
      </c>
      <c r="N2888">
        <v>0</v>
      </c>
      <c r="O2888">
        <v>0</v>
      </c>
      <c r="P2888">
        <v>0.73233230317795606</v>
      </c>
      <c r="Q2888">
        <v>1.8276760476854621</v>
      </c>
      <c r="R2888">
        <v>-0.27651299383123362</v>
      </c>
      <c r="S2888">
        <v>0.23954313821001399</v>
      </c>
      <c r="T2888">
        <v>0.18379961060162431</v>
      </c>
      <c r="U2888">
        <v>4.3319555311708484</v>
      </c>
      <c r="V2888">
        <v>0.2167995478787211</v>
      </c>
      <c r="W2888">
        <v>7.6408983701282782</v>
      </c>
      <c r="X2888">
        <v>0.46302399399603628</v>
      </c>
      <c r="Z2888" t="s">
        <v>392</v>
      </c>
      <c r="AA2888">
        <v>9400</v>
      </c>
      <c r="AB2888" t="s">
        <v>3279</v>
      </c>
      <c r="AC2888" t="str">
        <f>HYPERLINK("plots/3FT6Y578R01_012_S11P_20251111092011_M5358ACSH101811_RBGEUFRF26/dpll_52094/txpa_54216.png","plot")</f>
        <v>plot</v>
      </c>
    </row>
    <row r="2889" spans="1:29" hidden="1" x14ac:dyDescent="0.35">
      <c r="A2889" t="s">
        <v>48</v>
      </c>
      <c r="B2889">
        <v>52094</v>
      </c>
      <c r="C2889" t="s">
        <v>53</v>
      </c>
      <c r="D2889">
        <v>54217</v>
      </c>
      <c r="E2889" t="s">
        <v>237</v>
      </c>
      <c r="F2889">
        <v>12239</v>
      </c>
      <c r="G2889">
        <v>0.85487237617507761</v>
      </c>
      <c r="H2889">
        <v>0</v>
      </c>
      <c r="I2889">
        <v>0</v>
      </c>
      <c r="J2889">
        <v>0.73937265222954729</v>
      </c>
      <c r="K2889">
        <v>0</v>
      </c>
      <c r="L2889">
        <v>0</v>
      </c>
      <c r="M2889">
        <v>0.54825149473232115</v>
      </c>
      <c r="N2889">
        <v>0</v>
      </c>
      <c r="O2889">
        <v>0</v>
      </c>
      <c r="P2889">
        <v>0.7308067795472234</v>
      </c>
      <c r="Q2889">
        <v>1.8240251956927951</v>
      </c>
      <c r="R2889">
        <v>-0.25561849398541803</v>
      </c>
      <c r="S2889">
        <v>0.24000149340064611</v>
      </c>
      <c r="T2889">
        <v>0.183661569740664</v>
      </c>
      <c r="U2889">
        <v>4.3320106986681921</v>
      </c>
      <c r="V2889">
        <v>0.21680539186737349</v>
      </c>
      <c r="W2889">
        <v>7.6460781683961114</v>
      </c>
      <c r="X2889">
        <v>0.46259360853081188</v>
      </c>
      <c r="Z2889" t="s">
        <v>392</v>
      </c>
      <c r="AA2889">
        <v>9400</v>
      </c>
      <c r="AB2889" t="s">
        <v>3280</v>
      </c>
      <c r="AC2889" t="str">
        <f>HYPERLINK("plots/3FT6Y578R01_012_S11P_20251111092011_M5358ACSH101811_RBGEUFRF26/dpll_52094/txpa_54217.png","plot")</f>
        <v>plot</v>
      </c>
    </row>
    <row r="2890" spans="1:29" hidden="1" x14ac:dyDescent="0.35">
      <c r="A2890" t="s">
        <v>48</v>
      </c>
      <c r="B2890">
        <v>52094</v>
      </c>
      <c r="C2890" t="s">
        <v>53</v>
      </c>
      <c r="D2890">
        <v>54218</v>
      </c>
      <c r="E2890" t="s">
        <v>238</v>
      </c>
      <c r="F2890">
        <v>12233</v>
      </c>
      <c r="G2890">
        <v>0.85117116360587319</v>
      </c>
      <c r="H2890">
        <v>0</v>
      </c>
      <c r="I2890">
        <v>0</v>
      </c>
      <c r="J2890">
        <v>0.73319611866137557</v>
      </c>
      <c r="K2890">
        <v>0</v>
      </c>
      <c r="L2890">
        <v>0</v>
      </c>
      <c r="M2890">
        <v>0.54251090242647249</v>
      </c>
      <c r="N2890">
        <v>0</v>
      </c>
      <c r="O2890">
        <v>0</v>
      </c>
      <c r="P2890">
        <v>0.7244923497541762</v>
      </c>
      <c r="Q2890">
        <v>1.802746958468763</v>
      </c>
      <c r="R2890">
        <v>-0.1788807297242174</v>
      </c>
      <c r="S2890">
        <v>0.24097730484538771</v>
      </c>
      <c r="T2890">
        <v>0.1841722551718965</v>
      </c>
      <c r="U2890">
        <v>4.3321380587754437</v>
      </c>
      <c r="V2890">
        <v>0.21677499932302449</v>
      </c>
      <c r="W2890">
        <v>7.6308679793999827</v>
      </c>
      <c r="X2890">
        <v>0.4591209000151259</v>
      </c>
      <c r="Z2890" t="s">
        <v>392</v>
      </c>
      <c r="AA2890">
        <v>9400</v>
      </c>
      <c r="AB2890" t="s">
        <v>3281</v>
      </c>
      <c r="AC2890" t="str">
        <f>HYPERLINK("plots/3FT6Y578R01_012_S11P_20251111092011_M5358ACSH101811_RBGEUFRF26/dpll_52094/txpa_54218.png","plot")</f>
        <v>plot</v>
      </c>
    </row>
    <row r="2891" spans="1:29" hidden="1" x14ac:dyDescent="0.35">
      <c r="A2891" t="s">
        <v>48</v>
      </c>
      <c r="B2891">
        <v>52094</v>
      </c>
      <c r="C2891" t="s">
        <v>53</v>
      </c>
      <c r="D2891">
        <v>54219</v>
      </c>
      <c r="E2891" t="s">
        <v>239</v>
      </c>
      <c r="F2891">
        <v>12226</v>
      </c>
      <c r="G2891">
        <v>0.83895019093065393</v>
      </c>
      <c r="H2891">
        <v>0</v>
      </c>
      <c r="I2891">
        <v>0</v>
      </c>
      <c r="J2891">
        <v>0.73164468487103462</v>
      </c>
      <c r="K2891">
        <v>0</v>
      </c>
      <c r="L2891">
        <v>0</v>
      </c>
      <c r="M2891">
        <v>0.5387276935680293</v>
      </c>
      <c r="N2891">
        <v>0</v>
      </c>
      <c r="O2891">
        <v>0</v>
      </c>
      <c r="P2891">
        <v>0.70383742286258066</v>
      </c>
      <c r="Q2891">
        <v>1.8788599956393379</v>
      </c>
      <c r="R2891">
        <v>0.42250440614111362</v>
      </c>
      <c r="S2891">
        <v>0.26394208921038959</v>
      </c>
      <c r="T2891">
        <v>0.19732301980329051</v>
      </c>
      <c r="U2891">
        <v>4.3324008588254541</v>
      </c>
      <c r="V2891">
        <v>0.2165723849753054</v>
      </c>
      <c r="W2891">
        <v>8.5624790648617708</v>
      </c>
      <c r="X2891">
        <v>0.48502186981913148</v>
      </c>
      <c r="Z2891" t="s">
        <v>392</v>
      </c>
      <c r="AA2891">
        <v>9400</v>
      </c>
      <c r="AB2891" t="s">
        <v>3282</v>
      </c>
      <c r="AC2891" t="str">
        <f>HYPERLINK("plots/3FT6Y578R01_012_S11P_20251111092011_M5358ACSH101811_RBGEUFRF26/dpll_52094/txpa_54219.png","plot")</f>
        <v>plot</v>
      </c>
    </row>
    <row r="2892" spans="1:29" hidden="1" x14ac:dyDescent="0.35">
      <c r="A2892" t="s">
        <v>48</v>
      </c>
      <c r="B2892">
        <v>52094</v>
      </c>
      <c r="C2892" t="s">
        <v>53</v>
      </c>
      <c r="D2892">
        <v>54220</v>
      </c>
      <c r="E2892" t="s">
        <v>240</v>
      </c>
      <c r="F2892">
        <v>12234</v>
      </c>
      <c r="G2892">
        <v>0.84913207705766358</v>
      </c>
      <c r="H2892">
        <v>0</v>
      </c>
      <c r="I2892">
        <v>0</v>
      </c>
      <c r="J2892">
        <v>0.7400216586864623</v>
      </c>
      <c r="K2892">
        <v>0</v>
      </c>
      <c r="L2892">
        <v>0</v>
      </c>
      <c r="M2892">
        <v>0.54810119330262874</v>
      </c>
      <c r="N2892">
        <v>0</v>
      </c>
      <c r="O2892">
        <v>0</v>
      </c>
      <c r="P2892">
        <v>0.72102528428826196</v>
      </c>
      <c r="Q2892">
        <v>1.908717151313257</v>
      </c>
      <c r="R2892">
        <v>0.32685774087524072</v>
      </c>
      <c r="S2892">
        <v>0.25730539291022608</v>
      </c>
      <c r="T2892">
        <v>0.1948595724104982</v>
      </c>
      <c r="U2892">
        <v>4.3321262788131438</v>
      </c>
      <c r="V2892">
        <v>0.2167294297827618</v>
      </c>
      <c r="W2892">
        <v>8.595661470900767</v>
      </c>
      <c r="X2892">
        <v>0.48717412873404781</v>
      </c>
      <c r="Z2892" t="s">
        <v>392</v>
      </c>
      <c r="AA2892">
        <v>9400</v>
      </c>
      <c r="AB2892" t="s">
        <v>3283</v>
      </c>
      <c r="AC2892" t="str">
        <f>HYPERLINK("plots/3FT6Y578R01_012_S11P_20251111092011_M5358ACSH101811_RBGEUFRF26/dpll_52094/txpa_54220.png","plot")</f>
        <v>plot</v>
      </c>
    </row>
    <row r="2893" spans="1:29" hidden="1" x14ac:dyDescent="0.35">
      <c r="A2893" t="s">
        <v>48</v>
      </c>
      <c r="B2893">
        <v>52094</v>
      </c>
      <c r="C2893" t="s">
        <v>53</v>
      </c>
      <c r="D2893">
        <v>54221</v>
      </c>
      <c r="E2893" t="s">
        <v>241</v>
      </c>
      <c r="F2893">
        <v>12236</v>
      </c>
      <c r="G2893">
        <v>0.84845935830410202</v>
      </c>
      <c r="H2893">
        <v>0</v>
      </c>
      <c r="I2893">
        <v>0</v>
      </c>
      <c r="J2893">
        <v>0.73724336488530628</v>
      </c>
      <c r="K2893">
        <v>0</v>
      </c>
      <c r="L2893">
        <v>0</v>
      </c>
      <c r="M2893">
        <v>0.54515076229444592</v>
      </c>
      <c r="N2893">
        <v>0</v>
      </c>
      <c r="O2893">
        <v>0</v>
      </c>
      <c r="P2893">
        <v>0.71988328269380852</v>
      </c>
      <c r="Q2893">
        <v>1.8922436323173311</v>
      </c>
      <c r="R2893">
        <v>0.40504677039007397</v>
      </c>
      <c r="S2893">
        <v>0.25585282662169823</v>
      </c>
      <c r="T2893">
        <v>0.19314293949235711</v>
      </c>
      <c r="U2893">
        <v>4.3320896801242226</v>
      </c>
      <c r="V2893">
        <v>0.2167666392269755</v>
      </c>
      <c r="W2893">
        <v>8.6024158822327568</v>
      </c>
      <c r="X2893">
        <v>0.4834354041376</v>
      </c>
      <c r="Z2893" t="s">
        <v>392</v>
      </c>
      <c r="AA2893">
        <v>9400</v>
      </c>
      <c r="AB2893" t="s">
        <v>3284</v>
      </c>
      <c r="AC2893" t="str">
        <f>HYPERLINK("plots/3FT6Y578R01_012_S11P_20251111092011_M5358ACSH101811_RBGEUFRF26/dpll_52094/txpa_54221.png","plot")</f>
        <v>plot</v>
      </c>
    </row>
    <row r="2894" spans="1:29" hidden="1" x14ac:dyDescent="0.35">
      <c r="A2894" t="s">
        <v>48</v>
      </c>
      <c r="B2894">
        <v>52094</v>
      </c>
      <c r="C2894" t="s">
        <v>53</v>
      </c>
      <c r="D2894">
        <v>54222</v>
      </c>
      <c r="E2894" t="s">
        <v>242</v>
      </c>
      <c r="F2894">
        <v>12240</v>
      </c>
      <c r="G2894">
        <v>0.85537610535602582</v>
      </c>
      <c r="H2894">
        <v>0</v>
      </c>
      <c r="I2894">
        <v>0</v>
      </c>
      <c r="J2894">
        <v>0.74297299040140341</v>
      </c>
      <c r="K2894">
        <v>0</v>
      </c>
      <c r="L2894">
        <v>0</v>
      </c>
      <c r="M2894">
        <v>0.55112312254293361</v>
      </c>
      <c r="N2894">
        <v>0</v>
      </c>
      <c r="O2894">
        <v>0</v>
      </c>
      <c r="P2894">
        <v>0.73166828161404296</v>
      </c>
      <c r="Q2894">
        <v>1.918168430107978</v>
      </c>
      <c r="R2894">
        <v>0.30951546496856608</v>
      </c>
      <c r="S2894">
        <v>0.25186027847032971</v>
      </c>
      <c r="T2894">
        <v>0.19168381276581989</v>
      </c>
      <c r="U2894">
        <v>4.3319748101307187</v>
      </c>
      <c r="V2894">
        <v>0.2168262156955765</v>
      </c>
      <c r="W2894">
        <v>8.6189727857843135</v>
      </c>
      <c r="X2894">
        <v>0.48622962362729027</v>
      </c>
      <c r="Z2894" t="s">
        <v>392</v>
      </c>
      <c r="AA2894">
        <v>9400</v>
      </c>
      <c r="AB2894" t="s">
        <v>3285</v>
      </c>
      <c r="AC2894" t="str">
        <f>HYPERLINK("plots/3FT6Y578R01_012_S11P_20251111092011_M5358ACSH101811_RBGEUFRF26/dpll_52094/txpa_54222.png","plot")</f>
        <v>plot</v>
      </c>
    </row>
    <row r="2895" spans="1:29" hidden="1" x14ac:dyDescent="0.35">
      <c r="A2895" t="s">
        <v>48</v>
      </c>
      <c r="B2895">
        <v>52094</v>
      </c>
      <c r="C2895" t="s">
        <v>53</v>
      </c>
      <c r="D2895">
        <v>54223</v>
      </c>
      <c r="E2895" t="s">
        <v>243</v>
      </c>
      <c r="F2895">
        <v>12238</v>
      </c>
      <c r="G2895">
        <v>0.85600897526467168</v>
      </c>
      <c r="H2895">
        <v>0</v>
      </c>
      <c r="I2895">
        <v>0</v>
      </c>
      <c r="J2895">
        <v>0.74111893985611876</v>
      </c>
      <c r="K2895">
        <v>0</v>
      </c>
      <c r="L2895">
        <v>0</v>
      </c>
      <c r="M2895">
        <v>0.54889928742629857</v>
      </c>
      <c r="N2895">
        <v>0</v>
      </c>
      <c r="O2895">
        <v>0</v>
      </c>
      <c r="P2895">
        <v>0.73275136573367328</v>
      </c>
      <c r="Q2895">
        <v>1.925307442844346</v>
      </c>
      <c r="R2895">
        <v>0.24898760661031541</v>
      </c>
      <c r="S2895">
        <v>0.25206058320980329</v>
      </c>
      <c r="T2895">
        <v>0.19275206281864729</v>
      </c>
      <c r="U2895">
        <v>4.3319895589965682</v>
      </c>
      <c r="V2895">
        <v>0.21679195535395521</v>
      </c>
      <c r="W2895">
        <v>8.5893993468704029</v>
      </c>
      <c r="X2895">
        <v>0.48760138883204429</v>
      </c>
      <c r="Z2895" t="s">
        <v>392</v>
      </c>
      <c r="AA2895">
        <v>9400</v>
      </c>
      <c r="AB2895" t="s">
        <v>3286</v>
      </c>
      <c r="AC2895" t="str">
        <f>HYPERLINK("plots/3FT6Y578R01_012_S11P_20251111092011_M5358ACSH101811_RBGEUFRF26/dpll_52094/txpa_54223.png","plot")</f>
        <v>plot</v>
      </c>
    </row>
    <row r="2896" spans="1:29" hidden="1" x14ac:dyDescent="0.35">
      <c r="A2896" t="s">
        <v>48</v>
      </c>
      <c r="B2896">
        <v>52094</v>
      </c>
      <c r="C2896" t="s">
        <v>53</v>
      </c>
      <c r="D2896">
        <v>54224</v>
      </c>
      <c r="E2896" t="s">
        <v>244</v>
      </c>
      <c r="F2896">
        <v>12238</v>
      </c>
      <c r="G2896">
        <v>0.85773039570204457</v>
      </c>
      <c r="H2896">
        <v>0</v>
      </c>
      <c r="I2896">
        <v>0</v>
      </c>
      <c r="J2896">
        <v>0.74432442582133351</v>
      </c>
      <c r="K2896">
        <v>0</v>
      </c>
      <c r="L2896">
        <v>0</v>
      </c>
      <c r="M2896">
        <v>0.5527987171583687</v>
      </c>
      <c r="N2896">
        <v>0</v>
      </c>
      <c r="O2896">
        <v>0</v>
      </c>
      <c r="P2896">
        <v>0.73570143171118596</v>
      </c>
      <c r="Q2896">
        <v>1.929393068548555</v>
      </c>
      <c r="R2896">
        <v>0.24049032013486921</v>
      </c>
      <c r="S2896">
        <v>0.25069342995814431</v>
      </c>
      <c r="T2896">
        <v>0.1920188274333704</v>
      </c>
      <c r="U2896">
        <v>4.3319795925804874</v>
      </c>
      <c r="V2896">
        <v>0.21679206298308129</v>
      </c>
      <c r="W2896">
        <v>8.5985817191534561</v>
      </c>
      <c r="X2896">
        <v>0.48765568497026718</v>
      </c>
      <c r="Z2896" t="s">
        <v>392</v>
      </c>
      <c r="AA2896">
        <v>9400</v>
      </c>
      <c r="AB2896" t="s">
        <v>3287</v>
      </c>
      <c r="AC2896" t="str">
        <f>HYPERLINK("plots/3FT6Y578R01_012_S11P_20251111092011_M5358ACSH101811_RBGEUFRF26/dpll_52094/txpa_54224.png","plot")</f>
        <v>plot</v>
      </c>
    </row>
    <row r="2897" spans="1:29" hidden="1" x14ac:dyDescent="0.35">
      <c r="A2897" t="s">
        <v>48</v>
      </c>
      <c r="B2897">
        <v>52094</v>
      </c>
      <c r="C2897" t="s">
        <v>53</v>
      </c>
      <c r="D2897">
        <v>54225</v>
      </c>
      <c r="E2897" t="s">
        <v>245</v>
      </c>
      <c r="F2897">
        <v>12233</v>
      </c>
      <c r="G2897">
        <v>0.85771478793885125</v>
      </c>
      <c r="H2897">
        <v>0</v>
      </c>
      <c r="I2897">
        <v>0</v>
      </c>
      <c r="J2897">
        <v>0.74026262287273448</v>
      </c>
      <c r="K2897">
        <v>0</v>
      </c>
      <c r="L2897">
        <v>0</v>
      </c>
      <c r="M2897">
        <v>0.54956329323586128</v>
      </c>
      <c r="N2897">
        <v>0</v>
      </c>
      <c r="O2897">
        <v>0</v>
      </c>
      <c r="P2897">
        <v>0.73567465744898852</v>
      </c>
      <c r="Q2897">
        <v>1.9234284272631781</v>
      </c>
      <c r="R2897">
        <v>0.27222457082063828</v>
      </c>
      <c r="S2897">
        <v>0.2499000983924107</v>
      </c>
      <c r="T2897">
        <v>0.19136940731117161</v>
      </c>
      <c r="U2897">
        <v>4.3321508202403338</v>
      </c>
      <c r="V2897">
        <v>0.21676124879507361</v>
      </c>
      <c r="W2897">
        <v>8.6048066096623881</v>
      </c>
      <c r="X2897">
        <v>0.4860878624506525</v>
      </c>
      <c r="Z2897" t="s">
        <v>392</v>
      </c>
      <c r="AA2897">
        <v>9400</v>
      </c>
      <c r="AB2897" t="s">
        <v>3288</v>
      </c>
      <c r="AC2897" t="str">
        <f>HYPERLINK("plots/3FT6Y578R01_012_S11P_20251111092011_M5358ACSH101811_RBGEUFRF26/dpll_52094/txpa_54225.png","plot")</f>
        <v>plot</v>
      </c>
    </row>
    <row r="2898" spans="1:29" hidden="1" x14ac:dyDescent="0.35">
      <c r="A2898" t="s">
        <v>48</v>
      </c>
      <c r="B2898">
        <v>52094</v>
      </c>
      <c r="C2898" t="s">
        <v>53</v>
      </c>
      <c r="D2898">
        <v>54226</v>
      </c>
      <c r="E2898" t="s">
        <v>246</v>
      </c>
      <c r="F2898">
        <v>12231</v>
      </c>
      <c r="G2898">
        <v>0.85338693912381847</v>
      </c>
      <c r="H2898">
        <v>0</v>
      </c>
      <c r="I2898">
        <v>0</v>
      </c>
      <c r="J2898">
        <v>0.73406767499167502</v>
      </c>
      <c r="K2898">
        <v>0</v>
      </c>
      <c r="L2898">
        <v>0</v>
      </c>
      <c r="M2898">
        <v>0.54364784735180094</v>
      </c>
      <c r="N2898">
        <v>0</v>
      </c>
      <c r="O2898">
        <v>0</v>
      </c>
      <c r="P2898">
        <v>0.72826926786711987</v>
      </c>
      <c r="Q2898">
        <v>1.902974503118229</v>
      </c>
      <c r="R2898">
        <v>0.34621613079652391</v>
      </c>
      <c r="S2898">
        <v>0.25195034951533951</v>
      </c>
      <c r="T2898">
        <v>0.19236383607876209</v>
      </c>
      <c r="U2898">
        <v>4.3321867218543044</v>
      </c>
      <c r="V2898">
        <v>0.21675861262002971</v>
      </c>
      <c r="W2898">
        <v>8.5902570052326066</v>
      </c>
      <c r="X2898">
        <v>0.48335180002954042</v>
      </c>
      <c r="Z2898" t="s">
        <v>392</v>
      </c>
      <c r="AA2898">
        <v>9400</v>
      </c>
      <c r="AB2898" t="s">
        <v>3289</v>
      </c>
      <c r="AC2898" t="str">
        <f>HYPERLINK("plots/3FT6Y578R01_012_S11P_20251111092011_M5358ACSH101811_RBGEUFRF26/dpll_52094/txpa_54226.png","plot")</f>
        <v>plot</v>
      </c>
    </row>
    <row r="2899" spans="1:29" hidden="1" x14ac:dyDescent="0.35">
      <c r="A2899" t="s">
        <v>48</v>
      </c>
      <c r="B2899">
        <v>52094</v>
      </c>
      <c r="C2899" t="s">
        <v>53</v>
      </c>
      <c r="D2899">
        <v>54227</v>
      </c>
      <c r="E2899" t="s">
        <v>247</v>
      </c>
      <c r="F2899">
        <v>12223</v>
      </c>
      <c r="G2899">
        <v>0.83997935708716087</v>
      </c>
      <c r="H2899">
        <v>0</v>
      </c>
      <c r="I2899">
        <v>0</v>
      </c>
      <c r="J2899">
        <v>0.73166757043097819</v>
      </c>
      <c r="K2899">
        <v>0</v>
      </c>
      <c r="L2899">
        <v>0</v>
      </c>
      <c r="M2899">
        <v>0.53891569764958858</v>
      </c>
      <c r="N2899">
        <v>0</v>
      </c>
      <c r="O2899">
        <v>0</v>
      </c>
      <c r="P2899">
        <v>0.70556532033256014</v>
      </c>
      <c r="Q2899">
        <v>1.9331602927739959</v>
      </c>
      <c r="R2899">
        <v>0.65280180443839519</v>
      </c>
      <c r="S2899">
        <v>0.27037934237817629</v>
      </c>
      <c r="T2899">
        <v>0.20210719040429179</v>
      </c>
      <c r="U2899">
        <v>4.3324895039679294</v>
      </c>
      <c r="V2899">
        <v>0.21651976141875709</v>
      </c>
      <c r="W2899">
        <v>9.0281984823693033</v>
      </c>
      <c r="X2899">
        <v>0.4983067760464111</v>
      </c>
      <c r="Z2899" t="s">
        <v>392</v>
      </c>
      <c r="AA2899">
        <v>9400</v>
      </c>
      <c r="AB2899" t="s">
        <v>3290</v>
      </c>
      <c r="AC2899" t="str">
        <f>HYPERLINK("plots/3FT6Y578R01_012_S11P_20251111092011_M5358ACSH101811_RBGEUFRF26/dpll_52094/txpa_54227.png","plot")</f>
        <v>plot</v>
      </c>
    </row>
    <row r="2900" spans="1:29" hidden="1" x14ac:dyDescent="0.35">
      <c r="A2900" t="s">
        <v>48</v>
      </c>
      <c r="B2900">
        <v>52094</v>
      </c>
      <c r="C2900" t="s">
        <v>53</v>
      </c>
      <c r="D2900">
        <v>54228</v>
      </c>
      <c r="E2900" t="s">
        <v>248</v>
      </c>
      <c r="F2900">
        <v>12232</v>
      </c>
      <c r="G2900">
        <v>0.85013462356345193</v>
      </c>
      <c r="H2900">
        <v>0</v>
      </c>
      <c r="I2900">
        <v>0</v>
      </c>
      <c r="J2900">
        <v>0.73987681844239139</v>
      </c>
      <c r="K2900">
        <v>0</v>
      </c>
      <c r="L2900">
        <v>0</v>
      </c>
      <c r="M2900">
        <v>0.54815374558245489</v>
      </c>
      <c r="N2900">
        <v>0</v>
      </c>
      <c r="O2900">
        <v>0</v>
      </c>
      <c r="P2900">
        <v>0.7227288781813721</v>
      </c>
      <c r="Q2900">
        <v>1.964335558916402</v>
      </c>
      <c r="R2900">
        <v>0.5513360371459779</v>
      </c>
      <c r="S2900">
        <v>0.26367616961851831</v>
      </c>
      <c r="T2900">
        <v>0.19961784701997429</v>
      </c>
      <c r="U2900">
        <v>4.3321660865761942</v>
      </c>
      <c r="V2900">
        <v>0.21672466492444131</v>
      </c>
      <c r="W2900">
        <v>9.0611639281393064</v>
      </c>
      <c r="X2900">
        <v>0.5007677066731625</v>
      </c>
      <c r="Z2900" t="s">
        <v>392</v>
      </c>
      <c r="AA2900">
        <v>9400</v>
      </c>
      <c r="AB2900" t="s">
        <v>3291</v>
      </c>
      <c r="AC2900" t="str">
        <f>HYPERLINK("plots/3FT6Y578R01_012_S11P_20251111092011_M5358ACSH101811_RBGEUFRF26/dpll_52094/txpa_54228.png","plot")</f>
        <v>plot</v>
      </c>
    </row>
    <row r="2901" spans="1:29" hidden="1" x14ac:dyDescent="0.35">
      <c r="A2901" t="s">
        <v>48</v>
      </c>
      <c r="B2901">
        <v>52094</v>
      </c>
      <c r="C2901" t="s">
        <v>53</v>
      </c>
      <c r="D2901">
        <v>54229</v>
      </c>
      <c r="E2901" t="s">
        <v>249</v>
      </c>
      <c r="F2901">
        <v>12231</v>
      </c>
      <c r="G2901">
        <v>0.84987113581644436</v>
      </c>
      <c r="H2901">
        <v>0</v>
      </c>
      <c r="I2901">
        <v>0</v>
      </c>
      <c r="J2901">
        <v>0.73707758455187433</v>
      </c>
      <c r="K2901">
        <v>0</v>
      </c>
      <c r="L2901">
        <v>0</v>
      </c>
      <c r="M2901">
        <v>0.54521436262197809</v>
      </c>
      <c r="N2901">
        <v>0</v>
      </c>
      <c r="O2901">
        <v>0</v>
      </c>
      <c r="P2901">
        <v>0.72228094749393323</v>
      </c>
      <c r="Q2901">
        <v>1.9463501569083741</v>
      </c>
      <c r="R2901">
        <v>0.63653847047396717</v>
      </c>
      <c r="S2901">
        <v>0.26153626501015098</v>
      </c>
      <c r="T2901">
        <v>0.19767281314735749</v>
      </c>
      <c r="U2901">
        <v>4.3322124842613032</v>
      </c>
      <c r="V2901">
        <v>0.2167099937056037</v>
      </c>
      <c r="W2901">
        <v>9.068540918976371</v>
      </c>
      <c r="X2901">
        <v>0.49630292461610792</v>
      </c>
      <c r="Z2901" t="s">
        <v>392</v>
      </c>
      <c r="AA2901">
        <v>9400</v>
      </c>
      <c r="AB2901" t="s">
        <v>3292</v>
      </c>
      <c r="AC2901" t="str">
        <f>HYPERLINK("plots/3FT6Y578R01_012_S11P_20251111092011_M5358ACSH101811_RBGEUFRF26/dpll_52094/txpa_54229.png","plot")</f>
        <v>plot</v>
      </c>
    </row>
    <row r="2902" spans="1:29" hidden="1" x14ac:dyDescent="0.35">
      <c r="A2902" t="s">
        <v>48</v>
      </c>
      <c r="B2902">
        <v>52094</v>
      </c>
      <c r="C2902" t="s">
        <v>53</v>
      </c>
      <c r="D2902">
        <v>54230</v>
      </c>
      <c r="E2902" t="s">
        <v>250</v>
      </c>
      <c r="F2902">
        <v>12238</v>
      </c>
      <c r="G2902">
        <v>0.85605096907830314</v>
      </c>
      <c r="H2902">
        <v>0</v>
      </c>
      <c r="I2902">
        <v>0</v>
      </c>
      <c r="J2902">
        <v>0.74267009483692448</v>
      </c>
      <c r="K2902">
        <v>0</v>
      </c>
      <c r="L2902">
        <v>0</v>
      </c>
      <c r="M2902">
        <v>0.55099952276058117</v>
      </c>
      <c r="N2902">
        <v>0</v>
      </c>
      <c r="O2902">
        <v>0</v>
      </c>
      <c r="P2902">
        <v>0.73282326165990186</v>
      </c>
      <c r="Q2902">
        <v>1.974398248500266</v>
      </c>
      <c r="R2902">
        <v>0.53111277133680268</v>
      </c>
      <c r="S2902">
        <v>0.25845288756289009</v>
      </c>
      <c r="T2902">
        <v>0.19662333299747131</v>
      </c>
      <c r="U2902">
        <v>4.3320288025004086</v>
      </c>
      <c r="V2902">
        <v>0.2168026954561528</v>
      </c>
      <c r="W2902">
        <v>9.0842628514463151</v>
      </c>
      <c r="X2902">
        <v>0.50003431762905981</v>
      </c>
      <c r="Z2902" t="s">
        <v>392</v>
      </c>
      <c r="AA2902">
        <v>9400</v>
      </c>
      <c r="AB2902" t="s">
        <v>3293</v>
      </c>
      <c r="AC2902" t="str">
        <f>HYPERLINK("plots/3FT6Y578R01_012_S11P_20251111092011_M5358ACSH101811_RBGEUFRF26/dpll_52094/txpa_54230.png","plot")</f>
        <v>plot</v>
      </c>
    </row>
    <row r="2903" spans="1:29" hidden="1" x14ac:dyDescent="0.35">
      <c r="A2903" t="s">
        <v>48</v>
      </c>
      <c r="B2903">
        <v>52094</v>
      </c>
      <c r="C2903" t="s">
        <v>53</v>
      </c>
      <c r="D2903">
        <v>54231</v>
      </c>
      <c r="E2903" t="s">
        <v>251</v>
      </c>
      <c r="F2903">
        <v>12235</v>
      </c>
      <c r="G2903">
        <v>0.85676654540281294</v>
      </c>
      <c r="H2903">
        <v>0</v>
      </c>
      <c r="I2903">
        <v>0</v>
      </c>
      <c r="J2903">
        <v>0.74089469315678924</v>
      </c>
      <c r="K2903">
        <v>0</v>
      </c>
      <c r="L2903">
        <v>0</v>
      </c>
      <c r="M2903">
        <v>0.54893050604899873</v>
      </c>
      <c r="N2903">
        <v>0</v>
      </c>
      <c r="O2903">
        <v>0</v>
      </c>
      <c r="P2903">
        <v>0.73404891332147038</v>
      </c>
      <c r="Q2903">
        <v>1.9808772085430899</v>
      </c>
      <c r="R2903">
        <v>0.47278453030349971</v>
      </c>
      <c r="S2903">
        <v>0.25843086821662559</v>
      </c>
      <c r="T2903">
        <v>0.19757454058721391</v>
      </c>
      <c r="U2903">
        <v>4.33207151001226</v>
      </c>
      <c r="V2903">
        <v>0.2167535383155243</v>
      </c>
      <c r="W2903">
        <v>9.0540862502656321</v>
      </c>
      <c r="X2903">
        <v>0.50114251802213738</v>
      </c>
      <c r="Z2903" t="s">
        <v>392</v>
      </c>
      <c r="AA2903">
        <v>9400</v>
      </c>
      <c r="AB2903" t="s">
        <v>3294</v>
      </c>
      <c r="AC2903" t="str">
        <f>HYPERLINK("plots/3FT6Y578R01_012_S11P_20251111092011_M5358ACSH101811_RBGEUFRF26/dpll_52094/txpa_54231.png","plot")</f>
        <v>plot</v>
      </c>
    </row>
    <row r="2904" spans="1:29" hidden="1" x14ac:dyDescent="0.35">
      <c r="A2904" t="s">
        <v>48</v>
      </c>
      <c r="B2904">
        <v>52094</v>
      </c>
      <c r="C2904" t="s">
        <v>53</v>
      </c>
      <c r="D2904">
        <v>54232</v>
      </c>
      <c r="E2904" t="s">
        <v>252</v>
      </c>
      <c r="F2904">
        <v>12237</v>
      </c>
      <c r="G2904">
        <v>0.85834731035675238</v>
      </c>
      <c r="H2904">
        <v>0</v>
      </c>
      <c r="I2904">
        <v>0</v>
      </c>
      <c r="J2904">
        <v>0.7440675241381004</v>
      </c>
      <c r="K2904">
        <v>0</v>
      </c>
      <c r="L2904">
        <v>0</v>
      </c>
      <c r="M2904">
        <v>0.5527704734572616</v>
      </c>
      <c r="N2904">
        <v>0</v>
      </c>
      <c r="O2904">
        <v>0</v>
      </c>
      <c r="P2904">
        <v>0.73676010519667101</v>
      </c>
      <c r="Q2904">
        <v>1.9862932725065909</v>
      </c>
      <c r="R2904">
        <v>0.45890687123616303</v>
      </c>
      <c r="S2904">
        <v>0.25737941033372369</v>
      </c>
      <c r="T2904">
        <v>0.19697385323022321</v>
      </c>
      <c r="U2904">
        <v>4.3320009329901126</v>
      </c>
      <c r="V2904">
        <v>0.2167880665489364</v>
      </c>
      <c r="W2904">
        <v>9.0635311809266987</v>
      </c>
      <c r="X2904">
        <v>0.50166718407598032</v>
      </c>
      <c r="Z2904" t="s">
        <v>392</v>
      </c>
      <c r="AA2904">
        <v>9400</v>
      </c>
      <c r="AB2904" t="s">
        <v>3295</v>
      </c>
      <c r="AC2904" t="str">
        <f>HYPERLINK("plots/3FT6Y578R01_012_S11P_20251111092011_M5358ACSH101811_RBGEUFRF26/dpll_52094/txpa_54232.png","plot")</f>
        <v>plot</v>
      </c>
    </row>
    <row r="2905" spans="1:29" hidden="1" x14ac:dyDescent="0.35">
      <c r="A2905" t="s">
        <v>48</v>
      </c>
      <c r="B2905">
        <v>52094</v>
      </c>
      <c r="C2905" t="s">
        <v>53</v>
      </c>
      <c r="D2905">
        <v>54233</v>
      </c>
      <c r="E2905" t="s">
        <v>253</v>
      </c>
      <c r="F2905">
        <v>12229</v>
      </c>
      <c r="G2905">
        <v>0.85881258687734996</v>
      </c>
      <c r="H2905">
        <v>0</v>
      </c>
      <c r="I2905">
        <v>0</v>
      </c>
      <c r="J2905">
        <v>0.7399610152716033</v>
      </c>
      <c r="K2905">
        <v>0</v>
      </c>
      <c r="L2905">
        <v>0</v>
      </c>
      <c r="M2905">
        <v>0.54954586979066267</v>
      </c>
      <c r="N2905">
        <v>0</v>
      </c>
      <c r="O2905">
        <v>0</v>
      </c>
      <c r="P2905">
        <v>0.73755905937896582</v>
      </c>
      <c r="Q2905">
        <v>1.9785935124640339</v>
      </c>
      <c r="R2905">
        <v>0.49866879692843652</v>
      </c>
      <c r="S2905">
        <v>0.25578720108955361</v>
      </c>
      <c r="T2905">
        <v>0.19599926803021159</v>
      </c>
      <c r="U2905">
        <v>4.3322402573391123</v>
      </c>
      <c r="V2905">
        <v>0.21673177835395729</v>
      </c>
      <c r="W2905">
        <v>9.0704112645351209</v>
      </c>
      <c r="X2905">
        <v>0.49932208394283201</v>
      </c>
      <c r="Z2905" t="s">
        <v>392</v>
      </c>
      <c r="AA2905">
        <v>9400</v>
      </c>
      <c r="AB2905" t="s">
        <v>3296</v>
      </c>
      <c r="AC2905" t="str">
        <f>HYPERLINK("plots/3FT6Y578R01_012_S11P_20251111092011_M5358ACSH101811_RBGEUFRF26/dpll_52094/txpa_54233.png","plot")</f>
        <v>plot</v>
      </c>
    </row>
    <row r="2906" spans="1:29" hidden="1" x14ac:dyDescent="0.35">
      <c r="A2906" t="s">
        <v>48</v>
      </c>
      <c r="B2906">
        <v>52094</v>
      </c>
      <c r="C2906" t="s">
        <v>53</v>
      </c>
      <c r="D2906">
        <v>54234</v>
      </c>
      <c r="E2906" t="s">
        <v>254</v>
      </c>
      <c r="F2906">
        <v>12227</v>
      </c>
      <c r="G2906">
        <v>0.85408657856815529</v>
      </c>
      <c r="H2906">
        <v>0</v>
      </c>
      <c r="I2906">
        <v>0</v>
      </c>
      <c r="J2906">
        <v>0.73359672094949324</v>
      </c>
      <c r="K2906">
        <v>0</v>
      </c>
      <c r="L2906">
        <v>0</v>
      </c>
      <c r="M2906">
        <v>0.54339652812848038</v>
      </c>
      <c r="N2906">
        <v>0</v>
      </c>
      <c r="O2906">
        <v>0</v>
      </c>
      <c r="P2906">
        <v>0.72946388369025772</v>
      </c>
      <c r="Q2906">
        <v>1.9572516543478391</v>
      </c>
      <c r="R2906">
        <v>0.57688653866492068</v>
      </c>
      <c r="S2906">
        <v>0.2582772237240355</v>
      </c>
      <c r="T2906">
        <v>0.19719202591917781</v>
      </c>
      <c r="U2906">
        <v>4.3323050307516153</v>
      </c>
      <c r="V2906">
        <v>0.21669379356154339</v>
      </c>
      <c r="W2906">
        <v>9.0562977272429865</v>
      </c>
      <c r="X2906">
        <v>0.49658230977738682</v>
      </c>
      <c r="Z2906" t="s">
        <v>392</v>
      </c>
      <c r="AA2906">
        <v>9400</v>
      </c>
      <c r="AB2906" t="s">
        <v>3297</v>
      </c>
      <c r="AC2906" t="str">
        <f>HYPERLINK("plots/3FT6Y578R01_012_S11P_20251111092011_M5358ACSH101811_RBGEUFRF26/dpll_52094/txpa_54234.png","plot")</f>
        <v>plot</v>
      </c>
    </row>
    <row r="2907" spans="1:29" hidden="1" x14ac:dyDescent="0.35">
      <c r="A2907" t="s">
        <v>48</v>
      </c>
      <c r="B2907">
        <v>52094</v>
      </c>
      <c r="C2907" t="s">
        <v>53</v>
      </c>
      <c r="D2907">
        <v>54235</v>
      </c>
      <c r="E2907" t="s">
        <v>255</v>
      </c>
      <c r="F2907">
        <v>12217</v>
      </c>
      <c r="G2907">
        <v>0.84139891655521393</v>
      </c>
      <c r="H2907">
        <v>0</v>
      </c>
      <c r="I2907">
        <v>0</v>
      </c>
      <c r="J2907">
        <v>0.7313901426622762</v>
      </c>
      <c r="K2907">
        <v>0</v>
      </c>
      <c r="L2907">
        <v>0</v>
      </c>
      <c r="M2907">
        <v>0.53886485886334967</v>
      </c>
      <c r="N2907">
        <v>0</v>
      </c>
      <c r="O2907">
        <v>0</v>
      </c>
      <c r="P2907">
        <v>0.7079521367802879</v>
      </c>
      <c r="Q2907">
        <v>1.992081304136242</v>
      </c>
      <c r="R2907">
        <v>0.84427338858878365</v>
      </c>
      <c r="S2907">
        <v>0.27690971193520281</v>
      </c>
      <c r="T2907">
        <v>0.20716313671021319</v>
      </c>
      <c r="U2907">
        <v>4.3326531559302612</v>
      </c>
      <c r="V2907">
        <v>0.21643317731069231</v>
      </c>
      <c r="W2907">
        <v>9.4752707378243421</v>
      </c>
      <c r="X2907">
        <v>0.51242339113131163</v>
      </c>
      <c r="Z2907" t="s">
        <v>392</v>
      </c>
      <c r="AA2907">
        <v>9400</v>
      </c>
      <c r="AB2907" t="s">
        <v>3298</v>
      </c>
      <c r="AC2907" t="str">
        <f>HYPERLINK("plots/3FT6Y578R01_012_S11P_20251111092011_M5358ACSH101811_RBGEUFRF26/dpll_52094/txpa_54235.png","plot")</f>
        <v>plot</v>
      </c>
    </row>
    <row r="2908" spans="1:29" hidden="1" x14ac:dyDescent="0.35">
      <c r="A2908" t="s">
        <v>48</v>
      </c>
      <c r="B2908">
        <v>52094</v>
      </c>
      <c r="C2908" t="s">
        <v>53</v>
      </c>
      <c r="D2908">
        <v>54236</v>
      </c>
      <c r="E2908" t="s">
        <v>256</v>
      </c>
      <c r="F2908">
        <v>12231</v>
      </c>
      <c r="G2908">
        <v>0.85074751772436252</v>
      </c>
      <c r="H2908">
        <v>0</v>
      </c>
      <c r="I2908">
        <v>0</v>
      </c>
      <c r="J2908">
        <v>0.73969012127173961</v>
      </c>
      <c r="K2908">
        <v>0</v>
      </c>
      <c r="L2908">
        <v>0</v>
      </c>
      <c r="M2908">
        <v>0.54810877401338154</v>
      </c>
      <c r="N2908">
        <v>0</v>
      </c>
      <c r="O2908">
        <v>0</v>
      </c>
      <c r="P2908">
        <v>0.72377133891416456</v>
      </c>
      <c r="Q2908">
        <v>2.0271172701222149</v>
      </c>
      <c r="R2908">
        <v>0.72584246286720244</v>
      </c>
      <c r="S2908">
        <v>0.27136915799437938</v>
      </c>
      <c r="T2908">
        <v>0.205198215451531</v>
      </c>
      <c r="U2908">
        <v>4.3321987671490474</v>
      </c>
      <c r="V2908">
        <v>0.2167033821180657</v>
      </c>
      <c r="W2908">
        <v>9.5077174013572066</v>
      </c>
      <c r="X2908">
        <v>0.51634963280345392</v>
      </c>
      <c r="Z2908" t="s">
        <v>392</v>
      </c>
      <c r="AA2908">
        <v>9400</v>
      </c>
      <c r="AB2908" t="s">
        <v>3299</v>
      </c>
      <c r="AC2908" t="str">
        <f>HYPERLINK("plots/3FT6Y578R01_012_S11P_20251111092011_M5358ACSH101811_RBGEUFRF26/dpll_52094/txpa_54236.png","plot")</f>
        <v>plot</v>
      </c>
    </row>
    <row r="2909" spans="1:29" hidden="1" x14ac:dyDescent="0.35">
      <c r="A2909" t="s">
        <v>48</v>
      </c>
      <c r="B2909">
        <v>52094</v>
      </c>
      <c r="C2909" t="s">
        <v>53</v>
      </c>
      <c r="D2909">
        <v>54237</v>
      </c>
      <c r="E2909" t="s">
        <v>257</v>
      </c>
      <c r="F2909">
        <v>12224</v>
      </c>
      <c r="G2909">
        <v>0.85136764132563636</v>
      </c>
      <c r="H2909">
        <v>0</v>
      </c>
      <c r="I2909">
        <v>0</v>
      </c>
      <c r="J2909">
        <v>0.73663254676937517</v>
      </c>
      <c r="K2909">
        <v>0</v>
      </c>
      <c r="L2909">
        <v>0</v>
      </c>
      <c r="M2909">
        <v>0.54504635558217263</v>
      </c>
      <c r="N2909">
        <v>0</v>
      </c>
      <c r="O2909">
        <v>0</v>
      </c>
      <c r="P2909">
        <v>0.72482686069637736</v>
      </c>
      <c r="Q2909">
        <v>2.0053339102075092</v>
      </c>
      <c r="R2909">
        <v>0.82844869698227264</v>
      </c>
      <c r="S2909">
        <v>0.26765195437156419</v>
      </c>
      <c r="T2909">
        <v>0.20259033874919791</v>
      </c>
      <c r="U2909">
        <v>4.3323942239856024</v>
      </c>
      <c r="V2909">
        <v>0.21662850678635431</v>
      </c>
      <c r="W2909">
        <v>9.5163457467277475</v>
      </c>
      <c r="X2909">
        <v>0.51025252721595671</v>
      </c>
      <c r="Z2909" t="s">
        <v>392</v>
      </c>
      <c r="AA2909">
        <v>9400</v>
      </c>
      <c r="AB2909" t="s">
        <v>3300</v>
      </c>
      <c r="AC2909" t="str">
        <f>HYPERLINK("plots/3FT6Y578R01_012_S11P_20251111092011_M5358ACSH101811_RBGEUFRF26/dpll_52094/txpa_54237.png","plot")</f>
        <v>plot</v>
      </c>
    </row>
    <row r="2910" spans="1:29" hidden="1" x14ac:dyDescent="0.35">
      <c r="A2910" t="s">
        <v>48</v>
      </c>
      <c r="B2910">
        <v>52094</v>
      </c>
      <c r="C2910" t="s">
        <v>53</v>
      </c>
      <c r="D2910">
        <v>54238</v>
      </c>
      <c r="E2910" t="s">
        <v>258</v>
      </c>
      <c r="F2910">
        <v>12236</v>
      </c>
      <c r="G2910">
        <v>0.85678085451135133</v>
      </c>
      <c r="H2910">
        <v>0</v>
      </c>
      <c r="I2910">
        <v>0</v>
      </c>
      <c r="J2910">
        <v>0.74226165474891004</v>
      </c>
      <c r="K2910">
        <v>0</v>
      </c>
      <c r="L2910">
        <v>0</v>
      </c>
      <c r="M2910">
        <v>0.55076670578248221</v>
      </c>
      <c r="N2910">
        <v>0</v>
      </c>
      <c r="O2910">
        <v>0</v>
      </c>
      <c r="P2910">
        <v>0.73407343265720137</v>
      </c>
      <c r="Q2910">
        <v>2.0373413905194049</v>
      </c>
      <c r="R2910">
        <v>0.70471728902771957</v>
      </c>
      <c r="S2910">
        <v>0.26580884088434747</v>
      </c>
      <c r="T2910">
        <v>0.20207847462589351</v>
      </c>
      <c r="U2910">
        <v>4.3320836323962073</v>
      </c>
      <c r="V2910">
        <v>0.2167765249402793</v>
      </c>
      <c r="W2910">
        <v>9.5306505805001631</v>
      </c>
      <c r="X2910">
        <v>0.51547345441755765</v>
      </c>
      <c r="Z2910" t="s">
        <v>392</v>
      </c>
      <c r="AA2910">
        <v>9400</v>
      </c>
      <c r="AB2910" t="s">
        <v>3301</v>
      </c>
      <c r="AC2910" t="str">
        <f>HYPERLINK("plots/3FT6Y578R01_012_S11P_20251111092011_M5358ACSH101811_RBGEUFRF26/dpll_52094/txpa_54238.png","plot")</f>
        <v>plot</v>
      </c>
    </row>
    <row r="2911" spans="1:29" hidden="1" x14ac:dyDescent="0.35">
      <c r="A2911" t="s">
        <v>48</v>
      </c>
      <c r="B2911">
        <v>52094</v>
      </c>
      <c r="C2911" t="s">
        <v>53</v>
      </c>
      <c r="D2911">
        <v>54239</v>
      </c>
      <c r="E2911" t="s">
        <v>259</v>
      </c>
      <c r="F2911">
        <v>12233</v>
      </c>
      <c r="G2911">
        <v>0.85693586981245706</v>
      </c>
      <c r="H2911">
        <v>0</v>
      </c>
      <c r="I2911">
        <v>0</v>
      </c>
      <c r="J2911">
        <v>0.7402056964161885</v>
      </c>
      <c r="K2911">
        <v>0</v>
      </c>
      <c r="L2911">
        <v>0</v>
      </c>
      <c r="M2911">
        <v>0.5485703995377641</v>
      </c>
      <c r="N2911">
        <v>0</v>
      </c>
      <c r="O2911">
        <v>0</v>
      </c>
      <c r="P2911">
        <v>0.73433908497123235</v>
      </c>
      <c r="Q2911">
        <v>2.0426385186256968</v>
      </c>
      <c r="R2911">
        <v>0.65125699153491645</v>
      </c>
      <c r="S2911">
        <v>0.26624455593189578</v>
      </c>
      <c r="T2911">
        <v>0.20311755660245931</v>
      </c>
      <c r="U2911">
        <v>4.3321331731382324</v>
      </c>
      <c r="V2911">
        <v>0.21671624171268991</v>
      </c>
      <c r="W2911">
        <v>9.5002390788032365</v>
      </c>
      <c r="X2911">
        <v>0.51657651234860491</v>
      </c>
      <c r="Z2911" t="s">
        <v>392</v>
      </c>
      <c r="AA2911">
        <v>9400</v>
      </c>
      <c r="AB2911" t="s">
        <v>3302</v>
      </c>
      <c r="AC2911" t="str">
        <f>HYPERLINK("plots/3FT6Y578R01_012_S11P_20251111092011_M5358ACSH101811_RBGEUFRF26/dpll_52094/txpa_54239.png","plot")</f>
        <v>plot</v>
      </c>
    </row>
    <row r="2912" spans="1:29" hidden="1" x14ac:dyDescent="0.35">
      <c r="A2912" t="s">
        <v>48</v>
      </c>
      <c r="B2912">
        <v>52094</v>
      </c>
      <c r="C2912" t="s">
        <v>53</v>
      </c>
      <c r="D2912">
        <v>54240</v>
      </c>
      <c r="E2912" t="s">
        <v>260</v>
      </c>
      <c r="F2912">
        <v>12234</v>
      </c>
      <c r="G2912">
        <v>0.85904852312894475</v>
      </c>
      <c r="H2912">
        <v>0</v>
      </c>
      <c r="I2912">
        <v>0</v>
      </c>
      <c r="J2912">
        <v>0.74348098200929424</v>
      </c>
      <c r="K2912">
        <v>0</v>
      </c>
      <c r="L2912">
        <v>0</v>
      </c>
      <c r="M2912">
        <v>0.55244096826342848</v>
      </c>
      <c r="N2912">
        <v>0</v>
      </c>
      <c r="O2912">
        <v>0</v>
      </c>
      <c r="P2912">
        <v>0.73796436509002117</v>
      </c>
      <c r="Q2912">
        <v>2.0484969832482398</v>
      </c>
      <c r="R2912">
        <v>0.63599488426337558</v>
      </c>
      <c r="S2912">
        <v>0.26455937301496468</v>
      </c>
      <c r="T2912">
        <v>0.20242620157520591</v>
      </c>
      <c r="U2912">
        <v>4.3320880747098256</v>
      </c>
      <c r="V2912">
        <v>0.21674200752287079</v>
      </c>
      <c r="W2912">
        <v>9.5102642364721284</v>
      </c>
      <c r="X2912">
        <v>0.51684548264699559</v>
      </c>
      <c r="Z2912" t="s">
        <v>392</v>
      </c>
      <c r="AA2912">
        <v>9400</v>
      </c>
      <c r="AB2912" t="s">
        <v>3303</v>
      </c>
      <c r="AC2912" t="str">
        <f>HYPERLINK("plots/3FT6Y578R01_012_S11P_20251111092011_M5358ACSH101811_RBGEUFRF26/dpll_52094/txpa_54240.png","plot")</f>
        <v>plot</v>
      </c>
    </row>
    <row r="2913" spans="1:29" hidden="1" x14ac:dyDescent="0.35">
      <c r="A2913" t="s">
        <v>48</v>
      </c>
      <c r="B2913">
        <v>52094</v>
      </c>
      <c r="C2913" t="s">
        <v>53</v>
      </c>
      <c r="D2913">
        <v>54241</v>
      </c>
      <c r="E2913" t="s">
        <v>261</v>
      </c>
      <c r="F2913">
        <v>12227</v>
      </c>
      <c r="G2913">
        <v>0.85958197566870698</v>
      </c>
      <c r="H2913">
        <v>0</v>
      </c>
      <c r="I2913">
        <v>0</v>
      </c>
      <c r="J2913">
        <v>0.73970578218791461</v>
      </c>
      <c r="K2913">
        <v>0</v>
      </c>
      <c r="L2913">
        <v>0</v>
      </c>
      <c r="M2913">
        <v>0.54955781975148055</v>
      </c>
      <c r="N2913">
        <v>0</v>
      </c>
      <c r="O2913">
        <v>0</v>
      </c>
      <c r="P2913">
        <v>0.7388811728945176</v>
      </c>
      <c r="Q2913">
        <v>2.041694103433251</v>
      </c>
      <c r="R2913">
        <v>0.67188746098079477</v>
      </c>
      <c r="S2913">
        <v>0.26301734438288549</v>
      </c>
      <c r="T2913">
        <v>0.20137515226757899</v>
      </c>
      <c r="U2913">
        <v>4.332292903492271</v>
      </c>
      <c r="V2913">
        <v>0.21671036396062601</v>
      </c>
      <c r="W2913">
        <v>9.5171043363866854</v>
      </c>
      <c r="X2913">
        <v>0.51473423684469188</v>
      </c>
      <c r="Z2913" t="s">
        <v>392</v>
      </c>
      <c r="AA2913">
        <v>9400</v>
      </c>
      <c r="AB2913" t="s">
        <v>3304</v>
      </c>
      <c r="AC2913" t="str">
        <f>HYPERLINK("plots/3FT6Y578R01_012_S11P_20251111092011_M5358ACSH101811_RBGEUFRF26/dpll_52094/txpa_54241.png","plot")</f>
        <v>plot</v>
      </c>
    </row>
    <row r="2914" spans="1:29" hidden="1" x14ac:dyDescent="0.35">
      <c r="A2914" t="s">
        <v>48</v>
      </c>
      <c r="B2914">
        <v>52094</v>
      </c>
      <c r="C2914" t="s">
        <v>53</v>
      </c>
      <c r="D2914">
        <v>54242</v>
      </c>
      <c r="E2914" t="s">
        <v>262</v>
      </c>
      <c r="F2914">
        <v>12224</v>
      </c>
      <c r="G2914">
        <v>0.85470825796054961</v>
      </c>
      <c r="H2914">
        <v>0</v>
      </c>
      <c r="I2914">
        <v>0</v>
      </c>
      <c r="J2914">
        <v>0.73312237836848448</v>
      </c>
      <c r="K2914">
        <v>0</v>
      </c>
      <c r="L2914">
        <v>0</v>
      </c>
      <c r="M2914">
        <v>0.54310630042141039</v>
      </c>
      <c r="N2914">
        <v>0</v>
      </c>
      <c r="O2914">
        <v>0</v>
      </c>
      <c r="P2914">
        <v>0.73052620622595743</v>
      </c>
      <c r="Q2914">
        <v>2.018685199634247</v>
      </c>
      <c r="R2914">
        <v>0.75760760155836415</v>
      </c>
      <c r="S2914">
        <v>0.26560054191759319</v>
      </c>
      <c r="T2914">
        <v>0.20268083790697489</v>
      </c>
      <c r="U2914">
        <v>4.3323970089168853</v>
      </c>
      <c r="V2914">
        <v>0.21663955470873941</v>
      </c>
      <c r="W2914">
        <v>9.50335332239856</v>
      </c>
      <c r="X2914">
        <v>0.51166823143771645</v>
      </c>
      <c r="Z2914" t="s">
        <v>392</v>
      </c>
      <c r="AA2914">
        <v>9400</v>
      </c>
      <c r="AB2914" t="s">
        <v>3305</v>
      </c>
      <c r="AC2914" t="str">
        <f>HYPERLINK("plots/3FT6Y578R01_012_S11P_20251111092011_M5358ACSH101811_RBGEUFRF26/dpll_52094/txpa_54242.png","plot")</f>
        <v>plot</v>
      </c>
    </row>
    <row r="2915" spans="1:29" hidden="1" x14ac:dyDescent="0.35">
      <c r="A2915" t="s">
        <v>48</v>
      </c>
      <c r="B2915">
        <v>52094</v>
      </c>
      <c r="C2915" t="s">
        <v>53</v>
      </c>
      <c r="D2915">
        <v>54243</v>
      </c>
      <c r="E2915" t="s">
        <v>263</v>
      </c>
      <c r="F2915">
        <v>12197</v>
      </c>
      <c r="G2915">
        <v>0.84692123531060126</v>
      </c>
      <c r="H2915">
        <v>0</v>
      </c>
      <c r="I2915">
        <v>0</v>
      </c>
      <c r="J2915">
        <v>0.72836020696345172</v>
      </c>
      <c r="K2915">
        <v>0</v>
      </c>
      <c r="L2915">
        <v>0</v>
      </c>
      <c r="M2915">
        <v>0.53716193286905645</v>
      </c>
      <c r="N2915">
        <v>0</v>
      </c>
      <c r="O2915">
        <v>0</v>
      </c>
      <c r="P2915">
        <v>0.71727557882003479</v>
      </c>
      <c r="Q2915">
        <v>2.2713960399574882</v>
      </c>
      <c r="R2915">
        <v>1.020783790562648</v>
      </c>
      <c r="S2915">
        <v>0.30844815265082609</v>
      </c>
      <c r="T2915">
        <v>0.23276573989305621</v>
      </c>
      <c r="U2915">
        <v>4.3330843496761506</v>
      </c>
      <c r="V2915">
        <v>0.2163059539400409</v>
      </c>
      <c r="W2915">
        <v>10.862934423218819</v>
      </c>
      <c r="X2915">
        <v>0.58012063780458889</v>
      </c>
      <c r="Z2915" t="s">
        <v>392</v>
      </c>
      <c r="AA2915">
        <v>9400</v>
      </c>
      <c r="AB2915" t="s">
        <v>3306</v>
      </c>
      <c r="AC2915" t="str">
        <f>HYPERLINK("plots/3FT6Y578R01_012_S11P_20251111092011_M5358ACSH101811_RBGEUFRF26/dpll_52094/txpa_54243.png","plot")</f>
        <v>plot</v>
      </c>
    </row>
    <row r="2916" spans="1:29" hidden="1" x14ac:dyDescent="0.35">
      <c r="A2916" t="s">
        <v>48</v>
      </c>
      <c r="B2916">
        <v>52094</v>
      </c>
      <c r="C2916" t="s">
        <v>53</v>
      </c>
      <c r="D2916">
        <v>54244</v>
      </c>
      <c r="E2916" t="s">
        <v>264</v>
      </c>
      <c r="F2916">
        <v>12210</v>
      </c>
      <c r="G2916">
        <v>0.85552102445939937</v>
      </c>
      <c r="H2916">
        <v>0</v>
      </c>
      <c r="I2916">
        <v>0</v>
      </c>
      <c r="J2916">
        <v>0.73619661566173622</v>
      </c>
      <c r="K2916">
        <v>0</v>
      </c>
      <c r="L2916">
        <v>0</v>
      </c>
      <c r="M2916">
        <v>0.54588411750629562</v>
      </c>
      <c r="N2916">
        <v>0</v>
      </c>
      <c r="O2916">
        <v>0</v>
      </c>
      <c r="P2916">
        <v>0.73191622329206019</v>
      </c>
      <c r="Q2916">
        <v>2.307988251048033</v>
      </c>
      <c r="R2916">
        <v>0.89667046213109103</v>
      </c>
      <c r="S2916">
        <v>0.30247754223086332</v>
      </c>
      <c r="T2916">
        <v>0.23065415145876661</v>
      </c>
      <c r="U2916">
        <v>4.332660201310401</v>
      </c>
      <c r="V2916">
        <v>0.21655725966448541</v>
      </c>
      <c r="W2916">
        <v>10.896399302538899</v>
      </c>
      <c r="X2916">
        <v>0.58421896913710536</v>
      </c>
      <c r="Z2916" t="s">
        <v>392</v>
      </c>
      <c r="AA2916">
        <v>9400</v>
      </c>
      <c r="AB2916" t="s">
        <v>3307</v>
      </c>
      <c r="AC2916" t="str">
        <f>HYPERLINK("plots/3FT6Y578R01_012_S11P_20251111092011_M5358ACSH101811_RBGEUFRF26/dpll_52094/txpa_54244.png","plot")</f>
        <v>plot</v>
      </c>
    </row>
    <row r="2917" spans="1:29" hidden="1" x14ac:dyDescent="0.35">
      <c r="A2917" t="s">
        <v>48</v>
      </c>
      <c r="B2917">
        <v>52094</v>
      </c>
      <c r="C2917" t="s">
        <v>53</v>
      </c>
      <c r="D2917">
        <v>54245</v>
      </c>
      <c r="E2917" t="s">
        <v>265</v>
      </c>
      <c r="F2917">
        <v>12203</v>
      </c>
      <c r="G2917">
        <v>0.85590911789860646</v>
      </c>
      <c r="H2917">
        <v>0</v>
      </c>
      <c r="I2917">
        <v>0</v>
      </c>
      <c r="J2917">
        <v>0.73351558500238057</v>
      </c>
      <c r="K2917">
        <v>0</v>
      </c>
      <c r="L2917">
        <v>0</v>
      </c>
      <c r="M2917">
        <v>0.5432604534956017</v>
      </c>
      <c r="N2917">
        <v>0</v>
      </c>
      <c r="O2917">
        <v>0</v>
      </c>
      <c r="P2917">
        <v>0.73258041810197061</v>
      </c>
      <c r="Q2917">
        <v>2.285533004613435</v>
      </c>
      <c r="R2917">
        <v>1.001949591348366</v>
      </c>
      <c r="S2917">
        <v>0.29882905480280308</v>
      </c>
      <c r="T2917">
        <v>0.2278862151826046</v>
      </c>
      <c r="U2917">
        <v>4.3329111413586823</v>
      </c>
      <c r="V2917">
        <v>0.2164134106115109</v>
      </c>
      <c r="W2917">
        <v>10.904961010980911</v>
      </c>
      <c r="X2917">
        <v>0.57788844896049107</v>
      </c>
      <c r="Z2917" t="s">
        <v>392</v>
      </c>
      <c r="AA2917">
        <v>9400</v>
      </c>
      <c r="AB2917" t="s">
        <v>3308</v>
      </c>
      <c r="AC2917" t="str">
        <f>HYPERLINK("plots/3FT6Y578R01_012_S11P_20251111092011_M5358ACSH101811_RBGEUFRF26/dpll_52094/txpa_54245.png","plot")</f>
        <v>plot</v>
      </c>
    </row>
    <row r="2918" spans="1:29" hidden="1" x14ac:dyDescent="0.35">
      <c r="A2918" t="s">
        <v>48</v>
      </c>
      <c r="B2918">
        <v>52094</v>
      </c>
      <c r="C2918" t="s">
        <v>53</v>
      </c>
      <c r="D2918">
        <v>54246</v>
      </c>
      <c r="E2918" t="s">
        <v>266</v>
      </c>
      <c r="F2918">
        <v>12218</v>
      </c>
      <c r="G2918">
        <v>0.86042212463786583</v>
      </c>
      <c r="H2918">
        <v>0</v>
      </c>
      <c r="I2918">
        <v>0</v>
      </c>
      <c r="J2918">
        <v>0.7384464553801493</v>
      </c>
      <c r="K2918">
        <v>0</v>
      </c>
      <c r="L2918">
        <v>0</v>
      </c>
      <c r="M2918">
        <v>0.548328240589813</v>
      </c>
      <c r="N2918">
        <v>0</v>
      </c>
      <c r="O2918">
        <v>0</v>
      </c>
      <c r="P2918">
        <v>0.74032623256633912</v>
      </c>
      <c r="Q2918">
        <v>2.323384575842236</v>
      </c>
      <c r="R2918">
        <v>0.850404913729923</v>
      </c>
      <c r="S2918">
        <v>0.29805393281111342</v>
      </c>
      <c r="T2918">
        <v>0.22795045050791049</v>
      </c>
      <c r="U2918">
        <v>4.3325084689801932</v>
      </c>
      <c r="V2918">
        <v>0.21661526483009119</v>
      </c>
      <c r="W2918">
        <v>10.916488265264359</v>
      </c>
      <c r="X2918">
        <v>0.58492285447684833</v>
      </c>
      <c r="Z2918" t="s">
        <v>392</v>
      </c>
      <c r="AA2918">
        <v>9400</v>
      </c>
      <c r="AB2918" t="s">
        <v>3309</v>
      </c>
      <c r="AC2918" t="str">
        <f>HYPERLINK("plots/3FT6Y578R01_012_S11P_20251111092011_M5358ACSH101811_RBGEUFRF26/dpll_52094/txpa_54246.png","plot")</f>
        <v>plot</v>
      </c>
    </row>
    <row r="2919" spans="1:29" hidden="1" x14ac:dyDescent="0.35">
      <c r="A2919" t="s">
        <v>48</v>
      </c>
      <c r="B2919">
        <v>52094</v>
      </c>
      <c r="C2919" t="s">
        <v>53</v>
      </c>
      <c r="D2919">
        <v>54247</v>
      </c>
      <c r="E2919" t="s">
        <v>267</v>
      </c>
      <c r="F2919">
        <v>12214</v>
      </c>
      <c r="G2919">
        <v>0.85968988789873391</v>
      </c>
      <c r="H2919">
        <v>0</v>
      </c>
      <c r="I2919">
        <v>0</v>
      </c>
      <c r="J2919">
        <v>0.73642937570924316</v>
      </c>
      <c r="K2919">
        <v>0</v>
      </c>
      <c r="L2919">
        <v>0</v>
      </c>
      <c r="M2919">
        <v>0.54618353447223367</v>
      </c>
      <c r="N2919">
        <v>0</v>
      </c>
      <c r="O2919">
        <v>0</v>
      </c>
      <c r="P2919">
        <v>0.73906670335533764</v>
      </c>
      <c r="Q2919">
        <v>2.324940437573809</v>
      </c>
      <c r="R2919">
        <v>0.81218015604052951</v>
      </c>
      <c r="S2919">
        <v>0.29898211320763329</v>
      </c>
      <c r="T2919">
        <v>0.22912327644508121</v>
      </c>
      <c r="U2919">
        <v>4.3326775819551333</v>
      </c>
      <c r="V2919">
        <v>0.2164353640686793</v>
      </c>
      <c r="W2919">
        <v>10.88539746929753</v>
      </c>
      <c r="X2919">
        <v>0.58532656615772083</v>
      </c>
      <c r="Z2919" t="s">
        <v>392</v>
      </c>
      <c r="AA2919">
        <v>9400</v>
      </c>
      <c r="AB2919" t="s">
        <v>3310</v>
      </c>
      <c r="AC2919" t="str">
        <f>HYPERLINK("plots/3FT6Y578R01_012_S11P_20251111092011_M5358ACSH101811_RBGEUFRF26/dpll_52094/txpa_54247.png","plot")</f>
        <v>plot</v>
      </c>
    </row>
    <row r="2920" spans="1:29" hidden="1" x14ac:dyDescent="0.35">
      <c r="A2920" t="s">
        <v>48</v>
      </c>
      <c r="B2920">
        <v>52094</v>
      </c>
      <c r="C2920" t="s">
        <v>53</v>
      </c>
      <c r="D2920">
        <v>54248</v>
      </c>
      <c r="E2920" t="s">
        <v>268</v>
      </c>
      <c r="F2920">
        <v>12223</v>
      </c>
      <c r="G2920">
        <v>0.86120832590889784</v>
      </c>
      <c r="H2920">
        <v>0</v>
      </c>
      <c r="I2920">
        <v>0</v>
      </c>
      <c r="J2920">
        <v>0.74004566255380333</v>
      </c>
      <c r="K2920">
        <v>0</v>
      </c>
      <c r="L2920">
        <v>0</v>
      </c>
      <c r="M2920">
        <v>0.55027125939293819</v>
      </c>
      <c r="N2920">
        <v>0</v>
      </c>
      <c r="O2920">
        <v>0</v>
      </c>
      <c r="P2920">
        <v>0.74167978061480644</v>
      </c>
      <c r="Q2920">
        <v>2.3370155431295569</v>
      </c>
      <c r="R2920">
        <v>0.77232250805860403</v>
      </c>
      <c r="S2920">
        <v>0.2987631401371359</v>
      </c>
      <c r="T2920">
        <v>0.2289930163054274</v>
      </c>
      <c r="U2920">
        <v>4.3323680425427469</v>
      </c>
      <c r="V2920">
        <v>0.21662680787112951</v>
      </c>
      <c r="W2920">
        <v>10.897133962038779</v>
      </c>
      <c r="X2920">
        <v>0.5878487258226115</v>
      </c>
      <c r="Z2920" t="s">
        <v>392</v>
      </c>
      <c r="AA2920">
        <v>9400</v>
      </c>
      <c r="AB2920" t="s">
        <v>3311</v>
      </c>
      <c r="AC2920" t="str">
        <f>HYPERLINK("plots/3FT6Y578R01_012_S11P_20251111092011_M5358ACSH101811_RBGEUFRF26/dpll_52094/txpa_54248.png","plot")</f>
        <v>plot</v>
      </c>
    </row>
    <row r="2921" spans="1:29" hidden="1" x14ac:dyDescent="0.35">
      <c r="A2921" t="s">
        <v>48</v>
      </c>
      <c r="B2921">
        <v>52094</v>
      </c>
      <c r="C2921" t="s">
        <v>53</v>
      </c>
      <c r="D2921">
        <v>54249</v>
      </c>
      <c r="E2921" t="s">
        <v>269</v>
      </c>
      <c r="F2921">
        <v>12209</v>
      </c>
      <c r="G2921">
        <v>0.86226602675685005</v>
      </c>
      <c r="H2921">
        <v>0</v>
      </c>
      <c r="I2921">
        <v>0</v>
      </c>
      <c r="J2921">
        <v>0.73630925379770562</v>
      </c>
      <c r="K2921">
        <v>0</v>
      </c>
      <c r="L2921">
        <v>0</v>
      </c>
      <c r="M2921">
        <v>0.54754620326983938</v>
      </c>
      <c r="N2921">
        <v>0</v>
      </c>
      <c r="O2921">
        <v>0</v>
      </c>
      <c r="P2921">
        <v>0.7435027008990448</v>
      </c>
      <c r="Q2921">
        <v>2.3257584497082768</v>
      </c>
      <c r="R2921">
        <v>0.82898136851157389</v>
      </c>
      <c r="S2921">
        <v>0.29571600192122399</v>
      </c>
      <c r="T2921">
        <v>0.22734313182339189</v>
      </c>
      <c r="U2921">
        <v>4.3327706571381768</v>
      </c>
      <c r="V2921">
        <v>0.2164850359429448</v>
      </c>
      <c r="W2921">
        <v>10.905959334998769</v>
      </c>
      <c r="X2921">
        <v>0.583917127610182</v>
      </c>
      <c r="Z2921" t="s">
        <v>392</v>
      </c>
      <c r="AA2921">
        <v>9400</v>
      </c>
      <c r="AB2921" t="s">
        <v>3312</v>
      </c>
      <c r="AC2921" t="str">
        <f>HYPERLINK("plots/3FT6Y578R01_012_S11P_20251111092011_M5358ACSH101811_RBGEUFRF26/dpll_52094/txpa_54249.png","plot")</f>
        <v>plot</v>
      </c>
    </row>
    <row r="2922" spans="1:29" hidden="1" x14ac:dyDescent="0.35">
      <c r="A2922" t="s">
        <v>48</v>
      </c>
      <c r="B2922">
        <v>52094</v>
      </c>
      <c r="C2922" t="s">
        <v>53</v>
      </c>
      <c r="D2922">
        <v>54250</v>
      </c>
      <c r="E2922" t="s">
        <v>270</v>
      </c>
      <c r="F2922">
        <v>12203</v>
      </c>
      <c r="G2922">
        <v>0.85722109095958321</v>
      </c>
      <c r="H2922">
        <v>0</v>
      </c>
      <c r="I2922">
        <v>0</v>
      </c>
      <c r="J2922">
        <v>0.72894049463109778</v>
      </c>
      <c r="K2922">
        <v>0</v>
      </c>
      <c r="L2922">
        <v>0</v>
      </c>
      <c r="M2922">
        <v>0.54021627394854665</v>
      </c>
      <c r="N2922">
        <v>0</v>
      </c>
      <c r="O2922">
        <v>0</v>
      </c>
      <c r="P2922">
        <v>0.73482799878593807</v>
      </c>
      <c r="Q2922">
        <v>2.2997454158205932</v>
      </c>
      <c r="R2922">
        <v>0.92815290847121723</v>
      </c>
      <c r="S2922">
        <v>0.29890186198069552</v>
      </c>
      <c r="T2922">
        <v>0.22911653136792681</v>
      </c>
      <c r="U2922">
        <v>4.3329609849217414</v>
      </c>
      <c r="V2922">
        <v>0.21636931425175809</v>
      </c>
      <c r="W2922">
        <v>10.89286007047447</v>
      </c>
      <c r="X2922">
        <v>0.58047374688099795</v>
      </c>
      <c r="Z2922" t="s">
        <v>392</v>
      </c>
      <c r="AA2922">
        <v>9400</v>
      </c>
      <c r="AB2922" t="s">
        <v>3313</v>
      </c>
      <c r="AC2922" t="str">
        <f>HYPERLINK("plots/3FT6Y578R01_012_S11P_20251111092011_M5358ACSH101811_RBGEUFRF26/dpll_52094/txpa_54250.png","plot")</f>
        <v>plot</v>
      </c>
    </row>
    <row r="2923" spans="1:29" hidden="1" x14ac:dyDescent="0.35">
      <c r="A2923" t="s">
        <v>48</v>
      </c>
      <c r="B2923">
        <v>52094</v>
      </c>
      <c r="C2923" t="s">
        <v>53</v>
      </c>
      <c r="D2923">
        <v>54251</v>
      </c>
      <c r="E2923" t="s">
        <v>271</v>
      </c>
      <c r="F2923">
        <v>12194</v>
      </c>
      <c r="G2923">
        <v>0.84819539278434319</v>
      </c>
      <c r="H2923">
        <v>0</v>
      </c>
      <c r="I2923">
        <v>0</v>
      </c>
      <c r="J2923">
        <v>0.72678498165507399</v>
      </c>
      <c r="K2923">
        <v>0</v>
      </c>
      <c r="L2923">
        <v>0</v>
      </c>
      <c r="M2923">
        <v>0.53620399478849512</v>
      </c>
      <c r="N2923">
        <v>0</v>
      </c>
      <c r="O2923">
        <v>0</v>
      </c>
      <c r="P2923">
        <v>0.71943542434058627</v>
      </c>
      <c r="Q2923">
        <v>2.4168479521573691</v>
      </c>
      <c r="R2923">
        <v>0.84289737140374932</v>
      </c>
      <c r="S2923">
        <v>0.32640061417295718</v>
      </c>
      <c r="T2923">
        <v>0.2470115769176385</v>
      </c>
      <c r="U2923">
        <v>4.3331614340659348</v>
      </c>
      <c r="V2923">
        <v>0.2162713234599761</v>
      </c>
      <c r="W2923">
        <v>11.31548970969329</v>
      </c>
      <c r="X2923">
        <v>0.61624350905606051</v>
      </c>
      <c r="Z2923" t="s">
        <v>392</v>
      </c>
      <c r="AA2923">
        <v>9400</v>
      </c>
      <c r="AB2923" t="s">
        <v>3314</v>
      </c>
      <c r="AC2923" t="str">
        <f>HYPERLINK("plots/3FT6Y578R01_012_S11P_20251111092011_M5358ACSH101811_RBGEUFRF26/dpll_52094/txpa_54251.png","plot")</f>
        <v>plot</v>
      </c>
    </row>
    <row r="2924" spans="1:29" hidden="1" x14ac:dyDescent="0.35">
      <c r="A2924" t="s">
        <v>48</v>
      </c>
      <c r="B2924">
        <v>52094</v>
      </c>
      <c r="C2924" t="s">
        <v>53</v>
      </c>
      <c r="D2924">
        <v>54252</v>
      </c>
      <c r="E2924" t="s">
        <v>272</v>
      </c>
      <c r="F2924">
        <v>12207</v>
      </c>
      <c r="G2924">
        <v>0.85620404076368417</v>
      </c>
      <c r="H2924">
        <v>0</v>
      </c>
      <c r="I2924">
        <v>0</v>
      </c>
      <c r="J2924">
        <v>0.7344525228790455</v>
      </c>
      <c r="K2924">
        <v>0</v>
      </c>
      <c r="L2924">
        <v>0</v>
      </c>
      <c r="M2924">
        <v>0.54467451794935784</v>
      </c>
      <c r="N2924">
        <v>0</v>
      </c>
      <c r="O2924">
        <v>0</v>
      </c>
      <c r="P2924">
        <v>0.73308535942006059</v>
      </c>
      <c r="Q2924">
        <v>2.4535619976544889</v>
      </c>
      <c r="R2924">
        <v>0.71899769873504127</v>
      </c>
      <c r="S2924">
        <v>0.32050432980116078</v>
      </c>
      <c r="T2924">
        <v>0.24483082205337511</v>
      </c>
      <c r="U2924">
        <v>4.3327577598099456</v>
      </c>
      <c r="V2924">
        <v>0.21649393243810061</v>
      </c>
      <c r="W2924">
        <v>11.349687483247321</v>
      </c>
      <c r="X2924">
        <v>0.62039100502155919</v>
      </c>
      <c r="Z2924" t="s">
        <v>392</v>
      </c>
      <c r="AA2924">
        <v>9400</v>
      </c>
      <c r="AB2924" t="s">
        <v>3315</v>
      </c>
      <c r="AC2924" t="str">
        <f>HYPERLINK("plots/3FT6Y578R01_012_S11P_20251111092011_M5358ACSH101811_RBGEUFRF26/dpll_52094/txpa_54252.png","plot")</f>
        <v>plot</v>
      </c>
    </row>
    <row r="2925" spans="1:29" hidden="1" x14ac:dyDescent="0.35">
      <c r="A2925" t="s">
        <v>48</v>
      </c>
      <c r="B2925">
        <v>52094</v>
      </c>
      <c r="C2925" t="s">
        <v>53</v>
      </c>
      <c r="D2925">
        <v>54253</v>
      </c>
      <c r="E2925" t="s">
        <v>273</v>
      </c>
      <c r="F2925">
        <v>12196</v>
      </c>
      <c r="G2925">
        <v>0.85721101760037044</v>
      </c>
      <c r="H2925">
        <v>0</v>
      </c>
      <c r="I2925">
        <v>0</v>
      </c>
      <c r="J2925">
        <v>0.73180245274722644</v>
      </c>
      <c r="K2925">
        <v>0</v>
      </c>
      <c r="L2925">
        <v>0</v>
      </c>
      <c r="M2925">
        <v>0.54220462958490323</v>
      </c>
      <c r="N2925">
        <v>0</v>
      </c>
      <c r="O2925">
        <v>0</v>
      </c>
      <c r="P2925">
        <v>0.7348107286954626</v>
      </c>
      <c r="Q2925">
        <v>2.428353690750499</v>
      </c>
      <c r="R2925">
        <v>0.83632987625984434</v>
      </c>
      <c r="S2925">
        <v>0.31557347050732398</v>
      </c>
      <c r="T2925">
        <v>0.24159140862759759</v>
      </c>
      <c r="U2925">
        <v>4.3330969701541493</v>
      </c>
      <c r="V2925">
        <v>0.21632968538878969</v>
      </c>
      <c r="W2925">
        <v>11.35862189611348</v>
      </c>
      <c r="X2925">
        <v>0.61283042231926499</v>
      </c>
      <c r="Z2925" t="s">
        <v>392</v>
      </c>
      <c r="AA2925">
        <v>9400</v>
      </c>
      <c r="AB2925" t="s">
        <v>3316</v>
      </c>
      <c r="AC2925" t="str">
        <f>HYPERLINK("plots/3FT6Y578R01_012_S11P_20251111092011_M5358ACSH101811_RBGEUFRF26/dpll_52094/txpa_54253.png","plot")</f>
        <v>plot</v>
      </c>
    </row>
    <row r="2926" spans="1:29" hidden="1" x14ac:dyDescent="0.35">
      <c r="A2926" t="s">
        <v>48</v>
      </c>
      <c r="B2926">
        <v>52094</v>
      </c>
      <c r="C2926" t="s">
        <v>53</v>
      </c>
      <c r="D2926">
        <v>54254</v>
      </c>
      <c r="E2926" t="s">
        <v>274</v>
      </c>
      <c r="F2926">
        <v>12211</v>
      </c>
      <c r="G2926">
        <v>0.86154542538576373</v>
      </c>
      <c r="H2926">
        <v>0</v>
      </c>
      <c r="I2926">
        <v>0</v>
      </c>
      <c r="J2926">
        <v>0.73631038015300976</v>
      </c>
      <c r="K2926">
        <v>0</v>
      </c>
      <c r="L2926">
        <v>0</v>
      </c>
      <c r="M2926">
        <v>0.54689792360999967</v>
      </c>
      <c r="N2926">
        <v>0</v>
      </c>
      <c r="O2926">
        <v>0</v>
      </c>
      <c r="P2926">
        <v>0.74226052000313658</v>
      </c>
      <c r="Q2926">
        <v>2.468262798080922</v>
      </c>
      <c r="R2926">
        <v>0.67453496487375908</v>
      </c>
      <c r="S2926">
        <v>0.31494626072214371</v>
      </c>
      <c r="T2926">
        <v>0.2417629697187047</v>
      </c>
      <c r="U2926">
        <v>4.3326818640569984</v>
      </c>
      <c r="V2926">
        <v>0.21654619117769339</v>
      </c>
      <c r="W2926">
        <v>11.36873242584555</v>
      </c>
      <c r="X2926">
        <v>0.62038853901487112</v>
      </c>
      <c r="Z2926" t="s">
        <v>392</v>
      </c>
      <c r="AA2926">
        <v>9400</v>
      </c>
      <c r="AB2926" t="s">
        <v>3317</v>
      </c>
      <c r="AC2926" t="str">
        <f>HYPERLINK("plots/3FT6Y578R01_012_S11P_20251111092011_M5358ACSH101811_RBGEUFRF26/dpll_52094/txpa_54254.png","plot")</f>
        <v>plot</v>
      </c>
    </row>
    <row r="2927" spans="1:29" hidden="1" x14ac:dyDescent="0.35">
      <c r="A2927" t="s">
        <v>48</v>
      </c>
      <c r="B2927">
        <v>52094</v>
      </c>
      <c r="C2927" t="s">
        <v>53</v>
      </c>
      <c r="D2927">
        <v>54255</v>
      </c>
      <c r="E2927" t="s">
        <v>275</v>
      </c>
      <c r="F2927">
        <v>12211</v>
      </c>
      <c r="G2927">
        <v>0.86043819637670449</v>
      </c>
      <c r="H2927">
        <v>0</v>
      </c>
      <c r="I2927">
        <v>0</v>
      </c>
      <c r="J2927">
        <v>0.73472601065108722</v>
      </c>
      <c r="K2927">
        <v>0</v>
      </c>
      <c r="L2927">
        <v>0</v>
      </c>
      <c r="M2927">
        <v>0.54506914990861421</v>
      </c>
      <c r="N2927">
        <v>0</v>
      </c>
      <c r="O2927">
        <v>0</v>
      </c>
      <c r="P2927">
        <v>0.7403538897839963</v>
      </c>
      <c r="Q2927">
        <v>2.472474647930873</v>
      </c>
      <c r="R2927">
        <v>0.6238334638181442</v>
      </c>
      <c r="S2927">
        <v>0.31684390701647758</v>
      </c>
      <c r="T2927">
        <v>0.24343675089280661</v>
      </c>
      <c r="U2927">
        <v>4.3327551904020956</v>
      </c>
      <c r="V2927">
        <v>0.2164014006043371</v>
      </c>
      <c r="W2927">
        <v>11.336460827778231</v>
      </c>
      <c r="X2927">
        <v>0.62183080554075021</v>
      </c>
      <c r="Z2927" t="s">
        <v>392</v>
      </c>
      <c r="AA2927">
        <v>9400</v>
      </c>
      <c r="AB2927" t="s">
        <v>3318</v>
      </c>
      <c r="AC2927" t="str">
        <f>HYPERLINK("plots/3FT6Y578R01_012_S11P_20251111092011_M5358ACSH101811_RBGEUFRF26/dpll_52094/txpa_54255.png","plot")</f>
        <v>plot</v>
      </c>
    </row>
    <row r="2928" spans="1:29" hidden="1" x14ac:dyDescent="0.35">
      <c r="A2928" t="s">
        <v>48</v>
      </c>
      <c r="B2928">
        <v>52094</v>
      </c>
      <c r="C2928" t="s">
        <v>53</v>
      </c>
      <c r="D2928">
        <v>54256</v>
      </c>
      <c r="E2928" t="s">
        <v>276</v>
      </c>
      <c r="F2928">
        <v>12219</v>
      </c>
      <c r="G2928">
        <v>0.86152789330027846</v>
      </c>
      <c r="H2928">
        <v>0</v>
      </c>
      <c r="I2928">
        <v>0</v>
      </c>
      <c r="J2928">
        <v>0.73805108661763941</v>
      </c>
      <c r="K2928">
        <v>0</v>
      </c>
      <c r="L2928">
        <v>0</v>
      </c>
      <c r="M2928">
        <v>0.54890974934500136</v>
      </c>
      <c r="N2928">
        <v>0</v>
      </c>
      <c r="O2928">
        <v>0</v>
      </c>
      <c r="P2928">
        <v>0.74223031093441594</v>
      </c>
      <c r="Q2928">
        <v>2.483302148648205</v>
      </c>
      <c r="R2928">
        <v>0.5902252166482107</v>
      </c>
      <c r="S2928">
        <v>0.31688662525832378</v>
      </c>
      <c r="T2928">
        <v>0.24329176619011461</v>
      </c>
      <c r="U2928">
        <v>4.332497558556347</v>
      </c>
      <c r="V2928">
        <v>0.21654369159294889</v>
      </c>
      <c r="W2928">
        <v>11.349125712824289</v>
      </c>
      <c r="X2928">
        <v>0.62417411994524685</v>
      </c>
      <c r="Z2928" t="s">
        <v>392</v>
      </c>
      <c r="AA2928">
        <v>9400</v>
      </c>
      <c r="AB2928" t="s">
        <v>3319</v>
      </c>
      <c r="AC2928" t="str">
        <f>HYPERLINK("plots/3FT6Y578R01_012_S11P_20251111092011_M5358ACSH101811_RBGEUFRF26/dpll_52094/txpa_54256.png","plot")</f>
        <v>plot</v>
      </c>
    </row>
    <row r="2929" spans="1:29" hidden="1" x14ac:dyDescent="0.35">
      <c r="A2929" t="s">
        <v>48</v>
      </c>
      <c r="B2929">
        <v>52094</v>
      </c>
      <c r="C2929" t="s">
        <v>53</v>
      </c>
      <c r="D2929">
        <v>54257</v>
      </c>
      <c r="E2929" t="s">
        <v>277</v>
      </c>
      <c r="F2929">
        <v>12203</v>
      </c>
      <c r="G2929">
        <v>0.86335394275279242</v>
      </c>
      <c r="H2929">
        <v>0</v>
      </c>
      <c r="I2929">
        <v>0</v>
      </c>
      <c r="J2929">
        <v>0.73473956423078446</v>
      </c>
      <c r="K2929">
        <v>0</v>
      </c>
      <c r="L2929">
        <v>0</v>
      </c>
      <c r="M2929">
        <v>0.54661566517185978</v>
      </c>
      <c r="N2929">
        <v>0</v>
      </c>
      <c r="O2929">
        <v>0</v>
      </c>
      <c r="P2929">
        <v>0.74538003046679202</v>
      </c>
      <c r="Q2929">
        <v>2.4715863661549631</v>
      </c>
      <c r="R2929">
        <v>0.64948004309398044</v>
      </c>
      <c r="S2929">
        <v>0.3126449554618177</v>
      </c>
      <c r="T2929">
        <v>0.24137553701031059</v>
      </c>
      <c r="U2929">
        <v>4.3329059446857334</v>
      </c>
      <c r="V2929">
        <v>0.21643927768223911</v>
      </c>
      <c r="W2929">
        <v>11.35863130181103</v>
      </c>
      <c r="X2929">
        <v>0.61961652264443767</v>
      </c>
      <c r="Z2929" t="s">
        <v>392</v>
      </c>
      <c r="AA2929">
        <v>9400</v>
      </c>
      <c r="AB2929" t="s">
        <v>3320</v>
      </c>
      <c r="AC2929" t="str">
        <f>HYPERLINK("plots/3FT6Y578R01_012_S11P_20251111092011_M5358ACSH101811_RBGEUFRF26/dpll_52094/txpa_54257.png","plot")</f>
        <v>plot</v>
      </c>
    </row>
    <row r="2930" spans="1:29" hidden="1" x14ac:dyDescent="0.35">
      <c r="A2930" t="s">
        <v>48</v>
      </c>
      <c r="B2930">
        <v>52094</v>
      </c>
      <c r="C2930" t="s">
        <v>53</v>
      </c>
      <c r="D2930">
        <v>54258</v>
      </c>
      <c r="E2930" t="s">
        <v>278</v>
      </c>
      <c r="F2930">
        <v>12198</v>
      </c>
      <c r="G2930">
        <v>0.85775651504454264</v>
      </c>
      <c r="H2930">
        <v>0</v>
      </c>
      <c r="I2930">
        <v>0</v>
      </c>
      <c r="J2930">
        <v>0.72678496119495184</v>
      </c>
      <c r="K2930">
        <v>0</v>
      </c>
      <c r="L2930">
        <v>0</v>
      </c>
      <c r="M2930">
        <v>0.53868547303904313</v>
      </c>
      <c r="N2930">
        <v>0</v>
      </c>
      <c r="O2930">
        <v>0</v>
      </c>
      <c r="P2930">
        <v>0.73574623910135872</v>
      </c>
      <c r="Q2930">
        <v>2.445740070890484</v>
      </c>
      <c r="R2930">
        <v>0.74690636833942392</v>
      </c>
      <c r="S2930">
        <v>0.31704406283503711</v>
      </c>
      <c r="T2930">
        <v>0.24359507986086509</v>
      </c>
      <c r="U2930">
        <v>4.3330930208230862</v>
      </c>
      <c r="V2930">
        <v>0.21631197629192481</v>
      </c>
      <c r="W2930">
        <v>11.34452560026234</v>
      </c>
      <c r="X2930">
        <v>0.61677510919657696</v>
      </c>
      <c r="Z2930" t="s">
        <v>392</v>
      </c>
      <c r="AA2930">
        <v>9400</v>
      </c>
      <c r="AB2930" t="s">
        <v>3321</v>
      </c>
      <c r="AC2930" t="str">
        <f>HYPERLINK("plots/3FT6Y578R01_012_S11P_20251111092011_M5358ACSH101811_RBGEUFRF26/dpll_52094/txpa_54258.png","plot")</f>
        <v>plot</v>
      </c>
    </row>
    <row r="2931" spans="1:29" hidden="1" x14ac:dyDescent="0.35">
      <c r="A2931" t="s">
        <v>48</v>
      </c>
      <c r="B2931">
        <v>52094</v>
      </c>
      <c r="C2931" t="s">
        <v>53</v>
      </c>
      <c r="D2931">
        <v>55146</v>
      </c>
      <c r="E2931" t="s">
        <v>279</v>
      </c>
      <c r="F2931">
        <v>12233</v>
      </c>
      <c r="G2931">
        <v>1.284633521032163E-3</v>
      </c>
      <c r="H2931">
        <v>0.88702493261942461</v>
      </c>
      <c r="I2931">
        <v>0.88702493261942461</v>
      </c>
      <c r="J2931">
        <v>-6.0396489475887773E-3</v>
      </c>
      <c r="K2931">
        <v>0.50417158794648609</v>
      </c>
      <c r="L2931">
        <v>0.50516797448392969</v>
      </c>
      <c r="M2931">
        <v>-4.0095054903706139E-3</v>
      </c>
      <c r="N2931">
        <v>0.50599452761171881</v>
      </c>
      <c r="O2931">
        <v>0.50749599505270315</v>
      </c>
      <c r="P2931">
        <v>1.650283283359494E-6</v>
      </c>
      <c r="Q2931">
        <v>3.1333882057976277E-2</v>
      </c>
      <c r="R2931">
        <v>-10.756613573204611</v>
      </c>
      <c r="S2931">
        <v>5.2895082601122994</v>
      </c>
      <c r="T2931">
        <v>3.975229236486348</v>
      </c>
      <c r="U2931">
        <v>4.3319117451156712</v>
      </c>
      <c r="V2931">
        <v>0.21686948868733891</v>
      </c>
      <c r="W2931">
        <v>-10.620877961497589</v>
      </c>
      <c r="X2931">
        <v>5.2897288364722286</v>
      </c>
      <c r="Z2931" t="s">
        <v>392</v>
      </c>
      <c r="AA2931">
        <v>9400</v>
      </c>
      <c r="AB2931" t="s">
        <v>3322</v>
      </c>
      <c r="AC2931" t="str">
        <f>HYPERLINK("plots/3FT6Y578R01_012_S11P_20251111092011_M5358ACSH101811_RBGEUFRF26/dpll_52094/txpa_55146.png","plot")</f>
        <v>plot</v>
      </c>
    </row>
    <row r="2932" spans="1:29" hidden="1" x14ac:dyDescent="0.35">
      <c r="A2932" t="s">
        <v>48</v>
      </c>
      <c r="B2932">
        <v>52094</v>
      </c>
      <c r="C2932" t="s">
        <v>53</v>
      </c>
      <c r="D2932">
        <v>55147</v>
      </c>
      <c r="E2932" t="s">
        <v>280</v>
      </c>
      <c r="F2932">
        <v>12243</v>
      </c>
      <c r="G2932">
        <v>0.2325836275540781</v>
      </c>
      <c r="H2932">
        <v>4.6256682979054559E-150</v>
      </c>
      <c r="I2932">
        <v>4.6763984587000319E-150</v>
      </c>
      <c r="J2932">
        <v>0.21035620768887731</v>
      </c>
      <c r="K2932">
        <v>1.7075489345136219E-122</v>
      </c>
      <c r="L2932">
        <v>1.72455639402073E-122</v>
      </c>
      <c r="M2932">
        <v>0.14685763460411411</v>
      </c>
      <c r="N2932">
        <v>5.6177012009400813E-121</v>
      </c>
      <c r="O2932">
        <v>5.6736544001526318E-121</v>
      </c>
      <c r="P2932">
        <v>5.4095143806214108E-2</v>
      </c>
      <c r="Q2932">
        <v>1.352448677756755</v>
      </c>
      <c r="R2932">
        <v>-30.768031445243381</v>
      </c>
      <c r="S2932">
        <v>1.226272225980813</v>
      </c>
      <c r="T2932">
        <v>1.029045509928872</v>
      </c>
      <c r="U2932">
        <v>4.3319153779302466</v>
      </c>
      <c r="V2932">
        <v>0.21683992469153379</v>
      </c>
      <c r="W2932">
        <v>-24.909338220207459</v>
      </c>
      <c r="X2932">
        <v>1.2609007457575749</v>
      </c>
      <c r="Z2932" t="s">
        <v>392</v>
      </c>
      <c r="AA2932">
        <v>9400</v>
      </c>
      <c r="AB2932" t="s">
        <v>3323</v>
      </c>
      <c r="AC2932" t="str">
        <f>HYPERLINK("plots/3FT6Y578R01_012_S11P_20251111092011_M5358ACSH101811_RBGEUFRF26/dpll_52094/txpa_55147.png","plot")</f>
        <v>plot</v>
      </c>
    </row>
    <row r="2933" spans="1:29" hidden="1" x14ac:dyDescent="0.35">
      <c r="A2933" t="s">
        <v>48</v>
      </c>
      <c r="B2933">
        <v>52094</v>
      </c>
      <c r="C2933" t="s">
        <v>53</v>
      </c>
      <c r="D2933">
        <v>55148</v>
      </c>
      <c r="E2933" t="s">
        <v>281</v>
      </c>
      <c r="F2933">
        <v>12243</v>
      </c>
      <c r="G2933">
        <v>0.22941006047152829</v>
      </c>
      <c r="H2933">
        <v>6.1380528025791249E-146</v>
      </c>
      <c r="I2933">
        <v>6.1807204983269442E-146</v>
      </c>
      <c r="J2933">
        <v>0.20362925850182739</v>
      </c>
      <c r="K2933">
        <v>9.5571061478220022E-115</v>
      </c>
      <c r="L2933">
        <v>9.6331069919398728E-115</v>
      </c>
      <c r="M2933">
        <v>0.14179280441623621</v>
      </c>
      <c r="N2933">
        <v>1.126537996597145E-113</v>
      </c>
      <c r="O2933">
        <v>1.1354965492539821E-113</v>
      </c>
      <c r="P2933">
        <v>5.2628975845550291E-2</v>
      </c>
      <c r="Q2933">
        <v>1.361877060626018</v>
      </c>
      <c r="R2933">
        <v>-30.73875337772499</v>
      </c>
      <c r="S2933">
        <v>1.252872868981677</v>
      </c>
      <c r="T2933">
        <v>1.056813255407451</v>
      </c>
      <c r="U2933">
        <v>4.3319153779302466</v>
      </c>
      <c r="V2933">
        <v>0.21683992469153379</v>
      </c>
      <c r="W2933">
        <v>-24.839217195948699</v>
      </c>
      <c r="X2933">
        <v>1.2872553132948741</v>
      </c>
      <c r="Z2933" t="s">
        <v>392</v>
      </c>
      <c r="AA2933">
        <v>9400</v>
      </c>
      <c r="AB2933" t="s">
        <v>3324</v>
      </c>
      <c r="AC2933" t="str">
        <f>HYPERLINK("plots/3FT6Y578R01_012_S11P_20251111092011_M5358ACSH101811_RBGEUFRF26/dpll_52094/txpa_55148.png","plot")</f>
        <v>plot</v>
      </c>
    </row>
    <row r="2934" spans="1:29" hidden="1" x14ac:dyDescent="0.35">
      <c r="A2934" t="s">
        <v>48</v>
      </c>
      <c r="B2934">
        <v>52094</v>
      </c>
      <c r="C2934" t="s">
        <v>53</v>
      </c>
      <c r="D2934">
        <v>55149</v>
      </c>
      <c r="E2934" t="s">
        <v>282</v>
      </c>
      <c r="F2934">
        <v>12243</v>
      </c>
      <c r="G2934">
        <v>0.24562344814693179</v>
      </c>
      <c r="H2934">
        <v>1.149262657042518E-167</v>
      </c>
      <c r="I2934">
        <v>1.179506411175216E-167</v>
      </c>
      <c r="J2934">
        <v>0.21847712155818991</v>
      </c>
      <c r="K2934">
        <v>3.2571104917458967E-132</v>
      </c>
      <c r="L2934">
        <v>3.3496045016534878E-132</v>
      </c>
      <c r="M2934">
        <v>0.15234773496451301</v>
      </c>
      <c r="N2934">
        <v>1.6467864927263351E-131</v>
      </c>
      <c r="O2934">
        <v>1.6918353633480281E-131</v>
      </c>
      <c r="P2934">
        <v>6.0330878279588468E-2</v>
      </c>
      <c r="Q2934">
        <v>1.462130445921253</v>
      </c>
      <c r="R2934">
        <v>-31.149463203624869</v>
      </c>
      <c r="S2934">
        <v>1.2511958210516789</v>
      </c>
      <c r="T2934">
        <v>1.0574418388420519</v>
      </c>
      <c r="U2934">
        <v>4.3319153779302466</v>
      </c>
      <c r="V2934">
        <v>0.21683992469153379</v>
      </c>
      <c r="W2934">
        <v>-24.81563784039859</v>
      </c>
      <c r="X2934">
        <v>1.2907898581128341</v>
      </c>
      <c r="Z2934" t="s">
        <v>392</v>
      </c>
      <c r="AA2934">
        <v>9400</v>
      </c>
      <c r="AB2934" t="s">
        <v>3325</v>
      </c>
      <c r="AC2934" t="str">
        <f>HYPERLINK("plots/3FT6Y578R01_012_S11P_20251111092011_M5358ACSH101811_RBGEUFRF26/dpll_52094/txpa_55149.png","plot")</f>
        <v>plot</v>
      </c>
    </row>
    <row r="2935" spans="1:29" hidden="1" x14ac:dyDescent="0.35">
      <c r="A2935" t="s">
        <v>48</v>
      </c>
      <c r="B2935">
        <v>52094</v>
      </c>
      <c r="C2935" t="s">
        <v>53</v>
      </c>
      <c r="D2935">
        <v>55150</v>
      </c>
      <c r="E2935" t="s">
        <v>283</v>
      </c>
      <c r="F2935">
        <v>12243</v>
      </c>
      <c r="G2935">
        <v>0.2534946677061688</v>
      </c>
      <c r="H2935">
        <v>8.1319678965613792E-179</v>
      </c>
      <c r="I2935">
        <v>8.4140973950135089E-179</v>
      </c>
      <c r="J2935">
        <v>0.23477686875713491</v>
      </c>
      <c r="K2935">
        <v>6.0129356191626525E-153</v>
      </c>
      <c r="L2935">
        <v>6.318255666146041E-153</v>
      </c>
      <c r="M2935">
        <v>0.16274253321823659</v>
      </c>
      <c r="N2935">
        <v>1.0536289059409091E-150</v>
      </c>
      <c r="O2935">
        <v>1.1071292338073381E-150</v>
      </c>
      <c r="P2935">
        <v>6.4259546555460942E-2</v>
      </c>
      <c r="Q2935">
        <v>1.5345763562982311</v>
      </c>
      <c r="R2935">
        <v>-31.398142135275389</v>
      </c>
      <c r="S2935">
        <v>1.2697519469894569</v>
      </c>
      <c r="T2935">
        <v>1.0695394893799319</v>
      </c>
      <c r="U2935">
        <v>4.3319153779302466</v>
      </c>
      <c r="V2935">
        <v>0.21683992469153379</v>
      </c>
      <c r="W2935">
        <v>-24.750487218818922</v>
      </c>
      <c r="X2935">
        <v>1.312680162246344</v>
      </c>
      <c r="Z2935" t="s">
        <v>392</v>
      </c>
      <c r="AA2935">
        <v>9400</v>
      </c>
      <c r="AB2935" t="s">
        <v>3326</v>
      </c>
      <c r="AC2935" t="str">
        <f>HYPERLINK("plots/3FT6Y578R01_012_S11P_20251111092011_M5358ACSH101811_RBGEUFRF26/dpll_52094/txpa_55150.png","plot")</f>
        <v>plot</v>
      </c>
    </row>
    <row r="2936" spans="1:29" hidden="1" x14ac:dyDescent="0.35">
      <c r="A2936" t="s">
        <v>48</v>
      </c>
      <c r="B2936">
        <v>52094</v>
      </c>
      <c r="C2936" t="s">
        <v>53</v>
      </c>
      <c r="D2936">
        <v>55151</v>
      </c>
      <c r="E2936" t="s">
        <v>284</v>
      </c>
      <c r="F2936">
        <v>12242</v>
      </c>
      <c r="G2936">
        <v>0.2392996644846333</v>
      </c>
      <c r="H2936">
        <v>5.5583853490573787E-159</v>
      </c>
      <c r="I2936">
        <v>5.6645253707981732E-159</v>
      </c>
      <c r="J2936">
        <v>0.21520774261938819</v>
      </c>
      <c r="K2936">
        <v>3.051473795032017E-128</v>
      </c>
      <c r="L2936">
        <v>3.1003952185996649E-128</v>
      </c>
      <c r="M2936">
        <v>0.14977304952893369</v>
      </c>
      <c r="N2936">
        <v>3.503634116147327E-127</v>
      </c>
      <c r="O2936">
        <v>3.559804602979348E-127</v>
      </c>
      <c r="P2936">
        <v>5.7264329422458057E-2</v>
      </c>
      <c r="Q2936">
        <v>1.423249627091602</v>
      </c>
      <c r="R2936">
        <v>-30.973708623657348</v>
      </c>
      <c r="S2936">
        <v>1.2521593041515571</v>
      </c>
      <c r="T2936">
        <v>1.0604110159834561</v>
      </c>
      <c r="U2936">
        <v>4.3319308992811631</v>
      </c>
      <c r="V2936">
        <v>0.21684198016641831</v>
      </c>
      <c r="W2936">
        <v>-24.808289586668849</v>
      </c>
      <c r="X2936">
        <v>1.289681153855013</v>
      </c>
      <c r="Z2936" t="s">
        <v>392</v>
      </c>
      <c r="AA2936">
        <v>9400</v>
      </c>
      <c r="AB2936" t="s">
        <v>3327</v>
      </c>
      <c r="AC2936" t="str">
        <f>HYPERLINK("plots/3FT6Y578R01_012_S11P_20251111092011_M5358ACSH101811_RBGEUFRF26/dpll_52094/txpa_55151.png","plot")</f>
        <v>plot</v>
      </c>
    </row>
    <row r="2937" spans="1:29" hidden="1" x14ac:dyDescent="0.35">
      <c r="A2937" t="s">
        <v>48</v>
      </c>
      <c r="B2937">
        <v>52094</v>
      </c>
      <c r="C2937" t="s">
        <v>53</v>
      </c>
      <c r="D2937">
        <v>55152</v>
      </c>
      <c r="E2937" t="s">
        <v>285</v>
      </c>
      <c r="F2937">
        <v>12243</v>
      </c>
      <c r="G2937">
        <v>0.242158797712968</v>
      </c>
      <c r="H2937">
        <v>6.9641820182655032E-163</v>
      </c>
      <c r="I2937">
        <v>7.1186296033480041E-163</v>
      </c>
      <c r="J2937">
        <v>0.216025645907061</v>
      </c>
      <c r="K2937">
        <v>3.0853925881282712E-129</v>
      </c>
      <c r="L2937">
        <v>3.147472921893427E-129</v>
      </c>
      <c r="M2937">
        <v>0.1509945337778438</v>
      </c>
      <c r="N2937">
        <v>1.3368192087974259E-128</v>
      </c>
      <c r="O2937">
        <v>1.3637169795981791E-128</v>
      </c>
      <c r="P2937">
        <v>5.8640883309790157E-2</v>
      </c>
      <c r="Q2937">
        <v>1.433572196445362</v>
      </c>
      <c r="R2937">
        <v>-31.060457798296611</v>
      </c>
      <c r="S2937">
        <v>1.245427625394129</v>
      </c>
      <c r="T2937">
        <v>1.048834271264995</v>
      </c>
      <c r="U2937">
        <v>4.3319153779302466</v>
      </c>
      <c r="V2937">
        <v>0.21683992469153379</v>
      </c>
      <c r="W2937">
        <v>-24.850344355141711</v>
      </c>
      <c r="X2937">
        <v>1.2836852926795079</v>
      </c>
      <c r="Z2937" t="s">
        <v>392</v>
      </c>
      <c r="AA2937">
        <v>9400</v>
      </c>
      <c r="AB2937" t="s">
        <v>3328</v>
      </c>
      <c r="AC2937" t="str">
        <f>HYPERLINK("plots/3FT6Y578R01_012_S11P_20251111092011_M5358ACSH101811_RBGEUFRF26/dpll_52094/txpa_55152.png","plot")</f>
        <v>plot</v>
      </c>
    </row>
    <row r="2938" spans="1:29" hidden="1" x14ac:dyDescent="0.35">
      <c r="A2938" t="s">
        <v>48</v>
      </c>
      <c r="B2938">
        <v>52094</v>
      </c>
      <c r="C2938" t="s">
        <v>53</v>
      </c>
      <c r="D2938">
        <v>55153</v>
      </c>
      <c r="E2938" t="s">
        <v>286</v>
      </c>
      <c r="F2938">
        <v>12243</v>
      </c>
      <c r="G2938">
        <v>0.23915943007356499</v>
      </c>
      <c r="H2938">
        <v>8.3474809242458731E-159</v>
      </c>
      <c r="I2938">
        <v>8.4983390132382686E-159</v>
      </c>
      <c r="J2938">
        <v>0.2174904007457184</v>
      </c>
      <c r="K2938">
        <v>5.1914963787742578E-131</v>
      </c>
      <c r="L2938">
        <v>5.317350836441512E-131</v>
      </c>
      <c r="M2938">
        <v>0.15183086495579029</v>
      </c>
      <c r="N2938">
        <v>1.105814018313243E-129</v>
      </c>
      <c r="O2938">
        <v>1.1314787230773239E-129</v>
      </c>
      <c r="P2938">
        <v>5.7197232993112447E-2</v>
      </c>
      <c r="Q2938">
        <v>1.3965078682343359</v>
      </c>
      <c r="R2938">
        <v>-30.926440199929871</v>
      </c>
      <c r="S2938">
        <v>1.229384722849441</v>
      </c>
      <c r="T2938">
        <v>1.0381565780037549</v>
      </c>
      <c r="U2938">
        <v>4.3319153779302466</v>
      </c>
      <c r="V2938">
        <v>0.21683992469153379</v>
      </c>
      <c r="W2938">
        <v>-24.876886290124968</v>
      </c>
      <c r="X2938">
        <v>1.26617905422304</v>
      </c>
      <c r="Z2938" t="s">
        <v>392</v>
      </c>
      <c r="AA2938">
        <v>9400</v>
      </c>
      <c r="AB2938" t="s">
        <v>3329</v>
      </c>
      <c r="AC2938" t="str">
        <f>HYPERLINK("plots/3FT6Y578R01_012_S11P_20251111092011_M5358ACSH101811_RBGEUFRF26/dpll_52094/txpa_55153.png","plot")</f>
        <v>plot</v>
      </c>
    </row>
    <row r="2939" spans="1:29" hidden="1" x14ac:dyDescent="0.35">
      <c r="A2939" t="s">
        <v>48</v>
      </c>
      <c r="B2939">
        <v>52094</v>
      </c>
      <c r="C2939" t="s">
        <v>53</v>
      </c>
      <c r="D2939">
        <v>55154</v>
      </c>
      <c r="E2939" t="s">
        <v>287</v>
      </c>
      <c r="F2939">
        <v>12243</v>
      </c>
      <c r="G2939">
        <v>0.23362393027162021</v>
      </c>
      <c r="H2939">
        <v>1.995245323839742E-151</v>
      </c>
      <c r="I2939">
        <v>2.0231787583734979E-151</v>
      </c>
      <c r="J2939">
        <v>0.21413507239370949</v>
      </c>
      <c r="K2939">
        <v>5.749988660535128E-127</v>
      </c>
      <c r="L2939">
        <v>5.8246638379446742E-127</v>
      </c>
      <c r="M2939">
        <v>0.1505542960592742</v>
      </c>
      <c r="N2939">
        <v>8.0542189482298091E-126</v>
      </c>
      <c r="O2939">
        <v>8.1588191943107147E-126</v>
      </c>
      <c r="P2939">
        <v>5.4580140795558833E-2</v>
      </c>
      <c r="Q2939">
        <v>1.325698321663364</v>
      </c>
      <c r="R2939">
        <v>-30.733054778177149</v>
      </c>
      <c r="S2939">
        <v>1.196358257755846</v>
      </c>
      <c r="T2939">
        <v>1.0057585368784581</v>
      </c>
      <c r="U2939">
        <v>4.3319153779302466</v>
      </c>
      <c r="V2939">
        <v>0.21683992469153379</v>
      </c>
      <c r="W2939">
        <v>-24.990241832067301</v>
      </c>
      <c r="X2939">
        <v>1.230457530180918</v>
      </c>
      <c r="Z2939" t="s">
        <v>392</v>
      </c>
      <c r="AA2939">
        <v>9400</v>
      </c>
      <c r="AB2939" t="s">
        <v>3330</v>
      </c>
      <c r="AC2939" t="str">
        <f>HYPERLINK("plots/3FT6Y578R01_012_S11P_20251111092011_M5358ACSH101811_RBGEUFRF26/dpll_52094/txpa_55154.png","plot")</f>
        <v>plot</v>
      </c>
    </row>
    <row r="2940" spans="1:29" hidden="1" x14ac:dyDescent="0.35">
      <c r="A2940" t="s">
        <v>48</v>
      </c>
      <c r="B2940">
        <v>52094</v>
      </c>
      <c r="C2940" t="s">
        <v>53</v>
      </c>
      <c r="D2940">
        <v>55155</v>
      </c>
      <c r="E2940" t="s">
        <v>288</v>
      </c>
      <c r="F2940">
        <v>12243</v>
      </c>
      <c r="G2940">
        <v>0.72159865745129426</v>
      </c>
      <c r="H2940">
        <v>0</v>
      </c>
      <c r="I2940">
        <v>0</v>
      </c>
      <c r="J2940">
        <v>0.62537474653727931</v>
      </c>
      <c r="K2940">
        <v>0</v>
      </c>
      <c r="L2940">
        <v>0</v>
      </c>
      <c r="M2940">
        <v>0.44707313900833878</v>
      </c>
      <c r="N2940">
        <v>0</v>
      </c>
      <c r="O2940">
        <v>0</v>
      </c>
      <c r="P2940">
        <v>0.5207046224355103</v>
      </c>
      <c r="Q2940">
        <v>1.2843350637213851</v>
      </c>
      <c r="R2940">
        <v>-16.788112389360698</v>
      </c>
      <c r="S2940">
        <v>0.26718111246769649</v>
      </c>
      <c r="T2940">
        <v>0.20579015867632899</v>
      </c>
      <c r="U2940">
        <v>4.3319153779302466</v>
      </c>
      <c r="V2940">
        <v>0.21683992469153379</v>
      </c>
      <c r="W2940">
        <v>-11.22448157641101</v>
      </c>
      <c r="X2940">
        <v>0.38594184678737292</v>
      </c>
      <c r="Z2940" t="s">
        <v>392</v>
      </c>
      <c r="AA2940">
        <v>9400</v>
      </c>
      <c r="AB2940" t="s">
        <v>3331</v>
      </c>
      <c r="AC2940" t="str">
        <f>HYPERLINK("plots/3FT6Y578R01_012_S11P_20251111092011_M5358ACSH101811_RBGEUFRF26/dpll_52094/txpa_55155.png","plot")</f>
        <v>plot</v>
      </c>
    </row>
    <row r="2941" spans="1:29" hidden="1" x14ac:dyDescent="0.35">
      <c r="A2941" t="s">
        <v>48</v>
      </c>
      <c r="B2941">
        <v>52094</v>
      </c>
      <c r="C2941" t="s">
        <v>53</v>
      </c>
      <c r="D2941">
        <v>55156</v>
      </c>
      <c r="E2941" t="s">
        <v>289</v>
      </c>
      <c r="F2941">
        <v>12242</v>
      </c>
      <c r="G2941">
        <v>0.73742875000914909</v>
      </c>
      <c r="H2941">
        <v>0</v>
      </c>
      <c r="I2941">
        <v>0</v>
      </c>
      <c r="J2941">
        <v>0.63361007850001072</v>
      </c>
      <c r="K2941">
        <v>0</v>
      </c>
      <c r="L2941">
        <v>0</v>
      </c>
      <c r="M2941">
        <v>0.45493183823717809</v>
      </c>
      <c r="N2941">
        <v>0</v>
      </c>
      <c r="O2941">
        <v>0</v>
      </c>
      <c r="P2941">
        <v>0.54380116134005607</v>
      </c>
      <c r="Q2941">
        <v>1.309491938787426</v>
      </c>
      <c r="R2941">
        <v>-16.83331191323833</v>
      </c>
      <c r="S2941">
        <v>0.26006800038938338</v>
      </c>
      <c r="T2941">
        <v>0.2026236972333105</v>
      </c>
      <c r="U2941">
        <v>4.3319007004574406</v>
      </c>
      <c r="V2941">
        <v>0.21684269964686589</v>
      </c>
      <c r="W2941">
        <v>-11.160722866361709</v>
      </c>
      <c r="X2941">
        <v>0.38505925781840061</v>
      </c>
      <c r="Z2941" t="s">
        <v>392</v>
      </c>
      <c r="AA2941">
        <v>9400</v>
      </c>
      <c r="AB2941" t="s">
        <v>3332</v>
      </c>
      <c r="AC2941" t="str">
        <f>HYPERLINK("plots/3FT6Y578R01_012_S11P_20251111092011_M5358ACSH101811_RBGEUFRF26/dpll_52094/txpa_55156.png","plot")</f>
        <v>plot</v>
      </c>
    </row>
    <row r="2942" spans="1:29" hidden="1" x14ac:dyDescent="0.35">
      <c r="A2942" t="s">
        <v>48</v>
      </c>
      <c r="B2942">
        <v>52094</v>
      </c>
      <c r="C2942" t="s">
        <v>53</v>
      </c>
      <c r="D2942">
        <v>55157</v>
      </c>
      <c r="E2942" t="s">
        <v>290</v>
      </c>
      <c r="F2942">
        <v>12243</v>
      </c>
      <c r="G2942">
        <v>0.74074170789910432</v>
      </c>
      <c r="H2942">
        <v>0</v>
      </c>
      <c r="I2942">
        <v>0</v>
      </c>
      <c r="J2942">
        <v>0.63482756522644312</v>
      </c>
      <c r="K2942">
        <v>0</v>
      </c>
      <c r="L2942">
        <v>0</v>
      </c>
      <c r="M2942">
        <v>0.45676759277594642</v>
      </c>
      <c r="N2942">
        <v>0</v>
      </c>
      <c r="O2942">
        <v>0</v>
      </c>
      <c r="P2942">
        <v>0.548698277821282</v>
      </c>
      <c r="Q2942">
        <v>1.30516078739799</v>
      </c>
      <c r="R2942">
        <v>-16.792846446623528</v>
      </c>
      <c r="S2942">
        <v>0.25665647469460179</v>
      </c>
      <c r="T2942">
        <v>0.1994507223227181</v>
      </c>
      <c r="U2942">
        <v>4.3319153779302466</v>
      </c>
      <c r="V2942">
        <v>0.21683992469153379</v>
      </c>
      <c r="W2942">
        <v>-11.13900036102263</v>
      </c>
      <c r="X2942">
        <v>0.38206430639959582</v>
      </c>
      <c r="Z2942" t="s">
        <v>392</v>
      </c>
      <c r="AA2942">
        <v>9400</v>
      </c>
      <c r="AB2942" t="s">
        <v>3333</v>
      </c>
      <c r="AC2942" t="str">
        <f>HYPERLINK("plots/3FT6Y578R01_012_S11P_20251111092011_M5358ACSH101811_RBGEUFRF26/dpll_52094/txpa_55157.png","plot")</f>
        <v>plot</v>
      </c>
    </row>
    <row r="2943" spans="1:29" hidden="1" x14ac:dyDescent="0.35">
      <c r="A2943" t="s">
        <v>48</v>
      </c>
      <c r="B2943">
        <v>52094</v>
      </c>
      <c r="C2943" t="s">
        <v>53</v>
      </c>
      <c r="D2943">
        <v>55158</v>
      </c>
      <c r="E2943" t="s">
        <v>291</v>
      </c>
      <c r="F2943">
        <v>12242</v>
      </c>
      <c r="G2943">
        <v>0.74816713294521997</v>
      </c>
      <c r="H2943">
        <v>0</v>
      </c>
      <c r="I2943">
        <v>0</v>
      </c>
      <c r="J2943">
        <v>0.63914291962443592</v>
      </c>
      <c r="K2943">
        <v>0</v>
      </c>
      <c r="L2943">
        <v>0</v>
      </c>
      <c r="M2943">
        <v>0.4595908622867792</v>
      </c>
      <c r="N2943">
        <v>0</v>
      </c>
      <c r="O2943">
        <v>0</v>
      </c>
      <c r="P2943">
        <v>0.55975405881947049</v>
      </c>
      <c r="Q2943">
        <v>1.3239816032008309</v>
      </c>
      <c r="R2943">
        <v>-16.8265491869358</v>
      </c>
      <c r="S2943">
        <v>0.25460472710831872</v>
      </c>
      <c r="T2943">
        <v>0.19856468109057601</v>
      </c>
      <c r="U2943">
        <v>4.3319235655121711</v>
      </c>
      <c r="V2943">
        <v>0.21684688906752619</v>
      </c>
      <c r="W2943">
        <v>-11.091162079725541</v>
      </c>
      <c r="X2943">
        <v>0.3837395137989274</v>
      </c>
      <c r="Z2943" t="s">
        <v>392</v>
      </c>
      <c r="AA2943">
        <v>9400</v>
      </c>
      <c r="AB2943" t="s">
        <v>3334</v>
      </c>
      <c r="AC2943" t="str">
        <f>HYPERLINK("plots/3FT6Y578R01_012_S11P_20251111092011_M5358ACSH101811_RBGEUFRF26/dpll_52094/txpa_55158.png","plot")</f>
        <v>plot</v>
      </c>
    </row>
    <row r="2944" spans="1:29" hidden="1" x14ac:dyDescent="0.35">
      <c r="A2944" t="s">
        <v>48</v>
      </c>
      <c r="B2944">
        <v>52094</v>
      </c>
      <c r="C2944" t="s">
        <v>53</v>
      </c>
      <c r="D2944">
        <v>55159</v>
      </c>
      <c r="E2944" t="s">
        <v>292</v>
      </c>
      <c r="F2944">
        <v>12240</v>
      </c>
      <c r="G2944">
        <v>0.75015814964487337</v>
      </c>
      <c r="H2944">
        <v>0</v>
      </c>
      <c r="I2944">
        <v>0</v>
      </c>
      <c r="J2944">
        <v>0.63864738520804076</v>
      </c>
      <c r="K2944">
        <v>0</v>
      </c>
      <c r="L2944">
        <v>0</v>
      </c>
      <c r="M2944">
        <v>0.45795133606371341</v>
      </c>
      <c r="N2944">
        <v>0</v>
      </c>
      <c r="O2944">
        <v>0</v>
      </c>
      <c r="P2944">
        <v>0.56273724947862025</v>
      </c>
      <c r="Q2944">
        <v>1.325253141766553</v>
      </c>
      <c r="R2944">
        <v>-16.858342865623591</v>
      </c>
      <c r="S2944">
        <v>0.25326576414668939</v>
      </c>
      <c r="T2944">
        <v>0.19886183796272461</v>
      </c>
      <c r="U2944">
        <v>4.3319400696078434</v>
      </c>
      <c r="V2944">
        <v>0.21680883535870621</v>
      </c>
      <c r="W2944">
        <v>-11.117425678431371</v>
      </c>
      <c r="X2944">
        <v>0.38302135404100313</v>
      </c>
      <c r="Z2944" t="s">
        <v>392</v>
      </c>
      <c r="AA2944">
        <v>9400</v>
      </c>
      <c r="AB2944" t="s">
        <v>3335</v>
      </c>
      <c r="AC2944" t="str">
        <f>HYPERLINK("plots/3FT6Y578R01_012_S11P_20251111092011_M5358ACSH101811_RBGEUFRF26/dpll_52094/txpa_55159.png","plot")</f>
        <v>plot</v>
      </c>
    </row>
    <row r="2945" spans="1:29" hidden="1" x14ac:dyDescent="0.35">
      <c r="A2945" t="s">
        <v>48</v>
      </c>
      <c r="B2945">
        <v>52094</v>
      </c>
      <c r="C2945" t="s">
        <v>53</v>
      </c>
      <c r="D2945">
        <v>55160</v>
      </c>
      <c r="E2945" t="s">
        <v>293</v>
      </c>
      <c r="F2945">
        <v>12241</v>
      </c>
      <c r="G2945">
        <v>0.75072819047951489</v>
      </c>
      <c r="H2945">
        <v>0</v>
      </c>
      <c r="I2945">
        <v>0</v>
      </c>
      <c r="J2945">
        <v>0.64386269788852624</v>
      </c>
      <c r="K2945">
        <v>0</v>
      </c>
      <c r="L2945">
        <v>0</v>
      </c>
      <c r="M2945">
        <v>0.46353236630221412</v>
      </c>
      <c r="N2945">
        <v>0</v>
      </c>
      <c r="O2945">
        <v>0</v>
      </c>
      <c r="P2945">
        <v>0.56359281598064681</v>
      </c>
      <c r="Q2945">
        <v>1.3241267955912299</v>
      </c>
      <c r="R2945">
        <v>-16.87536296204199</v>
      </c>
      <c r="S2945">
        <v>0.25259979326195942</v>
      </c>
      <c r="T2945">
        <v>0.19766121282274859</v>
      </c>
      <c r="U2945">
        <v>4.3319197416877699</v>
      </c>
      <c r="V2945">
        <v>0.2167993297959015</v>
      </c>
      <c r="W2945">
        <v>-11.139351955722571</v>
      </c>
      <c r="X2945">
        <v>0.38238846694382489</v>
      </c>
      <c r="Z2945" t="s">
        <v>392</v>
      </c>
      <c r="AA2945">
        <v>9400</v>
      </c>
      <c r="AB2945" t="s">
        <v>3336</v>
      </c>
      <c r="AC2945" t="str">
        <f>HYPERLINK("plots/3FT6Y578R01_012_S11P_20251111092011_M5358ACSH101811_RBGEUFRF26/dpll_52094/txpa_55160.png","plot")</f>
        <v>plot</v>
      </c>
    </row>
    <row r="2946" spans="1:29" hidden="1" x14ac:dyDescent="0.35">
      <c r="A2946" t="s">
        <v>48</v>
      </c>
      <c r="B2946">
        <v>52094</v>
      </c>
      <c r="C2946" t="s">
        <v>53</v>
      </c>
      <c r="D2946">
        <v>55161</v>
      </c>
      <c r="E2946" t="s">
        <v>294</v>
      </c>
      <c r="F2946">
        <v>12242</v>
      </c>
      <c r="G2946">
        <v>0.75187219768493363</v>
      </c>
      <c r="H2946">
        <v>0</v>
      </c>
      <c r="I2946">
        <v>0</v>
      </c>
      <c r="J2946">
        <v>0.64148420970739439</v>
      </c>
      <c r="K2946">
        <v>0</v>
      </c>
      <c r="L2946">
        <v>0</v>
      </c>
      <c r="M2946">
        <v>0.46191678329512442</v>
      </c>
      <c r="N2946">
        <v>0</v>
      </c>
      <c r="O2946">
        <v>0</v>
      </c>
      <c r="P2946">
        <v>0.56531180165157191</v>
      </c>
      <c r="Q2946">
        <v>1.3290487402941591</v>
      </c>
      <c r="R2946">
        <v>-16.894432423971711</v>
      </c>
      <c r="S2946">
        <v>0.25267294968801313</v>
      </c>
      <c r="T2946">
        <v>0.19753827881277539</v>
      </c>
      <c r="U2946">
        <v>4.331949619669988</v>
      </c>
      <c r="V2946">
        <v>0.21681567757630049</v>
      </c>
      <c r="W2946">
        <v>-11.13706023893155</v>
      </c>
      <c r="X2946">
        <v>0.38325476596430458</v>
      </c>
      <c r="Z2946" t="s">
        <v>392</v>
      </c>
      <c r="AA2946">
        <v>9400</v>
      </c>
      <c r="AB2946" t="s">
        <v>3337</v>
      </c>
      <c r="AC2946" t="str">
        <f>HYPERLINK("plots/3FT6Y578R01_012_S11P_20251111092011_M5358ACSH101811_RBGEUFRF26/dpll_52094/txpa_55161.png","plot")</f>
        <v>plot</v>
      </c>
    </row>
    <row r="2947" spans="1:29" hidden="1" x14ac:dyDescent="0.35">
      <c r="A2947" t="s">
        <v>48</v>
      </c>
      <c r="B2947">
        <v>52094</v>
      </c>
      <c r="C2947" t="s">
        <v>53</v>
      </c>
      <c r="D2947">
        <v>55162</v>
      </c>
      <c r="E2947" t="s">
        <v>295</v>
      </c>
      <c r="F2947">
        <v>12241</v>
      </c>
      <c r="G2947">
        <v>0.74226696133694425</v>
      </c>
      <c r="H2947">
        <v>0</v>
      </c>
      <c r="I2947">
        <v>0</v>
      </c>
      <c r="J2947">
        <v>0.62975865676068299</v>
      </c>
      <c r="K2947">
        <v>0</v>
      </c>
      <c r="L2947">
        <v>0</v>
      </c>
      <c r="M2947">
        <v>0.45218719650130113</v>
      </c>
      <c r="N2947">
        <v>0</v>
      </c>
      <c r="O2947">
        <v>0</v>
      </c>
      <c r="P2947">
        <v>0.55096024189238069</v>
      </c>
      <c r="Q2947">
        <v>1.3084548070542299</v>
      </c>
      <c r="R2947">
        <v>-16.866730942320441</v>
      </c>
      <c r="S2947">
        <v>0.25609714526899591</v>
      </c>
      <c r="T2947">
        <v>0.19967757162146241</v>
      </c>
      <c r="U2947">
        <v>4.3319714452250633</v>
      </c>
      <c r="V2947">
        <v>0.21681108513633299</v>
      </c>
      <c r="W2947">
        <v>-11.19854208079405</v>
      </c>
      <c r="X2947">
        <v>0.38219066905296578</v>
      </c>
      <c r="Z2947" t="s">
        <v>392</v>
      </c>
      <c r="AA2947">
        <v>9400</v>
      </c>
      <c r="AB2947" t="s">
        <v>3338</v>
      </c>
      <c r="AC2947" t="str">
        <f>HYPERLINK("plots/3FT6Y578R01_012_S11P_20251111092011_M5358ACSH101811_RBGEUFRF26/dpll_52094/txpa_55162.png","plot")</f>
        <v>plot</v>
      </c>
    </row>
    <row r="2948" spans="1:29" hidden="1" x14ac:dyDescent="0.35">
      <c r="A2948" t="s">
        <v>48</v>
      </c>
      <c r="B2948">
        <v>52094</v>
      </c>
      <c r="C2948" t="s">
        <v>53</v>
      </c>
      <c r="D2948">
        <v>55163</v>
      </c>
      <c r="E2948" t="s">
        <v>296</v>
      </c>
      <c r="F2948">
        <v>12243</v>
      </c>
      <c r="G2948">
        <v>0.76689418524734754</v>
      </c>
      <c r="H2948">
        <v>0</v>
      </c>
      <c r="I2948">
        <v>0</v>
      </c>
      <c r="J2948">
        <v>0.66682667927256412</v>
      </c>
      <c r="K2948">
        <v>0</v>
      </c>
      <c r="L2948">
        <v>0</v>
      </c>
      <c r="M2948">
        <v>0.47997601181226518</v>
      </c>
      <c r="N2948">
        <v>0</v>
      </c>
      <c r="O2948">
        <v>0</v>
      </c>
      <c r="P2948">
        <v>0.588126691366193</v>
      </c>
      <c r="Q2948">
        <v>1.148445972415348</v>
      </c>
      <c r="R2948">
        <v>-9.8809632751216068</v>
      </c>
      <c r="S2948">
        <v>0.20839076023411501</v>
      </c>
      <c r="T2948">
        <v>0.15772803349118539</v>
      </c>
      <c r="U2948">
        <v>4.3319153779302466</v>
      </c>
      <c r="V2948">
        <v>0.21683992469153379</v>
      </c>
      <c r="W2948">
        <v>-4.9059925064935062</v>
      </c>
      <c r="X2948">
        <v>0.3247239879521574</v>
      </c>
      <c r="Z2948" t="s">
        <v>392</v>
      </c>
      <c r="AA2948">
        <v>9400</v>
      </c>
      <c r="AB2948" t="s">
        <v>3339</v>
      </c>
      <c r="AC2948" t="str">
        <f>HYPERLINK("plots/3FT6Y578R01_012_S11P_20251111092011_M5358ACSH101811_RBGEUFRF26/dpll_52094/txpa_55163.png","plot")</f>
        <v>plot</v>
      </c>
    </row>
    <row r="2949" spans="1:29" hidden="1" x14ac:dyDescent="0.35">
      <c r="A2949" t="s">
        <v>48</v>
      </c>
      <c r="B2949">
        <v>52094</v>
      </c>
      <c r="C2949" t="s">
        <v>53</v>
      </c>
      <c r="D2949">
        <v>55164</v>
      </c>
      <c r="E2949" t="s">
        <v>297</v>
      </c>
      <c r="F2949">
        <v>12242</v>
      </c>
      <c r="G2949">
        <v>0.78393277605389722</v>
      </c>
      <c r="H2949">
        <v>0</v>
      </c>
      <c r="I2949">
        <v>0</v>
      </c>
      <c r="J2949">
        <v>0.67772180071916288</v>
      </c>
      <c r="K2949">
        <v>0</v>
      </c>
      <c r="L2949">
        <v>0</v>
      </c>
      <c r="M2949">
        <v>0.49120465628211701</v>
      </c>
      <c r="N2949">
        <v>0</v>
      </c>
      <c r="O2949">
        <v>0</v>
      </c>
      <c r="P2949">
        <v>0.61455059737156981</v>
      </c>
      <c r="Q2949">
        <v>1.1704000090133591</v>
      </c>
      <c r="R2949">
        <v>-9.9349833726587651</v>
      </c>
      <c r="S2949">
        <v>0.20098620466919759</v>
      </c>
      <c r="T2949">
        <v>0.15431638232554501</v>
      </c>
      <c r="U2949">
        <v>4.3319007004574406</v>
      </c>
      <c r="V2949">
        <v>0.21684269964686589</v>
      </c>
      <c r="W2949">
        <v>-4.8649267537983976</v>
      </c>
      <c r="X2949">
        <v>0.32374293481986538</v>
      </c>
      <c r="Z2949" t="s">
        <v>392</v>
      </c>
      <c r="AA2949">
        <v>9400</v>
      </c>
      <c r="AB2949" t="s">
        <v>3340</v>
      </c>
      <c r="AC2949" t="str">
        <f>HYPERLINK("plots/3FT6Y578R01_012_S11P_20251111092011_M5358ACSH101811_RBGEUFRF26/dpll_52094/txpa_55164.png","plot")</f>
        <v>plot</v>
      </c>
    </row>
    <row r="2950" spans="1:29" hidden="1" x14ac:dyDescent="0.35">
      <c r="A2950" t="s">
        <v>48</v>
      </c>
      <c r="B2950">
        <v>52094</v>
      </c>
      <c r="C2950" t="s">
        <v>53</v>
      </c>
      <c r="D2950">
        <v>55165</v>
      </c>
      <c r="E2950" t="s">
        <v>298</v>
      </c>
      <c r="F2950">
        <v>12243</v>
      </c>
      <c r="G2950">
        <v>0.78214220137714674</v>
      </c>
      <c r="H2950">
        <v>0</v>
      </c>
      <c r="I2950">
        <v>0</v>
      </c>
      <c r="J2950">
        <v>0.67493656861980356</v>
      </c>
      <c r="K2950">
        <v>0</v>
      </c>
      <c r="L2950">
        <v>0</v>
      </c>
      <c r="M2950">
        <v>0.48873875933231359</v>
      </c>
      <c r="N2950">
        <v>0</v>
      </c>
      <c r="O2950">
        <v>0</v>
      </c>
      <c r="P2950">
        <v>0.6117464231750892</v>
      </c>
      <c r="Q2950">
        <v>1.15728567252535</v>
      </c>
      <c r="R2950">
        <v>-9.8633031925842012</v>
      </c>
      <c r="S2950">
        <v>0.19990980725109769</v>
      </c>
      <c r="T2950">
        <v>0.15288835430517589</v>
      </c>
      <c r="U2950">
        <v>4.3319153779302466</v>
      </c>
      <c r="V2950">
        <v>0.21683992469153379</v>
      </c>
      <c r="W2950">
        <v>-4.8500395911132896</v>
      </c>
      <c r="X2950">
        <v>0.32084413503725873</v>
      </c>
      <c r="Z2950" t="s">
        <v>392</v>
      </c>
      <c r="AA2950">
        <v>9400</v>
      </c>
      <c r="AB2950" t="s">
        <v>3341</v>
      </c>
      <c r="AC2950" t="str">
        <f>HYPERLINK("plots/3FT6Y578R01_012_S11P_20251111092011_M5358ACSH101811_RBGEUFRF26/dpll_52094/txpa_55165.png","plot")</f>
        <v>plot</v>
      </c>
    </row>
    <row r="2951" spans="1:29" hidden="1" x14ac:dyDescent="0.35">
      <c r="A2951" t="s">
        <v>48</v>
      </c>
      <c r="B2951">
        <v>52094</v>
      </c>
      <c r="C2951" t="s">
        <v>53</v>
      </c>
      <c r="D2951">
        <v>55166</v>
      </c>
      <c r="E2951" t="s">
        <v>299</v>
      </c>
      <c r="F2951">
        <v>12242</v>
      </c>
      <c r="G2951">
        <v>0.79395988708858711</v>
      </c>
      <c r="H2951">
        <v>0</v>
      </c>
      <c r="I2951">
        <v>0</v>
      </c>
      <c r="J2951">
        <v>0.68327717541753641</v>
      </c>
      <c r="K2951">
        <v>0</v>
      </c>
      <c r="L2951">
        <v>0</v>
      </c>
      <c r="M2951">
        <v>0.49619687676037588</v>
      </c>
      <c r="N2951">
        <v>0</v>
      </c>
      <c r="O2951">
        <v>0</v>
      </c>
      <c r="P2951">
        <v>0.63037230230572194</v>
      </c>
      <c r="Q2951">
        <v>1.1796965032434961</v>
      </c>
      <c r="R2951">
        <v>-9.928103371557869</v>
      </c>
      <c r="S2951">
        <v>0.19587970525653001</v>
      </c>
      <c r="T2951">
        <v>0.15118230471945829</v>
      </c>
      <c r="U2951">
        <v>4.3319235655121711</v>
      </c>
      <c r="V2951">
        <v>0.21684688906752619</v>
      </c>
      <c r="W2951">
        <v>-4.8177482890050642</v>
      </c>
      <c r="X2951">
        <v>0.32219954802785677</v>
      </c>
      <c r="Z2951" t="s">
        <v>392</v>
      </c>
      <c r="AA2951">
        <v>9400</v>
      </c>
      <c r="AB2951" t="s">
        <v>3342</v>
      </c>
      <c r="AC2951" t="str">
        <f>HYPERLINK("plots/3FT6Y578R01_012_S11P_20251111092011_M5358ACSH101811_RBGEUFRF26/dpll_52094/txpa_55166.png","plot")</f>
        <v>plot</v>
      </c>
    </row>
    <row r="2952" spans="1:29" hidden="1" x14ac:dyDescent="0.35">
      <c r="A2952" t="s">
        <v>48</v>
      </c>
      <c r="B2952">
        <v>52094</v>
      </c>
      <c r="C2952" t="s">
        <v>53</v>
      </c>
      <c r="D2952">
        <v>55167</v>
      </c>
      <c r="E2952" t="s">
        <v>300</v>
      </c>
      <c r="F2952">
        <v>12240</v>
      </c>
      <c r="G2952">
        <v>0.79348888174023158</v>
      </c>
      <c r="H2952">
        <v>0</v>
      </c>
      <c r="I2952">
        <v>0</v>
      </c>
      <c r="J2952">
        <v>0.6779407215612594</v>
      </c>
      <c r="K2952">
        <v>0</v>
      </c>
      <c r="L2952">
        <v>0</v>
      </c>
      <c r="M2952">
        <v>0.49075975990156112</v>
      </c>
      <c r="N2952">
        <v>0</v>
      </c>
      <c r="O2952">
        <v>0</v>
      </c>
      <c r="P2952">
        <v>0.62962460544536325</v>
      </c>
      <c r="Q2952">
        <v>1.1810560289759831</v>
      </c>
      <c r="R2952">
        <v>-9.9582622301638342</v>
      </c>
      <c r="S2952">
        <v>0.19638574186208921</v>
      </c>
      <c r="T2952">
        <v>0.15266684248214299</v>
      </c>
      <c r="U2952">
        <v>4.3319400696078434</v>
      </c>
      <c r="V2952">
        <v>0.21680883535870621</v>
      </c>
      <c r="W2952">
        <v>-4.8419982937908497</v>
      </c>
      <c r="X2952">
        <v>0.32270569635970031</v>
      </c>
      <c r="Z2952" t="s">
        <v>392</v>
      </c>
      <c r="AA2952">
        <v>9400</v>
      </c>
      <c r="AB2952" t="s">
        <v>3343</v>
      </c>
      <c r="AC2952" t="str">
        <f>HYPERLINK("plots/3FT6Y578R01_012_S11P_20251111092011_M5358ACSH101811_RBGEUFRF26/dpll_52094/txpa_55167.png","plot")</f>
        <v>plot</v>
      </c>
    </row>
    <row r="2953" spans="1:29" hidden="1" x14ac:dyDescent="0.35">
      <c r="A2953" t="s">
        <v>48</v>
      </c>
      <c r="B2953">
        <v>52094</v>
      </c>
      <c r="C2953" t="s">
        <v>53</v>
      </c>
      <c r="D2953">
        <v>55168</v>
      </c>
      <c r="E2953" t="s">
        <v>301</v>
      </c>
      <c r="F2953">
        <v>12241</v>
      </c>
      <c r="G2953">
        <v>0.79605081240415332</v>
      </c>
      <c r="H2953">
        <v>0</v>
      </c>
      <c r="I2953">
        <v>0</v>
      </c>
      <c r="J2953">
        <v>0.68629818413684041</v>
      </c>
      <c r="K2953">
        <v>0</v>
      </c>
      <c r="L2953">
        <v>0</v>
      </c>
      <c r="M2953">
        <v>0.498737836918758</v>
      </c>
      <c r="N2953">
        <v>0</v>
      </c>
      <c r="O2953">
        <v>0</v>
      </c>
      <c r="P2953">
        <v>0.63369689592931255</v>
      </c>
      <c r="Q2953">
        <v>1.187378116235893</v>
      </c>
      <c r="R2953">
        <v>-9.9944274732589697</v>
      </c>
      <c r="S2953">
        <v>0.1957080750317792</v>
      </c>
      <c r="T2953">
        <v>0.15184855692980309</v>
      </c>
      <c r="U2953">
        <v>4.3319197416877699</v>
      </c>
      <c r="V2953">
        <v>0.2167993297959015</v>
      </c>
      <c r="W2953">
        <v>-4.8508007706886689</v>
      </c>
      <c r="X2953">
        <v>0.32337480950094011</v>
      </c>
      <c r="Z2953" t="s">
        <v>392</v>
      </c>
      <c r="AA2953">
        <v>9400</v>
      </c>
      <c r="AB2953" t="s">
        <v>3344</v>
      </c>
      <c r="AC2953" t="str">
        <f>HYPERLINK("plots/3FT6Y578R01_012_S11P_20251111092011_M5358ACSH101811_RBGEUFRF26/dpll_52094/txpa_55168.png","plot")</f>
        <v>plot</v>
      </c>
    </row>
    <row r="2954" spans="1:29" hidden="1" x14ac:dyDescent="0.35">
      <c r="A2954" t="s">
        <v>48</v>
      </c>
      <c r="B2954">
        <v>52094</v>
      </c>
      <c r="C2954" t="s">
        <v>53</v>
      </c>
      <c r="D2954">
        <v>55169</v>
      </c>
      <c r="E2954" t="s">
        <v>302</v>
      </c>
      <c r="F2954">
        <v>12242</v>
      </c>
      <c r="G2954">
        <v>0.79518814869622156</v>
      </c>
      <c r="H2954">
        <v>0</v>
      </c>
      <c r="I2954">
        <v>0</v>
      </c>
      <c r="J2954">
        <v>0.68009336598280901</v>
      </c>
      <c r="K2954">
        <v>0</v>
      </c>
      <c r="L2954">
        <v>0</v>
      </c>
      <c r="M2954">
        <v>0.49362656547032091</v>
      </c>
      <c r="N2954">
        <v>0</v>
      </c>
      <c r="O2954">
        <v>0</v>
      </c>
      <c r="P2954">
        <v>0.63232419182692423</v>
      </c>
      <c r="Q2954">
        <v>1.1812553798572889</v>
      </c>
      <c r="R2954">
        <v>-9.9637138641642977</v>
      </c>
      <c r="S2954">
        <v>0.19528971516173321</v>
      </c>
      <c r="T2954">
        <v>0.1517359331102304</v>
      </c>
      <c r="U2954">
        <v>4.331949619669988</v>
      </c>
      <c r="V2954">
        <v>0.21681567757630049</v>
      </c>
      <c r="W2954">
        <v>-4.846575070658389</v>
      </c>
      <c r="X2954">
        <v>0.32208061198388072</v>
      </c>
      <c r="Z2954" t="s">
        <v>392</v>
      </c>
      <c r="AA2954">
        <v>9400</v>
      </c>
      <c r="AB2954" t="s">
        <v>3345</v>
      </c>
      <c r="AC2954" t="str">
        <f>HYPERLINK("plots/3FT6Y578R01_012_S11P_20251111092011_M5358ACSH101811_RBGEUFRF26/dpll_52094/txpa_55169.png","plot")</f>
        <v>plot</v>
      </c>
    </row>
    <row r="2955" spans="1:29" hidden="1" x14ac:dyDescent="0.35">
      <c r="A2955" t="s">
        <v>48</v>
      </c>
      <c r="B2955">
        <v>52094</v>
      </c>
      <c r="C2955" t="s">
        <v>53</v>
      </c>
      <c r="D2955">
        <v>55170</v>
      </c>
      <c r="E2955" t="s">
        <v>303</v>
      </c>
      <c r="F2955">
        <v>12239</v>
      </c>
      <c r="G2955">
        <v>0.78858941636989022</v>
      </c>
      <c r="H2955">
        <v>0</v>
      </c>
      <c r="I2955">
        <v>0</v>
      </c>
      <c r="J2955">
        <v>0.67154656130469392</v>
      </c>
      <c r="K2955">
        <v>0</v>
      </c>
      <c r="L2955">
        <v>0</v>
      </c>
      <c r="M2955">
        <v>0.48687187098613449</v>
      </c>
      <c r="N2955">
        <v>0</v>
      </c>
      <c r="O2955">
        <v>0</v>
      </c>
      <c r="P2955">
        <v>0.62187326761060413</v>
      </c>
      <c r="Q2955">
        <v>1.169794930463113</v>
      </c>
      <c r="R2955">
        <v>-9.9435442347621343</v>
      </c>
      <c r="S2955">
        <v>0.1977701897383668</v>
      </c>
      <c r="T2955">
        <v>0.1528345452229414</v>
      </c>
      <c r="U2955">
        <v>4.3319942728981129</v>
      </c>
      <c r="V2955">
        <v>0.21682087438449071</v>
      </c>
      <c r="W2955">
        <v>-4.875999295530681</v>
      </c>
      <c r="X2955">
        <v>0.32163246729979961</v>
      </c>
      <c r="Z2955" t="s">
        <v>392</v>
      </c>
      <c r="AA2955">
        <v>9400</v>
      </c>
      <c r="AB2955" t="s">
        <v>3346</v>
      </c>
      <c r="AC2955" t="str">
        <f>HYPERLINK("plots/3FT6Y578R01_012_S11P_20251111092011_M5358ACSH101811_RBGEUFRF26/dpll_52094/txpa_55170.png","plot")</f>
        <v>plot</v>
      </c>
    </row>
    <row r="2956" spans="1:29" hidden="1" x14ac:dyDescent="0.35">
      <c r="A2956" t="s">
        <v>48</v>
      </c>
      <c r="B2956">
        <v>52094</v>
      </c>
      <c r="C2956" t="s">
        <v>53</v>
      </c>
      <c r="D2956">
        <v>55171</v>
      </c>
      <c r="E2956" t="s">
        <v>304</v>
      </c>
      <c r="F2956">
        <v>12243</v>
      </c>
      <c r="G2956">
        <v>0.77869484398789501</v>
      </c>
      <c r="H2956">
        <v>0</v>
      </c>
      <c r="I2956">
        <v>0</v>
      </c>
      <c r="J2956">
        <v>0.68105737771852248</v>
      </c>
      <c r="K2956">
        <v>0</v>
      </c>
      <c r="L2956">
        <v>0</v>
      </c>
      <c r="M2956">
        <v>0.4913942826114065</v>
      </c>
      <c r="N2956">
        <v>0</v>
      </c>
      <c r="O2956">
        <v>0</v>
      </c>
      <c r="P2956">
        <v>0.60636566005333215</v>
      </c>
      <c r="Q2956">
        <v>1.169812777285157</v>
      </c>
      <c r="R2956">
        <v>-6.9984879740048216</v>
      </c>
      <c r="S2956">
        <v>0.2043699606903959</v>
      </c>
      <c r="T2956">
        <v>0.15386524688585379</v>
      </c>
      <c r="U2956">
        <v>4.3319153779302466</v>
      </c>
      <c r="V2956">
        <v>0.21683992469153379</v>
      </c>
      <c r="W2956">
        <v>-1.930958014783958</v>
      </c>
      <c r="X2956">
        <v>0.32575291397929262</v>
      </c>
      <c r="Z2956" t="s">
        <v>392</v>
      </c>
      <c r="AA2956">
        <v>9400</v>
      </c>
      <c r="AB2956" t="s">
        <v>3347</v>
      </c>
      <c r="AC2956" t="str">
        <f>HYPERLINK("plots/3FT6Y578R01_012_S11P_20251111092011_M5358ACSH101811_RBGEUFRF26/dpll_52094/txpa_55171.png","plot")</f>
        <v>plot</v>
      </c>
    </row>
    <row r="2957" spans="1:29" hidden="1" x14ac:dyDescent="0.35">
      <c r="A2957" t="s">
        <v>48</v>
      </c>
      <c r="B2957">
        <v>52094</v>
      </c>
      <c r="C2957" t="s">
        <v>53</v>
      </c>
      <c r="D2957">
        <v>55172</v>
      </c>
      <c r="E2957" t="s">
        <v>305</v>
      </c>
      <c r="F2957">
        <v>12242</v>
      </c>
      <c r="G2957">
        <v>0.79708246187229503</v>
      </c>
      <c r="H2957">
        <v>0</v>
      </c>
      <c r="I2957">
        <v>0</v>
      </c>
      <c r="J2957">
        <v>0.69341389953510901</v>
      </c>
      <c r="K2957">
        <v>0</v>
      </c>
      <c r="L2957">
        <v>0</v>
      </c>
      <c r="M2957">
        <v>0.50448466078866083</v>
      </c>
      <c r="N2957">
        <v>0</v>
      </c>
      <c r="O2957">
        <v>0</v>
      </c>
      <c r="P2957">
        <v>0.63534045102439862</v>
      </c>
      <c r="Q2957">
        <v>1.194160902846553</v>
      </c>
      <c r="R2957">
        <v>-7.0683430005114731</v>
      </c>
      <c r="S2957">
        <v>0.1961690355038222</v>
      </c>
      <c r="T2957">
        <v>0.1495633269248979</v>
      </c>
      <c r="U2957">
        <v>4.3319007004574406</v>
      </c>
      <c r="V2957">
        <v>0.21684269964686589</v>
      </c>
      <c r="W2957">
        <v>-1.8953565490116</v>
      </c>
      <c r="X2957">
        <v>0.32486610403864619</v>
      </c>
      <c r="Z2957" t="s">
        <v>392</v>
      </c>
      <c r="AA2957">
        <v>9400</v>
      </c>
      <c r="AB2957" t="s">
        <v>3348</v>
      </c>
      <c r="AC2957" t="str">
        <f>HYPERLINK("plots/3FT6Y578R01_012_S11P_20251111092011_M5358ACSH101811_RBGEUFRF26/dpll_52094/txpa_55172.png","plot")</f>
        <v>plot</v>
      </c>
    </row>
    <row r="2958" spans="1:29" hidden="1" x14ac:dyDescent="0.35">
      <c r="A2958" t="s">
        <v>48</v>
      </c>
      <c r="B2958">
        <v>52094</v>
      </c>
      <c r="C2958" t="s">
        <v>53</v>
      </c>
      <c r="D2958">
        <v>55173</v>
      </c>
      <c r="E2958" t="s">
        <v>306</v>
      </c>
      <c r="F2958">
        <v>12243</v>
      </c>
      <c r="G2958">
        <v>0.79440591936536398</v>
      </c>
      <c r="H2958">
        <v>0</v>
      </c>
      <c r="I2958">
        <v>0</v>
      </c>
      <c r="J2958">
        <v>0.68977549899351454</v>
      </c>
      <c r="K2958">
        <v>0</v>
      </c>
      <c r="L2958">
        <v>0</v>
      </c>
      <c r="M2958">
        <v>0.50111275162131397</v>
      </c>
      <c r="N2958">
        <v>0</v>
      </c>
      <c r="O2958">
        <v>0</v>
      </c>
      <c r="P2958">
        <v>0.63108076472272923</v>
      </c>
      <c r="Q2958">
        <v>1.1781449415676051</v>
      </c>
      <c r="R2958">
        <v>-6.9865016066987229</v>
      </c>
      <c r="S2958">
        <v>0.195318514163033</v>
      </c>
      <c r="T2958">
        <v>0.14871889235500141</v>
      </c>
      <c r="U2958">
        <v>4.3319153779302466</v>
      </c>
      <c r="V2958">
        <v>0.21683992469153379</v>
      </c>
      <c r="W2958">
        <v>-1.882877416891285</v>
      </c>
      <c r="X2958">
        <v>0.3215847895611354</v>
      </c>
      <c r="Z2958" t="s">
        <v>392</v>
      </c>
      <c r="AA2958">
        <v>9400</v>
      </c>
      <c r="AB2958" t="s">
        <v>3349</v>
      </c>
      <c r="AC2958" t="str">
        <f>HYPERLINK("plots/3FT6Y578R01_012_S11P_20251111092011_M5358ACSH101811_RBGEUFRF26/dpll_52094/txpa_55173.png","plot")</f>
        <v>plot</v>
      </c>
    </row>
    <row r="2959" spans="1:29" hidden="1" x14ac:dyDescent="0.35">
      <c r="A2959" t="s">
        <v>48</v>
      </c>
      <c r="B2959">
        <v>52094</v>
      </c>
      <c r="C2959" t="s">
        <v>53</v>
      </c>
      <c r="D2959">
        <v>55174</v>
      </c>
      <c r="E2959" t="s">
        <v>307</v>
      </c>
      <c r="F2959">
        <v>12242</v>
      </c>
      <c r="G2959">
        <v>0.80566387768492598</v>
      </c>
      <c r="H2959">
        <v>0</v>
      </c>
      <c r="I2959">
        <v>0</v>
      </c>
      <c r="J2959">
        <v>0.69657358765836641</v>
      </c>
      <c r="K2959">
        <v>0</v>
      </c>
      <c r="L2959">
        <v>0</v>
      </c>
      <c r="M2959">
        <v>0.50734291710869017</v>
      </c>
      <c r="N2959">
        <v>0</v>
      </c>
      <c r="O2959">
        <v>0</v>
      </c>
      <c r="P2959">
        <v>0.6490942838063114</v>
      </c>
      <c r="Q2959">
        <v>1.199030339340885</v>
      </c>
      <c r="R2959">
        <v>-7.0497659746352479</v>
      </c>
      <c r="S2959">
        <v>0.19116437394930111</v>
      </c>
      <c r="T2959">
        <v>0.14721696728623601</v>
      </c>
      <c r="U2959">
        <v>4.3319235655121711</v>
      </c>
      <c r="V2959">
        <v>0.21684688906752619</v>
      </c>
      <c r="W2959">
        <v>-1.855658191880412</v>
      </c>
      <c r="X2959">
        <v>0.32272267155724821</v>
      </c>
      <c r="Z2959" t="s">
        <v>392</v>
      </c>
      <c r="AA2959">
        <v>9400</v>
      </c>
      <c r="AB2959" t="s">
        <v>3350</v>
      </c>
      <c r="AC2959" t="str">
        <f>HYPERLINK("plots/3FT6Y578R01_012_S11P_20251111092011_M5358ACSH101811_RBGEUFRF26/dpll_52094/txpa_55174.png","plot")</f>
        <v>plot</v>
      </c>
    </row>
    <row r="2960" spans="1:29" hidden="1" x14ac:dyDescent="0.35">
      <c r="A2960" t="s">
        <v>48</v>
      </c>
      <c r="B2960">
        <v>52094</v>
      </c>
      <c r="C2960" t="s">
        <v>53</v>
      </c>
      <c r="D2960">
        <v>55175</v>
      </c>
      <c r="E2960" t="s">
        <v>308</v>
      </c>
      <c r="F2960">
        <v>12240</v>
      </c>
      <c r="G2960">
        <v>0.80548754499966202</v>
      </c>
      <c r="H2960">
        <v>0</v>
      </c>
      <c r="I2960">
        <v>0</v>
      </c>
      <c r="J2960">
        <v>0.6921143805831057</v>
      </c>
      <c r="K2960">
        <v>0</v>
      </c>
      <c r="L2960">
        <v>0</v>
      </c>
      <c r="M2960">
        <v>0.502650317939345</v>
      </c>
      <c r="N2960">
        <v>0</v>
      </c>
      <c r="O2960">
        <v>0</v>
      </c>
      <c r="P2960">
        <v>0.64881018514958255</v>
      </c>
      <c r="Q2960">
        <v>1.2037498996495939</v>
      </c>
      <c r="R2960">
        <v>-7.093173682085034</v>
      </c>
      <c r="S2960">
        <v>0.19200282803538021</v>
      </c>
      <c r="T2960">
        <v>0.14865478806843591</v>
      </c>
      <c r="U2960">
        <v>4.3319400696078434</v>
      </c>
      <c r="V2960">
        <v>0.21680883535870621</v>
      </c>
      <c r="W2960">
        <v>-1.8786012580065361</v>
      </c>
      <c r="X2960">
        <v>0.3240070134247669</v>
      </c>
      <c r="Z2960" t="s">
        <v>392</v>
      </c>
      <c r="AA2960">
        <v>9400</v>
      </c>
      <c r="AB2960" t="s">
        <v>3351</v>
      </c>
      <c r="AC2960" t="str">
        <f>HYPERLINK("plots/3FT6Y578R01_012_S11P_20251111092011_M5358ACSH101811_RBGEUFRF26/dpll_52094/txpa_55175.png","plot")</f>
        <v>plot</v>
      </c>
    </row>
    <row r="2961" spans="1:29" hidden="1" x14ac:dyDescent="0.35">
      <c r="A2961" t="s">
        <v>48</v>
      </c>
      <c r="B2961">
        <v>52094</v>
      </c>
      <c r="C2961" t="s">
        <v>53</v>
      </c>
      <c r="D2961">
        <v>55176</v>
      </c>
      <c r="E2961" t="s">
        <v>309</v>
      </c>
      <c r="F2961">
        <v>12240</v>
      </c>
      <c r="G2961">
        <v>0.80944314130585426</v>
      </c>
      <c r="H2961">
        <v>0</v>
      </c>
      <c r="I2961">
        <v>0</v>
      </c>
      <c r="J2961">
        <v>0.70129150800449391</v>
      </c>
      <c r="K2961">
        <v>0</v>
      </c>
      <c r="L2961">
        <v>0</v>
      </c>
      <c r="M2961">
        <v>0.51139660166807666</v>
      </c>
      <c r="N2961">
        <v>0</v>
      </c>
      <c r="O2961">
        <v>0</v>
      </c>
      <c r="P2961">
        <v>0.6551981990070892</v>
      </c>
      <c r="Q2961">
        <v>1.209816880588312</v>
      </c>
      <c r="R2961">
        <v>-7.1251244550302149</v>
      </c>
      <c r="S2961">
        <v>0.19025097611474109</v>
      </c>
      <c r="T2961">
        <v>0.1475155333023877</v>
      </c>
      <c r="U2961">
        <v>4.331890278839869</v>
      </c>
      <c r="V2961">
        <v>0.21678367779622049</v>
      </c>
      <c r="W2961">
        <v>-1.884330470833333</v>
      </c>
      <c r="X2961">
        <v>0.32401108793234562</v>
      </c>
      <c r="Z2961" t="s">
        <v>392</v>
      </c>
      <c r="AA2961">
        <v>9400</v>
      </c>
      <c r="AB2961" t="s">
        <v>3352</v>
      </c>
      <c r="AC2961" t="str">
        <f>HYPERLINK("plots/3FT6Y578R01_012_S11P_20251111092011_M5358ACSH101811_RBGEUFRF26/dpll_52094/txpa_55176.png","plot")</f>
        <v>plot</v>
      </c>
    </row>
    <row r="2962" spans="1:29" hidden="1" x14ac:dyDescent="0.35">
      <c r="A2962" t="s">
        <v>48</v>
      </c>
      <c r="B2962">
        <v>52094</v>
      </c>
      <c r="C2962" t="s">
        <v>53</v>
      </c>
      <c r="D2962">
        <v>55177</v>
      </c>
      <c r="E2962" t="s">
        <v>310</v>
      </c>
      <c r="F2962">
        <v>12242</v>
      </c>
      <c r="G2962">
        <v>0.80787711535918549</v>
      </c>
      <c r="H2962">
        <v>0</v>
      </c>
      <c r="I2962">
        <v>0</v>
      </c>
      <c r="J2962">
        <v>0.69543147483154877</v>
      </c>
      <c r="K2962">
        <v>0</v>
      </c>
      <c r="L2962">
        <v>0</v>
      </c>
      <c r="M2962">
        <v>0.50655419830082349</v>
      </c>
      <c r="N2962">
        <v>0</v>
      </c>
      <c r="O2962">
        <v>0</v>
      </c>
      <c r="P2962">
        <v>0.65266543352107875</v>
      </c>
      <c r="Q2962">
        <v>1.204816761346722</v>
      </c>
      <c r="R2962">
        <v>-7.0984017644779271</v>
      </c>
      <c r="S2962">
        <v>0.1905560058653421</v>
      </c>
      <c r="T2962">
        <v>0.1475621890031526</v>
      </c>
      <c r="U2962">
        <v>4.331949619669988</v>
      </c>
      <c r="V2962">
        <v>0.21681567757630049</v>
      </c>
      <c r="W2962">
        <v>-1.8791962533899691</v>
      </c>
      <c r="X2962">
        <v>0.32334516908618283</v>
      </c>
      <c r="Z2962" t="s">
        <v>392</v>
      </c>
      <c r="AA2962">
        <v>9400</v>
      </c>
      <c r="AB2962" t="s">
        <v>3353</v>
      </c>
      <c r="AC2962" t="str">
        <f>HYPERLINK("plots/3FT6Y578R01_012_S11P_20251111092011_M5358ACSH101811_RBGEUFRF26/dpll_52094/txpa_55177.png","plot")</f>
        <v>plot</v>
      </c>
    </row>
    <row r="2963" spans="1:29" hidden="1" x14ac:dyDescent="0.35">
      <c r="A2963" t="s">
        <v>48</v>
      </c>
      <c r="B2963">
        <v>52094</v>
      </c>
      <c r="C2963" t="s">
        <v>53</v>
      </c>
      <c r="D2963">
        <v>55178</v>
      </c>
      <c r="E2963" t="s">
        <v>311</v>
      </c>
      <c r="F2963">
        <v>12239</v>
      </c>
      <c r="G2963">
        <v>0.80053135725267843</v>
      </c>
      <c r="H2963">
        <v>0</v>
      </c>
      <c r="I2963">
        <v>0</v>
      </c>
      <c r="J2963">
        <v>0.68567746265858431</v>
      </c>
      <c r="K2963">
        <v>0</v>
      </c>
      <c r="L2963">
        <v>0</v>
      </c>
      <c r="M2963">
        <v>0.49844998638376081</v>
      </c>
      <c r="N2963">
        <v>0</v>
      </c>
      <c r="O2963">
        <v>0</v>
      </c>
      <c r="P2963">
        <v>0.64085045394481543</v>
      </c>
      <c r="Q2963">
        <v>1.192095980468749</v>
      </c>
      <c r="R2963">
        <v>-7.0653136489989494</v>
      </c>
      <c r="S2963">
        <v>0.19348793290323271</v>
      </c>
      <c r="T2963">
        <v>0.14885596380893151</v>
      </c>
      <c r="U2963">
        <v>4.3319942728981129</v>
      </c>
      <c r="V2963">
        <v>0.21682087438449071</v>
      </c>
      <c r="W2963">
        <v>-1.9011606888634689</v>
      </c>
      <c r="X2963">
        <v>0.32287466380144231</v>
      </c>
      <c r="Z2963" t="s">
        <v>392</v>
      </c>
      <c r="AA2963">
        <v>9400</v>
      </c>
      <c r="AB2963" t="s">
        <v>3354</v>
      </c>
      <c r="AC2963" t="str">
        <f>HYPERLINK("plots/3FT6Y578R01_012_S11P_20251111092011_M5358ACSH101811_RBGEUFRF26/dpll_52094/txpa_55178.png","plot")</f>
        <v>plot</v>
      </c>
    </row>
    <row r="2964" spans="1:29" hidden="1" x14ac:dyDescent="0.35">
      <c r="A2964" t="s">
        <v>48</v>
      </c>
      <c r="B2964">
        <v>52094</v>
      </c>
      <c r="C2964" t="s">
        <v>53</v>
      </c>
      <c r="D2964">
        <v>55179</v>
      </c>
      <c r="E2964" t="s">
        <v>312</v>
      </c>
      <c r="F2964">
        <v>12242</v>
      </c>
      <c r="G2964">
        <v>0.79817433283763517</v>
      </c>
      <c r="H2964">
        <v>0</v>
      </c>
      <c r="I2964">
        <v>0</v>
      </c>
      <c r="J2964">
        <v>0.7020225892574069</v>
      </c>
      <c r="K2964">
        <v>0</v>
      </c>
      <c r="L2964">
        <v>0</v>
      </c>
      <c r="M2964">
        <v>0.50975126828656514</v>
      </c>
      <c r="N2964">
        <v>0</v>
      </c>
      <c r="O2964">
        <v>0</v>
      </c>
      <c r="P2964">
        <v>0.63708226560080405</v>
      </c>
      <c r="Q2964">
        <v>1.289928960680405</v>
      </c>
      <c r="R2964">
        <v>-4.1649761219356751</v>
      </c>
      <c r="S2964">
        <v>0.21108928491310569</v>
      </c>
      <c r="T2964">
        <v>0.15774442178728651</v>
      </c>
      <c r="U2964">
        <v>4.3319436473615429</v>
      </c>
      <c r="V2964">
        <v>0.21682621882247419</v>
      </c>
      <c r="W2964">
        <v>1.422923444831482</v>
      </c>
      <c r="X2964">
        <v>0.35041269505571898</v>
      </c>
      <c r="Z2964" t="s">
        <v>392</v>
      </c>
      <c r="AA2964">
        <v>9400</v>
      </c>
      <c r="AB2964" t="s">
        <v>3355</v>
      </c>
      <c r="AC2964" t="str">
        <f>HYPERLINK("plots/3FT6Y578R01_012_S11P_20251111092011_M5358ACSH101811_RBGEUFRF26/dpll_52094/txpa_55179.png","plot")</f>
        <v>plot</v>
      </c>
    </row>
    <row r="2965" spans="1:29" hidden="1" x14ac:dyDescent="0.35">
      <c r="A2965" t="s">
        <v>48</v>
      </c>
      <c r="B2965">
        <v>52094</v>
      </c>
      <c r="C2965" t="s">
        <v>53</v>
      </c>
      <c r="D2965">
        <v>55180</v>
      </c>
      <c r="E2965" t="s">
        <v>313</v>
      </c>
      <c r="F2965">
        <v>12242</v>
      </c>
      <c r="G2965">
        <v>0.81483749185098664</v>
      </c>
      <c r="H2965">
        <v>0</v>
      </c>
      <c r="I2965">
        <v>0</v>
      </c>
      <c r="J2965">
        <v>0.71434285281647458</v>
      </c>
      <c r="K2965">
        <v>0</v>
      </c>
      <c r="L2965">
        <v>0</v>
      </c>
      <c r="M2965">
        <v>0.52269385596544027</v>
      </c>
      <c r="N2965">
        <v>0</v>
      </c>
      <c r="O2965">
        <v>0</v>
      </c>
      <c r="P2965">
        <v>0.66396013812600674</v>
      </c>
      <c r="Q2965">
        <v>1.315158627894035</v>
      </c>
      <c r="R2965">
        <v>-4.2417817843165668</v>
      </c>
      <c r="S2965">
        <v>0.202875498881365</v>
      </c>
      <c r="T2965">
        <v>0.15382282911940509</v>
      </c>
      <c r="U2965">
        <v>4.3319007004574406</v>
      </c>
      <c r="V2965">
        <v>0.21684269964686589</v>
      </c>
      <c r="W2965">
        <v>1.4553547970702501</v>
      </c>
      <c r="X2965">
        <v>0.3499870221835143</v>
      </c>
      <c r="Z2965" t="s">
        <v>392</v>
      </c>
      <c r="AA2965">
        <v>9400</v>
      </c>
      <c r="AB2965" t="s">
        <v>3356</v>
      </c>
      <c r="AC2965" t="str">
        <f>HYPERLINK("plots/3FT6Y578R01_012_S11P_20251111092011_M5358ACSH101811_RBGEUFRF26/dpll_52094/txpa_55180.png","plot")</f>
        <v>plot</v>
      </c>
    </row>
    <row r="2966" spans="1:29" hidden="1" x14ac:dyDescent="0.35">
      <c r="A2966" t="s">
        <v>48</v>
      </c>
      <c r="B2966">
        <v>52094</v>
      </c>
      <c r="C2966" t="s">
        <v>53</v>
      </c>
      <c r="D2966">
        <v>55181</v>
      </c>
      <c r="E2966" t="s">
        <v>314</v>
      </c>
      <c r="F2966">
        <v>12243</v>
      </c>
      <c r="G2966">
        <v>0.81227080108721272</v>
      </c>
      <c r="H2966">
        <v>0</v>
      </c>
      <c r="I2966">
        <v>0</v>
      </c>
      <c r="J2966">
        <v>0.71048164574764716</v>
      </c>
      <c r="K2966">
        <v>0</v>
      </c>
      <c r="L2966">
        <v>0</v>
      </c>
      <c r="M2966">
        <v>0.51891800692304735</v>
      </c>
      <c r="N2966">
        <v>0</v>
      </c>
      <c r="O2966">
        <v>0</v>
      </c>
      <c r="P2966">
        <v>0.65978385429886233</v>
      </c>
      <c r="Q2966">
        <v>1.2998821342623259</v>
      </c>
      <c r="R2966">
        <v>-4.1643916365761404</v>
      </c>
      <c r="S2966">
        <v>0.2023960831813266</v>
      </c>
      <c r="T2966">
        <v>0.15292115169823639</v>
      </c>
      <c r="U2966">
        <v>4.3319153779302466</v>
      </c>
      <c r="V2966">
        <v>0.21683992469153379</v>
      </c>
      <c r="W2966">
        <v>1.4665877703316179</v>
      </c>
      <c r="X2966">
        <v>0.3470103119846718</v>
      </c>
      <c r="Z2966" t="s">
        <v>392</v>
      </c>
      <c r="AA2966">
        <v>9400</v>
      </c>
      <c r="AB2966" t="s">
        <v>3357</v>
      </c>
      <c r="AC2966" t="str">
        <f>HYPERLINK("plots/3FT6Y578R01_012_S11P_20251111092011_M5358ACSH101811_RBGEUFRF26/dpll_52094/txpa_55181.png","plot")</f>
        <v>plot</v>
      </c>
    </row>
    <row r="2967" spans="1:29" hidden="1" x14ac:dyDescent="0.35">
      <c r="A2967" t="s">
        <v>48</v>
      </c>
      <c r="B2967">
        <v>52094</v>
      </c>
      <c r="C2967" t="s">
        <v>53</v>
      </c>
      <c r="D2967">
        <v>55182</v>
      </c>
      <c r="E2967" t="s">
        <v>315</v>
      </c>
      <c r="F2967">
        <v>12242</v>
      </c>
      <c r="G2967">
        <v>0.82315374983158029</v>
      </c>
      <c r="H2967">
        <v>0</v>
      </c>
      <c r="I2967">
        <v>0</v>
      </c>
      <c r="J2967">
        <v>0.71691453166829133</v>
      </c>
      <c r="K2967">
        <v>0</v>
      </c>
      <c r="L2967">
        <v>0</v>
      </c>
      <c r="M2967">
        <v>0.52518533688807378</v>
      </c>
      <c r="N2967">
        <v>0</v>
      </c>
      <c r="O2967">
        <v>0</v>
      </c>
      <c r="P2967">
        <v>0.67758209586179186</v>
      </c>
      <c r="Q2967">
        <v>1.31952896067366</v>
      </c>
      <c r="R2967">
        <v>-4.2271615513016423</v>
      </c>
      <c r="S2967">
        <v>0.19737084398017271</v>
      </c>
      <c r="T2967">
        <v>0.15112371481748149</v>
      </c>
      <c r="U2967">
        <v>4.3319235655121711</v>
      </c>
      <c r="V2967">
        <v>0.21684688906752619</v>
      </c>
      <c r="W2967">
        <v>1.48893704881637</v>
      </c>
      <c r="X2967">
        <v>0.347609119456886</v>
      </c>
      <c r="Z2967" t="s">
        <v>392</v>
      </c>
      <c r="AA2967">
        <v>9400</v>
      </c>
      <c r="AB2967" t="s">
        <v>3358</v>
      </c>
      <c r="AC2967" t="str">
        <f>HYPERLINK("plots/3FT6Y578R01_012_S11P_20251111092011_M5358ACSH101811_RBGEUFRF26/dpll_52094/txpa_55182.png","plot")</f>
        <v>plot</v>
      </c>
    </row>
    <row r="2968" spans="1:29" hidden="1" x14ac:dyDescent="0.35">
      <c r="A2968" t="s">
        <v>48</v>
      </c>
      <c r="B2968">
        <v>52094</v>
      </c>
      <c r="C2968" t="s">
        <v>53</v>
      </c>
      <c r="D2968">
        <v>55183</v>
      </c>
      <c r="E2968" t="s">
        <v>316</v>
      </c>
      <c r="F2968">
        <v>12240</v>
      </c>
      <c r="G2968">
        <v>0.82348422404691668</v>
      </c>
      <c r="H2968">
        <v>0</v>
      </c>
      <c r="I2968">
        <v>0</v>
      </c>
      <c r="J2968">
        <v>0.71427953427821678</v>
      </c>
      <c r="K2968">
        <v>0</v>
      </c>
      <c r="L2968">
        <v>0</v>
      </c>
      <c r="M2968">
        <v>0.52213518147314997</v>
      </c>
      <c r="N2968">
        <v>0</v>
      </c>
      <c r="O2968">
        <v>0</v>
      </c>
      <c r="P2968">
        <v>0.67812626725415248</v>
      </c>
      <c r="Q2968">
        <v>1.324781029628977</v>
      </c>
      <c r="R2968">
        <v>-4.2730959812525082</v>
      </c>
      <c r="S2968">
        <v>0.19787495097167809</v>
      </c>
      <c r="T2968">
        <v>0.15227494381139589</v>
      </c>
      <c r="U2968">
        <v>4.3319400696078434</v>
      </c>
      <c r="V2968">
        <v>0.21680883535870621</v>
      </c>
      <c r="W2968">
        <v>1.465776044453595</v>
      </c>
      <c r="X2968">
        <v>0.34879142034760108</v>
      </c>
      <c r="Z2968" t="s">
        <v>392</v>
      </c>
      <c r="AA2968">
        <v>9400</v>
      </c>
      <c r="AB2968" t="s">
        <v>3359</v>
      </c>
      <c r="AC2968" t="str">
        <f>HYPERLINK("plots/3FT6Y578R01_012_S11P_20251111092011_M5358ACSH101811_RBGEUFRF26/dpll_52094/txpa_55183.png","plot")</f>
        <v>plot</v>
      </c>
    </row>
    <row r="2969" spans="1:29" hidden="1" x14ac:dyDescent="0.35">
      <c r="A2969" t="s">
        <v>48</v>
      </c>
      <c r="B2969">
        <v>52094</v>
      </c>
      <c r="C2969" t="s">
        <v>53</v>
      </c>
      <c r="D2969">
        <v>55184</v>
      </c>
      <c r="E2969" t="s">
        <v>317</v>
      </c>
      <c r="F2969">
        <v>12240</v>
      </c>
      <c r="G2969">
        <v>0.82639062728527601</v>
      </c>
      <c r="H2969">
        <v>0</v>
      </c>
      <c r="I2969">
        <v>0</v>
      </c>
      <c r="J2969">
        <v>0.72037248058599257</v>
      </c>
      <c r="K2969">
        <v>0</v>
      </c>
      <c r="L2969">
        <v>0</v>
      </c>
      <c r="M2969">
        <v>0.52829336439742836</v>
      </c>
      <c r="N2969">
        <v>0</v>
      </c>
      <c r="O2969">
        <v>0</v>
      </c>
      <c r="P2969">
        <v>0.68292146886495197</v>
      </c>
      <c r="Q2969">
        <v>1.331506149191769</v>
      </c>
      <c r="R2969">
        <v>-4.3039028563584836</v>
      </c>
      <c r="S2969">
        <v>0.1966754039459174</v>
      </c>
      <c r="T2969">
        <v>0.1516432371153999</v>
      </c>
      <c r="U2969">
        <v>4.331890278839869</v>
      </c>
      <c r="V2969">
        <v>0.21678367779622049</v>
      </c>
      <c r="W2969">
        <v>1.46403568754085</v>
      </c>
      <c r="X2969">
        <v>0.34928856947264381</v>
      </c>
      <c r="Z2969" t="s">
        <v>392</v>
      </c>
      <c r="AA2969">
        <v>9400</v>
      </c>
      <c r="AB2969" t="s">
        <v>3360</v>
      </c>
      <c r="AC2969" t="str">
        <f>HYPERLINK("plots/3FT6Y578R01_012_S11P_20251111092011_M5358ACSH101811_RBGEUFRF26/dpll_52094/txpa_55184.png","plot")</f>
        <v>plot</v>
      </c>
    </row>
    <row r="2970" spans="1:29" hidden="1" x14ac:dyDescent="0.35">
      <c r="A2970" t="s">
        <v>48</v>
      </c>
      <c r="B2970">
        <v>52094</v>
      </c>
      <c r="C2970" t="s">
        <v>53</v>
      </c>
      <c r="D2970">
        <v>55185</v>
      </c>
      <c r="E2970" t="s">
        <v>318</v>
      </c>
      <c r="F2970">
        <v>12242</v>
      </c>
      <c r="G2970">
        <v>0.82508689095457222</v>
      </c>
      <c r="H2970">
        <v>0</v>
      </c>
      <c r="I2970">
        <v>0</v>
      </c>
      <c r="J2970">
        <v>0.71513293172872194</v>
      </c>
      <c r="K2970">
        <v>0</v>
      </c>
      <c r="L2970">
        <v>0</v>
      </c>
      <c r="M2970">
        <v>0.52396879084581161</v>
      </c>
      <c r="N2970">
        <v>0</v>
      </c>
      <c r="O2970">
        <v>0</v>
      </c>
      <c r="P2970">
        <v>0.68076837762508213</v>
      </c>
      <c r="Q2970">
        <v>1.3270729728316659</v>
      </c>
      <c r="R2970">
        <v>-4.2789867422065928</v>
      </c>
      <c r="S2970">
        <v>0.1970248535550331</v>
      </c>
      <c r="T2970">
        <v>0.1515746598203378</v>
      </c>
      <c r="U2970">
        <v>4.331949619669988</v>
      </c>
      <c r="V2970">
        <v>0.21681567757630049</v>
      </c>
      <c r="W2970">
        <v>1.469826517725862</v>
      </c>
      <c r="X2970">
        <v>0.34872718128487978</v>
      </c>
      <c r="Z2970" t="s">
        <v>392</v>
      </c>
      <c r="AA2970">
        <v>9400</v>
      </c>
      <c r="AB2970" t="s">
        <v>3361</v>
      </c>
      <c r="AC2970" t="str">
        <f>HYPERLINK("plots/3FT6Y578R01_012_S11P_20251111092011_M5358ACSH101811_RBGEUFRF26/dpll_52094/txpa_55185.png","plot")</f>
        <v>plot</v>
      </c>
    </row>
    <row r="2971" spans="1:29" hidden="1" x14ac:dyDescent="0.35">
      <c r="A2971" t="s">
        <v>48</v>
      </c>
      <c r="B2971">
        <v>52094</v>
      </c>
      <c r="C2971" t="s">
        <v>53</v>
      </c>
      <c r="D2971">
        <v>55186</v>
      </c>
      <c r="E2971" t="s">
        <v>319</v>
      </c>
      <c r="F2971">
        <v>12238</v>
      </c>
      <c r="G2971">
        <v>0.81873694455998591</v>
      </c>
      <c r="H2971">
        <v>0</v>
      </c>
      <c r="I2971">
        <v>0</v>
      </c>
      <c r="J2971">
        <v>0.70631931032014994</v>
      </c>
      <c r="K2971">
        <v>0</v>
      </c>
      <c r="L2971">
        <v>0</v>
      </c>
      <c r="M2971">
        <v>0.51634146235968514</v>
      </c>
      <c r="N2971">
        <v>0</v>
      </c>
      <c r="O2971">
        <v>0</v>
      </c>
      <c r="P2971">
        <v>0.67033018438742142</v>
      </c>
      <c r="Q2971">
        <v>1.311414668549872</v>
      </c>
      <c r="R2971">
        <v>-4.2287230721788562</v>
      </c>
      <c r="S2971">
        <v>0.19938797405936781</v>
      </c>
      <c r="T2971">
        <v>0.15273167194943879</v>
      </c>
      <c r="U2971">
        <v>4.3320199833306097</v>
      </c>
      <c r="V2971">
        <v>0.2168110752239184</v>
      </c>
      <c r="W2971">
        <v>1.452351478412077</v>
      </c>
      <c r="X2971">
        <v>0.34727787263285581</v>
      </c>
      <c r="Z2971" t="s">
        <v>392</v>
      </c>
      <c r="AA2971">
        <v>9400</v>
      </c>
      <c r="AB2971" t="s">
        <v>3362</v>
      </c>
      <c r="AC2971" t="str">
        <f>HYPERLINK("plots/3FT6Y578R01_012_S11P_20251111092011_M5358ACSH101811_RBGEUFRF26/dpll_52094/txpa_55186.png","plot")</f>
        <v>plot</v>
      </c>
    </row>
    <row r="2972" spans="1:29" hidden="1" x14ac:dyDescent="0.35">
      <c r="A2972" t="s">
        <v>48</v>
      </c>
      <c r="B2972">
        <v>52094</v>
      </c>
      <c r="C2972" t="s">
        <v>53</v>
      </c>
      <c r="D2972">
        <v>55187</v>
      </c>
      <c r="E2972" t="s">
        <v>320</v>
      </c>
      <c r="F2972">
        <v>12242</v>
      </c>
      <c r="G2972">
        <v>0.8097643867179839</v>
      </c>
      <c r="H2972">
        <v>0</v>
      </c>
      <c r="I2972">
        <v>0</v>
      </c>
      <c r="J2972">
        <v>0.71275539926040765</v>
      </c>
      <c r="K2972">
        <v>0</v>
      </c>
      <c r="L2972">
        <v>0</v>
      </c>
      <c r="M2972">
        <v>0.51965395072305554</v>
      </c>
      <c r="N2972">
        <v>0</v>
      </c>
      <c r="O2972">
        <v>0</v>
      </c>
      <c r="P2972">
        <v>0.6557183619967526</v>
      </c>
      <c r="Q2972">
        <v>1.409549403841718</v>
      </c>
      <c r="R2972">
        <v>-2.8145985392984181</v>
      </c>
      <c r="S2972">
        <v>0.22144843608534179</v>
      </c>
      <c r="T2972">
        <v>0.16510246767613301</v>
      </c>
      <c r="U2972">
        <v>4.3319436473615429</v>
      </c>
      <c r="V2972">
        <v>0.21682621882247419</v>
      </c>
      <c r="W2972">
        <v>3.2914900463159609</v>
      </c>
      <c r="X2972">
        <v>0.3774274004778046</v>
      </c>
      <c r="Z2972" t="s">
        <v>392</v>
      </c>
      <c r="AA2972">
        <v>9400</v>
      </c>
      <c r="AB2972" t="s">
        <v>3363</v>
      </c>
      <c r="AC2972" t="str">
        <f>HYPERLINK("plots/3FT6Y578R01_012_S11P_20251111092011_M5358ACSH101811_RBGEUFRF26/dpll_52094/txpa_55187.png","plot")</f>
        <v>plot</v>
      </c>
    </row>
    <row r="2973" spans="1:29" hidden="1" x14ac:dyDescent="0.35">
      <c r="A2973" t="s">
        <v>48</v>
      </c>
      <c r="B2973">
        <v>52094</v>
      </c>
      <c r="C2973" t="s">
        <v>53</v>
      </c>
      <c r="D2973">
        <v>55188</v>
      </c>
      <c r="E2973" t="s">
        <v>321</v>
      </c>
      <c r="F2973">
        <v>12242</v>
      </c>
      <c r="G2973">
        <v>0.82504854327397481</v>
      </c>
      <c r="H2973">
        <v>0</v>
      </c>
      <c r="I2973">
        <v>0</v>
      </c>
      <c r="J2973">
        <v>0.72410738777113959</v>
      </c>
      <c r="K2973">
        <v>0</v>
      </c>
      <c r="L2973">
        <v>0</v>
      </c>
      <c r="M2973">
        <v>0.53179990609548045</v>
      </c>
      <c r="N2973">
        <v>0</v>
      </c>
      <c r="O2973">
        <v>0</v>
      </c>
      <c r="P2973">
        <v>0.68070509875850793</v>
      </c>
      <c r="Q2973">
        <v>1.4355636644653911</v>
      </c>
      <c r="R2973">
        <v>-2.8948107483049799</v>
      </c>
      <c r="S2973">
        <v>0.21318959971887011</v>
      </c>
      <c r="T2973">
        <v>0.16129166820508081</v>
      </c>
      <c r="U2973">
        <v>4.3319007004574406</v>
      </c>
      <c r="V2973">
        <v>0.21684269964686589</v>
      </c>
      <c r="W2973">
        <v>3.3239084953438982</v>
      </c>
      <c r="X2973">
        <v>0.37730083042429191</v>
      </c>
      <c r="Z2973" t="s">
        <v>392</v>
      </c>
      <c r="AA2973">
        <v>9400</v>
      </c>
      <c r="AB2973" t="s">
        <v>3364</v>
      </c>
      <c r="AC2973" t="str">
        <f>HYPERLINK("plots/3FT6Y578R01_012_S11P_20251111092011_M5358ACSH101811_RBGEUFRF26/dpll_52094/txpa_55188.png","plot")</f>
        <v>plot</v>
      </c>
    </row>
    <row r="2974" spans="1:29" hidden="1" x14ac:dyDescent="0.35">
      <c r="A2974" t="s">
        <v>48</v>
      </c>
      <c r="B2974">
        <v>52094</v>
      </c>
      <c r="C2974" t="s">
        <v>53</v>
      </c>
      <c r="D2974">
        <v>55189</v>
      </c>
      <c r="E2974" t="s">
        <v>322</v>
      </c>
      <c r="F2974">
        <v>12243</v>
      </c>
      <c r="G2974">
        <v>0.82282444513982123</v>
      </c>
      <c r="H2974">
        <v>0</v>
      </c>
      <c r="I2974">
        <v>0</v>
      </c>
      <c r="J2974">
        <v>0.72054298923556503</v>
      </c>
      <c r="K2974">
        <v>0</v>
      </c>
      <c r="L2974">
        <v>0</v>
      </c>
      <c r="M2974">
        <v>0.52815263566265935</v>
      </c>
      <c r="N2974">
        <v>0</v>
      </c>
      <c r="O2974">
        <v>0</v>
      </c>
      <c r="P2974">
        <v>0.67704006751965462</v>
      </c>
      <c r="Q2974">
        <v>1.420051408490534</v>
      </c>
      <c r="R2974">
        <v>-2.816634920888303</v>
      </c>
      <c r="S2974">
        <v>0.21266338128966361</v>
      </c>
      <c r="T2974">
        <v>0.16028813297080821</v>
      </c>
      <c r="U2974">
        <v>4.3319153779302466</v>
      </c>
      <c r="V2974">
        <v>0.21683992469153379</v>
      </c>
      <c r="W2974">
        <v>3.3349076130033479</v>
      </c>
      <c r="X2974">
        <v>0.37422787119902479</v>
      </c>
      <c r="Z2974" t="s">
        <v>392</v>
      </c>
      <c r="AA2974">
        <v>9400</v>
      </c>
      <c r="AB2974" t="s">
        <v>3365</v>
      </c>
      <c r="AC2974" t="str">
        <f>HYPERLINK("plots/3FT6Y578R01_012_S11P_20251111092011_M5358ACSH101811_RBGEUFRF26/dpll_52094/txpa_55189.png","plot")</f>
        <v>plot</v>
      </c>
    </row>
    <row r="2975" spans="1:29" hidden="1" x14ac:dyDescent="0.35">
      <c r="A2975" t="s">
        <v>48</v>
      </c>
      <c r="B2975">
        <v>52094</v>
      </c>
      <c r="C2975" t="s">
        <v>53</v>
      </c>
      <c r="D2975">
        <v>55190</v>
      </c>
      <c r="E2975" t="s">
        <v>323</v>
      </c>
      <c r="F2975">
        <v>12242</v>
      </c>
      <c r="G2975">
        <v>0.83272253834429943</v>
      </c>
      <c r="H2975">
        <v>0</v>
      </c>
      <c r="I2975">
        <v>0</v>
      </c>
      <c r="J2975">
        <v>0.72639846059253688</v>
      </c>
      <c r="K2975">
        <v>0</v>
      </c>
      <c r="L2975">
        <v>0</v>
      </c>
      <c r="M2975">
        <v>0.53397005972174616</v>
      </c>
      <c r="N2975">
        <v>0</v>
      </c>
      <c r="O2975">
        <v>0</v>
      </c>
      <c r="P2975">
        <v>0.69342682586657323</v>
      </c>
      <c r="Q2975">
        <v>1.4388604194925709</v>
      </c>
      <c r="R2975">
        <v>-2.8785280360229022</v>
      </c>
      <c r="S2975">
        <v>0.20745355399209869</v>
      </c>
      <c r="T2975">
        <v>0.15842758678469149</v>
      </c>
      <c r="U2975">
        <v>4.3319235655121711</v>
      </c>
      <c r="V2975">
        <v>0.21684688906752619</v>
      </c>
      <c r="W2975">
        <v>3.3545053226596959</v>
      </c>
      <c r="X2975">
        <v>0.3746895170986167</v>
      </c>
      <c r="Z2975" t="s">
        <v>392</v>
      </c>
      <c r="AA2975">
        <v>9400</v>
      </c>
      <c r="AB2975" t="s">
        <v>3366</v>
      </c>
      <c r="AC2975" t="str">
        <f>HYPERLINK("plots/3FT6Y578R01_012_S11P_20251111092011_M5358ACSH101811_RBGEUFRF26/dpll_52094/txpa_55190.png","plot")</f>
        <v>plot</v>
      </c>
    </row>
    <row r="2976" spans="1:29" hidden="1" x14ac:dyDescent="0.35">
      <c r="A2976" t="s">
        <v>48</v>
      </c>
      <c r="B2976">
        <v>52094</v>
      </c>
      <c r="C2976" t="s">
        <v>53</v>
      </c>
      <c r="D2976">
        <v>55191</v>
      </c>
      <c r="E2976" t="s">
        <v>324</v>
      </c>
      <c r="F2976">
        <v>12240</v>
      </c>
      <c r="G2976">
        <v>0.83345058741128453</v>
      </c>
      <c r="H2976">
        <v>0</v>
      </c>
      <c r="I2976">
        <v>0</v>
      </c>
      <c r="J2976">
        <v>0.72423645747736942</v>
      </c>
      <c r="K2976">
        <v>0</v>
      </c>
      <c r="L2976">
        <v>0</v>
      </c>
      <c r="M2976">
        <v>0.53131881937767345</v>
      </c>
      <c r="N2976">
        <v>0</v>
      </c>
      <c r="O2976">
        <v>0</v>
      </c>
      <c r="P2976">
        <v>0.69463988165621526</v>
      </c>
      <c r="Q2976">
        <v>1.444466388260196</v>
      </c>
      <c r="R2976">
        <v>-2.927151599136784</v>
      </c>
      <c r="S2976">
        <v>0.20763137317726321</v>
      </c>
      <c r="T2976">
        <v>0.15945056816890599</v>
      </c>
      <c r="U2976">
        <v>4.3319400696078434</v>
      </c>
      <c r="V2976">
        <v>0.21680883535870621</v>
      </c>
      <c r="W2976">
        <v>3.3301902273692812</v>
      </c>
      <c r="X2976">
        <v>0.37575481988225862</v>
      </c>
      <c r="Z2976" t="s">
        <v>392</v>
      </c>
      <c r="AA2976">
        <v>9400</v>
      </c>
      <c r="AB2976" t="s">
        <v>3367</v>
      </c>
      <c r="AC2976" t="str">
        <f>HYPERLINK("plots/3FT6Y578R01_012_S11P_20251111092011_M5358ACSH101811_RBGEUFRF26/dpll_52094/txpa_55191.png","plot")</f>
        <v>plot</v>
      </c>
    </row>
    <row r="2977" spans="1:29" hidden="1" x14ac:dyDescent="0.35">
      <c r="A2977" t="s">
        <v>48</v>
      </c>
      <c r="B2977">
        <v>52094</v>
      </c>
      <c r="C2977" t="s">
        <v>53</v>
      </c>
      <c r="D2977">
        <v>55192</v>
      </c>
      <c r="E2977" t="s">
        <v>325</v>
      </c>
      <c r="F2977">
        <v>12240</v>
      </c>
      <c r="G2977">
        <v>0.83586729712402785</v>
      </c>
      <c r="H2977">
        <v>0</v>
      </c>
      <c r="I2977">
        <v>0</v>
      </c>
      <c r="J2977">
        <v>0.72932264567101479</v>
      </c>
      <c r="K2977">
        <v>0</v>
      </c>
      <c r="L2977">
        <v>0</v>
      </c>
      <c r="M2977">
        <v>0.5367943631035873</v>
      </c>
      <c r="N2977">
        <v>0</v>
      </c>
      <c r="O2977">
        <v>0</v>
      </c>
      <c r="P2977">
        <v>0.69867413840142789</v>
      </c>
      <c r="Q2977">
        <v>1.451801312068361</v>
      </c>
      <c r="R2977">
        <v>-2.9575665903108042</v>
      </c>
      <c r="S2977">
        <v>0.20667925741986101</v>
      </c>
      <c r="T2977">
        <v>0.1589890599410477</v>
      </c>
      <c r="U2977">
        <v>4.331890278839869</v>
      </c>
      <c r="V2977">
        <v>0.21678367779622049</v>
      </c>
      <c r="W2977">
        <v>3.331477400245098</v>
      </c>
      <c r="X2977">
        <v>0.37652726568253098</v>
      </c>
      <c r="Z2977" t="s">
        <v>392</v>
      </c>
      <c r="AA2977">
        <v>9400</v>
      </c>
      <c r="AB2977" t="s">
        <v>3368</v>
      </c>
      <c r="AC2977" t="str">
        <f>HYPERLINK("plots/3FT6Y578R01_012_S11P_20251111092011_M5358ACSH101811_RBGEUFRF26/dpll_52094/txpa_55192.png","plot")</f>
        <v>plot</v>
      </c>
    </row>
    <row r="2978" spans="1:29" hidden="1" x14ac:dyDescent="0.35">
      <c r="A2978" t="s">
        <v>48</v>
      </c>
      <c r="B2978">
        <v>52094</v>
      </c>
      <c r="C2978" t="s">
        <v>53</v>
      </c>
      <c r="D2978">
        <v>55193</v>
      </c>
      <c r="E2978" t="s">
        <v>326</v>
      </c>
      <c r="F2978">
        <v>12242</v>
      </c>
      <c r="G2978">
        <v>0.8348036056186019</v>
      </c>
      <c r="H2978">
        <v>0</v>
      </c>
      <c r="I2978">
        <v>0</v>
      </c>
      <c r="J2978">
        <v>0.72449737522452351</v>
      </c>
      <c r="K2978">
        <v>0</v>
      </c>
      <c r="L2978">
        <v>0</v>
      </c>
      <c r="M2978">
        <v>0.53275081318904749</v>
      </c>
      <c r="N2978">
        <v>0</v>
      </c>
      <c r="O2978">
        <v>0</v>
      </c>
      <c r="P2978">
        <v>0.69689705995381823</v>
      </c>
      <c r="Q2978">
        <v>1.4477458510925061</v>
      </c>
      <c r="R2978">
        <v>-2.9346996636799858</v>
      </c>
      <c r="S2978">
        <v>0.20700270986399949</v>
      </c>
      <c r="T2978">
        <v>0.15889090792173691</v>
      </c>
      <c r="U2978">
        <v>4.331949619669988</v>
      </c>
      <c r="V2978">
        <v>0.21681567757630049</v>
      </c>
      <c r="W2978">
        <v>3.336862425338996</v>
      </c>
      <c r="X2978">
        <v>0.37600939376669218</v>
      </c>
      <c r="Z2978" t="s">
        <v>392</v>
      </c>
      <c r="AA2978">
        <v>9400</v>
      </c>
      <c r="AB2978" t="s">
        <v>3369</v>
      </c>
      <c r="AC2978" t="str">
        <f>HYPERLINK("plots/3FT6Y578R01_012_S11P_20251111092011_M5358ACSH101811_RBGEUFRF26/dpll_52094/txpa_55193.png","plot")</f>
        <v>plot</v>
      </c>
    </row>
    <row r="2979" spans="1:29" hidden="1" x14ac:dyDescent="0.35">
      <c r="A2979" t="s">
        <v>48</v>
      </c>
      <c r="B2979">
        <v>52094</v>
      </c>
      <c r="C2979" t="s">
        <v>53</v>
      </c>
      <c r="D2979">
        <v>55194</v>
      </c>
      <c r="E2979" t="s">
        <v>327</v>
      </c>
      <c r="F2979">
        <v>12238</v>
      </c>
      <c r="G2979">
        <v>0.82912517831930965</v>
      </c>
      <c r="H2979">
        <v>0</v>
      </c>
      <c r="I2979">
        <v>0</v>
      </c>
      <c r="J2979">
        <v>0.71640163405331514</v>
      </c>
      <c r="K2979">
        <v>0</v>
      </c>
      <c r="L2979">
        <v>0</v>
      </c>
      <c r="M2979">
        <v>0.5255833226183132</v>
      </c>
      <c r="N2979">
        <v>0</v>
      </c>
      <c r="O2979">
        <v>0</v>
      </c>
      <c r="P2979">
        <v>0.68744856132302701</v>
      </c>
      <c r="Q2979">
        <v>1.4311546780392701</v>
      </c>
      <c r="R2979">
        <v>-2.8790186068140371</v>
      </c>
      <c r="S2979">
        <v>0.2092140953066802</v>
      </c>
      <c r="T2979">
        <v>0.15984724723406649</v>
      </c>
      <c r="U2979">
        <v>4.3320199833306097</v>
      </c>
      <c r="V2979">
        <v>0.2168110752239184</v>
      </c>
      <c r="W2979">
        <v>3.3207720576891648</v>
      </c>
      <c r="X2979">
        <v>0.37423804350799372</v>
      </c>
      <c r="Z2979" t="s">
        <v>392</v>
      </c>
      <c r="AA2979">
        <v>9400</v>
      </c>
      <c r="AB2979" t="s">
        <v>3370</v>
      </c>
      <c r="AC2979" t="str">
        <f>HYPERLINK("plots/3FT6Y578R01_012_S11P_20251111092011_M5358ACSH101811_RBGEUFRF26/dpll_52094/txpa_55194.png","plot")</f>
        <v>plot</v>
      </c>
    </row>
    <row r="2980" spans="1:29" hidden="1" x14ac:dyDescent="0.35">
      <c r="A2980" t="s">
        <v>48</v>
      </c>
      <c r="B2980">
        <v>52094</v>
      </c>
      <c r="C2980" t="s">
        <v>53</v>
      </c>
      <c r="D2980">
        <v>55195</v>
      </c>
      <c r="E2980" t="s">
        <v>328</v>
      </c>
      <c r="F2980">
        <v>12241</v>
      </c>
      <c r="G2980">
        <v>0.82185357924575386</v>
      </c>
      <c r="H2980">
        <v>0</v>
      </c>
      <c r="I2980">
        <v>0</v>
      </c>
      <c r="J2980">
        <v>0.72228844095720623</v>
      </c>
      <c r="K2980">
        <v>0</v>
      </c>
      <c r="L2980">
        <v>0</v>
      </c>
      <c r="M2980">
        <v>0.52901873167521418</v>
      </c>
      <c r="N2980">
        <v>0</v>
      </c>
      <c r="O2980">
        <v>0</v>
      </c>
      <c r="P2980">
        <v>0.67544330571905664</v>
      </c>
      <c r="Q2980">
        <v>1.587658117885707</v>
      </c>
      <c r="R2980">
        <v>-1.3514407290286381</v>
      </c>
      <c r="S2980">
        <v>0.2386090434202226</v>
      </c>
      <c r="T2980">
        <v>0.1776005770153381</v>
      </c>
      <c r="U2980">
        <v>4.331967701903439</v>
      </c>
      <c r="V2980">
        <v>0.21681874017982869</v>
      </c>
      <c r="W2980">
        <v>5.5262429593170488</v>
      </c>
      <c r="X2980">
        <v>0.41885080463137231</v>
      </c>
      <c r="Z2980" t="s">
        <v>392</v>
      </c>
      <c r="AA2980">
        <v>9400</v>
      </c>
      <c r="AB2980" t="s">
        <v>3371</v>
      </c>
      <c r="AC2980" t="str">
        <f>HYPERLINK("plots/3FT6Y578R01_012_S11P_20251111092011_M5358ACSH101811_RBGEUFRF26/dpll_52094/txpa_55195.png","plot")</f>
        <v>plot</v>
      </c>
    </row>
    <row r="2981" spans="1:29" hidden="1" x14ac:dyDescent="0.35">
      <c r="A2981" t="s">
        <v>48</v>
      </c>
      <c r="B2981">
        <v>52094</v>
      </c>
      <c r="C2981" t="s">
        <v>53</v>
      </c>
      <c r="D2981">
        <v>55196</v>
      </c>
      <c r="E2981" t="s">
        <v>329</v>
      </c>
      <c r="F2981">
        <v>12239</v>
      </c>
      <c r="G2981">
        <v>0.83550537370512401</v>
      </c>
      <c r="H2981">
        <v>0</v>
      </c>
      <c r="I2981">
        <v>0</v>
      </c>
      <c r="J2981">
        <v>0.73181702994228448</v>
      </c>
      <c r="K2981">
        <v>0</v>
      </c>
      <c r="L2981">
        <v>0</v>
      </c>
      <c r="M2981">
        <v>0.53954902132311011</v>
      </c>
      <c r="N2981">
        <v>0</v>
      </c>
      <c r="O2981">
        <v>0</v>
      </c>
      <c r="P2981">
        <v>0.69806922949013894</v>
      </c>
      <c r="Q2981">
        <v>1.6114376278189491</v>
      </c>
      <c r="R2981">
        <v>-1.420981267252309</v>
      </c>
      <c r="S2981">
        <v>0.22975650738275091</v>
      </c>
      <c r="T2981">
        <v>0.1737671390112018</v>
      </c>
      <c r="U2981">
        <v>4.3319834973445541</v>
      </c>
      <c r="V2981">
        <v>0.216804165996315</v>
      </c>
      <c r="W2981">
        <v>5.5597399434594319</v>
      </c>
      <c r="X2981">
        <v>0.41814978329232122</v>
      </c>
      <c r="Z2981" t="s">
        <v>392</v>
      </c>
      <c r="AA2981">
        <v>9400</v>
      </c>
      <c r="AB2981" t="s">
        <v>3372</v>
      </c>
      <c r="AC2981" t="str">
        <f>HYPERLINK("plots/3FT6Y578R01_012_S11P_20251111092011_M5358ACSH101811_RBGEUFRF26/dpll_52094/txpa_55196.png","plot")</f>
        <v>plot</v>
      </c>
    </row>
    <row r="2982" spans="1:29" hidden="1" x14ac:dyDescent="0.35">
      <c r="A2982" t="s">
        <v>48</v>
      </c>
      <c r="B2982">
        <v>52094</v>
      </c>
      <c r="C2982" t="s">
        <v>53</v>
      </c>
      <c r="D2982">
        <v>55197</v>
      </c>
      <c r="E2982" t="s">
        <v>330</v>
      </c>
      <c r="F2982">
        <v>12241</v>
      </c>
      <c r="G2982">
        <v>0.8335437448882822</v>
      </c>
      <c r="H2982">
        <v>0</v>
      </c>
      <c r="I2982">
        <v>0</v>
      </c>
      <c r="J2982">
        <v>0.72832757185708608</v>
      </c>
      <c r="K2982">
        <v>0</v>
      </c>
      <c r="L2982">
        <v>0</v>
      </c>
      <c r="M2982">
        <v>0.5358627688328611</v>
      </c>
      <c r="N2982">
        <v>0</v>
      </c>
      <c r="O2982">
        <v>0</v>
      </c>
      <c r="P2982">
        <v>0.69479517464238172</v>
      </c>
      <c r="Q2982">
        <v>1.5954066263211151</v>
      </c>
      <c r="R2982">
        <v>-1.3405705369558389</v>
      </c>
      <c r="S2982">
        <v>0.2292544471950656</v>
      </c>
      <c r="T2982">
        <v>0.17271688561279799</v>
      </c>
      <c r="U2982">
        <v>4.331967701903439</v>
      </c>
      <c r="V2982">
        <v>0.21681874017982869</v>
      </c>
      <c r="W2982">
        <v>5.570679439669961</v>
      </c>
      <c r="X2982">
        <v>0.41499208279687477</v>
      </c>
      <c r="Z2982" t="s">
        <v>392</v>
      </c>
      <c r="AA2982">
        <v>9400</v>
      </c>
      <c r="AB2982" t="s">
        <v>3373</v>
      </c>
      <c r="AC2982" t="str">
        <f>HYPERLINK("plots/3FT6Y578R01_012_S11P_20251111092011_M5358ACSH101811_RBGEUFRF26/dpll_52094/txpa_55197.png","plot")</f>
        <v>plot</v>
      </c>
    </row>
    <row r="2983" spans="1:29" hidden="1" x14ac:dyDescent="0.35">
      <c r="A2983" t="s">
        <v>48</v>
      </c>
      <c r="B2983">
        <v>52094</v>
      </c>
      <c r="C2983" t="s">
        <v>53</v>
      </c>
      <c r="D2983">
        <v>55198</v>
      </c>
      <c r="E2983" t="s">
        <v>331</v>
      </c>
      <c r="F2983">
        <v>12242</v>
      </c>
      <c r="G2983">
        <v>0.84227681239177266</v>
      </c>
      <c r="H2983">
        <v>0</v>
      </c>
      <c r="I2983">
        <v>0</v>
      </c>
      <c r="J2983">
        <v>0.73421787904476377</v>
      </c>
      <c r="K2983">
        <v>0</v>
      </c>
      <c r="L2983">
        <v>0</v>
      </c>
      <c r="M2983">
        <v>0.54186398766860466</v>
      </c>
      <c r="N2983">
        <v>0</v>
      </c>
      <c r="O2983">
        <v>0</v>
      </c>
      <c r="P2983">
        <v>0.70943022869284544</v>
      </c>
      <c r="Q2983">
        <v>1.616771009768414</v>
      </c>
      <c r="R2983">
        <v>-1.416816391835285</v>
      </c>
      <c r="S2983">
        <v>0.2243646031708442</v>
      </c>
      <c r="T2983">
        <v>0.17086204708871519</v>
      </c>
      <c r="U2983">
        <v>4.3319235655121711</v>
      </c>
      <c r="V2983">
        <v>0.21684688906752619</v>
      </c>
      <c r="W2983">
        <v>5.5869120454174146</v>
      </c>
      <c r="X2983">
        <v>0.41624292470700353</v>
      </c>
      <c r="Z2983" t="s">
        <v>392</v>
      </c>
      <c r="AA2983">
        <v>9400</v>
      </c>
      <c r="AB2983" t="s">
        <v>3374</v>
      </c>
      <c r="AC2983" t="str">
        <f>HYPERLINK("plots/3FT6Y578R01_012_S11P_20251111092011_M5358ACSH101811_RBGEUFRF26/dpll_52094/txpa_55198.png","plot")</f>
        <v>plot</v>
      </c>
    </row>
    <row r="2984" spans="1:29" hidden="1" x14ac:dyDescent="0.35">
      <c r="A2984" t="s">
        <v>48</v>
      </c>
      <c r="B2984">
        <v>52094</v>
      </c>
      <c r="C2984" t="s">
        <v>53</v>
      </c>
      <c r="D2984">
        <v>55199</v>
      </c>
      <c r="E2984" t="s">
        <v>332</v>
      </c>
      <c r="F2984">
        <v>12240</v>
      </c>
      <c r="G2984">
        <v>0.84322763704555181</v>
      </c>
      <c r="H2984">
        <v>0</v>
      </c>
      <c r="I2984">
        <v>0</v>
      </c>
      <c r="J2984">
        <v>0.732453587915463</v>
      </c>
      <c r="K2984">
        <v>0</v>
      </c>
      <c r="L2984">
        <v>0</v>
      </c>
      <c r="M2984">
        <v>0.53971546958954775</v>
      </c>
      <c r="N2984">
        <v>0</v>
      </c>
      <c r="O2984">
        <v>0</v>
      </c>
      <c r="P2984">
        <v>0.71103284787742482</v>
      </c>
      <c r="Q2984">
        <v>1.6224967352531421</v>
      </c>
      <c r="R2984">
        <v>-1.467250378339231</v>
      </c>
      <c r="S2984">
        <v>0.22424484765184721</v>
      </c>
      <c r="T2984">
        <v>0.17176066161848691</v>
      </c>
      <c r="U2984">
        <v>4.3319400696078434</v>
      </c>
      <c r="V2984">
        <v>0.21680883535870621</v>
      </c>
      <c r="W2984">
        <v>5.5613082419117648</v>
      </c>
      <c r="X2984">
        <v>0.41717279188814582</v>
      </c>
      <c r="Z2984" t="s">
        <v>392</v>
      </c>
      <c r="AA2984">
        <v>9400</v>
      </c>
      <c r="AB2984" t="s">
        <v>3375</v>
      </c>
      <c r="AC2984" t="str">
        <f>HYPERLINK("plots/3FT6Y578R01_012_S11P_20251111092011_M5358ACSH101811_RBGEUFRF26/dpll_52094/txpa_55199.png","plot")</f>
        <v>plot</v>
      </c>
    </row>
    <row r="2985" spans="1:29" hidden="1" x14ac:dyDescent="0.35">
      <c r="A2985" t="s">
        <v>48</v>
      </c>
      <c r="B2985">
        <v>52094</v>
      </c>
      <c r="C2985" t="s">
        <v>53</v>
      </c>
      <c r="D2985">
        <v>55200</v>
      </c>
      <c r="E2985" t="s">
        <v>333</v>
      </c>
      <c r="F2985">
        <v>12240</v>
      </c>
      <c r="G2985">
        <v>0.84503521378177537</v>
      </c>
      <c r="H2985">
        <v>0</v>
      </c>
      <c r="I2985">
        <v>0</v>
      </c>
      <c r="J2985">
        <v>0.73618301193666713</v>
      </c>
      <c r="K2985">
        <v>0</v>
      </c>
      <c r="L2985">
        <v>0</v>
      </c>
      <c r="M2985">
        <v>0.54401379096755298</v>
      </c>
      <c r="N2985">
        <v>0</v>
      </c>
      <c r="O2985">
        <v>0</v>
      </c>
      <c r="P2985">
        <v>0.71408451253121086</v>
      </c>
      <c r="Q2985">
        <v>1.6292871300783049</v>
      </c>
      <c r="R2985">
        <v>-1.492005476875444</v>
      </c>
      <c r="S2985">
        <v>0.22348609076433301</v>
      </c>
      <c r="T2985">
        <v>0.1713656229023692</v>
      </c>
      <c r="U2985">
        <v>4.331890278839869</v>
      </c>
      <c r="V2985">
        <v>0.21678367779622049</v>
      </c>
      <c r="W2985">
        <v>5.5658876033496734</v>
      </c>
      <c r="X2985">
        <v>0.41797412756770203</v>
      </c>
      <c r="Z2985" t="s">
        <v>392</v>
      </c>
      <c r="AA2985">
        <v>9400</v>
      </c>
      <c r="AB2985" t="s">
        <v>3376</v>
      </c>
      <c r="AC2985" t="str">
        <f>HYPERLINK("plots/3FT6Y578R01_012_S11P_20251111092011_M5358ACSH101811_RBGEUFRF26/dpll_52094/txpa_55200.png","plot")</f>
        <v>plot</v>
      </c>
    </row>
    <row r="2986" spans="1:29" hidden="1" x14ac:dyDescent="0.35">
      <c r="A2986" t="s">
        <v>48</v>
      </c>
      <c r="B2986">
        <v>52094</v>
      </c>
      <c r="C2986" t="s">
        <v>53</v>
      </c>
      <c r="D2986">
        <v>55201</v>
      </c>
      <c r="E2986" t="s">
        <v>334</v>
      </c>
      <c r="F2986">
        <v>12242</v>
      </c>
      <c r="G2986">
        <v>0.8441544918807169</v>
      </c>
      <c r="H2986">
        <v>0</v>
      </c>
      <c r="I2986">
        <v>0</v>
      </c>
      <c r="J2986">
        <v>0.73206817481179853</v>
      </c>
      <c r="K2986">
        <v>0</v>
      </c>
      <c r="L2986">
        <v>0</v>
      </c>
      <c r="M2986">
        <v>0.54051261721232657</v>
      </c>
      <c r="N2986">
        <v>0</v>
      </c>
      <c r="O2986">
        <v>0</v>
      </c>
      <c r="P2986">
        <v>0.71259680616239129</v>
      </c>
      <c r="Q2986">
        <v>1.6260924831169139</v>
      </c>
      <c r="R2986">
        <v>-1.4730935196189221</v>
      </c>
      <c r="S2986">
        <v>0.2238937884362576</v>
      </c>
      <c r="T2986">
        <v>0.17119194376443531</v>
      </c>
      <c r="U2986">
        <v>4.331949619669988</v>
      </c>
      <c r="V2986">
        <v>0.21681567757630049</v>
      </c>
      <c r="W2986">
        <v>5.5710571941676204</v>
      </c>
      <c r="X2986">
        <v>0.4176514452268546</v>
      </c>
      <c r="Z2986" t="s">
        <v>392</v>
      </c>
      <c r="AA2986">
        <v>9400</v>
      </c>
      <c r="AB2986" t="s">
        <v>3377</v>
      </c>
      <c r="AC2986" t="str">
        <f>HYPERLINK("plots/3FT6Y578R01_012_S11P_20251111092011_M5358ACSH101811_RBGEUFRF26/dpll_52094/txpa_55201.png","plot")</f>
        <v>plot</v>
      </c>
    </row>
    <row r="2987" spans="1:29" hidden="1" x14ac:dyDescent="0.35">
      <c r="A2987" t="s">
        <v>48</v>
      </c>
      <c r="B2987">
        <v>52094</v>
      </c>
      <c r="C2987" t="s">
        <v>53</v>
      </c>
      <c r="D2987">
        <v>55202</v>
      </c>
      <c r="E2987" t="s">
        <v>335</v>
      </c>
      <c r="F2987">
        <v>12237</v>
      </c>
      <c r="G2987">
        <v>0.83937834213560747</v>
      </c>
      <c r="H2987">
        <v>0</v>
      </c>
      <c r="I2987">
        <v>0</v>
      </c>
      <c r="J2987">
        <v>0.72466790866639519</v>
      </c>
      <c r="K2987">
        <v>0</v>
      </c>
      <c r="L2987">
        <v>0</v>
      </c>
      <c r="M2987">
        <v>0.53382598617964006</v>
      </c>
      <c r="N2987">
        <v>0</v>
      </c>
      <c r="O2987">
        <v>0</v>
      </c>
      <c r="P2987">
        <v>0.7045560012463209</v>
      </c>
      <c r="Q2987">
        <v>1.6084841593345369</v>
      </c>
      <c r="R2987">
        <v>-1.41175146098186</v>
      </c>
      <c r="S2987">
        <v>0.2258134982407437</v>
      </c>
      <c r="T2987">
        <v>0.17223445019614761</v>
      </c>
      <c r="U2987">
        <v>4.3320423089809594</v>
      </c>
      <c r="V2987">
        <v>0.21680586638261479</v>
      </c>
      <c r="W2987">
        <v>5.5562699705810257</v>
      </c>
      <c r="X2987">
        <v>0.41546080500477861</v>
      </c>
      <c r="Z2987" t="s">
        <v>392</v>
      </c>
      <c r="AA2987">
        <v>9400</v>
      </c>
      <c r="AB2987" t="s">
        <v>3378</v>
      </c>
      <c r="AC2987" t="str">
        <f>HYPERLINK("plots/3FT6Y578R01_012_S11P_20251111092011_M5358ACSH101811_RBGEUFRF26/dpll_52094/txpa_55202.png","plot")</f>
        <v>plot</v>
      </c>
    </row>
    <row r="2988" spans="1:29" hidden="1" x14ac:dyDescent="0.35">
      <c r="A2988" t="s">
        <v>48</v>
      </c>
      <c r="B2988">
        <v>52094</v>
      </c>
      <c r="C2988" t="s">
        <v>53</v>
      </c>
      <c r="D2988">
        <v>55203</v>
      </c>
      <c r="E2988" t="s">
        <v>336</v>
      </c>
      <c r="F2988">
        <v>12241</v>
      </c>
      <c r="G2988">
        <v>0.82527314354677672</v>
      </c>
      <c r="H2988">
        <v>0</v>
      </c>
      <c r="I2988">
        <v>0</v>
      </c>
      <c r="J2988">
        <v>0.72445442583091346</v>
      </c>
      <c r="K2988">
        <v>0</v>
      </c>
      <c r="L2988">
        <v>0</v>
      </c>
      <c r="M2988">
        <v>0.53130389924381249</v>
      </c>
      <c r="N2988">
        <v>0</v>
      </c>
      <c r="O2988">
        <v>0</v>
      </c>
      <c r="P2988">
        <v>0.68107576145957871</v>
      </c>
      <c r="Q2988">
        <v>1.669775621875808</v>
      </c>
      <c r="R2988">
        <v>-0.72217446074488745</v>
      </c>
      <c r="S2988">
        <v>0.2477326476000378</v>
      </c>
      <c r="T2988">
        <v>0.18419620168217729</v>
      </c>
      <c r="U2988">
        <v>4.331967701903439</v>
      </c>
      <c r="V2988">
        <v>0.21681874017982869</v>
      </c>
      <c r="W2988">
        <v>6.5112396026468424</v>
      </c>
      <c r="X2988">
        <v>0.43868948062718888</v>
      </c>
      <c r="Z2988" t="s">
        <v>392</v>
      </c>
      <c r="AA2988">
        <v>9400</v>
      </c>
      <c r="AB2988" t="s">
        <v>3379</v>
      </c>
      <c r="AC2988" t="str">
        <f>HYPERLINK("plots/3FT6Y578R01_012_S11P_20251111092011_M5358ACSH101811_RBGEUFRF26/dpll_52094/txpa_55203.png","plot")</f>
        <v>plot</v>
      </c>
    </row>
    <row r="2989" spans="1:29" hidden="1" x14ac:dyDescent="0.35">
      <c r="A2989" t="s">
        <v>48</v>
      </c>
      <c r="B2989">
        <v>52094</v>
      </c>
      <c r="C2989" t="s">
        <v>53</v>
      </c>
      <c r="D2989">
        <v>55204</v>
      </c>
      <c r="E2989" t="s">
        <v>337</v>
      </c>
      <c r="F2989">
        <v>12239</v>
      </c>
      <c r="G2989">
        <v>0.83840580989043845</v>
      </c>
      <c r="H2989">
        <v>0</v>
      </c>
      <c r="I2989">
        <v>0</v>
      </c>
      <c r="J2989">
        <v>0.73374484157205067</v>
      </c>
      <c r="K2989">
        <v>0</v>
      </c>
      <c r="L2989">
        <v>0</v>
      </c>
      <c r="M2989">
        <v>0.54159119446373516</v>
      </c>
      <c r="N2989">
        <v>0</v>
      </c>
      <c r="O2989">
        <v>0</v>
      </c>
      <c r="P2989">
        <v>0.70292430205804202</v>
      </c>
      <c r="Q2989">
        <v>1.6933300981500621</v>
      </c>
      <c r="R2989">
        <v>-0.79079163736027169</v>
      </c>
      <c r="S2989">
        <v>0.2386551397332925</v>
      </c>
      <c r="T2989">
        <v>0.18030844826941109</v>
      </c>
      <c r="U2989">
        <v>4.3319834973445541</v>
      </c>
      <c r="V2989">
        <v>0.216804165996315</v>
      </c>
      <c r="W2989">
        <v>6.5446864033826291</v>
      </c>
      <c r="X2989">
        <v>0.43787986122598199</v>
      </c>
      <c r="Z2989" t="s">
        <v>392</v>
      </c>
      <c r="AA2989">
        <v>9400</v>
      </c>
      <c r="AB2989" t="s">
        <v>3380</v>
      </c>
      <c r="AC2989" t="str">
        <f>HYPERLINK("plots/3FT6Y578R01_012_S11P_20251111092011_M5358ACSH101811_RBGEUFRF26/dpll_52094/txpa_55204.png","plot")</f>
        <v>plot</v>
      </c>
    </row>
    <row r="2990" spans="1:29" hidden="1" x14ac:dyDescent="0.35">
      <c r="A2990" t="s">
        <v>48</v>
      </c>
      <c r="B2990">
        <v>52094</v>
      </c>
      <c r="C2990" t="s">
        <v>53</v>
      </c>
      <c r="D2990">
        <v>55205</v>
      </c>
      <c r="E2990" t="s">
        <v>338</v>
      </c>
      <c r="F2990">
        <v>12240</v>
      </c>
      <c r="G2990">
        <v>0.83679387205117517</v>
      </c>
      <c r="H2990">
        <v>0</v>
      </c>
      <c r="I2990">
        <v>0</v>
      </c>
      <c r="J2990">
        <v>0.73010070148318273</v>
      </c>
      <c r="K2990">
        <v>0</v>
      </c>
      <c r="L2990">
        <v>0</v>
      </c>
      <c r="M2990">
        <v>0.53778071305765618</v>
      </c>
      <c r="N2990">
        <v>0</v>
      </c>
      <c r="O2990">
        <v>0</v>
      </c>
      <c r="P2990">
        <v>0.70022398430239852</v>
      </c>
      <c r="Q2990">
        <v>1.6763653914399299</v>
      </c>
      <c r="R2990">
        <v>-0.70591390400535037</v>
      </c>
      <c r="S2990">
        <v>0.23780502719647811</v>
      </c>
      <c r="T2990">
        <v>0.17913214039097641</v>
      </c>
      <c r="U2990">
        <v>4.3319884839869287</v>
      </c>
      <c r="V2990">
        <v>0.2168154050444133</v>
      </c>
      <c r="W2990">
        <v>6.5560816666666666</v>
      </c>
      <c r="X2990">
        <v>0.43435050552719262</v>
      </c>
      <c r="Z2990" t="s">
        <v>392</v>
      </c>
      <c r="AA2990">
        <v>9400</v>
      </c>
      <c r="AB2990" t="s">
        <v>3381</v>
      </c>
      <c r="AC2990" t="str">
        <f>HYPERLINK("plots/3FT6Y578R01_012_S11P_20251111092011_M5358ACSH101811_RBGEUFRF26/dpll_52094/txpa_55205.png","plot")</f>
        <v>plot</v>
      </c>
    </row>
    <row r="2991" spans="1:29" hidden="1" x14ac:dyDescent="0.35">
      <c r="A2991" t="s">
        <v>48</v>
      </c>
      <c r="B2991">
        <v>52094</v>
      </c>
      <c r="C2991" t="s">
        <v>53</v>
      </c>
      <c r="D2991">
        <v>55206</v>
      </c>
      <c r="E2991" t="s">
        <v>339</v>
      </c>
      <c r="F2991">
        <v>12242</v>
      </c>
      <c r="G2991">
        <v>0.84500143440112041</v>
      </c>
      <c r="H2991">
        <v>0</v>
      </c>
      <c r="I2991">
        <v>0</v>
      </c>
      <c r="J2991">
        <v>0.73587008328426184</v>
      </c>
      <c r="K2991">
        <v>0</v>
      </c>
      <c r="L2991">
        <v>0</v>
      </c>
      <c r="M2991">
        <v>0.54371713580263681</v>
      </c>
      <c r="N2991">
        <v>0</v>
      </c>
      <c r="O2991">
        <v>0</v>
      </c>
      <c r="P2991">
        <v>0.71402742413995102</v>
      </c>
      <c r="Q2991">
        <v>1.698932506957975</v>
      </c>
      <c r="R2991">
        <v>-0.78871416941208405</v>
      </c>
      <c r="S2991">
        <v>0.2331397524477376</v>
      </c>
      <c r="T2991">
        <v>0.17738864063163909</v>
      </c>
      <c r="U2991">
        <v>4.3319235655121711</v>
      </c>
      <c r="V2991">
        <v>0.21684688906752619</v>
      </c>
      <c r="W2991">
        <v>6.5709315936938397</v>
      </c>
      <c r="X2991">
        <v>0.43598532957595859</v>
      </c>
      <c r="Z2991" t="s">
        <v>392</v>
      </c>
      <c r="AA2991">
        <v>9400</v>
      </c>
      <c r="AB2991" t="s">
        <v>3382</v>
      </c>
      <c r="AC2991" t="str">
        <f>HYPERLINK("plots/3FT6Y578R01_012_S11P_20251111092011_M5358ACSH101811_RBGEUFRF26/dpll_52094/txpa_55206.png","plot")</f>
        <v>plot</v>
      </c>
    </row>
    <row r="2992" spans="1:29" hidden="1" x14ac:dyDescent="0.35">
      <c r="A2992" t="s">
        <v>48</v>
      </c>
      <c r="B2992">
        <v>52094</v>
      </c>
      <c r="C2992" t="s">
        <v>53</v>
      </c>
      <c r="D2992">
        <v>55207</v>
      </c>
      <c r="E2992" t="s">
        <v>340</v>
      </c>
      <c r="F2992">
        <v>12240</v>
      </c>
      <c r="G2992">
        <v>0.84602962497961709</v>
      </c>
      <c r="H2992">
        <v>0</v>
      </c>
      <c r="I2992">
        <v>0</v>
      </c>
      <c r="J2992">
        <v>0.73415421468076558</v>
      </c>
      <c r="K2992">
        <v>0</v>
      </c>
      <c r="L2992">
        <v>0</v>
      </c>
      <c r="M2992">
        <v>0.54162490174150957</v>
      </c>
      <c r="N2992">
        <v>0</v>
      </c>
      <c r="O2992">
        <v>0</v>
      </c>
      <c r="P2992">
        <v>0.71576612634315151</v>
      </c>
      <c r="Q2992">
        <v>1.705248864761703</v>
      </c>
      <c r="R2992">
        <v>-0.84250823877398151</v>
      </c>
      <c r="S2992">
        <v>0.23296965162300109</v>
      </c>
      <c r="T2992">
        <v>0.17826900769370191</v>
      </c>
      <c r="U2992">
        <v>4.3319400696078434</v>
      </c>
      <c r="V2992">
        <v>0.21680883535870621</v>
      </c>
      <c r="W2992">
        <v>6.5445276471405238</v>
      </c>
      <c r="X2992">
        <v>0.43699772377905532</v>
      </c>
      <c r="Z2992" t="s">
        <v>392</v>
      </c>
      <c r="AA2992">
        <v>9400</v>
      </c>
      <c r="AB2992" t="s">
        <v>3383</v>
      </c>
      <c r="AC2992" t="str">
        <f>HYPERLINK("plots/3FT6Y578R01_012_S11P_20251111092011_M5358ACSH101811_RBGEUFRF26/dpll_52094/txpa_55207.png","plot")</f>
        <v>plot</v>
      </c>
    </row>
    <row r="2993" spans="1:29" hidden="1" x14ac:dyDescent="0.35">
      <c r="A2993" t="s">
        <v>48</v>
      </c>
      <c r="B2993">
        <v>52094</v>
      </c>
      <c r="C2993" t="s">
        <v>53</v>
      </c>
      <c r="D2993">
        <v>55208</v>
      </c>
      <c r="E2993" t="s">
        <v>341</v>
      </c>
      <c r="F2993">
        <v>12240</v>
      </c>
      <c r="G2993">
        <v>0.84764354636240291</v>
      </c>
      <c r="H2993">
        <v>0</v>
      </c>
      <c r="I2993">
        <v>0</v>
      </c>
      <c r="J2993">
        <v>0.73768648905804557</v>
      </c>
      <c r="K2993">
        <v>0</v>
      </c>
      <c r="L2993">
        <v>0</v>
      </c>
      <c r="M2993">
        <v>0.54574113632655263</v>
      </c>
      <c r="N2993">
        <v>0</v>
      </c>
      <c r="O2993">
        <v>0</v>
      </c>
      <c r="P2993">
        <v>0.71849958168983108</v>
      </c>
      <c r="Q2993">
        <v>1.711348986320105</v>
      </c>
      <c r="R2993">
        <v>-0.86318132520592705</v>
      </c>
      <c r="S2993">
        <v>0.23220613126153361</v>
      </c>
      <c r="T2993">
        <v>0.17778124718707891</v>
      </c>
      <c r="U2993">
        <v>4.331890278839869</v>
      </c>
      <c r="V2993">
        <v>0.21678367779622049</v>
      </c>
      <c r="W2993">
        <v>6.5501947123366024</v>
      </c>
      <c r="X2993">
        <v>0.43767516291416653</v>
      </c>
      <c r="Z2993" t="s">
        <v>392</v>
      </c>
      <c r="AA2993">
        <v>9400</v>
      </c>
      <c r="AB2993" t="s">
        <v>3384</v>
      </c>
      <c r="AC2993" t="str">
        <f>HYPERLINK("plots/3FT6Y578R01_012_S11P_20251111092011_M5358ACSH101811_RBGEUFRF26/dpll_52094/txpa_55208.png","plot")</f>
        <v>plot</v>
      </c>
    </row>
    <row r="2994" spans="1:29" hidden="1" x14ac:dyDescent="0.35">
      <c r="A2994" t="s">
        <v>48</v>
      </c>
      <c r="B2994">
        <v>52094</v>
      </c>
      <c r="C2994" t="s">
        <v>53</v>
      </c>
      <c r="D2994">
        <v>55209</v>
      </c>
      <c r="E2994" t="s">
        <v>342</v>
      </c>
      <c r="F2994">
        <v>12241</v>
      </c>
      <c r="G2994">
        <v>0.84718510220924337</v>
      </c>
      <c r="H2994">
        <v>0</v>
      </c>
      <c r="I2994">
        <v>0</v>
      </c>
      <c r="J2994">
        <v>0.7336490516427806</v>
      </c>
      <c r="K2994">
        <v>0</v>
      </c>
      <c r="L2994">
        <v>0</v>
      </c>
      <c r="M2994">
        <v>0.54231800540189246</v>
      </c>
      <c r="N2994">
        <v>0</v>
      </c>
      <c r="O2994">
        <v>0</v>
      </c>
      <c r="P2994">
        <v>0.7177225974052861</v>
      </c>
      <c r="Q2994">
        <v>1.7084345879297409</v>
      </c>
      <c r="R2994">
        <v>-0.84542278938340854</v>
      </c>
      <c r="S2994">
        <v>0.2322933335481446</v>
      </c>
      <c r="T2994">
        <v>0.17751151751959721</v>
      </c>
      <c r="U2994">
        <v>4.3319642092966264</v>
      </c>
      <c r="V2994">
        <v>0.216818524669256</v>
      </c>
      <c r="W2994">
        <v>6.5554546994526577</v>
      </c>
      <c r="X2994">
        <v>0.43723652113675371</v>
      </c>
      <c r="Z2994" t="s">
        <v>392</v>
      </c>
      <c r="AA2994">
        <v>9400</v>
      </c>
      <c r="AB2994" t="s">
        <v>3385</v>
      </c>
      <c r="AC2994" t="str">
        <f>HYPERLINK("plots/3FT6Y578R01_012_S11P_20251111092011_M5358ACSH101811_RBGEUFRF26/dpll_52094/txpa_55209.png","plot")</f>
        <v>plot</v>
      </c>
    </row>
    <row r="2995" spans="1:29" hidden="1" x14ac:dyDescent="0.35">
      <c r="A2995" t="s">
        <v>48</v>
      </c>
      <c r="B2995">
        <v>52094</v>
      </c>
      <c r="C2995" t="s">
        <v>53</v>
      </c>
      <c r="D2995">
        <v>55210</v>
      </c>
      <c r="E2995" t="s">
        <v>343</v>
      </c>
      <c r="F2995">
        <v>12235</v>
      </c>
      <c r="G2995">
        <v>0.84277319385722149</v>
      </c>
      <c r="H2995">
        <v>0</v>
      </c>
      <c r="I2995">
        <v>0</v>
      </c>
      <c r="J2995">
        <v>0.72649877532374141</v>
      </c>
      <c r="K2995">
        <v>0</v>
      </c>
      <c r="L2995">
        <v>0</v>
      </c>
      <c r="M2995">
        <v>0.5358661422206451</v>
      </c>
      <c r="N2995">
        <v>0</v>
      </c>
      <c r="O2995">
        <v>0</v>
      </c>
      <c r="P2995">
        <v>0.71026665628430186</v>
      </c>
      <c r="Q2995">
        <v>1.6894302157678369</v>
      </c>
      <c r="R2995">
        <v>-0.77721642814458924</v>
      </c>
      <c r="S2995">
        <v>0.23391823894565439</v>
      </c>
      <c r="T2995">
        <v>0.17842772681342309</v>
      </c>
      <c r="U2995">
        <v>4.3320857962402943</v>
      </c>
      <c r="V2995">
        <v>0.21679689176247041</v>
      </c>
      <c r="W2995">
        <v>6.5415402133224347</v>
      </c>
      <c r="X2995">
        <v>0.43459286828019028</v>
      </c>
      <c r="Z2995" t="s">
        <v>392</v>
      </c>
      <c r="AA2995">
        <v>9400</v>
      </c>
      <c r="AB2995" t="s">
        <v>3386</v>
      </c>
      <c r="AC2995" t="str">
        <f>HYPERLINK("plots/3FT6Y578R01_012_S11P_20251111092011_M5358ACSH101811_RBGEUFRF26/dpll_52094/txpa_55210.png","plot")</f>
        <v>plot</v>
      </c>
    </row>
    <row r="2996" spans="1:29" hidden="1" x14ac:dyDescent="0.35">
      <c r="A2996" t="s">
        <v>48</v>
      </c>
      <c r="B2996">
        <v>52094</v>
      </c>
      <c r="C2996" t="s">
        <v>53</v>
      </c>
      <c r="D2996">
        <v>55211</v>
      </c>
      <c r="E2996" t="s">
        <v>344</v>
      </c>
      <c r="F2996">
        <v>12238</v>
      </c>
      <c r="G2996">
        <v>0.82834990253160623</v>
      </c>
      <c r="H2996">
        <v>0</v>
      </c>
      <c r="I2996">
        <v>0</v>
      </c>
      <c r="J2996">
        <v>0.72606456087290938</v>
      </c>
      <c r="K2996">
        <v>0</v>
      </c>
      <c r="L2996">
        <v>0</v>
      </c>
      <c r="M2996">
        <v>0.53304291117800373</v>
      </c>
      <c r="N2996">
        <v>0</v>
      </c>
      <c r="O2996">
        <v>0</v>
      </c>
      <c r="P2996">
        <v>0.68616356102412157</v>
      </c>
      <c r="Q2996">
        <v>1.7502959520066881</v>
      </c>
      <c r="R2996">
        <v>-0.1180393162384359</v>
      </c>
      <c r="S2996">
        <v>0.25657979939445802</v>
      </c>
      <c r="T2996">
        <v>0.1907984830639595</v>
      </c>
      <c r="U2996">
        <v>4.3320586041836906</v>
      </c>
      <c r="V2996">
        <v>0.21676584801412349</v>
      </c>
      <c r="W2996">
        <v>7.4643453225200203</v>
      </c>
      <c r="X2996">
        <v>0.45802430247517389</v>
      </c>
      <c r="Z2996" t="s">
        <v>392</v>
      </c>
      <c r="AA2996">
        <v>9400</v>
      </c>
      <c r="AB2996" t="s">
        <v>3387</v>
      </c>
      <c r="AC2996" t="str">
        <f>HYPERLINK("plots/3FT6Y578R01_012_S11P_20251111092011_M5358ACSH101811_RBGEUFRF26/dpll_52094/txpa_55211.png","plot")</f>
        <v>plot</v>
      </c>
    </row>
    <row r="2997" spans="1:29" hidden="1" x14ac:dyDescent="0.35">
      <c r="A2997" t="s">
        <v>48</v>
      </c>
      <c r="B2997">
        <v>52094</v>
      </c>
      <c r="C2997" t="s">
        <v>53</v>
      </c>
      <c r="D2997">
        <v>55212</v>
      </c>
      <c r="E2997" t="s">
        <v>345</v>
      </c>
      <c r="F2997">
        <v>12237</v>
      </c>
      <c r="G2997">
        <v>0.84083498072109897</v>
      </c>
      <c r="H2997">
        <v>0</v>
      </c>
      <c r="I2997">
        <v>0</v>
      </c>
      <c r="J2997">
        <v>0.73471446415095609</v>
      </c>
      <c r="K2997">
        <v>0</v>
      </c>
      <c r="L2997">
        <v>0</v>
      </c>
      <c r="M2997">
        <v>0.54269814494867386</v>
      </c>
      <c r="N2997">
        <v>0</v>
      </c>
      <c r="O2997">
        <v>0</v>
      </c>
      <c r="P2997">
        <v>0.70700346480425091</v>
      </c>
      <c r="Q2997">
        <v>1.774098551085507</v>
      </c>
      <c r="R2997">
        <v>-0.1877114842250798</v>
      </c>
      <c r="S2997">
        <v>0.24757452561373261</v>
      </c>
      <c r="T2997">
        <v>0.18706748973703691</v>
      </c>
      <c r="U2997">
        <v>4.3320349549726238</v>
      </c>
      <c r="V2997">
        <v>0.2167831332142641</v>
      </c>
      <c r="W2997">
        <v>7.4977454526436214</v>
      </c>
      <c r="X2997">
        <v>0.45739610191452129</v>
      </c>
      <c r="Z2997" t="s">
        <v>392</v>
      </c>
      <c r="AA2997">
        <v>9400</v>
      </c>
      <c r="AB2997" t="s">
        <v>3388</v>
      </c>
      <c r="AC2997" t="str">
        <f>HYPERLINK("plots/3FT6Y578R01_012_S11P_20251111092011_M5358ACSH101811_RBGEUFRF26/dpll_52094/txpa_55212.png","plot")</f>
        <v>plot</v>
      </c>
    </row>
    <row r="2998" spans="1:29" hidden="1" x14ac:dyDescent="0.35">
      <c r="A2998" t="s">
        <v>48</v>
      </c>
      <c r="B2998">
        <v>52094</v>
      </c>
      <c r="C2998" t="s">
        <v>53</v>
      </c>
      <c r="D2998">
        <v>55213</v>
      </c>
      <c r="E2998" t="s">
        <v>346</v>
      </c>
      <c r="F2998">
        <v>12240</v>
      </c>
      <c r="G2998">
        <v>0.83918763544442199</v>
      </c>
      <c r="H2998">
        <v>0</v>
      </c>
      <c r="I2998">
        <v>0</v>
      </c>
      <c r="J2998">
        <v>0.73148337007770226</v>
      </c>
      <c r="K2998">
        <v>0</v>
      </c>
      <c r="L2998">
        <v>0</v>
      </c>
      <c r="M2998">
        <v>0.53930889333885002</v>
      </c>
      <c r="N2998">
        <v>0</v>
      </c>
      <c r="O2998">
        <v>0</v>
      </c>
      <c r="P2998">
        <v>0.70423588748280008</v>
      </c>
      <c r="Q2998">
        <v>1.7586418115976279</v>
      </c>
      <c r="R2998">
        <v>-0.10927351672040329</v>
      </c>
      <c r="S2998">
        <v>0.24709471170782271</v>
      </c>
      <c r="T2998">
        <v>0.1859150461623558</v>
      </c>
      <c r="U2998">
        <v>4.3319884839869287</v>
      </c>
      <c r="V2998">
        <v>0.2168154050444133</v>
      </c>
      <c r="W2998">
        <v>7.5091425585784322</v>
      </c>
      <c r="X2998">
        <v>0.45436874973455621</v>
      </c>
      <c r="Z2998" t="s">
        <v>392</v>
      </c>
      <c r="AA2998">
        <v>9400</v>
      </c>
      <c r="AB2998" t="s">
        <v>3389</v>
      </c>
      <c r="AC2998" t="str">
        <f>HYPERLINK("plots/3FT6Y578R01_012_S11P_20251111092011_M5358ACSH101811_RBGEUFRF26/dpll_52094/txpa_55213.png","plot")</f>
        <v>plot</v>
      </c>
    </row>
    <row r="2999" spans="1:29" hidden="1" x14ac:dyDescent="0.35">
      <c r="A2999" t="s">
        <v>48</v>
      </c>
      <c r="B2999">
        <v>52094</v>
      </c>
      <c r="C2999" t="s">
        <v>53</v>
      </c>
      <c r="D2999">
        <v>55214</v>
      </c>
      <c r="E2999" t="s">
        <v>347</v>
      </c>
      <c r="F2999">
        <v>12240</v>
      </c>
      <c r="G2999">
        <v>0.84737061747572506</v>
      </c>
      <c r="H2999">
        <v>0</v>
      </c>
      <c r="I2999">
        <v>0</v>
      </c>
      <c r="J2999">
        <v>0.73663113399358526</v>
      </c>
      <c r="K2999">
        <v>0</v>
      </c>
      <c r="L2999">
        <v>0</v>
      </c>
      <c r="M2999">
        <v>0.54468965395580915</v>
      </c>
      <c r="N2999">
        <v>0</v>
      </c>
      <c r="O2999">
        <v>0</v>
      </c>
      <c r="P2999">
        <v>0.7180369633611916</v>
      </c>
      <c r="Q2999">
        <v>1.7801258929339689</v>
      </c>
      <c r="R2999">
        <v>-0.1882888138161114</v>
      </c>
      <c r="S2999">
        <v>0.2418618968589912</v>
      </c>
      <c r="T2999">
        <v>0.18403413601995469</v>
      </c>
      <c r="U2999">
        <v>4.3319748101307187</v>
      </c>
      <c r="V2999">
        <v>0.2168262156955765</v>
      </c>
      <c r="W2999">
        <v>7.5231717132352944</v>
      </c>
      <c r="X2999">
        <v>0.45550076066643752</v>
      </c>
      <c r="Z2999" t="s">
        <v>392</v>
      </c>
      <c r="AA2999">
        <v>9400</v>
      </c>
      <c r="AB2999" t="s">
        <v>3390</v>
      </c>
      <c r="AC2999" t="str">
        <f>HYPERLINK("plots/3FT6Y578R01_012_S11P_20251111092011_M5358ACSH101811_RBGEUFRF26/dpll_52094/txpa_55214.png","plot")</f>
        <v>plot</v>
      </c>
    </row>
    <row r="3000" spans="1:29" hidden="1" x14ac:dyDescent="0.35">
      <c r="A3000" t="s">
        <v>48</v>
      </c>
      <c r="B3000">
        <v>52094</v>
      </c>
      <c r="C3000" t="s">
        <v>53</v>
      </c>
      <c r="D3000">
        <v>55215</v>
      </c>
      <c r="E3000" t="s">
        <v>348</v>
      </c>
      <c r="F3000">
        <v>12239</v>
      </c>
      <c r="G3000">
        <v>0.84828205848182692</v>
      </c>
      <c r="H3000">
        <v>0</v>
      </c>
      <c r="I3000">
        <v>0</v>
      </c>
      <c r="J3000">
        <v>0.7352522435552572</v>
      </c>
      <c r="K3000">
        <v>0</v>
      </c>
      <c r="L3000">
        <v>0</v>
      </c>
      <c r="M3000">
        <v>0.54298262457557533</v>
      </c>
      <c r="N3000">
        <v>0</v>
      </c>
      <c r="O3000">
        <v>0</v>
      </c>
      <c r="P3000">
        <v>0.71958245074216565</v>
      </c>
      <c r="Q3000">
        <v>1.788190820400231</v>
      </c>
      <c r="R3000">
        <v>-0.25054982857321217</v>
      </c>
      <c r="S3000">
        <v>0.24200281692084019</v>
      </c>
      <c r="T3000">
        <v>0.1850733970008942</v>
      </c>
      <c r="U3000">
        <v>4.3319641277882184</v>
      </c>
      <c r="V3000">
        <v>0.21680135387040489</v>
      </c>
      <c r="W3000">
        <v>7.4958286590407717</v>
      </c>
      <c r="X3000">
        <v>0.45702038250724758</v>
      </c>
      <c r="Z3000" t="s">
        <v>392</v>
      </c>
      <c r="AA3000">
        <v>9400</v>
      </c>
      <c r="AB3000" t="s">
        <v>3391</v>
      </c>
      <c r="AC3000" t="str">
        <f>HYPERLINK("plots/3FT6Y578R01_012_S11P_20251111092011_M5358ACSH101811_RBGEUFRF26/dpll_52094/txpa_55215.png","plot")</f>
        <v>plot</v>
      </c>
    </row>
    <row r="3001" spans="1:29" hidden="1" x14ac:dyDescent="0.35">
      <c r="A3001" t="s">
        <v>48</v>
      </c>
      <c r="B3001">
        <v>52094</v>
      </c>
      <c r="C3001" t="s">
        <v>53</v>
      </c>
      <c r="D3001">
        <v>55216</v>
      </c>
      <c r="E3001" t="s">
        <v>349</v>
      </c>
      <c r="F3001">
        <v>12241</v>
      </c>
      <c r="G3001">
        <v>0.84960069764976154</v>
      </c>
      <c r="H3001">
        <v>0</v>
      </c>
      <c r="I3001">
        <v>0</v>
      </c>
      <c r="J3001">
        <v>0.73848295977254919</v>
      </c>
      <c r="K3001">
        <v>0</v>
      </c>
      <c r="L3001">
        <v>0</v>
      </c>
      <c r="M3001">
        <v>0.54678660580881033</v>
      </c>
      <c r="N3001">
        <v>0</v>
      </c>
      <c r="O3001">
        <v>0</v>
      </c>
      <c r="P3001">
        <v>0.72182134544696153</v>
      </c>
      <c r="Q3001">
        <v>1.794483792940418</v>
      </c>
      <c r="R3001">
        <v>-0.27095919149127301</v>
      </c>
      <c r="S3001">
        <v>0.24150614513133509</v>
      </c>
      <c r="T3001">
        <v>0.18465714555963789</v>
      </c>
      <c r="U3001">
        <v>4.3319201616697978</v>
      </c>
      <c r="V3001">
        <v>0.21680003343192039</v>
      </c>
      <c r="W3001">
        <v>7.502601330937015</v>
      </c>
      <c r="X3001">
        <v>0.4579141088027931</v>
      </c>
      <c r="Z3001" t="s">
        <v>392</v>
      </c>
      <c r="AA3001">
        <v>9400</v>
      </c>
      <c r="AB3001" t="s">
        <v>3392</v>
      </c>
      <c r="AC3001" t="str">
        <f>HYPERLINK("plots/3FT6Y578R01_012_S11P_20251111092011_M5358ACSH101811_RBGEUFRF26/dpll_52094/txpa_55216.png","plot")</f>
        <v>plot</v>
      </c>
    </row>
    <row r="3002" spans="1:29" hidden="1" x14ac:dyDescent="0.35">
      <c r="A3002" t="s">
        <v>48</v>
      </c>
      <c r="B3002">
        <v>52094</v>
      </c>
      <c r="C3002" t="s">
        <v>53</v>
      </c>
      <c r="D3002">
        <v>55217</v>
      </c>
      <c r="E3002" t="s">
        <v>350</v>
      </c>
      <c r="F3002">
        <v>12239</v>
      </c>
      <c r="G3002">
        <v>0.84949329657499895</v>
      </c>
      <c r="H3002">
        <v>0</v>
      </c>
      <c r="I3002">
        <v>0</v>
      </c>
      <c r="J3002">
        <v>0.73441423676070083</v>
      </c>
      <c r="K3002">
        <v>0</v>
      </c>
      <c r="L3002">
        <v>0</v>
      </c>
      <c r="M3002">
        <v>0.54341011164412611</v>
      </c>
      <c r="N3002">
        <v>0</v>
      </c>
      <c r="O3002">
        <v>0</v>
      </c>
      <c r="P3002">
        <v>0.72163886092585916</v>
      </c>
      <c r="Q3002">
        <v>1.7904388445661501</v>
      </c>
      <c r="R3002">
        <v>-0.24793605463055449</v>
      </c>
      <c r="S3002">
        <v>0.2410772194062335</v>
      </c>
      <c r="T3002">
        <v>0.1841797251512412</v>
      </c>
      <c r="U3002">
        <v>4.3320106986681921</v>
      </c>
      <c r="V3002">
        <v>0.21680539186737349</v>
      </c>
      <c r="W3002">
        <v>7.5082641753411226</v>
      </c>
      <c r="X3002">
        <v>0.45695098110342858</v>
      </c>
      <c r="Z3002" t="s">
        <v>392</v>
      </c>
      <c r="AA3002">
        <v>9400</v>
      </c>
      <c r="AB3002" t="s">
        <v>3393</v>
      </c>
      <c r="AC3002" t="str">
        <f>HYPERLINK("plots/3FT6Y578R01_012_S11P_20251111092011_M5358ACSH101811_RBGEUFRF26/dpll_52094/txpa_55217.png","plot")</f>
        <v>plot</v>
      </c>
    </row>
    <row r="3003" spans="1:29" hidden="1" x14ac:dyDescent="0.35">
      <c r="A3003" t="s">
        <v>48</v>
      </c>
      <c r="B3003">
        <v>52094</v>
      </c>
      <c r="C3003" t="s">
        <v>53</v>
      </c>
      <c r="D3003">
        <v>55218</v>
      </c>
      <c r="E3003" t="s">
        <v>351</v>
      </c>
      <c r="F3003">
        <v>12234</v>
      </c>
      <c r="G3003">
        <v>0.84509091086746024</v>
      </c>
      <c r="H3003">
        <v>0</v>
      </c>
      <c r="I3003">
        <v>0</v>
      </c>
      <c r="J3003">
        <v>0.72752447521443664</v>
      </c>
      <c r="K3003">
        <v>0</v>
      </c>
      <c r="L3003">
        <v>0</v>
      </c>
      <c r="M3003">
        <v>0.53708626120689051</v>
      </c>
      <c r="N3003">
        <v>0</v>
      </c>
      <c r="O3003">
        <v>0</v>
      </c>
      <c r="P3003">
        <v>0.71417864763079364</v>
      </c>
      <c r="Q3003">
        <v>1.7710736273913019</v>
      </c>
      <c r="R3003">
        <v>-0.17791764372724561</v>
      </c>
      <c r="S3003">
        <v>0.242888411812408</v>
      </c>
      <c r="T3003">
        <v>0.18514503177071159</v>
      </c>
      <c r="U3003">
        <v>4.3321075601602086</v>
      </c>
      <c r="V3003">
        <v>0.21679238596651421</v>
      </c>
      <c r="W3003">
        <v>7.4945638070949796</v>
      </c>
      <c r="X3003">
        <v>0.45433606309930741</v>
      </c>
      <c r="Z3003" t="s">
        <v>392</v>
      </c>
      <c r="AA3003">
        <v>9400</v>
      </c>
      <c r="AB3003" t="s">
        <v>3394</v>
      </c>
      <c r="AC3003" t="str">
        <f>HYPERLINK("plots/3FT6Y578R01_012_S11P_20251111092011_M5358ACSH101811_RBGEUFRF26/dpll_52094/txpa_55218.png","plot")</f>
        <v>plot</v>
      </c>
    </row>
    <row r="3004" spans="1:29" hidden="1" x14ac:dyDescent="0.35">
      <c r="A3004" t="s">
        <v>48</v>
      </c>
      <c r="B3004">
        <v>52094</v>
      </c>
      <c r="C3004" t="s">
        <v>53</v>
      </c>
      <c r="D3004">
        <v>55219</v>
      </c>
      <c r="E3004" t="s">
        <v>352</v>
      </c>
      <c r="F3004">
        <v>12232</v>
      </c>
      <c r="G3004">
        <v>0.8316815295765787</v>
      </c>
      <c r="H3004">
        <v>0</v>
      </c>
      <c r="I3004">
        <v>0</v>
      </c>
      <c r="J3004">
        <v>0.72737753247490367</v>
      </c>
      <c r="K3004">
        <v>0</v>
      </c>
      <c r="L3004">
        <v>0</v>
      </c>
      <c r="M3004">
        <v>0.53458232294690078</v>
      </c>
      <c r="N3004">
        <v>0</v>
      </c>
      <c r="O3004">
        <v>0</v>
      </c>
      <c r="P3004">
        <v>0.69169416663883754</v>
      </c>
      <c r="Q3004">
        <v>1.8401882377480641</v>
      </c>
      <c r="R3004">
        <v>0.45490232318283841</v>
      </c>
      <c r="S3004">
        <v>0.26616004217678169</v>
      </c>
      <c r="T3004">
        <v>0.19790965297737101</v>
      </c>
      <c r="U3004">
        <v>4.3322440963047741</v>
      </c>
      <c r="V3004">
        <v>0.216652919108481</v>
      </c>
      <c r="W3004">
        <v>8.4270469522563758</v>
      </c>
      <c r="X3004">
        <v>0.47936877186653981</v>
      </c>
      <c r="Z3004" t="s">
        <v>392</v>
      </c>
      <c r="AA3004">
        <v>9400</v>
      </c>
      <c r="AB3004" t="s">
        <v>3395</v>
      </c>
      <c r="AC3004" t="str">
        <f>HYPERLINK("plots/3FT6Y578R01_012_S11P_20251111092011_M5358ACSH101811_RBGEUFRF26/dpll_52094/txpa_55219.png","plot")</f>
        <v>plot</v>
      </c>
    </row>
    <row r="3005" spans="1:29" hidden="1" x14ac:dyDescent="0.35">
      <c r="A3005" t="s">
        <v>48</v>
      </c>
      <c r="B3005">
        <v>52094</v>
      </c>
      <c r="C3005" t="s">
        <v>53</v>
      </c>
      <c r="D3005">
        <v>55220</v>
      </c>
      <c r="E3005" t="s">
        <v>353</v>
      </c>
      <c r="F3005">
        <v>12235</v>
      </c>
      <c r="G3005">
        <v>0.84351106036690104</v>
      </c>
      <c r="H3005">
        <v>0</v>
      </c>
      <c r="I3005">
        <v>0</v>
      </c>
      <c r="J3005">
        <v>0.73589154793527756</v>
      </c>
      <c r="K3005">
        <v>0</v>
      </c>
      <c r="L3005">
        <v>0</v>
      </c>
      <c r="M3005">
        <v>0.54408749903644282</v>
      </c>
      <c r="N3005">
        <v>0</v>
      </c>
      <c r="O3005">
        <v>0</v>
      </c>
      <c r="P3005">
        <v>0.71151090896129376</v>
      </c>
      <c r="Q3005">
        <v>1.867416036318116</v>
      </c>
      <c r="R3005">
        <v>0.36920908040898581</v>
      </c>
      <c r="S3005">
        <v>0.25773050150679572</v>
      </c>
      <c r="T3005">
        <v>0.19466579906449191</v>
      </c>
      <c r="U3005">
        <v>4.3320914950551694</v>
      </c>
      <c r="V3005">
        <v>0.21675472208411559</v>
      </c>
      <c r="W3005">
        <v>8.4590262090723325</v>
      </c>
      <c r="X3005">
        <v>0.47986477354723839</v>
      </c>
      <c r="Z3005" t="s">
        <v>392</v>
      </c>
      <c r="AA3005">
        <v>9400</v>
      </c>
      <c r="AB3005" t="s">
        <v>3396</v>
      </c>
      <c r="AC3005" t="str">
        <f>HYPERLINK("plots/3FT6Y578R01_012_S11P_20251111092011_M5358ACSH101811_RBGEUFRF26/dpll_52094/txpa_55220.png","plot")</f>
        <v>plot</v>
      </c>
    </row>
    <row r="3006" spans="1:29" hidden="1" x14ac:dyDescent="0.35">
      <c r="A3006" t="s">
        <v>48</v>
      </c>
      <c r="B3006">
        <v>52094</v>
      </c>
      <c r="C3006" t="s">
        <v>53</v>
      </c>
      <c r="D3006">
        <v>55221</v>
      </c>
      <c r="E3006" t="s">
        <v>354</v>
      </c>
      <c r="F3006">
        <v>12237</v>
      </c>
      <c r="G3006">
        <v>0.84249996866238919</v>
      </c>
      <c r="H3006">
        <v>0</v>
      </c>
      <c r="I3006">
        <v>0</v>
      </c>
      <c r="J3006">
        <v>0.73296193879555649</v>
      </c>
      <c r="K3006">
        <v>0</v>
      </c>
      <c r="L3006">
        <v>0</v>
      </c>
      <c r="M3006">
        <v>0.54102939537746675</v>
      </c>
      <c r="N3006">
        <v>0</v>
      </c>
      <c r="O3006">
        <v>0</v>
      </c>
      <c r="P3006">
        <v>0.70980619719612681</v>
      </c>
      <c r="Q3006">
        <v>1.8516259506915751</v>
      </c>
      <c r="R3006">
        <v>0.44934412506211169</v>
      </c>
      <c r="S3006">
        <v>0.2566478341289759</v>
      </c>
      <c r="T3006">
        <v>0.1931191985699538</v>
      </c>
      <c r="U3006">
        <v>4.3320590022881422</v>
      </c>
      <c r="V3006">
        <v>0.21678434528230381</v>
      </c>
      <c r="W3006">
        <v>8.4706969936258876</v>
      </c>
      <c r="X3006">
        <v>0.47644336422432398</v>
      </c>
      <c r="Z3006" t="s">
        <v>392</v>
      </c>
      <c r="AA3006">
        <v>9400</v>
      </c>
      <c r="AB3006" t="s">
        <v>3397</v>
      </c>
      <c r="AC3006" t="str">
        <f>HYPERLINK("plots/3FT6Y578R01_012_S11P_20251111092011_M5358ACSH101811_RBGEUFRF26/dpll_52094/txpa_55221.png","plot")</f>
        <v>plot</v>
      </c>
    </row>
    <row r="3007" spans="1:29" hidden="1" x14ac:dyDescent="0.35">
      <c r="A3007" t="s">
        <v>48</v>
      </c>
      <c r="B3007">
        <v>52094</v>
      </c>
      <c r="C3007" t="s">
        <v>53</v>
      </c>
      <c r="D3007">
        <v>55222</v>
      </c>
      <c r="E3007" t="s">
        <v>355</v>
      </c>
      <c r="F3007">
        <v>12240</v>
      </c>
      <c r="G3007">
        <v>0.84966973644391697</v>
      </c>
      <c r="H3007">
        <v>0</v>
      </c>
      <c r="I3007">
        <v>0</v>
      </c>
      <c r="J3007">
        <v>0.7378034212756075</v>
      </c>
      <c r="K3007">
        <v>0</v>
      </c>
      <c r="L3007">
        <v>0</v>
      </c>
      <c r="M3007">
        <v>0.54609898517984623</v>
      </c>
      <c r="N3007">
        <v>0</v>
      </c>
      <c r="O3007">
        <v>0</v>
      </c>
      <c r="P3007">
        <v>0.72193866102867532</v>
      </c>
      <c r="Q3007">
        <v>1.8757885953819879</v>
      </c>
      <c r="R3007">
        <v>0.35765046874664291</v>
      </c>
      <c r="S3007">
        <v>0.25240508187115929</v>
      </c>
      <c r="T3007">
        <v>0.19169166512015659</v>
      </c>
      <c r="U3007">
        <v>4.3319748101307187</v>
      </c>
      <c r="V3007">
        <v>0.2168262156955765</v>
      </c>
      <c r="W3007">
        <v>8.4835194130718961</v>
      </c>
      <c r="X3007">
        <v>0.47868027438969912</v>
      </c>
      <c r="Z3007" t="s">
        <v>392</v>
      </c>
      <c r="AA3007">
        <v>9400</v>
      </c>
      <c r="AB3007" t="s">
        <v>3398</v>
      </c>
      <c r="AC3007" t="str">
        <f>HYPERLINK("plots/3FT6Y578R01_012_S11P_20251111092011_M5358ACSH101811_RBGEUFRF26/dpll_52094/txpa_55222.png","plot")</f>
        <v>plot</v>
      </c>
    </row>
    <row r="3008" spans="1:29" hidden="1" x14ac:dyDescent="0.35">
      <c r="A3008" t="s">
        <v>48</v>
      </c>
      <c r="B3008">
        <v>52094</v>
      </c>
      <c r="C3008" t="s">
        <v>53</v>
      </c>
      <c r="D3008">
        <v>55223</v>
      </c>
      <c r="E3008" t="s">
        <v>356</v>
      </c>
      <c r="F3008">
        <v>12239</v>
      </c>
      <c r="G3008">
        <v>0.85055473223412503</v>
      </c>
      <c r="H3008">
        <v>0</v>
      </c>
      <c r="I3008">
        <v>0</v>
      </c>
      <c r="J3008">
        <v>0.73642422459074963</v>
      </c>
      <c r="K3008">
        <v>0</v>
      </c>
      <c r="L3008">
        <v>0</v>
      </c>
      <c r="M3008">
        <v>0.5443909712544619</v>
      </c>
      <c r="N3008">
        <v>0</v>
      </c>
      <c r="O3008">
        <v>0</v>
      </c>
      <c r="P3008">
        <v>0.72344335252586411</v>
      </c>
      <c r="Q3008">
        <v>1.8837189988452849</v>
      </c>
      <c r="R3008">
        <v>0.29490993863873532</v>
      </c>
      <c r="S3008">
        <v>0.25249346992503208</v>
      </c>
      <c r="T3008">
        <v>0.19272318557896051</v>
      </c>
      <c r="U3008">
        <v>4.3319641277882184</v>
      </c>
      <c r="V3008">
        <v>0.21680135387040489</v>
      </c>
      <c r="W3008">
        <v>8.4551130684696467</v>
      </c>
      <c r="X3008">
        <v>0.48014879440897262</v>
      </c>
      <c r="Z3008" t="s">
        <v>392</v>
      </c>
      <c r="AA3008">
        <v>9400</v>
      </c>
      <c r="AB3008" t="s">
        <v>3399</v>
      </c>
      <c r="AC3008" t="str">
        <f>HYPERLINK("plots/3FT6Y578R01_012_S11P_20251111092011_M5358ACSH101811_RBGEUFRF26/dpll_52094/txpa_55223.png","plot")</f>
        <v>plot</v>
      </c>
    </row>
    <row r="3009" spans="1:29" hidden="1" x14ac:dyDescent="0.35">
      <c r="A3009" t="s">
        <v>48</v>
      </c>
      <c r="B3009">
        <v>52094</v>
      </c>
      <c r="C3009" t="s">
        <v>53</v>
      </c>
      <c r="D3009">
        <v>55224</v>
      </c>
      <c r="E3009" t="s">
        <v>357</v>
      </c>
      <c r="F3009">
        <v>12238</v>
      </c>
      <c r="G3009">
        <v>0.85243085521442552</v>
      </c>
      <c r="H3009">
        <v>0</v>
      </c>
      <c r="I3009">
        <v>0</v>
      </c>
      <c r="J3009">
        <v>0.73924558982638544</v>
      </c>
      <c r="K3009">
        <v>0</v>
      </c>
      <c r="L3009">
        <v>0</v>
      </c>
      <c r="M3009">
        <v>0.54788442292414974</v>
      </c>
      <c r="N3009">
        <v>0</v>
      </c>
      <c r="O3009">
        <v>0</v>
      </c>
      <c r="P3009">
        <v>0.72663836292159689</v>
      </c>
      <c r="Q3009">
        <v>1.8874593775865911</v>
      </c>
      <c r="R3009">
        <v>0.28737698074248291</v>
      </c>
      <c r="S3009">
        <v>0.2509648328767719</v>
      </c>
      <c r="T3009">
        <v>0.19191001662995849</v>
      </c>
      <c r="U3009">
        <v>4.3319795925804874</v>
      </c>
      <c r="V3009">
        <v>0.21679206298308129</v>
      </c>
      <c r="W3009">
        <v>8.4638124862722659</v>
      </c>
      <c r="X3009">
        <v>0.48002276050980192</v>
      </c>
      <c r="Z3009" t="s">
        <v>392</v>
      </c>
      <c r="AA3009">
        <v>9400</v>
      </c>
      <c r="AB3009" t="s">
        <v>3400</v>
      </c>
      <c r="AC3009" t="str">
        <f>HYPERLINK("plots/3FT6Y578R01_012_S11P_20251111092011_M5358ACSH101811_RBGEUFRF26/dpll_52094/txpa_55224.png","plot")</f>
        <v>plot</v>
      </c>
    </row>
    <row r="3010" spans="1:29" hidden="1" x14ac:dyDescent="0.35">
      <c r="A3010" t="s">
        <v>48</v>
      </c>
      <c r="B3010">
        <v>52094</v>
      </c>
      <c r="C3010" t="s">
        <v>53</v>
      </c>
      <c r="D3010">
        <v>55225</v>
      </c>
      <c r="E3010" t="s">
        <v>358</v>
      </c>
      <c r="F3010">
        <v>12239</v>
      </c>
      <c r="G3010">
        <v>0.8517114076021195</v>
      </c>
      <c r="H3010">
        <v>0</v>
      </c>
      <c r="I3010">
        <v>0</v>
      </c>
      <c r="J3010">
        <v>0.73569865045636995</v>
      </c>
      <c r="K3010">
        <v>0</v>
      </c>
      <c r="L3010">
        <v>0</v>
      </c>
      <c r="M3010">
        <v>0.54497345153814525</v>
      </c>
      <c r="N3010">
        <v>0</v>
      </c>
      <c r="O3010">
        <v>0</v>
      </c>
      <c r="P3010">
        <v>0.72541232183958371</v>
      </c>
      <c r="Q3010">
        <v>1.8859375280030291</v>
      </c>
      <c r="R3010">
        <v>0.29926964498748282</v>
      </c>
      <c r="S3010">
        <v>0.25155195484439852</v>
      </c>
      <c r="T3010">
        <v>0.1917553920815247</v>
      </c>
      <c r="U3010">
        <v>4.3320106986681921</v>
      </c>
      <c r="V3010">
        <v>0.21680539186737349</v>
      </c>
      <c r="W3010">
        <v>8.4691711933164466</v>
      </c>
      <c r="X3010">
        <v>0.48007038669029167</v>
      </c>
      <c r="Z3010" t="s">
        <v>392</v>
      </c>
      <c r="AA3010">
        <v>9400</v>
      </c>
      <c r="AB3010" t="s">
        <v>3401</v>
      </c>
      <c r="AC3010" t="str">
        <f>HYPERLINK("plots/3FT6Y578R01_012_S11P_20251111092011_M5358ACSH101811_RBGEUFRF26/dpll_52094/txpa_55225.png","plot")</f>
        <v>plot</v>
      </c>
    </row>
    <row r="3011" spans="1:29" hidden="1" x14ac:dyDescent="0.35">
      <c r="A3011" t="s">
        <v>48</v>
      </c>
      <c r="B3011">
        <v>52094</v>
      </c>
      <c r="C3011" t="s">
        <v>53</v>
      </c>
      <c r="D3011">
        <v>55226</v>
      </c>
      <c r="E3011" t="s">
        <v>359</v>
      </c>
      <c r="F3011">
        <v>12234</v>
      </c>
      <c r="G3011">
        <v>0.84737896698014059</v>
      </c>
      <c r="H3011">
        <v>0</v>
      </c>
      <c r="I3011">
        <v>0</v>
      </c>
      <c r="J3011">
        <v>0.72879708363846341</v>
      </c>
      <c r="K3011">
        <v>0</v>
      </c>
      <c r="L3011">
        <v>0</v>
      </c>
      <c r="M3011">
        <v>0.53851403333702252</v>
      </c>
      <c r="N3011">
        <v>0</v>
      </c>
      <c r="O3011">
        <v>0</v>
      </c>
      <c r="P3011">
        <v>0.71805111368033014</v>
      </c>
      <c r="Q3011">
        <v>1.865578930259024</v>
      </c>
      <c r="R3011">
        <v>0.37498196593382183</v>
      </c>
      <c r="S3011">
        <v>0.25342380939622211</v>
      </c>
      <c r="T3011">
        <v>0.19278592802817851</v>
      </c>
      <c r="U3011">
        <v>4.3321075601602086</v>
      </c>
      <c r="V3011">
        <v>0.21679238596651421</v>
      </c>
      <c r="W3011">
        <v>8.4568705537845332</v>
      </c>
      <c r="X3011">
        <v>0.47728740417177429</v>
      </c>
      <c r="Z3011" t="s">
        <v>392</v>
      </c>
      <c r="AA3011">
        <v>9400</v>
      </c>
      <c r="AB3011" t="s">
        <v>3402</v>
      </c>
      <c r="AC3011" t="str">
        <f>HYPERLINK("plots/3FT6Y578R01_012_S11P_20251111092011_M5358ACSH101811_RBGEUFRF26/dpll_52094/txpa_55226.png","plot")</f>
        <v>plot</v>
      </c>
    </row>
    <row r="3012" spans="1:29" hidden="1" x14ac:dyDescent="0.35">
      <c r="A3012" t="s">
        <v>48</v>
      </c>
      <c r="B3012">
        <v>52094</v>
      </c>
      <c r="C3012" t="s">
        <v>53</v>
      </c>
      <c r="D3012">
        <v>55227</v>
      </c>
      <c r="E3012" t="s">
        <v>360</v>
      </c>
      <c r="F3012">
        <v>12227</v>
      </c>
      <c r="G3012">
        <v>0.83331107952262795</v>
      </c>
      <c r="H3012">
        <v>0</v>
      </c>
      <c r="I3012">
        <v>0</v>
      </c>
      <c r="J3012">
        <v>0.72746057826840049</v>
      </c>
      <c r="K3012">
        <v>0</v>
      </c>
      <c r="L3012">
        <v>0</v>
      </c>
      <c r="M3012">
        <v>0.53487441197398988</v>
      </c>
      <c r="N3012">
        <v>0</v>
      </c>
      <c r="O3012">
        <v>0</v>
      </c>
      <c r="P3012">
        <v>0.69440735525516761</v>
      </c>
      <c r="Q3012">
        <v>1.888948310587899</v>
      </c>
      <c r="R3012">
        <v>0.71188234217987123</v>
      </c>
      <c r="S3012">
        <v>0.27140626063505191</v>
      </c>
      <c r="T3012">
        <v>0.20201022836924429</v>
      </c>
      <c r="U3012">
        <v>4.3323662139527279</v>
      </c>
      <c r="V3012">
        <v>0.21659740815556711</v>
      </c>
      <c r="W3012">
        <v>8.8954981828739683</v>
      </c>
      <c r="X3012">
        <v>0.49098268133859158</v>
      </c>
      <c r="Z3012" t="s">
        <v>392</v>
      </c>
      <c r="AA3012">
        <v>9400</v>
      </c>
      <c r="AB3012" t="s">
        <v>3403</v>
      </c>
      <c r="AC3012" t="str">
        <f>HYPERLINK("plots/3FT6Y578R01_012_S11P_20251111092011_M5358ACSH101811_RBGEUFRF26/dpll_52094/txpa_55227.png","plot")</f>
        <v>plot</v>
      </c>
    </row>
    <row r="3013" spans="1:29" hidden="1" x14ac:dyDescent="0.35">
      <c r="A3013" t="s">
        <v>48</v>
      </c>
      <c r="B3013">
        <v>52094</v>
      </c>
      <c r="C3013" t="s">
        <v>53</v>
      </c>
      <c r="D3013">
        <v>55228</v>
      </c>
      <c r="E3013" t="s">
        <v>361</v>
      </c>
      <c r="F3013">
        <v>12234</v>
      </c>
      <c r="G3013">
        <v>0.84419337006858586</v>
      </c>
      <c r="H3013">
        <v>0</v>
      </c>
      <c r="I3013">
        <v>0</v>
      </c>
      <c r="J3013">
        <v>0.7357765138093042</v>
      </c>
      <c r="K3013">
        <v>0</v>
      </c>
      <c r="L3013">
        <v>0</v>
      </c>
      <c r="M3013">
        <v>0.54412415831224081</v>
      </c>
      <c r="N3013">
        <v>0</v>
      </c>
      <c r="O3013">
        <v>0</v>
      </c>
      <c r="P3013">
        <v>0.71266244606775631</v>
      </c>
      <c r="Q3013">
        <v>1.918857625978093</v>
      </c>
      <c r="R3013">
        <v>0.61389748417853696</v>
      </c>
      <c r="S3013">
        <v>0.2640566740044763</v>
      </c>
      <c r="T3013">
        <v>0.19920098167614739</v>
      </c>
      <c r="U3013">
        <v>4.3321262788131438</v>
      </c>
      <c r="V3013">
        <v>0.2167294297827618</v>
      </c>
      <c r="W3013">
        <v>8.9266310309792374</v>
      </c>
      <c r="X3013">
        <v>0.49262755887167048</v>
      </c>
      <c r="Z3013" t="s">
        <v>392</v>
      </c>
      <c r="AA3013">
        <v>9400</v>
      </c>
      <c r="AB3013" t="s">
        <v>3404</v>
      </c>
      <c r="AC3013" t="str">
        <f>HYPERLINK("plots/3FT6Y578R01_012_S11P_20251111092011_M5358ACSH101811_RBGEUFRF26/dpll_52094/txpa_55228.png","plot")</f>
        <v>plot</v>
      </c>
    </row>
    <row r="3014" spans="1:29" hidden="1" x14ac:dyDescent="0.35">
      <c r="A3014" t="s">
        <v>48</v>
      </c>
      <c r="B3014">
        <v>52094</v>
      </c>
      <c r="C3014" t="s">
        <v>53</v>
      </c>
      <c r="D3014">
        <v>55229</v>
      </c>
      <c r="E3014" t="s">
        <v>362</v>
      </c>
      <c r="F3014">
        <v>12236</v>
      </c>
      <c r="G3014">
        <v>0.84335717588319103</v>
      </c>
      <c r="H3014">
        <v>0</v>
      </c>
      <c r="I3014">
        <v>0</v>
      </c>
      <c r="J3014">
        <v>0.73297299036976316</v>
      </c>
      <c r="K3014">
        <v>0</v>
      </c>
      <c r="L3014">
        <v>0</v>
      </c>
      <c r="M3014">
        <v>0.54116781205523312</v>
      </c>
      <c r="N3014">
        <v>0</v>
      </c>
      <c r="O3014">
        <v>0</v>
      </c>
      <c r="P3014">
        <v>0.71125132611367159</v>
      </c>
      <c r="Q3014">
        <v>1.9033471405046889</v>
      </c>
      <c r="R3014">
        <v>0.69289129837452457</v>
      </c>
      <c r="S3014">
        <v>0.26287007895532799</v>
      </c>
      <c r="T3014">
        <v>0.19761325040666011</v>
      </c>
      <c r="U3014">
        <v>4.3320896801242226</v>
      </c>
      <c r="V3014">
        <v>0.2167666392269755</v>
      </c>
      <c r="W3014">
        <v>8.9383618034488403</v>
      </c>
      <c r="X3014">
        <v>0.48921403022083232</v>
      </c>
      <c r="Z3014" t="s">
        <v>392</v>
      </c>
      <c r="AA3014">
        <v>9400</v>
      </c>
      <c r="AB3014" t="s">
        <v>3405</v>
      </c>
      <c r="AC3014" t="str">
        <f>HYPERLINK("plots/3FT6Y578R01_012_S11P_20251111092011_M5358ACSH101811_RBGEUFRF26/dpll_52094/txpa_55229.png","plot")</f>
        <v>plot</v>
      </c>
    </row>
    <row r="3015" spans="1:29" hidden="1" x14ac:dyDescent="0.35">
      <c r="A3015" t="s">
        <v>48</v>
      </c>
      <c r="B3015">
        <v>52094</v>
      </c>
      <c r="C3015" t="s">
        <v>53</v>
      </c>
      <c r="D3015">
        <v>55230</v>
      </c>
      <c r="E3015" t="s">
        <v>363</v>
      </c>
      <c r="F3015">
        <v>12240</v>
      </c>
      <c r="G3015">
        <v>0.85025709999064558</v>
      </c>
      <c r="H3015">
        <v>0</v>
      </c>
      <c r="I3015">
        <v>0</v>
      </c>
      <c r="J3015">
        <v>0.73775249918939589</v>
      </c>
      <c r="K3015">
        <v>0</v>
      </c>
      <c r="L3015">
        <v>0</v>
      </c>
      <c r="M3015">
        <v>0.54617982056031067</v>
      </c>
      <c r="N3015">
        <v>0</v>
      </c>
      <c r="O3015">
        <v>0</v>
      </c>
      <c r="P3015">
        <v>0.72293713608450272</v>
      </c>
      <c r="Q3015">
        <v>1.9283097012081121</v>
      </c>
      <c r="R3015">
        <v>0.59727435583380384</v>
      </c>
      <c r="S3015">
        <v>0.25882708852340902</v>
      </c>
      <c r="T3015">
        <v>0.1963009737954523</v>
      </c>
      <c r="U3015">
        <v>4.3319748101307187</v>
      </c>
      <c r="V3015">
        <v>0.2168262156955765</v>
      </c>
      <c r="W3015">
        <v>8.9506634075980394</v>
      </c>
      <c r="X3015">
        <v>0.49174313887719728</v>
      </c>
      <c r="Z3015" t="s">
        <v>392</v>
      </c>
      <c r="AA3015">
        <v>9400</v>
      </c>
      <c r="AB3015" t="s">
        <v>3406</v>
      </c>
      <c r="AC3015" t="str">
        <f>HYPERLINK("plots/3FT6Y578R01_012_S11P_20251111092011_M5358ACSH101811_RBGEUFRF26/dpll_52094/txpa_55230.png","plot")</f>
        <v>plot</v>
      </c>
    </row>
    <row r="3016" spans="1:29" hidden="1" x14ac:dyDescent="0.35">
      <c r="A3016" t="s">
        <v>48</v>
      </c>
      <c r="B3016">
        <v>52094</v>
      </c>
      <c r="C3016" t="s">
        <v>53</v>
      </c>
      <c r="D3016">
        <v>55231</v>
      </c>
      <c r="E3016" t="s">
        <v>364</v>
      </c>
      <c r="F3016">
        <v>12239</v>
      </c>
      <c r="G3016">
        <v>0.85109261580041728</v>
      </c>
      <c r="H3016">
        <v>0</v>
      </c>
      <c r="I3016">
        <v>0</v>
      </c>
      <c r="J3016">
        <v>0.73625608247897301</v>
      </c>
      <c r="K3016">
        <v>0</v>
      </c>
      <c r="L3016">
        <v>0</v>
      </c>
      <c r="M3016">
        <v>0.54436473355247583</v>
      </c>
      <c r="N3016">
        <v>0</v>
      </c>
      <c r="O3016">
        <v>0</v>
      </c>
      <c r="P3016">
        <v>0.72435864066999667</v>
      </c>
      <c r="Q3016">
        <v>1.936614356244573</v>
      </c>
      <c r="R3016">
        <v>0.53228451365634122</v>
      </c>
      <c r="S3016">
        <v>0.25898986121939921</v>
      </c>
      <c r="T3016">
        <v>0.19736277681688111</v>
      </c>
      <c r="U3016">
        <v>4.3319641277882184</v>
      </c>
      <c r="V3016">
        <v>0.21680135387040489</v>
      </c>
      <c r="W3016">
        <v>8.9216284342675056</v>
      </c>
      <c r="X3016">
        <v>0.49331953604582129</v>
      </c>
      <c r="Z3016" t="s">
        <v>392</v>
      </c>
      <c r="AA3016">
        <v>9400</v>
      </c>
      <c r="AB3016" t="s">
        <v>3407</v>
      </c>
      <c r="AC3016" t="str">
        <f>HYPERLINK("plots/3FT6Y578R01_012_S11P_20251111092011_M5358ACSH101811_RBGEUFRF26/dpll_52094/txpa_55231.png","plot")</f>
        <v>plot</v>
      </c>
    </row>
    <row r="3017" spans="1:29" hidden="1" x14ac:dyDescent="0.35">
      <c r="A3017" t="s">
        <v>48</v>
      </c>
      <c r="B3017">
        <v>52094</v>
      </c>
      <c r="C3017" t="s">
        <v>53</v>
      </c>
      <c r="D3017">
        <v>55232</v>
      </c>
      <c r="E3017" t="s">
        <v>365</v>
      </c>
      <c r="F3017">
        <v>12238</v>
      </c>
      <c r="G3017">
        <v>0.85300906124852593</v>
      </c>
      <c r="H3017">
        <v>0</v>
      </c>
      <c r="I3017">
        <v>0</v>
      </c>
      <c r="J3017">
        <v>0.73916749069731036</v>
      </c>
      <c r="K3017">
        <v>0</v>
      </c>
      <c r="L3017">
        <v>0</v>
      </c>
      <c r="M3017">
        <v>0.54798608246944014</v>
      </c>
      <c r="N3017">
        <v>0</v>
      </c>
      <c r="O3017">
        <v>0</v>
      </c>
      <c r="P3017">
        <v>0.72762445857209146</v>
      </c>
      <c r="Q3017">
        <v>1.940335420084238</v>
      </c>
      <c r="R3017">
        <v>0.52539391018771298</v>
      </c>
      <c r="S3017">
        <v>0.25735514442416652</v>
      </c>
      <c r="T3017">
        <v>0.1964986602689032</v>
      </c>
      <c r="U3017">
        <v>4.3319795925804874</v>
      </c>
      <c r="V3017">
        <v>0.21679206298308129</v>
      </c>
      <c r="W3017">
        <v>8.9308873527537198</v>
      </c>
      <c r="X3017">
        <v>0.49313581497424291</v>
      </c>
      <c r="Z3017" t="s">
        <v>392</v>
      </c>
      <c r="AA3017">
        <v>9400</v>
      </c>
      <c r="AB3017" t="s">
        <v>3408</v>
      </c>
      <c r="AC3017" t="str">
        <f>HYPERLINK("plots/3FT6Y578R01_012_S11P_20251111092011_M5358ACSH101811_RBGEUFRF26/dpll_52094/txpa_55232.png","plot")</f>
        <v>plot</v>
      </c>
    </row>
    <row r="3018" spans="1:29" hidden="1" x14ac:dyDescent="0.35">
      <c r="A3018" t="s">
        <v>48</v>
      </c>
      <c r="B3018">
        <v>52094</v>
      </c>
      <c r="C3018" t="s">
        <v>53</v>
      </c>
      <c r="D3018">
        <v>55233</v>
      </c>
      <c r="E3018" t="s">
        <v>366</v>
      </c>
      <c r="F3018">
        <v>12236</v>
      </c>
      <c r="G3018">
        <v>0.85268163766349447</v>
      </c>
      <c r="H3018">
        <v>0</v>
      </c>
      <c r="I3018">
        <v>0</v>
      </c>
      <c r="J3018">
        <v>0.73551449770920618</v>
      </c>
      <c r="K3018">
        <v>0</v>
      </c>
      <c r="L3018">
        <v>0</v>
      </c>
      <c r="M3018">
        <v>0.54504020390779939</v>
      </c>
      <c r="N3018">
        <v>0</v>
      </c>
      <c r="O3018">
        <v>0</v>
      </c>
      <c r="P3018">
        <v>0.72706597520849892</v>
      </c>
      <c r="Q3018">
        <v>1.937206550717691</v>
      </c>
      <c r="R3018">
        <v>0.54461550088399235</v>
      </c>
      <c r="S3018">
        <v>0.25727491504783179</v>
      </c>
      <c r="T3018">
        <v>0.19601830491448291</v>
      </c>
      <c r="U3018">
        <v>4.3320908059006209</v>
      </c>
      <c r="V3018">
        <v>0.2167690791494131</v>
      </c>
      <c r="W3018">
        <v>8.9367701883785546</v>
      </c>
      <c r="X3018">
        <v>0.49247745180951819</v>
      </c>
      <c r="Z3018" t="s">
        <v>392</v>
      </c>
      <c r="AA3018">
        <v>9400</v>
      </c>
      <c r="AB3018" t="s">
        <v>3409</v>
      </c>
      <c r="AC3018" t="str">
        <f>HYPERLINK("plots/3FT6Y578R01_012_S11P_20251111092011_M5358ACSH101811_RBGEUFRF26/dpll_52094/txpa_55233.png","plot")</f>
        <v>plot</v>
      </c>
    </row>
    <row r="3019" spans="1:29" hidden="1" x14ac:dyDescent="0.35">
      <c r="A3019" t="s">
        <v>48</v>
      </c>
      <c r="B3019">
        <v>52094</v>
      </c>
      <c r="C3019" t="s">
        <v>53</v>
      </c>
      <c r="D3019">
        <v>55234</v>
      </c>
      <c r="E3019" t="s">
        <v>367</v>
      </c>
      <c r="F3019">
        <v>12232</v>
      </c>
      <c r="G3019">
        <v>0.84813276847334917</v>
      </c>
      <c r="H3019">
        <v>0</v>
      </c>
      <c r="I3019">
        <v>0</v>
      </c>
      <c r="J3019">
        <v>0.72841327818107338</v>
      </c>
      <c r="K3019">
        <v>0</v>
      </c>
      <c r="L3019">
        <v>0</v>
      </c>
      <c r="M3019">
        <v>0.53834312716653532</v>
      </c>
      <c r="N3019">
        <v>0</v>
      </c>
      <c r="O3019">
        <v>0</v>
      </c>
      <c r="P3019">
        <v>0.71932919295826769</v>
      </c>
      <c r="Q3019">
        <v>1.9166528969374861</v>
      </c>
      <c r="R3019">
        <v>0.62165808037130432</v>
      </c>
      <c r="S3019">
        <v>0.25951529667253848</v>
      </c>
      <c r="T3019">
        <v>0.19733494496404089</v>
      </c>
      <c r="U3019">
        <v>4.3321588683780243</v>
      </c>
      <c r="V3019">
        <v>0.21677164140436361</v>
      </c>
      <c r="W3019">
        <v>8.9249029254414651</v>
      </c>
      <c r="X3019">
        <v>0.48987140918918892</v>
      </c>
      <c r="Z3019" t="s">
        <v>392</v>
      </c>
      <c r="AA3019">
        <v>9400</v>
      </c>
      <c r="AB3019" t="s">
        <v>3410</v>
      </c>
      <c r="AC3019" t="str">
        <f>HYPERLINK("plots/3FT6Y578R01_012_S11P_20251111092011_M5358ACSH101811_RBGEUFRF26/dpll_52094/txpa_55234.png","plot")</f>
        <v>plot</v>
      </c>
    </row>
    <row r="3020" spans="1:29" hidden="1" x14ac:dyDescent="0.35">
      <c r="A3020" t="s">
        <v>48</v>
      </c>
      <c r="B3020">
        <v>52094</v>
      </c>
      <c r="C3020" t="s">
        <v>53</v>
      </c>
      <c r="D3020">
        <v>55235</v>
      </c>
      <c r="E3020" t="s">
        <v>368</v>
      </c>
      <c r="F3020">
        <v>12225</v>
      </c>
      <c r="G3020">
        <v>0.83452790315023262</v>
      </c>
      <c r="H3020">
        <v>0</v>
      </c>
      <c r="I3020">
        <v>0</v>
      </c>
      <c r="J3020">
        <v>0.72746725388709166</v>
      </c>
      <c r="K3020">
        <v>0</v>
      </c>
      <c r="L3020">
        <v>0</v>
      </c>
      <c r="M3020">
        <v>0.53500718345645926</v>
      </c>
      <c r="N3020">
        <v>0</v>
      </c>
      <c r="O3020">
        <v>0</v>
      </c>
      <c r="P3020">
        <v>0.69643682113632399</v>
      </c>
      <c r="Q3020">
        <v>1.9455575968808621</v>
      </c>
      <c r="R3020">
        <v>0.91588625703955628</v>
      </c>
      <c r="S3020">
        <v>0.2781707906297245</v>
      </c>
      <c r="T3020">
        <v>0.20693539557240381</v>
      </c>
      <c r="U3020">
        <v>4.3324193384867078</v>
      </c>
      <c r="V3020">
        <v>0.21657160351313359</v>
      </c>
      <c r="W3020">
        <v>9.3448576139059298</v>
      </c>
      <c r="X3020">
        <v>0.50489926926720718</v>
      </c>
      <c r="Z3020" t="s">
        <v>392</v>
      </c>
      <c r="AA3020">
        <v>9400</v>
      </c>
      <c r="AB3020" t="s">
        <v>3411</v>
      </c>
      <c r="AC3020" t="str">
        <f>HYPERLINK("plots/3FT6Y578R01_012_S11P_20251111092011_M5358ACSH101811_RBGEUFRF26/dpll_52094/txpa_55235.png","plot")</f>
        <v>plot</v>
      </c>
    </row>
    <row r="3021" spans="1:29" hidden="1" x14ac:dyDescent="0.35">
      <c r="A3021" t="s">
        <v>48</v>
      </c>
      <c r="B3021">
        <v>52094</v>
      </c>
      <c r="C3021" t="s">
        <v>53</v>
      </c>
      <c r="D3021">
        <v>55236</v>
      </c>
      <c r="E3021" t="s">
        <v>369</v>
      </c>
      <c r="F3021">
        <v>12232</v>
      </c>
      <c r="G3021">
        <v>0.84531268278773408</v>
      </c>
      <c r="H3021">
        <v>0</v>
      </c>
      <c r="I3021">
        <v>0</v>
      </c>
      <c r="J3021">
        <v>0.73558271096169447</v>
      </c>
      <c r="K3021">
        <v>0</v>
      </c>
      <c r="L3021">
        <v>0</v>
      </c>
      <c r="M3021">
        <v>0.54410398127668647</v>
      </c>
      <c r="N3021">
        <v>0</v>
      </c>
      <c r="O3021">
        <v>0</v>
      </c>
      <c r="P3021">
        <v>0.71455353168179636</v>
      </c>
      <c r="Q3021">
        <v>1.9758911615266319</v>
      </c>
      <c r="R3021">
        <v>0.81632299127652885</v>
      </c>
      <c r="S3021">
        <v>0.27064409603868739</v>
      </c>
      <c r="T3021">
        <v>0.20410900110661209</v>
      </c>
      <c r="U3021">
        <v>4.3321660865761942</v>
      </c>
      <c r="V3021">
        <v>0.21672466492444131</v>
      </c>
      <c r="W3021">
        <v>9.3762116720078481</v>
      </c>
      <c r="X3021">
        <v>0.506586921772893</v>
      </c>
      <c r="Z3021" t="s">
        <v>392</v>
      </c>
      <c r="AA3021">
        <v>9400</v>
      </c>
      <c r="AB3021" t="s">
        <v>3412</v>
      </c>
      <c r="AC3021" t="str">
        <f>HYPERLINK("plots/3FT6Y578R01_012_S11P_20251111092011_M5358ACSH101811_RBGEUFRF26/dpll_52094/txpa_55236.png","plot")</f>
        <v>plot</v>
      </c>
    </row>
    <row r="3022" spans="1:29" hidden="1" x14ac:dyDescent="0.35">
      <c r="A3022" t="s">
        <v>48</v>
      </c>
      <c r="B3022">
        <v>52094</v>
      </c>
      <c r="C3022" t="s">
        <v>53</v>
      </c>
      <c r="D3022">
        <v>55237</v>
      </c>
      <c r="E3022" t="s">
        <v>370</v>
      </c>
      <c r="F3022">
        <v>12232</v>
      </c>
      <c r="G3022">
        <v>0.8450738623608024</v>
      </c>
      <c r="H3022">
        <v>0</v>
      </c>
      <c r="I3022">
        <v>0</v>
      </c>
      <c r="J3022">
        <v>0.73290469335844399</v>
      </c>
      <c r="K3022">
        <v>0</v>
      </c>
      <c r="L3022">
        <v>0</v>
      </c>
      <c r="M3022">
        <v>0.5413177424140615</v>
      </c>
      <c r="N3022">
        <v>0</v>
      </c>
      <c r="O3022">
        <v>0</v>
      </c>
      <c r="P3022">
        <v>0.71414983284540434</v>
      </c>
      <c r="Q3022">
        <v>1.95971868225983</v>
      </c>
      <c r="R3022">
        <v>0.89861862830811745</v>
      </c>
      <c r="S3022">
        <v>0.26871888959502621</v>
      </c>
      <c r="T3022">
        <v>0.20219019305849159</v>
      </c>
      <c r="U3022">
        <v>4.3321723469587967</v>
      </c>
      <c r="V3022">
        <v>0.2167442878241771</v>
      </c>
      <c r="W3022">
        <v>9.3884577114126877</v>
      </c>
      <c r="X3022">
        <v>0.50262805305034075</v>
      </c>
      <c r="Z3022" t="s">
        <v>392</v>
      </c>
      <c r="AA3022">
        <v>9400</v>
      </c>
      <c r="AB3022" t="s">
        <v>3413</v>
      </c>
      <c r="AC3022" t="str">
        <f>HYPERLINK("plots/3FT6Y578R01_012_S11P_20251111092011_M5358ACSH101811_RBGEUFRF26/dpll_52094/txpa_55237.png","plot")</f>
        <v>plot</v>
      </c>
    </row>
    <row r="3023" spans="1:29" hidden="1" x14ac:dyDescent="0.35">
      <c r="A3023" t="s">
        <v>48</v>
      </c>
      <c r="B3023">
        <v>52094</v>
      </c>
      <c r="C3023" t="s">
        <v>53</v>
      </c>
      <c r="D3023">
        <v>55238</v>
      </c>
      <c r="E3023" t="s">
        <v>371</v>
      </c>
      <c r="F3023">
        <v>12239</v>
      </c>
      <c r="G3023">
        <v>0.85100890330989354</v>
      </c>
      <c r="H3023">
        <v>0</v>
      </c>
      <c r="I3023">
        <v>0</v>
      </c>
      <c r="J3023">
        <v>0.7374251212050188</v>
      </c>
      <c r="K3023">
        <v>0</v>
      </c>
      <c r="L3023">
        <v>0</v>
      </c>
      <c r="M3023">
        <v>0.54602770169672643</v>
      </c>
      <c r="N3023">
        <v>0</v>
      </c>
      <c r="O3023">
        <v>0</v>
      </c>
      <c r="P3023">
        <v>0.72421615351270774</v>
      </c>
      <c r="Q3023">
        <v>1.9866423283349171</v>
      </c>
      <c r="R3023">
        <v>0.79346119984216656</v>
      </c>
      <c r="S3023">
        <v>0.26578872924407088</v>
      </c>
      <c r="T3023">
        <v>0.2013657057550772</v>
      </c>
      <c r="U3023">
        <v>4.3320030913473317</v>
      </c>
      <c r="V3023">
        <v>0.21681249672600131</v>
      </c>
      <c r="W3023">
        <v>9.3996019075904886</v>
      </c>
      <c r="X3023">
        <v>0.50613910340136659</v>
      </c>
      <c r="Z3023" t="s">
        <v>392</v>
      </c>
      <c r="AA3023">
        <v>9400</v>
      </c>
      <c r="AB3023" t="s">
        <v>3414</v>
      </c>
      <c r="AC3023" t="str">
        <f>HYPERLINK("plots/3FT6Y578R01_012_S11P_20251111092011_M5358ACSH101811_RBGEUFRF26/dpll_52094/txpa_55238.png","plot")</f>
        <v>plot</v>
      </c>
    </row>
    <row r="3024" spans="1:29" hidden="1" x14ac:dyDescent="0.35">
      <c r="A3024" t="s">
        <v>48</v>
      </c>
      <c r="B3024">
        <v>52094</v>
      </c>
      <c r="C3024" t="s">
        <v>53</v>
      </c>
      <c r="D3024">
        <v>55239</v>
      </c>
      <c r="E3024" t="s">
        <v>372</v>
      </c>
      <c r="F3024">
        <v>12237</v>
      </c>
      <c r="G3024">
        <v>0.85140579587535548</v>
      </c>
      <c r="H3024">
        <v>0</v>
      </c>
      <c r="I3024">
        <v>0</v>
      </c>
      <c r="J3024">
        <v>0.73575467444641574</v>
      </c>
      <c r="K3024">
        <v>0</v>
      </c>
      <c r="L3024">
        <v>0</v>
      </c>
      <c r="M3024">
        <v>0.54417009094381819</v>
      </c>
      <c r="N3024">
        <v>0</v>
      </c>
      <c r="O3024">
        <v>0</v>
      </c>
      <c r="P3024">
        <v>0.7248918292501475</v>
      </c>
      <c r="Q3024">
        <v>1.9930681930020919</v>
      </c>
      <c r="R3024">
        <v>0.73646292440724004</v>
      </c>
      <c r="S3024">
        <v>0.26614387391767941</v>
      </c>
      <c r="T3024">
        <v>0.20237015961815799</v>
      </c>
      <c r="U3024">
        <v>4.3320254838604244</v>
      </c>
      <c r="V3024">
        <v>0.21676887277450879</v>
      </c>
      <c r="W3024">
        <v>9.3704851275639456</v>
      </c>
      <c r="X3024">
        <v>0.50743740253212921</v>
      </c>
      <c r="Z3024" t="s">
        <v>392</v>
      </c>
      <c r="AA3024">
        <v>9400</v>
      </c>
      <c r="AB3024" t="s">
        <v>3415</v>
      </c>
      <c r="AC3024" t="str">
        <f>HYPERLINK("plots/3FT6Y578R01_012_S11P_20251111092011_M5358ACSH101811_RBGEUFRF26/dpll_52094/txpa_55239.png","plot")</f>
        <v>plot</v>
      </c>
    </row>
    <row r="3025" spans="1:29" hidden="1" x14ac:dyDescent="0.35">
      <c r="A3025" t="s">
        <v>48</v>
      </c>
      <c r="B3025">
        <v>52094</v>
      </c>
      <c r="C3025" t="s">
        <v>53</v>
      </c>
      <c r="D3025">
        <v>55240</v>
      </c>
      <c r="E3025" t="s">
        <v>373</v>
      </c>
      <c r="F3025">
        <v>12238</v>
      </c>
      <c r="G3025">
        <v>0.85363843436421349</v>
      </c>
      <c r="H3025">
        <v>0</v>
      </c>
      <c r="I3025">
        <v>0</v>
      </c>
      <c r="J3025">
        <v>0.73894971530471421</v>
      </c>
      <c r="K3025">
        <v>0</v>
      </c>
      <c r="L3025">
        <v>0</v>
      </c>
      <c r="M3025">
        <v>0.5479463867687242</v>
      </c>
      <c r="N3025">
        <v>0</v>
      </c>
      <c r="O3025">
        <v>0</v>
      </c>
      <c r="P3025">
        <v>0.72869857662378568</v>
      </c>
      <c r="Q3025">
        <v>1.9995243074334079</v>
      </c>
      <c r="R3025">
        <v>0.71816523404368837</v>
      </c>
      <c r="S3025">
        <v>0.2644870406382146</v>
      </c>
      <c r="T3025">
        <v>0.20162871855950809</v>
      </c>
      <c r="U3025">
        <v>4.3319795925804874</v>
      </c>
      <c r="V3025">
        <v>0.21679206298308129</v>
      </c>
      <c r="W3025">
        <v>9.3800637287138429</v>
      </c>
      <c r="X3025">
        <v>0.50780398602384891</v>
      </c>
      <c r="Z3025" t="s">
        <v>392</v>
      </c>
      <c r="AA3025">
        <v>9400</v>
      </c>
      <c r="AB3025" t="s">
        <v>3416</v>
      </c>
      <c r="AC3025" t="str">
        <f>HYPERLINK("plots/3FT6Y578R01_012_S11P_20251111092011_M5358ACSH101811_RBGEUFRF26/dpll_52094/txpa_55240.png","plot")</f>
        <v>plot</v>
      </c>
    </row>
    <row r="3026" spans="1:29" hidden="1" x14ac:dyDescent="0.35">
      <c r="A3026" t="s">
        <v>48</v>
      </c>
      <c r="B3026">
        <v>52094</v>
      </c>
      <c r="C3026" t="s">
        <v>53</v>
      </c>
      <c r="D3026">
        <v>55241</v>
      </c>
      <c r="E3026" t="s">
        <v>374</v>
      </c>
      <c r="F3026">
        <v>12234</v>
      </c>
      <c r="G3026">
        <v>0.85364751862275601</v>
      </c>
      <c r="H3026">
        <v>0</v>
      </c>
      <c r="I3026">
        <v>0</v>
      </c>
      <c r="J3026">
        <v>0.73524760392889266</v>
      </c>
      <c r="K3026">
        <v>0</v>
      </c>
      <c r="L3026">
        <v>0</v>
      </c>
      <c r="M3026">
        <v>0.54501445720861796</v>
      </c>
      <c r="N3026">
        <v>0</v>
      </c>
      <c r="O3026">
        <v>0</v>
      </c>
      <c r="P3026">
        <v>0.72871408605078858</v>
      </c>
      <c r="Q3026">
        <v>1.9951040326094629</v>
      </c>
      <c r="R3026">
        <v>0.74313550103830472</v>
      </c>
      <c r="S3026">
        <v>0.26385307010365322</v>
      </c>
      <c r="T3026">
        <v>0.20089691421499831</v>
      </c>
      <c r="U3026">
        <v>4.3321343046427989</v>
      </c>
      <c r="V3026">
        <v>0.21676008652311729</v>
      </c>
      <c r="W3026">
        <v>9.3861941220369456</v>
      </c>
      <c r="X3026">
        <v>0.50660127663553878</v>
      </c>
      <c r="Z3026" t="s">
        <v>392</v>
      </c>
      <c r="AA3026">
        <v>9400</v>
      </c>
      <c r="AB3026" t="s">
        <v>3417</v>
      </c>
      <c r="AC3026" t="str">
        <f>HYPERLINK("plots/3FT6Y578R01_012_S11P_20251111092011_M5358ACSH101811_RBGEUFRF26/dpll_52094/txpa_55241.png","plot")</f>
        <v>plot</v>
      </c>
    </row>
    <row r="3027" spans="1:29" hidden="1" x14ac:dyDescent="0.35">
      <c r="A3027" t="s">
        <v>48</v>
      </c>
      <c r="B3027">
        <v>52094</v>
      </c>
      <c r="C3027" t="s">
        <v>53</v>
      </c>
      <c r="D3027">
        <v>55242</v>
      </c>
      <c r="E3027" t="s">
        <v>375</v>
      </c>
      <c r="F3027">
        <v>12228</v>
      </c>
      <c r="G3027">
        <v>0.849060644196448</v>
      </c>
      <c r="H3027">
        <v>0</v>
      </c>
      <c r="I3027">
        <v>0</v>
      </c>
      <c r="J3027">
        <v>0.72800480503462295</v>
      </c>
      <c r="K3027">
        <v>0</v>
      </c>
      <c r="L3027">
        <v>0</v>
      </c>
      <c r="M3027">
        <v>0.53816028034754015</v>
      </c>
      <c r="N3027">
        <v>0</v>
      </c>
      <c r="O3027">
        <v>0</v>
      </c>
      <c r="P3027">
        <v>0.72090397752328728</v>
      </c>
      <c r="Q3027">
        <v>1.9723072157040451</v>
      </c>
      <c r="R3027">
        <v>0.83032308766285823</v>
      </c>
      <c r="S3027">
        <v>0.26593619358154802</v>
      </c>
      <c r="T3027">
        <v>0.20219642888415451</v>
      </c>
      <c r="U3027">
        <v>4.3322741799149496</v>
      </c>
      <c r="V3027">
        <v>0.21671178577175099</v>
      </c>
      <c r="W3027">
        <v>9.3748987131174353</v>
      </c>
      <c r="X3027">
        <v>0.50340599546955378</v>
      </c>
      <c r="Z3027" t="s">
        <v>392</v>
      </c>
      <c r="AA3027">
        <v>9400</v>
      </c>
      <c r="AB3027" t="s">
        <v>3418</v>
      </c>
      <c r="AC3027" t="str">
        <f>HYPERLINK("plots/3FT6Y578R01_012_S11P_20251111092011_M5358ACSH101811_RBGEUFRF26/dpll_52094/txpa_55242.png","plot")</f>
        <v>plot</v>
      </c>
    </row>
    <row r="3028" spans="1:29" hidden="1" x14ac:dyDescent="0.35">
      <c r="A3028" t="s">
        <v>48</v>
      </c>
      <c r="B3028">
        <v>52094</v>
      </c>
      <c r="C3028" t="s">
        <v>53</v>
      </c>
      <c r="D3028">
        <v>55243</v>
      </c>
      <c r="E3028" t="s">
        <v>376</v>
      </c>
      <c r="F3028">
        <v>12203</v>
      </c>
      <c r="G3028">
        <v>0.84041540670149928</v>
      </c>
      <c r="H3028">
        <v>0</v>
      </c>
      <c r="I3028">
        <v>0</v>
      </c>
      <c r="J3028">
        <v>0.72452450937924906</v>
      </c>
      <c r="K3028">
        <v>0</v>
      </c>
      <c r="L3028">
        <v>0</v>
      </c>
      <c r="M3028">
        <v>0.53330800532688316</v>
      </c>
      <c r="N3028">
        <v>0</v>
      </c>
      <c r="O3028">
        <v>0</v>
      </c>
      <c r="P3028">
        <v>0.70629805582124638</v>
      </c>
      <c r="Q3028">
        <v>2.2020572235694229</v>
      </c>
      <c r="R3028">
        <v>1.208535834345607</v>
      </c>
      <c r="S3028">
        <v>0.307233518977505</v>
      </c>
      <c r="T3028">
        <v>0.23043090477593939</v>
      </c>
      <c r="U3028">
        <v>4.332935340571991</v>
      </c>
      <c r="V3028">
        <v>0.21637066740152811</v>
      </c>
      <c r="W3028">
        <v>10.7499074003114</v>
      </c>
      <c r="X3028">
        <v>0.56693462223652713</v>
      </c>
      <c r="Z3028" t="s">
        <v>392</v>
      </c>
      <c r="AA3028">
        <v>9400</v>
      </c>
      <c r="AB3028" t="s">
        <v>3419</v>
      </c>
      <c r="AC3028" t="str">
        <f>HYPERLINK("plots/3FT6Y578R01_012_S11P_20251111092011_M5358ACSH101811_RBGEUFRF26/dpll_52094/txpa_55243.png","plot")</f>
        <v>plot</v>
      </c>
    </row>
    <row r="3029" spans="1:29" hidden="1" x14ac:dyDescent="0.35">
      <c r="A3029" t="s">
        <v>48</v>
      </c>
      <c r="B3029">
        <v>52094</v>
      </c>
      <c r="C3029" t="s">
        <v>53</v>
      </c>
      <c r="D3029">
        <v>55244</v>
      </c>
      <c r="E3029" t="s">
        <v>377</v>
      </c>
      <c r="F3029">
        <v>12219</v>
      </c>
      <c r="G3029">
        <v>0.84905555979158487</v>
      </c>
      <c r="H3029">
        <v>0</v>
      </c>
      <c r="I3029">
        <v>0</v>
      </c>
      <c r="J3029">
        <v>0.73250569975671509</v>
      </c>
      <c r="K3029">
        <v>0</v>
      </c>
      <c r="L3029">
        <v>0</v>
      </c>
      <c r="M3029">
        <v>0.54208457733234161</v>
      </c>
      <c r="N3029">
        <v>0</v>
      </c>
      <c r="O3029">
        <v>0</v>
      </c>
      <c r="P3029">
        <v>0.72089534361300156</v>
      </c>
      <c r="Q3029">
        <v>2.2399772762796561</v>
      </c>
      <c r="R3029">
        <v>1.0751951841199721</v>
      </c>
      <c r="S3029">
        <v>0.30190586489685028</v>
      </c>
      <c r="T3029">
        <v>0.22841789731977899</v>
      </c>
      <c r="U3029">
        <v>4.3324706034863736</v>
      </c>
      <c r="V3029">
        <v>0.21661986377461601</v>
      </c>
      <c r="W3029">
        <v>10.779830886079059</v>
      </c>
      <c r="X3029">
        <v>0.57148624356813627</v>
      </c>
      <c r="Z3029" t="s">
        <v>392</v>
      </c>
      <c r="AA3029">
        <v>9400</v>
      </c>
      <c r="AB3029" t="s">
        <v>3420</v>
      </c>
      <c r="AC3029" t="str">
        <f>HYPERLINK("plots/3FT6Y578R01_012_S11P_20251111092011_M5358ACSH101811_RBGEUFRF26/dpll_52094/txpa_55244.png","plot")</f>
        <v>plot</v>
      </c>
    </row>
    <row r="3030" spans="1:29" hidden="1" x14ac:dyDescent="0.35">
      <c r="A3030" t="s">
        <v>48</v>
      </c>
      <c r="B3030">
        <v>52094</v>
      </c>
      <c r="C3030" t="s">
        <v>53</v>
      </c>
      <c r="D3030">
        <v>55245</v>
      </c>
      <c r="E3030" t="s">
        <v>378</v>
      </c>
      <c r="F3030">
        <v>12214</v>
      </c>
      <c r="G3030">
        <v>0.84992188847963979</v>
      </c>
      <c r="H3030">
        <v>0</v>
      </c>
      <c r="I3030">
        <v>0</v>
      </c>
      <c r="J3030">
        <v>0.73017912767845483</v>
      </c>
      <c r="K3030">
        <v>0</v>
      </c>
      <c r="L3030">
        <v>0</v>
      </c>
      <c r="M3030">
        <v>0.53975452680202296</v>
      </c>
      <c r="N3030">
        <v>0</v>
      </c>
      <c r="O3030">
        <v>0</v>
      </c>
      <c r="P3030">
        <v>0.72236721651679725</v>
      </c>
      <c r="Q3030">
        <v>2.2208395475309008</v>
      </c>
      <c r="R3030">
        <v>1.1707358585562191</v>
      </c>
      <c r="S3030">
        <v>0.29815680738966782</v>
      </c>
      <c r="T3030">
        <v>0.22571686010061789</v>
      </c>
      <c r="U3030">
        <v>4.3326124405600126</v>
      </c>
      <c r="V3030">
        <v>0.21656534745680101</v>
      </c>
      <c r="W3030">
        <v>10.79277291067627</v>
      </c>
      <c r="X3030">
        <v>0.56588363563289501</v>
      </c>
      <c r="Z3030" t="s">
        <v>392</v>
      </c>
      <c r="AA3030">
        <v>9400</v>
      </c>
      <c r="AB3030" t="s">
        <v>3421</v>
      </c>
      <c r="AC3030" t="str">
        <f>HYPERLINK("plots/3FT6Y578R01_012_S11P_20251111092011_M5358ACSH101811_RBGEUFRF26/dpll_52094/txpa_55245.png","plot")</f>
        <v>plot</v>
      </c>
    </row>
    <row r="3031" spans="1:29" hidden="1" x14ac:dyDescent="0.35">
      <c r="A3031" t="s">
        <v>48</v>
      </c>
      <c r="B3031">
        <v>52094</v>
      </c>
      <c r="C3031" t="s">
        <v>53</v>
      </c>
      <c r="D3031">
        <v>55246</v>
      </c>
      <c r="E3031" t="s">
        <v>379</v>
      </c>
      <c r="F3031">
        <v>12227</v>
      </c>
      <c r="G3031">
        <v>0.85419763875652732</v>
      </c>
      <c r="H3031">
        <v>0</v>
      </c>
      <c r="I3031">
        <v>0</v>
      </c>
      <c r="J3031">
        <v>0.73401505275888423</v>
      </c>
      <c r="K3031">
        <v>0</v>
      </c>
      <c r="L3031">
        <v>0</v>
      </c>
      <c r="M3031">
        <v>0.54375313817044313</v>
      </c>
      <c r="N3031">
        <v>0</v>
      </c>
      <c r="O3031">
        <v>0</v>
      </c>
      <c r="P3031">
        <v>0.72965360605722673</v>
      </c>
      <c r="Q3031">
        <v>2.254967616760839</v>
      </c>
      <c r="R3031">
        <v>1.031206617704983</v>
      </c>
      <c r="S3031">
        <v>0.29741212772386327</v>
      </c>
      <c r="T3031">
        <v>0.22590134849675789</v>
      </c>
      <c r="U3031">
        <v>4.3323031638995664</v>
      </c>
      <c r="V3031">
        <v>0.21668767063846561</v>
      </c>
      <c r="W3031">
        <v>10.80040995828903</v>
      </c>
      <c r="X3031">
        <v>0.5720264937191557</v>
      </c>
      <c r="Z3031" t="s">
        <v>392</v>
      </c>
      <c r="AA3031">
        <v>9400</v>
      </c>
      <c r="AB3031" t="s">
        <v>3422</v>
      </c>
      <c r="AC3031" t="str">
        <f>HYPERLINK("plots/3FT6Y578R01_012_S11P_20251111092011_M5358ACSH101811_RBGEUFRF26/dpll_52094/txpa_55246.png","plot")</f>
        <v>plot</v>
      </c>
    </row>
    <row r="3032" spans="1:29" hidden="1" x14ac:dyDescent="0.35">
      <c r="A3032" t="s">
        <v>48</v>
      </c>
      <c r="B3032">
        <v>52094</v>
      </c>
      <c r="C3032" t="s">
        <v>53</v>
      </c>
      <c r="D3032">
        <v>55247</v>
      </c>
      <c r="E3032" t="s">
        <v>380</v>
      </c>
      <c r="F3032">
        <v>12229</v>
      </c>
      <c r="G3032">
        <v>0.8542211188752511</v>
      </c>
      <c r="H3032">
        <v>0</v>
      </c>
      <c r="I3032">
        <v>0</v>
      </c>
      <c r="J3032">
        <v>0.73286493857333379</v>
      </c>
      <c r="K3032">
        <v>0</v>
      </c>
      <c r="L3032">
        <v>0</v>
      </c>
      <c r="M3032">
        <v>0.54235608940111568</v>
      </c>
      <c r="N3032">
        <v>0</v>
      </c>
      <c r="O3032">
        <v>0</v>
      </c>
      <c r="P3032">
        <v>0.72969371993248588</v>
      </c>
      <c r="Q3032">
        <v>2.262861212764288</v>
      </c>
      <c r="R3032">
        <v>0.96659273310801019</v>
      </c>
      <c r="S3032">
        <v>0.29840158096746261</v>
      </c>
      <c r="T3032">
        <v>0.22728835517162199</v>
      </c>
      <c r="U3032">
        <v>4.3322388963120453</v>
      </c>
      <c r="V3032">
        <v>0.2166722011107097</v>
      </c>
      <c r="W3032">
        <v>10.76984809600131</v>
      </c>
      <c r="X3032">
        <v>0.57397213548555515</v>
      </c>
      <c r="Z3032" t="s">
        <v>392</v>
      </c>
      <c r="AA3032">
        <v>9400</v>
      </c>
      <c r="AB3032" t="s">
        <v>3423</v>
      </c>
      <c r="AC3032" t="str">
        <f>HYPERLINK("plots/3FT6Y578R01_012_S11P_20251111092011_M5358ACSH101811_RBGEUFRF26/dpll_52094/txpa_55247.png","plot")</f>
        <v>plot</v>
      </c>
    </row>
    <row r="3033" spans="1:29" hidden="1" x14ac:dyDescent="0.35">
      <c r="A3033" t="s">
        <v>48</v>
      </c>
      <c r="B3033">
        <v>52094</v>
      </c>
      <c r="C3033" t="s">
        <v>53</v>
      </c>
      <c r="D3033">
        <v>55248</v>
      </c>
      <c r="E3033" t="s">
        <v>381</v>
      </c>
      <c r="F3033">
        <v>12231</v>
      </c>
      <c r="G3033">
        <v>0.85576190146416387</v>
      </c>
      <c r="H3033">
        <v>0</v>
      </c>
      <c r="I3033">
        <v>0</v>
      </c>
      <c r="J3033">
        <v>0.73596640714870998</v>
      </c>
      <c r="K3033">
        <v>0</v>
      </c>
      <c r="L3033">
        <v>0</v>
      </c>
      <c r="M3033">
        <v>0.54604599865730874</v>
      </c>
      <c r="N3033">
        <v>0</v>
      </c>
      <c r="O3033">
        <v>0</v>
      </c>
      <c r="P3033">
        <v>0.73232843199756126</v>
      </c>
      <c r="Q3033">
        <v>2.2696116615348179</v>
      </c>
      <c r="R3033">
        <v>0.95036007595666661</v>
      </c>
      <c r="S3033">
        <v>0.29733951830232558</v>
      </c>
      <c r="T3033">
        <v>0.22658700398055071</v>
      </c>
      <c r="U3033">
        <v>4.3321690349112911</v>
      </c>
      <c r="V3033">
        <v>0.21670586238085171</v>
      </c>
      <c r="W3033">
        <v>10.782701437331371</v>
      </c>
      <c r="X3033">
        <v>0.57473714539176246</v>
      </c>
      <c r="Z3033" t="s">
        <v>392</v>
      </c>
      <c r="AA3033">
        <v>9400</v>
      </c>
      <c r="AB3033" t="s">
        <v>3424</v>
      </c>
      <c r="AC3033" t="str">
        <f>HYPERLINK("plots/3FT6Y578R01_012_S11P_20251111092011_M5358ACSH101811_RBGEUFRF26/dpll_52094/txpa_55248.png","plot")</f>
        <v>plot</v>
      </c>
    </row>
    <row r="3034" spans="1:29" hidden="1" x14ac:dyDescent="0.35">
      <c r="A3034" t="s">
        <v>48</v>
      </c>
      <c r="B3034">
        <v>52094</v>
      </c>
      <c r="C3034" t="s">
        <v>53</v>
      </c>
      <c r="D3034">
        <v>55249</v>
      </c>
      <c r="E3034" t="s">
        <v>382</v>
      </c>
      <c r="F3034">
        <v>12224</v>
      </c>
      <c r="G3034">
        <v>0.85653522153207595</v>
      </c>
      <c r="H3034">
        <v>0</v>
      </c>
      <c r="I3034">
        <v>0</v>
      </c>
      <c r="J3034">
        <v>0.73254526100656536</v>
      </c>
      <c r="K3034">
        <v>0</v>
      </c>
      <c r="L3034">
        <v>0</v>
      </c>
      <c r="M3034">
        <v>0.5434662628739807</v>
      </c>
      <c r="N3034">
        <v>0</v>
      </c>
      <c r="O3034">
        <v>0</v>
      </c>
      <c r="P3034">
        <v>0.73365258572500247</v>
      </c>
      <c r="Q3034">
        <v>2.2644558432911821</v>
      </c>
      <c r="R3034">
        <v>0.97920406257965453</v>
      </c>
      <c r="S3034">
        <v>0.29562034598739761</v>
      </c>
      <c r="T3034">
        <v>0.2255750594102961</v>
      </c>
      <c r="U3034">
        <v>4.3323712214496073</v>
      </c>
      <c r="V3034">
        <v>0.2166752034730792</v>
      </c>
      <c r="W3034">
        <v>10.789667390297771</v>
      </c>
      <c r="X3034">
        <v>0.57283275487877383</v>
      </c>
      <c r="Z3034" t="s">
        <v>392</v>
      </c>
      <c r="AA3034">
        <v>9400</v>
      </c>
      <c r="AB3034" t="s">
        <v>3425</v>
      </c>
      <c r="AC3034" t="str">
        <f>HYPERLINK("plots/3FT6Y578R01_012_S11P_20251111092011_M5358ACSH101811_RBGEUFRF26/dpll_52094/txpa_55249.png","plot")</f>
        <v>plot</v>
      </c>
    </row>
    <row r="3035" spans="1:29" hidden="1" x14ac:dyDescent="0.35">
      <c r="A3035" t="s">
        <v>48</v>
      </c>
      <c r="B3035">
        <v>52094</v>
      </c>
      <c r="C3035" t="s">
        <v>53</v>
      </c>
      <c r="D3035">
        <v>55250</v>
      </c>
      <c r="E3035" t="s">
        <v>383</v>
      </c>
      <c r="F3035">
        <v>12220</v>
      </c>
      <c r="G3035">
        <v>0.85075712312663676</v>
      </c>
      <c r="H3035">
        <v>0</v>
      </c>
      <c r="I3035">
        <v>0</v>
      </c>
      <c r="J3035">
        <v>0.72481547954913095</v>
      </c>
      <c r="K3035">
        <v>0</v>
      </c>
      <c r="L3035">
        <v>0</v>
      </c>
      <c r="M3035">
        <v>0.53590127984864466</v>
      </c>
      <c r="N3035">
        <v>0</v>
      </c>
      <c r="O3035">
        <v>0</v>
      </c>
      <c r="P3035">
        <v>0.72378768255071135</v>
      </c>
      <c r="Q3035">
        <v>2.2410147925228499</v>
      </c>
      <c r="R3035">
        <v>1.069520045237617</v>
      </c>
      <c r="S3035">
        <v>0.29980123221303262</v>
      </c>
      <c r="T3035">
        <v>0.22783340736971061</v>
      </c>
      <c r="U3035">
        <v>4.3325208954991821</v>
      </c>
      <c r="V3035">
        <v>0.21656612907784539</v>
      </c>
      <c r="W3035">
        <v>10.77876346096563</v>
      </c>
      <c r="X3035">
        <v>0.57046586579166669</v>
      </c>
      <c r="Z3035" t="s">
        <v>392</v>
      </c>
      <c r="AA3035">
        <v>9400</v>
      </c>
      <c r="AB3035" t="s">
        <v>3426</v>
      </c>
      <c r="AC3035" t="str">
        <f>HYPERLINK("plots/3FT6Y578R01_012_S11P_20251111092011_M5358ACSH101811_RBGEUFRF26/dpll_52094/txpa_55250.png","plot")</f>
        <v>plot</v>
      </c>
    </row>
    <row r="3036" spans="1:29" hidden="1" x14ac:dyDescent="0.35">
      <c r="A3036" t="s">
        <v>48</v>
      </c>
      <c r="B3036">
        <v>52094</v>
      </c>
      <c r="C3036" t="s">
        <v>53</v>
      </c>
      <c r="D3036">
        <v>55251</v>
      </c>
      <c r="E3036" t="s">
        <v>384</v>
      </c>
      <c r="F3036">
        <v>12202</v>
      </c>
      <c r="G3036">
        <v>0.84163905511503589</v>
      </c>
      <c r="H3036">
        <v>0</v>
      </c>
      <c r="I3036">
        <v>0</v>
      </c>
      <c r="J3036">
        <v>0.72292744079580951</v>
      </c>
      <c r="K3036">
        <v>0</v>
      </c>
      <c r="L3036">
        <v>0</v>
      </c>
      <c r="M3036">
        <v>0.53228607236104919</v>
      </c>
      <c r="N3036">
        <v>0</v>
      </c>
      <c r="O3036">
        <v>0</v>
      </c>
      <c r="P3036">
        <v>0.70835629909493047</v>
      </c>
      <c r="Q3036">
        <v>2.341936045000089</v>
      </c>
      <c r="R3036">
        <v>1.065161037863007</v>
      </c>
      <c r="S3036">
        <v>0.32512118525021311</v>
      </c>
      <c r="T3036">
        <v>0.2443182600812632</v>
      </c>
      <c r="U3036">
        <v>4.3329578052778244</v>
      </c>
      <c r="V3036">
        <v>0.2163653019517274</v>
      </c>
      <c r="W3036">
        <v>11.212671103507621</v>
      </c>
      <c r="X3036">
        <v>0.60205582957271475</v>
      </c>
      <c r="Z3036" t="s">
        <v>392</v>
      </c>
      <c r="AA3036">
        <v>9400</v>
      </c>
      <c r="AB3036" t="s">
        <v>3427</v>
      </c>
      <c r="AC3036" t="str">
        <f>HYPERLINK("plots/3FT6Y578R01_012_S11P_20251111092011_M5358ACSH101811_RBGEUFRF26/dpll_52094/txpa_55251.png","plot")</f>
        <v>plot</v>
      </c>
    </row>
    <row r="3037" spans="1:29" hidden="1" x14ac:dyDescent="0.35">
      <c r="A3037" t="s">
        <v>48</v>
      </c>
      <c r="B3037">
        <v>52094</v>
      </c>
      <c r="C3037" t="s">
        <v>53</v>
      </c>
      <c r="D3037">
        <v>55252</v>
      </c>
      <c r="E3037" t="s">
        <v>385</v>
      </c>
      <c r="F3037">
        <v>12215</v>
      </c>
      <c r="G3037">
        <v>0.85072439025671021</v>
      </c>
      <c r="H3037">
        <v>0</v>
      </c>
      <c r="I3037">
        <v>0</v>
      </c>
      <c r="J3037">
        <v>0.73073116589114495</v>
      </c>
      <c r="K3037">
        <v>0</v>
      </c>
      <c r="L3037">
        <v>0</v>
      </c>
      <c r="M3037">
        <v>0.54082404473663892</v>
      </c>
      <c r="N3037">
        <v>0</v>
      </c>
      <c r="O3037">
        <v>0</v>
      </c>
      <c r="P3037">
        <v>0.72373198817765139</v>
      </c>
      <c r="Q3037">
        <v>2.3792548242683691</v>
      </c>
      <c r="R3037">
        <v>0.93503152705336667</v>
      </c>
      <c r="S3037">
        <v>0.31840910106042769</v>
      </c>
      <c r="T3037">
        <v>0.24179912832518621</v>
      </c>
      <c r="U3037">
        <v>4.3325305537453946</v>
      </c>
      <c r="V3037">
        <v>0.21661367721047509</v>
      </c>
      <c r="W3037">
        <v>11.2432257483422</v>
      </c>
      <c r="X3037">
        <v>0.60581210837274313</v>
      </c>
      <c r="Z3037" t="s">
        <v>392</v>
      </c>
      <c r="AA3037">
        <v>9400</v>
      </c>
      <c r="AB3037" t="s">
        <v>3428</v>
      </c>
      <c r="AC3037" t="str">
        <f>HYPERLINK("plots/3FT6Y578R01_012_S11P_20251111092011_M5358ACSH101811_RBGEUFRF26/dpll_52094/txpa_55252.png","plot")</f>
        <v>plot</v>
      </c>
    </row>
    <row r="3038" spans="1:29" hidden="1" x14ac:dyDescent="0.35">
      <c r="A3038" t="s">
        <v>48</v>
      </c>
      <c r="B3038">
        <v>52094</v>
      </c>
      <c r="C3038" t="s">
        <v>53</v>
      </c>
      <c r="D3038">
        <v>55253</v>
      </c>
      <c r="E3038" t="s">
        <v>386</v>
      </c>
      <c r="F3038">
        <v>12214</v>
      </c>
      <c r="G3038">
        <v>0.85085417477767789</v>
      </c>
      <c r="H3038">
        <v>0</v>
      </c>
      <c r="I3038">
        <v>0</v>
      </c>
      <c r="J3038">
        <v>0.7288869553905728</v>
      </c>
      <c r="K3038">
        <v>0</v>
      </c>
      <c r="L3038">
        <v>0</v>
      </c>
      <c r="M3038">
        <v>0.5389648209275002</v>
      </c>
      <c r="N3038">
        <v>0</v>
      </c>
      <c r="O3038">
        <v>0</v>
      </c>
      <c r="P3038">
        <v>0.72395282673660322</v>
      </c>
      <c r="Q3038">
        <v>2.3618590540648592</v>
      </c>
      <c r="R3038">
        <v>1.022225302450172</v>
      </c>
      <c r="S3038">
        <v>0.31583603760445939</v>
      </c>
      <c r="T3038">
        <v>0.239467443677855</v>
      </c>
      <c r="U3038">
        <v>4.3326124405600126</v>
      </c>
      <c r="V3038">
        <v>0.21656534745680101</v>
      </c>
      <c r="W3038">
        <v>11.255245222940889</v>
      </c>
      <c r="X3038">
        <v>0.60115686312663164</v>
      </c>
      <c r="Z3038" t="s">
        <v>392</v>
      </c>
      <c r="AA3038">
        <v>9400</v>
      </c>
      <c r="AB3038" t="s">
        <v>3429</v>
      </c>
      <c r="AC3038" t="str">
        <f>HYPERLINK("plots/3FT6Y578R01_012_S11P_20251111092011_M5358ACSH101811_RBGEUFRF26/dpll_52094/txpa_55253.png","plot")</f>
        <v>plot</v>
      </c>
    </row>
    <row r="3039" spans="1:29" hidden="1" x14ac:dyDescent="0.35">
      <c r="A3039" t="s">
        <v>48</v>
      </c>
      <c r="B3039">
        <v>52094</v>
      </c>
      <c r="C3039" t="s">
        <v>53</v>
      </c>
      <c r="D3039">
        <v>55254</v>
      </c>
      <c r="E3039" t="s">
        <v>387</v>
      </c>
      <c r="F3039">
        <v>12223</v>
      </c>
      <c r="G3039">
        <v>0.85511470150341173</v>
      </c>
      <c r="H3039">
        <v>0</v>
      </c>
      <c r="I3039">
        <v>0</v>
      </c>
      <c r="J3039">
        <v>0.73198414260104994</v>
      </c>
      <c r="K3039">
        <v>0</v>
      </c>
      <c r="L3039">
        <v>0</v>
      </c>
      <c r="M3039">
        <v>0.54233834796014146</v>
      </c>
      <c r="N3039">
        <v>0</v>
      </c>
      <c r="O3039">
        <v>0</v>
      </c>
      <c r="P3039">
        <v>0.73122115272726895</v>
      </c>
      <c r="Q3039">
        <v>2.394560886117798</v>
      </c>
      <c r="R3039">
        <v>0.88775475783697111</v>
      </c>
      <c r="S3039">
        <v>0.31448181965057009</v>
      </c>
      <c r="T3039">
        <v>0.23934079483504689</v>
      </c>
      <c r="U3039">
        <v>4.3324169918187021</v>
      </c>
      <c r="V3039">
        <v>0.21662783294192059</v>
      </c>
      <c r="W3039">
        <v>11.261991028798169</v>
      </c>
      <c r="X3039">
        <v>0.60661866144411536</v>
      </c>
      <c r="Z3039" t="s">
        <v>392</v>
      </c>
      <c r="AA3039">
        <v>9400</v>
      </c>
      <c r="AB3039" t="s">
        <v>3430</v>
      </c>
      <c r="AC3039" t="str">
        <f>HYPERLINK("plots/3FT6Y578R01_012_S11P_20251111092011_M5358ACSH101811_RBGEUFRF26/dpll_52094/txpa_55254.png","plot")</f>
        <v>plot</v>
      </c>
    </row>
    <row r="3040" spans="1:29" hidden="1" x14ac:dyDescent="0.35">
      <c r="A3040" t="s">
        <v>48</v>
      </c>
      <c r="B3040">
        <v>52094</v>
      </c>
      <c r="C3040" t="s">
        <v>53</v>
      </c>
      <c r="D3040">
        <v>55255</v>
      </c>
      <c r="E3040" t="s">
        <v>388</v>
      </c>
      <c r="F3040">
        <v>12226</v>
      </c>
      <c r="G3040">
        <v>0.85495416279841729</v>
      </c>
      <c r="H3040">
        <v>0</v>
      </c>
      <c r="I3040">
        <v>0</v>
      </c>
      <c r="J3040">
        <v>0.73120982770006382</v>
      </c>
      <c r="K3040">
        <v>0</v>
      </c>
      <c r="L3040">
        <v>0</v>
      </c>
      <c r="M3040">
        <v>0.54125367587818118</v>
      </c>
      <c r="N3040">
        <v>0</v>
      </c>
      <c r="O3040">
        <v>0</v>
      </c>
      <c r="P3040">
        <v>0.73094662048634262</v>
      </c>
      <c r="Q3040">
        <v>2.4035381261307589</v>
      </c>
      <c r="R3040">
        <v>0.81777403874143317</v>
      </c>
      <c r="S3040">
        <v>0.3158533934634567</v>
      </c>
      <c r="T3040">
        <v>0.2409758797179313</v>
      </c>
      <c r="U3040">
        <v>4.332336727466056</v>
      </c>
      <c r="V3040">
        <v>0.21660870156693049</v>
      </c>
      <c r="W3040">
        <v>11.23071053844266</v>
      </c>
      <c r="X3040">
        <v>0.60895343320358986</v>
      </c>
      <c r="Z3040" t="s">
        <v>392</v>
      </c>
      <c r="AA3040">
        <v>9400</v>
      </c>
      <c r="AB3040" t="s">
        <v>3431</v>
      </c>
      <c r="AC3040" t="str">
        <f>HYPERLINK("plots/3FT6Y578R01_012_S11P_20251111092011_M5358ACSH101811_RBGEUFRF26/dpll_52094/txpa_55255.png","plot")</f>
        <v>plot</v>
      </c>
    </row>
    <row r="3041" spans="1:29" hidden="1" x14ac:dyDescent="0.35">
      <c r="A3041" t="s">
        <v>48</v>
      </c>
      <c r="B3041">
        <v>52094</v>
      </c>
      <c r="C3041" t="s">
        <v>53</v>
      </c>
      <c r="D3041">
        <v>55256</v>
      </c>
      <c r="E3041" t="s">
        <v>389</v>
      </c>
      <c r="F3041">
        <v>12230</v>
      </c>
      <c r="G3041">
        <v>0.8562706597462324</v>
      </c>
      <c r="H3041">
        <v>0</v>
      </c>
      <c r="I3041">
        <v>0</v>
      </c>
      <c r="J3041">
        <v>0.73411411542180616</v>
      </c>
      <c r="K3041">
        <v>0</v>
      </c>
      <c r="L3041">
        <v>0</v>
      </c>
      <c r="M3041">
        <v>0.54475435162817143</v>
      </c>
      <c r="N3041">
        <v>0</v>
      </c>
      <c r="O3041">
        <v>0</v>
      </c>
      <c r="P3041">
        <v>0.73319944274224813</v>
      </c>
      <c r="Q3041">
        <v>2.4119190026142001</v>
      </c>
      <c r="R3041">
        <v>0.79536712808185506</v>
      </c>
      <c r="S3041">
        <v>0.3152723057800399</v>
      </c>
      <c r="T3041">
        <v>0.2405055988832549</v>
      </c>
      <c r="U3041">
        <v>4.3321920116107933</v>
      </c>
      <c r="V3041">
        <v>0.21669982310877289</v>
      </c>
      <c r="W3041">
        <v>11.244263363859361</v>
      </c>
      <c r="X3041">
        <v>0.61039393942808162</v>
      </c>
      <c r="Z3041" t="s">
        <v>392</v>
      </c>
      <c r="AA3041">
        <v>9400</v>
      </c>
      <c r="AB3041" t="s">
        <v>3432</v>
      </c>
      <c r="AC3041" t="str">
        <f>HYPERLINK("plots/3FT6Y578R01_012_S11P_20251111092011_M5358ACSH101811_RBGEUFRF26/dpll_52094/txpa_55256.png","plot")</f>
        <v>plot</v>
      </c>
    </row>
    <row r="3042" spans="1:29" hidden="1" x14ac:dyDescent="0.35">
      <c r="A3042" t="s">
        <v>48</v>
      </c>
      <c r="B3042">
        <v>52094</v>
      </c>
      <c r="C3042" t="s">
        <v>53</v>
      </c>
      <c r="D3042">
        <v>55257</v>
      </c>
      <c r="E3042" t="s">
        <v>390</v>
      </c>
      <c r="F3042">
        <v>12221</v>
      </c>
      <c r="G3042">
        <v>0.85725480484547245</v>
      </c>
      <c r="H3042">
        <v>0</v>
      </c>
      <c r="I3042">
        <v>0</v>
      </c>
      <c r="J3042">
        <v>0.73104969202408809</v>
      </c>
      <c r="K3042">
        <v>0</v>
      </c>
      <c r="L3042">
        <v>0</v>
      </c>
      <c r="M3042">
        <v>0.54255361007069214</v>
      </c>
      <c r="N3042">
        <v>0</v>
      </c>
      <c r="O3042">
        <v>0</v>
      </c>
      <c r="P3042">
        <v>0.73488580043064911</v>
      </c>
      <c r="Q3042">
        <v>2.4054415381171248</v>
      </c>
      <c r="R3042">
        <v>0.83016695545992114</v>
      </c>
      <c r="S3042">
        <v>0.31297897032455052</v>
      </c>
      <c r="T3042">
        <v>0.23930000543410709</v>
      </c>
      <c r="U3042">
        <v>4.3324538818427296</v>
      </c>
      <c r="V3042">
        <v>0.21663646161281741</v>
      </c>
      <c r="W3042">
        <v>11.25163148482121</v>
      </c>
      <c r="X3042">
        <v>0.60787800836895978</v>
      </c>
      <c r="Z3042" t="s">
        <v>392</v>
      </c>
      <c r="AA3042">
        <v>9400</v>
      </c>
      <c r="AB3042" t="s">
        <v>3433</v>
      </c>
      <c r="AC3042" t="str">
        <f>HYPERLINK("plots/3FT6Y578R01_012_S11P_20251111092011_M5358ACSH101811_RBGEUFRF26/dpll_52094/txpa_55257.png","plot")</f>
        <v>plot</v>
      </c>
    </row>
    <row r="3043" spans="1:29" hidden="1" x14ac:dyDescent="0.35">
      <c r="A3043" t="s">
        <v>48</v>
      </c>
      <c r="B3043">
        <v>52094</v>
      </c>
      <c r="C3043" t="s">
        <v>53</v>
      </c>
      <c r="D3043">
        <v>55258</v>
      </c>
      <c r="E3043" t="s">
        <v>391</v>
      </c>
      <c r="F3043">
        <v>12214</v>
      </c>
      <c r="G3043">
        <v>0.85171077027050146</v>
      </c>
      <c r="H3043">
        <v>0</v>
      </c>
      <c r="I3043">
        <v>0</v>
      </c>
      <c r="J3043">
        <v>0.72268652585418836</v>
      </c>
      <c r="K3043">
        <v>0</v>
      </c>
      <c r="L3043">
        <v>0</v>
      </c>
      <c r="M3043">
        <v>0.53441534680822389</v>
      </c>
      <c r="N3043">
        <v>0</v>
      </c>
      <c r="O3043">
        <v>0</v>
      </c>
      <c r="P3043">
        <v>0.72541123619477088</v>
      </c>
      <c r="Q3043">
        <v>2.3799131965800751</v>
      </c>
      <c r="R3043">
        <v>0.92945975947965565</v>
      </c>
      <c r="S3043">
        <v>0.31700609385042222</v>
      </c>
      <c r="T3043">
        <v>0.24158685321350659</v>
      </c>
      <c r="U3043">
        <v>4.3326710761421321</v>
      </c>
      <c r="V3043">
        <v>0.21650853984044541</v>
      </c>
      <c r="W3043">
        <v>11.240840830031109</v>
      </c>
      <c r="X3043">
        <v>0.60498416730706572</v>
      </c>
      <c r="Z3043" t="s">
        <v>392</v>
      </c>
      <c r="AA3043">
        <v>9400</v>
      </c>
      <c r="AB3043" t="s">
        <v>3434</v>
      </c>
      <c r="AC3043" t="str">
        <f>HYPERLINK("plots/3FT6Y578R01_012_S11P_20251111092011_M5358ACSH101811_RBGEUFRF26/dpll_52094/txpa_55258.png","plot")</f>
        <v>plot</v>
      </c>
    </row>
    <row r="3044" spans="1:29" x14ac:dyDescent="0.35">
      <c r="A3044" s="4" t="s">
        <v>49</v>
      </c>
      <c r="B3044">
        <v>52046</v>
      </c>
      <c r="C3044" t="s">
        <v>51</v>
      </c>
      <c r="D3044">
        <v>53179</v>
      </c>
      <c r="E3044" t="s">
        <v>54</v>
      </c>
      <c r="F3044">
        <v>12028</v>
      </c>
      <c r="G3044">
        <v>0.30226269718751192</v>
      </c>
      <c r="H3044">
        <v>1.525669058683867E-252</v>
      </c>
      <c r="I3044">
        <v>1.6216230875319089E-252</v>
      </c>
      <c r="J3044">
        <v>0.28241123437108129</v>
      </c>
      <c r="K3044">
        <v>2.285494117371066E-219</v>
      </c>
      <c r="L3044">
        <v>2.4497791067804019E-219</v>
      </c>
      <c r="M3044">
        <v>0.1908395799098879</v>
      </c>
      <c r="N3044">
        <v>5.4825036098518349E-216</v>
      </c>
      <c r="O3044">
        <v>5.8765947784246932E-216</v>
      </c>
      <c r="P3044">
        <v>9.1362738111069486E-2</v>
      </c>
      <c r="Q3044">
        <v>1.652742339369679</v>
      </c>
      <c r="R3044">
        <v>-28.146407191967231</v>
      </c>
      <c r="S3044">
        <v>1.095276775386383</v>
      </c>
      <c r="T3044">
        <v>0.82754847171033141</v>
      </c>
      <c r="U3044">
        <v>4.4179867093448619</v>
      </c>
      <c r="V3044">
        <v>0.2101483876699779</v>
      </c>
      <c r="W3044">
        <v>-20.844613502660462</v>
      </c>
      <c r="X3044">
        <v>1.149070464480707</v>
      </c>
      <c r="Z3044" t="s">
        <v>392</v>
      </c>
      <c r="AA3044">
        <v>114</v>
      </c>
      <c r="AB3044" t="s">
        <v>3435</v>
      </c>
      <c r="AC3044" t="str">
        <f>HYPERLINK("plots/3FT6Y578R04_015_S21P_20251218081014_M5358ACSC201811_RBGEUFRF04/dpll_52046/txpa_53179.png","plot")</f>
        <v>plot</v>
      </c>
    </row>
    <row r="3045" spans="1:29" x14ac:dyDescent="0.35">
      <c r="A3045" s="4" t="s">
        <v>49</v>
      </c>
      <c r="B3045">
        <v>52046</v>
      </c>
      <c r="C3045" t="s">
        <v>51</v>
      </c>
      <c r="D3045">
        <v>53180</v>
      </c>
      <c r="E3045" t="s">
        <v>55</v>
      </c>
      <c r="F3045">
        <v>12028</v>
      </c>
      <c r="G3045">
        <v>0.31780591675488751</v>
      </c>
      <c r="H3045">
        <v>2.0638069494520411E-280</v>
      </c>
      <c r="I3045">
        <v>2.2215501557795851E-280</v>
      </c>
      <c r="J3045">
        <v>0.2938553059251941</v>
      </c>
      <c r="K3045">
        <v>3.6304137945788168E-238</v>
      </c>
      <c r="L3045">
        <v>3.9245624602376547E-238</v>
      </c>
      <c r="M3045">
        <v>0.19886790803843449</v>
      </c>
      <c r="N3045">
        <v>2.156344170518052E-234</v>
      </c>
      <c r="O3045">
        <v>2.331058623566423E-234</v>
      </c>
      <c r="P3045">
        <v>0.1010006007244145</v>
      </c>
      <c r="Q3045">
        <v>1.7066156471371541</v>
      </c>
      <c r="R3045">
        <v>-28.318584709100389</v>
      </c>
      <c r="S3045">
        <v>1.069944999989151</v>
      </c>
      <c r="T3045">
        <v>0.81121417222969117</v>
      </c>
      <c r="U3045">
        <v>4.4179867093448619</v>
      </c>
      <c r="V3045">
        <v>0.2101483876699779</v>
      </c>
      <c r="W3045">
        <v>-20.778779462088458</v>
      </c>
      <c r="X3045">
        <v>1.128495436083518</v>
      </c>
      <c r="Z3045" t="s">
        <v>392</v>
      </c>
      <c r="AA3045">
        <v>114</v>
      </c>
      <c r="AB3045" t="s">
        <v>3436</v>
      </c>
      <c r="AC3045" t="str">
        <f>HYPERLINK("plots/3FT6Y578R04_015_S21P_20251218081014_M5358ACSC201811_RBGEUFRF04/dpll_52046/txpa_53180.png","plot")</f>
        <v>plot</v>
      </c>
    </row>
    <row r="3046" spans="1:29" x14ac:dyDescent="0.35">
      <c r="A3046" s="4" t="s">
        <v>49</v>
      </c>
      <c r="B3046">
        <v>52046</v>
      </c>
      <c r="C3046" t="s">
        <v>51</v>
      </c>
      <c r="D3046">
        <v>53181</v>
      </c>
      <c r="E3046" t="s">
        <v>56</v>
      </c>
      <c r="F3046">
        <v>12028</v>
      </c>
      <c r="G3046">
        <v>0.2957998685466296</v>
      </c>
      <c r="H3046">
        <v>1.8955676321427789E-241</v>
      </c>
      <c r="I3046">
        <v>2.0084697795117851E-241</v>
      </c>
      <c r="J3046">
        <v>0.26925593119599028</v>
      </c>
      <c r="K3046">
        <v>7.8223325167160345E-199</v>
      </c>
      <c r="L3046">
        <v>8.2969091756799794E-199</v>
      </c>
      <c r="M3046">
        <v>0.18238816047342871</v>
      </c>
      <c r="N3046">
        <v>1.7336844688934569E-197</v>
      </c>
      <c r="O3046">
        <v>1.838866162612935E-197</v>
      </c>
      <c r="P3046">
        <v>8.7497562232203355E-2</v>
      </c>
      <c r="Q3046">
        <v>1.5761143489400291</v>
      </c>
      <c r="R3046">
        <v>-27.680997053972899</v>
      </c>
      <c r="S3046">
        <v>1.069583687969839</v>
      </c>
      <c r="T3046">
        <v>0.80593499005297975</v>
      </c>
      <c r="U3046">
        <v>4.4179867093448619</v>
      </c>
      <c r="V3046">
        <v>0.2101483876699779</v>
      </c>
      <c r="W3046">
        <v>-20.717744807948119</v>
      </c>
      <c r="X3046">
        <v>1.119736431394158</v>
      </c>
      <c r="Z3046" t="s">
        <v>392</v>
      </c>
      <c r="AA3046">
        <v>114</v>
      </c>
      <c r="AB3046" t="s">
        <v>3437</v>
      </c>
      <c r="AC3046" t="str">
        <f>HYPERLINK("plots/3FT6Y578R04_015_S21P_20251218081014_M5358ACSC201811_RBGEUFRF04/dpll_52046/txpa_53181.png","plot")</f>
        <v>plot</v>
      </c>
    </row>
    <row r="3047" spans="1:29" x14ac:dyDescent="0.35">
      <c r="A3047" s="4" t="s">
        <v>49</v>
      </c>
      <c r="B3047">
        <v>52046</v>
      </c>
      <c r="C3047" t="s">
        <v>51</v>
      </c>
      <c r="D3047">
        <v>53182</v>
      </c>
      <c r="E3047" t="s">
        <v>57</v>
      </c>
      <c r="F3047">
        <v>12028</v>
      </c>
      <c r="G3047">
        <v>0.30805606347443842</v>
      </c>
      <c r="H3047">
        <v>9.8527888796010489E-263</v>
      </c>
      <c r="I3047">
        <v>1.05387425357758E-262</v>
      </c>
      <c r="J3047">
        <v>0.28140988918181992</v>
      </c>
      <c r="K3047">
        <v>9.1655421700271514E-218</v>
      </c>
      <c r="L3047">
        <v>9.8036495362948635E-218</v>
      </c>
      <c r="M3047">
        <v>0.19038913747358779</v>
      </c>
      <c r="N3047">
        <v>4.8935629820502201E-215</v>
      </c>
      <c r="O3047">
        <v>5.2342540757372607E-215</v>
      </c>
      <c r="P3047">
        <v>9.4898538243367234E-2</v>
      </c>
      <c r="Q3047">
        <v>1.6378420864844501</v>
      </c>
      <c r="R3047">
        <v>-27.839534593372971</v>
      </c>
      <c r="S3047">
        <v>1.0629159068730489</v>
      </c>
      <c r="T3047">
        <v>0.79268894866957085</v>
      </c>
      <c r="U3047">
        <v>4.4179867093448619</v>
      </c>
      <c r="V3047">
        <v>0.2101483876699779</v>
      </c>
      <c r="W3047">
        <v>-20.603570023279019</v>
      </c>
      <c r="X3047">
        <v>1.1172962150160679</v>
      </c>
      <c r="Z3047" t="s">
        <v>392</v>
      </c>
      <c r="AA3047">
        <v>114</v>
      </c>
      <c r="AB3047" t="s">
        <v>3438</v>
      </c>
      <c r="AC3047" t="str">
        <f>HYPERLINK("plots/3FT6Y578R04_015_S21P_20251218081014_M5358ACSC201811_RBGEUFRF04/dpll_52046/txpa_53182.png","plot")</f>
        <v>plot</v>
      </c>
    </row>
    <row r="3048" spans="1:29" x14ac:dyDescent="0.35">
      <c r="A3048" s="4" t="s">
        <v>49</v>
      </c>
      <c r="B3048">
        <v>52046</v>
      </c>
      <c r="C3048" t="s">
        <v>51</v>
      </c>
      <c r="D3048">
        <v>53183</v>
      </c>
      <c r="E3048" t="s">
        <v>58</v>
      </c>
      <c r="F3048">
        <v>12028</v>
      </c>
      <c r="G3048">
        <v>0.31895972437951681</v>
      </c>
      <c r="H3048">
        <v>1.5067964623787129E-282</v>
      </c>
      <c r="I3048">
        <v>1.6254166094170371E-282</v>
      </c>
      <c r="J3048">
        <v>0.28870272591706098</v>
      </c>
      <c r="K3048">
        <v>1.3583852872996871E-229</v>
      </c>
      <c r="L3048">
        <v>1.465322001406258E-229</v>
      </c>
      <c r="M3048">
        <v>0.1956051259813581</v>
      </c>
      <c r="N3048">
        <v>7.3734298723781701E-227</v>
      </c>
      <c r="O3048">
        <v>7.9538913729696427E-227</v>
      </c>
      <c r="P3048">
        <v>0.10173530577625731</v>
      </c>
      <c r="Q3048">
        <v>1.69137980320031</v>
      </c>
      <c r="R3048">
        <v>-28.10750674756131</v>
      </c>
      <c r="S3048">
        <v>1.0561253480123429</v>
      </c>
      <c r="T3048">
        <v>0.79274712256019009</v>
      </c>
      <c r="U3048">
        <v>4.4179867093448619</v>
      </c>
      <c r="V3048">
        <v>0.2101483876699779</v>
      </c>
      <c r="W3048">
        <v>-20.635013256568008</v>
      </c>
      <c r="X3048">
        <v>1.114374986596069</v>
      </c>
      <c r="Z3048" t="s">
        <v>392</v>
      </c>
      <c r="AA3048">
        <v>114</v>
      </c>
      <c r="AB3048" t="s">
        <v>3439</v>
      </c>
      <c r="AC3048" t="str">
        <f>HYPERLINK("plots/3FT6Y578R04_015_S21P_20251218081014_M5358ACSC201811_RBGEUFRF04/dpll_52046/txpa_53183.png","plot")</f>
        <v>plot</v>
      </c>
    </row>
    <row r="3049" spans="1:29" x14ac:dyDescent="0.35">
      <c r="A3049" s="4" t="s">
        <v>49</v>
      </c>
      <c r="B3049">
        <v>52046</v>
      </c>
      <c r="C3049" t="s">
        <v>51</v>
      </c>
      <c r="D3049">
        <v>53184</v>
      </c>
      <c r="E3049" t="s">
        <v>59</v>
      </c>
      <c r="F3049">
        <v>12028</v>
      </c>
      <c r="G3049">
        <v>0.31107678706248859</v>
      </c>
      <c r="H3049">
        <v>3.8701858860995549E-268</v>
      </c>
      <c r="I3049">
        <v>4.1571700090094788E-268</v>
      </c>
      <c r="J3049">
        <v>0.28632831123809932</v>
      </c>
      <c r="K3049">
        <v>1.0554521538587651E-225</v>
      </c>
      <c r="L3049">
        <v>1.1349188589743239E-225</v>
      </c>
      <c r="M3049">
        <v>0.19371112864906831</v>
      </c>
      <c r="N3049">
        <v>1.7039094008643689E-222</v>
      </c>
      <c r="O3049">
        <v>1.83219950421683E-222</v>
      </c>
      <c r="P3049">
        <v>9.6768767449120871E-2</v>
      </c>
      <c r="Q3049">
        <v>1.678143107127267</v>
      </c>
      <c r="R3049">
        <v>-28.159720733656979</v>
      </c>
      <c r="S3049">
        <v>1.0773799027515369</v>
      </c>
      <c r="T3049">
        <v>0.81035395960205536</v>
      </c>
      <c r="U3049">
        <v>4.4179867093448619</v>
      </c>
      <c r="V3049">
        <v>0.2101483876699779</v>
      </c>
      <c r="W3049">
        <v>-20.74570678999002</v>
      </c>
      <c r="X3049">
        <v>1.1336720800431841</v>
      </c>
      <c r="Z3049" t="s">
        <v>392</v>
      </c>
      <c r="AA3049">
        <v>114</v>
      </c>
      <c r="AB3049" t="s">
        <v>3440</v>
      </c>
      <c r="AC3049" t="str">
        <f>HYPERLINK("plots/3FT6Y578R04_015_S21P_20251218081014_M5358ACSC201811_RBGEUFRF04/dpll_52046/txpa_53184.png","plot")</f>
        <v>plot</v>
      </c>
    </row>
    <row r="3050" spans="1:29" x14ac:dyDescent="0.35">
      <c r="A3050" s="4" t="s">
        <v>49</v>
      </c>
      <c r="B3050">
        <v>52046</v>
      </c>
      <c r="C3050" t="s">
        <v>51</v>
      </c>
      <c r="D3050">
        <v>53185</v>
      </c>
      <c r="E3050" t="s">
        <v>60</v>
      </c>
      <c r="F3050">
        <v>12028</v>
      </c>
      <c r="G3050">
        <v>0.30713709967399261</v>
      </c>
      <c r="H3050">
        <v>4.221566173955797E-261</v>
      </c>
      <c r="I3050">
        <v>4.5012282864260552E-261</v>
      </c>
      <c r="J3050">
        <v>0.27876705428559723</v>
      </c>
      <c r="K3050">
        <v>1.4502622636443239E-213</v>
      </c>
      <c r="L3050">
        <v>1.5447121169488909E-213</v>
      </c>
      <c r="M3050">
        <v>0.1890014174556443</v>
      </c>
      <c r="N3050">
        <v>6.4056012718005106E-212</v>
      </c>
      <c r="O3050">
        <v>6.8227727831992832E-212</v>
      </c>
      <c r="P3050">
        <v>9.4333197996152071E-2</v>
      </c>
      <c r="Q3050">
        <v>1.6394101330244819</v>
      </c>
      <c r="R3050">
        <v>-27.969975447906361</v>
      </c>
      <c r="S3050">
        <v>1.0674500664369739</v>
      </c>
      <c r="T3050">
        <v>0.80068988828179033</v>
      </c>
      <c r="U3050">
        <v>4.4179867093448619</v>
      </c>
      <c r="V3050">
        <v>0.2101483876699779</v>
      </c>
      <c r="W3050">
        <v>-20.727083269038911</v>
      </c>
      <c r="X3050">
        <v>1.12171208411685</v>
      </c>
      <c r="Z3050" t="s">
        <v>392</v>
      </c>
      <c r="AA3050">
        <v>114</v>
      </c>
      <c r="AB3050" t="s">
        <v>3441</v>
      </c>
      <c r="AC3050" t="str">
        <f>HYPERLINK("plots/3FT6Y578R04_015_S21P_20251218081014_M5358ACSC201811_RBGEUFRF04/dpll_52046/txpa_53185.png","plot")</f>
        <v>plot</v>
      </c>
    </row>
    <row r="3051" spans="1:29" x14ac:dyDescent="0.35">
      <c r="A3051" s="4" t="s">
        <v>49</v>
      </c>
      <c r="B3051">
        <v>52046</v>
      </c>
      <c r="C3051" t="s">
        <v>51</v>
      </c>
      <c r="D3051">
        <v>53186</v>
      </c>
      <c r="E3051" t="s">
        <v>61</v>
      </c>
      <c r="F3051">
        <v>12028</v>
      </c>
      <c r="G3051">
        <v>0.28706865813193572</v>
      </c>
      <c r="H3051">
        <v>6.5231917373296689E-227</v>
      </c>
      <c r="I3051">
        <v>6.8901212725544623E-227</v>
      </c>
      <c r="J3051">
        <v>0.26451678877254392</v>
      </c>
      <c r="K3051">
        <v>1.031773847057514E-191</v>
      </c>
      <c r="L3051">
        <v>1.089811125954499E-191</v>
      </c>
      <c r="M3051">
        <v>0.17934145063554841</v>
      </c>
      <c r="N3051">
        <v>5.8977553221491693E-191</v>
      </c>
      <c r="O3051">
        <v>6.2359998922411453E-191</v>
      </c>
      <c r="P3051">
        <v>8.2408414481670147E-2</v>
      </c>
      <c r="Q3051">
        <v>1.570778226674127</v>
      </c>
      <c r="R3051">
        <v>-27.837112109286721</v>
      </c>
      <c r="S3051">
        <v>1.101442455911007</v>
      </c>
      <c r="T3051">
        <v>0.83623154207768291</v>
      </c>
      <c r="U3051">
        <v>4.4179867093448619</v>
      </c>
      <c r="V3051">
        <v>0.2101483876699779</v>
      </c>
      <c r="W3051">
        <v>-20.897434780512139</v>
      </c>
      <c r="X3051">
        <v>1.14988697780781</v>
      </c>
      <c r="Z3051" t="s">
        <v>392</v>
      </c>
      <c r="AA3051">
        <v>114</v>
      </c>
      <c r="AB3051" t="s">
        <v>3442</v>
      </c>
      <c r="AC3051" t="str">
        <f>HYPERLINK("plots/3FT6Y578R04_015_S21P_20251218081014_M5358ACSC201811_RBGEUFRF04/dpll_52046/txpa_53186.png","plot")</f>
        <v>plot</v>
      </c>
    </row>
    <row r="3052" spans="1:29" x14ac:dyDescent="0.35">
      <c r="A3052" s="4" t="s">
        <v>49</v>
      </c>
      <c r="B3052">
        <v>52046</v>
      </c>
      <c r="C3052" t="s">
        <v>51</v>
      </c>
      <c r="D3052">
        <v>53187</v>
      </c>
      <c r="E3052" t="s">
        <v>62</v>
      </c>
      <c r="F3052">
        <v>12028</v>
      </c>
      <c r="G3052">
        <v>0.5941874275382425</v>
      </c>
      <c r="H3052">
        <v>0</v>
      </c>
      <c r="I3052">
        <v>0</v>
      </c>
      <c r="J3052">
        <v>0.50352921474474721</v>
      </c>
      <c r="K3052">
        <v>0</v>
      </c>
      <c r="L3052">
        <v>0</v>
      </c>
      <c r="M3052">
        <v>0.34960649929738008</v>
      </c>
      <c r="N3052">
        <v>0</v>
      </c>
      <c r="O3052">
        <v>0</v>
      </c>
      <c r="P3052">
        <v>0.3530586990445142</v>
      </c>
      <c r="Q3052">
        <v>0.89597691473052088</v>
      </c>
      <c r="R3052">
        <v>-15.348973894973691</v>
      </c>
      <c r="S3052">
        <v>0.25486711830021058</v>
      </c>
      <c r="T3052">
        <v>0.1992572139809253</v>
      </c>
      <c r="U3052">
        <v>4.4179867093448619</v>
      </c>
      <c r="V3052">
        <v>0.2101483876699779</v>
      </c>
      <c r="W3052">
        <v>-11.390559793814431</v>
      </c>
      <c r="X3052">
        <v>0.31688335244693783</v>
      </c>
      <c r="Z3052" t="s">
        <v>392</v>
      </c>
      <c r="AA3052">
        <v>114</v>
      </c>
      <c r="AB3052" t="s">
        <v>3443</v>
      </c>
      <c r="AC3052" t="str">
        <f>HYPERLINK("plots/3FT6Y578R04_015_S21P_20251218081014_M5358ACSC201811_RBGEUFRF04/dpll_52046/txpa_53187.png","plot")</f>
        <v>plot</v>
      </c>
    </row>
    <row r="3053" spans="1:29" x14ac:dyDescent="0.35">
      <c r="A3053" s="4" t="s">
        <v>49</v>
      </c>
      <c r="B3053">
        <v>52046</v>
      </c>
      <c r="C3053" t="s">
        <v>51</v>
      </c>
      <c r="D3053">
        <v>53188</v>
      </c>
      <c r="E3053" t="s">
        <v>63</v>
      </c>
      <c r="F3053">
        <v>12028</v>
      </c>
      <c r="G3053">
        <v>0.61749123662831296</v>
      </c>
      <c r="H3053">
        <v>0</v>
      </c>
      <c r="I3053">
        <v>0</v>
      </c>
      <c r="J3053">
        <v>0.52119192040527929</v>
      </c>
      <c r="K3053">
        <v>0</v>
      </c>
      <c r="L3053">
        <v>0</v>
      </c>
      <c r="M3053">
        <v>0.36511852307270892</v>
      </c>
      <c r="N3053">
        <v>0</v>
      </c>
      <c r="O3053">
        <v>0</v>
      </c>
      <c r="P3053">
        <v>0.38129542731276322</v>
      </c>
      <c r="Q3053">
        <v>0.92593369320233043</v>
      </c>
      <c r="R3053">
        <v>-15.4181499476753</v>
      </c>
      <c r="S3053">
        <v>0.2478556139157756</v>
      </c>
      <c r="T3053">
        <v>0.19407198545977289</v>
      </c>
      <c r="U3053">
        <v>4.4179867093448619</v>
      </c>
      <c r="V3053">
        <v>0.2101483876699779</v>
      </c>
      <c r="W3053">
        <v>-11.327387197372801</v>
      </c>
      <c r="X3053">
        <v>0.31511940765064428</v>
      </c>
      <c r="Z3053" t="s">
        <v>392</v>
      </c>
      <c r="AA3053">
        <v>114</v>
      </c>
      <c r="AB3053" t="s">
        <v>3444</v>
      </c>
      <c r="AC3053" t="str">
        <f>HYPERLINK("plots/3FT6Y578R04_015_S21P_20251218081014_M5358ACSC201811_RBGEUFRF04/dpll_52046/txpa_53188.png","plot")</f>
        <v>plot</v>
      </c>
    </row>
    <row r="3054" spans="1:29" x14ac:dyDescent="0.35">
      <c r="A3054" s="4" t="s">
        <v>49</v>
      </c>
      <c r="B3054">
        <v>52046</v>
      </c>
      <c r="C3054" t="s">
        <v>51</v>
      </c>
      <c r="D3054">
        <v>53189</v>
      </c>
      <c r="E3054" t="s">
        <v>64</v>
      </c>
      <c r="F3054">
        <v>12028</v>
      </c>
      <c r="G3054">
        <v>0.59796325056250532</v>
      </c>
      <c r="H3054">
        <v>0</v>
      </c>
      <c r="I3054">
        <v>0</v>
      </c>
      <c r="J3054">
        <v>0.49947670435922098</v>
      </c>
      <c r="K3054">
        <v>0</v>
      </c>
      <c r="L3054">
        <v>0</v>
      </c>
      <c r="M3054">
        <v>0.3477446804085072</v>
      </c>
      <c r="N3054">
        <v>0</v>
      </c>
      <c r="O3054">
        <v>0</v>
      </c>
      <c r="P3054">
        <v>0.35756004902327748</v>
      </c>
      <c r="Q3054">
        <v>0.87885454847829325</v>
      </c>
      <c r="R3054">
        <v>-15.18498340384952</v>
      </c>
      <c r="S3054">
        <v>0.24755219921097471</v>
      </c>
      <c r="T3054">
        <v>0.19425636940710231</v>
      </c>
      <c r="U3054">
        <v>4.4179867093448619</v>
      </c>
      <c r="V3054">
        <v>0.2101483876699779</v>
      </c>
      <c r="W3054">
        <v>-11.30221568922514</v>
      </c>
      <c r="X3054">
        <v>0.308864911322563</v>
      </c>
      <c r="Z3054" t="s">
        <v>392</v>
      </c>
      <c r="AA3054">
        <v>114</v>
      </c>
      <c r="AB3054" t="s">
        <v>3445</v>
      </c>
      <c r="AC3054" t="str">
        <f>HYPERLINK("plots/3FT6Y578R04_015_S21P_20251218081014_M5358ACSC201811_RBGEUFRF04/dpll_52046/txpa_53189.png","plot")</f>
        <v>plot</v>
      </c>
    </row>
    <row r="3055" spans="1:29" x14ac:dyDescent="0.35">
      <c r="A3055" s="4" t="s">
        <v>49</v>
      </c>
      <c r="B3055">
        <v>52046</v>
      </c>
      <c r="C3055" t="s">
        <v>51</v>
      </c>
      <c r="D3055">
        <v>53190</v>
      </c>
      <c r="E3055" t="s">
        <v>65</v>
      </c>
      <c r="F3055">
        <v>12028</v>
      </c>
      <c r="G3055">
        <v>0.62213035816581563</v>
      </c>
      <c r="H3055">
        <v>0</v>
      </c>
      <c r="I3055">
        <v>0</v>
      </c>
      <c r="J3055">
        <v>0.51924056524275264</v>
      </c>
      <c r="K3055">
        <v>0</v>
      </c>
      <c r="L3055">
        <v>0</v>
      </c>
      <c r="M3055">
        <v>0.36367661657172451</v>
      </c>
      <c r="N3055">
        <v>0</v>
      </c>
      <c r="O3055">
        <v>0</v>
      </c>
      <c r="P3055">
        <v>0.38704618255152612</v>
      </c>
      <c r="Q3055">
        <v>0.92872291762709902</v>
      </c>
      <c r="R3055">
        <v>-15.36055114026229</v>
      </c>
      <c r="S3055">
        <v>0.2455990335637494</v>
      </c>
      <c r="T3055">
        <v>0.1924955706398675</v>
      </c>
      <c r="U3055">
        <v>4.4179867093448619</v>
      </c>
      <c r="V3055">
        <v>0.2101483876699779</v>
      </c>
      <c r="W3055">
        <v>-11.257465633521781</v>
      </c>
      <c r="X3055">
        <v>0.31371178269920458</v>
      </c>
      <c r="Z3055" t="s">
        <v>392</v>
      </c>
      <c r="AA3055">
        <v>114</v>
      </c>
      <c r="AB3055" t="s">
        <v>3446</v>
      </c>
      <c r="AC3055" t="str">
        <f>HYPERLINK("plots/3FT6Y578R04_015_S21P_20251218081014_M5358ACSC201811_RBGEUFRF04/dpll_52046/txpa_53190.png","plot")</f>
        <v>plot</v>
      </c>
    </row>
    <row r="3056" spans="1:29" x14ac:dyDescent="0.35">
      <c r="A3056" s="4" t="s">
        <v>49</v>
      </c>
      <c r="B3056">
        <v>52046</v>
      </c>
      <c r="C3056" t="s">
        <v>51</v>
      </c>
      <c r="D3056">
        <v>53191</v>
      </c>
      <c r="E3056" t="s">
        <v>66</v>
      </c>
      <c r="F3056">
        <v>12027</v>
      </c>
      <c r="G3056">
        <v>0.62886966133167432</v>
      </c>
      <c r="H3056">
        <v>0</v>
      </c>
      <c r="I3056">
        <v>0</v>
      </c>
      <c r="J3056">
        <v>0.52395154130558097</v>
      </c>
      <c r="K3056">
        <v>0</v>
      </c>
      <c r="L3056">
        <v>0</v>
      </c>
      <c r="M3056">
        <v>0.36700299149456023</v>
      </c>
      <c r="N3056">
        <v>0</v>
      </c>
      <c r="O3056">
        <v>0</v>
      </c>
      <c r="P3056">
        <v>0.39547705094341468</v>
      </c>
      <c r="Q3056">
        <v>0.9360248926715562</v>
      </c>
      <c r="R3056">
        <v>-15.399270950816399</v>
      </c>
      <c r="S3056">
        <v>0.243171644316268</v>
      </c>
      <c r="T3056">
        <v>0.19091508104058141</v>
      </c>
      <c r="U3056">
        <v>4.4179587365926656</v>
      </c>
      <c r="V3056">
        <v>0.21013472984942591</v>
      </c>
      <c r="W3056">
        <v>-11.263951598569889</v>
      </c>
      <c r="X3056">
        <v>0.31276964059192802</v>
      </c>
      <c r="Z3056" t="s">
        <v>392</v>
      </c>
      <c r="AA3056">
        <v>114</v>
      </c>
      <c r="AB3056" t="s">
        <v>3447</v>
      </c>
      <c r="AC3056" t="str">
        <f>HYPERLINK("plots/3FT6Y578R04_015_S21P_20251218081014_M5358ACSC201811_RBGEUFRF04/dpll_52046/txpa_53191.png","plot")</f>
        <v>plot</v>
      </c>
    </row>
    <row r="3057" spans="1:29" x14ac:dyDescent="0.35">
      <c r="A3057" s="4" t="s">
        <v>49</v>
      </c>
      <c r="B3057">
        <v>52046</v>
      </c>
      <c r="C3057" t="s">
        <v>51</v>
      </c>
      <c r="D3057">
        <v>53192</v>
      </c>
      <c r="E3057" t="s">
        <v>67</v>
      </c>
      <c r="F3057">
        <v>12027</v>
      </c>
      <c r="G3057">
        <v>0.629793656741782</v>
      </c>
      <c r="H3057">
        <v>0</v>
      </c>
      <c r="I3057">
        <v>0</v>
      </c>
      <c r="J3057">
        <v>0.53110138608026969</v>
      </c>
      <c r="K3057">
        <v>0</v>
      </c>
      <c r="L3057">
        <v>0</v>
      </c>
      <c r="M3057">
        <v>0.37267666640387298</v>
      </c>
      <c r="N3057">
        <v>0</v>
      </c>
      <c r="O3057">
        <v>0</v>
      </c>
      <c r="P3057">
        <v>0.39664005007218561</v>
      </c>
      <c r="Q3057">
        <v>0.92839478037701106</v>
      </c>
      <c r="R3057">
        <v>-15.408795271016761</v>
      </c>
      <c r="S3057">
        <v>0.24062892714872619</v>
      </c>
      <c r="T3057">
        <v>0.18849308844293819</v>
      </c>
      <c r="U3057">
        <v>4.4179905558327102</v>
      </c>
      <c r="V3057">
        <v>0.210156701307574</v>
      </c>
      <c r="W3057">
        <v>-11.307155899226739</v>
      </c>
      <c r="X3057">
        <v>0.30979731609967232</v>
      </c>
      <c r="Z3057" t="s">
        <v>392</v>
      </c>
      <c r="AA3057">
        <v>114</v>
      </c>
      <c r="AB3057" t="s">
        <v>3448</v>
      </c>
      <c r="AC3057" t="str">
        <f>HYPERLINK("plots/3FT6Y578R04_015_S21P_20251218081014_M5358ACSC201811_RBGEUFRF04/dpll_52046/txpa_53192.png","plot")</f>
        <v>plot</v>
      </c>
    </row>
    <row r="3058" spans="1:29" x14ac:dyDescent="0.35">
      <c r="A3058" s="4" t="s">
        <v>49</v>
      </c>
      <c r="B3058">
        <v>52046</v>
      </c>
      <c r="C3058" t="s">
        <v>51</v>
      </c>
      <c r="D3058">
        <v>53193</v>
      </c>
      <c r="E3058" t="s">
        <v>68</v>
      </c>
      <c r="F3058">
        <v>12028</v>
      </c>
      <c r="G3058">
        <v>0.62999080307806077</v>
      </c>
      <c r="H3058">
        <v>0</v>
      </c>
      <c r="I3058">
        <v>0</v>
      </c>
      <c r="J3058">
        <v>0.53153353204028253</v>
      </c>
      <c r="K3058">
        <v>0</v>
      </c>
      <c r="L3058">
        <v>0</v>
      </c>
      <c r="M3058">
        <v>0.3729492884944523</v>
      </c>
      <c r="N3058">
        <v>0</v>
      </c>
      <c r="O3058">
        <v>0</v>
      </c>
      <c r="P3058">
        <v>0.39688841196293989</v>
      </c>
      <c r="Q3058">
        <v>0.92396216855064572</v>
      </c>
      <c r="R3058">
        <v>-15.376886075772131</v>
      </c>
      <c r="S3058">
        <v>0.23934635862738279</v>
      </c>
      <c r="T3058">
        <v>0.18742958118470829</v>
      </c>
      <c r="U3058">
        <v>4.4179867093448619</v>
      </c>
      <c r="V3058">
        <v>0.2101483876699779</v>
      </c>
      <c r="W3058">
        <v>-11.294833495177921</v>
      </c>
      <c r="X3058">
        <v>0.30820951518702661</v>
      </c>
      <c r="Z3058" t="s">
        <v>392</v>
      </c>
      <c r="AA3058">
        <v>114</v>
      </c>
      <c r="AB3058" t="s">
        <v>3449</v>
      </c>
      <c r="AC3058" t="str">
        <f>HYPERLINK("plots/3FT6Y578R04_015_S21P_20251218081014_M5358ACSC201811_RBGEUFRF04/dpll_52046/txpa_53193.png","plot")</f>
        <v>plot</v>
      </c>
    </row>
    <row r="3059" spans="1:29" x14ac:dyDescent="0.35">
      <c r="A3059" s="4" t="s">
        <v>49</v>
      </c>
      <c r="B3059">
        <v>52046</v>
      </c>
      <c r="C3059" t="s">
        <v>51</v>
      </c>
      <c r="D3059">
        <v>53194</v>
      </c>
      <c r="E3059" t="s">
        <v>69</v>
      </c>
      <c r="F3059">
        <v>12027</v>
      </c>
      <c r="G3059">
        <v>0.61274553122887665</v>
      </c>
      <c r="H3059">
        <v>0</v>
      </c>
      <c r="I3059">
        <v>0</v>
      </c>
      <c r="J3059">
        <v>0.51412455038900817</v>
      </c>
      <c r="K3059">
        <v>0</v>
      </c>
      <c r="L3059">
        <v>0</v>
      </c>
      <c r="M3059">
        <v>0.35923132711385541</v>
      </c>
      <c r="N3059">
        <v>0</v>
      </c>
      <c r="O3059">
        <v>0</v>
      </c>
      <c r="P3059">
        <v>0.37545708604095818</v>
      </c>
      <c r="Q3059">
        <v>0.90591587700144383</v>
      </c>
      <c r="R3059">
        <v>-15.383159346699189</v>
      </c>
      <c r="S3059">
        <v>0.24551753307746321</v>
      </c>
      <c r="T3059">
        <v>0.19282987377508989</v>
      </c>
      <c r="U3059">
        <v>4.418010118566559</v>
      </c>
      <c r="V3059">
        <v>0.21014144114715341</v>
      </c>
      <c r="W3059">
        <v>-11.38081383553671</v>
      </c>
      <c r="X3059">
        <v>0.31068438405316168</v>
      </c>
      <c r="Z3059" t="s">
        <v>392</v>
      </c>
      <c r="AA3059">
        <v>114</v>
      </c>
      <c r="AB3059" t="s">
        <v>3450</v>
      </c>
      <c r="AC3059" t="str">
        <f>HYPERLINK("plots/3FT6Y578R04_015_S21P_20251218081014_M5358ACSC201811_RBGEUFRF04/dpll_52046/txpa_53194.png","plot")</f>
        <v>plot</v>
      </c>
    </row>
    <row r="3060" spans="1:29" x14ac:dyDescent="0.35">
      <c r="A3060" s="4" t="s">
        <v>49</v>
      </c>
      <c r="B3060">
        <v>52046</v>
      </c>
      <c r="C3060" t="s">
        <v>51</v>
      </c>
      <c r="D3060">
        <v>53195</v>
      </c>
      <c r="E3060" t="s">
        <v>70</v>
      </c>
      <c r="F3060">
        <v>12028</v>
      </c>
      <c r="G3060">
        <v>0.6076763224001771</v>
      </c>
      <c r="H3060">
        <v>0</v>
      </c>
      <c r="I3060">
        <v>0</v>
      </c>
      <c r="J3060">
        <v>0.51917444612627517</v>
      </c>
      <c r="K3060">
        <v>0</v>
      </c>
      <c r="L3060">
        <v>0</v>
      </c>
      <c r="M3060">
        <v>0.36168812883636359</v>
      </c>
      <c r="N3060">
        <v>0</v>
      </c>
      <c r="O3060">
        <v>0</v>
      </c>
      <c r="P3060">
        <v>0.36927051280580397</v>
      </c>
      <c r="Q3060">
        <v>0.781963380481835</v>
      </c>
      <c r="R3060">
        <v>-8.9860333858478612</v>
      </c>
      <c r="S3060">
        <v>0.21475519398892251</v>
      </c>
      <c r="T3060">
        <v>0.16917259941869989</v>
      </c>
      <c r="U3060">
        <v>4.4179867093448619</v>
      </c>
      <c r="V3060">
        <v>0.2101483876699779</v>
      </c>
      <c r="W3060">
        <v>-5.5313295636847348</v>
      </c>
      <c r="X3060">
        <v>0.27042084341243572</v>
      </c>
      <c r="Z3060" t="s">
        <v>392</v>
      </c>
      <c r="AA3060">
        <v>114</v>
      </c>
      <c r="AB3060" t="s">
        <v>3451</v>
      </c>
      <c r="AC3060" t="str">
        <f>HYPERLINK("plots/3FT6Y578R04_015_S21P_20251218081014_M5358ACSC201811_RBGEUFRF04/dpll_52046/txpa_53195.png","plot")</f>
        <v>plot</v>
      </c>
    </row>
    <row r="3061" spans="1:29" x14ac:dyDescent="0.35">
      <c r="A3061" s="4" t="s">
        <v>49</v>
      </c>
      <c r="B3061">
        <v>52046</v>
      </c>
      <c r="C3061" t="s">
        <v>51</v>
      </c>
      <c r="D3061">
        <v>53196</v>
      </c>
      <c r="E3061" t="s">
        <v>71</v>
      </c>
      <c r="F3061">
        <v>12028</v>
      </c>
      <c r="G3061">
        <v>0.62984135290220145</v>
      </c>
      <c r="H3061">
        <v>0</v>
      </c>
      <c r="I3061">
        <v>0</v>
      </c>
      <c r="J3061">
        <v>0.53830548473749162</v>
      </c>
      <c r="K3061">
        <v>0</v>
      </c>
      <c r="L3061">
        <v>0</v>
      </c>
      <c r="M3061">
        <v>0.37835537645962558</v>
      </c>
      <c r="N3061">
        <v>0</v>
      </c>
      <c r="O3061">
        <v>0</v>
      </c>
      <c r="P3061">
        <v>0.39670012982567548</v>
      </c>
      <c r="Q3061">
        <v>0.81518780404258129</v>
      </c>
      <c r="R3061">
        <v>-9.0865474029190558</v>
      </c>
      <c r="S3061">
        <v>0.21125214448557081</v>
      </c>
      <c r="T3061">
        <v>0.16683412579818979</v>
      </c>
      <c r="U3061">
        <v>4.4179867093448619</v>
      </c>
      <c r="V3061">
        <v>0.2101483876699779</v>
      </c>
      <c r="W3061">
        <v>-5.4850585190389083</v>
      </c>
      <c r="X3061">
        <v>0.27198976675381731</v>
      </c>
      <c r="Z3061" t="s">
        <v>392</v>
      </c>
      <c r="AA3061">
        <v>114</v>
      </c>
      <c r="AB3061" t="s">
        <v>3452</v>
      </c>
      <c r="AC3061" t="str">
        <f>HYPERLINK("plots/3FT6Y578R04_015_S21P_20251218081014_M5358ACSC201811_RBGEUFRF04/dpll_52046/txpa_53196.png","plot")</f>
        <v>plot</v>
      </c>
    </row>
    <row r="3062" spans="1:29" x14ac:dyDescent="0.35">
      <c r="A3062" s="4" t="s">
        <v>49</v>
      </c>
      <c r="B3062">
        <v>52046</v>
      </c>
      <c r="C3062" t="s">
        <v>51</v>
      </c>
      <c r="D3062">
        <v>53197</v>
      </c>
      <c r="E3062" t="s">
        <v>72</v>
      </c>
      <c r="F3062">
        <v>12028</v>
      </c>
      <c r="G3062">
        <v>0.6148244289429271</v>
      </c>
      <c r="H3062">
        <v>0</v>
      </c>
      <c r="I3062">
        <v>0</v>
      </c>
      <c r="J3062">
        <v>0.51952955740279694</v>
      </c>
      <c r="K3062">
        <v>0</v>
      </c>
      <c r="L3062">
        <v>0</v>
      </c>
      <c r="M3062">
        <v>0.36288625835495603</v>
      </c>
      <c r="N3062">
        <v>0</v>
      </c>
      <c r="O3062">
        <v>0</v>
      </c>
      <c r="P3062">
        <v>0.37800907842499643</v>
      </c>
      <c r="Q3062">
        <v>0.776979107509564</v>
      </c>
      <c r="R3062">
        <v>-8.8975981695512374</v>
      </c>
      <c r="S3062">
        <v>0.20943933823852401</v>
      </c>
      <c r="T3062">
        <v>0.1656017125293727</v>
      </c>
      <c r="U3062">
        <v>4.4179867093448619</v>
      </c>
      <c r="V3062">
        <v>0.2101483876699779</v>
      </c>
      <c r="W3062">
        <v>-5.4649147991353511</v>
      </c>
      <c r="X3062">
        <v>0.26557322547694401</v>
      </c>
      <c r="Z3062" t="s">
        <v>392</v>
      </c>
      <c r="AA3062">
        <v>114</v>
      </c>
      <c r="AB3062" t="s">
        <v>3453</v>
      </c>
      <c r="AC3062" t="str">
        <f>HYPERLINK("plots/3FT6Y578R04_015_S21P_20251218081014_M5358ACSC201811_RBGEUFRF04/dpll_52046/txpa_53197.png","plot")</f>
        <v>plot</v>
      </c>
    </row>
    <row r="3063" spans="1:29" x14ac:dyDescent="0.35">
      <c r="A3063" s="4" t="s">
        <v>49</v>
      </c>
      <c r="B3063">
        <v>52046</v>
      </c>
      <c r="C3063" t="s">
        <v>51</v>
      </c>
      <c r="D3063">
        <v>53198</v>
      </c>
      <c r="E3063" t="s">
        <v>73</v>
      </c>
      <c r="F3063">
        <v>12027</v>
      </c>
      <c r="G3063">
        <v>0.63486830647556802</v>
      </c>
      <c r="H3063">
        <v>0</v>
      </c>
      <c r="I3063">
        <v>0</v>
      </c>
      <c r="J3063">
        <v>0.53613256097096396</v>
      </c>
      <c r="K3063">
        <v>0</v>
      </c>
      <c r="L3063">
        <v>0</v>
      </c>
      <c r="M3063">
        <v>0.37673325233451871</v>
      </c>
      <c r="N3063">
        <v>0</v>
      </c>
      <c r="O3063">
        <v>0</v>
      </c>
      <c r="P3063">
        <v>0.40305776656715581</v>
      </c>
      <c r="Q3063">
        <v>0.81950938417250052</v>
      </c>
      <c r="R3063">
        <v>-9.0607750058549072</v>
      </c>
      <c r="S3063">
        <v>0.20958411096869181</v>
      </c>
      <c r="T3063">
        <v>0.16600828738050599</v>
      </c>
      <c r="U3063">
        <v>4.417995080651866</v>
      </c>
      <c r="V3063">
        <v>0.21015511914181201</v>
      </c>
      <c r="W3063">
        <v>-5.4401865780327601</v>
      </c>
      <c r="X3063">
        <v>0.27127530310135689</v>
      </c>
      <c r="Z3063" t="s">
        <v>392</v>
      </c>
      <c r="AA3063">
        <v>114</v>
      </c>
      <c r="AB3063" t="s">
        <v>3454</v>
      </c>
      <c r="AC3063" t="str">
        <f>HYPERLINK("plots/3FT6Y578R04_015_S21P_20251218081014_M5358ACSC201811_RBGEUFRF04/dpll_52046/txpa_53198.png","plot")</f>
        <v>plot</v>
      </c>
    </row>
    <row r="3064" spans="1:29" x14ac:dyDescent="0.35">
      <c r="A3064" s="4" t="s">
        <v>49</v>
      </c>
      <c r="B3064">
        <v>52046</v>
      </c>
      <c r="C3064" t="s">
        <v>51</v>
      </c>
      <c r="D3064">
        <v>53199</v>
      </c>
      <c r="E3064" t="s">
        <v>74</v>
      </c>
      <c r="F3064">
        <v>12027</v>
      </c>
      <c r="G3064">
        <v>0.6379629352400833</v>
      </c>
      <c r="H3064">
        <v>0</v>
      </c>
      <c r="I3064">
        <v>0</v>
      </c>
      <c r="J3064">
        <v>0.53403802671739953</v>
      </c>
      <c r="K3064">
        <v>0</v>
      </c>
      <c r="L3064">
        <v>0</v>
      </c>
      <c r="M3064">
        <v>0.37400147596735928</v>
      </c>
      <c r="N3064">
        <v>0</v>
      </c>
      <c r="O3064">
        <v>0</v>
      </c>
      <c r="P3064">
        <v>0.40699670674014271</v>
      </c>
      <c r="Q3064">
        <v>0.82144156107154898</v>
      </c>
      <c r="R3064">
        <v>-9.0774667788236894</v>
      </c>
      <c r="S3064">
        <v>0.2083481064056279</v>
      </c>
      <c r="T3064">
        <v>0.16576314474661191</v>
      </c>
      <c r="U3064">
        <v>4.4179587365926656</v>
      </c>
      <c r="V3064">
        <v>0.21013472984942591</v>
      </c>
      <c r="W3064">
        <v>-5.448371857487321</v>
      </c>
      <c r="X3064">
        <v>0.27056963812153328</v>
      </c>
      <c r="Z3064" t="s">
        <v>392</v>
      </c>
      <c r="AA3064">
        <v>114</v>
      </c>
      <c r="AB3064" t="s">
        <v>3455</v>
      </c>
      <c r="AC3064" t="str">
        <f>HYPERLINK("plots/3FT6Y578R04_015_S21P_20251218081014_M5358ACSC201811_RBGEUFRF04/dpll_52046/txpa_53199.png","plot")</f>
        <v>plot</v>
      </c>
    </row>
    <row r="3065" spans="1:29" x14ac:dyDescent="0.35">
      <c r="A3065" s="4" t="s">
        <v>49</v>
      </c>
      <c r="B3065">
        <v>52046</v>
      </c>
      <c r="C3065" t="s">
        <v>51</v>
      </c>
      <c r="D3065">
        <v>53200</v>
      </c>
      <c r="E3065" t="s">
        <v>75</v>
      </c>
      <c r="F3065">
        <v>12028</v>
      </c>
      <c r="G3065">
        <v>0.64322210192574913</v>
      </c>
      <c r="H3065">
        <v>0</v>
      </c>
      <c r="I3065">
        <v>0</v>
      </c>
      <c r="J3065">
        <v>0.55201616080376115</v>
      </c>
      <c r="K3065">
        <v>0</v>
      </c>
      <c r="L3065">
        <v>0</v>
      </c>
      <c r="M3065">
        <v>0.38872876164595632</v>
      </c>
      <c r="N3065">
        <v>0</v>
      </c>
      <c r="O3065">
        <v>0</v>
      </c>
      <c r="P3065">
        <v>0.41373467240577882</v>
      </c>
      <c r="Q3065">
        <v>0.82575367301732194</v>
      </c>
      <c r="R3065">
        <v>-9.1131659820478141</v>
      </c>
      <c r="S3065">
        <v>0.2065592597056391</v>
      </c>
      <c r="T3065">
        <v>0.16340635232159131</v>
      </c>
      <c r="U3065">
        <v>4.4179867093448619</v>
      </c>
      <c r="V3065">
        <v>0.2101483876699779</v>
      </c>
      <c r="W3065">
        <v>-5.4649972294645828</v>
      </c>
      <c r="X3065">
        <v>0.26978364468138882</v>
      </c>
      <c r="Z3065" t="s">
        <v>392</v>
      </c>
      <c r="AA3065">
        <v>114</v>
      </c>
      <c r="AB3065" t="s">
        <v>3456</v>
      </c>
      <c r="AC3065" t="str">
        <f>HYPERLINK("plots/3FT6Y578R04_015_S21P_20251218081014_M5358ACSC201811_RBGEUFRF04/dpll_52046/txpa_53200.png","plot")</f>
        <v>plot</v>
      </c>
    </row>
    <row r="3066" spans="1:29" x14ac:dyDescent="0.35">
      <c r="A3066" s="4" t="s">
        <v>49</v>
      </c>
      <c r="B3066">
        <v>52046</v>
      </c>
      <c r="C3066" t="s">
        <v>51</v>
      </c>
      <c r="D3066">
        <v>53201</v>
      </c>
      <c r="E3066" t="s">
        <v>76</v>
      </c>
      <c r="F3066">
        <v>12028</v>
      </c>
      <c r="G3066">
        <v>0.64061027880756127</v>
      </c>
      <c r="H3066">
        <v>0</v>
      </c>
      <c r="I3066">
        <v>0</v>
      </c>
      <c r="J3066">
        <v>0.54459291993785885</v>
      </c>
      <c r="K3066">
        <v>0</v>
      </c>
      <c r="L3066">
        <v>0</v>
      </c>
      <c r="M3066">
        <v>0.38250014453366971</v>
      </c>
      <c r="N3066">
        <v>0</v>
      </c>
      <c r="O3066">
        <v>0</v>
      </c>
      <c r="P3066">
        <v>0.41038152931390143</v>
      </c>
      <c r="Q3066">
        <v>0.81234363459725167</v>
      </c>
      <c r="R3066">
        <v>-9.0454881545999903</v>
      </c>
      <c r="S3066">
        <v>0.20461592299752129</v>
      </c>
      <c r="T3066">
        <v>0.1626252292369002</v>
      </c>
      <c r="U3066">
        <v>4.4179867093448619</v>
      </c>
      <c r="V3066">
        <v>0.2101483876699779</v>
      </c>
      <c r="W3066">
        <v>-5.4565647735284344</v>
      </c>
      <c r="X3066">
        <v>0.2664844925097809</v>
      </c>
      <c r="Z3066" t="s">
        <v>392</v>
      </c>
      <c r="AA3066">
        <v>114</v>
      </c>
      <c r="AB3066" t="s">
        <v>3457</v>
      </c>
      <c r="AC3066" t="str">
        <f>HYPERLINK("plots/3FT6Y578R04_015_S21P_20251218081014_M5358ACSC201811_RBGEUFRF04/dpll_52046/txpa_53201.png","plot")</f>
        <v>plot</v>
      </c>
    </row>
    <row r="3067" spans="1:29" x14ac:dyDescent="0.35">
      <c r="A3067" s="4" t="s">
        <v>49</v>
      </c>
      <c r="B3067">
        <v>52046</v>
      </c>
      <c r="C3067" t="s">
        <v>51</v>
      </c>
      <c r="D3067">
        <v>53202</v>
      </c>
      <c r="E3067" t="s">
        <v>77</v>
      </c>
      <c r="F3067">
        <v>12027</v>
      </c>
      <c r="G3067">
        <v>0.62601291782335733</v>
      </c>
      <c r="H3067">
        <v>0</v>
      </c>
      <c r="I3067">
        <v>0</v>
      </c>
      <c r="J3067">
        <v>0.53234083998812332</v>
      </c>
      <c r="K3067">
        <v>0</v>
      </c>
      <c r="L3067">
        <v>0</v>
      </c>
      <c r="M3067">
        <v>0.37342260165853708</v>
      </c>
      <c r="N3067">
        <v>0</v>
      </c>
      <c r="O3067">
        <v>0</v>
      </c>
      <c r="P3067">
        <v>0.39189217328171361</v>
      </c>
      <c r="Q3067">
        <v>0.79918021641665016</v>
      </c>
      <c r="R3067">
        <v>-9.0486714402491248</v>
      </c>
      <c r="S3067">
        <v>0.20919214668507971</v>
      </c>
      <c r="T3067">
        <v>0.1656200216461847</v>
      </c>
      <c r="U3067">
        <v>4.418010118566559</v>
      </c>
      <c r="V3067">
        <v>0.21014144114715341</v>
      </c>
      <c r="W3067">
        <v>-5.5178851575621506</v>
      </c>
      <c r="X3067">
        <v>0.26827063409173441</v>
      </c>
      <c r="Z3067" t="s">
        <v>392</v>
      </c>
      <c r="AA3067">
        <v>114</v>
      </c>
      <c r="AB3067" t="s">
        <v>3458</v>
      </c>
      <c r="AC3067" t="str">
        <f>HYPERLINK("plots/3FT6Y578R04_015_S21P_20251218081014_M5358ACSC201811_RBGEUFRF04/dpll_52046/txpa_53202.png","plot")</f>
        <v>plot</v>
      </c>
    </row>
    <row r="3068" spans="1:29" x14ac:dyDescent="0.35">
      <c r="A3068" s="4" t="s">
        <v>49</v>
      </c>
      <c r="B3068">
        <v>52046</v>
      </c>
      <c r="C3068" t="s">
        <v>51</v>
      </c>
      <c r="D3068">
        <v>53203</v>
      </c>
      <c r="E3068" t="s">
        <v>78</v>
      </c>
      <c r="F3068">
        <v>12028</v>
      </c>
      <c r="G3068">
        <v>0.62232715445715758</v>
      </c>
      <c r="H3068">
        <v>0</v>
      </c>
      <c r="I3068">
        <v>0</v>
      </c>
      <c r="J3068">
        <v>0.53917513824891383</v>
      </c>
      <c r="K3068">
        <v>0</v>
      </c>
      <c r="L3068">
        <v>0</v>
      </c>
      <c r="M3068">
        <v>0.37707682336034198</v>
      </c>
      <c r="N3068">
        <v>0</v>
      </c>
      <c r="O3068">
        <v>0</v>
      </c>
      <c r="P3068">
        <v>0.38729108717474292</v>
      </c>
      <c r="Q3068">
        <v>0.79222058239604409</v>
      </c>
      <c r="R3068">
        <v>-5.9620259762097678</v>
      </c>
      <c r="S3068">
        <v>0.2093931533454137</v>
      </c>
      <c r="T3068">
        <v>0.16513898058523371</v>
      </c>
      <c r="U3068">
        <v>4.4179867093448619</v>
      </c>
      <c r="V3068">
        <v>0.2101483876699779</v>
      </c>
      <c r="W3068">
        <v>-2.4620059723145999</v>
      </c>
      <c r="X3068">
        <v>0.26751826089722819</v>
      </c>
      <c r="Z3068" t="s">
        <v>392</v>
      </c>
      <c r="AA3068">
        <v>114</v>
      </c>
      <c r="AB3068" t="s">
        <v>3459</v>
      </c>
      <c r="AC3068" t="str">
        <f>HYPERLINK("plots/3FT6Y578R04_015_S21P_20251218081014_M5358ACSC201811_RBGEUFRF04/dpll_52046/txpa_53203.png","plot")</f>
        <v>plot</v>
      </c>
    </row>
    <row r="3069" spans="1:29" x14ac:dyDescent="0.35">
      <c r="A3069" s="4" t="s">
        <v>49</v>
      </c>
      <c r="B3069">
        <v>52046</v>
      </c>
      <c r="C3069" t="s">
        <v>51</v>
      </c>
      <c r="D3069">
        <v>53204</v>
      </c>
      <c r="E3069" t="s">
        <v>79</v>
      </c>
      <c r="F3069">
        <v>12028</v>
      </c>
      <c r="G3069">
        <v>0.6479721491124053</v>
      </c>
      <c r="H3069">
        <v>0</v>
      </c>
      <c r="I3069">
        <v>0</v>
      </c>
      <c r="J3069">
        <v>0.56250315825459896</v>
      </c>
      <c r="K3069">
        <v>0</v>
      </c>
      <c r="L3069">
        <v>0</v>
      </c>
      <c r="M3069">
        <v>0.39716287836526681</v>
      </c>
      <c r="N3069">
        <v>0</v>
      </c>
      <c r="O3069">
        <v>0</v>
      </c>
      <c r="P3069">
        <v>0.41986790602534918</v>
      </c>
      <c r="Q3069">
        <v>0.83238755215988169</v>
      </c>
      <c r="R3069">
        <v>-6.0988025975712166</v>
      </c>
      <c r="S3069">
        <v>0.20560832330404749</v>
      </c>
      <c r="T3069">
        <v>0.16243861615525659</v>
      </c>
      <c r="U3069">
        <v>4.4179867093448619</v>
      </c>
      <c r="V3069">
        <v>0.2101483876699779</v>
      </c>
      <c r="W3069">
        <v>-2.4213254551047561</v>
      </c>
      <c r="X3069">
        <v>0.26995743913156078</v>
      </c>
      <c r="Z3069" t="s">
        <v>392</v>
      </c>
      <c r="AA3069">
        <v>114</v>
      </c>
      <c r="AB3069" t="s">
        <v>3460</v>
      </c>
      <c r="AC3069" t="str">
        <f>HYPERLINK("plots/3FT6Y578R04_015_S21P_20251218081014_M5358ACSC201811_RBGEUFRF04/dpll_52046/txpa_53204.png","plot")</f>
        <v>plot</v>
      </c>
    </row>
    <row r="3070" spans="1:29" x14ac:dyDescent="0.35">
      <c r="A3070" s="4" t="s">
        <v>49</v>
      </c>
      <c r="B3070">
        <v>52046</v>
      </c>
      <c r="C3070" t="s">
        <v>51</v>
      </c>
      <c r="D3070">
        <v>53205</v>
      </c>
      <c r="E3070" t="s">
        <v>80</v>
      </c>
      <c r="F3070">
        <v>12028</v>
      </c>
      <c r="G3070">
        <v>0.63253532197188522</v>
      </c>
      <c r="H3070">
        <v>0</v>
      </c>
      <c r="I3070">
        <v>0</v>
      </c>
      <c r="J3070">
        <v>0.54372285823582667</v>
      </c>
      <c r="K3070">
        <v>0</v>
      </c>
      <c r="L3070">
        <v>0</v>
      </c>
      <c r="M3070">
        <v>0.38180204106545579</v>
      </c>
      <c r="N3070">
        <v>0</v>
      </c>
      <c r="O3070">
        <v>0</v>
      </c>
      <c r="P3070">
        <v>0.40010093354207649</v>
      </c>
      <c r="Q3070">
        <v>0.79085506774239467</v>
      </c>
      <c r="R3070">
        <v>-5.8960361482074886</v>
      </c>
      <c r="S3070">
        <v>0.2034975667478805</v>
      </c>
      <c r="T3070">
        <v>0.16088841399988521</v>
      </c>
      <c r="U3070">
        <v>4.4179867093448619</v>
      </c>
      <c r="V3070">
        <v>0.2101483876699779</v>
      </c>
      <c r="W3070">
        <v>-2.402048969903559</v>
      </c>
      <c r="X3070">
        <v>0.26274725156626522</v>
      </c>
      <c r="Z3070" t="s">
        <v>392</v>
      </c>
      <c r="AA3070">
        <v>114</v>
      </c>
      <c r="AB3070" t="s">
        <v>3461</v>
      </c>
      <c r="AC3070" t="str">
        <f>HYPERLINK("plots/3FT6Y578R04_015_S21P_20251218081014_M5358ACSC201811_RBGEUFRF04/dpll_52046/txpa_53205.png","plot")</f>
        <v>plot</v>
      </c>
    </row>
    <row r="3071" spans="1:29" x14ac:dyDescent="0.35">
      <c r="A3071" s="4" t="s">
        <v>49</v>
      </c>
      <c r="B3071">
        <v>52046</v>
      </c>
      <c r="C3071" t="s">
        <v>51</v>
      </c>
      <c r="D3071">
        <v>53206</v>
      </c>
      <c r="E3071" t="s">
        <v>81</v>
      </c>
      <c r="F3071">
        <v>12027</v>
      </c>
      <c r="G3071">
        <v>0.65123883654103576</v>
      </c>
      <c r="H3071">
        <v>0</v>
      </c>
      <c r="I3071">
        <v>0</v>
      </c>
      <c r="J3071">
        <v>0.55854375918328525</v>
      </c>
      <c r="K3071">
        <v>0</v>
      </c>
      <c r="L3071">
        <v>0</v>
      </c>
      <c r="M3071">
        <v>0.39423723020597629</v>
      </c>
      <c r="N3071">
        <v>0</v>
      </c>
      <c r="O3071">
        <v>0</v>
      </c>
      <c r="P3071">
        <v>0.42411202221932193</v>
      </c>
      <c r="Q3071">
        <v>0.83218120422123942</v>
      </c>
      <c r="R3071">
        <v>-6.0621454570648554</v>
      </c>
      <c r="S3071">
        <v>0.2037832736335165</v>
      </c>
      <c r="T3071">
        <v>0.1615132899542511</v>
      </c>
      <c r="U3071">
        <v>4.417995080651866</v>
      </c>
      <c r="V3071">
        <v>0.21015511914181201</v>
      </c>
      <c r="W3071">
        <v>-2.3855729906044729</v>
      </c>
      <c r="X3071">
        <v>0.26854531748993937</v>
      </c>
      <c r="Z3071" t="s">
        <v>392</v>
      </c>
      <c r="AA3071">
        <v>114</v>
      </c>
      <c r="AB3071" t="s">
        <v>3462</v>
      </c>
      <c r="AC3071" t="str">
        <f>HYPERLINK("plots/3FT6Y578R04_015_S21P_20251218081014_M5358ACSC201811_RBGEUFRF04/dpll_52046/txpa_53206.png","plot")</f>
        <v>plot</v>
      </c>
    </row>
    <row r="3072" spans="1:29" x14ac:dyDescent="0.35">
      <c r="A3072" s="4" t="s">
        <v>49</v>
      </c>
      <c r="B3072">
        <v>52046</v>
      </c>
      <c r="C3072" t="s">
        <v>51</v>
      </c>
      <c r="D3072">
        <v>53207</v>
      </c>
      <c r="E3072" t="s">
        <v>82</v>
      </c>
      <c r="F3072">
        <v>12027</v>
      </c>
      <c r="G3072">
        <v>0.65329014386077611</v>
      </c>
      <c r="H3072">
        <v>0</v>
      </c>
      <c r="I3072">
        <v>0</v>
      </c>
      <c r="J3072">
        <v>0.55551211721071281</v>
      </c>
      <c r="K3072">
        <v>0</v>
      </c>
      <c r="L3072">
        <v>0</v>
      </c>
      <c r="M3072">
        <v>0.39051858839344528</v>
      </c>
      <c r="N3072">
        <v>0</v>
      </c>
      <c r="O3072">
        <v>0</v>
      </c>
      <c r="P3072">
        <v>0.42678801206563349</v>
      </c>
      <c r="Q3072">
        <v>0.83109095851505399</v>
      </c>
      <c r="R3072">
        <v>-6.0653474644588083</v>
      </c>
      <c r="S3072">
        <v>0.20238571903244559</v>
      </c>
      <c r="T3072">
        <v>0.16119651237197841</v>
      </c>
      <c r="U3072">
        <v>4.4179587365926656</v>
      </c>
      <c r="V3072">
        <v>0.21013472984942591</v>
      </c>
      <c r="W3072">
        <v>-2.393621903384052</v>
      </c>
      <c r="X3072">
        <v>0.26732543830491229</v>
      </c>
      <c r="Z3072" t="s">
        <v>392</v>
      </c>
      <c r="AA3072">
        <v>114</v>
      </c>
      <c r="AB3072" t="s">
        <v>3463</v>
      </c>
      <c r="AC3072" t="str">
        <f>HYPERLINK("plots/3FT6Y578R04_015_S21P_20251218081014_M5358ACSC201811_RBGEUFRF04/dpll_52046/txpa_53207.png","plot")</f>
        <v>plot</v>
      </c>
    </row>
    <row r="3073" spans="1:29" x14ac:dyDescent="0.35">
      <c r="A3073" s="4" t="s">
        <v>49</v>
      </c>
      <c r="B3073">
        <v>52046</v>
      </c>
      <c r="C3073" t="s">
        <v>51</v>
      </c>
      <c r="D3073">
        <v>53208</v>
      </c>
      <c r="E3073" t="s">
        <v>83</v>
      </c>
      <c r="F3073">
        <v>12028</v>
      </c>
      <c r="G3073">
        <v>0.65933654217085347</v>
      </c>
      <c r="H3073">
        <v>0</v>
      </c>
      <c r="I3073">
        <v>0</v>
      </c>
      <c r="J3073">
        <v>0.57413198389880693</v>
      </c>
      <c r="K3073">
        <v>0</v>
      </c>
      <c r="L3073">
        <v>0</v>
      </c>
      <c r="M3073">
        <v>0.40605268920241011</v>
      </c>
      <c r="N3073">
        <v>0</v>
      </c>
      <c r="O3073">
        <v>0</v>
      </c>
      <c r="P3073">
        <v>0.43472467584181762</v>
      </c>
      <c r="Q3073">
        <v>0.83998712807901388</v>
      </c>
      <c r="R3073">
        <v>-6.1126767788981198</v>
      </c>
      <c r="S3073">
        <v>0.2012813361762481</v>
      </c>
      <c r="T3073">
        <v>0.15939073949924851</v>
      </c>
      <c r="U3073">
        <v>4.4179867093448619</v>
      </c>
      <c r="V3073">
        <v>0.2101483876699779</v>
      </c>
      <c r="W3073">
        <v>-2.4016248110242771</v>
      </c>
      <c r="X3073">
        <v>0.26772661507300177</v>
      </c>
      <c r="Z3073" t="s">
        <v>392</v>
      </c>
      <c r="AA3073">
        <v>114</v>
      </c>
      <c r="AB3073" t="s">
        <v>3464</v>
      </c>
      <c r="AC3073" t="str">
        <f>HYPERLINK("plots/3FT6Y578R04_015_S21P_20251218081014_M5358ACSC201811_RBGEUFRF04/dpll_52046/txpa_53208.png","plot")</f>
        <v>plot</v>
      </c>
    </row>
    <row r="3074" spans="1:29" x14ac:dyDescent="0.35">
      <c r="A3074" s="4" t="s">
        <v>49</v>
      </c>
      <c r="B3074">
        <v>52046</v>
      </c>
      <c r="C3074" t="s">
        <v>51</v>
      </c>
      <c r="D3074">
        <v>53209</v>
      </c>
      <c r="E3074" t="s">
        <v>84</v>
      </c>
      <c r="F3074">
        <v>12028</v>
      </c>
      <c r="G3074">
        <v>0.65634463470049298</v>
      </c>
      <c r="H3074">
        <v>0</v>
      </c>
      <c r="I3074">
        <v>0</v>
      </c>
      <c r="J3074">
        <v>0.56612293857253615</v>
      </c>
      <c r="K3074">
        <v>0</v>
      </c>
      <c r="L3074">
        <v>0</v>
      </c>
      <c r="M3074">
        <v>0.39938257988298798</v>
      </c>
      <c r="N3074">
        <v>0</v>
      </c>
      <c r="O3074">
        <v>0</v>
      </c>
      <c r="P3074">
        <v>0.43078827950012349</v>
      </c>
      <c r="Q3074">
        <v>0.82522769783713301</v>
      </c>
      <c r="R3074">
        <v>-6.0399807953747011</v>
      </c>
      <c r="S3074">
        <v>0.19933647852420491</v>
      </c>
      <c r="T3074">
        <v>0.15869533822070661</v>
      </c>
      <c r="U3074">
        <v>4.4179867093448619</v>
      </c>
      <c r="V3074">
        <v>0.2101483876699779</v>
      </c>
      <c r="W3074">
        <v>-2.3941357941469898</v>
      </c>
      <c r="X3074">
        <v>0.26422135718412232</v>
      </c>
      <c r="Z3074" t="s">
        <v>392</v>
      </c>
      <c r="AA3074">
        <v>114</v>
      </c>
      <c r="AB3074" t="s">
        <v>3465</v>
      </c>
      <c r="AC3074" t="str">
        <f>HYPERLINK("plots/3FT6Y578R04_015_S21P_20251218081014_M5358ACSC201811_RBGEUFRF04/dpll_52046/txpa_53209.png","plot")</f>
        <v>plot</v>
      </c>
    </row>
    <row r="3075" spans="1:29" x14ac:dyDescent="0.35">
      <c r="A3075" s="4" t="s">
        <v>49</v>
      </c>
      <c r="B3075">
        <v>52046</v>
      </c>
      <c r="C3075" t="s">
        <v>51</v>
      </c>
      <c r="D3075">
        <v>53210</v>
      </c>
      <c r="E3075" t="s">
        <v>85</v>
      </c>
      <c r="F3075">
        <v>12027</v>
      </c>
      <c r="G3075">
        <v>0.64282888766156165</v>
      </c>
      <c r="H3075">
        <v>0</v>
      </c>
      <c r="I3075">
        <v>0</v>
      </c>
      <c r="J3075">
        <v>0.55470429456844506</v>
      </c>
      <c r="K3075">
        <v>0</v>
      </c>
      <c r="L3075">
        <v>0</v>
      </c>
      <c r="M3075">
        <v>0.39105646897922869</v>
      </c>
      <c r="N3075">
        <v>0</v>
      </c>
      <c r="O3075">
        <v>0</v>
      </c>
      <c r="P3075">
        <v>0.41322897881220072</v>
      </c>
      <c r="Q3075">
        <v>0.81260882267985446</v>
      </c>
      <c r="R3075">
        <v>-6.0380181508656063</v>
      </c>
      <c r="S3075">
        <v>0.20347643849737909</v>
      </c>
      <c r="T3075">
        <v>0.16095016296613299</v>
      </c>
      <c r="U3075">
        <v>4.418010118566559</v>
      </c>
      <c r="V3075">
        <v>0.21014144114715341</v>
      </c>
      <c r="W3075">
        <v>-2.44790414982955</v>
      </c>
      <c r="X3075">
        <v>0.26564268091315152</v>
      </c>
      <c r="Z3075" t="s">
        <v>392</v>
      </c>
      <c r="AA3075">
        <v>114</v>
      </c>
      <c r="AB3075" t="s">
        <v>3466</v>
      </c>
      <c r="AC3075" t="str">
        <f>HYPERLINK("plots/3FT6Y578R04_015_S21P_20251218081014_M5358ACSC201811_RBGEUFRF04/dpll_52046/txpa_53210.png","plot")</f>
        <v>plot</v>
      </c>
    </row>
    <row r="3076" spans="1:29" x14ac:dyDescent="0.35">
      <c r="A3076" s="4" t="s">
        <v>49</v>
      </c>
      <c r="B3076">
        <v>52046</v>
      </c>
      <c r="C3076" t="s">
        <v>51</v>
      </c>
      <c r="D3076">
        <v>53211</v>
      </c>
      <c r="E3076" t="s">
        <v>86</v>
      </c>
      <c r="F3076">
        <v>12028</v>
      </c>
      <c r="G3076">
        <v>0.67013534597939384</v>
      </c>
      <c r="H3076">
        <v>0</v>
      </c>
      <c r="I3076">
        <v>0</v>
      </c>
      <c r="J3076">
        <v>0.59309278821940503</v>
      </c>
      <c r="K3076">
        <v>0</v>
      </c>
      <c r="L3076">
        <v>0</v>
      </c>
      <c r="M3076">
        <v>0.41994816767553161</v>
      </c>
      <c r="N3076">
        <v>0</v>
      </c>
      <c r="O3076">
        <v>0</v>
      </c>
      <c r="P3076">
        <v>0.4490813819309219</v>
      </c>
      <c r="Q3076">
        <v>0.8616798692375095</v>
      </c>
      <c r="R3076">
        <v>-2.6646708715424059</v>
      </c>
      <c r="S3076">
        <v>0.20055576694530711</v>
      </c>
      <c r="T3076">
        <v>0.15798841068869121</v>
      </c>
      <c r="U3076">
        <v>4.4179867093448619</v>
      </c>
      <c r="V3076">
        <v>0.2101483876699779</v>
      </c>
      <c r="W3076">
        <v>1.142219338458929</v>
      </c>
      <c r="X3076">
        <v>0.27021501894261851</v>
      </c>
      <c r="Z3076" t="s">
        <v>392</v>
      </c>
      <c r="AA3076">
        <v>114</v>
      </c>
      <c r="AB3076" t="s">
        <v>3467</v>
      </c>
      <c r="AC3076" t="str">
        <f>HYPERLINK("plots/3FT6Y578R04_015_S21P_20251218081014_M5358ACSC201811_RBGEUFRF04/dpll_52046/txpa_53211.png","plot")</f>
        <v>plot</v>
      </c>
    </row>
    <row r="3077" spans="1:29" x14ac:dyDescent="0.35">
      <c r="A3077" s="4" t="s">
        <v>49</v>
      </c>
      <c r="B3077">
        <v>52046</v>
      </c>
      <c r="C3077" t="s">
        <v>51</v>
      </c>
      <c r="D3077">
        <v>53212</v>
      </c>
      <c r="E3077" t="s">
        <v>87</v>
      </c>
      <c r="F3077">
        <v>12028</v>
      </c>
      <c r="G3077">
        <v>0.69358408705076391</v>
      </c>
      <c r="H3077">
        <v>0</v>
      </c>
      <c r="I3077">
        <v>0</v>
      </c>
      <c r="J3077">
        <v>0.61315699752625097</v>
      </c>
      <c r="K3077">
        <v>0</v>
      </c>
      <c r="L3077">
        <v>0</v>
      </c>
      <c r="M3077">
        <v>0.43818835787939869</v>
      </c>
      <c r="N3077">
        <v>0</v>
      </c>
      <c r="O3077">
        <v>0</v>
      </c>
      <c r="P3077">
        <v>0.48105888581004158</v>
      </c>
      <c r="Q3077">
        <v>0.90058757204918527</v>
      </c>
      <c r="R3077">
        <v>-2.799927568957691</v>
      </c>
      <c r="S3077">
        <v>0.19655942679523181</v>
      </c>
      <c r="T3077">
        <v>0.15548587678213929</v>
      </c>
      <c r="U3077">
        <v>4.4179867093448619</v>
      </c>
      <c r="V3077">
        <v>0.2101483876699779</v>
      </c>
      <c r="W3077">
        <v>1.1788563549567681</v>
      </c>
      <c r="X3077">
        <v>0.27286817814190201</v>
      </c>
      <c r="Z3077" t="s">
        <v>392</v>
      </c>
      <c r="AA3077">
        <v>114</v>
      </c>
      <c r="AB3077" t="s">
        <v>3468</v>
      </c>
      <c r="AC3077" t="str">
        <f>HYPERLINK("plots/3FT6Y578R04_015_S21P_20251218081014_M5358ACSC201811_RBGEUFRF04/dpll_52046/txpa_53212.png","plot")</f>
        <v>plot</v>
      </c>
    </row>
    <row r="3078" spans="1:29" x14ac:dyDescent="0.35">
      <c r="A3078" s="4" t="s">
        <v>49</v>
      </c>
      <c r="B3078">
        <v>52046</v>
      </c>
      <c r="C3078" t="s">
        <v>51</v>
      </c>
      <c r="D3078">
        <v>53213</v>
      </c>
      <c r="E3078" t="s">
        <v>88</v>
      </c>
      <c r="F3078">
        <v>12028</v>
      </c>
      <c r="G3078">
        <v>0.67987122371750952</v>
      </c>
      <c r="H3078">
        <v>0</v>
      </c>
      <c r="I3078">
        <v>0</v>
      </c>
      <c r="J3078">
        <v>0.59668719230218237</v>
      </c>
      <c r="K3078">
        <v>0</v>
      </c>
      <c r="L3078">
        <v>0</v>
      </c>
      <c r="M3078">
        <v>0.42408332031932777</v>
      </c>
      <c r="N3078">
        <v>0</v>
      </c>
      <c r="O3078">
        <v>0</v>
      </c>
      <c r="P3078">
        <v>0.46222488083914393</v>
      </c>
      <c r="Q3078">
        <v>0.8612874004654828</v>
      </c>
      <c r="R3078">
        <v>-2.6085274727187708</v>
      </c>
      <c r="S3078">
        <v>0.1952224663584953</v>
      </c>
      <c r="T3078">
        <v>0.15443987876483159</v>
      </c>
      <c r="U3078">
        <v>4.4179867093448619</v>
      </c>
      <c r="V3078">
        <v>0.2101483876699779</v>
      </c>
      <c r="W3078">
        <v>1.196628815463918</v>
      </c>
      <c r="X3078">
        <v>0.26622417924764769</v>
      </c>
      <c r="Z3078" t="s">
        <v>392</v>
      </c>
      <c r="AA3078">
        <v>114</v>
      </c>
      <c r="AB3078" t="s">
        <v>3469</v>
      </c>
      <c r="AC3078" t="str">
        <f>HYPERLINK("plots/3FT6Y578R04_015_S21P_20251218081014_M5358ACSC201811_RBGEUFRF04/dpll_52046/txpa_53213.png","plot")</f>
        <v>plot</v>
      </c>
    </row>
    <row r="3079" spans="1:29" x14ac:dyDescent="0.35">
      <c r="A3079" s="4" t="s">
        <v>49</v>
      </c>
      <c r="B3079">
        <v>52046</v>
      </c>
      <c r="C3079" t="s">
        <v>51</v>
      </c>
      <c r="D3079">
        <v>53214</v>
      </c>
      <c r="E3079" t="s">
        <v>89</v>
      </c>
      <c r="F3079">
        <v>12027</v>
      </c>
      <c r="G3079">
        <v>0.69704551721064834</v>
      </c>
      <c r="H3079">
        <v>0</v>
      </c>
      <c r="I3079">
        <v>0</v>
      </c>
      <c r="J3079">
        <v>0.61119210161317183</v>
      </c>
      <c r="K3079">
        <v>0</v>
      </c>
      <c r="L3079">
        <v>0</v>
      </c>
      <c r="M3079">
        <v>0.4368264343934975</v>
      </c>
      <c r="N3079">
        <v>0</v>
      </c>
      <c r="O3079">
        <v>0</v>
      </c>
      <c r="P3079">
        <v>0.48587245306346022</v>
      </c>
      <c r="Q3079">
        <v>0.89906669637541792</v>
      </c>
      <c r="R3079">
        <v>-2.7659852898646289</v>
      </c>
      <c r="S3079">
        <v>0.19435160287954259</v>
      </c>
      <c r="T3079">
        <v>0.15396878960408511</v>
      </c>
      <c r="U3079">
        <v>4.417995080651866</v>
      </c>
      <c r="V3079">
        <v>0.21015511914181201</v>
      </c>
      <c r="W3079">
        <v>1.206086951899892</v>
      </c>
      <c r="X3079">
        <v>0.27106331513227738</v>
      </c>
      <c r="Z3079" t="s">
        <v>392</v>
      </c>
      <c r="AA3079">
        <v>114</v>
      </c>
      <c r="AB3079" t="s">
        <v>3470</v>
      </c>
      <c r="AC3079" t="str">
        <f>HYPERLINK("plots/3FT6Y578R04_015_S21P_20251218081014_M5358ACSC201811_RBGEUFRF04/dpll_52046/txpa_53214.png","plot")</f>
        <v>plot</v>
      </c>
    </row>
    <row r="3080" spans="1:29" x14ac:dyDescent="0.35">
      <c r="A3080" s="4" t="s">
        <v>49</v>
      </c>
      <c r="B3080">
        <v>52046</v>
      </c>
      <c r="C3080" t="s">
        <v>51</v>
      </c>
      <c r="D3080">
        <v>53215</v>
      </c>
      <c r="E3080" t="s">
        <v>90</v>
      </c>
      <c r="F3080">
        <v>12027</v>
      </c>
      <c r="G3080">
        <v>0.69774028892766538</v>
      </c>
      <c r="H3080">
        <v>0</v>
      </c>
      <c r="I3080">
        <v>0</v>
      </c>
      <c r="J3080">
        <v>0.60677539578996542</v>
      </c>
      <c r="K3080">
        <v>0</v>
      </c>
      <c r="L3080">
        <v>0</v>
      </c>
      <c r="M3080">
        <v>0.43176821425612211</v>
      </c>
      <c r="N3080">
        <v>0</v>
      </c>
      <c r="O3080">
        <v>0</v>
      </c>
      <c r="P3080">
        <v>0.48684151079286198</v>
      </c>
      <c r="Q3080">
        <v>0.8956397821828187</v>
      </c>
      <c r="R3080">
        <v>-2.7598864550169511</v>
      </c>
      <c r="S3080">
        <v>0.19321690186127841</v>
      </c>
      <c r="T3080">
        <v>0.1539310433527859</v>
      </c>
      <c r="U3080">
        <v>4.4179587365926656</v>
      </c>
      <c r="V3080">
        <v>0.21013472984942591</v>
      </c>
      <c r="W3080">
        <v>1.197013145517585</v>
      </c>
      <c r="X3080">
        <v>0.26973506712738549</v>
      </c>
      <c r="Z3080" t="s">
        <v>392</v>
      </c>
      <c r="AA3080">
        <v>114</v>
      </c>
      <c r="AB3080" t="s">
        <v>3471</v>
      </c>
      <c r="AC3080" t="str">
        <f>HYPERLINK("plots/3FT6Y578R04_015_S21P_20251218081014_M5358ACSC201811_RBGEUFRF04/dpll_52046/txpa_53215.png","plot")</f>
        <v>plot</v>
      </c>
    </row>
    <row r="3081" spans="1:29" x14ac:dyDescent="0.35">
      <c r="A3081" s="4" t="s">
        <v>49</v>
      </c>
      <c r="B3081">
        <v>52046</v>
      </c>
      <c r="C3081" t="s">
        <v>51</v>
      </c>
      <c r="D3081">
        <v>53216</v>
      </c>
      <c r="E3081" t="s">
        <v>91</v>
      </c>
      <c r="F3081">
        <v>12028</v>
      </c>
      <c r="G3081">
        <v>0.70373696106568273</v>
      </c>
      <c r="H3081">
        <v>0</v>
      </c>
      <c r="I3081">
        <v>0</v>
      </c>
      <c r="J3081">
        <v>0.62525007327184734</v>
      </c>
      <c r="K3081">
        <v>0</v>
      </c>
      <c r="L3081">
        <v>0</v>
      </c>
      <c r="M3081">
        <v>0.44771502151066728</v>
      </c>
      <c r="N3081">
        <v>0</v>
      </c>
      <c r="O3081">
        <v>0</v>
      </c>
      <c r="P3081">
        <v>0.49524571036996218</v>
      </c>
      <c r="Q3081">
        <v>0.90818172962297528</v>
      </c>
      <c r="R3081">
        <v>-2.815960730609548</v>
      </c>
      <c r="S3081">
        <v>0.19266836713645871</v>
      </c>
      <c r="T3081">
        <v>0.1525664227806007</v>
      </c>
      <c r="U3081">
        <v>4.4179867093448619</v>
      </c>
      <c r="V3081">
        <v>0.2101483876699779</v>
      </c>
      <c r="W3081">
        <v>1.1963740805345859</v>
      </c>
      <c r="X3081">
        <v>0.27119923600799328</v>
      </c>
      <c r="Z3081" t="s">
        <v>392</v>
      </c>
      <c r="AA3081">
        <v>114</v>
      </c>
      <c r="AB3081" t="s">
        <v>3472</v>
      </c>
      <c r="AC3081" t="str">
        <f>HYPERLINK("plots/3FT6Y578R04_015_S21P_20251218081014_M5358ACSC201811_RBGEUFRF04/dpll_52046/txpa_53216.png","plot")</f>
        <v>plot</v>
      </c>
    </row>
    <row r="3082" spans="1:29" x14ac:dyDescent="0.35">
      <c r="A3082" s="4" t="s">
        <v>49</v>
      </c>
      <c r="B3082">
        <v>52046</v>
      </c>
      <c r="C3082" t="s">
        <v>51</v>
      </c>
      <c r="D3082">
        <v>53217</v>
      </c>
      <c r="E3082" t="s">
        <v>92</v>
      </c>
      <c r="F3082">
        <v>12028</v>
      </c>
      <c r="G3082">
        <v>0.70086368391270903</v>
      </c>
      <c r="H3082">
        <v>0</v>
      </c>
      <c r="I3082">
        <v>0</v>
      </c>
      <c r="J3082">
        <v>0.61654834793568958</v>
      </c>
      <c r="K3082">
        <v>0</v>
      </c>
      <c r="L3082">
        <v>0</v>
      </c>
      <c r="M3082">
        <v>0.44061050783230971</v>
      </c>
      <c r="N3082">
        <v>0</v>
      </c>
      <c r="O3082">
        <v>0</v>
      </c>
      <c r="P3082">
        <v>0.49120990342769372</v>
      </c>
      <c r="Q3082">
        <v>0.89188828111347651</v>
      </c>
      <c r="R3082">
        <v>-2.7360277368538668</v>
      </c>
      <c r="S3082">
        <v>0.1907454702282107</v>
      </c>
      <c r="T3082">
        <v>0.15176897786690111</v>
      </c>
      <c r="U3082">
        <v>4.4179867093448619</v>
      </c>
      <c r="V3082">
        <v>0.2101483876699779</v>
      </c>
      <c r="W3082">
        <v>1.2043228353259059</v>
      </c>
      <c r="X3082">
        <v>0.2674255901110279</v>
      </c>
      <c r="Z3082" t="s">
        <v>392</v>
      </c>
      <c r="AA3082">
        <v>114</v>
      </c>
      <c r="AB3082" t="s">
        <v>3473</v>
      </c>
      <c r="AC3082" t="str">
        <f>HYPERLINK("plots/3FT6Y578R04_015_S21P_20251218081014_M5358ACSC201811_RBGEUFRF04/dpll_52046/txpa_53217.png","plot")</f>
        <v>plot</v>
      </c>
    </row>
    <row r="3083" spans="1:29" x14ac:dyDescent="0.35">
      <c r="A3083" s="4" t="s">
        <v>49</v>
      </c>
      <c r="B3083">
        <v>52046</v>
      </c>
      <c r="C3083" t="s">
        <v>51</v>
      </c>
      <c r="D3083">
        <v>53218</v>
      </c>
      <c r="E3083" t="s">
        <v>93</v>
      </c>
      <c r="F3083">
        <v>12027</v>
      </c>
      <c r="G3083">
        <v>0.69074523619266526</v>
      </c>
      <c r="H3083">
        <v>0</v>
      </c>
      <c r="I3083">
        <v>0</v>
      </c>
      <c r="J3083">
        <v>0.60746660231814176</v>
      </c>
      <c r="K3083">
        <v>0</v>
      </c>
      <c r="L3083">
        <v>0</v>
      </c>
      <c r="M3083">
        <v>0.4336488579952687</v>
      </c>
      <c r="N3083">
        <v>0</v>
      </c>
      <c r="O3083">
        <v>0</v>
      </c>
      <c r="P3083">
        <v>0.47712898132286091</v>
      </c>
      <c r="Q3083">
        <v>0.88327370408028372</v>
      </c>
      <c r="R3083">
        <v>-2.7459774843520361</v>
      </c>
      <c r="S3083">
        <v>0.19429800382504681</v>
      </c>
      <c r="T3083">
        <v>0.15369505075151771</v>
      </c>
      <c r="U3083">
        <v>4.418010118566559</v>
      </c>
      <c r="V3083">
        <v>0.21014144114715341</v>
      </c>
      <c r="W3083">
        <v>1.156334677738422</v>
      </c>
      <c r="X3083">
        <v>0.26871326703010878</v>
      </c>
      <c r="Z3083" t="s">
        <v>392</v>
      </c>
      <c r="AA3083">
        <v>114</v>
      </c>
      <c r="AB3083" t="s">
        <v>3474</v>
      </c>
      <c r="AC3083" t="str">
        <f>HYPERLINK("plots/3FT6Y578R04_015_S21P_20251218081014_M5358ACSC201811_RBGEUFRF04/dpll_52046/txpa_53218.png","plot")</f>
        <v>plot</v>
      </c>
    </row>
    <row r="3084" spans="1:29" x14ac:dyDescent="0.35">
      <c r="A3084" s="4" t="s">
        <v>49</v>
      </c>
      <c r="B3084">
        <v>52046</v>
      </c>
      <c r="C3084" t="s">
        <v>51</v>
      </c>
      <c r="D3084">
        <v>53219</v>
      </c>
      <c r="E3084" t="s">
        <v>94</v>
      </c>
      <c r="F3084">
        <v>12028</v>
      </c>
      <c r="G3084">
        <v>0.70198490227510812</v>
      </c>
      <c r="H3084">
        <v>0</v>
      </c>
      <c r="I3084">
        <v>0</v>
      </c>
      <c r="J3084">
        <v>0.62513271671072379</v>
      </c>
      <c r="K3084">
        <v>0</v>
      </c>
      <c r="L3084">
        <v>0</v>
      </c>
      <c r="M3084">
        <v>0.44639765725389779</v>
      </c>
      <c r="N3084">
        <v>0</v>
      </c>
      <c r="O3084">
        <v>0</v>
      </c>
      <c r="P3084">
        <v>0.49278280302219313</v>
      </c>
      <c r="Q3084">
        <v>0.92232816759389658</v>
      </c>
      <c r="R3084">
        <v>-0.90545996411882124</v>
      </c>
      <c r="S3084">
        <v>0.19663584698203659</v>
      </c>
      <c r="T3084">
        <v>0.1548610389659037</v>
      </c>
      <c r="U3084">
        <v>4.4179867093448619</v>
      </c>
      <c r="V3084">
        <v>0.2101483876699779</v>
      </c>
      <c r="W3084">
        <v>3.1693736219654141</v>
      </c>
      <c r="X3084">
        <v>0.27611103414657512</v>
      </c>
      <c r="Z3084" t="s">
        <v>392</v>
      </c>
      <c r="AA3084">
        <v>114</v>
      </c>
      <c r="AB3084" t="s">
        <v>3475</v>
      </c>
      <c r="AC3084" t="str">
        <f>HYPERLINK("plots/3FT6Y578R04_015_S21P_20251218081014_M5358ACSC201811_RBGEUFRF04/dpll_52046/txpa_53219.png","plot")</f>
        <v>plot</v>
      </c>
    </row>
    <row r="3085" spans="1:29" x14ac:dyDescent="0.35">
      <c r="A3085" s="4" t="s">
        <v>49</v>
      </c>
      <c r="B3085">
        <v>52046</v>
      </c>
      <c r="C3085" t="s">
        <v>51</v>
      </c>
      <c r="D3085">
        <v>53220</v>
      </c>
      <c r="E3085" t="s">
        <v>95</v>
      </c>
      <c r="F3085">
        <v>12028</v>
      </c>
      <c r="G3085">
        <v>0.7240707101849706</v>
      </c>
      <c r="H3085">
        <v>0</v>
      </c>
      <c r="I3085">
        <v>0</v>
      </c>
      <c r="J3085">
        <v>0.64403523903582927</v>
      </c>
      <c r="K3085">
        <v>0</v>
      </c>
      <c r="L3085">
        <v>0</v>
      </c>
      <c r="M3085">
        <v>0.46419234139908622</v>
      </c>
      <c r="N3085">
        <v>0</v>
      </c>
      <c r="O3085">
        <v>0</v>
      </c>
      <c r="P3085">
        <v>0.52427839334776771</v>
      </c>
      <c r="Q3085">
        <v>0.96057930322454665</v>
      </c>
      <c r="R3085">
        <v>-1.039469924565285</v>
      </c>
      <c r="S3085">
        <v>0.19228114147544989</v>
      </c>
      <c r="T3085">
        <v>0.15232754789032549</v>
      </c>
      <c r="U3085">
        <v>4.4179867093448619</v>
      </c>
      <c r="V3085">
        <v>0.2101483876699779</v>
      </c>
      <c r="W3085">
        <v>3.204356670352511</v>
      </c>
      <c r="X3085">
        <v>0.27879071610315692</v>
      </c>
      <c r="Z3085" t="s">
        <v>392</v>
      </c>
      <c r="AA3085">
        <v>114</v>
      </c>
      <c r="AB3085" t="s">
        <v>3476</v>
      </c>
      <c r="AC3085" t="str">
        <f>HYPERLINK("plots/3FT6Y578R04_015_S21P_20251218081014_M5358ACSC201811_RBGEUFRF04/dpll_52046/txpa_53220.png","plot")</f>
        <v>plot</v>
      </c>
    </row>
    <row r="3086" spans="1:29" x14ac:dyDescent="0.35">
      <c r="A3086" s="4" t="s">
        <v>49</v>
      </c>
      <c r="B3086">
        <v>52046</v>
      </c>
      <c r="C3086" t="s">
        <v>51</v>
      </c>
      <c r="D3086">
        <v>53221</v>
      </c>
      <c r="E3086" t="s">
        <v>96</v>
      </c>
      <c r="F3086">
        <v>12028</v>
      </c>
      <c r="G3086">
        <v>0.71178766735638888</v>
      </c>
      <c r="H3086">
        <v>0</v>
      </c>
      <c r="I3086">
        <v>0</v>
      </c>
      <c r="J3086">
        <v>0.62978583408145361</v>
      </c>
      <c r="K3086">
        <v>0</v>
      </c>
      <c r="L3086">
        <v>0</v>
      </c>
      <c r="M3086">
        <v>0.45155422173707838</v>
      </c>
      <c r="N3086">
        <v>0</v>
      </c>
      <c r="O3086">
        <v>0</v>
      </c>
      <c r="P3086">
        <v>0.5066416834006493</v>
      </c>
      <c r="Q3086">
        <v>0.92231846281600183</v>
      </c>
      <c r="R3086">
        <v>-0.85255115771099765</v>
      </c>
      <c r="S3086">
        <v>0.19125803002328179</v>
      </c>
      <c r="T3086">
        <v>0.15121484440782121</v>
      </c>
      <c r="U3086">
        <v>4.4179867093448619</v>
      </c>
      <c r="V3086">
        <v>0.2101483876699779</v>
      </c>
      <c r="W3086">
        <v>3.2222395527934822</v>
      </c>
      <c r="X3086">
        <v>0.27230555791856498</v>
      </c>
      <c r="Z3086" t="s">
        <v>392</v>
      </c>
      <c r="AA3086">
        <v>114</v>
      </c>
      <c r="AB3086" t="s">
        <v>3477</v>
      </c>
      <c r="AC3086" t="str">
        <f>HYPERLINK("plots/3FT6Y578R04_015_S21P_20251218081014_M5358ACSC201811_RBGEUFRF04/dpll_52046/txpa_53221.png","plot")</f>
        <v>plot</v>
      </c>
    </row>
    <row r="3087" spans="1:29" x14ac:dyDescent="0.35">
      <c r="A3087" s="4" t="s">
        <v>49</v>
      </c>
      <c r="B3087">
        <v>52046</v>
      </c>
      <c r="C3087" t="s">
        <v>51</v>
      </c>
      <c r="D3087">
        <v>53222</v>
      </c>
      <c r="E3087" t="s">
        <v>97</v>
      </c>
      <c r="F3087">
        <v>12027</v>
      </c>
      <c r="G3087">
        <v>0.7271929805607068</v>
      </c>
      <c r="H3087">
        <v>0</v>
      </c>
      <c r="I3087">
        <v>0</v>
      </c>
      <c r="J3087">
        <v>0.64307027030275199</v>
      </c>
      <c r="K3087">
        <v>0</v>
      </c>
      <c r="L3087">
        <v>0</v>
      </c>
      <c r="M3087">
        <v>0.46357198610788269</v>
      </c>
      <c r="N3087">
        <v>0</v>
      </c>
      <c r="O3087">
        <v>0</v>
      </c>
      <c r="P3087">
        <v>0.52880963097676448</v>
      </c>
      <c r="Q3087">
        <v>0.95708971214702099</v>
      </c>
      <c r="R3087">
        <v>-1.000253979327913</v>
      </c>
      <c r="S3087">
        <v>0.18985545941846191</v>
      </c>
      <c r="T3087">
        <v>0.15042055238233229</v>
      </c>
      <c r="U3087">
        <v>4.417995080651866</v>
      </c>
      <c r="V3087">
        <v>0.21015511914181201</v>
      </c>
      <c r="W3087">
        <v>3.2281636606801358</v>
      </c>
      <c r="X3087">
        <v>0.27659411994127281</v>
      </c>
      <c r="Z3087" t="s">
        <v>392</v>
      </c>
      <c r="AA3087">
        <v>114</v>
      </c>
      <c r="AB3087" t="s">
        <v>3478</v>
      </c>
      <c r="AC3087" t="str">
        <f>HYPERLINK("plots/3FT6Y578R04_015_S21P_20251218081014_M5358ACSC201811_RBGEUFRF04/dpll_52046/txpa_53222.png","plot")</f>
        <v>plot</v>
      </c>
    </row>
    <row r="3088" spans="1:29" x14ac:dyDescent="0.35">
      <c r="A3088" s="4" t="s">
        <v>49</v>
      </c>
      <c r="B3088">
        <v>52046</v>
      </c>
      <c r="C3088" t="s">
        <v>51</v>
      </c>
      <c r="D3088">
        <v>53223</v>
      </c>
      <c r="E3088" t="s">
        <v>98</v>
      </c>
      <c r="F3088">
        <v>12027</v>
      </c>
      <c r="G3088">
        <v>0.72845786532759249</v>
      </c>
      <c r="H3088">
        <v>0</v>
      </c>
      <c r="I3088">
        <v>0</v>
      </c>
      <c r="J3088">
        <v>0.63890330075588819</v>
      </c>
      <c r="K3088">
        <v>0</v>
      </c>
      <c r="L3088">
        <v>0</v>
      </c>
      <c r="M3088">
        <v>0.45857378794860693</v>
      </c>
      <c r="N3088">
        <v>0</v>
      </c>
      <c r="O3088">
        <v>0</v>
      </c>
      <c r="P3088">
        <v>0.53065086155763286</v>
      </c>
      <c r="Q3088">
        <v>0.95382074967557917</v>
      </c>
      <c r="R3088">
        <v>-0.99689681004022201</v>
      </c>
      <c r="S3088">
        <v>0.1884907844658969</v>
      </c>
      <c r="T3088">
        <v>0.15007591475900051</v>
      </c>
      <c r="U3088">
        <v>4.4179587365926656</v>
      </c>
      <c r="V3088">
        <v>0.21013472984942591</v>
      </c>
      <c r="W3088">
        <v>3.2170439041323688</v>
      </c>
      <c r="X3088">
        <v>0.27514407503544408</v>
      </c>
      <c r="Z3088" t="s">
        <v>392</v>
      </c>
      <c r="AA3088">
        <v>114</v>
      </c>
      <c r="AB3088" t="s">
        <v>3479</v>
      </c>
      <c r="AC3088" t="str">
        <f>HYPERLINK("plots/3FT6Y578R04_015_S21P_20251218081014_M5358ACSC201811_RBGEUFRF04/dpll_52046/txpa_53223.png","plot")</f>
        <v>plot</v>
      </c>
    </row>
    <row r="3089" spans="1:29" x14ac:dyDescent="0.35">
      <c r="A3089" s="4" t="s">
        <v>49</v>
      </c>
      <c r="B3089">
        <v>52046</v>
      </c>
      <c r="C3089" t="s">
        <v>51</v>
      </c>
      <c r="D3089">
        <v>53224</v>
      </c>
      <c r="E3089" t="s">
        <v>99</v>
      </c>
      <c r="F3089">
        <v>12028</v>
      </c>
      <c r="G3089">
        <v>0.73310593749628961</v>
      </c>
      <c r="H3089">
        <v>0</v>
      </c>
      <c r="I3089">
        <v>0</v>
      </c>
      <c r="J3089">
        <v>0.65670688234095231</v>
      </c>
      <c r="K3089">
        <v>0</v>
      </c>
      <c r="L3089">
        <v>0</v>
      </c>
      <c r="M3089">
        <v>0.47446279972378552</v>
      </c>
      <c r="N3089">
        <v>0</v>
      </c>
      <c r="O3089">
        <v>0</v>
      </c>
      <c r="P3089">
        <v>0.53744431559231365</v>
      </c>
      <c r="Q3089">
        <v>0.96828834447372159</v>
      </c>
      <c r="R3089">
        <v>-1.05706936518198</v>
      </c>
      <c r="S3089">
        <v>0.18876783137824471</v>
      </c>
      <c r="T3089">
        <v>0.14946975123586351</v>
      </c>
      <c r="U3089">
        <v>4.4179867093448619</v>
      </c>
      <c r="V3089">
        <v>0.2101483876699779</v>
      </c>
      <c r="W3089">
        <v>3.220815671516462</v>
      </c>
      <c r="X3089">
        <v>0.27756457011619101</v>
      </c>
      <c r="Z3089" t="s">
        <v>392</v>
      </c>
      <c r="AA3089">
        <v>114</v>
      </c>
      <c r="AB3089" t="s">
        <v>3480</v>
      </c>
      <c r="AC3089" t="str">
        <f>HYPERLINK("plots/3FT6Y578R04_015_S21P_20251218081014_M5358ACSC201811_RBGEUFRF04/dpll_52046/txpa_53224.png","plot")</f>
        <v>plot</v>
      </c>
    </row>
    <row r="3090" spans="1:29" x14ac:dyDescent="0.35">
      <c r="A3090" s="4" t="s">
        <v>49</v>
      </c>
      <c r="B3090">
        <v>52046</v>
      </c>
      <c r="C3090" t="s">
        <v>51</v>
      </c>
      <c r="D3090">
        <v>53225</v>
      </c>
      <c r="E3090" t="s">
        <v>100</v>
      </c>
      <c r="F3090">
        <v>12028</v>
      </c>
      <c r="G3090">
        <v>0.73085546278198121</v>
      </c>
      <c r="H3090">
        <v>0</v>
      </c>
      <c r="I3090">
        <v>0</v>
      </c>
      <c r="J3090">
        <v>0.64782185486112975</v>
      </c>
      <c r="K3090">
        <v>0</v>
      </c>
      <c r="L3090">
        <v>0</v>
      </c>
      <c r="M3090">
        <v>0.46699911483280437</v>
      </c>
      <c r="N3090">
        <v>0</v>
      </c>
      <c r="O3090">
        <v>0</v>
      </c>
      <c r="P3090">
        <v>0.53414970747826396</v>
      </c>
      <c r="Q3090">
        <v>0.95242091001017759</v>
      </c>
      <c r="R3090">
        <v>-0.97963847941011029</v>
      </c>
      <c r="S3090">
        <v>0.1869083133619962</v>
      </c>
      <c r="T3090">
        <v>0.14885789993865961</v>
      </c>
      <c r="U3090">
        <v>4.4179867093448619</v>
      </c>
      <c r="V3090">
        <v>0.2101483876699779</v>
      </c>
      <c r="W3090">
        <v>3.2281444427169932</v>
      </c>
      <c r="X3090">
        <v>0.27385677307514072</v>
      </c>
      <c r="Z3090" t="s">
        <v>392</v>
      </c>
      <c r="AA3090">
        <v>114</v>
      </c>
      <c r="AB3090" t="s">
        <v>3481</v>
      </c>
      <c r="AC3090" t="str">
        <f>HYPERLINK("plots/3FT6Y578R04_015_S21P_20251218081014_M5358ACSC201811_RBGEUFRF04/dpll_52046/txpa_53225.png","plot")</f>
        <v>plot</v>
      </c>
    </row>
    <row r="3091" spans="1:29" x14ac:dyDescent="0.35">
      <c r="A3091" s="4" t="s">
        <v>49</v>
      </c>
      <c r="B3091">
        <v>52046</v>
      </c>
      <c r="C3091" t="s">
        <v>51</v>
      </c>
      <c r="D3091">
        <v>53226</v>
      </c>
      <c r="E3091" t="s">
        <v>101</v>
      </c>
      <c r="F3091">
        <v>12027</v>
      </c>
      <c r="G3091">
        <v>0.72277574224964158</v>
      </c>
      <c r="H3091">
        <v>0</v>
      </c>
      <c r="I3091">
        <v>0</v>
      </c>
      <c r="J3091">
        <v>0.64066760716695004</v>
      </c>
      <c r="K3091">
        <v>0</v>
      </c>
      <c r="L3091">
        <v>0</v>
      </c>
      <c r="M3091">
        <v>0.46151954808496848</v>
      </c>
      <c r="N3091">
        <v>0</v>
      </c>
      <c r="O3091">
        <v>0</v>
      </c>
      <c r="P3091">
        <v>0.52240477358452031</v>
      </c>
      <c r="Q3091">
        <v>0.9443582827834226</v>
      </c>
      <c r="R3091">
        <v>-0.98908781498225773</v>
      </c>
      <c r="S3091">
        <v>0.189739112424821</v>
      </c>
      <c r="T3091">
        <v>0.14991540262147501</v>
      </c>
      <c r="U3091">
        <v>4.418010118566559</v>
      </c>
      <c r="V3091">
        <v>0.21014144114715341</v>
      </c>
      <c r="W3091">
        <v>3.1830966339070428</v>
      </c>
      <c r="X3091">
        <v>0.27456484619376842</v>
      </c>
      <c r="Z3091" t="s">
        <v>392</v>
      </c>
      <c r="AA3091">
        <v>114</v>
      </c>
      <c r="AB3091" t="s">
        <v>3482</v>
      </c>
      <c r="AC3091" t="str">
        <f>HYPERLINK("plots/3FT6Y578R04_015_S21P_20251218081014_M5358ACSC201811_RBGEUFRF04/dpll_52046/txpa_53226.png","plot")</f>
        <v>plot</v>
      </c>
    </row>
    <row r="3092" spans="1:29" x14ac:dyDescent="0.35">
      <c r="A3092" s="4" t="s">
        <v>49</v>
      </c>
      <c r="B3092">
        <v>52046</v>
      </c>
      <c r="C3092" t="s">
        <v>51</v>
      </c>
      <c r="D3092">
        <v>53227</v>
      </c>
      <c r="E3092" t="s">
        <v>102</v>
      </c>
      <c r="F3092">
        <v>12028</v>
      </c>
      <c r="G3092">
        <v>0.73878725550171942</v>
      </c>
      <c r="H3092">
        <v>0</v>
      </c>
      <c r="I3092">
        <v>0</v>
      </c>
      <c r="J3092">
        <v>0.65770184419976563</v>
      </c>
      <c r="K3092">
        <v>0</v>
      </c>
      <c r="L3092">
        <v>0</v>
      </c>
      <c r="M3092">
        <v>0.47404235810457818</v>
      </c>
      <c r="N3092">
        <v>0</v>
      </c>
      <c r="O3092">
        <v>0</v>
      </c>
      <c r="P3092">
        <v>0.5458066088917628</v>
      </c>
      <c r="Q3092">
        <v>1.0122546349309229</v>
      </c>
      <c r="R3092">
        <v>1.155306884200916</v>
      </c>
      <c r="S3092">
        <v>0.1940433627771741</v>
      </c>
      <c r="T3092">
        <v>0.1525517273095543</v>
      </c>
      <c r="U3092">
        <v>4.4179867093448619</v>
      </c>
      <c r="V3092">
        <v>0.2101483876699779</v>
      </c>
      <c r="W3092">
        <v>5.6274344077984706</v>
      </c>
      <c r="X3092">
        <v>0.28793631435579159</v>
      </c>
      <c r="Z3092" t="s">
        <v>392</v>
      </c>
      <c r="AA3092">
        <v>114</v>
      </c>
      <c r="AB3092" t="s">
        <v>3483</v>
      </c>
      <c r="AC3092" t="str">
        <f>HYPERLINK("plots/3FT6Y578R04_015_S21P_20251218081014_M5358ACSC201811_RBGEUFRF04/dpll_52046/txpa_53227.png","plot")</f>
        <v>plot</v>
      </c>
    </row>
    <row r="3093" spans="1:29" x14ac:dyDescent="0.35">
      <c r="A3093" s="4" t="s">
        <v>49</v>
      </c>
      <c r="B3093">
        <v>52046</v>
      </c>
      <c r="C3093" t="s">
        <v>51</v>
      </c>
      <c r="D3093">
        <v>53228</v>
      </c>
      <c r="E3093" t="s">
        <v>103</v>
      </c>
      <c r="F3093">
        <v>12028</v>
      </c>
      <c r="G3093">
        <v>0.75810482214137609</v>
      </c>
      <c r="H3093">
        <v>0</v>
      </c>
      <c r="I3093">
        <v>0</v>
      </c>
      <c r="J3093">
        <v>0.67447224831607056</v>
      </c>
      <c r="K3093">
        <v>0</v>
      </c>
      <c r="L3093">
        <v>0</v>
      </c>
      <c r="M3093">
        <v>0.4906235507524867</v>
      </c>
      <c r="N3093">
        <v>0</v>
      </c>
      <c r="O3093">
        <v>0</v>
      </c>
      <c r="P3093">
        <v>0.57472292135400749</v>
      </c>
      <c r="Q3093">
        <v>1.049012257520854</v>
      </c>
      <c r="R3093">
        <v>1.0271797352901151</v>
      </c>
      <c r="S3093">
        <v>0.18962487164792441</v>
      </c>
      <c r="T3093">
        <v>0.15017144763433801</v>
      </c>
      <c r="U3093">
        <v>4.4179867093448619</v>
      </c>
      <c r="V3093">
        <v>0.2101483876699779</v>
      </c>
      <c r="W3093">
        <v>5.6617019469570993</v>
      </c>
      <c r="X3093">
        <v>0.29078859298291171</v>
      </c>
      <c r="Z3093" t="s">
        <v>392</v>
      </c>
      <c r="AA3093">
        <v>114</v>
      </c>
      <c r="AB3093" t="s">
        <v>3484</v>
      </c>
      <c r="AC3093" t="str">
        <f>HYPERLINK("plots/3FT6Y578R04_015_S21P_20251218081014_M5358ACSC201811_RBGEUFRF04/dpll_52046/txpa_53228.png","plot")</f>
        <v>plot</v>
      </c>
    </row>
    <row r="3094" spans="1:29" x14ac:dyDescent="0.35">
      <c r="A3094" s="4" t="s">
        <v>49</v>
      </c>
      <c r="B3094">
        <v>52046</v>
      </c>
      <c r="C3094" t="s">
        <v>51</v>
      </c>
      <c r="D3094">
        <v>53229</v>
      </c>
      <c r="E3094" t="s">
        <v>104</v>
      </c>
      <c r="F3094">
        <v>12028</v>
      </c>
      <c r="G3094">
        <v>0.74762646854825388</v>
      </c>
      <c r="H3094">
        <v>0</v>
      </c>
      <c r="I3094">
        <v>0</v>
      </c>
      <c r="J3094">
        <v>0.66152913970047122</v>
      </c>
      <c r="K3094">
        <v>0</v>
      </c>
      <c r="L3094">
        <v>0</v>
      </c>
      <c r="M3094">
        <v>0.47876295693347709</v>
      </c>
      <c r="N3094">
        <v>0</v>
      </c>
      <c r="O3094">
        <v>0</v>
      </c>
      <c r="P3094">
        <v>0.55894533647393319</v>
      </c>
      <c r="Q3094">
        <v>1.0115592434013581</v>
      </c>
      <c r="R3094">
        <v>1.210458932411751</v>
      </c>
      <c r="S3094">
        <v>0.18882559929625481</v>
      </c>
      <c r="T3094">
        <v>0.14905356735580799</v>
      </c>
      <c r="U3094">
        <v>4.4179867093448619</v>
      </c>
      <c r="V3094">
        <v>0.2101483876699779</v>
      </c>
      <c r="W3094">
        <v>5.679514225473894</v>
      </c>
      <c r="X3094">
        <v>0.28433656775989041</v>
      </c>
      <c r="Z3094" t="s">
        <v>392</v>
      </c>
      <c r="AA3094">
        <v>114</v>
      </c>
      <c r="AB3094" t="s">
        <v>3485</v>
      </c>
      <c r="AC3094" t="str">
        <f>HYPERLINK("plots/3FT6Y578R04_015_S21P_20251218081014_M5358ACSC201811_RBGEUFRF04/dpll_52046/txpa_53229.png","plot")</f>
        <v>plot</v>
      </c>
    </row>
    <row r="3095" spans="1:29" x14ac:dyDescent="0.35">
      <c r="A3095" s="4" t="s">
        <v>49</v>
      </c>
      <c r="B3095">
        <v>52046</v>
      </c>
      <c r="C3095" t="s">
        <v>51</v>
      </c>
      <c r="D3095">
        <v>53230</v>
      </c>
      <c r="E3095" t="s">
        <v>105</v>
      </c>
      <c r="F3095">
        <v>12027</v>
      </c>
      <c r="G3095">
        <v>0.7618917443665093</v>
      </c>
      <c r="H3095">
        <v>0</v>
      </c>
      <c r="I3095">
        <v>0</v>
      </c>
      <c r="J3095">
        <v>0.67471930843416317</v>
      </c>
      <c r="K3095">
        <v>0</v>
      </c>
      <c r="L3095">
        <v>0</v>
      </c>
      <c r="M3095">
        <v>0.4911004821936184</v>
      </c>
      <c r="N3095">
        <v>0</v>
      </c>
      <c r="O3095">
        <v>0</v>
      </c>
      <c r="P3095">
        <v>0.58047903013384239</v>
      </c>
      <c r="Q3095">
        <v>1.046007632695952</v>
      </c>
      <c r="R3095">
        <v>1.0614788409045699</v>
      </c>
      <c r="S3095">
        <v>0.18687032484516511</v>
      </c>
      <c r="T3095">
        <v>0.14789732456255639</v>
      </c>
      <c r="U3095">
        <v>4.417995080651866</v>
      </c>
      <c r="V3095">
        <v>0.21015511914181201</v>
      </c>
      <c r="W3095">
        <v>5.6827354164795878</v>
      </c>
      <c r="X3095">
        <v>0.28852374408550591</v>
      </c>
      <c r="Z3095" t="s">
        <v>392</v>
      </c>
      <c r="AA3095">
        <v>114</v>
      </c>
      <c r="AB3095" t="s">
        <v>3486</v>
      </c>
      <c r="AC3095" t="str">
        <f>HYPERLINK("plots/3FT6Y578R04_015_S21P_20251218081014_M5358ACSC201811_RBGEUFRF04/dpll_52046/txpa_53230.png","plot")</f>
        <v>plot</v>
      </c>
    </row>
    <row r="3096" spans="1:29" x14ac:dyDescent="0.35">
      <c r="A3096" s="4" t="s">
        <v>49</v>
      </c>
      <c r="B3096">
        <v>52046</v>
      </c>
      <c r="C3096" t="s">
        <v>51</v>
      </c>
      <c r="D3096">
        <v>53231</v>
      </c>
      <c r="E3096" t="s">
        <v>106</v>
      </c>
      <c r="F3096">
        <v>12027</v>
      </c>
      <c r="G3096">
        <v>0.76322417672056619</v>
      </c>
      <c r="H3096">
        <v>0</v>
      </c>
      <c r="I3096">
        <v>0</v>
      </c>
      <c r="J3096">
        <v>0.67133771998270786</v>
      </c>
      <c r="K3096">
        <v>0</v>
      </c>
      <c r="L3096">
        <v>0</v>
      </c>
      <c r="M3096">
        <v>0.48665442803925668</v>
      </c>
      <c r="N3096">
        <v>0</v>
      </c>
      <c r="O3096">
        <v>0</v>
      </c>
      <c r="P3096">
        <v>0.58251114393078607</v>
      </c>
      <c r="Q3096">
        <v>1.0429196167404029</v>
      </c>
      <c r="R3096">
        <v>1.0623616012655781</v>
      </c>
      <c r="S3096">
        <v>0.18552435965694181</v>
      </c>
      <c r="T3096">
        <v>0.1475229350296684</v>
      </c>
      <c r="U3096">
        <v>4.4179587365926656</v>
      </c>
      <c r="V3096">
        <v>0.21013472984942591</v>
      </c>
      <c r="W3096">
        <v>5.669937433607716</v>
      </c>
      <c r="X3096">
        <v>0.28714188911058097</v>
      </c>
      <c r="Z3096" t="s">
        <v>392</v>
      </c>
      <c r="AA3096">
        <v>114</v>
      </c>
      <c r="AB3096" t="s">
        <v>3487</v>
      </c>
      <c r="AC3096" t="str">
        <f>HYPERLINK("plots/3FT6Y578R04_015_S21P_20251218081014_M5358ACSC201811_RBGEUFRF04/dpll_52046/txpa_53231.png","plot")</f>
        <v>plot</v>
      </c>
    </row>
    <row r="3097" spans="1:29" x14ac:dyDescent="0.35">
      <c r="A3097" s="4" t="s">
        <v>49</v>
      </c>
      <c r="B3097">
        <v>52046</v>
      </c>
      <c r="C3097" t="s">
        <v>51</v>
      </c>
      <c r="D3097">
        <v>53232</v>
      </c>
      <c r="E3097" t="s">
        <v>107</v>
      </c>
      <c r="F3097">
        <v>12027</v>
      </c>
      <c r="G3097">
        <v>0.76813313496024027</v>
      </c>
      <c r="H3097">
        <v>0</v>
      </c>
      <c r="I3097">
        <v>0</v>
      </c>
      <c r="J3097">
        <v>0.68708414054188194</v>
      </c>
      <c r="K3097">
        <v>0</v>
      </c>
      <c r="L3097">
        <v>0</v>
      </c>
      <c r="M3097">
        <v>0.50116609072247809</v>
      </c>
      <c r="N3097">
        <v>0</v>
      </c>
      <c r="O3097">
        <v>0</v>
      </c>
      <c r="P3097">
        <v>0.59002851302384673</v>
      </c>
      <c r="Q3097">
        <v>1.0584911920962341</v>
      </c>
      <c r="R3097">
        <v>1.001096585424921</v>
      </c>
      <c r="S3097">
        <v>0.18539256767033099</v>
      </c>
      <c r="T3097">
        <v>0.14719706214293349</v>
      </c>
      <c r="U3097">
        <v>4.417954512264072</v>
      </c>
      <c r="V3097">
        <v>0.21012745463637059</v>
      </c>
      <c r="W3097">
        <v>5.6774625237382548</v>
      </c>
      <c r="X3097">
        <v>0.28955665343314713</v>
      </c>
      <c r="Z3097" t="s">
        <v>392</v>
      </c>
      <c r="AA3097">
        <v>114</v>
      </c>
      <c r="AB3097" t="s">
        <v>3488</v>
      </c>
      <c r="AC3097" t="str">
        <f>HYPERLINK("plots/3FT6Y578R04_015_S21P_20251218081014_M5358ACSC201811_RBGEUFRF04/dpll_52046/txpa_53232.png","plot")</f>
        <v>plot</v>
      </c>
    </row>
    <row r="3098" spans="1:29" x14ac:dyDescent="0.35">
      <c r="A3098" s="4" t="s">
        <v>49</v>
      </c>
      <c r="B3098">
        <v>52046</v>
      </c>
      <c r="C3098" t="s">
        <v>51</v>
      </c>
      <c r="D3098">
        <v>53233</v>
      </c>
      <c r="E3098" t="s">
        <v>108</v>
      </c>
      <c r="F3098">
        <v>12028</v>
      </c>
      <c r="G3098">
        <v>0.76500301652137992</v>
      </c>
      <c r="H3098">
        <v>0</v>
      </c>
      <c r="I3098">
        <v>0</v>
      </c>
      <c r="J3098">
        <v>0.67834605975061724</v>
      </c>
      <c r="K3098">
        <v>0</v>
      </c>
      <c r="L3098">
        <v>0</v>
      </c>
      <c r="M3098">
        <v>0.49383220428632912</v>
      </c>
      <c r="N3098">
        <v>0</v>
      </c>
      <c r="O3098">
        <v>0</v>
      </c>
      <c r="P3098">
        <v>0.58522961528681072</v>
      </c>
      <c r="Q3098">
        <v>1.041678031155447</v>
      </c>
      <c r="R3098">
        <v>1.082474564993916</v>
      </c>
      <c r="S3098">
        <v>0.18428171071256641</v>
      </c>
      <c r="T3098">
        <v>0.14656546717820809</v>
      </c>
      <c r="U3098">
        <v>4.4179867093448619</v>
      </c>
      <c r="V3098">
        <v>0.2101483876699779</v>
      </c>
      <c r="W3098">
        <v>5.6845942620552048</v>
      </c>
      <c r="X3098">
        <v>0.28615175887013827</v>
      </c>
      <c r="Z3098" t="s">
        <v>392</v>
      </c>
      <c r="AA3098">
        <v>114</v>
      </c>
      <c r="AB3098" t="s">
        <v>3489</v>
      </c>
      <c r="AC3098" t="str">
        <f>HYPERLINK("plots/3FT6Y578R04_015_S21P_20251218081014_M5358ACSC201811_RBGEUFRF04/dpll_52046/txpa_53233.png","plot")</f>
        <v>plot</v>
      </c>
    </row>
    <row r="3099" spans="1:29" x14ac:dyDescent="0.35">
      <c r="A3099" s="4" t="s">
        <v>49</v>
      </c>
      <c r="B3099">
        <v>52046</v>
      </c>
      <c r="C3099" t="s">
        <v>51</v>
      </c>
      <c r="D3099">
        <v>53234</v>
      </c>
      <c r="E3099" t="s">
        <v>109</v>
      </c>
      <c r="F3099">
        <v>12027</v>
      </c>
      <c r="G3099">
        <v>0.75842577790468546</v>
      </c>
      <c r="H3099">
        <v>0</v>
      </c>
      <c r="I3099">
        <v>0</v>
      </c>
      <c r="J3099">
        <v>0.67248187593561903</v>
      </c>
      <c r="K3099">
        <v>0</v>
      </c>
      <c r="L3099">
        <v>0</v>
      </c>
      <c r="M3099">
        <v>0.48916482376380888</v>
      </c>
      <c r="N3099">
        <v>0</v>
      </c>
      <c r="O3099">
        <v>0</v>
      </c>
      <c r="P3099">
        <v>0.5752096605903273</v>
      </c>
      <c r="Q3099">
        <v>1.0346807809994101</v>
      </c>
      <c r="R3099">
        <v>1.0708471879421819</v>
      </c>
      <c r="S3099">
        <v>0.18684189477809429</v>
      </c>
      <c r="T3099">
        <v>0.14752195314563621</v>
      </c>
      <c r="U3099">
        <v>4.418010118566559</v>
      </c>
      <c r="V3099">
        <v>0.21014144114715341</v>
      </c>
      <c r="W3099">
        <v>5.6420773478839266</v>
      </c>
      <c r="X3099">
        <v>0.28668502150226721</v>
      </c>
      <c r="Z3099" t="s">
        <v>392</v>
      </c>
      <c r="AA3099">
        <v>114</v>
      </c>
      <c r="AB3099" t="s">
        <v>3490</v>
      </c>
      <c r="AC3099" t="str">
        <f>HYPERLINK("plots/3FT6Y578R04_015_S21P_20251218081014_M5358ACSC201811_RBGEUFRF04/dpll_52046/txpa_53234.png","plot")</f>
        <v>plot</v>
      </c>
    </row>
    <row r="3100" spans="1:29" x14ac:dyDescent="0.35">
      <c r="A3100" s="4" t="s">
        <v>49</v>
      </c>
      <c r="B3100">
        <v>52046</v>
      </c>
      <c r="C3100" t="s">
        <v>51</v>
      </c>
      <c r="D3100">
        <v>53235</v>
      </c>
      <c r="E3100" t="s">
        <v>110</v>
      </c>
      <c r="F3100">
        <v>12028</v>
      </c>
      <c r="G3100">
        <v>0.7521942656866164</v>
      </c>
      <c r="H3100">
        <v>0</v>
      </c>
      <c r="I3100">
        <v>0</v>
      </c>
      <c r="J3100">
        <v>0.66802431412036567</v>
      </c>
      <c r="K3100">
        <v>0</v>
      </c>
      <c r="L3100">
        <v>0</v>
      </c>
      <c r="M3100">
        <v>0.48296532216618349</v>
      </c>
      <c r="N3100">
        <v>0</v>
      </c>
      <c r="O3100">
        <v>0</v>
      </c>
      <c r="P3100">
        <v>0.56579621333182806</v>
      </c>
      <c r="Q3100">
        <v>1.0578208042795141</v>
      </c>
      <c r="R3100">
        <v>2.045571961155511</v>
      </c>
      <c r="S3100">
        <v>0.19473180847947069</v>
      </c>
      <c r="T3100">
        <v>0.15272301104424599</v>
      </c>
      <c r="U3100">
        <v>4.4179867093448619</v>
      </c>
      <c r="V3100">
        <v>0.2101483876699779</v>
      </c>
      <c r="W3100">
        <v>6.7190102153308953</v>
      </c>
      <c r="X3100">
        <v>0.29553447374419989</v>
      </c>
      <c r="Z3100" t="s">
        <v>392</v>
      </c>
      <c r="AA3100">
        <v>114</v>
      </c>
      <c r="AB3100" t="s">
        <v>3491</v>
      </c>
      <c r="AC3100" t="str">
        <f>HYPERLINK("plots/3FT6Y578R04_015_S21P_20251218081014_M5358ACSC201811_RBGEUFRF04/dpll_52046/txpa_53235.png","plot")</f>
        <v>plot</v>
      </c>
    </row>
    <row r="3101" spans="1:29" x14ac:dyDescent="0.35">
      <c r="A3101" s="4" t="s">
        <v>49</v>
      </c>
      <c r="B3101">
        <v>52046</v>
      </c>
      <c r="C3101" t="s">
        <v>51</v>
      </c>
      <c r="D3101">
        <v>53236</v>
      </c>
      <c r="E3101" t="s">
        <v>111</v>
      </c>
      <c r="F3101">
        <v>12028</v>
      </c>
      <c r="G3101">
        <v>0.77066179975614568</v>
      </c>
      <c r="H3101">
        <v>0</v>
      </c>
      <c r="I3101">
        <v>0</v>
      </c>
      <c r="J3101">
        <v>0.68426715307114772</v>
      </c>
      <c r="K3101">
        <v>0</v>
      </c>
      <c r="L3101">
        <v>0</v>
      </c>
      <c r="M3101">
        <v>0.4992830214683468</v>
      </c>
      <c r="N3101">
        <v>0</v>
      </c>
      <c r="O3101">
        <v>0</v>
      </c>
      <c r="P3101">
        <v>0.59391960960338164</v>
      </c>
      <c r="Q3101">
        <v>1.0947509917668281</v>
      </c>
      <c r="R3101">
        <v>1.916238329123535</v>
      </c>
      <c r="S3101">
        <v>0.19022409735437781</v>
      </c>
      <c r="T3101">
        <v>0.1504349776259544</v>
      </c>
      <c r="U3101">
        <v>4.4179867093448619</v>
      </c>
      <c r="V3101">
        <v>0.2101483876699779</v>
      </c>
      <c r="W3101">
        <v>6.7528336607914872</v>
      </c>
      <c r="X3101">
        <v>0.29852284866423168</v>
      </c>
      <c r="Z3101" t="s">
        <v>392</v>
      </c>
      <c r="AA3101">
        <v>114</v>
      </c>
      <c r="AB3101" t="s">
        <v>3492</v>
      </c>
      <c r="AC3101" t="str">
        <f>HYPERLINK("plots/3FT6Y578R04_015_S21P_20251218081014_M5358ACSC201811_RBGEUFRF04/dpll_52046/txpa_53236.png","plot")</f>
        <v>plot</v>
      </c>
    </row>
    <row r="3102" spans="1:29" x14ac:dyDescent="0.35">
      <c r="A3102" s="4" t="s">
        <v>49</v>
      </c>
      <c r="B3102">
        <v>52046</v>
      </c>
      <c r="C3102" t="s">
        <v>51</v>
      </c>
      <c r="D3102">
        <v>53237</v>
      </c>
      <c r="E3102" t="s">
        <v>112</v>
      </c>
      <c r="F3102">
        <v>12028</v>
      </c>
      <c r="G3102">
        <v>0.76108291559693764</v>
      </c>
      <c r="H3102">
        <v>0</v>
      </c>
      <c r="I3102">
        <v>0</v>
      </c>
      <c r="J3102">
        <v>0.67169019567745858</v>
      </c>
      <c r="K3102">
        <v>0</v>
      </c>
      <c r="L3102">
        <v>0</v>
      </c>
      <c r="M3102">
        <v>0.48761398692168451</v>
      </c>
      <c r="N3102">
        <v>0</v>
      </c>
      <c r="O3102">
        <v>0</v>
      </c>
      <c r="P3102">
        <v>0.57924720441353528</v>
      </c>
      <c r="Q3102">
        <v>1.05746703079171</v>
      </c>
      <c r="R3102">
        <v>2.0990020586672071</v>
      </c>
      <c r="S3102">
        <v>0.1893897086651451</v>
      </c>
      <c r="T3102">
        <v>0.14931884783512439</v>
      </c>
      <c r="U3102">
        <v>4.4179867093448619</v>
      </c>
      <c r="V3102">
        <v>0.2101483876699779</v>
      </c>
      <c r="W3102">
        <v>6.7708773462753573</v>
      </c>
      <c r="X3102">
        <v>0.2919852580855003</v>
      </c>
      <c r="Z3102" t="s">
        <v>392</v>
      </c>
      <c r="AA3102">
        <v>114</v>
      </c>
      <c r="AB3102" t="s">
        <v>3493</v>
      </c>
      <c r="AC3102" t="str">
        <f>HYPERLINK("plots/3FT6Y578R04_015_S21P_20251218081014_M5358ACSC201811_RBGEUFRF04/dpll_52046/txpa_53237.png","plot")</f>
        <v>plot</v>
      </c>
    </row>
    <row r="3103" spans="1:29" x14ac:dyDescent="0.35">
      <c r="A3103" s="4" t="s">
        <v>49</v>
      </c>
      <c r="B3103">
        <v>52046</v>
      </c>
      <c r="C3103" t="s">
        <v>51</v>
      </c>
      <c r="D3103">
        <v>53238</v>
      </c>
      <c r="E3103" t="s">
        <v>113</v>
      </c>
      <c r="F3103">
        <v>12027</v>
      </c>
      <c r="G3103">
        <v>0.77454146958175007</v>
      </c>
      <c r="H3103">
        <v>0</v>
      </c>
      <c r="I3103">
        <v>0</v>
      </c>
      <c r="J3103">
        <v>0.6847704916770847</v>
      </c>
      <c r="K3103">
        <v>0</v>
      </c>
      <c r="L3103">
        <v>0</v>
      </c>
      <c r="M3103">
        <v>0.49998997477372897</v>
      </c>
      <c r="N3103">
        <v>0</v>
      </c>
      <c r="O3103">
        <v>0</v>
      </c>
      <c r="P3103">
        <v>0.5999144881018571</v>
      </c>
      <c r="Q3103">
        <v>1.0922753636505751</v>
      </c>
      <c r="R3103">
        <v>1.9476988511802289</v>
      </c>
      <c r="S3103">
        <v>0.18745015033894169</v>
      </c>
      <c r="T3103">
        <v>0.1482254119345125</v>
      </c>
      <c r="U3103">
        <v>4.417995080651866</v>
      </c>
      <c r="V3103">
        <v>0.21015511914181201</v>
      </c>
      <c r="W3103">
        <v>6.7733660345056963</v>
      </c>
      <c r="X3103">
        <v>0.29636535705132389</v>
      </c>
      <c r="Z3103" t="s">
        <v>392</v>
      </c>
      <c r="AA3103">
        <v>114</v>
      </c>
      <c r="AB3103" t="s">
        <v>3494</v>
      </c>
      <c r="AC3103" t="str">
        <f>HYPERLINK("plots/3FT6Y578R04_015_S21P_20251218081014_M5358ACSC201811_RBGEUFRF04/dpll_52046/txpa_53238.png","plot")</f>
        <v>plot</v>
      </c>
    </row>
    <row r="3104" spans="1:29" x14ac:dyDescent="0.35">
      <c r="A3104" s="4" t="s">
        <v>49</v>
      </c>
      <c r="B3104">
        <v>52046</v>
      </c>
      <c r="C3104" t="s">
        <v>51</v>
      </c>
      <c r="D3104">
        <v>53239</v>
      </c>
      <c r="E3104" t="s">
        <v>114</v>
      </c>
      <c r="F3104">
        <v>12027</v>
      </c>
      <c r="G3104">
        <v>0.77602783049485258</v>
      </c>
      <c r="H3104">
        <v>0</v>
      </c>
      <c r="I3104">
        <v>0</v>
      </c>
      <c r="J3104">
        <v>0.68140294795746004</v>
      </c>
      <c r="K3104">
        <v>0</v>
      </c>
      <c r="L3104">
        <v>0</v>
      </c>
      <c r="M3104">
        <v>0.49552090781419111</v>
      </c>
      <c r="N3104">
        <v>0</v>
      </c>
      <c r="O3104">
        <v>0</v>
      </c>
      <c r="P3104">
        <v>0.60221919370254762</v>
      </c>
      <c r="Q3104">
        <v>1.088761903989705</v>
      </c>
      <c r="R3104">
        <v>1.949569824305011</v>
      </c>
      <c r="S3104">
        <v>0.18593335765508159</v>
      </c>
      <c r="T3104">
        <v>0.14770412495549071</v>
      </c>
      <c r="U3104">
        <v>4.4179587365926656</v>
      </c>
      <c r="V3104">
        <v>0.21013472984942591</v>
      </c>
      <c r="W3104">
        <v>6.7596749901055952</v>
      </c>
      <c r="X3104">
        <v>0.29481763356261581</v>
      </c>
      <c r="Z3104" t="s">
        <v>392</v>
      </c>
      <c r="AA3104">
        <v>114</v>
      </c>
      <c r="AB3104" t="s">
        <v>3495</v>
      </c>
      <c r="AC3104" t="str">
        <f>HYPERLINK("plots/3FT6Y578R04_015_S21P_20251218081014_M5358ACSC201811_RBGEUFRF04/dpll_52046/txpa_53239.png","plot")</f>
        <v>plot</v>
      </c>
    </row>
    <row r="3105" spans="1:29" x14ac:dyDescent="0.35">
      <c r="A3105" s="4" t="s">
        <v>49</v>
      </c>
      <c r="B3105">
        <v>52046</v>
      </c>
      <c r="C3105" t="s">
        <v>51</v>
      </c>
      <c r="D3105">
        <v>53240</v>
      </c>
      <c r="E3105" t="s">
        <v>115</v>
      </c>
      <c r="F3105">
        <v>12027</v>
      </c>
      <c r="G3105">
        <v>0.78059204205704069</v>
      </c>
      <c r="H3105">
        <v>0</v>
      </c>
      <c r="I3105">
        <v>0</v>
      </c>
      <c r="J3105">
        <v>0.69670970889585138</v>
      </c>
      <c r="K3105">
        <v>0</v>
      </c>
      <c r="L3105">
        <v>0</v>
      </c>
      <c r="M3105">
        <v>0.50985173657020844</v>
      </c>
      <c r="N3105">
        <v>0</v>
      </c>
      <c r="O3105">
        <v>0</v>
      </c>
      <c r="P3105">
        <v>0.6093239361227808</v>
      </c>
      <c r="Q3105">
        <v>1.104432081371332</v>
      </c>
      <c r="R3105">
        <v>1.8887897369723581</v>
      </c>
      <c r="S3105">
        <v>0.18581811057420769</v>
      </c>
      <c r="T3105">
        <v>0.14735680512260921</v>
      </c>
      <c r="U3105">
        <v>4.417954512264072</v>
      </c>
      <c r="V3105">
        <v>0.21012745463637059</v>
      </c>
      <c r="W3105">
        <v>6.7681204343560326</v>
      </c>
      <c r="X3105">
        <v>0.29730190621178337</v>
      </c>
      <c r="Z3105" t="s">
        <v>392</v>
      </c>
      <c r="AA3105">
        <v>114</v>
      </c>
      <c r="AB3105" t="s">
        <v>3496</v>
      </c>
      <c r="AC3105" t="str">
        <f>HYPERLINK("plots/3FT6Y578R04_015_S21P_20251218081014_M5358ACSC201811_RBGEUFRF04/dpll_52046/txpa_53240.png","plot")</f>
        <v>plot</v>
      </c>
    </row>
    <row r="3106" spans="1:29" x14ac:dyDescent="0.35">
      <c r="A3106" s="4" t="s">
        <v>49</v>
      </c>
      <c r="B3106">
        <v>52046</v>
      </c>
      <c r="C3106" t="s">
        <v>51</v>
      </c>
      <c r="D3106">
        <v>53241</v>
      </c>
      <c r="E3106" t="s">
        <v>116</v>
      </c>
      <c r="F3106">
        <v>12028</v>
      </c>
      <c r="G3106">
        <v>0.77751355849090908</v>
      </c>
      <c r="H3106">
        <v>0</v>
      </c>
      <c r="I3106">
        <v>0</v>
      </c>
      <c r="J3106">
        <v>0.6878829437608267</v>
      </c>
      <c r="K3106">
        <v>0</v>
      </c>
      <c r="L3106">
        <v>0</v>
      </c>
      <c r="M3106">
        <v>0.50230786031073138</v>
      </c>
      <c r="N3106">
        <v>0</v>
      </c>
      <c r="O3106">
        <v>0</v>
      </c>
      <c r="P3106">
        <v>0.60452733363719635</v>
      </c>
      <c r="Q3106">
        <v>1.087582429083888</v>
      </c>
      <c r="R3106">
        <v>1.9701538410216439</v>
      </c>
      <c r="S3106">
        <v>0.18485042588602291</v>
      </c>
      <c r="T3106">
        <v>0.146870987940386</v>
      </c>
      <c r="U3106">
        <v>4.4179867093448619</v>
      </c>
      <c r="V3106">
        <v>0.2101483876699779</v>
      </c>
      <c r="W3106">
        <v>6.77507855803126</v>
      </c>
      <c r="X3106">
        <v>0.29395460880937091</v>
      </c>
      <c r="Z3106" t="s">
        <v>392</v>
      </c>
      <c r="AA3106">
        <v>114</v>
      </c>
      <c r="AB3106" t="s">
        <v>3497</v>
      </c>
      <c r="AC3106" t="str">
        <f>HYPERLINK("plots/3FT6Y578R04_015_S21P_20251218081014_M5358ACSC201811_RBGEUFRF04/dpll_52046/txpa_53241.png","plot")</f>
        <v>plot</v>
      </c>
    </row>
    <row r="3107" spans="1:29" x14ac:dyDescent="0.35">
      <c r="A3107" s="4" t="s">
        <v>49</v>
      </c>
      <c r="B3107">
        <v>52046</v>
      </c>
      <c r="C3107" t="s">
        <v>51</v>
      </c>
      <c r="D3107">
        <v>53242</v>
      </c>
      <c r="E3107" t="s">
        <v>117</v>
      </c>
      <c r="F3107">
        <v>12027</v>
      </c>
      <c r="G3107">
        <v>0.77146708719801427</v>
      </c>
      <c r="H3107">
        <v>0</v>
      </c>
      <c r="I3107">
        <v>0</v>
      </c>
      <c r="J3107">
        <v>0.68247051785048851</v>
      </c>
      <c r="K3107">
        <v>0</v>
      </c>
      <c r="L3107">
        <v>0</v>
      </c>
      <c r="M3107">
        <v>0.49795136447245419</v>
      </c>
      <c r="N3107">
        <v>0</v>
      </c>
      <c r="O3107">
        <v>0</v>
      </c>
      <c r="P3107">
        <v>0.59516146662978853</v>
      </c>
      <c r="Q3107">
        <v>1.0802268862965301</v>
      </c>
      <c r="R3107">
        <v>1.9611696694481759</v>
      </c>
      <c r="S3107">
        <v>0.18721133998844891</v>
      </c>
      <c r="T3107">
        <v>0.14765466117079809</v>
      </c>
      <c r="U3107">
        <v>4.418010118566559</v>
      </c>
      <c r="V3107">
        <v>0.21014144114715341</v>
      </c>
      <c r="W3107">
        <v>6.7336229834538948</v>
      </c>
      <c r="X3107">
        <v>0.29424513167078298</v>
      </c>
      <c r="Z3107" t="s">
        <v>392</v>
      </c>
      <c r="AA3107">
        <v>114</v>
      </c>
      <c r="AB3107" t="s">
        <v>3498</v>
      </c>
      <c r="AC3107" t="str">
        <f>HYPERLINK("plots/3FT6Y578R04_015_S21P_20251218081014_M5358ACSC201811_RBGEUFRF04/dpll_52046/txpa_53242.png","plot")</f>
        <v>plot</v>
      </c>
    </row>
    <row r="3108" spans="1:29" x14ac:dyDescent="0.35">
      <c r="A3108" s="4" t="s">
        <v>49</v>
      </c>
      <c r="B3108">
        <v>52046</v>
      </c>
      <c r="C3108" t="s">
        <v>51</v>
      </c>
      <c r="D3108">
        <v>53243</v>
      </c>
      <c r="E3108" t="s">
        <v>118</v>
      </c>
      <c r="F3108">
        <v>12028</v>
      </c>
      <c r="G3108">
        <v>0.76498861178873112</v>
      </c>
      <c r="H3108">
        <v>0</v>
      </c>
      <c r="I3108">
        <v>0</v>
      </c>
      <c r="J3108">
        <v>0.6775000122715118</v>
      </c>
      <c r="K3108">
        <v>0</v>
      </c>
      <c r="L3108">
        <v>0</v>
      </c>
      <c r="M3108">
        <v>0.49110340555672027</v>
      </c>
      <c r="N3108">
        <v>0</v>
      </c>
      <c r="O3108">
        <v>0</v>
      </c>
      <c r="P3108">
        <v>0.58520757616644992</v>
      </c>
      <c r="Q3108">
        <v>1.1113103075332</v>
      </c>
      <c r="R3108">
        <v>2.880184778068053</v>
      </c>
      <c r="S3108">
        <v>0.1966091783879779</v>
      </c>
      <c r="T3108">
        <v>0.15386689563000339</v>
      </c>
      <c r="U3108">
        <v>4.4179867093448619</v>
      </c>
      <c r="V3108">
        <v>0.2101483876699779</v>
      </c>
      <c r="W3108">
        <v>7.7899389467076823</v>
      </c>
      <c r="X3108">
        <v>0.30528568102870901</v>
      </c>
      <c r="Z3108" t="s">
        <v>392</v>
      </c>
      <c r="AA3108">
        <v>114</v>
      </c>
      <c r="AB3108" t="s">
        <v>3499</v>
      </c>
      <c r="AC3108" t="str">
        <f>HYPERLINK("plots/3FT6Y578R04_015_S21P_20251218081014_M5358ACSC201811_RBGEUFRF04/dpll_52046/txpa_53243.png","plot")</f>
        <v>plot</v>
      </c>
    </row>
    <row r="3109" spans="1:29" x14ac:dyDescent="0.35">
      <c r="A3109" s="4" t="s">
        <v>49</v>
      </c>
      <c r="B3109">
        <v>52046</v>
      </c>
      <c r="C3109" t="s">
        <v>51</v>
      </c>
      <c r="D3109">
        <v>53244</v>
      </c>
      <c r="E3109" t="s">
        <v>119</v>
      </c>
      <c r="F3109">
        <v>12028</v>
      </c>
      <c r="G3109">
        <v>0.7824144271172836</v>
      </c>
      <c r="H3109">
        <v>0</v>
      </c>
      <c r="I3109">
        <v>0</v>
      </c>
      <c r="J3109">
        <v>0.69311398125289669</v>
      </c>
      <c r="K3109">
        <v>0</v>
      </c>
      <c r="L3109">
        <v>0</v>
      </c>
      <c r="M3109">
        <v>0.50712172769009178</v>
      </c>
      <c r="N3109">
        <v>0</v>
      </c>
      <c r="O3109">
        <v>0</v>
      </c>
      <c r="P3109">
        <v>0.61217233576126706</v>
      </c>
      <c r="Q3109">
        <v>1.148479088471251</v>
      </c>
      <c r="R3109">
        <v>2.7493908268469398</v>
      </c>
      <c r="S3109">
        <v>0.1920939303014107</v>
      </c>
      <c r="T3109">
        <v>0.15172328717644259</v>
      </c>
      <c r="U3109">
        <v>4.4179867093448619</v>
      </c>
      <c r="V3109">
        <v>0.2101483876699779</v>
      </c>
      <c r="W3109">
        <v>7.8233561756734282</v>
      </c>
      <c r="X3109">
        <v>0.30846955315503272</v>
      </c>
      <c r="Z3109" t="s">
        <v>392</v>
      </c>
      <c r="AA3109">
        <v>114</v>
      </c>
      <c r="AB3109" t="s">
        <v>3500</v>
      </c>
      <c r="AC3109" t="str">
        <f>HYPERLINK("plots/3FT6Y578R04_015_S21P_20251218081014_M5358ACSC201811_RBGEUFRF04/dpll_52046/txpa_53244.png","plot")</f>
        <v>plot</v>
      </c>
    </row>
    <row r="3110" spans="1:29" x14ac:dyDescent="0.35">
      <c r="A3110" s="4" t="s">
        <v>49</v>
      </c>
      <c r="B3110">
        <v>52046</v>
      </c>
      <c r="C3110" t="s">
        <v>51</v>
      </c>
      <c r="D3110">
        <v>53245</v>
      </c>
      <c r="E3110" t="s">
        <v>120</v>
      </c>
      <c r="F3110">
        <v>12028</v>
      </c>
      <c r="G3110">
        <v>0.77370255954446177</v>
      </c>
      <c r="H3110">
        <v>0</v>
      </c>
      <c r="I3110">
        <v>0</v>
      </c>
      <c r="J3110">
        <v>0.6812313279346337</v>
      </c>
      <c r="K3110">
        <v>0</v>
      </c>
      <c r="L3110">
        <v>0</v>
      </c>
      <c r="M3110">
        <v>0.49592392939563512</v>
      </c>
      <c r="N3110">
        <v>0</v>
      </c>
      <c r="O3110">
        <v>0</v>
      </c>
      <c r="P3110">
        <v>0.59861565064565136</v>
      </c>
      <c r="Q3110">
        <v>1.1111366067768269</v>
      </c>
      <c r="R3110">
        <v>2.9326711030606081</v>
      </c>
      <c r="S3110">
        <v>0.19119725268568349</v>
      </c>
      <c r="T3110">
        <v>0.1504815312467627</v>
      </c>
      <c r="U3110">
        <v>4.4179867093448619</v>
      </c>
      <c r="V3110">
        <v>0.2101483876699779</v>
      </c>
      <c r="W3110">
        <v>7.8416578640671766</v>
      </c>
      <c r="X3110">
        <v>0.30180017309587542</v>
      </c>
      <c r="Z3110" t="s">
        <v>392</v>
      </c>
      <c r="AA3110">
        <v>114</v>
      </c>
      <c r="AB3110" t="s">
        <v>3501</v>
      </c>
      <c r="AC3110" t="str">
        <f>HYPERLINK("plots/3FT6Y578R04_015_S21P_20251218081014_M5358ACSC201811_RBGEUFRF04/dpll_52046/txpa_53245.png","plot")</f>
        <v>plot</v>
      </c>
    </row>
    <row r="3111" spans="1:29" x14ac:dyDescent="0.35">
      <c r="A3111" s="4" t="s">
        <v>49</v>
      </c>
      <c r="B3111">
        <v>52046</v>
      </c>
      <c r="C3111" t="s">
        <v>51</v>
      </c>
      <c r="D3111">
        <v>53246</v>
      </c>
      <c r="E3111" t="s">
        <v>121</v>
      </c>
      <c r="F3111">
        <v>12027</v>
      </c>
      <c r="G3111">
        <v>0.78634926132327043</v>
      </c>
      <c r="H3111">
        <v>0</v>
      </c>
      <c r="I3111">
        <v>0</v>
      </c>
      <c r="J3111">
        <v>0.69375769981864488</v>
      </c>
      <c r="K3111">
        <v>0</v>
      </c>
      <c r="L3111">
        <v>0</v>
      </c>
      <c r="M3111">
        <v>0.50791767807907784</v>
      </c>
      <c r="N3111">
        <v>0</v>
      </c>
      <c r="O3111">
        <v>0</v>
      </c>
      <c r="P3111">
        <v>0.61834516078365309</v>
      </c>
      <c r="Q3111">
        <v>1.1459049668947769</v>
      </c>
      <c r="R3111">
        <v>2.7808181163792169</v>
      </c>
      <c r="S3111">
        <v>0.18918662213206219</v>
      </c>
      <c r="T3111">
        <v>0.1494557145149939</v>
      </c>
      <c r="U3111">
        <v>4.417995080651866</v>
      </c>
      <c r="V3111">
        <v>0.21015511914181201</v>
      </c>
      <c r="W3111">
        <v>7.8434206230148833</v>
      </c>
      <c r="X3111">
        <v>0.30624788079245768</v>
      </c>
      <c r="Z3111" t="s">
        <v>392</v>
      </c>
      <c r="AA3111">
        <v>114</v>
      </c>
      <c r="AB3111" t="s">
        <v>3502</v>
      </c>
      <c r="AC3111" t="str">
        <f>HYPERLINK("plots/3FT6Y578R04_015_S21P_20251218081014_M5358ACSC201811_RBGEUFRF04/dpll_52046/txpa_53246.png","plot")</f>
        <v>plot</v>
      </c>
    </row>
    <row r="3112" spans="1:29" x14ac:dyDescent="0.35">
      <c r="A3112" s="4" t="s">
        <v>49</v>
      </c>
      <c r="B3112">
        <v>52046</v>
      </c>
      <c r="C3112" t="s">
        <v>51</v>
      </c>
      <c r="D3112">
        <v>53247</v>
      </c>
      <c r="E3112" t="s">
        <v>122</v>
      </c>
      <c r="F3112">
        <v>12027</v>
      </c>
      <c r="G3112">
        <v>0.78781494276712949</v>
      </c>
      <c r="H3112">
        <v>0</v>
      </c>
      <c r="I3112">
        <v>0</v>
      </c>
      <c r="J3112">
        <v>0.69016499175230839</v>
      </c>
      <c r="K3112">
        <v>0</v>
      </c>
      <c r="L3112">
        <v>0</v>
      </c>
      <c r="M3112">
        <v>0.50324824484110087</v>
      </c>
      <c r="N3112">
        <v>0</v>
      </c>
      <c r="O3112">
        <v>0</v>
      </c>
      <c r="P3112">
        <v>0.62065238404717549</v>
      </c>
      <c r="Q3112">
        <v>1.143219059114339</v>
      </c>
      <c r="R3112">
        <v>2.778454165074185</v>
      </c>
      <c r="S3112">
        <v>0.18780350876017521</v>
      </c>
      <c r="T3112">
        <v>0.14902397384183549</v>
      </c>
      <c r="U3112">
        <v>4.4179587365926656</v>
      </c>
      <c r="V3112">
        <v>0.21013472984942591</v>
      </c>
      <c r="W3112">
        <v>7.8291487951276304</v>
      </c>
      <c r="X3112">
        <v>0.30493205333465739</v>
      </c>
      <c r="Z3112" t="s">
        <v>392</v>
      </c>
      <c r="AA3112">
        <v>114</v>
      </c>
      <c r="AB3112" t="s">
        <v>3503</v>
      </c>
      <c r="AC3112" t="str">
        <f>HYPERLINK("plots/3FT6Y578R04_015_S21P_20251218081014_M5358ACSC201811_RBGEUFRF04/dpll_52046/txpa_53247.png","plot")</f>
        <v>plot</v>
      </c>
    </row>
    <row r="3113" spans="1:29" x14ac:dyDescent="0.35">
      <c r="A3113" s="4" t="s">
        <v>49</v>
      </c>
      <c r="B3113">
        <v>52046</v>
      </c>
      <c r="C3113" t="s">
        <v>51</v>
      </c>
      <c r="D3113">
        <v>53248</v>
      </c>
      <c r="E3113" t="s">
        <v>123</v>
      </c>
      <c r="F3113">
        <v>12027</v>
      </c>
      <c r="G3113">
        <v>0.79195942778897843</v>
      </c>
      <c r="H3113">
        <v>0</v>
      </c>
      <c r="I3113">
        <v>0</v>
      </c>
      <c r="J3113">
        <v>0.70490750540328617</v>
      </c>
      <c r="K3113">
        <v>0</v>
      </c>
      <c r="L3113">
        <v>0</v>
      </c>
      <c r="M3113">
        <v>0.51728922881687378</v>
      </c>
      <c r="N3113">
        <v>0</v>
      </c>
      <c r="O3113">
        <v>0</v>
      </c>
      <c r="P3113">
        <v>0.62719973526384609</v>
      </c>
      <c r="Q3113">
        <v>1.157989014789268</v>
      </c>
      <c r="R3113">
        <v>2.722330972819675</v>
      </c>
      <c r="S3113">
        <v>0.18758769905163669</v>
      </c>
      <c r="T3113">
        <v>0.14855615129272781</v>
      </c>
      <c r="U3113">
        <v>4.417954512264072</v>
      </c>
      <c r="V3113">
        <v>0.21012745463637059</v>
      </c>
      <c r="W3113">
        <v>7.8382737658601487</v>
      </c>
      <c r="X3113">
        <v>0.3072446335462814</v>
      </c>
      <c r="Z3113" t="s">
        <v>392</v>
      </c>
      <c r="AA3113">
        <v>114</v>
      </c>
      <c r="AB3113" t="s">
        <v>3504</v>
      </c>
      <c r="AC3113" t="str">
        <f>HYPERLINK("plots/3FT6Y578R04_015_S21P_20251218081014_M5358ACSC201811_RBGEUFRF04/dpll_52046/txpa_53248.png","plot")</f>
        <v>plot</v>
      </c>
    </row>
    <row r="3114" spans="1:29" x14ac:dyDescent="0.35">
      <c r="A3114" s="4" t="s">
        <v>49</v>
      </c>
      <c r="B3114">
        <v>52046</v>
      </c>
      <c r="C3114" t="s">
        <v>51</v>
      </c>
      <c r="D3114">
        <v>53249</v>
      </c>
      <c r="E3114" t="s">
        <v>124</v>
      </c>
      <c r="F3114">
        <v>12028</v>
      </c>
      <c r="G3114">
        <v>0.78952562391522274</v>
      </c>
      <c r="H3114">
        <v>0</v>
      </c>
      <c r="I3114">
        <v>0</v>
      </c>
      <c r="J3114">
        <v>0.69641736004229171</v>
      </c>
      <c r="K3114">
        <v>0</v>
      </c>
      <c r="L3114">
        <v>0</v>
      </c>
      <c r="M3114">
        <v>0.50996772278481795</v>
      </c>
      <c r="N3114">
        <v>0</v>
      </c>
      <c r="O3114">
        <v>0</v>
      </c>
      <c r="P3114">
        <v>0.62335071081872173</v>
      </c>
      <c r="Q3114">
        <v>1.1419764142177089</v>
      </c>
      <c r="R3114">
        <v>2.8003321567874222</v>
      </c>
      <c r="S3114">
        <v>0.186538074243112</v>
      </c>
      <c r="T3114">
        <v>0.1480127201617068</v>
      </c>
      <c r="U3114">
        <v>4.4179867093448619</v>
      </c>
      <c r="V3114">
        <v>0.2101483876699779</v>
      </c>
      <c r="W3114">
        <v>7.8455687771865632</v>
      </c>
      <c r="X3114">
        <v>0.30396037181785401</v>
      </c>
      <c r="Z3114" t="s">
        <v>392</v>
      </c>
      <c r="AA3114">
        <v>114</v>
      </c>
      <c r="AB3114" t="s">
        <v>3505</v>
      </c>
      <c r="AC3114" t="str">
        <f>HYPERLINK("plots/3FT6Y578R04_015_S21P_20251218081014_M5358ACSC201811_RBGEUFRF04/dpll_52046/txpa_53249.png","plot")</f>
        <v>plot</v>
      </c>
    </row>
    <row r="3115" spans="1:29" x14ac:dyDescent="0.35">
      <c r="A3115" s="4" t="s">
        <v>49</v>
      </c>
      <c r="B3115">
        <v>52046</v>
      </c>
      <c r="C3115" t="s">
        <v>51</v>
      </c>
      <c r="D3115">
        <v>53250</v>
      </c>
      <c r="E3115" t="s">
        <v>125</v>
      </c>
      <c r="F3115">
        <v>12027</v>
      </c>
      <c r="G3115">
        <v>0.7832875344093233</v>
      </c>
      <c r="H3115">
        <v>0</v>
      </c>
      <c r="I3115">
        <v>0</v>
      </c>
      <c r="J3115">
        <v>0.69107623444545707</v>
      </c>
      <c r="K3115">
        <v>0</v>
      </c>
      <c r="L3115">
        <v>0</v>
      </c>
      <c r="M3115">
        <v>0.50555607291109483</v>
      </c>
      <c r="N3115">
        <v>0</v>
      </c>
      <c r="O3115">
        <v>0</v>
      </c>
      <c r="P3115">
        <v>0.61353936156103683</v>
      </c>
      <c r="Q3115">
        <v>1.1327822302111381</v>
      </c>
      <c r="R3115">
        <v>2.7996874236257638</v>
      </c>
      <c r="S3115">
        <v>0.18891719851807701</v>
      </c>
      <c r="T3115">
        <v>0.148848872173721</v>
      </c>
      <c r="U3115">
        <v>4.418010118566559</v>
      </c>
      <c r="V3115">
        <v>0.21014144114715341</v>
      </c>
      <c r="W3115">
        <v>7.8043307788309626</v>
      </c>
      <c r="X3115">
        <v>0.30390435172948888</v>
      </c>
      <c r="Z3115" t="s">
        <v>392</v>
      </c>
      <c r="AA3115">
        <v>114</v>
      </c>
      <c r="AB3115" t="s">
        <v>3506</v>
      </c>
      <c r="AC3115" t="str">
        <f>HYPERLINK("plots/3FT6Y578R04_015_S21P_20251218081014_M5358ACSC201811_RBGEUFRF04/dpll_52046/txpa_53250.png","plot")</f>
        <v>plot</v>
      </c>
    </row>
    <row r="3116" spans="1:29" x14ac:dyDescent="0.35">
      <c r="A3116" s="4" t="s">
        <v>49</v>
      </c>
      <c r="B3116">
        <v>52046</v>
      </c>
      <c r="C3116" t="s">
        <v>51</v>
      </c>
      <c r="D3116">
        <v>53251</v>
      </c>
      <c r="E3116" t="s">
        <v>126</v>
      </c>
      <c r="F3116">
        <v>12028</v>
      </c>
      <c r="G3116">
        <v>0.77931004877535548</v>
      </c>
      <c r="H3116">
        <v>0</v>
      </c>
      <c r="I3116">
        <v>0</v>
      </c>
      <c r="J3116">
        <v>0.6875282898655527</v>
      </c>
      <c r="K3116">
        <v>0</v>
      </c>
      <c r="L3116">
        <v>0</v>
      </c>
      <c r="M3116">
        <v>0.49985965997323911</v>
      </c>
      <c r="N3116">
        <v>0</v>
      </c>
      <c r="O3116">
        <v>0</v>
      </c>
      <c r="P3116">
        <v>0.60732415212224689</v>
      </c>
      <c r="Q3116">
        <v>1.177430137896323</v>
      </c>
      <c r="R3116">
        <v>3.6570487623455321</v>
      </c>
      <c r="S3116">
        <v>0.19895276298328141</v>
      </c>
      <c r="T3116">
        <v>0.15527389130590011</v>
      </c>
      <c r="U3116">
        <v>4.4179867093448619</v>
      </c>
      <c r="V3116">
        <v>0.2101483876699779</v>
      </c>
      <c r="W3116">
        <v>8.8589194627535743</v>
      </c>
      <c r="X3116">
        <v>0.31750526694963471</v>
      </c>
      <c r="Z3116" t="s">
        <v>392</v>
      </c>
      <c r="AA3116">
        <v>114</v>
      </c>
      <c r="AB3116" t="s">
        <v>3507</v>
      </c>
      <c r="AC3116" t="str">
        <f>HYPERLINK("plots/3FT6Y578R04_015_S21P_20251218081014_M5358ACSC201811_RBGEUFRF04/dpll_52046/txpa_53251.png","plot")</f>
        <v>plot</v>
      </c>
    </row>
    <row r="3117" spans="1:29" x14ac:dyDescent="0.35">
      <c r="A3117" s="4" t="s">
        <v>49</v>
      </c>
      <c r="B3117">
        <v>52046</v>
      </c>
      <c r="C3117" t="s">
        <v>51</v>
      </c>
      <c r="D3117">
        <v>53252</v>
      </c>
      <c r="E3117" t="s">
        <v>127</v>
      </c>
      <c r="F3117">
        <v>12028</v>
      </c>
      <c r="G3117">
        <v>0.79550658122280349</v>
      </c>
      <c r="H3117">
        <v>0</v>
      </c>
      <c r="I3117">
        <v>0</v>
      </c>
      <c r="J3117">
        <v>0.7023468091774373</v>
      </c>
      <c r="K3117">
        <v>0</v>
      </c>
      <c r="L3117">
        <v>0</v>
      </c>
      <c r="M3117">
        <v>0.51539274913373656</v>
      </c>
      <c r="N3117">
        <v>0</v>
      </c>
      <c r="O3117">
        <v>0</v>
      </c>
      <c r="P3117">
        <v>0.63283072076879288</v>
      </c>
      <c r="Q3117">
        <v>1.214847672877194</v>
      </c>
      <c r="R3117">
        <v>3.52398163159013</v>
      </c>
      <c r="S3117">
        <v>0.1944550497664862</v>
      </c>
      <c r="T3117">
        <v>0.15335936285726021</v>
      </c>
      <c r="U3117">
        <v>4.4179867093448619</v>
      </c>
      <c r="V3117">
        <v>0.2101483876699779</v>
      </c>
      <c r="W3117">
        <v>8.891162504240107</v>
      </c>
      <c r="X3117">
        <v>0.32092541500704919</v>
      </c>
      <c r="Z3117" t="s">
        <v>392</v>
      </c>
      <c r="AA3117">
        <v>114</v>
      </c>
      <c r="AB3117" t="s">
        <v>3508</v>
      </c>
      <c r="AC3117" t="str">
        <f>HYPERLINK("plots/3FT6Y578R04_015_S21P_20251218081014_M5358ACSC201811_RBGEUFRF04/dpll_52046/txpa_53252.png","plot")</f>
        <v>plot</v>
      </c>
    </row>
    <row r="3118" spans="1:29" x14ac:dyDescent="0.35">
      <c r="A3118" s="4" t="s">
        <v>49</v>
      </c>
      <c r="B3118">
        <v>52046</v>
      </c>
      <c r="C3118" t="s">
        <v>51</v>
      </c>
      <c r="D3118">
        <v>53253</v>
      </c>
      <c r="E3118" t="s">
        <v>128</v>
      </c>
      <c r="F3118">
        <v>12028</v>
      </c>
      <c r="G3118">
        <v>0.78806036025007342</v>
      </c>
      <c r="H3118">
        <v>0</v>
      </c>
      <c r="I3118">
        <v>0</v>
      </c>
      <c r="J3118">
        <v>0.69149066308316831</v>
      </c>
      <c r="K3118">
        <v>0</v>
      </c>
      <c r="L3118">
        <v>0</v>
      </c>
      <c r="M3118">
        <v>0.50496441371401235</v>
      </c>
      <c r="N3118">
        <v>0</v>
      </c>
      <c r="O3118">
        <v>0</v>
      </c>
      <c r="P3118">
        <v>0.62103913139747546</v>
      </c>
      <c r="Q3118">
        <v>1.177976223395089</v>
      </c>
      <c r="R3118">
        <v>3.705181332143844</v>
      </c>
      <c r="S3118">
        <v>0.1933669438953575</v>
      </c>
      <c r="T3118">
        <v>0.1518069150818375</v>
      </c>
      <c r="U3118">
        <v>4.4179867093448619</v>
      </c>
      <c r="V3118">
        <v>0.2101483876699779</v>
      </c>
      <c r="W3118">
        <v>8.9094646310276016</v>
      </c>
      <c r="X3118">
        <v>0.314125435748974</v>
      </c>
      <c r="Z3118" t="s">
        <v>392</v>
      </c>
      <c r="AA3118">
        <v>114</v>
      </c>
      <c r="AB3118" t="s">
        <v>3509</v>
      </c>
      <c r="AC3118" t="str">
        <f>HYPERLINK("plots/3FT6Y578R04_015_S21P_20251218081014_M5358ACSC201811_RBGEUFRF04/dpll_52046/txpa_53253.png","plot")</f>
        <v>plot</v>
      </c>
    </row>
    <row r="3119" spans="1:29" x14ac:dyDescent="0.35">
      <c r="A3119" s="4" t="s">
        <v>49</v>
      </c>
      <c r="B3119">
        <v>52046</v>
      </c>
      <c r="C3119" t="s">
        <v>51</v>
      </c>
      <c r="D3119">
        <v>53254</v>
      </c>
      <c r="E3119" t="s">
        <v>129</v>
      </c>
      <c r="F3119">
        <v>12027</v>
      </c>
      <c r="G3119">
        <v>0.79962313711165467</v>
      </c>
      <c r="H3119">
        <v>0</v>
      </c>
      <c r="I3119">
        <v>0</v>
      </c>
      <c r="J3119">
        <v>0.70331011191546233</v>
      </c>
      <c r="K3119">
        <v>0</v>
      </c>
      <c r="L3119">
        <v>0</v>
      </c>
      <c r="M3119">
        <v>0.51641285532514958</v>
      </c>
      <c r="N3119">
        <v>0</v>
      </c>
      <c r="O3119">
        <v>0</v>
      </c>
      <c r="P3119">
        <v>0.63939716140428404</v>
      </c>
      <c r="Q3119">
        <v>1.213108645636213</v>
      </c>
      <c r="R3119">
        <v>3.551845750363364</v>
      </c>
      <c r="S3119">
        <v>0.191448000168778</v>
      </c>
      <c r="T3119">
        <v>0.15103875625991739</v>
      </c>
      <c r="U3119">
        <v>4.417995080651866</v>
      </c>
      <c r="V3119">
        <v>0.21015511914181201</v>
      </c>
      <c r="W3119">
        <v>8.911353779080402</v>
      </c>
      <c r="X3119">
        <v>0.31882643225722718</v>
      </c>
      <c r="Z3119" t="s">
        <v>392</v>
      </c>
      <c r="AA3119">
        <v>114</v>
      </c>
      <c r="AB3119" t="s">
        <v>3510</v>
      </c>
      <c r="AC3119" t="str">
        <f>HYPERLINK("plots/3FT6Y578R04_015_S21P_20251218081014_M5358ACSC201811_RBGEUFRF04/dpll_52046/txpa_53254.png","plot")</f>
        <v>plot</v>
      </c>
    </row>
    <row r="3120" spans="1:29" x14ac:dyDescent="0.35">
      <c r="A3120" s="4" t="s">
        <v>49</v>
      </c>
      <c r="B3120">
        <v>52046</v>
      </c>
      <c r="C3120" t="s">
        <v>51</v>
      </c>
      <c r="D3120">
        <v>53255</v>
      </c>
      <c r="E3120" t="s">
        <v>130</v>
      </c>
      <c r="F3120">
        <v>12027</v>
      </c>
      <c r="G3120">
        <v>0.80089776207350027</v>
      </c>
      <c r="H3120">
        <v>0</v>
      </c>
      <c r="I3120">
        <v>0</v>
      </c>
      <c r="J3120">
        <v>0.69946936581353192</v>
      </c>
      <c r="K3120">
        <v>0</v>
      </c>
      <c r="L3120">
        <v>0</v>
      </c>
      <c r="M3120">
        <v>0.51151505699951805</v>
      </c>
      <c r="N3120">
        <v>0</v>
      </c>
      <c r="O3120">
        <v>0</v>
      </c>
      <c r="P3120">
        <v>0.64143722529434111</v>
      </c>
      <c r="Q3120">
        <v>1.210187224050038</v>
      </c>
      <c r="R3120">
        <v>3.5496438278223832</v>
      </c>
      <c r="S3120">
        <v>0.1901244032385874</v>
      </c>
      <c r="T3120">
        <v>0.15059594905730789</v>
      </c>
      <c r="U3120">
        <v>4.4179587365926656</v>
      </c>
      <c r="V3120">
        <v>0.21013472984942591</v>
      </c>
      <c r="W3120">
        <v>8.8962010472270734</v>
      </c>
      <c r="X3120">
        <v>0.31752163314153869</v>
      </c>
      <c r="Z3120" t="s">
        <v>392</v>
      </c>
      <c r="AA3120">
        <v>114</v>
      </c>
      <c r="AB3120" t="s">
        <v>3511</v>
      </c>
      <c r="AC3120" t="str">
        <f>HYPERLINK("plots/3FT6Y578R04_015_S21P_20251218081014_M5358ACSC201811_RBGEUFRF04/dpll_52046/txpa_53255.png","plot")</f>
        <v>plot</v>
      </c>
    </row>
    <row r="3121" spans="1:29" x14ac:dyDescent="0.35">
      <c r="A3121" s="4" t="s">
        <v>49</v>
      </c>
      <c r="B3121">
        <v>52046</v>
      </c>
      <c r="C3121" t="s">
        <v>51</v>
      </c>
      <c r="D3121">
        <v>53256</v>
      </c>
      <c r="E3121" t="s">
        <v>131</v>
      </c>
      <c r="F3121">
        <v>12027</v>
      </c>
      <c r="G3121">
        <v>0.80481016968356967</v>
      </c>
      <c r="H3121">
        <v>0</v>
      </c>
      <c r="I3121">
        <v>0</v>
      </c>
      <c r="J3121">
        <v>0.71395555450763426</v>
      </c>
      <c r="K3121">
        <v>0</v>
      </c>
      <c r="L3121">
        <v>0</v>
      </c>
      <c r="M3121">
        <v>0.52546569865879</v>
      </c>
      <c r="N3121">
        <v>0</v>
      </c>
      <c r="O3121">
        <v>0</v>
      </c>
      <c r="P3121">
        <v>0.64771940922609617</v>
      </c>
      <c r="Q3121">
        <v>1.2244505146836291</v>
      </c>
      <c r="R3121">
        <v>3.4964715422840449</v>
      </c>
      <c r="S3121">
        <v>0.18973912111884531</v>
      </c>
      <c r="T3121">
        <v>0.15001634219005219</v>
      </c>
      <c r="U3121">
        <v>4.417954512264072</v>
      </c>
      <c r="V3121">
        <v>0.21012745463637059</v>
      </c>
      <c r="W3121">
        <v>8.9060382186746487</v>
      </c>
      <c r="X3121">
        <v>0.31969112676573769</v>
      </c>
      <c r="Z3121" t="s">
        <v>392</v>
      </c>
      <c r="AA3121">
        <v>114</v>
      </c>
      <c r="AB3121" t="s">
        <v>3512</v>
      </c>
      <c r="AC3121" t="str">
        <f>HYPERLINK("plots/3FT6Y578R04_015_S21P_20251218081014_M5358ACSC201811_RBGEUFRF04/dpll_52046/txpa_53256.png","plot")</f>
        <v>plot</v>
      </c>
    </row>
    <row r="3122" spans="1:29" x14ac:dyDescent="0.35">
      <c r="A3122" s="4" t="s">
        <v>49</v>
      </c>
      <c r="B3122">
        <v>52046</v>
      </c>
      <c r="C3122" t="s">
        <v>51</v>
      </c>
      <c r="D3122">
        <v>53257</v>
      </c>
      <c r="E3122" t="s">
        <v>132</v>
      </c>
      <c r="F3122">
        <v>12028</v>
      </c>
      <c r="G3122">
        <v>0.80275249416146022</v>
      </c>
      <c r="H3122">
        <v>0</v>
      </c>
      <c r="I3122">
        <v>0</v>
      </c>
      <c r="J3122">
        <v>0.70559671995278472</v>
      </c>
      <c r="K3122">
        <v>0</v>
      </c>
      <c r="L3122">
        <v>0</v>
      </c>
      <c r="M3122">
        <v>0.51823964323478122</v>
      </c>
      <c r="N3122">
        <v>0</v>
      </c>
      <c r="O3122">
        <v>0</v>
      </c>
      <c r="P3122">
        <v>0.64441156688244527</v>
      </c>
      <c r="Q3122">
        <v>1.2082522496794861</v>
      </c>
      <c r="R3122">
        <v>3.5753980763969611</v>
      </c>
      <c r="S3122">
        <v>0.18860698368172821</v>
      </c>
      <c r="T3122">
        <v>0.1493605040554547</v>
      </c>
      <c r="U3122">
        <v>4.4179867093448619</v>
      </c>
      <c r="V3122">
        <v>0.2101483876699779</v>
      </c>
      <c r="W3122">
        <v>8.9134404570169607</v>
      </c>
      <c r="X3122">
        <v>0.31630205326736421</v>
      </c>
      <c r="Z3122" t="s">
        <v>392</v>
      </c>
      <c r="AA3122">
        <v>114</v>
      </c>
      <c r="AB3122" t="s">
        <v>3513</v>
      </c>
      <c r="AC3122" t="str">
        <f>HYPERLINK("plots/3FT6Y578R04_015_S21P_20251218081014_M5358ACSC201811_RBGEUFRF04/dpll_52046/txpa_53257.png","plot")</f>
        <v>plot</v>
      </c>
    </row>
    <row r="3123" spans="1:29" x14ac:dyDescent="0.35">
      <c r="A3123" s="4" t="s">
        <v>49</v>
      </c>
      <c r="B3123">
        <v>52046</v>
      </c>
      <c r="C3123" t="s">
        <v>51</v>
      </c>
      <c r="D3123">
        <v>53258</v>
      </c>
      <c r="E3123" t="s">
        <v>133</v>
      </c>
      <c r="F3123">
        <v>12027</v>
      </c>
      <c r="G3123">
        <v>0.79683618281005808</v>
      </c>
      <c r="H3123">
        <v>0</v>
      </c>
      <c r="I3123">
        <v>0</v>
      </c>
      <c r="J3123">
        <v>0.70068525675305326</v>
      </c>
      <c r="K3123">
        <v>0</v>
      </c>
      <c r="L3123">
        <v>0</v>
      </c>
      <c r="M3123">
        <v>0.51402774646052163</v>
      </c>
      <c r="N3123">
        <v>0</v>
      </c>
      <c r="O3123">
        <v>0</v>
      </c>
      <c r="P3123">
        <v>0.63494790223530428</v>
      </c>
      <c r="Q3123">
        <v>1.198935099780901</v>
      </c>
      <c r="R3123">
        <v>3.5764977515670888</v>
      </c>
      <c r="S3123">
        <v>0.1910282966302794</v>
      </c>
      <c r="T3123">
        <v>0.15021507595298009</v>
      </c>
      <c r="U3123">
        <v>4.418010118566559</v>
      </c>
      <c r="V3123">
        <v>0.21014144114715341</v>
      </c>
      <c r="W3123">
        <v>8.8734051539037164</v>
      </c>
      <c r="X3123">
        <v>0.31618286812902069</v>
      </c>
      <c r="Z3123" t="s">
        <v>392</v>
      </c>
      <c r="AA3123">
        <v>114</v>
      </c>
      <c r="AB3123" t="s">
        <v>3514</v>
      </c>
      <c r="AC3123" t="str">
        <f>HYPERLINK("plots/3FT6Y578R04_015_S21P_20251218081014_M5358ACSC201811_RBGEUFRF04/dpll_52046/txpa_53258.png","plot")</f>
        <v>plot</v>
      </c>
    </row>
    <row r="3124" spans="1:29" x14ac:dyDescent="0.35">
      <c r="A3124" s="4" t="s">
        <v>49</v>
      </c>
      <c r="B3124">
        <v>52046</v>
      </c>
      <c r="C3124" t="s">
        <v>51</v>
      </c>
      <c r="D3124">
        <v>53259</v>
      </c>
      <c r="E3124" t="s">
        <v>134</v>
      </c>
      <c r="F3124">
        <v>12028</v>
      </c>
      <c r="G3124">
        <v>0.78435544063192575</v>
      </c>
      <c r="H3124">
        <v>0</v>
      </c>
      <c r="I3124">
        <v>0</v>
      </c>
      <c r="J3124">
        <v>0.69081614786154066</v>
      </c>
      <c r="K3124">
        <v>0</v>
      </c>
      <c r="L3124">
        <v>0</v>
      </c>
      <c r="M3124">
        <v>0.50265020045196795</v>
      </c>
      <c r="N3124">
        <v>0</v>
      </c>
      <c r="O3124">
        <v>0</v>
      </c>
      <c r="P3124">
        <v>0.61521345724890242</v>
      </c>
      <c r="Q3124">
        <v>1.2072727207546481</v>
      </c>
      <c r="R3124">
        <v>4.054215940841412</v>
      </c>
      <c r="S3124">
        <v>0.20063672015169581</v>
      </c>
      <c r="T3124">
        <v>0.15634881008500159</v>
      </c>
      <c r="U3124">
        <v>4.4179867093448619</v>
      </c>
      <c r="V3124">
        <v>0.2101483876699779</v>
      </c>
      <c r="W3124">
        <v>9.387930775690057</v>
      </c>
      <c r="X3124">
        <v>0.32345847635114922</v>
      </c>
      <c r="Z3124" t="s">
        <v>392</v>
      </c>
      <c r="AA3124">
        <v>114</v>
      </c>
      <c r="AB3124" t="s">
        <v>3515</v>
      </c>
      <c r="AC3124" t="str">
        <f>HYPERLINK("plots/3FT6Y578R04_015_S21P_20251218081014_M5358ACSC201811_RBGEUFRF04/dpll_52046/txpa_53259.png","plot")</f>
        <v>plot</v>
      </c>
    </row>
    <row r="3125" spans="1:29" x14ac:dyDescent="0.35">
      <c r="A3125" s="4" t="s">
        <v>49</v>
      </c>
      <c r="B3125">
        <v>52046</v>
      </c>
      <c r="C3125" t="s">
        <v>51</v>
      </c>
      <c r="D3125">
        <v>53260</v>
      </c>
      <c r="E3125" t="s">
        <v>135</v>
      </c>
      <c r="F3125">
        <v>12028</v>
      </c>
      <c r="G3125">
        <v>0.80012299757928429</v>
      </c>
      <c r="H3125">
        <v>0</v>
      </c>
      <c r="I3125">
        <v>0</v>
      </c>
      <c r="J3125">
        <v>0.70533350993878408</v>
      </c>
      <c r="K3125">
        <v>0</v>
      </c>
      <c r="L3125">
        <v>0</v>
      </c>
      <c r="M3125">
        <v>0.5180457288934035</v>
      </c>
      <c r="N3125">
        <v>0</v>
      </c>
      <c r="O3125">
        <v>0</v>
      </c>
      <c r="P3125">
        <v>0.6401968112552594</v>
      </c>
      <c r="Q3125">
        <v>1.244479158125944</v>
      </c>
      <c r="R3125">
        <v>3.921823833592978</v>
      </c>
      <c r="S3125">
        <v>0.19605204935674439</v>
      </c>
      <c r="T3125">
        <v>0.15443364948703531</v>
      </c>
      <c r="U3125">
        <v>4.4179867093448619</v>
      </c>
      <c r="V3125">
        <v>0.2101483876699779</v>
      </c>
      <c r="W3125">
        <v>9.4199162142500832</v>
      </c>
      <c r="X3125">
        <v>0.32685635753538528</v>
      </c>
      <c r="Z3125" t="s">
        <v>392</v>
      </c>
      <c r="AA3125">
        <v>114</v>
      </c>
      <c r="AB3125" t="s">
        <v>3516</v>
      </c>
      <c r="AC3125" t="str">
        <f>HYPERLINK("plots/3FT6Y578R04_015_S21P_20251218081014_M5358ACSC201811_RBGEUFRF04/dpll_52046/txpa_53260.png","plot")</f>
        <v>plot</v>
      </c>
    </row>
    <row r="3126" spans="1:29" x14ac:dyDescent="0.35">
      <c r="A3126" s="4" t="s">
        <v>49</v>
      </c>
      <c r="B3126">
        <v>52046</v>
      </c>
      <c r="C3126" t="s">
        <v>51</v>
      </c>
      <c r="D3126">
        <v>53261</v>
      </c>
      <c r="E3126" t="s">
        <v>136</v>
      </c>
      <c r="F3126">
        <v>12028</v>
      </c>
      <c r="G3126">
        <v>0.79301674325368254</v>
      </c>
      <c r="H3126">
        <v>0</v>
      </c>
      <c r="I3126">
        <v>0</v>
      </c>
      <c r="J3126">
        <v>0.69478858903943141</v>
      </c>
      <c r="K3126">
        <v>0</v>
      </c>
      <c r="L3126">
        <v>0</v>
      </c>
      <c r="M3126">
        <v>0.5077879628365598</v>
      </c>
      <c r="N3126">
        <v>0</v>
      </c>
      <c r="O3126">
        <v>0</v>
      </c>
      <c r="P3126">
        <v>0.62887555508067705</v>
      </c>
      <c r="Q3126">
        <v>1.2075820810185109</v>
      </c>
      <c r="R3126">
        <v>4.1032093711376616</v>
      </c>
      <c r="S3126">
        <v>0.1949405072418238</v>
      </c>
      <c r="T3126">
        <v>0.1528287454504462</v>
      </c>
      <c r="U3126">
        <v>4.4179867093448619</v>
      </c>
      <c r="V3126">
        <v>0.2101483876699779</v>
      </c>
      <c r="W3126">
        <v>9.4382909555204524</v>
      </c>
      <c r="X3126">
        <v>0.32000765363918232</v>
      </c>
      <c r="Z3126" t="s">
        <v>392</v>
      </c>
      <c r="AA3126">
        <v>114</v>
      </c>
      <c r="AB3126" t="s">
        <v>3517</v>
      </c>
      <c r="AC3126" t="str">
        <f>HYPERLINK("plots/3FT6Y578R04_015_S21P_20251218081014_M5358ACSC201811_RBGEUFRF04/dpll_52046/txpa_53261.png","plot")</f>
        <v>plot</v>
      </c>
    </row>
    <row r="3127" spans="1:29" x14ac:dyDescent="0.35">
      <c r="A3127" s="4" t="s">
        <v>49</v>
      </c>
      <c r="B3127">
        <v>52046</v>
      </c>
      <c r="C3127" t="s">
        <v>51</v>
      </c>
      <c r="D3127">
        <v>53262</v>
      </c>
      <c r="E3127" t="s">
        <v>137</v>
      </c>
      <c r="F3127">
        <v>12027</v>
      </c>
      <c r="G3127">
        <v>0.80420580429605548</v>
      </c>
      <c r="H3127">
        <v>0</v>
      </c>
      <c r="I3127">
        <v>0</v>
      </c>
      <c r="J3127">
        <v>0.70633786938438015</v>
      </c>
      <c r="K3127">
        <v>0</v>
      </c>
      <c r="L3127">
        <v>0</v>
      </c>
      <c r="M3127">
        <v>0.51911140418844648</v>
      </c>
      <c r="N3127">
        <v>0</v>
      </c>
      <c r="O3127">
        <v>0</v>
      </c>
      <c r="P3127">
        <v>0.64674697566346551</v>
      </c>
      <c r="Q3127">
        <v>1.2428989791321889</v>
      </c>
      <c r="R3127">
        <v>3.9490492305496971</v>
      </c>
      <c r="S3127">
        <v>0.19303385774414469</v>
      </c>
      <c r="T3127">
        <v>0.15216405742115341</v>
      </c>
      <c r="U3127">
        <v>4.417995080651866</v>
      </c>
      <c r="V3127">
        <v>0.21015511914181201</v>
      </c>
      <c r="W3127">
        <v>9.4401708061029339</v>
      </c>
      <c r="X3127">
        <v>0.32479445142701863</v>
      </c>
      <c r="Z3127" t="s">
        <v>392</v>
      </c>
      <c r="AA3127">
        <v>114</v>
      </c>
      <c r="AB3127" t="s">
        <v>3518</v>
      </c>
      <c r="AC3127" t="str">
        <f>HYPERLINK("plots/3FT6Y578R04_015_S21P_20251218081014_M5358ACSC201811_RBGEUFRF04/dpll_52046/txpa_53262.png","plot")</f>
        <v>plot</v>
      </c>
    </row>
    <row r="3128" spans="1:29" x14ac:dyDescent="0.35">
      <c r="A3128" s="4" t="s">
        <v>49</v>
      </c>
      <c r="B3128">
        <v>52046</v>
      </c>
      <c r="C3128" t="s">
        <v>51</v>
      </c>
      <c r="D3128">
        <v>53263</v>
      </c>
      <c r="E3128" t="s">
        <v>138</v>
      </c>
      <c r="F3128">
        <v>12027</v>
      </c>
      <c r="G3128">
        <v>0.80539864600773159</v>
      </c>
      <c r="H3128">
        <v>0</v>
      </c>
      <c r="I3128">
        <v>0</v>
      </c>
      <c r="J3128">
        <v>0.70242845112559205</v>
      </c>
      <c r="K3128">
        <v>0</v>
      </c>
      <c r="L3128">
        <v>0</v>
      </c>
      <c r="M3128">
        <v>0.51406135859548707</v>
      </c>
      <c r="N3128">
        <v>0</v>
      </c>
      <c r="O3128">
        <v>0</v>
      </c>
      <c r="P3128">
        <v>0.64866697899108738</v>
      </c>
      <c r="Q3128">
        <v>1.239989483636311</v>
      </c>
      <c r="R3128">
        <v>3.9464172116715148</v>
      </c>
      <c r="S3128">
        <v>0.19175485655206351</v>
      </c>
      <c r="T3128">
        <v>0.151721787953498</v>
      </c>
      <c r="U3128">
        <v>4.4179587365926656</v>
      </c>
      <c r="V3128">
        <v>0.21013472984942591</v>
      </c>
      <c r="W3128">
        <v>9.4246395841855826</v>
      </c>
      <c r="X3128">
        <v>0.32352283735717108</v>
      </c>
      <c r="Z3128" t="s">
        <v>392</v>
      </c>
      <c r="AA3128">
        <v>114</v>
      </c>
      <c r="AB3128" t="s">
        <v>3519</v>
      </c>
      <c r="AC3128" t="str">
        <f>HYPERLINK("plots/3FT6Y578R04_015_S21P_20251218081014_M5358ACSC201811_RBGEUFRF04/dpll_52046/txpa_53263.png","plot")</f>
        <v>plot</v>
      </c>
    </row>
    <row r="3129" spans="1:29" x14ac:dyDescent="0.35">
      <c r="A3129" s="4" t="s">
        <v>49</v>
      </c>
      <c r="B3129">
        <v>52046</v>
      </c>
      <c r="C3129" t="s">
        <v>51</v>
      </c>
      <c r="D3129">
        <v>53264</v>
      </c>
      <c r="E3129" t="s">
        <v>139</v>
      </c>
      <c r="F3129">
        <v>12027</v>
      </c>
      <c r="G3129">
        <v>0.80925960079139814</v>
      </c>
      <c r="H3129">
        <v>0</v>
      </c>
      <c r="I3129">
        <v>0</v>
      </c>
      <c r="J3129">
        <v>0.71653878437787399</v>
      </c>
      <c r="K3129">
        <v>0</v>
      </c>
      <c r="L3129">
        <v>0</v>
      </c>
      <c r="M3129">
        <v>0.52786594738131642</v>
      </c>
      <c r="N3129">
        <v>0</v>
      </c>
      <c r="O3129">
        <v>0</v>
      </c>
      <c r="P3129">
        <v>0.65490110147305303</v>
      </c>
      <c r="Q3129">
        <v>1.254085628041429</v>
      </c>
      <c r="R3129">
        <v>3.8940560805644409</v>
      </c>
      <c r="S3129">
        <v>0.1912827738413263</v>
      </c>
      <c r="T3129">
        <v>0.1510878496294133</v>
      </c>
      <c r="U3129">
        <v>4.417954512264072</v>
      </c>
      <c r="V3129">
        <v>0.21012745463637059</v>
      </c>
      <c r="W3129">
        <v>9.4345493397355948</v>
      </c>
      <c r="X3129">
        <v>0.32562829116725722</v>
      </c>
      <c r="Z3129" t="s">
        <v>392</v>
      </c>
      <c r="AA3129">
        <v>114</v>
      </c>
      <c r="AB3129" t="s">
        <v>3520</v>
      </c>
      <c r="AC3129" t="str">
        <f>HYPERLINK("plots/3FT6Y578R04_015_S21P_20251218081014_M5358ACSC201811_RBGEUFRF04/dpll_52046/txpa_53264.png","plot")</f>
        <v>plot</v>
      </c>
    </row>
    <row r="3130" spans="1:29" x14ac:dyDescent="0.35">
      <c r="A3130" s="4" t="s">
        <v>49</v>
      </c>
      <c r="B3130">
        <v>52046</v>
      </c>
      <c r="C3130" t="s">
        <v>51</v>
      </c>
      <c r="D3130">
        <v>53265</v>
      </c>
      <c r="E3130" t="s">
        <v>140</v>
      </c>
      <c r="F3130">
        <v>12028</v>
      </c>
      <c r="G3130">
        <v>0.80730150403129664</v>
      </c>
      <c r="H3130">
        <v>0</v>
      </c>
      <c r="I3130">
        <v>0</v>
      </c>
      <c r="J3130">
        <v>0.70837911691505262</v>
      </c>
      <c r="K3130">
        <v>0</v>
      </c>
      <c r="L3130">
        <v>0</v>
      </c>
      <c r="M3130">
        <v>0.5207205459953862</v>
      </c>
      <c r="N3130">
        <v>0</v>
      </c>
      <c r="O3130">
        <v>0</v>
      </c>
      <c r="P3130">
        <v>0.65173571841119371</v>
      </c>
      <c r="Q3130">
        <v>1.237664320837649</v>
      </c>
      <c r="R3130">
        <v>3.974054236809498</v>
      </c>
      <c r="S3130">
        <v>0.19012077909666941</v>
      </c>
      <c r="T3130">
        <v>0.15033248931665991</v>
      </c>
      <c r="U3130">
        <v>4.4179867093448619</v>
      </c>
      <c r="V3130">
        <v>0.2101483876699779</v>
      </c>
      <c r="W3130">
        <v>9.4420387569005655</v>
      </c>
      <c r="X3130">
        <v>0.32217599026126331</v>
      </c>
      <c r="Z3130" t="s">
        <v>392</v>
      </c>
      <c r="AA3130">
        <v>114</v>
      </c>
      <c r="AB3130" t="s">
        <v>3521</v>
      </c>
      <c r="AC3130" t="str">
        <f>HYPERLINK("plots/3FT6Y578R04_015_S21P_20251218081014_M5358ACSC201811_RBGEUFRF04/dpll_52046/txpa_53265.png","plot")</f>
        <v>plot</v>
      </c>
    </row>
    <row r="3131" spans="1:29" x14ac:dyDescent="0.35">
      <c r="A3131" s="4" t="s">
        <v>49</v>
      </c>
      <c r="B3131">
        <v>52046</v>
      </c>
      <c r="C3131" t="s">
        <v>51</v>
      </c>
      <c r="D3131">
        <v>53266</v>
      </c>
      <c r="E3131" t="s">
        <v>141</v>
      </c>
      <c r="F3131">
        <v>12027</v>
      </c>
      <c r="G3131">
        <v>0.80125918825297004</v>
      </c>
      <c r="H3131">
        <v>0</v>
      </c>
      <c r="I3131">
        <v>0</v>
      </c>
      <c r="J3131">
        <v>0.70315796890825288</v>
      </c>
      <c r="K3131">
        <v>0</v>
      </c>
      <c r="L3131">
        <v>0</v>
      </c>
      <c r="M3131">
        <v>0.51619113236946956</v>
      </c>
      <c r="N3131">
        <v>0</v>
      </c>
      <c r="O3131">
        <v>0</v>
      </c>
      <c r="P3131">
        <v>0.64201628675980849</v>
      </c>
      <c r="Q3131">
        <v>1.227628958539998</v>
      </c>
      <c r="R3131">
        <v>3.9786663076878108</v>
      </c>
      <c r="S3131">
        <v>0.19262798716537249</v>
      </c>
      <c r="T3131">
        <v>0.1512748424638625</v>
      </c>
      <c r="U3131">
        <v>4.418010118566559</v>
      </c>
      <c r="V3131">
        <v>0.21014144114715341</v>
      </c>
      <c r="W3131">
        <v>9.4023434683628491</v>
      </c>
      <c r="X3131">
        <v>0.32196288332624712</v>
      </c>
      <c r="Z3131" t="s">
        <v>392</v>
      </c>
      <c r="AA3131">
        <v>114</v>
      </c>
      <c r="AB3131" t="s">
        <v>3522</v>
      </c>
      <c r="AC3131" t="str">
        <f>HYPERLINK("plots/3FT6Y578R04_015_S21P_20251218081014_M5358ACSC201811_RBGEUFRF04/dpll_52046/txpa_53266.png","plot")</f>
        <v>plot</v>
      </c>
    </row>
    <row r="3132" spans="1:29" x14ac:dyDescent="0.35">
      <c r="A3132" s="4" t="s">
        <v>49</v>
      </c>
      <c r="B3132">
        <v>52046</v>
      </c>
      <c r="C3132" t="s">
        <v>51</v>
      </c>
      <c r="D3132">
        <v>53267</v>
      </c>
      <c r="E3132" t="s">
        <v>142</v>
      </c>
      <c r="F3132">
        <v>12028</v>
      </c>
      <c r="G3132">
        <v>0.78882543099074676</v>
      </c>
      <c r="H3132">
        <v>0</v>
      </c>
      <c r="I3132">
        <v>0</v>
      </c>
      <c r="J3132">
        <v>0.6936238069878724</v>
      </c>
      <c r="K3132">
        <v>0</v>
      </c>
      <c r="L3132">
        <v>0</v>
      </c>
      <c r="M3132">
        <v>0.50510719997931142</v>
      </c>
      <c r="N3132">
        <v>0</v>
      </c>
      <c r="O3132">
        <v>0</v>
      </c>
      <c r="P3132">
        <v>0.62224556057773739</v>
      </c>
      <c r="Q3132">
        <v>1.2349965382934189</v>
      </c>
      <c r="R3132">
        <v>4.4264383509818446</v>
      </c>
      <c r="S3132">
        <v>0.20220767394533959</v>
      </c>
      <c r="T3132">
        <v>0.15735697760548101</v>
      </c>
      <c r="U3132">
        <v>4.4179867093448619</v>
      </c>
      <c r="V3132">
        <v>0.2101483876699779</v>
      </c>
      <c r="W3132">
        <v>9.882636643249084</v>
      </c>
      <c r="X3132">
        <v>0.32901136437044037</v>
      </c>
      <c r="Z3132" t="s">
        <v>392</v>
      </c>
      <c r="AA3132">
        <v>114</v>
      </c>
      <c r="AB3132" t="s">
        <v>3523</v>
      </c>
      <c r="AC3132" t="str">
        <f>HYPERLINK("plots/3FT6Y578R04_015_S21P_20251218081014_M5358ACSC201811_RBGEUFRF04/dpll_52046/txpa_53267.png","plot")</f>
        <v>plot</v>
      </c>
    </row>
    <row r="3133" spans="1:29" x14ac:dyDescent="0.35">
      <c r="A3133" s="4" t="s">
        <v>49</v>
      </c>
      <c r="B3133">
        <v>52046</v>
      </c>
      <c r="C3133" t="s">
        <v>51</v>
      </c>
      <c r="D3133">
        <v>53268</v>
      </c>
      <c r="E3133" t="s">
        <v>143</v>
      </c>
      <c r="F3133">
        <v>12028</v>
      </c>
      <c r="G3133">
        <v>0.80417838341222148</v>
      </c>
      <c r="H3133">
        <v>0</v>
      </c>
      <c r="I3133">
        <v>0</v>
      </c>
      <c r="J3133">
        <v>0.70795994308426091</v>
      </c>
      <c r="K3133">
        <v>0</v>
      </c>
      <c r="L3133">
        <v>0</v>
      </c>
      <c r="M3133">
        <v>0.52042639257801038</v>
      </c>
      <c r="N3133">
        <v>0</v>
      </c>
      <c r="O3133">
        <v>0</v>
      </c>
      <c r="P3133">
        <v>0.64670287234749391</v>
      </c>
      <c r="Q3133">
        <v>1.2728549365429691</v>
      </c>
      <c r="R3133">
        <v>4.2914466491318599</v>
      </c>
      <c r="S3133">
        <v>0.1976990478356718</v>
      </c>
      <c r="T3133">
        <v>0.15551871723814009</v>
      </c>
      <c r="U3133">
        <v>4.4179867093448619</v>
      </c>
      <c r="V3133">
        <v>0.2101483876699779</v>
      </c>
      <c r="W3133">
        <v>9.9149028417026948</v>
      </c>
      <c r="X3133">
        <v>0.33262323157368762</v>
      </c>
      <c r="Z3133" t="s">
        <v>392</v>
      </c>
      <c r="AA3133">
        <v>114</v>
      </c>
      <c r="AB3133" t="s">
        <v>3524</v>
      </c>
      <c r="AC3133" t="str">
        <f>HYPERLINK("plots/3FT6Y578R04_015_S21P_20251218081014_M5358ACSC201811_RBGEUFRF04/dpll_52046/txpa_53268.png","plot")</f>
        <v>plot</v>
      </c>
    </row>
    <row r="3134" spans="1:29" x14ac:dyDescent="0.35">
      <c r="A3134" s="4" t="s">
        <v>49</v>
      </c>
      <c r="B3134">
        <v>52046</v>
      </c>
      <c r="C3134" t="s">
        <v>51</v>
      </c>
      <c r="D3134">
        <v>53269</v>
      </c>
      <c r="E3134" t="s">
        <v>144</v>
      </c>
      <c r="F3134">
        <v>12028</v>
      </c>
      <c r="G3134">
        <v>0.79751326612460527</v>
      </c>
      <c r="H3134">
        <v>0</v>
      </c>
      <c r="I3134">
        <v>0</v>
      </c>
      <c r="J3134">
        <v>0.6975532210450105</v>
      </c>
      <c r="K3134">
        <v>0</v>
      </c>
      <c r="L3134">
        <v>0</v>
      </c>
      <c r="M3134">
        <v>0.51018396880328276</v>
      </c>
      <c r="N3134">
        <v>0</v>
      </c>
      <c r="O3134">
        <v>0</v>
      </c>
      <c r="P3134">
        <v>0.63602740964473548</v>
      </c>
      <c r="Q3134">
        <v>1.235918383253265</v>
      </c>
      <c r="R3134">
        <v>4.4733370798699426</v>
      </c>
      <c r="S3134">
        <v>0.1964690856018225</v>
      </c>
      <c r="T3134">
        <v>0.15384462750159589</v>
      </c>
      <c r="U3134">
        <v>4.4179867093448619</v>
      </c>
      <c r="V3134">
        <v>0.2101483876699779</v>
      </c>
      <c r="W3134">
        <v>9.9336080709178578</v>
      </c>
      <c r="X3134">
        <v>0.32567013812128781</v>
      </c>
      <c r="Z3134" t="s">
        <v>392</v>
      </c>
      <c r="AA3134">
        <v>114</v>
      </c>
      <c r="AB3134" t="s">
        <v>3525</v>
      </c>
      <c r="AC3134" t="str">
        <f>HYPERLINK("plots/3FT6Y578R04_015_S21P_20251218081014_M5358ACSC201811_RBGEUFRF04/dpll_52046/txpa_53269.png","plot")</f>
        <v>plot</v>
      </c>
    </row>
    <row r="3135" spans="1:29" x14ac:dyDescent="0.35">
      <c r="A3135" s="4" t="s">
        <v>49</v>
      </c>
      <c r="B3135">
        <v>52046</v>
      </c>
      <c r="C3135" t="s">
        <v>51</v>
      </c>
      <c r="D3135">
        <v>53270</v>
      </c>
      <c r="E3135" t="s">
        <v>145</v>
      </c>
      <c r="F3135">
        <v>12027</v>
      </c>
      <c r="G3135">
        <v>0.80836165031800955</v>
      </c>
      <c r="H3135">
        <v>0</v>
      </c>
      <c r="I3135">
        <v>0</v>
      </c>
      <c r="J3135">
        <v>0.70889054768932835</v>
      </c>
      <c r="K3135">
        <v>0</v>
      </c>
      <c r="L3135">
        <v>0</v>
      </c>
      <c r="M3135">
        <v>0.52138083856431239</v>
      </c>
      <c r="N3135">
        <v>0</v>
      </c>
      <c r="O3135">
        <v>0</v>
      </c>
      <c r="P3135">
        <v>0.65344855770485599</v>
      </c>
      <c r="Q3135">
        <v>1.2715350350075081</v>
      </c>
      <c r="R3135">
        <v>4.3176473722646076</v>
      </c>
      <c r="S3135">
        <v>0.19459353253380959</v>
      </c>
      <c r="T3135">
        <v>0.15327773420160529</v>
      </c>
      <c r="U3135">
        <v>4.417995080651866</v>
      </c>
      <c r="V3135">
        <v>0.21015511914181201</v>
      </c>
      <c r="W3135">
        <v>9.9352829018042748</v>
      </c>
      <c r="X3135">
        <v>0.33056936418231442</v>
      </c>
      <c r="Z3135" t="s">
        <v>392</v>
      </c>
      <c r="AA3135">
        <v>114</v>
      </c>
      <c r="AB3135" t="s">
        <v>3526</v>
      </c>
      <c r="AC3135" t="str">
        <f>HYPERLINK("plots/3FT6Y578R04_015_S21P_20251218081014_M5358ACSC201811_RBGEUFRF04/dpll_52046/txpa_53270.png","plot")</f>
        <v>plot</v>
      </c>
    </row>
    <row r="3136" spans="1:29" x14ac:dyDescent="0.35">
      <c r="A3136" s="4" t="s">
        <v>49</v>
      </c>
      <c r="B3136">
        <v>52046</v>
      </c>
      <c r="C3136" t="s">
        <v>51</v>
      </c>
      <c r="D3136">
        <v>53271</v>
      </c>
      <c r="E3136" t="s">
        <v>146</v>
      </c>
      <c r="F3136">
        <v>12027</v>
      </c>
      <c r="G3136">
        <v>0.8093945976029876</v>
      </c>
      <c r="H3136">
        <v>0</v>
      </c>
      <c r="I3136">
        <v>0</v>
      </c>
      <c r="J3136">
        <v>0.70483265200432055</v>
      </c>
      <c r="K3136">
        <v>0</v>
      </c>
      <c r="L3136">
        <v>0</v>
      </c>
      <c r="M3136">
        <v>0.51618118299809734</v>
      </c>
      <c r="N3136">
        <v>0</v>
      </c>
      <c r="O3136">
        <v>0</v>
      </c>
      <c r="P3136">
        <v>0.65511961462890222</v>
      </c>
      <c r="Q3136">
        <v>1.2684641792126761</v>
      </c>
      <c r="R3136">
        <v>4.3152977123006364</v>
      </c>
      <c r="S3136">
        <v>0.1933890740520644</v>
      </c>
      <c r="T3136">
        <v>0.15287084217046071</v>
      </c>
      <c r="U3136">
        <v>4.4179587365926656</v>
      </c>
      <c r="V3136">
        <v>0.21013472984942591</v>
      </c>
      <c r="W3136">
        <v>9.9193201149081247</v>
      </c>
      <c r="X3136">
        <v>0.32931820698075981</v>
      </c>
      <c r="Z3136" t="s">
        <v>392</v>
      </c>
      <c r="AA3136">
        <v>114</v>
      </c>
      <c r="AB3136" t="s">
        <v>3527</v>
      </c>
      <c r="AC3136" t="str">
        <f>HYPERLINK("plots/3FT6Y578R04_015_S21P_20251218081014_M5358ACSC201811_RBGEUFRF04/dpll_52046/txpa_53271.png","plot")</f>
        <v>plot</v>
      </c>
    </row>
    <row r="3137" spans="1:29" x14ac:dyDescent="0.35">
      <c r="A3137" s="4" t="s">
        <v>49</v>
      </c>
      <c r="B3137">
        <v>52046</v>
      </c>
      <c r="C3137" t="s">
        <v>51</v>
      </c>
      <c r="D3137">
        <v>53272</v>
      </c>
      <c r="E3137" t="s">
        <v>147</v>
      </c>
      <c r="F3137">
        <v>12027</v>
      </c>
      <c r="G3137">
        <v>0.81309869606691709</v>
      </c>
      <c r="H3137">
        <v>0</v>
      </c>
      <c r="I3137">
        <v>0</v>
      </c>
      <c r="J3137">
        <v>0.71877319388309346</v>
      </c>
      <c r="K3137">
        <v>0</v>
      </c>
      <c r="L3137">
        <v>0</v>
      </c>
      <c r="M3137">
        <v>0.52988574937383326</v>
      </c>
      <c r="N3137">
        <v>0</v>
      </c>
      <c r="O3137">
        <v>0</v>
      </c>
      <c r="P3137">
        <v>0.66112948954572082</v>
      </c>
      <c r="Q3137">
        <v>1.2821061477339279</v>
      </c>
      <c r="R3137">
        <v>4.265381343785891</v>
      </c>
      <c r="S3137">
        <v>0.19286896525501671</v>
      </c>
      <c r="T3137">
        <v>0.1521973139044247</v>
      </c>
      <c r="U3137">
        <v>4.417954512264072</v>
      </c>
      <c r="V3137">
        <v>0.21012745463637059</v>
      </c>
      <c r="W3137">
        <v>9.9296679843685052</v>
      </c>
      <c r="X3137">
        <v>0.33133210359348692</v>
      </c>
      <c r="Z3137" t="s">
        <v>392</v>
      </c>
      <c r="AA3137">
        <v>114</v>
      </c>
      <c r="AB3137" t="s">
        <v>3528</v>
      </c>
      <c r="AC3137" t="str">
        <f>HYPERLINK("plots/3FT6Y578R04_015_S21P_20251218081014_M5358ACSC201811_RBGEUFRF04/dpll_52046/txpa_53272.png","plot")</f>
        <v>plot</v>
      </c>
    </row>
    <row r="3138" spans="1:29" x14ac:dyDescent="0.35">
      <c r="A3138" s="4" t="s">
        <v>49</v>
      </c>
      <c r="B3138">
        <v>52046</v>
      </c>
      <c r="C3138" t="s">
        <v>51</v>
      </c>
      <c r="D3138">
        <v>53273</v>
      </c>
      <c r="E3138" t="s">
        <v>148</v>
      </c>
      <c r="F3138">
        <v>12028</v>
      </c>
      <c r="G3138">
        <v>0.81134356061958746</v>
      </c>
      <c r="H3138">
        <v>0</v>
      </c>
      <c r="I3138">
        <v>0</v>
      </c>
      <c r="J3138">
        <v>0.71063312220804109</v>
      </c>
      <c r="K3138">
        <v>0</v>
      </c>
      <c r="L3138">
        <v>0</v>
      </c>
      <c r="M3138">
        <v>0.52274778612308959</v>
      </c>
      <c r="N3138">
        <v>0</v>
      </c>
      <c r="O3138">
        <v>0</v>
      </c>
      <c r="P3138">
        <v>0.65827837335887018</v>
      </c>
      <c r="Q3138">
        <v>1.265963600235654</v>
      </c>
      <c r="R3138">
        <v>4.3441467289361588</v>
      </c>
      <c r="S3138">
        <v>0.1916728787814507</v>
      </c>
      <c r="T3138">
        <v>0.151369096901736</v>
      </c>
      <c r="U3138">
        <v>4.4179867093448619</v>
      </c>
      <c r="V3138">
        <v>0.2101483876699779</v>
      </c>
      <c r="W3138">
        <v>9.9371570892916523</v>
      </c>
      <c r="X3138">
        <v>0.32790080842601382</v>
      </c>
      <c r="Z3138" t="s">
        <v>392</v>
      </c>
      <c r="AA3138">
        <v>114</v>
      </c>
      <c r="AB3138" t="s">
        <v>3529</v>
      </c>
      <c r="AC3138" t="str">
        <f>HYPERLINK("plots/3FT6Y578R04_015_S21P_20251218081014_M5358ACSC201811_RBGEUFRF04/dpll_52046/txpa_53273.png","plot")</f>
        <v>plot</v>
      </c>
    </row>
    <row r="3139" spans="1:29" x14ac:dyDescent="0.35">
      <c r="A3139" s="4" t="s">
        <v>49</v>
      </c>
      <c r="B3139">
        <v>52046</v>
      </c>
      <c r="C3139" t="s">
        <v>51</v>
      </c>
      <c r="D3139">
        <v>53274</v>
      </c>
      <c r="E3139" t="s">
        <v>149</v>
      </c>
      <c r="F3139">
        <v>12027</v>
      </c>
      <c r="G3139">
        <v>0.80527309059395569</v>
      </c>
      <c r="H3139">
        <v>0</v>
      </c>
      <c r="I3139">
        <v>0</v>
      </c>
      <c r="J3139">
        <v>0.70565050938621732</v>
      </c>
      <c r="K3139">
        <v>0</v>
      </c>
      <c r="L3139">
        <v>0</v>
      </c>
      <c r="M3139">
        <v>0.51839144797564374</v>
      </c>
      <c r="N3139">
        <v>0</v>
      </c>
      <c r="O3139">
        <v>0</v>
      </c>
      <c r="P3139">
        <v>0.64846475043474117</v>
      </c>
      <c r="Q3139">
        <v>1.255313359447539</v>
      </c>
      <c r="R3139">
        <v>4.3513166165726798</v>
      </c>
      <c r="S3139">
        <v>0.19421691636194241</v>
      </c>
      <c r="T3139">
        <v>0.1523827682433834</v>
      </c>
      <c r="U3139">
        <v>4.418010118566559</v>
      </c>
      <c r="V3139">
        <v>0.21014144114715341</v>
      </c>
      <c r="W3139">
        <v>9.8973037405836877</v>
      </c>
      <c r="X3139">
        <v>0.32758248292018688</v>
      </c>
      <c r="Z3139" t="s">
        <v>392</v>
      </c>
      <c r="AA3139">
        <v>114</v>
      </c>
      <c r="AB3139" t="s">
        <v>3530</v>
      </c>
      <c r="AC3139" t="str">
        <f>HYPERLINK("plots/3FT6Y578R04_015_S21P_20251218081014_M5358ACSC201811_RBGEUFRF04/dpll_52046/txpa_53274.png","plot")</f>
        <v>plot</v>
      </c>
    </row>
    <row r="3140" spans="1:29" x14ac:dyDescent="0.35">
      <c r="A3140" s="4" t="s">
        <v>49</v>
      </c>
      <c r="B3140">
        <v>52046</v>
      </c>
      <c r="C3140" t="s">
        <v>51</v>
      </c>
      <c r="D3140">
        <v>53275</v>
      </c>
      <c r="E3140" t="s">
        <v>150</v>
      </c>
      <c r="F3140">
        <v>12028</v>
      </c>
      <c r="G3140">
        <v>0.80030837150082279</v>
      </c>
      <c r="H3140">
        <v>0</v>
      </c>
      <c r="I3140">
        <v>0</v>
      </c>
      <c r="J3140">
        <v>0.70150040938858171</v>
      </c>
      <c r="K3140">
        <v>0</v>
      </c>
      <c r="L3140">
        <v>0</v>
      </c>
      <c r="M3140">
        <v>0.51192952024322247</v>
      </c>
      <c r="N3140">
        <v>0</v>
      </c>
      <c r="O3140">
        <v>0</v>
      </c>
      <c r="P3140">
        <v>0.64049348949429896</v>
      </c>
      <c r="Q3140">
        <v>1.314724777438053</v>
      </c>
      <c r="R3140">
        <v>5.7066504404205958</v>
      </c>
      <c r="S3140">
        <v>0.20698500104181619</v>
      </c>
      <c r="T3140">
        <v>0.16051176468949149</v>
      </c>
      <c r="U3140">
        <v>4.4179867093448619</v>
      </c>
      <c r="V3140">
        <v>0.2101483876699779</v>
      </c>
      <c r="W3140">
        <v>11.515087033588291</v>
      </c>
      <c r="X3140">
        <v>0.34522604291924891</v>
      </c>
      <c r="Z3140" t="s">
        <v>392</v>
      </c>
      <c r="AA3140">
        <v>114</v>
      </c>
      <c r="AB3140" t="s">
        <v>3531</v>
      </c>
      <c r="AC3140" t="str">
        <f>HYPERLINK("plots/3FT6Y578R04_015_S21P_20251218081014_M5358ACSC201811_RBGEUFRF04/dpll_52046/txpa_53275.png","plot")</f>
        <v>plot</v>
      </c>
    </row>
    <row r="3141" spans="1:29" x14ac:dyDescent="0.35">
      <c r="A3141" s="4" t="s">
        <v>49</v>
      </c>
      <c r="B3141">
        <v>52046</v>
      </c>
      <c r="C3141" t="s">
        <v>51</v>
      </c>
      <c r="D3141">
        <v>53276</v>
      </c>
      <c r="E3141" t="s">
        <v>151</v>
      </c>
      <c r="F3141">
        <v>12028</v>
      </c>
      <c r="G3141">
        <v>0.81470408526422244</v>
      </c>
      <c r="H3141">
        <v>0</v>
      </c>
      <c r="I3141">
        <v>0</v>
      </c>
      <c r="J3141">
        <v>0.71508218889654973</v>
      </c>
      <c r="K3141">
        <v>0</v>
      </c>
      <c r="L3141">
        <v>0</v>
      </c>
      <c r="M3141">
        <v>0.52686536238198201</v>
      </c>
      <c r="N3141">
        <v>0</v>
      </c>
      <c r="O3141">
        <v>0</v>
      </c>
      <c r="P3141">
        <v>0.66374274654621346</v>
      </c>
      <c r="Q3141">
        <v>1.353206187250793</v>
      </c>
      <c r="R3141">
        <v>5.5690660394134834</v>
      </c>
      <c r="S3141">
        <v>0.20239879358746249</v>
      </c>
      <c r="T3141">
        <v>0.15867621493615849</v>
      </c>
      <c r="U3141">
        <v>4.4179867093448619</v>
      </c>
      <c r="V3141">
        <v>0.2101483876699779</v>
      </c>
      <c r="W3141">
        <v>11.54751298969072</v>
      </c>
      <c r="X3141">
        <v>0.34905200990070551</v>
      </c>
      <c r="Z3141" t="s">
        <v>392</v>
      </c>
      <c r="AA3141">
        <v>114</v>
      </c>
      <c r="AB3141" t="s">
        <v>3532</v>
      </c>
      <c r="AC3141" t="str">
        <f>HYPERLINK("plots/3FT6Y578R04_015_S21P_20251218081014_M5358ACSC201811_RBGEUFRF04/dpll_52046/txpa_53276.png","plot")</f>
        <v>plot</v>
      </c>
    </row>
    <row r="3142" spans="1:29" x14ac:dyDescent="0.35">
      <c r="A3142" s="4" t="s">
        <v>49</v>
      </c>
      <c r="B3142">
        <v>52046</v>
      </c>
      <c r="C3142" t="s">
        <v>51</v>
      </c>
      <c r="D3142">
        <v>53277</v>
      </c>
      <c r="E3142" t="s">
        <v>152</v>
      </c>
      <c r="F3142">
        <v>12028</v>
      </c>
      <c r="G3142">
        <v>0.80911982302616381</v>
      </c>
      <c r="H3142">
        <v>0</v>
      </c>
      <c r="I3142">
        <v>0</v>
      </c>
      <c r="J3142">
        <v>0.70562562550235663</v>
      </c>
      <c r="K3142">
        <v>0</v>
      </c>
      <c r="L3142">
        <v>0</v>
      </c>
      <c r="M3142">
        <v>0.51731092252487776</v>
      </c>
      <c r="N3142">
        <v>0</v>
      </c>
      <c r="O3142">
        <v>0</v>
      </c>
      <c r="P3142">
        <v>0.65467488801389062</v>
      </c>
      <c r="Q3142">
        <v>1.316700790257765</v>
      </c>
      <c r="R3142">
        <v>5.7493089613339396</v>
      </c>
      <c r="S3142">
        <v>0.20095385581104261</v>
      </c>
      <c r="T3142">
        <v>0.15677882292206091</v>
      </c>
      <c r="U3142">
        <v>4.4179867093448619</v>
      </c>
      <c r="V3142">
        <v>0.2101483876699779</v>
      </c>
      <c r="W3142">
        <v>11.56647555287662</v>
      </c>
      <c r="X3142">
        <v>0.34197969230511299</v>
      </c>
      <c r="Z3142" t="s">
        <v>392</v>
      </c>
      <c r="AA3142">
        <v>114</v>
      </c>
      <c r="AB3142" t="s">
        <v>3533</v>
      </c>
      <c r="AC3142" t="str">
        <f>HYPERLINK("plots/3FT6Y578R04_015_S21P_20251218081014_M5358ACSC201811_RBGEUFRF04/dpll_52046/txpa_53277.png","plot")</f>
        <v>plot</v>
      </c>
    </row>
    <row r="3143" spans="1:29" x14ac:dyDescent="0.35">
      <c r="A3143" s="4" t="s">
        <v>49</v>
      </c>
      <c r="B3143">
        <v>52046</v>
      </c>
      <c r="C3143" t="s">
        <v>51</v>
      </c>
      <c r="D3143">
        <v>53278</v>
      </c>
      <c r="E3143" t="s">
        <v>153</v>
      </c>
      <c r="F3143">
        <v>12027</v>
      </c>
      <c r="G3143">
        <v>0.8190079735208311</v>
      </c>
      <c r="H3143">
        <v>0</v>
      </c>
      <c r="I3143">
        <v>0</v>
      </c>
      <c r="J3143">
        <v>0.71612450980673159</v>
      </c>
      <c r="K3143">
        <v>0</v>
      </c>
      <c r="L3143">
        <v>0</v>
      </c>
      <c r="M3143">
        <v>0.52786442445310422</v>
      </c>
      <c r="N3143">
        <v>0</v>
      </c>
      <c r="O3143">
        <v>0</v>
      </c>
      <c r="P3143">
        <v>0.67077406069069834</v>
      </c>
      <c r="Q3143">
        <v>1.353135844180712</v>
      </c>
      <c r="R3143">
        <v>5.5903936543517636</v>
      </c>
      <c r="S3143">
        <v>0.19921507947592429</v>
      </c>
      <c r="T3143">
        <v>0.15657911375710051</v>
      </c>
      <c r="U3143">
        <v>4.417995080651866</v>
      </c>
      <c r="V3143">
        <v>0.21015511914181201</v>
      </c>
      <c r="W3143">
        <v>11.56854115739586</v>
      </c>
      <c r="X3143">
        <v>0.3472108132554354</v>
      </c>
      <c r="Z3143" t="s">
        <v>392</v>
      </c>
      <c r="AA3143">
        <v>114</v>
      </c>
      <c r="AB3143" t="s">
        <v>3534</v>
      </c>
      <c r="AC3143" t="str">
        <f>HYPERLINK("plots/3FT6Y578R04_015_S21P_20251218081014_M5358ACSC201811_RBGEUFRF04/dpll_52046/txpa_53278.png","plot")</f>
        <v>plot</v>
      </c>
    </row>
    <row r="3144" spans="1:29" x14ac:dyDescent="0.35">
      <c r="A3144" s="4" t="s">
        <v>49</v>
      </c>
      <c r="B3144">
        <v>52046</v>
      </c>
      <c r="C3144" t="s">
        <v>51</v>
      </c>
      <c r="D3144">
        <v>53279</v>
      </c>
      <c r="E3144" t="s">
        <v>154</v>
      </c>
      <c r="F3144">
        <v>12027</v>
      </c>
      <c r="G3144">
        <v>0.81962611619040515</v>
      </c>
      <c r="H3144">
        <v>0</v>
      </c>
      <c r="I3144">
        <v>0</v>
      </c>
      <c r="J3144">
        <v>0.71186768592322958</v>
      </c>
      <c r="K3144">
        <v>0</v>
      </c>
      <c r="L3144">
        <v>0</v>
      </c>
      <c r="M3144">
        <v>0.52238367718950396</v>
      </c>
      <c r="N3144">
        <v>0</v>
      </c>
      <c r="O3144">
        <v>0</v>
      </c>
      <c r="P3144">
        <v>0.67178697034136747</v>
      </c>
      <c r="Q3144">
        <v>1.350204402801412</v>
      </c>
      <c r="R3144">
        <v>5.5857858078804181</v>
      </c>
      <c r="S3144">
        <v>0.1983085417568024</v>
      </c>
      <c r="T3144">
        <v>0.15636328634681129</v>
      </c>
      <c r="U3144">
        <v>4.4179587365926656</v>
      </c>
      <c r="V3144">
        <v>0.21013472984942591</v>
      </c>
      <c r="W3144">
        <v>11.5509331454228</v>
      </c>
      <c r="X3144">
        <v>0.34616373468298423</v>
      </c>
      <c r="Z3144" t="s">
        <v>392</v>
      </c>
      <c r="AA3144">
        <v>114</v>
      </c>
      <c r="AB3144" t="s">
        <v>3535</v>
      </c>
      <c r="AC3144" t="str">
        <f>HYPERLINK("plots/3FT6Y578R04_015_S21P_20251218081014_M5358ACSC201811_RBGEUFRF04/dpll_52046/txpa_53279.png","plot")</f>
        <v>plot</v>
      </c>
    </row>
    <row r="3145" spans="1:29" x14ac:dyDescent="0.35">
      <c r="A3145" s="4" t="s">
        <v>49</v>
      </c>
      <c r="B3145">
        <v>52046</v>
      </c>
      <c r="C3145" t="s">
        <v>51</v>
      </c>
      <c r="D3145">
        <v>53280</v>
      </c>
      <c r="E3145" t="s">
        <v>155</v>
      </c>
      <c r="F3145">
        <v>12027</v>
      </c>
      <c r="G3145">
        <v>0.82324954581143717</v>
      </c>
      <c r="H3145">
        <v>0</v>
      </c>
      <c r="I3145">
        <v>0</v>
      </c>
      <c r="J3145">
        <v>0.72512211650646707</v>
      </c>
      <c r="K3145">
        <v>0</v>
      </c>
      <c r="L3145">
        <v>0</v>
      </c>
      <c r="M3145">
        <v>0.53573856032953115</v>
      </c>
      <c r="N3145">
        <v>0</v>
      </c>
      <c r="O3145">
        <v>0</v>
      </c>
      <c r="P3145">
        <v>0.67773981467873756</v>
      </c>
      <c r="Q3145">
        <v>1.362546431319247</v>
      </c>
      <c r="R3145">
        <v>5.5427940739034423</v>
      </c>
      <c r="S3145">
        <v>0.1974185151419566</v>
      </c>
      <c r="T3145">
        <v>0.15538724996278361</v>
      </c>
      <c r="U3145">
        <v>4.417954512264072</v>
      </c>
      <c r="V3145">
        <v>0.21012745463637059</v>
      </c>
      <c r="W3145">
        <v>11.562462228319619</v>
      </c>
      <c r="X3145">
        <v>0.34777840436557222</v>
      </c>
      <c r="Z3145" t="s">
        <v>392</v>
      </c>
      <c r="AA3145">
        <v>114</v>
      </c>
      <c r="AB3145" t="s">
        <v>3536</v>
      </c>
      <c r="AC3145" t="str">
        <f>HYPERLINK("plots/3FT6Y578R04_015_S21P_20251218081014_M5358ACSC201811_RBGEUFRF04/dpll_52046/txpa_53280.png","plot")</f>
        <v>plot</v>
      </c>
    </row>
    <row r="3146" spans="1:29" x14ac:dyDescent="0.35">
      <c r="A3146" s="4" t="s">
        <v>49</v>
      </c>
      <c r="B3146">
        <v>52046</v>
      </c>
      <c r="C3146" t="s">
        <v>51</v>
      </c>
      <c r="D3146">
        <v>53281</v>
      </c>
      <c r="E3146" t="s">
        <v>156</v>
      </c>
      <c r="F3146">
        <v>12028</v>
      </c>
      <c r="G3146">
        <v>0.82191492267926169</v>
      </c>
      <c r="H3146">
        <v>0</v>
      </c>
      <c r="I3146">
        <v>0</v>
      </c>
      <c r="J3146">
        <v>0.7175279481129454</v>
      </c>
      <c r="K3146">
        <v>0</v>
      </c>
      <c r="L3146">
        <v>0</v>
      </c>
      <c r="M3146">
        <v>0.52893094108832495</v>
      </c>
      <c r="N3146">
        <v>0</v>
      </c>
      <c r="O3146">
        <v>0</v>
      </c>
      <c r="P3146">
        <v>0.67554414012285668</v>
      </c>
      <c r="Q3146">
        <v>1.346375628970147</v>
      </c>
      <c r="R3146">
        <v>5.6223557046325743</v>
      </c>
      <c r="S3146">
        <v>0.19607634166753621</v>
      </c>
      <c r="T3146">
        <v>0.15426339673945691</v>
      </c>
      <c r="U3146">
        <v>4.4179867093448619</v>
      </c>
      <c r="V3146">
        <v>0.2101483876699779</v>
      </c>
      <c r="W3146">
        <v>11.57062533920851</v>
      </c>
      <c r="X3146">
        <v>0.34424325416055362</v>
      </c>
      <c r="Z3146" t="s">
        <v>392</v>
      </c>
      <c r="AA3146">
        <v>114</v>
      </c>
      <c r="AB3146" t="s">
        <v>3537</v>
      </c>
      <c r="AC3146" t="str">
        <f>HYPERLINK("plots/3FT6Y578R04_015_S21P_20251218081014_M5358ACSC201811_RBGEUFRF04/dpll_52046/txpa_53281.png","plot")</f>
        <v>plot</v>
      </c>
    </row>
    <row r="3147" spans="1:29" x14ac:dyDescent="0.35">
      <c r="A3147" s="4" t="s">
        <v>49</v>
      </c>
      <c r="B3147">
        <v>52046</v>
      </c>
      <c r="C3147" t="s">
        <v>51</v>
      </c>
      <c r="D3147">
        <v>53282</v>
      </c>
      <c r="E3147" t="s">
        <v>157</v>
      </c>
      <c r="F3147">
        <v>12027</v>
      </c>
      <c r="G3147">
        <v>0.81549140096406358</v>
      </c>
      <c r="H3147">
        <v>0</v>
      </c>
      <c r="I3147">
        <v>0</v>
      </c>
      <c r="J3147">
        <v>0.71188113835442879</v>
      </c>
      <c r="K3147">
        <v>0</v>
      </c>
      <c r="L3147">
        <v>0</v>
      </c>
      <c r="M3147">
        <v>0.52391775438535604</v>
      </c>
      <c r="N3147">
        <v>0</v>
      </c>
      <c r="O3147">
        <v>0</v>
      </c>
      <c r="P3147">
        <v>0.66502622504633113</v>
      </c>
      <c r="Q3147">
        <v>1.333425876992123</v>
      </c>
      <c r="R3147">
        <v>5.6402826361209932</v>
      </c>
      <c r="S3147">
        <v>0.1988605093112317</v>
      </c>
      <c r="T3147">
        <v>0.15553282328090109</v>
      </c>
      <c r="U3147">
        <v>4.418010118566559</v>
      </c>
      <c r="V3147">
        <v>0.21014144114715341</v>
      </c>
      <c r="W3147">
        <v>11.53137165303068</v>
      </c>
      <c r="X3147">
        <v>0.34360636436236258</v>
      </c>
      <c r="Z3147" t="s">
        <v>392</v>
      </c>
      <c r="AA3147">
        <v>114</v>
      </c>
      <c r="AB3147" t="s">
        <v>3538</v>
      </c>
      <c r="AC3147" t="str">
        <f>HYPERLINK("plots/3FT6Y578R04_015_S21P_20251218081014_M5358ACSC201811_RBGEUFRF04/dpll_52046/txpa_53282.png","plot")</f>
        <v>plot</v>
      </c>
    </row>
    <row r="3148" spans="1:29" x14ac:dyDescent="0.35">
      <c r="A3148" s="4" t="s">
        <v>49</v>
      </c>
      <c r="B3148">
        <v>52046</v>
      </c>
      <c r="C3148" t="s">
        <v>51</v>
      </c>
      <c r="D3148">
        <v>53283</v>
      </c>
      <c r="E3148" t="s">
        <v>158</v>
      </c>
      <c r="F3148">
        <v>12028</v>
      </c>
      <c r="G3148">
        <v>0.80300188933197869</v>
      </c>
      <c r="H3148">
        <v>0</v>
      </c>
      <c r="I3148">
        <v>0</v>
      </c>
      <c r="J3148">
        <v>0.70302691042943932</v>
      </c>
      <c r="K3148">
        <v>0</v>
      </c>
      <c r="L3148">
        <v>0</v>
      </c>
      <c r="M3148">
        <v>0.51329122796927473</v>
      </c>
      <c r="N3148">
        <v>0</v>
      </c>
      <c r="O3148">
        <v>0</v>
      </c>
      <c r="P3148">
        <v>0.64481203427072731</v>
      </c>
      <c r="Q3148">
        <v>1.3344467887040099</v>
      </c>
      <c r="R3148">
        <v>6.1952846698688067</v>
      </c>
      <c r="S3148">
        <v>0.20812383665424089</v>
      </c>
      <c r="T3148">
        <v>0.1612633089393187</v>
      </c>
      <c r="U3148">
        <v>4.4179867093448619</v>
      </c>
      <c r="V3148">
        <v>0.2101483876699779</v>
      </c>
      <c r="W3148">
        <v>12.09085284669105</v>
      </c>
      <c r="X3148">
        <v>0.34922936645992209</v>
      </c>
      <c r="Z3148" t="s">
        <v>392</v>
      </c>
      <c r="AA3148">
        <v>114</v>
      </c>
      <c r="AB3148" t="s">
        <v>3539</v>
      </c>
      <c r="AC3148" t="str">
        <f>HYPERLINK("plots/3FT6Y578R04_015_S21P_20251218081014_M5358ACSC201811_RBGEUFRF04/dpll_52046/txpa_53283.png","plot")</f>
        <v>plot</v>
      </c>
    </row>
    <row r="3149" spans="1:29" x14ac:dyDescent="0.35">
      <c r="A3149" s="4" t="s">
        <v>49</v>
      </c>
      <c r="B3149">
        <v>52046</v>
      </c>
      <c r="C3149" t="s">
        <v>51</v>
      </c>
      <c r="D3149">
        <v>53284</v>
      </c>
      <c r="E3149" t="s">
        <v>159</v>
      </c>
      <c r="F3149">
        <v>12028</v>
      </c>
      <c r="G3149">
        <v>0.81718251538620612</v>
      </c>
      <c r="H3149">
        <v>0</v>
      </c>
      <c r="I3149">
        <v>0</v>
      </c>
      <c r="J3149">
        <v>0.71665254663906486</v>
      </c>
      <c r="K3149">
        <v>0</v>
      </c>
      <c r="L3149">
        <v>0</v>
      </c>
      <c r="M3149">
        <v>0.52837271084051673</v>
      </c>
      <c r="N3149">
        <v>0</v>
      </c>
      <c r="O3149">
        <v>0</v>
      </c>
      <c r="P3149">
        <v>0.66778726345292705</v>
      </c>
      <c r="Q3149">
        <v>1.3740068571386099</v>
      </c>
      <c r="R3149">
        <v>6.0533380276371931</v>
      </c>
      <c r="S3149">
        <v>0.20365073493942809</v>
      </c>
      <c r="T3149">
        <v>0.1594869680027946</v>
      </c>
      <c r="U3149">
        <v>4.4179867093448619</v>
      </c>
      <c r="V3149">
        <v>0.2101483876699779</v>
      </c>
      <c r="W3149">
        <v>12.123682061024279</v>
      </c>
      <c r="X3149">
        <v>0.35334251558075702</v>
      </c>
      <c r="Z3149" t="s">
        <v>392</v>
      </c>
      <c r="AA3149">
        <v>114</v>
      </c>
      <c r="AB3149" t="s">
        <v>3540</v>
      </c>
      <c r="AC3149" t="str">
        <f>HYPERLINK("plots/3FT6Y578R04_015_S21P_20251218081014_M5358ACSC201811_RBGEUFRF04/dpll_52046/txpa_53284.png","plot")</f>
        <v>plot</v>
      </c>
    </row>
    <row r="3150" spans="1:29" x14ac:dyDescent="0.35">
      <c r="A3150" s="4" t="s">
        <v>49</v>
      </c>
      <c r="B3150">
        <v>52046</v>
      </c>
      <c r="C3150" t="s">
        <v>51</v>
      </c>
      <c r="D3150">
        <v>53285</v>
      </c>
      <c r="E3150" t="s">
        <v>160</v>
      </c>
      <c r="F3150">
        <v>12028</v>
      </c>
      <c r="G3150">
        <v>0.81164221929893809</v>
      </c>
      <c r="H3150">
        <v>0</v>
      </c>
      <c r="I3150">
        <v>0</v>
      </c>
      <c r="J3150">
        <v>0.70705614153966245</v>
      </c>
      <c r="K3150">
        <v>0</v>
      </c>
      <c r="L3150">
        <v>0</v>
      </c>
      <c r="M3150">
        <v>0.51860473795855477</v>
      </c>
      <c r="N3150">
        <v>0</v>
      </c>
      <c r="O3150">
        <v>0</v>
      </c>
      <c r="P3150">
        <v>0.65876309214850548</v>
      </c>
      <c r="Q3150">
        <v>1.336934661185853</v>
      </c>
      <c r="R3150">
        <v>6.2363898636197561</v>
      </c>
      <c r="S3150">
        <v>0.20220019040457979</v>
      </c>
      <c r="T3150">
        <v>0.15760596204539379</v>
      </c>
      <c r="U3150">
        <v>4.4179867093448619</v>
      </c>
      <c r="V3150">
        <v>0.2101483876699779</v>
      </c>
      <c r="W3150">
        <v>12.14294942800133</v>
      </c>
      <c r="X3150">
        <v>0.34615580213531999</v>
      </c>
      <c r="Z3150" t="s">
        <v>392</v>
      </c>
      <c r="AA3150">
        <v>114</v>
      </c>
      <c r="AB3150" t="s">
        <v>3541</v>
      </c>
      <c r="AC3150" t="str">
        <f>HYPERLINK("plots/3FT6Y578R04_015_S21P_20251218081014_M5358ACSC201811_RBGEUFRF04/dpll_52046/txpa_53285.png","plot")</f>
        <v>plot</v>
      </c>
    </row>
    <row r="3151" spans="1:29" x14ac:dyDescent="0.35">
      <c r="A3151" s="4" t="s">
        <v>49</v>
      </c>
      <c r="B3151">
        <v>52046</v>
      </c>
      <c r="C3151" t="s">
        <v>51</v>
      </c>
      <c r="D3151">
        <v>53286</v>
      </c>
      <c r="E3151" t="s">
        <v>161</v>
      </c>
      <c r="F3151">
        <v>12027</v>
      </c>
      <c r="G3151">
        <v>0.8213379776979749</v>
      </c>
      <c r="H3151">
        <v>0</v>
      </c>
      <c r="I3151">
        <v>0</v>
      </c>
      <c r="J3151">
        <v>0.71746093615162754</v>
      </c>
      <c r="K3151">
        <v>0</v>
      </c>
      <c r="L3151">
        <v>0</v>
      </c>
      <c r="M3151">
        <v>0.52908744820880083</v>
      </c>
      <c r="N3151">
        <v>0</v>
      </c>
      <c r="O3151">
        <v>0</v>
      </c>
      <c r="P3151">
        <v>0.67459607360899909</v>
      </c>
      <c r="Q3151">
        <v>1.3737194343674271</v>
      </c>
      <c r="R3151">
        <v>6.0758614390320878</v>
      </c>
      <c r="S3151">
        <v>0.2004977253640062</v>
      </c>
      <c r="T3151">
        <v>0.15749633629745319</v>
      </c>
      <c r="U3151">
        <v>4.417995080651866</v>
      </c>
      <c r="V3151">
        <v>0.21015511914181201</v>
      </c>
      <c r="W3151">
        <v>12.14494714226324</v>
      </c>
      <c r="X3151">
        <v>0.35149253929065088</v>
      </c>
      <c r="Z3151" t="s">
        <v>392</v>
      </c>
      <c r="AA3151">
        <v>114</v>
      </c>
      <c r="AB3151" t="s">
        <v>3542</v>
      </c>
      <c r="AC3151" t="str">
        <f>HYPERLINK("plots/3FT6Y578R04_015_S21P_20251218081014_M5358ACSC201811_RBGEUFRF04/dpll_52046/txpa_53286.png","plot")</f>
        <v>plot</v>
      </c>
    </row>
    <row r="3152" spans="1:29" x14ac:dyDescent="0.35">
      <c r="A3152" s="4" t="s">
        <v>49</v>
      </c>
      <c r="B3152">
        <v>52046</v>
      </c>
      <c r="C3152" t="s">
        <v>51</v>
      </c>
      <c r="D3152">
        <v>53287</v>
      </c>
      <c r="E3152" t="s">
        <v>162</v>
      </c>
      <c r="F3152">
        <v>12027</v>
      </c>
      <c r="G3152">
        <v>0.82190649755780631</v>
      </c>
      <c r="H3152">
        <v>0</v>
      </c>
      <c r="I3152">
        <v>0</v>
      </c>
      <c r="J3152">
        <v>0.71324803580879226</v>
      </c>
      <c r="K3152">
        <v>0</v>
      </c>
      <c r="L3152">
        <v>0</v>
      </c>
      <c r="M3152">
        <v>0.52362461365138924</v>
      </c>
      <c r="N3152">
        <v>0</v>
      </c>
      <c r="O3152">
        <v>0</v>
      </c>
      <c r="P3152">
        <v>0.67553029072774029</v>
      </c>
      <c r="Q3152">
        <v>1.371211135001114</v>
      </c>
      <c r="R3152">
        <v>6.0687048219121342</v>
      </c>
      <c r="S3152">
        <v>0.1996865334231136</v>
      </c>
      <c r="T3152">
        <v>0.1573662663787056</v>
      </c>
      <c r="U3152">
        <v>4.4179587365926656</v>
      </c>
      <c r="V3152">
        <v>0.21013472984942591</v>
      </c>
      <c r="W3152">
        <v>12.126659035503449</v>
      </c>
      <c r="X3152">
        <v>0.35057404008382143</v>
      </c>
      <c r="Z3152" t="s">
        <v>392</v>
      </c>
      <c r="AA3152">
        <v>114</v>
      </c>
      <c r="AB3152" t="s">
        <v>3543</v>
      </c>
      <c r="AC3152" t="str">
        <f>HYPERLINK("plots/3FT6Y578R04_015_S21P_20251218081014_M5358ACSC201811_RBGEUFRF04/dpll_52046/txpa_53287.png","plot")</f>
        <v>plot</v>
      </c>
    </row>
    <row r="3153" spans="1:29" x14ac:dyDescent="0.35">
      <c r="A3153" s="4" t="s">
        <v>49</v>
      </c>
      <c r="B3153">
        <v>52046</v>
      </c>
      <c r="C3153" t="s">
        <v>51</v>
      </c>
      <c r="D3153">
        <v>53288</v>
      </c>
      <c r="E3153" t="s">
        <v>163</v>
      </c>
      <c r="F3153">
        <v>12027</v>
      </c>
      <c r="G3153">
        <v>0.82546887932007018</v>
      </c>
      <c r="H3153">
        <v>0</v>
      </c>
      <c r="I3153">
        <v>0</v>
      </c>
      <c r="J3153">
        <v>0.72624014516367563</v>
      </c>
      <c r="K3153">
        <v>0</v>
      </c>
      <c r="L3153">
        <v>0</v>
      </c>
      <c r="M3153">
        <v>0.53680973824332678</v>
      </c>
      <c r="N3153">
        <v>0</v>
      </c>
      <c r="O3153">
        <v>0</v>
      </c>
      <c r="P3153">
        <v>0.68139887072593264</v>
      </c>
      <c r="Q3153">
        <v>1.382889139057327</v>
      </c>
      <c r="R3153">
        <v>6.0290459942020664</v>
      </c>
      <c r="S3153">
        <v>0.19868956569466839</v>
      </c>
      <c r="T3153">
        <v>0.15626206383749919</v>
      </c>
      <c r="U3153">
        <v>4.417954512264072</v>
      </c>
      <c r="V3153">
        <v>0.21012745463637059</v>
      </c>
      <c r="W3153">
        <v>12.13858730606136</v>
      </c>
      <c r="X3153">
        <v>0.35202172015709188</v>
      </c>
      <c r="Z3153" t="s">
        <v>392</v>
      </c>
      <c r="AA3153">
        <v>114</v>
      </c>
      <c r="AB3153" t="s">
        <v>3544</v>
      </c>
      <c r="AC3153" t="str">
        <f>HYPERLINK("plots/3FT6Y578R04_015_S21P_20251218081014_M5358ACSC201811_RBGEUFRF04/dpll_52046/txpa_53288.png","plot")</f>
        <v>plot</v>
      </c>
    </row>
    <row r="3154" spans="1:29" x14ac:dyDescent="0.35">
      <c r="A3154" s="4" t="s">
        <v>49</v>
      </c>
      <c r="B3154">
        <v>52046</v>
      </c>
      <c r="C3154" t="s">
        <v>51</v>
      </c>
      <c r="D3154">
        <v>53289</v>
      </c>
      <c r="E3154" t="s">
        <v>164</v>
      </c>
      <c r="F3154">
        <v>12028</v>
      </c>
      <c r="G3154">
        <v>0.82429199735228376</v>
      </c>
      <c r="H3154">
        <v>0</v>
      </c>
      <c r="I3154">
        <v>0</v>
      </c>
      <c r="J3154">
        <v>0.71889397514540876</v>
      </c>
      <c r="K3154">
        <v>0</v>
      </c>
      <c r="L3154">
        <v>0</v>
      </c>
      <c r="M3154">
        <v>0.53017506502905687</v>
      </c>
      <c r="N3154">
        <v>0</v>
      </c>
      <c r="O3154">
        <v>0</v>
      </c>
      <c r="P3154">
        <v>0.67945729689901735</v>
      </c>
      <c r="Q3154">
        <v>1.3667337088692419</v>
      </c>
      <c r="R3154">
        <v>6.1088453940735814</v>
      </c>
      <c r="S3154">
        <v>0.19726669930099949</v>
      </c>
      <c r="T3154">
        <v>0.15506715067409649</v>
      </c>
      <c r="U3154">
        <v>4.4179867093448619</v>
      </c>
      <c r="V3154">
        <v>0.2101483876699779</v>
      </c>
      <c r="W3154">
        <v>12.1470567550715</v>
      </c>
      <c r="X3154">
        <v>0.34844070573977698</v>
      </c>
      <c r="Z3154" t="s">
        <v>392</v>
      </c>
      <c r="AA3154">
        <v>114</v>
      </c>
      <c r="AB3154" t="s">
        <v>3545</v>
      </c>
      <c r="AC3154" t="str">
        <f>HYPERLINK("plots/3FT6Y578R04_015_S21P_20251218081014_M5358ACSC201811_RBGEUFRF04/dpll_52046/txpa_53289.png","plot")</f>
        <v>plot</v>
      </c>
    </row>
    <row r="3155" spans="1:29" x14ac:dyDescent="0.35">
      <c r="A3155" s="4" t="s">
        <v>49</v>
      </c>
      <c r="B3155">
        <v>52046</v>
      </c>
      <c r="C3155" t="s">
        <v>51</v>
      </c>
      <c r="D3155">
        <v>53290</v>
      </c>
      <c r="E3155" t="s">
        <v>165</v>
      </c>
      <c r="F3155">
        <v>12027</v>
      </c>
      <c r="G3155">
        <v>0.81758495053777058</v>
      </c>
      <c r="H3155">
        <v>0</v>
      </c>
      <c r="I3155">
        <v>0</v>
      </c>
      <c r="J3155">
        <v>0.71275059923645134</v>
      </c>
      <c r="K3155">
        <v>0</v>
      </c>
      <c r="L3155">
        <v>0</v>
      </c>
      <c r="M3155">
        <v>0.52473535774992686</v>
      </c>
      <c r="N3155">
        <v>0</v>
      </c>
      <c r="O3155">
        <v>0</v>
      </c>
      <c r="P3155">
        <v>0.66844515134584881</v>
      </c>
      <c r="Q3155">
        <v>1.3528141913560829</v>
      </c>
      <c r="R3155">
        <v>6.1308998225126787</v>
      </c>
      <c r="S3155">
        <v>0.2002057765503206</v>
      </c>
      <c r="T3155">
        <v>0.15642056182430389</v>
      </c>
      <c r="U3155">
        <v>4.418010118566559</v>
      </c>
      <c r="V3155">
        <v>0.21014144114715341</v>
      </c>
      <c r="W3155">
        <v>12.10764660846429</v>
      </c>
      <c r="X3155">
        <v>0.3477098295276842</v>
      </c>
      <c r="Z3155" t="s">
        <v>392</v>
      </c>
      <c r="AA3155">
        <v>114</v>
      </c>
      <c r="AB3155" t="s">
        <v>3546</v>
      </c>
      <c r="AC3155" t="str">
        <f>HYPERLINK("plots/3FT6Y578R04_015_S21P_20251218081014_M5358ACSC201811_RBGEUFRF04/dpll_52046/txpa_53290.png","plot")</f>
        <v>plot</v>
      </c>
    </row>
    <row r="3156" spans="1:29" hidden="1" x14ac:dyDescent="0.35">
      <c r="A3156" s="4" t="s">
        <v>49</v>
      </c>
      <c r="B3156">
        <v>52046</v>
      </c>
      <c r="C3156" t="s">
        <v>51</v>
      </c>
      <c r="D3156">
        <v>54146</v>
      </c>
      <c r="E3156" t="s">
        <v>166</v>
      </c>
      <c r="F3156">
        <v>12028</v>
      </c>
      <c r="G3156">
        <v>-6.0913675742369656E-3</v>
      </c>
      <c r="H3156">
        <v>0.5041395375868275</v>
      </c>
      <c r="I3156">
        <v>0.50463720741662699</v>
      </c>
      <c r="J3156">
        <v>-9.7035229687649997E-3</v>
      </c>
      <c r="K3156">
        <v>0.28727364527719812</v>
      </c>
      <c r="L3156">
        <v>0.28812608932846578</v>
      </c>
      <c r="M3156">
        <v>-6.4241029190803831E-3</v>
      </c>
      <c r="N3156">
        <v>0.29067264315901359</v>
      </c>
      <c r="O3156">
        <v>0.29153517325740841</v>
      </c>
      <c r="P3156">
        <v>3.7104758924465537E-5</v>
      </c>
      <c r="Q3156">
        <v>-0.12695049321842189</v>
      </c>
      <c r="R3156">
        <v>-11.32449946017833</v>
      </c>
      <c r="S3156">
        <v>4.3794496340891573</v>
      </c>
      <c r="T3156">
        <v>3.3759824506102589</v>
      </c>
      <c r="U3156">
        <v>4.4179867093448619</v>
      </c>
      <c r="V3156">
        <v>0.2101483876699779</v>
      </c>
      <c r="W3156">
        <v>-11.88536505196209</v>
      </c>
      <c r="X3156">
        <v>4.3797129525715333</v>
      </c>
      <c r="Z3156" t="s">
        <v>392</v>
      </c>
      <c r="AA3156">
        <v>114</v>
      </c>
      <c r="AB3156" t="s">
        <v>3547</v>
      </c>
      <c r="AC3156" t="str">
        <f>HYPERLINK("plots/3FT6Y578R04_015_S21P_20251218081014_M5358ACSC201811_RBGEUFRF04/dpll_52046/txpa_54146.png","plot")</f>
        <v>plot</v>
      </c>
    </row>
    <row r="3157" spans="1:29" x14ac:dyDescent="0.35">
      <c r="A3157" s="4" t="s">
        <v>49</v>
      </c>
      <c r="B3157">
        <v>52046</v>
      </c>
      <c r="C3157" t="s">
        <v>51</v>
      </c>
      <c r="D3157">
        <v>54147</v>
      </c>
      <c r="E3157" t="s">
        <v>167</v>
      </c>
      <c r="F3157">
        <v>12028</v>
      </c>
      <c r="G3157">
        <v>0.25802832039477819</v>
      </c>
      <c r="H3157">
        <v>3.3665916478515951E-182</v>
      </c>
      <c r="I3157">
        <v>3.4412539626224967E-182</v>
      </c>
      <c r="J3157">
        <v>0.243861149050664</v>
      </c>
      <c r="K3157">
        <v>2.337495500567298E-162</v>
      </c>
      <c r="L3157">
        <v>2.3917461529518071E-162</v>
      </c>
      <c r="M3157">
        <v>0.16490904154897451</v>
      </c>
      <c r="N3157">
        <v>1.289121940828795E-161</v>
      </c>
      <c r="O3157">
        <v>1.319041017154792E-161</v>
      </c>
      <c r="P3157">
        <v>6.6578614125750335E-2</v>
      </c>
      <c r="Q3157">
        <v>1.451204866034828</v>
      </c>
      <c r="R3157">
        <v>-27.674371841107462</v>
      </c>
      <c r="S3157">
        <v>1.141847833108633</v>
      </c>
      <c r="T3157">
        <v>0.88141353631984332</v>
      </c>
      <c r="U3157">
        <v>4.4179867093448619</v>
      </c>
      <c r="V3157">
        <v>0.2101483876699779</v>
      </c>
      <c r="W3157">
        <v>-21.262968030429001</v>
      </c>
      <c r="X3157">
        <v>1.1819181797930169</v>
      </c>
      <c r="Z3157" t="s">
        <v>392</v>
      </c>
      <c r="AA3157">
        <v>114</v>
      </c>
      <c r="AB3157" t="s">
        <v>3548</v>
      </c>
      <c r="AC3157" t="str">
        <f>HYPERLINK("plots/3FT6Y578R04_015_S21P_20251218081014_M5358ACSC201811_RBGEUFRF04/dpll_52046/txpa_54147.png","plot")</f>
        <v>plot</v>
      </c>
    </row>
    <row r="3158" spans="1:29" x14ac:dyDescent="0.35">
      <c r="A3158" s="4" t="s">
        <v>49</v>
      </c>
      <c r="B3158">
        <v>52046</v>
      </c>
      <c r="C3158" t="s">
        <v>51</v>
      </c>
      <c r="D3158">
        <v>54148</v>
      </c>
      <c r="E3158" t="s">
        <v>168</v>
      </c>
      <c r="F3158">
        <v>12028</v>
      </c>
      <c r="G3158">
        <v>0.28380041689024788</v>
      </c>
      <c r="H3158">
        <v>1.3298853976437811E-221</v>
      </c>
      <c r="I3158">
        <v>1.4017710948137149E-221</v>
      </c>
      <c r="J3158">
        <v>0.26196560023109278</v>
      </c>
      <c r="K3158">
        <v>6.1161725391178457E-188</v>
      </c>
      <c r="L3158">
        <v>6.4068171019271639E-188</v>
      </c>
      <c r="M3158">
        <v>0.1768121587264497</v>
      </c>
      <c r="N3158">
        <v>1.439497941123985E-185</v>
      </c>
      <c r="O3158">
        <v>1.5079038350203719E-185</v>
      </c>
      <c r="P3158">
        <v>8.0542676627078522E-2</v>
      </c>
      <c r="Q3158">
        <v>1.574880603676734</v>
      </c>
      <c r="R3158">
        <v>-28.120049459952579</v>
      </c>
      <c r="S3158">
        <v>1.118171455205049</v>
      </c>
      <c r="T3158">
        <v>0.86250720908251199</v>
      </c>
      <c r="U3158">
        <v>4.4179867093448619</v>
      </c>
      <c r="V3158">
        <v>0.2101483876699779</v>
      </c>
      <c r="W3158">
        <v>-21.16224788410376</v>
      </c>
      <c r="X3158">
        <v>1.1661667846082711</v>
      </c>
      <c r="Z3158" t="s">
        <v>392</v>
      </c>
      <c r="AA3158">
        <v>114</v>
      </c>
      <c r="AB3158" t="s">
        <v>3549</v>
      </c>
      <c r="AC3158" t="str">
        <f>HYPERLINK("plots/3FT6Y578R04_015_S21P_20251218081014_M5358ACSC201811_RBGEUFRF04/dpll_52046/txpa_54148.png","plot")</f>
        <v>plot</v>
      </c>
    </row>
    <row r="3159" spans="1:29" x14ac:dyDescent="0.35">
      <c r="A3159" s="4" t="s">
        <v>49</v>
      </c>
      <c r="B3159">
        <v>52046</v>
      </c>
      <c r="C3159" t="s">
        <v>51</v>
      </c>
      <c r="D3159">
        <v>54149</v>
      </c>
      <c r="E3159" t="s">
        <v>169</v>
      </c>
      <c r="F3159">
        <v>12028</v>
      </c>
      <c r="G3159">
        <v>0.26436569126051018</v>
      </c>
      <c r="H3159">
        <v>1.7306444896048419E-191</v>
      </c>
      <c r="I3159">
        <v>1.788861888337727E-191</v>
      </c>
      <c r="J3159">
        <v>0.24896570331661291</v>
      </c>
      <c r="K3159">
        <v>2.3206844492794049E-169</v>
      </c>
      <c r="L3159">
        <v>2.381755092681495E-169</v>
      </c>
      <c r="M3159">
        <v>0.16806991392048681</v>
      </c>
      <c r="N3159">
        <v>8.4991196434948542E-168</v>
      </c>
      <c r="O3159">
        <v>8.7316183571466893E-168</v>
      </c>
      <c r="P3159">
        <v>6.9889218715647392E-2</v>
      </c>
      <c r="Q3159">
        <v>1.490257904697077</v>
      </c>
      <c r="R3159">
        <v>-27.779561530315451</v>
      </c>
      <c r="S3159">
        <v>1.142435496707044</v>
      </c>
      <c r="T3159">
        <v>0.87896576021772332</v>
      </c>
      <c r="U3159">
        <v>4.4179867093448619</v>
      </c>
      <c r="V3159">
        <v>0.2101483876699779</v>
      </c>
      <c r="W3159">
        <v>-21.19562191386764</v>
      </c>
      <c r="X3159">
        <v>1.1846291188213309</v>
      </c>
      <c r="Z3159" t="s">
        <v>392</v>
      </c>
      <c r="AA3159">
        <v>114</v>
      </c>
      <c r="AB3159" t="s">
        <v>3550</v>
      </c>
      <c r="AC3159" t="str">
        <f>HYPERLINK("plots/3FT6Y578R04_015_S21P_20251218081014_M5358ACSC201811_RBGEUFRF04/dpll_52046/txpa_54149.png","plot")</f>
        <v>plot</v>
      </c>
    </row>
    <row r="3160" spans="1:29" x14ac:dyDescent="0.35">
      <c r="A3160" s="4" t="s">
        <v>49</v>
      </c>
      <c r="B3160">
        <v>52046</v>
      </c>
      <c r="C3160" t="s">
        <v>51</v>
      </c>
      <c r="D3160">
        <v>54150</v>
      </c>
      <c r="E3160" t="s">
        <v>170</v>
      </c>
      <c r="F3160">
        <v>12028</v>
      </c>
      <c r="G3160">
        <v>0.27809824406024453</v>
      </c>
      <c r="H3160">
        <v>1.647445534871668E-212</v>
      </c>
      <c r="I3160">
        <v>1.7257332359089579E-212</v>
      </c>
      <c r="J3160">
        <v>0.26203425429778271</v>
      </c>
      <c r="K3160">
        <v>4.8472711793869558E-188</v>
      </c>
      <c r="L3160">
        <v>5.0828676069269638E-188</v>
      </c>
      <c r="M3160">
        <v>0.17714790301910049</v>
      </c>
      <c r="N3160">
        <v>2.527200521414322E-186</v>
      </c>
      <c r="O3160">
        <v>2.6500323978429401E-186</v>
      </c>
      <c r="P3160">
        <v>7.7338633349391298E-2</v>
      </c>
      <c r="Q3160">
        <v>1.5466811769057049</v>
      </c>
      <c r="R3160">
        <v>-27.89670259649882</v>
      </c>
      <c r="S3160">
        <v>1.122617297846535</v>
      </c>
      <c r="T3160">
        <v>0.85463370986708997</v>
      </c>
      <c r="U3160">
        <v>4.4179867093448619</v>
      </c>
      <c r="V3160">
        <v>0.2101483876699779</v>
      </c>
      <c r="W3160">
        <v>-21.063485713335549</v>
      </c>
      <c r="X3160">
        <v>1.168768816446845</v>
      </c>
      <c r="Z3160" t="s">
        <v>392</v>
      </c>
      <c r="AA3160">
        <v>114</v>
      </c>
      <c r="AB3160" t="s">
        <v>3551</v>
      </c>
      <c r="AC3160" t="str">
        <f>HYPERLINK("plots/3FT6Y578R04_015_S21P_20251218081014_M5358ACSC201811_RBGEUFRF04/dpll_52046/txpa_54150.png","plot")</f>
        <v>plot</v>
      </c>
    </row>
    <row r="3161" spans="1:29" x14ac:dyDescent="0.35">
      <c r="A3161" s="4" t="s">
        <v>49</v>
      </c>
      <c r="B3161">
        <v>52046</v>
      </c>
      <c r="C3161" t="s">
        <v>51</v>
      </c>
      <c r="D3161">
        <v>54151</v>
      </c>
      <c r="E3161" t="s">
        <v>171</v>
      </c>
      <c r="F3161">
        <v>12028</v>
      </c>
      <c r="G3161">
        <v>0.26860693437168359</v>
      </c>
      <c r="H3161">
        <v>7.5338967676955129E-198</v>
      </c>
      <c r="I3161">
        <v>7.8352526384033338E-198</v>
      </c>
      <c r="J3161">
        <v>0.26035866017119658</v>
      </c>
      <c r="K3161">
        <v>1.3850371790001371E-185</v>
      </c>
      <c r="L3161">
        <v>1.441917555961128E-185</v>
      </c>
      <c r="M3161">
        <v>0.17651470673604441</v>
      </c>
      <c r="N3161">
        <v>5.7045190138102218E-185</v>
      </c>
      <c r="O3161">
        <v>5.9510105761353554E-185</v>
      </c>
      <c r="P3161">
        <v>7.2149685192553964E-2</v>
      </c>
      <c r="Q3161">
        <v>1.483513225302308</v>
      </c>
      <c r="R3161">
        <v>-27.667850132044041</v>
      </c>
      <c r="S3161">
        <v>1.1179468842082501</v>
      </c>
      <c r="T3161">
        <v>0.85708083993552109</v>
      </c>
      <c r="U3161">
        <v>4.4179867093448619</v>
      </c>
      <c r="V3161">
        <v>0.2101483876699779</v>
      </c>
      <c r="W3161">
        <v>-21.113708419521121</v>
      </c>
      <c r="X3161">
        <v>1.1606472971877011</v>
      </c>
      <c r="Z3161" t="s">
        <v>392</v>
      </c>
      <c r="AA3161">
        <v>114</v>
      </c>
      <c r="AB3161" t="s">
        <v>3552</v>
      </c>
      <c r="AC3161" t="str">
        <f>HYPERLINK("plots/3FT6Y578R04_015_S21P_20251218081014_M5358ACSC201811_RBGEUFRF04/dpll_52046/txpa_54151.png","plot")</f>
        <v>plot</v>
      </c>
    </row>
    <row r="3162" spans="1:29" x14ac:dyDescent="0.35">
      <c r="A3162" s="4" t="s">
        <v>49</v>
      </c>
      <c r="B3162">
        <v>52046</v>
      </c>
      <c r="C3162" t="s">
        <v>51</v>
      </c>
      <c r="D3162">
        <v>54152</v>
      </c>
      <c r="E3162" t="s">
        <v>172</v>
      </c>
      <c r="F3162">
        <v>12028</v>
      </c>
      <c r="G3162">
        <v>0.27960949118987311</v>
      </c>
      <c r="H3162">
        <v>6.7281341300254428E-215</v>
      </c>
      <c r="I3162">
        <v>7.0697699563168892E-215</v>
      </c>
      <c r="J3162">
        <v>0.26489504979361489</v>
      </c>
      <c r="K3162">
        <v>2.8223502562318731E-192</v>
      </c>
      <c r="L3162">
        <v>2.9873310645293518E-192</v>
      </c>
      <c r="M3162">
        <v>0.17953299878986331</v>
      </c>
      <c r="N3162">
        <v>2.9398908161685378E-191</v>
      </c>
      <c r="O3162">
        <v>3.1117424713934218E-191</v>
      </c>
      <c r="P3162">
        <v>7.8181467563459728E-2</v>
      </c>
      <c r="Q3162">
        <v>1.54920540894945</v>
      </c>
      <c r="R3162">
        <v>-27.99351106341836</v>
      </c>
      <c r="S3162">
        <v>1.117861041888482</v>
      </c>
      <c r="T3162">
        <v>0.86008552944768168</v>
      </c>
      <c r="U3162">
        <v>4.4179867093448619</v>
      </c>
      <c r="V3162">
        <v>0.2101483876699779</v>
      </c>
      <c r="W3162">
        <v>-21.149142156634522</v>
      </c>
      <c r="X3162">
        <v>1.164348954947517</v>
      </c>
      <c r="Z3162" t="s">
        <v>392</v>
      </c>
      <c r="AA3162">
        <v>114</v>
      </c>
      <c r="AB3162" t="s">
        <v>3553</v>
      </c>
      <c r="AC3162" t="str">
        <f>HYPERLINK("plots/3FT6Y578R04_015_S21P_20251218081014_M5358ACSC201811_RBGEUFRF04/dpll_52046/txpa_54152.png","plot")</f>
        <v>plot</v>
      </c>
    </row>
    <row r="3163" spans="1:29" x14ac:dyDescent="0.35">
      <c r="A3163" s="4" t="s">
        <v>49</v>
      </c>
      <c r="B3163">
        <v>52046</v>
      </c>
      <c r="C3163" t="s">
        <v>51</v>
      </c>
      <c r="D3163">
        <v>54153</v>
      </c>
      <c r="E3163" t="s">
        <v>173</v>
      </c>
      <c r="F3163">
        <v>12028</v>
      </c>
      <c r="G3163">
        <v>0.26183777111482082</v>
      </c>
      <c r="H3163">
        <v>9.4280367250643727E-188</v>
      </c>
      <c r="I3163">
        <v>9.7154768691212135E-188</v>
      </c>
      <c r="J3163">
        <v>0.25049667819883792</v>
      </c>
      <c r="K3163">
        <v>1.7111439792008811E-171</v>
      </c>
      <c r="L3163">
        <v>1.7669042718021319E-171</v>
      </c>
      <c r="M3163">
        <v>0.16872466681617981</v>
      </c>
      <c r="N3163">
        <v>3.5768952280710267E-169</v>
      </c>
      <c r="O3163">
        <v>3.6934539320407558E-169</v>
      </c>
      <c r="P3163">
        <v>6.8559018382377296E-2</v>
      </c>
      <c r="Q3163">
        <v>1.457098401456318</v>
      </c>
      <c r="R3163">
        <v>-27.60782952947385</v>
      </c>
      <c r="S3163">
        <v>1.1286057679492929</v>
      </c>
      <c r="T3163">
        <v>0.86728546927055472</v>
      </c>
      <c r="U3163">
        <v>4.4179867093448619</v>
      </c>
      <c r="V3163">
        <v>0.2101483876699779</v>
      </c>
      <c r="W3163">
        <v>-21.170388157632189</v>
      </c>
      <c r="X3163">
        <v>1.16945266696557</v>
      </c>
      <c r="Z3163" t="s">
        <v>392</v>
      </c>
      <c r="AA3163">
        <v>114</v>
      </c>
      <c r="AB3163" t="s">
        <v>3554</v>
      </c>
      <c r="AC3163" t="str">
        <f>HYPERLINK("plots/3FT6Y578R04_015_S21P_20251218081014_M5358ACSC201811_RBGEUFRF04/dpll_52046/txpa_54153.png","plot")</f>
        <v>plot</v>
      </c>
    </row>
    <row r="3164" spans="1:29" x14ac:dyDescent="0.35">
      <c r="A3164" s="4" t="s">
        <v>49</v>
      </c>
      <c r="B3164">
        <v>52046</v>
      </c>
      <c r="C3164" t="s">
        <v>51</v>
      </c>
      <c r="D3164">
        <v>54154</v>
      </c>
      <c r="E3164" t="s">
        <v>174</v>
      </c>
      <c r="F3164">
        <v>12028</v>
      </c>
      <c r="G3164">
        <v>0.23239411714951111</v>
      </c>
      <c r="H3164">
        <v>3.2286724873590052E-147</v>
      </c>
      <c r="I3164">
        <v>3.2511160895551449E-147</v>
      </c>
      <c r="J3164">
        <v>0.21680146038171419</v>
      </c>
      <c r="K3164">
        <v>6.3506404125467663E-128</v>
      </c>
      <c r="L3164">
        <v>6.4011425231833217E-128</v>
      </c>
      <c r="M3164">
        <v>0.14646598344513229</v>
      </c>
      <c r="N3164">
        <v>6.700763025483703E-128</v>
      </c>
      <c r="O3164">
        <v>6.7540494113722424E-128</v>
      </c>
      <c r="P3164">
        <v>5.4007025685700691E-2</v>
      </c>
      <c r="Q3164">
        <v>1.3146924072656141</v>
      </c>
      <c r="R3164">
        <v>-27.107817886299799</v>
      </c>
      <c r="S3164">
        <v>1.1562479832816379</v>
      </c>
      <c r="T3164">
        <v>0.89651522972937014</v>
      </c>
      <c r="U3164">
        <v>4.4179867093448619</v>
      </c>
      <c r="V3164">
        <v>0.2101483876699779</v>
      </c>
      <c r="W3164">
        <v>-21.299524304123711</v>
      </c>
      <c r="X3164">
        <v>1.1888445932178451</v>
      </c>
      <c r="Z3164" t="s">
        <v>392</v>
      </c>
      <c r="AA3164">
        <v>114</v>
      </c>
      <c r="AB3164" t="s">
        <v>3555</v>
      </c>
      <c r="AC3164" t="str">
        <f>HYPERLINK("plots/3FT6Y578R04_015_S21P_20251218081014_M5358ACSC201811_RBGEUFRF04/dpll_52046/txpa_54154.png","plot")</f>
        <v>plot</v>
      </c>
    </row>
    <row r="3165" spans="1:29" x14ac:dyDescent="0.35">
      <c r="A3165" s="4" t="s">
        <v>49</v>
      </c>
      <c r="B3165">
        <v>52046</v>
      </c>
      <c r="C3165" t="s">
        <v>51</v>
      </c>
      <c r="D3165">
        <v>54155</v>
      </c>
      <c r="E3165" t="s">
        <v>175</v>
      </c>
      <c r="F3165">
        <v>12028</v>
      </c>
      <c r="G3165">
        <v>0.52665473638782589</v>
      </c>
      <c r="H3165">
        <v>0</v>
      </c>
      <c r="I3165">
        <v>0</v>
      </c>
      <c r="J3165">
        <v>0.46399757908853362</v>
      </c>
      <c r="K3165">
        <v>0</v>
      </c>
      <c r="L3165">
        <v>0</v>
      </c>
      <c r="M3165">
        <v>0.32035467962886049</v>
      </c>
      <c r="N3165">
        <v>0</v>
      </c>
      <c r="O3165">
        <v>0</v>
      </c>
      <c r="P3165">
        <v>0.27736521135973041</v>
      </c>
      <c r="Q3165">
        <v>0.82095381301764836</v>
      </c>
      <c r="R3165">
        <v>-15.2084994316389</v>
      </c>
      <c r="S3165">
        <v>0.2784583021280666</v>
      </c>
      <c r="T3165">
        <v>0.21626959755706879</v>
      </c>
      <c r="U3165">
        <v>4.4179867093448619</v>
      </c>
      <c r="V3165">
        <v>0.2101483876699779</v>
      </c>
      <c r="W3165">
        <v>-11.58153639674094</v>
      </c>
      <c r="X3165">
        <v>0.32758106637464079</v>
      </c>
      <c r="Z3165" t="s">
        <v>392</v>
      </c>
      <c r="AA3165">
        <v>114</v>
      </c>
      <c r="AB3165" t="s">
        <v>3556</v>
      </c>
      <c r="AC3165" t="str">
        <f>HYPERLINK("plots/3FT6Y578R04_015_S21P_20251218081014_M5358ACSC201811_RBGEUFRF04/dpll_52046/txpa_54155.png","plot")</f>
        <v>plot</v>
      </c>
    </row>
    <row r="3166" spans="1:29" x14ac:dyDescent="0.35">
      <c r="A3166" s="4" t="s">
        <v>49</v>
      </c>
      <c r="B3166">
        <v>52046</v>
      </c>
      <c r="C3166" t="s">
        <v>51</v>
      </c>
      <c r="D3166">
        <v>54156</v>
      </c>
      <c r="E3166" t="s">
        <v>176</v>
      </c>
      <c r="F3166">
        <v>12028</v>
      </c>
      <c r="G3166">
        <v>0.55455944417565184</v>
      </c>
      <c r="H3166">
        <v>0</v>
      </c>
      <c r="I3166">
        <v>0</v>
      </c>
      <c r="J3166">
        <v>0.48376613789616418</v>
      </c>
      <c r="K3166">
        <v>0</v>
      </c>
      <c r="L3166">
        <v>0</v>
      </c>
      <c r="M3166">
        <v>0.33636646452079161</v>
      </c>
      <c r="N3166">
        <v>0</v>
      </c>
      <c r="O3166">
        <v>0</v>
      </c>
      <c r="P3166">
        <v>0.30753617712440789</v>
      </c>
      <c r="Q3166">
        <v>0.86598604371174726</v>
      </c>
      <c r="R3166">
        <v>-15.3448881829435</v>
      </c>
      <c r="S3166">
        <v>0.27306707591013618</v>
      </c>
      <c r="T3166">
        <v>0.21317488821199859</v>
      </c>
      <c r="U3166">
        <v>4.4179867093448619</v>
      </c>
      <c r="V3166">
        <v>0.2101483876699779</v>
      </c>
      <c r="W3166">
        <v>-11.51897335134686</v>
      </c>
      <c r="X3166">
        <v>0.32816242287830261</v>
      </c>
      <c r="Z3166" t="s">
        <v>392</v>
      </c>
      <c r="AA3166">
        <v>114</v>
      </c>
      <c r="AB3166" t="s">
        <v>3557</v>
      </c>
      <c r="AC3166" t="str">
        <f>HYPERLINK("plots/3FT6Y578R04_015_S21P_20251218081014_M5358ACSC201811_RBGEUFRF04/dpll_52046/txpa_54156.png","plot")</f>
        <v>plot</v>
      </c>
    </row>
    <row r="3167" spans="1:29" x14ac:dyDescent="0.35">
      <c r="A3167" s="4" t="s">
        <v>49</v>
      </c>
      <c r="B3167">
        <v>52046</v>
      </c>
      <c r="C3167" t="s">
        <v>51</v>
      </c>
      <c r="D3167">
        <v>54157</v>
      </c>
      <c r="E3167" t="s">
        <v>177</v>
      </c>
      <c r="F3167">
        <v>12028</v>
      </c>
      <c r="G3167">
        <v>0.54759032159643095</v>
      </c>
      <c r="H3167">
        <v>0</v>
      </c>
      <c r="I3167">
        <v>0</v>
      </c>
      <c r="J3167">
        <v>0.47888605664537542</v>
      </c>
      <c r="K3167">
        <v>0</v>
      </c>
      <c r="L3167">
        <v>0</v>
      </c>
      <c r="M3167">
        <v>0.33235389562830098</v>
      </c>
      <c r="N3167">
        <v>0</v>
      </c>
      <c r="O3167">
        <v>0</v>
      </c>
      <c r="P3167">
        <v>0.29985516030608272</v>
      </c>
      <c r="Q3167">
        <v>0.83677336463824548</v>
      </c>
      <c r="R3167">
        <v>-15.210490928281541</v>
      </c>
      <c r="S3167">
        <v>0.26869156835815122</v>
      </c>
      <c r="T3167">
        <v>0.20986895189019619</v>
      </c>
      <c r="U3167">
        <v>4.4179867093448619</v>
      </c>
      <c r="V3167">
        <v>0.2101483876699779</v>
      </c>
      <c r="W3167">
        <v>-11.51363732457599</v>
      </c>
      <c r="X3167">
        <v>0.32112797923683389</v>
      </c>
      <c r="Z3167" t="s">
        <v>392</v>
      </c>
      <c r="AA3167">
        <v>114</v>
      </c>
      <c r="AB3167" t="s">
        <v>3558</v>
      </c>
      <c r="AC3167" t="str">
        <f>HYPERLINK("plots/3FT6Y578R04_015_S21P_20251218081014_M5358ACSC201811_RBGEUFRF04/dpll_52046/txpa_54157.png","plot")</f>
        <v>plot</v>
      </c>
    </row>
    <row r="3168" spans="1:29" x14ac:dyDescent="0.35">
      <c r="A3168" s="4" t="s">
        <v>49</v>
      </c>
      <c r="B3168">
        <v>52046</v>
      </c>
      <c r="C3168" t="s">
        <v>51</v>
      </c>
      <c r="D3168">
        <v>54158</v>
      </c>
      <c r="E3168" t="s">
        <v>178</v>
      </c>
      <c r="F3168">
        <v>12028</v>
      </c>
      <c r="G3168">
        <v>0.57449843640466502</v>
      </c>
      <c r="H3168">
        <v>0</v>
      </c>
      <c r="I3168">
        <v>0</v>
      </c>
      <c r="J3168">
        <v>0.49861706961476149</v>
      </c>
      <c r="K3168">
        <v>0</v>
      </c>
      <c r="L3168">
        <v>0</v>
      </c>
      <c r="M3168">
        <v>0.34710891155049228</v>
      </c>
      <c r="N3168">
        <v>0</v>
      </c>
      <c r="O3168">
        <v>0</v>
      </c>
      <c r="P3168">
        <v>0.33004845343140488</v>
      </c>
      <c r="Q3168">
        <v>0.90174194863360679</v>
      </c>
      <c r="R3168">
        <v>-15.4474029857254</v>
      </c>
      <c r="S3168">
        <v>0.26997473738436639</v>
      </c>
      <c r="T3168">
        <v>0.2111358313766539</v>
      </c>
      <c r="U3168">
        <v>4.4179867093448619</v>
      </c>
      <c r="V3168">
        <v>0.2101483876699779</v>
      </c>
      <c r="W3168">
        <v>-11.463519041403391</v>
      </c>
      <c r="X3168">
        <v>0.3298522756400627</v>
      </c>
      <c r="Z3168" t="s">
        <v>392</v>
      </c>
      <c r="AA3168">
        <v>114</v>
      </c>
      <c r="AB3168" t="s">
        <v>3559</v>
      </c>
      <c r="AC3168" t="str">
        <f>HYPERLINK("plots/3FT6Y578R04_015_S21P_20251218081014_M5358ACSC201811_RBGEUFRF04/dpll_52046/txpa_54158.png","plot")</f>
        <v>plot</v>
      </c>
    </row>
    <row r="3169" spans="1:29" x14ac:dyDescent="0.35">
      <c r="A3169" s="4" t="s">
        <v>49</v>
      </c>
      <c r="B3169">
        <v>52046</v>
      </c>
      <c r="C3169" t="s">
        <v>51</v>
      </c>
      <c r="D3169">
        <v>54159</v>
      </c>
      <c r="E3169" t="s">
        <v>179</v>
      </c>
      <c r="F3169">
        <v>12027</v>
      </c>
      <c r="G3169">
        <v>0.56296623698091697</v>
      </c>
      <c r="H3169">
        <v>0</v>
      </c>
      <c r="I3169">
        <v>0</v>
      </c>
      <c r="J3169">
        <v>0.4838882277977683</v>
      </c>
      <c r="K3169">
        <v>0</v>
      </c>
      <c r="L3169">
        <v>0</v>
      </c>
      <c r="M3169">
        <v>0.33571158331765077</v>
      </c>
      <c r="N3169">
        <v>0</v>
      </c>
      <c r="O3169">
        <v>0</v>
      </c>
      <c r="P3169">
        <v>0.31693098398045388</v>
      </c>
      <c r="Q3169">
        <v>0.87240418935100716</v>
      </c>
      <c r="R3169">
        <v>-15.33567372132492</v>
      </c>
      <c r="S3169">
        <v>0.26912092467004589</v>
      </c>
      <c r="T3169">
        <v>0.21160538470203319</v>
      </c>
      <c r="U3169">
        <v>4.4179587365926656</v>
      </c>
      <c r="V3169">
        <v>0.21013472984942591</v>
      </c>
      <c r="W3169">
        <v>-11.481428011141601</v>
      </c>
      <c r="X3169">
        <v>0.32563661300881058</v>
      </c>
      <c r="Z3169" t="s">
        <v>392</v>
      </c>
      <c r="AA3169">
        <v>114</v>
      </c>
      <c r="AB3169" t="s">
        <v>3560</v>
      </c>
      <c r="AC3169" t="str">
        <f>HYPERLINK("plots/3FT6Y578R04_015_S21P_20251218081014_M5358ACSC201811_RBGEUFRF04/dpll_52046/txpa_54159.png","plot")</f>
        <v>plot</v>
      </c>
    </row>
    <row r="3170" spans="1:29" x14ac:dyDescent="0.35">
      <c r="A3170" s="4" t="s">
        <v>49</v>
      </c>
      <c r="B3170">
        <v>52046</v>
      </c>
      <c r="C3170" t="s">
        <v>51</v>
      </c>
      <c r="D3170">
        <v>54160</v>
      </c>
      <c r="E3170" t="s">
        <v>180</v>
      </c>
      <c r="F3170">
        <v>12028</v>
      </c>
      <c r="G3170">
        <v>0.5663739938318838</v>
      </c>
      <c r="H3170">
        <v>0</v>
      </c>
      <c r="I3170">
        <v>0</v>
      </c>
      <c r="J3170">
        <v>0.49538754133597079</v>
      </c>
      <c r="K3170">
        <v>0</v>
      </c>
      <c r="L3170">
        <v>0</v>
      </c>
      <c r="M3170">
        <v>0.34537078056277598</v>
      </c>
      <c r="N3170">
        <v>0</v>
      </c>
      <c r="O3170">
        <v>0</v>
      </c>
      <c r="P3170">
        <v>0.32077950088907881</v>
      </c>
      <c r="Q3170">
        <v>0.8746134144988571</v>
      </c>
      <c r="R3170">
        <v>-15.36125435111391</v>
      </c>
      <c r="S3170">
        <v>0.26743991823995489</v>
      </c>
      <c r="T3170">
        <v>0.20938309696418439</v>
      </c>
      <c r="U3170">
        <v>4.4179867093448619</v>
      </c>
      <c r="V3170">
        <v>0.2101483876699779</v>
      </c>
      <c r="W3170">
        <v>-11.49722391004323</v>
      </c>
      <c r="X3170">
        <v>0.3245180762060656</v>
      </c>
      <c r="Z3170" t="s">
        <v>392</v>
      </c>
      <c r="AA3170">
        <v>114</v>
      </c>
      <c r="AB3170" t="s">
        <v>3561</v>
      </c>
      <c r="AC3170" t="str">
        <f>HYPERLINK("plots/3FT6Y578R04_015_S21P_20251218081014_M5358ACSC201811_RBGEUFRF04/dpll_52046/txpa_54160.png","plot")</f>
        <v>plot</v>
      </c>
    </row>
    <row r="3171" spans="1:29" x14ac:dyDescent="0.35">
      <c r="A3171" s="4" t="s">
        <v>49</v>
      </c>
      <c r="B3171">
        <v>52046</v>
      </c>
      <c r="C3171" t="s">
        <v>51</v>
      </c>
      <c r="D3171">
        <v>54161</v>
      </c>
      <c r="E3171" t="s">
        <v>181</v>
      </c>
      <c r="F3171">
        <v>12028</v>
      </c>
      <c r="G3171">
        <v>0.55526899685779874</v>
      </c>
      <c r="H3171">
        <v>0</v>
      </c>
      <c r="I3171">
        <v>0</v>
      </c>
      <c r="J3171">
        <v>0.48207105940077211</v>
      </c>
      <c r="K3171">
        <v>0</v>
      </c>
      <c r="L3171">
        <v>0</v>
      </c>
      <c r="M3171">
        <v>0.33489516489742321</v>
      </c>
      <c r="N3171">
        <v>0</v>
      </c>
      <c r="O3171">
        <v>0</v>
      </c>
      <c r="P3171">
        <v>0.30832365887146612</v>
      </c>
      <c r="Q3171">
        <v>0.85103343101202344</v>
      </c>
      <c r="R3171">
        <v>-15.25900457697697</v>
      </c>
      <c r="S3171">
        <v>0.26785679230568671</v>
      </c>
      <c r="T3171">
        <v>0.2097759873317312</v>
      </c>
      <c r="U3171">
        <v>4.4179867093448619</v>
      </c>
      <c r="V3171">
        <v>0.2101483876699779</v>
      </c>
      <c r="W3171">
        <v>-11.4991501895577</v>
      </c>
      <c r="X3171">
        <v>0.32208407887434592</v>
      </c>
      <c r="Z3171" t="s">
        <v>392</v>
      </c>
      <c r="AA3171">
        <v>114</v>
      </c>
      <c r="AB3171" t="s">
        <v>3562</v>
      </c>
      <c r="AC3171" t="str">
        <f>HYPERLINK("plots/3FT6Y578R04_015_S21P_20251218081014_M5358ACSC201811_RBGEUFRF04/dpll_52046/txpa_54161.png","plot")</f>
        <v>plot</v>
      </c>
    </row>
    <row r="3172" spans="1:29" x14ac:dyDescent="0.35">
      <c r="A3172" s="4" t="s">
        <v>49</v>
      </c>
      <c r="B3172">
        <v>52046</v>
      </c>
      <c r="C3172" t="s">
        <v>51</v>
      </c>
      <c r="D3172">
        <v>54162</v>
      </c>
      <c r="E3172" t="s">
        <v>182</v>
      </c>
      <c r="F3172">
        <v>12028</v>
      </c>
      <c r="G3172">
        <v>0.54221914957388762</v>
      </c>
      <c r="H3172">
        <v>0</v>
      </c>
      <c r="I3172">
        <v>0</v>
      </c>
      <c r="J3172">
        <v>0.46899006611929361</v>
      </c>
      <c r="K3172">
        <v>0</v>
      </c>
      <c r="L3172">
        <v>0</v>
      </c>
      <c r="M3172">
        <v>0.32574428681829559</v>
      </c>
      <c r="N3172">
        <v>0</v>
      </c>
      <c r="O3172">
        <v>0</v>
      </c>
      <c r="P3172">
        <v>0.29400160616462989</v>
      </c>
      <c r="Q3172">
        <v>0.83182596925369889</v>
      </c>
      <c r="R3172">
        <v>-15.251050515460189</v>
      </c>
      <c r="S3172">
        <v>0.27087410402137002</v>
      </c>
      <c r="T3172">
        <v>0.2118466040624957</v>
      </c>
      <c r="U3172">
        <v>4.4179867093448619</v>
      </c>
      <c r="V3172">
        <v>0.2101483876699779</v>
      </c>
      <c r="W3172">
        <v>-11.57605443880944</v>
      </c>
      <c r="X3172">
        <v>0.32239157616999792</v>
      </c>
      <c r="Z3172" t="s">
        <v>392</v>
      </c>
      <c r="AA3172">
        <v>114</v>
      </c>
      <c r="AB3172" t="s">
        <v>3563</v>
      </c>
      <c r="AC3172" t="str">
        <f>HYPERLINK("plots/3FT6Y578R04_015_S21P_20251218081014_M5358ACSC201811_RBGEUFRF04/dpll_52046/txpa_54162.png","plot")</f>
        <v>plot</v>
      </c>
    </row>
    <row r="3173" spans="1:29" x14ac:dyDescent="0.35">
      <c r="A3173" s="4" t="s">
        <v>49</v>
      </c>
      <c r="B3173">
        <v>52046</v>
      </c>
      <c r="C3173" t="s">
        <v>51</v>
      </c>
      <c r="D3173">
        <v>54163</v>
      </c>
      <c r="E3173" t="s">
        <v>183</v>
      </c>
      <c r="F3173">
        <v>12028</v>
      </c>
      <c r="G3173">
        <v>0.52093431836667281</v>
      </c>
      <c r="H3173">
        <v>0</v>
      </c>
      <c r="I3173">
        <v>0</v>
      </c>
      <c r="J3173">
        <v>0.4602338897759693</v>
      </c>
      <c r="K3173">
        <v>0</v>
      </c>
      <c r="L3173">
        <v>0</v>
      </c>
      <c r="M3173">
        <v>0.31687870311596023</v>
      </c>
      <c r="N3173">
        <v>0</v>
      </c>
      <c r="O3173">
        <v>0</v>
      </c>
      <c r="P3173">
        <v>0.27137256405214999</v>
      </c>
      <c r="Q3173">
        <v>0.71471087270212863</v>
      </c>
      <c r="R3173">
        <v>-8.8846414190466145</v>
      </c>
      <c r="S3173">
        <v>0.2460980588438676</v>
      </c>
      <c r="T3173">
        <v>0.19154754220806069</v>
      </c>
      <c r="U3173">
        <v>4.4179867093448619</v>
      </c>
      <c r="V3173">
        <v>0.2101483876699779</v>
      </c>
      <c r="W3173">
        <v>-5.727058282424343</v>
      </c>
      <c r="X3173">
        <v>0.28831914552966043</v>
      </c>
      <c r="Z3173" t="s">
        <v>392</v>
      </c>
      <c r="AA3173">
        <v>114</v>
      </c>
      <c r="AB3173" t="s">
        <v>3564</v>
      </c>
      <c r="AC3173" t="str">
        <f>HYPERLINK("plots/3FT6Y578R04_015_S21P_20251218081014_M5358ACSC201811_RBGEUFRF04/dpll_52046/txpa_54163.png","plot")</f>
        <v>plot</v>
      </c>
    </row>
    <row r="3174" spans="1:29" x14ac:dyDescent="0.35">
      <c r="A3174" s="4" t="s">
        <v>49</v>
      </c>
      <c r="B3174">
        <v>52046</v>
      </c>
      <c r="C3174" t="s">
        <v>51</v>
      </c>
      <c r="D3174">
        <v>54164</v>
      </c>
      <c r="E3174" t="s">
        <v>184</v>
      </c>
      <c r="F3174">
        <v>12028</v>
      </c>
      <c r="G3174">
        <v>0.54790101927776358</v>
      </c>
      <c r="H3174">
        <v>0</v>
      </c>
      <c r="I3174">
        <v>0</v>
      </c>
      <c r="J3174">
        <v>0.48137601219381421</v>
      </c>
      <c r="K3174">
        <v>0</v>
      </c>
      <c r="L3174">
        <v>0</v>
      </c>
      <c r="M3174">
        <v>0.3339960196559848</v>
      </c>
      <c r="N3174">
        <v>0</v>
      </c>
      <c r="O3174">
        <v>0</v>
      </c>
      <c r="P3174">
        <v>0.30019552692561219</v>
      </c>
      <c r="Q3174">
        <v>0.75476038947066904</v>
      </c>
      <c r="R3174">
        <v>-9.0182357709012475</v>
      </c>
      <c r="S3174">
        <v>0.24216052900390869</v>
      </c>
      <c r="T3174">
        <v>0.18995507607826209</v>
      </c>
      <c r="U3174">
        <v>4.4179867093448619</v>
      </c>
      <c r="V3174">
        <v>0.2101483876699779</v>
      </c>
      <c r="W3174">
        <v>-5.6837144014798797</v>
      </c>
      <c r="X3174">
        <v>0.28948965843046931</v>
      </c>
      <c r="Z3174" t="s">
        <v>392</v>
      </c>
      <c r="AA3174">
        <v>114</v>
      </c>
      <c r="AB3174" t="s">
        <v>3565</v>
      </c>
      <c r="AC3174" t="str">
        <f>HYPERLINK("plots/3FT6Y578R04_015_S21P_20251218081014_M5358ACSC201811_RBGEUFRF04/dpll_52046/txpa_54164.png","plot")</f>
        <v>plot</v>
      </c>
    </row>
    <row r="3175" spans="1:29" x14ac:dyDescent="0.35">
      <c r="A3175" s="4" t="s">
        <v>49</v>
      </c>
      <c r="B3175">
        <v>52046</v>
      </c>
      <c r="C3175" t="s">
        <v>51</v>
      </c>
      <c r="D3175">
        <v>54165</v>
      </c>
      <c r="E3175" t="s">
        <v>185</v>
      </c>
      <c r="F3175">
        <v>12028</v>
      </c>
      <c r="G3175">
        <v>0.53402785571706557</v>
      </c>
      <c r="H3175">
        <v>0</v>
      </c>
      <c r="I3175">
        <v>0</v>
      </c>
      <c r="J3175">
        <v>0.46516378265741359</v>
      </c>
      <c r="K3175">
        <v>0</v>
      </c>
      <c r="L3175">
        <v>0</v>
      </c>
      <c r="M3175">
        <v>0.32173116791560691</v>
      </c>
      <c r="N3175">
        <v>0</v>
      </c>
      <c r="O3175">
        <v>0</v>
      </c>
      <c r="P3175">
        <v>0.28518575068176699</v>
      </c>
      <c r="Q3175">
        <v>0.7193532151323272</v>
      </c>
      <c r="R3175">
        <v>-8.8524678920664446</v>
      </c>
      <c r="S3175">
        <v>0.2393221449685704</v>
      </c>
      <c r="T3175">
        <v>0.1879885987900369</v>
      </c>
      <c r="U3175">
        <v>4.4179867093448619</v>
      </c>
      <c r="V3175">
        <v>0.2101483876699779</v>
      </c>
      <c r="W3175">
        <v>-5.674374948287328</v>
      </c>
      <c r="X3175">
        <v>0.28307684085559298</v>
      </c>
      <c r="Z3175" t="s">
        <v>392</v>
      </c>
      <c r="AA3175">
        <v>114</v>
      </c>
      <c r="AB3175" t="s">
        <v>3566</v>
      </c>
      <c r="AC3175" t="str">
        <f>HYPERLINK("plots/3FT6Y578R04_015_S21P_20251218081014_M5358ACSC201811_RBGEUFRF04/dpll_52046/txpa_54165.png","plot")</f>
        <v>plot</v>
      </c>
    </row>
    <row r="3176" spans="1:29" x14ac:dyDescent="0.35">
      <c r="A3176" s="4" t="s">
        <v>49</v>
      </c>
      <c r="B3176">
        <v>52046</v>
      </c>
      <c r="C3176" t="s">
        <v>51</v>
      </c>
      <c r="D3176">
        <v>54166</v>
      </c>
      <c r="E3176" t="s">
        <v>186</v>
      </c>
      <c r="F3176">
        <v>12028</v>
      </c>
      <c r="G3176">
        <v>0.5641278585443289</v>
      </c>
      <c r="H3176">
        <v>0</v>
      </c>
      <c r="I3176">
        <v>0</v>
      </c>
      <c r="J3176">
        <v>0.49017374042234291</v>
      </c>
      <c r="K3176">
        <v>0</v>
      </c>
      <c r="L3176">
        <v>0</v>
      </c>
      <c r="M3176">
        <v>0.34126039598455282</v>
      </c>
      <c r="N3176">
        <v>0</v>
      </c>
      <c r="O3176">
        <v>0</v>
      </c>
      <c r="P3176">
        <v>0.31824024078581042</v>
      </c>
      <c r="Q3176">
        <v>0.77919289051431373</v>
      </c>
      <c r="R3176">
        <v>-9.0902711859045198</v>
      </c>
      <c r="S3176">
        <v>0.2396575547929207</v>
      </c>
      <c r="T3176">
        <v>0.18807132178395519</v>
      </c>
      <c r="U3176">
        <v>4.4179867093448619</v>
      </c>
      <c r="V3176">
        <v>0.2101483876699779</v>
      </c>
      <c r="W3176">
        <v>-5.647807351596275</v>
      </c>
      <c r="X3176">
        <v>0.29026421430067628</v>
      </c>
      <c r="Z3176" t="s">
        <v>392</v>
      </c>
      <c r="AA3176">
        <v>114</v>
      </c>
      <c r="AB3176" t="s">
        <v>3567</v>
      </c>
      <c r="AC3176" t="str">
        <f>HYPERLINK("plots/3FT6Y578R04_015_S21P_20251218081014_M5358ACSC201811_RBGEUFRF04/dpll_52046/txpa_54166.png","plot")</f>
        <v>plot</v>
      </c>
    </row>
    <row r="3177" spans="1:29" x14ac:dyDescent="0.35">
      <c r="A3177" s="4" t="s">
        <v>49</v>
      </c>
      <c r="B3177">
        <v>52046</v>
      </c>
      <c r="C3177" t="s">
        <v>51</v>
      </c>
      <c r="D3177">
        <v>54167</v>
      </c>
      <c r="E3177" t="s">
        <v>187</v>
      </c>
      <c r="F3177">
        <v>12027</v>
      </c>
      <c r="G3177">
        <v>0.55515296797215374</v>
      </c>
      <c r="H3177">
        <v>0</v>
      </c>
      <c r="I3177">
        <v>0</v>
      </c>
      <c r="J3177">
        <v>0.47741287898193119</v>
      </c>
      <c r="K3177">
        <v>0</v>
      </c>
      <c r="L3177">
        <v>0</v>
      </c>
      <c r="M3177">
        <v>0.33002860670775941</v>
      </c>
      <c r="N3177">
        <v>0</v>
      </c>
      <c r="O3177">
        <v>0</v>
      </c>
      <c r="P3177">
        <v>0.30819481784829122</v>
      </c>
      <c r="Q3177">
        <v>0.75731830420158186</v>
      </c>
      <c r="R3177">
        <v>-9.0086341992720254</v>
      </c>
      <c r="S3177">
        <v>0.23841713972971851</v>
      </c>
      <c r="T3177">
        <v>0.1888209901066446</v>
      </c>
      <c r="U3177">
        <v>4.4179587365926656</v>
      </c>
      <c r="V3177">
        <v>0.21013472984942591</v>
      </c>
      <c r="W3177">
        <v>-5.6628331808431041</v>
      </c>
      <c r="X3177">
        <v>0.2866577077750706</v>
      </c>
      <c r="Z3177" t="s">
        <v>392</v>
      </c>
      <c r="AA3177">
        <v>114</v>
      </c>
      <c r="AB3177" t="s">
        <v>3568</v>
      </c>
      <c r="AC3177" t="str">
        <f>HYPERLINK("plots/3FT6Y578R04_015_S21P_20251218081014_M5358ACSC201811_RBGEUFRF04/dpll_52046/txpa_54167.png","plot")</f>
        <v>plot</v>
      </c>
    </row>
    <row r="3178" spans="1:29" x14ac:dyDescent="0.35">
      <c r="A3178" s="4" t="s">
        <v>49</v>
      </c>
      <c r="B3178">
        <v>52046</v>
      </c>
      <c r="C3178" t="s">
        <v>51</v>
      </c>
      <c r="D3178">
        <v>54168</v>
      </c>
      <c r="E3178" t="s">
        <v>188</v>
      </c>
      <c r="F3178">
        <v>12028</v>
      </c>
      <c r="G3178">
        <v>0.56476810789073784</v>
      </c>
      <c r="H3178">
        <v>0</v>
      </c>
      <c r="I3178">
        <v>0</v>
      </c>
      <c r="J3178">
        <v>0.49467931203646331</v>
      </c>
      <c r="K3178">
        <v>0</v>
      </c>
      <c r="L3178">
        <v>0</v>
      </c>
      <c r="M3178">
        <v>0.34436536251857691</v>
      </c>
      <c r="N3178">
        <v>0</v>
      </c>
      <c r="O3178">
        <v>0</v>
      </c>
      <c r="P3178">
        <v>0.31896301569048408</v>
      </c>
      <c r="Q3178">
        <v>0.7728531486514767</v>
      </c>
      <c r="R3178">
        <v>-9.0770216864402329</v>
      </c>
      <c r="S3178">
        <v>0.23731225872221609</v>
      </c>
      <c r="T3178">
        <v>0.18693463471940491</v>
      </c>
      <c r="U3178">
        <v>4.4179867093448619</v>
      </c>
      <c r="V3178">
        <v>0.2101483876699779</v>
      </c>
      <c r="W3178">
        <v>-5.6625667474226793</v>
      </c>
      <c r="X3178">
        <v>0.28757615882622539</v>
      </c>
      <c r="Z3178" t="s">
        <v>392</v>
      </c>
      <c r="AA3178">
        <v>114</v>
      </c>
      <c r="AB3178" t="s">
        <v>3569</v>
      </c>
      <c r="AC3178" t="str">
        <f>HYPERLINK("plots/3FT6Y578R04_015_S21P_20251218081014_M5358ACSC201811_RBGEUFRF04/dpll_52046/txpa_54168.png","plot")</f>
        <v>plot</v>
      </c>
    </row>
    <row r="3179" spans="1:29" x14ac:dyDescent="0.35">
      <c r="A3179" s="4" t="s">
        <v>49</v>
      </c>
      <c r="B3179">
        <v>52046</v>
      </c>
      <c r="C3179" t="s">
        <v>51</v>
      </c>
      <c r="D3179">
        <v>54169</v>
      </c>
      <c r="E3179" t="s">
        <v>189</v>
      </c>
      <c r="F3179">
        <v>12028</v>
      </c>
      <c r="G3179">
        <v>0.55372289924542528</v>
      </c>
      <c r="H3179">
        <v>0</v>
      </c>
      <c r="I3179">
        <v>0</v>
      </c>
      <c r="J3179">
        <v>0.47895209604768929</v>
      </c>
      <c r="K3179">
        <v>0</v>
      </c>
      <c r="L3179">
        <v>0</v>
      </c>
      <c r="M3179">
        <v>0.33149782099918279</v>
      </c>
      <c r="N3179">
        <v>0</v>
      </c>
      <c r="O3179">
        <v>0</v>
      </c>
      <c r="P3179">
        <v>0.30660904914875942</v>
      </c>
      <c r="Q3179">
        <v>0.74511315906526654</v>
      </c>
      <c r="R3179">
        <v>-8.9542563637714974</v>
      </c>
      <c r="S3179">
        <v>0.23546526033937451</v>
      </c>
      <c r="T3179">
        <v>0.186508050717277</v>
      </c>
      <c r="U3179">
        <v>4.4179867093448619</v>
      </c>
      <c r="V3179">
        <v>0.2101483876699779</v>
      </c>
      <c r="W3179">
        <v>-5.6623563300631856</v>
      </c>
      <c r="X3179">
        <v>0.28278463690526751</v>
      </c>
      <c r="Z3179" t="s">
        <v>392</v>
      </c>
      <c r="AA3179">
        <v>114</v>
      </c>
      <c r="AB3179" t="s">
        <v>3570</v>
      </c>
      <c r="AC3179" t="str">
        <f>HYPERLINK("plots/3FT6Y578R04_015_S21P_20251218081014_M5358ACSC201811_RBGEUFRF04/dpll_52046/txpa_54169.png","plot")</f>
        <v>plot</v>
      </c>
    </row>
    <row r="3180" spans="1:29" x14ac:dyDescent="0.35">
      <c r="A3180" s="4" t="s">
        <v>49</v>
      </c>
      <c r="B3180">
        <v>52046</v>
      </c>
      <c r="C3180" t="s">
        <v>51</v>
      </c>
      <c r="D3180">
        <v>54170</v>
      </c>
      <c r="E3180" t="s">
        <v>190</v>
      </c>
      <c r="F3180">
        <v>12028</v>
      </c>
      <c r="G3180">
        <v>0.54392963366111458</v>
      </c>
      <c r="H3180">
        <v>0</v>
      </c>
      <c r="I3180">
        <v>0</v>
      </c>
      <c r="J3180">
        <v>0.47209806857764042</v>
      </c>
      <c r="K3180">
        <v>0</v>
      </c>
      <c r="L3180">
        <v>0</v>
      </c>
      <c r="M3180">
        <v>0.32769223938132702</v>
      </c>
      <c r="N3180">
        <v>0</v>
      </c>
      <c r="O3180">
        <v>0</v>
      </c>
      <c r="P3180">
        <v>0.29585944637471429</v>
      </c>
      <c r="Q3180">
        <v>0.73952868577910424</v>
      </c>
      <c r="R3180">
        <v>-8.9854416823873375</v>
      </c>
      <c r="S3180">
        <v>0.2397452388982069</v>
      </c>
      <c r="T3180">
        <v>0.18843189005565661</v>
      </c>
      <c r="U3180">
        <v>4.4179867093448619</v>
      </c>
      <c r="V3180">
        <v>0.2101483876699779</v>
      </c>
      <c r="W3180">
        <v>-5.7182137774359827</v>
      </c>
      <c r="X3180">
        <v>0.285718503524304</v>
      </c>
      <c r="Z3180" t="s">
        <v>392</v>
      </c>
      <c r="AA3180">
        <v>114</v>
      </c>
      <c r="AB3180" t="s">
        <v>3571</v>
      </c>
      <c r="AC3180" t="str">
        <f>HYPERLINK("plots/3FT6Y578R04_015_S21P_20251218081014_M5358ACSC201811_RBGEUFRF04/dpll_52046/txpa_54170.png","plot")</f>
        <v>plot</v>
      </c>
    </row>
    <row r="3181" spans="1:29" x14ac:dyDescent="0.35">
      <c r="A3181" s="4" t="s">
        <v>49</v>
      </c>
      <c r="B3181">
        <v>52046</v>
      </c>
      <c r="C3181" t="s">
        <v>51</v>
      </c>
      <c r="D3181">
        <v>54171</v>
      </c>
      <c r="E3181" t="s">
        <v>191</v>
      </c>
      <c r="F3181">
        <v>12028</v>
      </c>
      <c r="G3181">
        <v>0.53013853545598977</v>
      </c>
      <c r="H3181">
        <v>0</v>
      </c>
      <c r="I3181">
        <v>0</v>
      </c>
      <c r="J3181">
        <v>0.47316645963136472</v>
      </c>
      <c r="K3181">
        <v>0</v>
      </c>
      <c r="L3181">
        <v>0</v>
      </c>
      <c r="M3181">
        <v>0.32632537757653313</v>
      </c>
      <c r="N3181">
        <v>0</v>
      </c>
      <c r="O3181">
        <v>0</v>
      </c>
      <c r="P3181">
        <v>0.28104686677542168</v>
      </c>
      <c r="Q3181">
        <v>0.72325586027771338</v>
      </c>
      <c r="R3181">
        <v>-5.8437525800416719</v>
      </c>
      <c r="S3181">
        <v>0.24308652523550589</v>
      </c>
      <c r="T3181">
        <v>0.1890713810039559</v>
      </c>
      <c r="U3181">
        <v>4.4179867093448619</v>
      </c>
      <c r="V3181">
        <v>0.2101483876699779</v>
      </c>
      <c r="W3181">
        <v>-2.6484178018789488</v>
      </c>
      <c r="X3181">
        <v>0.28670063152359182</v>
      </c>
      <c r="Z3181" t="s">
        <v>392</v>
      </c>
      <c r="AA3181">
        <v>114</v>
      </c>
      <c r="AB3181" t="s">
        <v>3572</v>
      </c>
      <c r="AC3181" t="str">
        <f>HYPERLINK("plots/3FT6Y578R04_015_S21P_20251218081014_M5358ACSC201811_RBGEUFRF04/dpll_52046/txpa_54171.png","plot")</f>
        <v>plot</v>
      </c>
    </row>
    <row r="3182" spans="1:29" x14ac:dyDescent="0.35">
      <c r="A3182" s="4" t="s">
        <v>49</v>
      </c>
      <c r="B3182">
        <v>52046</v>
      </c>
      <c r="C3182" t="s">
        <v>51</v>
      </c>
      <c r="D3182">
        <v>54172</v>
      </c>
      <c r="E3182" t="s">
        <v>192</v>
      </c>
      <c r="F3182">
        <v>12028</v>
      </c>
      <c r="G3182">
        <v>0.55802501216525258</v>
      </c>
      <c r="H3182">
        <v>0</v>
      </c>
      <c r="I3182">
        <v>0</v>
      </c>
      <c r="J3182">
        <v>0.49493644857115288</v>
      </c>
      <c r="K3182">
        <v>0</v>
      </c>
      <c r="L3182">
        <v>0</v>
      </c>
      <c r="M3182">
        <v>0.3439950046755379</v>
      </c>
      <c r="N3182">
        <v>0</v>
      </c>
      <c r="O3182">
        <v>0</v>
      </c>
      <c r="P3182">
        <v>0.31139191420203027</v>
      </c>
      <c r="Q3182">
        <v>0.76311885958883252</v>
      </c>
      <c r="R3182">
        <v>-5.983683296157901</v>
      </c>
      <c r="S3182">
        <v>0.23846936113617201</v>
      </c>
      <c r="T3182">
        <v>0.18710888925444841</v>
      </c>
      <c r="U3182">
        <v>4.4179867093448619</v>
      </c>
      <c r="V3182">
        <v>0.2101483876699779</v>
      </c>
      <c r="W3182">
        <v>-2.612234316844031</v>
      </c>
      <c r="X3182">
        <v>0.2873853222472656</v>
      </c>
      <c r="Z3182" t="s">
        <v>392</v>
      </c>
      <c r="AA3182">
        <v>114</v>
      </c>
      <c r="AB3182" t="s">
        <v>3573</v>
      </c>
      <c r="AC3182" t="str">
        <f>HYPERLINK("plots/3FT6Y578R04_015_S21P_20251218081014_M5358ACSC201811_RBGEUFRF04/dpll_52046/txpa_54172.png","plot")</f>
        <v>plot</v>
      </c>
    </row>
    <row r="3183" spans="1:29" x14ac:dyDescent="0.35">
      <c r="A3183" s="4" t="s">
        <v>49</v>
      </c>
      <c r="B3183">
        <v>52046</v>
      </c>
      <c r="C3183" t="s">
        <v>51</v>
      </c>
      <c r="D3183">
        <v>54173</v>
      </c>
      <c r="E3183" t="s">
        <v>193</v>
      </c>
      <c r="F3183">
        <v>12028</v>
      </c>
      <c r="G3183">
        <v>0.54313489404130566</v>
      </c>
      <c r="H3183">
        <v>0</v>
      </c>
      <c r="I3183">
        <v>0</v>
      </c>
      <c r="J3183">
        <v>0.47844235116353778</v>
      </c>
      <c r="K3183">
        <v>0</v>
      </c>
      <c r="L3183">
        <v>0</v>
      </c>
      <c r="M3183">
        <v>0.33145034828182451</v>
      </c>
      <c r="N3183">
        <v>0</v>
      </c>
      <c r="O3183">
        <v>0</v>
      </c>
      <c r="P3183">
        <v>0.29499551312526029</v>
      </c>
      <c r="Q3183">
        <v>0.72850859594701967</v>
      </c>
      <c r="R3183">
        <v>-5.8198511223558427</v>
      </c>
      <c r="S3183">
        <v>0.2366633043221924</v>
      </c>
      <c r="T3183">
        <v>0.18582140882153511</v>
      </c>
      <c r="U3183">
        <v>4.4179867093448619</v>
      </c>
      <c r="V3183">
        <v>0.2101483876699779</v>
      </c>
      <c r="W3183">
        <v>-2.6013098278184241</v>
      </c>
      <c r="X3183">
        <v>0.28187271435066868</v>
      </c>
      <c r="Z3183" t="s">
        <v>392</v>
      </c>
      <c r="AA3183">
        <v>114</v>
      </c>
      <c r="AB3183" t="s">
        <v>3574</v>
      </c>
      <c r="AC3183" t="str">
        <f>HYPERLINK("plots/3FT6Y578R04_015_S21P_20251218081014_M5358ACSC201811_RBGEUFRF04/dpll_52046/txpa_54173.png","plot")</f>
        <v>plot</v>
      </c>
    </row>
    <row r="3184" spans="1:29" x14ac:dyDescent="0.35">
      <c r="A3184" s="4" t="s">
        <v>49</v>
      </c>
      <c r="B3184">
        <v>52046</v>
      </c>
      <c r="C3184" t="s">
        <v>51</v>
      </c>
      <c r="D3184">
        <v>54174</v>
      </c>
      <c r="E3184" t="s">
        <v>194</v>
      </c>
      <c r="F3184">
        <v>12028</v>
      </c>
      <c r="G3184">
        <v>0.56804759850997544</v>
      </c>
      <c r="H3184">
        <v>0</v>
      </c>
      <c r="I3184">
        <v>0</v>
      </c>
      <c r="J3184">
        <v>0.49856308000704519</v>
      </c>
      <c r="K3184">
        <v>0</v>
      </c>
      <c r="L3184">
        <v>0</v>
      </c>
      <c r="M3184">
        <v>0.34725008382567268</v>
      </c>
      <c r="N3184">
        <v>0</v>
      </c>
      <c r="O3184">
        <v>0</v>
      </c>
      <c r="P3184">
        <v>0.32267807417295019</v>
      </c>
      <c r="Q3184">
        <v>0.77662531187232453</v>
      </c>
      <c r="R3184">
        <v>-6.0141555153375998</v>
      </c>
      <c r="S3184">
        <v>0.23644622694136869</v>
      </c>
      <c r="T3184">
        <v>0.18580834843843119</v>
      </c>
      <c r="U3184">
        <v>4.4179867093448619</v>
      </c>
      <c r="V3184">
        <v>0.2101483876699779</v>
      </c>
      <c r="W3184">
        <v>-2.5830352093448621</v>
      </c>
      <c r="X3184">
        <v>0.28731141112428582</v>
      </c>
      <c r="Z3184" t="s">
        <v>392</v>
      </c>
      <c r="AA3184">
        <v>114</v>
      </c>
      <c r="AB3184" t="s">
        <v>3575</v>
      </c>
      <c r="AC3184" t="str">
        <f>HYPERLINK("plots/3FT6Y578R04_015_S21P_20251218081014_M5358ACSC201811_RBGEUFRF04/dpll_52046/txpa_54174.png","plot")</f>
        <v>plot</v>
      </c>
    </row>
    <row r="3185" spans="1:29" x14ac:dyDescent="0.35">
      <c r="A3185" s="4" t="s">
        <v>49</v>
      </c>
      <c r="B3185">
        <v>52046</v>
      </c>
      <c r="C3185" t="s">
        <v>51</v>
      </c>
      <c r="D3185">
        <v>54175</v>
      </c>
      <c r="E3185" t="s">
        <v>195</v>
      </c>
      <c r="F3185">
        <v>12027</v>
      </c>
      <c r="G3185">
        <v>0.56183670958404464</v>
      </c>
      <c r="H3185">
        <v>0</v>
      </c>
      <c r="I3185">
        <v>0</v>
      </c>
      <c r="J3185">
        <v>0.48772293338800099</v>
      </c>
      <c r="K3185">
        <v>0</v>
      </c>
      <c r="L3185">
        <v>0</v>
      </c>
      <c r="M3185">
        <v>0.33760329737170119</v>
      </c>
      <c r="N3185">
        <v>0</v>
      </c>
      <c r="O3185">
        <v>0</v>
      </c>
      <c r="P3185">
        <v>0.31566048823622611</v>
      </c>
      <c r="Q3185">
        <v>0.75975781967551559</v>
      </c>
      <c r="R3185">
        <v>-5.9541226905614852</v>
      </c>
      <c r="S3185">
        <v>0.23506104081356041</v>
      </c>
      <c r="T3185">
        <v>0.18594596347445891</v>
      </c>
      <c r="U3185">
        <v>4.4179587365926656</v>
      </c>
      <c r="V3185">
        <v>0.21013472984942591</v>
      </c>
      <c r="W3185">
        <v>-2.5975439934314459</v>
      </c>
      <c r="X3185">
        <v>0.2841599729335969</v>
      </c>
      <c r="Z3185" t="s">
        <v>392</v>
      </c>
      <c r="AA3185">
        <v>114</v>
      </c>
      <c r="AB3185" t="s">
        <v>3576</v>
      </c>
      <c r="AC3185" t="str">
        <f>HYPERLINK("plots/3FT6Y578R04_015_S21P_20251218081014_M5358ACSC201811_RBGEUFRF04/dpll_52046/txpa_54175.png","plot")</f>
        <v>plot</v>
      </c>
    </row>
    <row r="3186" spans="1:29" x14ac:dyDescent="0.35">
      <c r="A3186" s="4" t="s">
        <v>49</v>
      </c>
      <c r="B3186">
        <v>52046</v>
      </c>
      <c r="C3186" t="s">
        <v>51</v>
      </c>
      <c r="D3186">
        <v>54176</v>
      </c>
      <c r="E3186" t="s">
        <v>196</v>
      </c>
      <c r="F3186">
        <v>12028</v>
      </c>
      <c r="G3186">
        <v>0.57275171093911248</v>
      </c>
      <c r="H3186">
        <v>0</v>
      </c>
      <c r="I3186">
        <v>0</v>
      </c>
      <c r="J3186">
        <v>0.50630037140432171</v>
      </c>
      <c r="K3186">
        <v>0</v>
      </c>
      <c r="L3186">
        <v>0</v>
      </c>
      <c r="M3186">
        <v>0.35274705165235559</v>
      </c>
      <c r="N3186">
        <v>0</v>
      </c>
      <c r="O3186">
        <v>0</v>
      </c>
      <c r="P3186">
        <v>0.32804452238368059</v>
      </c>
      <c r="Q3186">
        <v>0.77884656754696791</v>
      </c>
      <c r="R3186">
        <v>-6.0332566805328893</v>
      </c>
      <c r="S3186">
        <v>0.2342414632989013</v>
      </c>
      <c r="T3186">
        <v>0.1847513770146843</v>
      </c>
      <c r="U3186">
        <v>4.4179867093448619</v>
      </c>
      <c r="V3186">
        <v>0.2101483876699779</v>
      </c>
      <c r="W3186">
        <v>-2.5923228964915199</v>
      </c>
      <c r="X3186">
        <v>0.28576667216571872</v>
      </c>
      <c r="Z3186" t="s">
        <v>392</v>
      </c>
      <c r="AA3186">
        <v>114</v>
      </c>
      <c r="AB3186" t="s">
        <v>3577</v>
      </c>
      <c r="AC3186" t="str">
        <f>HYPERLINK("plots/3FT6Y578R04_015_S21P_20251218081014_M5358ACSC201811_RBGEUFRF04/dpll_52046/txpa_54176.png","plot")</f>
        <v>plot</v>
      </c>
    </row>
    <row r="3187" spans="1:29" x14ac:dyDescent="0.35">
      <c r="A3187" s="4" t="s">
        <v>49</v>
      </c>
      <c r="B3187">
        <v>52046</v>
      </c>
      <c r="C3187" t="s">
        <v>51</v>
      </c>
      <c r="D3187">
        <v>54177</v>
      </c>
      <c r="E3187" t="s">
        <v>197</v>
      </c>
      <c r="F3187">
        <v>12028</v>
      </c>
      <c r="G3187">
        <v>0.56346914783234292</v>
      </c>
      <c r="H3187">
        <v>0</v>
      </c>
      <c r="I3187">
        <v>0</v>
      </c>
      <c r="J3187">
        <v>0.49262182095871559</v>
      </c>
      <c r="K3187">
        <v>0</v>
      </c>
      <c r="L3187">
        <v>0</v>
      </c>
      <c r="M3187">
        <v>0.34145828564688352</v>
      </c>
      <c r="N3187">
        <v>0</v>
      </c>
      <c r="O3187">
        <v>0</v>
      </c>
      <c r="P3187">
        <v>0.3174974805589067</v>
      </c>
      <c r="Q3187">
        <v>0.75310264667106219</v>
      </c>
      <c r="R3187">
        <v>-5.9176453931433102</v>
      </c>
      <c r="S3187">
        <v>0.2320300158525393</v>
      </c>
      <c r="T3187">
        <v>0.18372177961413941</v>
      </c>
      <c r="U3187">
        <v>4.4179867093448619</v>
      </c>
      <c r="V3187">
        <v>0.2101483876699779</v>
      </c>
      <c r="W3187">
        <v>-2.5904479093781179</v>
      </c>
      <c r="X3187">
        <v>0.28087306564477099</v>
      </c>
      <c r="Z3187" t="s">
        <v>392</v>
      </c>
      <c r="AA3187">
        <v>114</v>
      </c>
      <c r="AB3187" t="s">
        <v>3578</v>
      </c>
      <c r="AC3187" t="str">
        <f>HYPERLINK("plots/3FT6Y578R04_015_S21P_20251218081014_M5358ACSC201811_RBGEUFRF04/dpll_52046/txpa_54177.png","plot")</f>
        <v>plot</v>
      </c>
    </row>
    <row r="3188" spans="1:29" x14ac:dyDescent="0.35">
      <c r="A3188" s="4" t="s">
        <v>49</v>
      </c>
      <c r="B3188">
        <v>52046</v>
      </c>
      <c r="C3188" t="s">
        <v>51</v>
      </c>
      <c r="D3188">
        <v>54178</v>
      </c>
      <c r="E3188" t="s">
        <v>198</v>
      </c>
      <c r="F3188">
        <v>12027</v>
      </c>
      <c r="G3188">
        <v>0.55306281991930095</v>
      </c>
      <c r="H3188">
        <v>0</v>
      </c>
      <c r="I3188">
        <v>0</v>
      </c>
      <c r="J3188">
        <v>0.48452623118194449</v>
      </c>
      <c r="K3188">
        <v>0</v>
      </c>
      <c r="L3188">
        <v>0</v>
      </c>
      <c r="M3188">
        <v>0.33681743019356603</v>
      </c>
      <c r="N3188">
        <v>0</v>
      </c>
      <c r="O3188">
        <v>0</v>
      </c>
      <c r="P3188">
        <v>0.30587848277708912</v>
      </c>
      <c r="Q3188">
        <v>0.74805707769916474</v>
      </c>
      <c r="R3188">
        <v>-5.943840976421674</v>
      </c>
      <c r="S3188">
        <v>0.23679453604628381</v>
      </c>
      <c r="T3188">
        <v>0.18636991341403261</v>
      </c>
      <c r="U3188">
        <v>4.418010118566559</v>
      </c>
      <c r="V3188">
        <v>0.21014144114715341</v>
      </c>
      <c r="W3188">
        <v>-2.638917237881433</v>
      </c>
      <c r="X3188">
        <v>0.28423135077307837</v>
      </c>
      <c r="Z3188" t="s">
        <v>392</v>
      </c>
      <c r="AA3188">
        <v>114</v>
      </c>
      <c r="AB3188" t="s">
        <v>3579</v>
      </c>
      <c r="AC3188" t="str">
        <f>HYPERLINK("plots/3FT6Y578R04_015_S21P_20251218081014_M5358ACSC201811_RBGEUFRF04/dpll_52046/txpa_54178.png","plot")</f>
        <v>plot</v>
      </c>
    </row>
    <row r="3189" spans="1:29" x14ac:dyDescent="0.35">
      <c r="A3189" s="4" t="s">
        <v>49</v>
      </c>
      <c r="B3189">
        <v>52046</v>
      </c>
      <c r="C3189" t="s">
        <v>51</v>
      </c>
      <c r="D3189">
        <v>54179</v>
      </c>
      <c r="E3189" t="s">
        <v>199</v>
      </c>
      <c r="F3189">
        <v>12028</v>
      </c>
      <c r="G3189">
        <v>0.57602276197593627</v>
      </c>
      <c r="H3189">
        <v>0</v>
      </c>
      <c r="I3189">
        <v>0</v>
      </c>
      <c r="J3189">
        <v>0.52386710804173953</v>
      </c>
      <c r="K3189">
        <v>0</v>
      </c>
      <c r="L3189">
        <v>0</v>
      </c>
      <c r="M3189">
        <v>0.36445762768348411</v>
      </c>
      <c r="N3189">
        <v>0</v>
      </c>
      <c r="O3189">
        <v>0</v>
      </c>
      <c r="P3189">
        <v>0.33180222231438611</v>
      </c>
      <c r="Q3189">
        <v>0.78958215945889376</v>
      </c>
      <c r="R3189">
        <v>-2.5114366064286169</v>
      </c>
      <c r="S3189">
        <v>0.23546057661240899</v>
      </c>
      <c r="T3189">
        <v>0.18266614642511941</v>
      </c>
      <c r="U3189">
        <v>4.4179867093448619</v>
      </c>
      <c r="V3189">
        <v>0.2101483876699779</v>
      </c>
      <c r="W3189">
        <v>0.97692687999659122</v>
      </c>
      <c r="X3189">
        <v>0.28806052242462921</v>
      </c>
      <c r="Z3189" t="s">
        <v>392</v>
      </c>
      <c r="AA3189">
        <v>114</v>
      </c>
      <c r="AB3189" t="s">
        <v>3580</v>
      </c>
      <c r="AC3189" t="str">
        <f>HYPERLINK("plots/3FT6Y578R04_015_S21P_20251218081014_M5358ACSC201811_RBGEUFRF04/dpll_52046/txpa_54179.png","plot")</f>
        <v>plot</v>
      </c>
    </row>
    <row r="3190" spans="1:29" x14ac:dyDescent="0.35">
      <c r="A3190" s="4" t="s">
        <v>49</v>
      </c>
      <c r="B3190">
        <v>52046</v>
      </c>
      <c r="C3190" t="s">
        <v>51</v>
      </c>
      <c r="D3190">
        <v>54180</v>
      </c>
      <c r="E3190" t="s">
        <v>200</v>
      </c>
      <c r="F3190">
        <v>12028</v>
      </c>
      <c r="G3190">
        <v>0.60230949621287599</v>
      </c>
      <c r="H3190">
        <v>0</v>
      </c>
      <c r="I3190">
        <v>0</v>
      </c>
      <c r="J3190">
        <v>0.54333665505444284</v>
      </c>
      <c r="K3190">
        <v>0</v>
      </c>
      <c r="L3190">
        <v>0</v>
      </c>
      <c r="M3190">
        <v>0.38103352870579732</v>
      </c>
      <c r="N3190">
        <v>0</v>
      </c>
      <c r="O3190">
        <v>0</v>
      </c>
      <c r="P3190">
        <v>0.36277672922820853</v>
      </c>
      <c r="Q3190">
        <v>0.82637326808945188</v>
      </c>
      <c r="R3190">
        <v>-2.642253491565969</v>
      </c>
      <c r="S3190">
        <v>0.2301496778364106</v>
      </c>
      <c r="T3190">
        <v>0.18052963089106289</v>
      </c>
      <c r="U3190">
        <v>4.4179867093448619</v>
      </c>
      <c r="V3190">
        <v>0.2101483876699779</v>
      </c>
      <c r="W3190">
        <v>1.008652623811108</v>
      </c>
      <c r="X3190">
        <v>0.28832520654994159</v>
      </c>
      <c r="Z3190" t="s">
        <v>392</v>
      </c>
      <c r="AA3190">
        <v>114</v>
      </c>
      <c r="AB3190" t="s">
        <v>3581</v>
      </c>
      <c r="AC3190" t="str">
        <f>HYPERLINK("plots/3FT6Y578R04_015_S21P_20251218081014_M5358ACSC201811_RBGEUFRF04/dpll_52046/txpa_54180.png","plot")</f>
        <v>plot</v>
      </c>
    </row>
    <row r="3191" spans="1:29" x14ac:dyDescent="0.35">
      <c r="A3191" s="4" t="s">
        <v>49</v>
      </c>
      <c r="B3191">
        <v>52046</v>
      </c>
      <c r="C3191" t="s">
        <v>51</v>
      </c>
      <c r="D3191">
        <v>54181</v>
      </c>
      <c r="E3191" t="s">
        <v>201</v>
      </c>
      <c r="F3191">
        <v>12028</v>
      </c>
      <c r="G3191">
        <v>0.58748742269533805</v>
      </c>
      <c r="H3191">
        <v>0</v>
      </c>
      <c r="I3191">
        <v>0</v>
      </c>
      <c r="J3191">
        <v>0.52739886006795289</v>
      </c>
      <c r="K3191">
        <v>0</v>
      </c>
      <c r="L3191">
        <v>0</v>
      </c>
      <c r="M3191">
        <v>0.36826502005781903</v>
      </c>
      <c r="N3191">
        <v>0</v>
      </c>
      <c r="O3191">
        <v>0</v>
      </c>
      <c r="P3191">
        <v>0.34514147182521082</v>
      </c>
      <c r="Q3191">
        <v>0.79164195554070771</v>
      </c>
      <c r="R3191">
        <v>-2.4772584478860451</v>
      </c>
      <c r="S3191">
        <v>0.22914584218819159</v>
      </c>
      <c r="T3191">
        <v>0.17971332127423759</v>
      </c>
      <c r="U3191">
        <v>4.4179867093448619</v>
      </c>
      <c r="V3191">
        <v>0.2101483876699779</v>
      </c>
      <c r="W3191">
        <v>1.0202051902525771</v>
      </c>
      <c r="X3191">
        <v>0.28317590154616989</v>
      </c>
      <c r="Z3191" t="s">
        <v>392</v>
      </c>
      <c r="AA3191">
        <v>114</v>
      </c>
      <c r="AB3191" t="s">
        <v>3582</v>
      </c>
      <c r="AC3191" t="str">
        <f>HYPERLINK("plots/3FT6Y578R04_015_S21P_20251218081014_M5358ACSC201811_RBGEUFRF04/dpll_52046/txpa_54181.png","plot")</f>
        <v>plot</v>
      </c>
    </row>
    <row r="3192" spans="1:29" x14ac:dyDescent="0.35">
      <c r="A3192" s="4" t="s">
        <v>49</v>
      </c>
      <c r="B3192">
        <v>52046</v>
      </c>
      <c r="C3192" t="s">
        <v>51</v>
      </c>
      <c r="D3192">
        <v>54182</v>
      </c>
      <c r="E3192" t="s">
        <v>202</v>
      </c>
      <c r="F3192">
        <v>12028</v>
      </c>
      <c r="G3192">
        <v>0.60919053856282046</v>
      </c>
      <c r="H3192">
        <v>0</v>
      </c>
      <c r="I3192">
        <v>0</v>
      </c>
      <c r="J3192">
        <v>0.54479659553585591</v>
      </c>
      <c r="K3192">
        <v>0</v>
      </c>
      <c r="L3192">
        <v>0</v>
      </c>
      <c r="M3192">
        <v>0.38260728195837579</v>
      </c>
      <c r="N3192">
        <v>0</v>
      </c>
      <c r="O3192">
        <v>0</v>
      </c>
      <c r="P3192">
        <v>0.37111311227445931</v>
      </c>
      <c r="Q3192">
        <v>0.83341343431390202</v>
      </c>
      <c r="R3192">
        <v>-2.6509970478533078</v>
      </c>
      <c r="S3192">
        <v>0.22798255956967961</v>
      </c>
      <c r="T3192">
        <v>0.17883651337032119</v>
      </c>
      <c r="U3192">
        <v>4.4179867093448619</v>
      </c>
      <c r="V3192">
        <v>0.2101483876699779</v>
      </c>
      <c r="W3192">
        <v>1.031012428334968</v>
      </c>
      <c r="X3192">
        <v>0.28749706109479389</v>
      </c>
      <c r="Z3192" t="s">
        <v>392</v>
      </c>
      <c r="AA3192">
        <v>114</v>
      </c>
      <c r="AB3192" t="s">
        <v>3583</v>
      </c>
      <c r="AC3192" t="str">
        <f>HYPERLINK("plots/3FT6Y578R04_015_S21P_20251218081014_M5358ACSC201811_RBGEUFRF04/dpll_52046/txpa_54182.png","plot")</f>
        <v>plot</v>
      </c>
    </row>
    <row r="3193" spans="1:29" x14ac:dyDescent="0.35">
      <c r="A3193" s="4" t="s">
        <v>49</v>
      </c>
      <c r="B3193">
        <v>52046</v>
      </c>
      <c r="C3193" t="s">
        <v>51</v>
      </c>
      <c r="D3193">
        <v>54183</v>
      </c>
      <c r="E3193" t="s">
        <v>203</v>
      </c>
      <c r="F3193">
        <v>12027</v>
      </c>
      <c r="G3193">
        <v>0.6047906467039702</v>
      </c>
      <c r="H3193">
        <v>0</v>
      </c>
      <c r="I3193">
        <v>0</v>
      </c>
      <c r="J3193">
        <v>0.5346478912060092</v>
      </c>
      <c r="K3193">
        <v>0</v>
      </c>
      <c r="L3193">
        <v>0</v>
      </c>
      <c r="M3193">
        <v>0.37319821701880912</v>
      </c>
      <c r="N3193">
        <v>0</v>
      </c>
      <c r="O3193">
        <v>0</v>
      </c>
      <c r="P3193">
        <v>0.36577172634060651</v>
      </c>
      <c r="Q3193">
        <v>0.81975109353639719</v>
      </c>
      <c r="R3193">
        <v>-2.6047766867036062</v>
      </c>
      <c r="S3193">
        <v>0.22681904540973449</v>
      </c>
      <c r="T3193">
        <v>0.17933718599965959</v>
      </c>
      <c r="U3193">
        <v>4.4179587365926656</v>
      </c>
      <c r="V3193">
        <v>0.21013472984942591</v>
      </c>
      <c r="W3193">
        <v>1.0168498188169119</v>
      </c>
      <c r="X3193">
        <v>0.28482281517220343</v>
      </c>
      <c r="Z3193" t="s">
        <v>392</v>
      </c>
      <c r="AA3193">
        <v>114</v>
      </c>
      <c r="AB3193" t="s">
        <v>3584</v>
      </c>
      <c r="AC3193" t="str">
        <f>HYPERLINK("plots/3FT6Y578R04_015_S21P_20251218081014_M5358ACSC201811_RBGEUFRF04/dpll_52046/txpa_54183.png","plot")</f>
        <v>plot</v>
      </c>
    </row>
    <row r="3194" spans="1:29" x14ac:dyDescent="0.35">
      <c r="A3194" s="4" t="s">
        <v>49</v>
      </c>
      <c r="B3194">
        <v>52046</v>
      </c>
      <c r="C3194" t="s">
        <v>51</v>
      </c>
      <c r="D3194">
        <v>54184</v>
      </c>
      <c r="E3194" t="s">
        <v>204</v>
      </c>
      <c r="F3194">
        <v>12028</v>
      </c>
      <c r="G3194">
        <v>0.61457558306336502</v>
      </c>
      <c r="H3194">
        <v>0</v>
      </c>
      <c r="I3194">
        <v>0</v>
      </c>
      <c r="J3194">
        <v>0.55282569478074473</v>
      </c>
      <c r="K3194">
        <v>0</v>
      </c>
      <c r="L3194">
        <v>0</v>
      </c>
      <c r="M3194">
        <v>0.38840667611227059</v>
      </c>
      <c r="N3194">
        <v>0</v>
      </c>
      <c r="O3194">
        <v>0</v>
      </c>
      <c r="P3194">
        <v>0.37770314729767512</v>
      </c>
      <c r="Q3194">
        <v>0.83975122456240003</v>
      </c>
      <c r="R3194">
        <v>-2.6842075263827492</v>
      </c>
      <c r="S3194">
        <v>0.22650727447045199</v>
      </c>
      <c r="T3194">
        <v>0.1783551103742218</v>
      </c>
      <c r="U3194">
        <v>4.4179867093448619</v>
      </c>
      <c r="V3194">
        <v>0.2101483876699779</v>
      </c>
      <c r="W3194">
        <v>1.025802222890007</v>
      </c>
      <c r="X3194">
        <v>0.28714509776982627</v>
      </c>
      <c r="Z3194" t="s">
        <v>392</v>
      </c>
      <c r="AA3194">
        <v>114</v>
      </c>
      <c r="AB3194" t="s">
        <v>3585</v>
      </c>
      <c r="AC3194" t="str">
        <f>HYPERLINK("plots/3FT6Y578R04_015_S21P_20251218081014_M5358ACSC201811_RBGEUFRF04/dpll_52046/txpa_54184.png","plot")</f>
        <v>plot</v>
      </c>
    </row>
    <row r="3195" spans="1:29" x14ac:dyDescent="0.35">
      <c r="A3195" s="4" t="s">
        <v>49</v>
      </c>
      <c r="B3195">
        <v>52046</v>
      </c>
      <c r="C3195" t="s">
        <v>51</v>
      </c>
      <c r="D3195">
        <v>54185</v>
      </c>
      <c r="E3195" t="s">
        <v>205</v>
      </c>
      <c r="F3195">
        <v>12028</v>
      </c>
      <c r="G3195">
        <v>0.60821003300393695</v>
      </c>
      <c r="H3195">
        <v>0</v>
      </c>
      <c r="I3195">
        <v>0</v>
      </c>
      <c r="J3195">
        <v>0.54165666131130041</v>
      </c>
      <c r="K3195">
        <v>0</v>
      </c>
      <c r="L3195">
        <v>0</v>
      </c>
      <c r="M3195">
        <v>0.37903664908354701</v>
      </c>
      <c r="N3195">
        <v>0</v>
      </c>
      <c r="O3195">
        <v>0</v>
      </c>
      <c r="P3195">
        <v>0.36991944424665008</v>
      </c>
      <c r="Q3195">
        <v>0.81747993934038909</v>
      </c>
      <c r="R3195">
        <v>-2.5817492404055651</v>
      </c>
      <c r="S3195">
        <v>0.22419688329645379</v>
      </c>
      <c r="T3195">
        <v>0.17739168791515861</v>
      </c>
      <c r="U3195">
        <v>4.4179867093448619</v>
      </c>
      <c r="V3195">
        <v>0.2101483876699779</v>
      </c>
      <c r="W3195">
        <v>1.029866266756319</v>
      </c>
      <c r="X3195">
        <v>0.28245520771246829</v>
      </c>
      <c r="Z3195" t="s">
        <v>392</v>
      </c>
      <c r="AA3195">
        <v>114</v>
      </c>
      <c r="AB3195" t="s">
        <v>3586</v>
      </c>
      <c r="AC3195" t="str">
        <f>HYPERLINK("plots/3FT6Y578R04_015_S21P_20251218081014_M5358ACSC201811_RBGEUFRF04/dpll_52046/txpa_54185.png","plot")</f>
        <v>plot</v>
      </c>
    </row>
    <row r="3196" spans="1:29" x14ac:dyDescent="0.35">
      <c r="A3196" s="4" t="s">
        <v>49</v>
      </c>
      <c r="B3196">
        <v>52046</v>
      </c>
      <c r="C3196" t="s">
        <v>51</v>
      </c>
      <c r="D3196">
        <v>54186</v>
      </c>
      <c r="E3196" t="s">
        <v>206</v>
      </c>
      <c r="F3196">
        <v>12027</v>
      </c>
      <c r="G3196">
        <v>0.59846239014179003</v>
      </c>
      <c r="H3196">
        <v>0</v>
      </c>
      <c r="I3196">
        <v>0</v>
      </c>
      <c r="J3196">
        <v>0.53393020315629247</v>
      </c>
      <c r="K3196">
        <v>0</v>
      </c>
      <c r="L3196">
        <v>0</v>
      </c>
      <c r="M3196">
        <v>0.37431436215358083</v>
      </c>
      <c r="N3196">
        <v>0</v>
      </c>
      <c r="O3196">
        <v>0</v>
      </c>
      <c r="P3196">
        <v>0.35815723241422409</v>
      </c>
      <c r="Q3196">
        <v>0.81388423132164933</v>
      </c>
      <c r="R3196">
        <v>-2.6090133021318209</v>
      </c>
      <c r="S3196">
        <v>0.2289463626121753</v>
      </c>
      <c r="T3196">
        <v>0.1799247341475686</v>
      </c>
      <c r="U3196">
        <v>4.418010118566559</v>
      </c>
      <c r="V3196">
        <v>0.21014144114715341</v>
      </c>
      <c r="W3196">
        <v>0.98673546718899141</v>
      </c>
      <c r="X3196">
        <v>0.28578371525795188</v>
      </c>
      <c r="Z3196" t="s">
        <v>392</v>
      </c>
      <c r="AA3196">
        <v>114</v>
      </c>
      <c r="AB3196" t="s">
        <v>3587</v>
      </c>
      <c r="AC3196" t="str">
        <f>HYPERLINK("plots/3FT6Y578R04_015_S21P_20251218081014_M5358ACSC201811_RBGEUFRF04/dpll_52046/txpa_54186.png","plot")</f>
        <v>plot</v>
      </c>
    </row>
    <row r="3197" spans="1:29" x14ac:dyDescent="0.35">
      <c r="A3197" s="4" t="s">
        <v>49</v>
      </c>
      <c r="B3197">
        <v>52046</v>
      </c>
      <c r="C3197" t="s">
        <v>51</v>
      </c>
      <c r="D3197">
        <v>54187</v>
      </c>
      <c r="E3197" t="s">
        <v>207</v>
      </c>
      <c r="F3197">
        <v>12028</v>
      </c>
      <c r="G3197">
        <v>0.61451865650585014</v>
      </c>
      <c r="H3197">
        <v>0</v>
      </c>
      <c r="I3197">
        <v>0</v>
      </c>
      <c r="J3197">
        <v>0.5625978178795682</v>
      </c>
      <c r="K3197">
        <v>0</v>
      </c>
      <c r="L3197">
        <v>0</v>
      </c>
      <c r="M3197">
        <v>0.39472040758885257</v>
      </c>
      <c r="N3197">
        <v>0</v>
      </c>
      <c r="O3197">
        <v>0</v>
      </c>
      <c r="P3197">
        <v>0.37763317919375511</v>
      </c>
      <c r="Q3197">
        <v>0.85291456196326187</v>
      </c>
      <c r="R3197">
        <v>-0.7540468966657401</v>
      </c>
      <c r="S3197">
        <v>0.2300920856932071</v>
      </c>
      <c r="T3197">
        <v>0.1783825648267732</v>
      </c>
      <c r="U3197">
        <v>4.4179867093448619</v>
      </c>
      <c r="V3197">
        <v>0.2101483876699779</v>
      </c>
      <c r="W3197">
        <v>3.0141183022946461</v>
      </c>
      <c r="X3197">
        <v>0.2916731951410147</v>
      </c>
      <c r="Z3197" t="s">
        <v>392</v>
      </c>
      <c r="AA3197">
        <v>114</v>
      </c>
      <c r="AB3197" t="s">
        <v>3588</v>
      </c>
      <c r="AC3197" t="str">
        <f>HYPERLINK("plots/3FT6Y578R04_015_S21P_20251218081014_M5358ACSC201811_RBGEUFRF04/dpll_52046/txpa_54187.png","plot")</f>
        <v>plot</v>
      </c>
    </row>
    <row r="3198" spans="1:29" x14ac:dyDescent="0.35">
      <c r="A3198" s="4" t="s">
        <v>49</v>
      </c>
      <c r="B3198">
        <v>52046</v>
      </c>
      <c r="C3198" t="s">
        <v>51</v>
      </c>
      <c r="D3198">
        <v>54188</v>
      </c>
      <c r="E3198" t="s">
        <v>208</v>
      </c>
      <c r="F3198">
        <v>12028</v>
      </c>
      <c r="G3198">
        <v>0.63845007844714508</v>
      </c>
      <c r="H3198">
        <v>0</v>
      </c>
      <c r="I3198">
        <v>0</v>
      </c>
      <c r="J3198">
        <v>0.57974818486105706</v>
      </c>
      <c r="K3198">
        <v>0</v>
      </c>
      <c r="L3198">
        <v>0</v>
      </c>
      <c r="M3198">
        <v>0.40998727687725878</v>
      </c>
      <c r="N3198">
        <v>0</v>
      </c>
      <c r="O3198">
        <v>0</v>
      </c>
      <c r="P3198">
        <v>0.40761850266916572</v>
      </c>
      <c r="Q3198">
        <v>0.88792440427828423</v>
      </c>
      <c r="R3198">
        <v>-0.87845361549127787</v>
      </c>
      <c r="S3198">
        <v>0.22493539436323051</v>
      </c>
      <c r="T3198">
        <v>0.17660520679772951</v>
      </c>
      <c r="U3198">
        <v>4.4179867093448619</v>
      </c>
      <c r="V3198">
        <v>0.2101483876699779</v>
      </c>
      <c r="W3198">
        <v>3.0443846015131362</v>
      </c>
      <c r="X3198">
        <v>0.29226385622153961</v>
      </c>
      <c r="Z3198" t="s">
        <v>392</v>
      </c>
      <c r="AA3198">
        <v>114</v>
      </c>
      <c r="AB3198" t="s">
        <v>3589</v>
      </c>
      <c r="AC3198" t="str">
        <f>HYPERLINK("plots/3FT6Y578R04_015_S21P_20251218081014_M5358ACSC201811_RBGEUFRF04/dpll_52046/txpa_54188.png","plot")</f>
        <v>plot</v>
      </c>
    </row>
    <row r="3199" spans="1:29" x14ac:dyDescent="0.35">
      <c r="A3199" s="4" t="s">
        <v>49</v>
      </c>
      <c r="B3199">
        <v>52046</v>
      </c>
      <c r="C3199" t="s">
        <v>51</v>
      </c>
      <c r="D3199">
        <v>54189</v>
      </c>
      <c r="E3199" t="s">
        <v>209</v>
      </c>
      <c r="F3199">
        <v>12028</v>
      </c>
      <c r="G3199">
        <v>0.62486358586512247</v>
      </c>
      <c r="H3199">
        <v>0</v>
      </c>
      <c r="I3199">
        <v>0</v>
      </c>
      <c r="J3199">
        <v>0.56552098012501184</v>
      </c>
      <c r="K3199">
        <v>0</v>
      </c>
      <c r="L3199">
        <v>0</v>
      </c>
      <c r="M3199">
        <v>0.39811686183237921</v>
      </c>
      <c r="N3199">
        <v>0</v>
      </c>
      <c r="O3199">
        <v>0</v>
      </c>
      <c r="P3199">
        <v>0.39045450094021927</v>
      </c>
      <c r="Q3199">
        <v>0.85401908867510123</v>
      </c>
      <c r="R3199">
        <v>-0.71618560633963435</v>
      </c>
      <c r="S3199">
        <v>0.22422985374760709</v>
      </c>
      <c r="T3199">
        <v>0.17565752021581801</v>
      </c>
      <c r="U3199">
        <v>4.4179867093448619</v>
      </c>
      <c r="V3199">
        <v>0.2101483876699779</v>
      </c>
      <c r="W3199">
        <v>3.0568593769537742</v>
      </c>
      <c r="X3199">
        <v>0.2872158637248472</v>
      </c>
      <c r="Z3199" t="s">
        <v>392</v>
      </c>
      <c r="AA3199">
        <v>114</v>
      </c>
      <c r="AB3199" t="s">
        <v>3590</v>
      </c>
      <c r="AC3199" t="str">
        <f>HYPERLINK("plots/3FT6Y578R04_015_S21P_20251218081014_M5358ACSC201811_RBGEUFRF04/dpll_52046/txpa_54189.png","plot")</f>
        <v>plot</v>
      </c>
    </row>
    <row r="3200" spans="1:29" x14ac:dyDescent="0.35">
      <c r="A3200" s="4" t="s">
        <v>49</v>
      </c>
      <c r="B3200">
        <v>52046</v>
      </c>
      <c r="C3200" t="s">
        <v>51</v>
      </c>
      <c r="D3200">
        <v>54190</v>
      </c>
      <c r="E3200" t="s">
        <v>210</v>
      </c>
      <c r="F3200">
        <v>12028</v>
      </c>
      <c r="G3200">
        <v>0.64481069651196343</v>
      </c>
      <c r="H3200">
        <v>0</v>
      </c>
      <c r="I3200">
        <v>0</v>
      </c>
      <c r="J3200">
        <v>0.58118640107657016</v>
      </c>
      <c r="K3200">
        <v>0</v>
      </c>
      <c r="L3200">
        <v>0</v>
      </c>
      <c r="M3200">
        <v>0.41146779002105899</v>
      </c>
      <c r="N3200">
        <v>0</v>
      </c>
      <c r="O3200">
        <v>0</v>
      </c>
      <c r="P3200">
        <v>0.41578083433624341</v>
      </c>
      <c r="Q3200">
        <v>0.89287913068664104</v>
      </c>
      <c r="R3200">
        <v>-0.88081728881007582</v>
      </c>
      <c r="S3200">
        <v>0.2224110432626436</v>
      </c>
      <c r="T3200">
        <v>0.17451215102654169</v>
      </c>
      <c r="U3200">
        <v>4.4179867093448619</v>
      </c>
      <c r="V3200">
        <v>0.2101483876699779</v>
      </c>
      <c r="W3200">
        <v>3.0639108436148978</v>
      </c>
      <c r="X3200">
        <v>0.29099565300788699</v>
      </c>
      <c r="Z3200" t="s">
        <v>392</v>
      </c>
      <c r="AA3200">
        <v>114</v>
      </c>
      <c r="AB3200" t="s">
        <v>3591</v>
      </c>
      <c r="AC3200" t="str">
        <f>HYPERLINK("plots/3FT6Y578R04_015_S21P_20251218081014_M5358ACSC201811_RBGEUFRF04/dpll_52046/txpa_54190.png","plot")</f>
        <v>plot</v>
      </c>
    </row>
    <row r="3201" spans="1:29" x14ac:dyDescent="0.35">
      <c r="A3201" s="4" t="s">
        <v>49</v>
      </c>
      <c r="B3201">
        <v>52046</v>
      </c>
      <c r="C3201" t="s">
        <v>51</v>
      </c>
      <c r="D3201">
        <v>54191</v>
      </c>
      <c r="E3201" t="s">
        <v>211</v>
      </c>
      <c r="F3201">
        <v>12027</v>
      </c>
      <c r="G3201">
        <v>0.64145535367188711</v>
      </c>
      <c r="H3201">
        <v>0</v>
      </c>
      <c r="I3201">
        <v>0</v>
      </c>
      <c r="J3201">
        <v>0.57229301703066682</v>
      </c>
      <c r="K3201">
        <v>0</v>
      </c>
      <c r="L3201">
        <v>0</v>
      </c>
      <c r="M3201">
        <v>0.4027347426629998</v>
      </c>
      <c r="N3201">
        <v>0</v>
      </c>
      <c r="O3201">
        <v>0</v>
      </c>
      <c r="P3201">
        <v>0.41146497075432581</v>
      </c>
      <c r="Q3201">
        <v>0.87973331602661087</v>
      </c>
      <c r="R3201">
        <v>-0.83837277077832661</v>
      </c>
      <c r="S3201">
        <v>0.22108055381483629</v>
      </c>
      <c r="T3201">
        <v>0.17475487065485579</v>
      </c>
      <c r="U3201">
        <v>4.4179587365926656</v>
      </c>
      <c r="V3201">
        <v>0.21013472984942591</v>
      </c>
      <c r="W3201">
        <v>3.0482527186330759</v>
      </c>
      <c r="X3201">
        <v>0.28819234517972547</v>
      </c>
      <c r="Z3201" t="s">
        <v>392</v>
      </c>
      <c r="AA3201">
        <v>114</v>
      </c>
      <c r="AB3201" t="s">
        <v>3592</v>
      </c>
      <c r="AC3201" t="str">
        <f>HYPERLINK("plots/3FT6Y578R04_015_S21P_20251218081014_M5358ACSC201811_RBGEUFRF04/dpll_52046/txpa_54191.png","plot")</f>
        <v>plot</v>
      </c>
    </row>
    <row r="3202" spans="1:29" x14ac:dyDescent="0.35">
      <c r="A3202" s="4" t="s">
        <v>49</v>
      </c>
      <c r="B3202">
        <v>52046</v>
      </c>
      <c r="C3202" t="s">
        <v>51</v>
      </c>
      <c r="D3202">
        <v>54192</v>
      </c>
      <c r="E3202" t="s">
        <v>212</v>
      </c>
      <c r="F3202">
        <v>12028</v>
      </c>
      <c r="G3202">
        <v>0.64994378662553398</v>
      </c>
      <c r="H3202">
        <v>0</v>
      </c>
      <c r="I3202">
        <v>0</v>
      </c>
      <c r="J3202">
        <v>0.5890804272761011</v>
      </c>
      <c r="K3202">
        <v>0</v>
      </c>
      <c r="L3202">
        <v>0</v>
      </c>
      <c r="M3202">
        <v>0.41722030495489998</v>
      </c>
      <c r="N3202">
        <v>0</v>
      </c>
      <c r="O3202">
        <v>0</v>
      </c>
      <c r="P3202">
        <v>0.42242692577313762</v>
      </c>
      <c r="Q3202">
        <v>0.90037744635187822</v>
      </c>
      <c r="R3202">
        <v>-0.91768597972032895</v>
      </c>
      <c r="S3202">
        <v>0.22123828788667971</v>
      </c>
      <c r="T3202">
        <v>0.17432690354716551</v>
      </c>
      <c r="U3202">
        <v>4.4179867093448619</v>
      </c>
      <c r="V3202">
        <v>0.2101483876699779</v>
      </c>
      <c r="W3202">
        <v>3.0601696116561361</v>
      </c>
      <c r="X3202">
        <v>0.29112189783002651</v>
      </c>
      <c r="Z3202" t="s">
        <v>392</v>
      </c>
      <c r="AA3202">
        <v>114</v>
      </c>
      <c r="AB3202" t="s">
        <v>3593</v>
      </c>
      <c r="AC3202" t="str">
        <f>HYPERLINK("plots/3FT6Y578R04_015_S21P_20251218081014_M5358ACSC201811_RBGEUFRF04/dpll_52046/txpa_54192.png","plot")</f>
        <v>plot</v>
      </c>
    </row>
    <row r="3203" spans="1:29" x14ac:dyDescent="0.35">
      <c r="A3203" s="4" t="s">
        <v>49</v>
      </c>
      <c r="B3203">
        <v>52046</v>
      </c>
      <c r="C3203" t="s">
        <v>51</v>
      </c>
      <c r="D3203">
        <v>54193</v>
      </c>
      <c r="E3203" t="s">
        <v>213</v>
      </c>
      <c r="F3203">
        <v>12028</v>
      </c>
      <c r="G3203">
        <v>0.64505076800073569</v>
      </c>
      <c r="H3203">
        <v>0</v>
      </c>
      <c r="I3203">
        <v>0</v>
      </c>
      <c r="J3203">
        <v>0.57925257678469977</v>
      </c>
      <c r="K3203">
        <v>0</v>
      </c>
      <c r="L3203">
        <v>0</v>
      </c>
      <c r="M3203">
        <v>0.40873322822533348</v>
      </c>
      <c r="N3203">
        <v>0</v>
      </c>
      <c r="O3203">
        <v>0</v>
      </c>
      <c r="P3203">
        <v>0.41609049329833891</v>
      </c>
      <c r="Q3203">
        <v>0.87937877908399309</v>
      </c>
      <c r="R3203">
        <v>-0.82078544786441299</v>
      </c>
      <c r="S3203">
        <v>0.218908621226927</v>
      </c>
      <c r="T3203">
        <v>0.17336795741217129</v>
      </c>
      <c r="U3203">
        <v>4.4179867093448619</v>
      </c>
      <c r="V3203">
        <v>0.2101483876699779</v>
      </c>
      <c r="W3203">
        <v>3.0642983106085802</v>
      </c>
      <c r="X3203">
        <v>0.28648912883006472</v>
      </c>
      <c r="Z3203" t="s">
        <v>392</v>
      </c>
      <c r="AA3203">
        <v>114</v>
      </c>
      <c r="AB3203" t="s">
        <v>3594</v>
      </c>
      <c r="AC3203" t="str">
        <f>HYPERLINK("plots/3FT6Y578R04_015_S21P_20251218081014_M5358ACSC201811_RBGEUFRF04/dpll_52046/txpa_54193.png","plot")</f>
        <v>plot</v>
      </c>
    </row>
    <row r="3204" spans="1:29" x14ac:dyDescent="0.35">
      <c r="A3204" s="4" t="s">
        <v>49</v>
      </c>
      <c r="B3204">
        <v>52046</v>
      </c>
      <c r="C3204" t="s">
        <v>51</v>
      </c>
      <c r="D3204">
        <v>54194</v>
      </c>
      <c r="E3204" t="s">
        <v>214</v>
      </c>
      <c r="F3204">
        <v>12027</v>
      </c>
      <c r="G3204">
        <v>0.6366518542821421</v>
      </c>
      <c r="H3204">
        <v>0</v>
      </c>
      <c r="I3204">
        <v>0</v>
      </c>
      <c r="J3204">
        <v>0.57260060069047858</v>
      </c>
      <c r="K3204">
        <v>0</v>
      </c>
      <c r="L3204">
        <v>0</v>
      </c>
      <c r="M3204">
        <v>0.40471691977351648</v>
      </c>
      <c r="N3204">
        <v>0</v>
      </c>
      <c r="O3204">
        <v>0</v>
      </c>
      <c r="P3204">
        <v>0.40532558356088988</v>
      </c>
      <c r="Q3204">
        <v>0.87700049416121217</v>
      </c>
      <c r="R3204">
        <v>-0.85088422922170803</v>
      </c>
      <c r="S3204">
        <v>0.22321897413176861</v>
      </c>
      <c r="T3204">
        <v>0.17524835242404699</v>
      </c>
      <c r="U3204">
        <v>4.418010118566559</v>
      </c>
      <c r="V3204">
        <v>0.21014144114715341</v>
      </c>
      <c r="W3204">
        <v>3.0237128279704</v>
      </c>
      <c r="X3204">
        <v>0.28947398250744782</v>
      </c>
      <c r="Z3204" t="s">
        <v>392</v>
      </c>
      <c r="AA3204">
        <v>114</v>
      </c>
      <c r="AB3204" t="s">
        <v>3595</v>
      </c>
      <c r="AC3204" t="str">
        <f>HYPERLINK("plots/3FT6Y578R04_015_S21P_20251218081014_M5358ACSC201811_RBGEUFRF04/dpll_52046/txpa_54194.png","plot")</f>
        <v>plot</v>
      </c>
    </row>
    <row r="3205" spans="1:29" x14ac:dyDescent="0.35">
      <c r="A3205" s="4" t="s">
        <v>49</v>
      </c>
      <c r="B3205">
        <v>52046</v>
      </c>
      <c r="C3205" t="s">
        <v>51</v>
      </c>
      <c r="D3205">
        <v>54195</v>
      </c>
      <c r="E3205" t="s">
        <v>215</v>
      </c>
      <c r="F3205">
        <v>12028</v>
      </c>
      <c r="G3205">
        <v>0.66081119195713822</v>
      </c>
      <c r="H3205">
        <v>0</v>
      </c>
      <c r="I3205">
        <v>0</v>
      </c>
      <c r="J3205">
        <v>0.60519147597062961</v>
      </c>
      <c r="K3205">
        <v>0</v>
      </c>
      <c r="L3205">
        <v>0</v>
      </c>
      <c r="M3205">
        <v>0.4292977436822728</v>
      </c>
      <c r="N3205">
        <v>0</v>
      </c>
      <c r="O3205">
        <v>0</v>
      </c>
      <c r="P3205">
        <v>0.43667143141581383</v>
      </c>
      <c r="Q3205">
        <v>0.94474045841439103</v>
      </c>
      <c r="R3205">
        <v>1.303100072767263</v>
      </c>
      <c r="S3205">
        <v>0.22548830438338299</v>
      </c>
      <c r="T3205">
        <v>0.17438011020201891</v>
      </c>
      <c r="U3205">
        <v>4.4179867093448619</v>
      </c>
      <c r="V3205">
        <v>0.2101483876699779</v>
      </c>
      <c r="W3205">
        <v>5.4769508618224148</v>
      </c>
      <c r="X3205">
        <v>0.30044237524847739</v>
      </c>
      <c r="Z3205" t="s">
        <v>392</v>
      </c>
      <c r="AA3205">
        <v>114</v>
      </c>
      <c r="AB3205" t="s">
        <v>3596</v>
      </c>
      <c r="AC3205" t="str">
        <f>HYPERLINK("plots/3FT6Y578R04_015_S21P_20251218081014_M5358ACSC201811_RBGEUFRF04/dpll_52046/txpa_54195.png","plot")</f>
        <v>plot</v>
      </c>
    </row>
    <row r="3206" spans="1:29" x14ac:dyDescent="0.35">
      <c r="A3206" s="4" t="s">
        <v>49</v>
      </c>
      <c r="B3206">
        <v>52046</v>
      </c>
      <c r="C3206" t="s">
        <v>51</v>
      </c>
      <c r="D3206">
        <v>54196</v>
      </c>
      <c r="E3206" t="s">
        <v>216</v>
      </c>
      <c r="F3206">
        <v>12028</v>
      </c>
      <c r="G3206">
        <v>0.6823367557959632</v>
      </c>
      <c r="H3206">
        <v>0</v>
      </c>
      <c r="I3206">
        <v>0</v>
      </c>
      <c r="J3206">
        <v>0.61955409511591497</v>
      </c>
      <c r="K3206">
        <v>0</v>
      </c>
      <c r="L3206">
        <v>0</v>
      </c>
      <c r="M3206">
        <v>0.44283533630667621</v>
      </c>
      <c r="N3206">
        <v>0</v>
      </c>
      <c r="O3206">
        <v>0</v>
      </c>
      <c r="P3206">
        <v>0.46558344831015991</v>
      </c>
      <c r="Q3206">
        <v>0.97768018801340872</v>
      </c>
      <c r="R3206">
        <v>1.187424842888092</v>
      </c>
      <c r="S3206">
        <v>0.22011315895262351</v>
      </c>
      <c r="T3206">
        <v>0.1726304571500544</v>
      </c>
      <c r="U3206">
        <v>4.4179867093448619</v>
      </c>
      <c r="V3206">
        <v>0.2101483876699779</v>
      </c>
      <c r="W3206">
        <v>5.5068029195211166</v>
      </c>
      <c r="X3206">
        <v>0.30110925935424221</v>
      </c>
      <c r="Z3206" t="s">
        <v>392</v>
      </c>
      <c r="AA3206">
        <v>114</v>
      </c>
      <c r="AB3206" t="s">
        <v>3597</v>
      </c>
      <c r="AC3206" t="str">
        <f>HYPERLINK("plots/3FT6Y578R04_015_S21P_20251218081014_M5358ACSC201811_RBGEUFRF04/dpll_52046/txpa_54196.png","plot")</f>
        <v>plot</v>
      </c>
    </row>
    <row r="3207" spans="1:29" x14ac:dyDescent="0.35">
      <c r="A3207" s="4" t="s">
        <v>49</v>
      </c>
      <c r="B3207">
        <v>52046</v>
      </c>
      <c r="C3207" t="s">
        <v>51</v>
      </c>
      <c r="D3207">
        <v>54197</v>
      </c>
      <c r="E3207" t="s">
        <v>217</v>
      </c>
      <c r="F3207">
        <v>12028</v>
      </c>
      <c r="G3207">
        <v>0.6698803447660775</v>
      </c>
      <c r="H3207">
        <v>0</v>
      </c>
      <c r="I3207">
        <v>0</v>
      </c>
      <c r="J3207">
        <v>0.60688724204557487</v>
      </c>
      <c r="K3207">
        <v>0</v>
      </c>
      <c r="L3207">
        <v>0</v>
      </c>
      <c r="M3207">
        <v>0.43186232543053071</v>
      </c>
      <c r="N3207">
        <v>0</v>
      </c>
      <c r="O3207">
        <v>0</v>
      </c>
      <c r="P3207">
        <v>0.44873967630391892</v>
      </c>
      <c r="Q3207">
        <v>0.94362761549936103</v>
      </c>
      <c r="R3207">
        <v>1.350807241557098</v>
      </c>
      <c r="S3207">
        <v>0.21978081672580299</v>
      </c>
      <c r="T3207">
        <v>0.17158988933417779</v>
      </c>
      <c r="U3207">
        <v>4.4179867093448619</v>
      </c>
      <c r="V3207">
        <v>0.2101483876699779</v>
      </c>
      <c r="W3207">
        <v>5.5197415054040579</v>
      </c>
      <c r="X3207">
        <v>0.296025735801076</v>
      </c>
      <c r="Z3207" t="s">
        <v>392</v>
      </c>
      <c r="AA3207">
        <v>114</v>
      </c>
      <c r="AB3207" t="s">
        <v>3598</v>
      </c>
      <c r="AC3207" t="str">
        <f>HYPERLINK("plots/3FT6Y578R04_015_S21P_20251218081014_M5358ACSC201811_RBGEUFRF04/dpll_52046/txpa_54197.png","plot")</f>
        <v>plot</v>
      </c>
    </row>
    <row r="3208" spans="1:29" x14ac:dyDescent="0.35">
      <c r="A3208" s="4" t="s">
        <v>49</v>
      </c>
      <c r="B3208">
        <v>52046</v>
      </c>
      <c r="C3208" t="s">
        <v>51</v>
      </c>
      <c r="D3208">
        <v>54198</v>
      </c>
      <c r="E3208" t="s">
        <v>218</v>
      </c>
      <c r="F3208">
        <v>12028</v>
      </c>
      <c r="G3208">
        <v>0.68772008560398623</v>
      </c>
      <c r="H3208">
        <v>0</v>
      </c>
      <c r="I3208">
        <v>0</v>
      </c>
      <c r="J3208">
        <v>0.62145536905106535</v>
      </c>
      <c r="K3208">
        <v>0</v>
      </c>
      <c r="L3208">
        <v>0</v>
      </c>
      <c r="M3208">
        <v>0.44467119532722899</v>
      </c>
      <c r="N3208">
        <v>0</v>
      </c>
      <c r="O3208">
        <v>0</v>
      </c>
      <c r="P3208">
        <v>0.47295891614315422</v>
      </c>
      <c r="Q3208">
        <v>0.98024512914268658</v>
      </c>
      <c r="R3208">
        <v>1.1926287773447131</v>
      </c>
      <c r="S3208">
        <v>0.2174469035965447</v>
      </c>
      <c r="T3208">
        <v>0.17031114327611979</v>
      </c>
      <c r="U3208">
        <v>4.4179867093448619</v>
      </c>
      <c r="V3208">
        <v>0.2101483876699779</v>
      </c>
      <c r="W3208">
        <v>5.5233387297971399</v>
      </c>
      <c r="X3208">
        <v>0.29953601432153781</v>
      </c>
      <c r="Z3208" t="s">
        <v>392</v>
      </c>
      <c r="AA3208">
        <v>114</v>
      </c>
      <c r="AB3208" t="s">
        <v>3599</v>
      </c>
      <c r="AC3208" t="str">
        <f>HYPERLINK("plots/3FT6Y578R04_015_S21P_20251218081014_M5358ACSC201811_RBGEUFRF04/dpll_52046/txpa_54198.png","plot")</f>
        <v>plot</v>
      </c>
    </row>
    <row r="3209" spans="1:29" x14ac:dyDescent="0.35">
      <c r="A3209" s="4" t="s">
        <v>49</v>
      </c>
      <c r="B3209">
        <v>52046</v>
      </c>
      <c r="C3209" t="s">
        <v>51</v>
      </c>
      <c r="D3209">
        <v>54199</v>
      </c>
      <c r="E3209" t="s">
        <v>219</v>
      </c>
      <c r="F3209">
        <v>12027</v>
      </c>
      <c r="G3209">
        <v>0.68626655646770673</v>
      </c>
      <c r="H3209">
        <v>0</v>
      </c>
      <c r="I3209">
        <v>0</v>
      </c>
      <c r="J3209">
        <v>0.61396184262011344</v>
      </c>
      <c r="K3209">
        <v>0</v>
      </c>
      <c r="L3209">
        <v>0</v>
      </c>
      <c r="M3209">
        <v>0.43680588100234569</v>
      </c>
      <c r="N3209">
        <v>0</v>
      </c>
      <c r="O3209">
        <v>0</v>
      </c>
      <c r="P3209">
        <v>0.47096178652604409</v>
      </c>
      <c r="Q3209">
        <v>0.96901028426233493</v>
      </c>
      <c r="R3209">
        <v>1.225848988472467</v>
      </c>
      <c r="S3209">
        <v>0.21580368337816999</v>
      </c>
      <c r="T3209">
        <v>0.17035603492251211</v>
      </c>
      <c r="U3209">
        <v>4.4179587365926656</v>
      </c>
      <c r="V3209">
        <v>0.21013472984942591</v>
      </c>
      <c r="W3209">
        <v>5.5068964396773934</v>
      </c>
      <c r="X3209">
        <v>0.29671082232660562</v>
      </c>
      <c r="Z3209" t="s">
        <v>392</v>
      </c>
      <c r="AA3209">
        <v>114</v>
      </c>
      <c r="AB3209" t="s">
        <v>3600</v>
      </c>
      <c r="AC3209" t="str">
        <f>HYPERLINK("plots/3FT6Y578R04_015_S21P_20251218081014_M5358ACSC201811_RBGEUFRF04/dpll_52046/txpa_54199.png","plot")</f>
        <v>plot</v>
      </c>
    </row>
    <row r="3210" spans="1:29" x14ac:dyDescent="0.35">
      <c r="A3210" s="4" t="s">
        <v>49</v>
      </c>
      <c r="B3210">
        <v>52046</v>
      </c>
      <c r="C3210" t="s">
        <v>51</v>
      </c>
      <c r="D3210">
        <v>54200</v>
      </c>
      <c r="E3210" t="s">
        <v>220</v>
      </c>
      <c r="F3210">
        <v>12028</v>
      </c>
      <c r="G3210">
        <v>0.69257599390700197</v>
      </c>
      <c r="H3210">
        <v>0</v>
      </c>
      <c r="I3210">
        <v>0</v>
      </c>
      <c r="J3210">
        <v>0.62908016125386823</v>
      </c>
      <c r="K3210">
        <v>0</v>
      </c>
      <c r="L3210">
        <v>0</v>
      </c>
      <c r="M3210">
        <v>0.45047916041186331</v>
      </c>
      <c r="N3210">
        <v>0</v>
      </c>
      <c r="O3210">
        <v>0</v>
      </c>
      <c r="P3210">
        <v>0.47966150733627161</v>
      </c>
      <c r="Q3210">
        <v>0.98940652065267998</v>
      </c>
      <c r="R3210">
        <v>1.1499690408524359</v>
      </c>
      <c r="S3210">
        <v>0.21655006560478909</v>
      </c>
      <c r="T3210">
        <v>0.17024048231049221</v>
      </c>
      <c r="U3210">
        <v>4.4179867093448619</v>
      </c>
      <c r="V3210">
        <v>0.2101483876699779</v>
      </c>
      <c r="W3210">
        <v>5.5211538992351183</v>
      </c>
      <c r="X3210">
        <v>0.30021569747513221</v>
      </c>
      <c r="Z3210" t="s">
        <v>392</v>
      </c>
      <c r="AA3210">
        <v>114</v>
      </c>
      <c r="AB3210" t="s">
        <v>3601</v>
      </c>
      <c r="AC3210" t="str">
        <f>HYPERLINK("plots/3FT6Y578R04_015_S21P_20251218081014_M5358ACSC201811_RBGEUFRF04/dpll_52046/txpa_54200.png","plot")</f>
        <v>plot</v>
      </c>
    </row>
    <row r="3211" spans="1:29" x14ac:dyDescent="0.35">
      <c r="A3211" s="4" t="s">
        <v>49</v>
      </c>
      <c r="B3211">
        <v>52046</v>
      </c>
      <c r="C3211" t="s">
        <v>51</v>
      </c>
      <c r="D3211">
        <v>54201</v>
      </c>
      <c r="E3211" t="s">
        <v>221</v>
      </c>
      <c r="F3211">
        <v>12028</v>
      </c>
      <c r="G3211">
        <v>0.68957980979727806</v>
      </c>
      <c r="H3211">
        <v>0</v>
      </c>
      <c r="I3211">
        <v>0</v>
      </c>
      <c r="J3211">
        <v>0.62055256576605933</v>
      </c>
      <c r="K3211">
        <v>0</v>
      </c>
      <c r="L3211">
        <v>0</v>
      </c>
      <c r="M3211">
        <v>0.44283836697811318</v>
      </c>
      <c r="N3211">
        <v>0</v>
      </c>
      <c r="O3211">
        <v>0</v>
      </c>
      <c r="P3211">
        <v>0.47552031408005019</v>
      </c>
      <c r="Q3211">
        <v>0.96947109823747679</v>
      </c>
      <c r="R3211">
        <v>1.242905544708623</v>
      </c>
      <c r="S3211">
        <v>0.21395511479263229</v>
      </c>
      <c r="T3211">
        <v>0.16911095900244699</v>
      </c>
      <c r="U3211">
        <v>4.4179867093448619</v>
      </c>
      <c r="V3211">
        <v>0.2101483876699779</v>
      </c>
      <c r="W3211">
        <v>5.5260159718157631</v>
      </c>
      <c r="X3211">
        <v>0.2954448278396401</v>
      </c>
      <c r="Z3211" t="s">
        <v>392</v>
      </c>
      <c r="AA3211">
        <v>114</v>
      </c>
      <c r="AB3211" t="s">
        <v>3602</v>
      </c>
      <c r="AC3211" t="str">
        <f>HYPERLINK("plots/3FT6Y578R04_015_S21P_20251218081014_M5358ACSC201811_RBGEUFRF04/dpll_52046/txpa_54201.png","plot")</f>
        <v>plot</v>
      </c>
    </row>
    <row r="3212" spans="1:29" x14ac:dyDescent="0.35">
      <c r="A3212" s="4" t="s">
        <v>49</v>
      </c>
      <c r="B3212">
        <v>52046</v>
      </c>
      <c r="C3212" t="s">
        <v>51</v>
      </c>
      <c r="D3212">
        <v>54202</v>
      </c>
      <c r="E3212" t="s">
        <v>222</v>
      </c>
      <c r="F3212">
        <v>12027</v>
      </c>
      <c r="G3212">
        <v>0.68241771901779824</v>
      </c>
      <c r="H3212">
        <v>0</v>
      </c>
      <c r="I3212">
        <v>0</v>
      </c>
      <c r="J3212">
        <v>0.61452153215851613</v>
      </c>
      <c r="K3212">
        <v>0</v>
      </c>
      <c r="L3212">
        <v>0</v>
      </c>
      <c r="M3212">
        <v>0.43911028149870202</v>
      </c>
      <c r="N3212">
        <v>0</v>
      </c>
      <c r="O3212">
        <v>0</v>
      </c>
      <c r="P3212">
        <v>0.46569394322945462</v>
      </c>
      <c r="Q3212">
        <v>0.96907247121081608</v>
      </c>
      <c r="R3212">
        <v>1.2064269670111469</v>
      </c>
      <c r="S3212">
        <v>0.21811958414911131</v>
      </c>
      <c r="T3212">
        <v>0.1709480419860562</v>
      </c>
      <c r="U3212">
        <v>4.418010118566559</v>
      </c>
      <c r="V3212">
        <v>0.21014144114715341</v>
      </c>
      <c r="W3212">
        <v>5.4877989504448328</v>
      </c>
      <c r="X3212">
        <v>0.29841295148281921</v>
      </c>
      <c r="Z3212" t="s">
        <v>392</v>
      </c>
      <c r="AA3212">
        <v>114</v>
      </c>
      <c r="AB3212" t="s">
        <v>3603</v>
      </c>
      <c r="AC3212" t="str">
        <f>HYPERLINK("plots/3FT6Y578R04_015_S21P_20251218081014_M5358ACSC201811_RBGEUFRF04/dpll_52046/txpa_54202.png","plot")</f>
        <v>plot</v>
      </c>
    </row>
    <row r="3213" spans="1:29" x14ac:dyDescent="0.35">
      <c r="A3213" s="4" t="s">
        <v>49</v>
      </c>
      <c r="B3213">
        <v>52046</v>
      </c>
      <c r="C3213" t="s">
        <v>51</v>
      </c>
      <c r="D3213">
        <v>54203</v>
      </c>
      <c r="E3213" t="s">
        <v>223</v>
      </c>
      <c r="F3213">
        <v>12028</v>
      </c>
      <c r="G3213">
        <v>0.67728750431196505</v>
      </c>
      <c r="H3213">
        <v>0</v>
      </c>
      <c r="I3213">
        <v>0</v>
      </c>
      <c r="J3213">
        <v>0.61890633429593689</v>
      </c>
      <c r="K3213">
        <v>0</v>
      </c>
      <c r="L3213">
        <v>0</v>
      </c>
      <c r="M3213">
        <v>0.44068552097411468</v>
      </c>
      <c r="N3213">
        <v>0</v>
      </c>
      <c r="O3213">
        <v>0</v>
      </c>
      <c r="P3213">
        <v>0.45871836349713008</v>
      </c>
      <c r="Q3213">
        <v>0.98773651496104797</v>
      </c>
      <c r="R3213">
        <v>2.2045876173543091</v>
      </c>
      <c r="S3213">
        <v>0.22546944764361271</v>
      </c>
      <c r="T3213">
        <v>0.17399787894187291</v>
      </c>
      <c r="U3213">
        <v>4.4179867093448619</v>
      </c>
      <c r="V3213">
        <v>0.2101483876699779</v>
      </c>
      <c r="W3213">
        <v>6.568394412786831</v>
      </c>
      <c r="X3213">
        <v>0.30647433289455472</v>
      </c>
      <c r="Z3213" t="s">
        <v>392</v>
      </c>
      <c r="AA3213">
        <v>114</v>
      </c>
      <c r="AB3213" t="s">
        <v>3604</v>
      </c>
      <c r="AC3213" t="str">
        <f>HYPERLINK("plots/3FT6Y578R04_015_S21P_20251218081014_M5358ACSC201811_RBGEUFRF04/dpll_52046/txpa_54203.png","plot")</f>
        <v>plot</v>
      </c>
    </row>
    <row r="3214" spans="1:29" x14ac:dyDescent="0.35">
      <c r="A3214" s="4" t="s">
        <v>49</v>
      </c>
      <c r="B3214">
        <v>52046</v>
      </c>
      <c r="C3214" t="s">
        <v>51</v>
      </c>
      <c r="D3214">
        <v>54204</v>
      </c>
      <c r="E3214" t="s">
        <v>224</v>
      </c>
      <c r="F3214">
        <v>12028</v>
      </c>
      <c r="G3214">
        <v>0.69778086902208936</v>
      </c>
      <c r="H3214">
        <v>0</v>
      </c>
      <c r="I3214">
        <v>0</v>
      </c>
      <c r="J3214">
        <v>0.63252996542921514</v>
      </c>
      <c r="K3214">
        <v>0</v>
      </c>
      <c r="L3214">
        <v>0</v>
      </c>
      <c r="M3214">
        <v>0.45385387161564822</v>
      </c>
      <c r="N3214">
        <v>0</v>
      </c>
      <c r="O3214">
        <v>0</v>
      </c>
      <c r="P3214">
        <v>0.48689814117322222</v>
      </c>
      <c r="Q3214">
        <v>1.019427155057067</v>
      </c>
      <c r="R3214">
        <v>2.0939639948728259</v>
      </c>
      <c r="S3214">
        <v>0.21991099408979481</v>
      </c>
      <c r="T3214">
        <v>0.17222164997012951</v>
      </c>
      <c r="U3214">
        <v>4.4179867093448619</v>
      </c>
      <c r="V3214">
        <v>0.2101483876699779</v>
      </c>
      <c r="W3214">
        <v>6.5977796170601932</v>
      </c>
      <c r="X3214">
        <v>0.3070175501980601</v>
      </c>
      <c r="Z3214" t="s">
        <v>392</v>
      </c>
      <c r="AA3214">
        <v>114</v>
      </c>
      <c r="AB3214" t="s">
        <v>3605</v>
      </c>
      <c r="AC3214" t="str">
        <f>HYPERLINK("plots/3FT6Y578R04_015_S21P_20251218081014_M5358ACSC201811_RBGEUFRF04/dpll_52046/txpa_54204.png","plot")</f>
        <v>plot</v>
      </c>
    </row>
    <row r="3215" spans="1:29" x14ac:dyDescent="0.35">
      <c r="A3215" s="4" t="s">
        <v>49</v>
      </c>
      <c r="B3215">
        <v>52046</v>
      </c>
      <c r="C3215" t="s">
        <v>51</v>
      </c>
      <c r="D3215">
        <v>54205</v>
      </c>
      <c r="E3215" t="s">
        <v>225</v>
      </c>
      <c r="F3215">
        <v>12028</v>
      </c>
      <c r="G3215">
        <v>0.68629346386625489</v>
      </c>
      <c r="H3215">
        <v>0</v>
      </c>
      <c r="I3215">
        <v>0</v>
      </c>
      <c r="J3215">
        <v>0.6204901002990717</v>
      </c>
      <c r="K3215">
        <v>0</v>
      </c>
      <c r="L3215">
        <v>0</v>
      </c>
      <c r="M3215">
        <v>0.44323638798729598</v>
      </c>
      <c r="N3215">
        <v>0</v>
      </c>
      <c r="O3215">
        <v>0</v>
      </c>
      <c r="P3215">
        <v>0.47099871854554248</v>
      </c>
      <c r="Q3215">
        <v>0.98643968645258162</v>
      </c>
      <c r="R3215">
        <v>2.2529539544650219</v>
      </c>
      <c r="S3215">
        <v>0.2196833000337757</v>
      </c>
      <c r="T3215">
        <v>0.17109336528283031</v>
      </c>
      <c r="U3215">
        <v>4.4179867093448619</v>
      </c>
      <c r="V3215">
        <v>0.2101483876699779</v>
      </c>
      <c r="W3215">
        <v>6.6110313787828412</v>
      </c>
      <c r="X3215">
        <v>0.30205549164619028</v>
      </c>
      <c r="Z3215" t="s">
        <v>392</v>
      </c>
      <c r="AA3215">
        <v>114</v>
      </c>
      <c r="AB3215" t="s">
        <v>3606</v>
      </c>
      <c r="AC3215" t="str">
        <f>HYPERLINK("plots/3FT6Y578R04_015_S21P_20251218081014_M5358ACSC201811_RBGEUFRF04/dpll_52046/txpa_54205.png","plot")</f>
        <v>plot</v>
      </c>
    </row>
    <row r="3216" spans="1:29" x14ac:dyDescent="0.35">
      <c r="A3216" s="4" t="s">
        <v>49</v>
      </c>
      <c r="B3216">
        <v>52046</v>
      </c>
      <c r="C3216" t="s">
        <v>51</v>
      </c>
      <c r="D3216">
        <v>54206</v>
      </c>
      <c r="E3216" t="s">
        <v>226</v>
      </c>
      <c r="F3216">
        <v>12028</v>
      </c>
      <c r="G3216">
        <v>0.70329612823779031</v>
      </c>
      <c r="H3216">
        <v>0</v>
      </c>
      <c r="I3216">
        <v>0</v>
      </c>
      <c r="J3216">
        <v>0.63471683715156269</v>
      </c>
      <c r="K3216">
        <v>0</v>
      </c>
      <c r="L3216">
        <v>0</v>
      </c>
      <c r="M3216">
        <v>0.45587634592088988</v>
      </c>
      <c r="N3216">
        <v>0</v>
      </c>
      <c r="O3216">
        <v>0</v>
      </c>
      <c r="P3216">
        <v>0.49462544399426639</v>
      </c>
      <c r="Q3216">
        <v>1.0225278484916069</v>
      </c>
      <c r="R3216">
        <v>2.0958806694962608</v>
      </c>
      <c r="S3216">
        <v>0.2171958949523356</v>
      </c>
      <c r="T3216">
        <v>0.16987860249264139</v>
      </c>
      <c r="U3216">
        <v>4.4179867093448619</v>
      </c>
      <c r="V3216">
        <v>0.2101483876699779</v>
      </c>
      <c r="W3216">
        <v>6.6133951140671767</v>
      </c>
      <c r="X3216">
        <v>0.30553641642615298</v>
      </c>
      <c r="Z3216" t="s">
        <v>392</v>
      </c>
      <c r="AA3216">
        <v>114</v>
      </c>
      <c r="AB3216" t="s">
        <v>3607</v>
      </c>
      <c r="AC3216" t="str">
        <f>HYPERLINK("plots/3FT6Y578R04_015_S21P_20251218081014_M5358ACSC201811_RBGEUFRF04/dpll_52046/txpa_54206.png","plot")</f>
        <v>plot</v>
      </c>
    </row>
    <row r="3217" spans="1:29" x14ac:dyDescent="0.35">
      <c r="A3217" s="4" t="s">
        <v>49</v>
      </c>
      <c r="B3217">
        <v>52046</v>
      </c>
      <c r="C3217" t="s">
        <v>51</v>
      </c>
      <c r="D3217">
        <v>54207</v>
      </c>
      <c r="E3217" t="s">
        <v>227</v>
      </c>
      <c r="F3217">
        <v>12027</v>
      </c>
      <c r="G3217">
        <v>0.70252443251977814</v>
      </c>
      <c r="H3217">
        <v>0</v>
      </c>
      <c r="I3217">
        <v>0</v>
      </c>
      <c r="J3217">
        <v>0.62769600341720422</v>
      </c>
      <c r="K3217">
        <v>0</v>
      </c>
      <c r="L3217">
        <v>0</v>
      </c>
      <c r="M3217">
        <v>0.44825358389129027</v>
      </c>
      <c r="N3217">
        <v>0</v>
      </c>
      <c r="O3217">
        <v>0</v>
      </c>
      <c r="P3217">
        <v>0.4935405782872363</v>
      </c>
      <c r="Q3217">
        <v>1.0119796024112331</v>
      </c>
      <c r="R3217">
        <v>2.125480740075667</v>
      </c>
      <c r="S3217">
        <v>0.2154083002274631</v>
      </c>
      <c r="T3217">
        <v>0.16985353578340359</v>
      </c>
      <c r="U3217">
        <v>4.4179587365926656</v>
      </c>
      <c r="V3217">
        <v>0.21013472984942591</v>
      </c>
      <c r="W3217">
        <v>6.5963648658019469</v>
      </c>
      <c r="X3217">
        <v>0.3026970316222094</v>
      </c>
      <c r="Z3217" t="s">
        <v>392</v>
      </c>
      <c r="AA3217">
        <v>114</v>
      </c>
      <c r="AB3217" t="s">
        <v>3608</v>
      </c>
      <c r="AC3217" t="str">
        <f>HYPERLINK("plots/3FT6Y578R04_015_S21P_20251218081014_M5358ACSC201811_RBGEUFRF04/dpll_52046/txpa_54207.png","plot")</f>
        <v>plot</v>
      </c>
    </row>
    <row r="3218" spans="1:29" x14ac:dyDescent="0.35">
      <c r="A3218" s="4" t="s">
        <v>49</v>
      </c>
      <c r="B3218">
        <v>52046</v>
      </c>
      <c r="C3218" t="s">
        <v>51</v>
      </c>
      <c r="D3218">
        <v>54208</v>
      </c>
      <c r="E3218" t="s">
        <v>228</v>
      </c>
      <c r="F3218">
        <v>12028</v>
      </c>
      <c r="G3218">
        <v>0.707918460754694</v>
      </c>
      <c r="H3218">
        <v>0</v>
      </c>
      <c r="I3218">
        <v>0</v>
      </c>
      <c r="J3218">
        <v>0.6423733052771885</v>
      </c>
      <c r="K3218">
        <v>0</v>
      </c>
      <c r="L3218">
        <v>0</v>
      </c>
      <c r="M3218">
        <v>0.46184843786094731</v>
      </c>
      <c r="N3218">
        <v>0</v>
      </c>
      <c r="O3218">
        <v>0</v>
      </c>
      <c r="P3218">
        <v>0.50114854707729528</v>
      </c>
      <c r="Q3218">
        <v>1.0320052993498361</v>
      </c>
      <c r="R3218">
        <v>2.0518451598341771</v>
      </c>
      <c r="S3218">
        <v>0.2163676451330053</v>
      </c>
      <c r="T3218">
        <v>0.16974689082554209</v>
      </c>
      <c r="U3218">
        <v>4.4179867093448619</v>
      </c>
      <c r="V3218">
        <v>0.2101483876699779</v>
      </c>
      <c r="W3218">
        <v>6.6112308563352187</v>
      </c>
      <c r="X3218">
        <v>0.3063548441638842</v>
      </c>
      <c r="Z3218" t="s">
        <v>392</v>
      </c>
      <c r="AA3218">
        <v>114</v>
      </c>
      <c r="AB3218" t="s">
        <v>3609</v>
      </c>
      <c r="AC3218" t="str">
        <f>HYPERLINK("plots/3FT6Y578R04_015_S21P_20251218081014_M5358ACSC201811_RBGEUFRF04/dpll_52046/txpa_54208.png","plot")</f>
        <v>plot</v>
      </c>
    </row>
    <row r="3219" spans="1:29" x14ac:dyDescent="0.35">
      <c r="A3219" s="4" t="s">
        <v>49</v>
      </c>
      <c r="B3219">
        <v>52046</v>
      </c>
      <c r="C3219" t="s">
        <v>51</v>
      </c>
      <c r="D3219">
        <v>54209</v>
      </c>
      <c r="E3219" t="s">
        <v>229</v>
      </c>
      <c r="F3219">
        <v>12028</v>
      </c>
      <c r="G3219">
        <v>0.70561075491361747</v>
      </c>
      <c r="H3219">
        <v>0</v>
      </c>
      <c r="I3219">
        <v>0</v>
      </c>
      <c r="J3219">
        <v>0.6337363372696585</v>
      </c>
      <c r="K3219">
        <v>0</v>
      </c>
      <c r="L3219">
        <v>0</v>
      </c>
      <c r="M3219">
        <v>0.45399877816257522</v>
      </c>
      <c r="N3219">
        <v>0</v>
      </c>
      <c r="O3219">
        <v>0</v>
      </c>
      <c r="P3219">
        <v>0.49788653744976508</v>
      </c>
      <c r="Q3219">
        <v>1.0125097006178581</v>
      </c>
      <c r="R3219">
        <v>2.143001705091383</v>
      </c>
      <c r="S3219">
        <v>0.21366970087730339</v>
      </c>
      <c r="T3219">
        <v>0.16864419912165379</v>
      </c>
      <c r="U3219">
        <v>4.4179867093448619</v>
      </c>
      <c r="V3219">
        <v>0.2101483876699779</v>
      </c>
      <c r="W3219">
        <v>6.6162561055038234</v>
      </c>
      <c r="X3219">
        <v>0.30155050727805821</v>
      </c>
      <c r="Z3219" t="s">
        <v>392</v>
      </c>
      <c r="AA3219">
        <v>114</v>
      </c>
      <c r="AB3219" t="s">
        <v>3610</v>
      </c>
      <c r="AC3219" t="str">
        <f>HYPERLINK("plots/3FT6Y578R04_015_S21P_20251218081014_M5358ACSC201811_RBGEUFRF04/dpll_52046/txpa_54209.png","plot")</f>
        <v>plot</v>
      </c>
    </row>
    <row r="3220" spans="1:29" x14ac:dyDescent="0.35">
      <c r="A3220" s="4" t="s">
        <v>49</v>
      </c>
      <c r="B3220">
        <v>52046</v>
      </c>
      <c r="C3220" t="s">
        <v>51</v>
      </c>
      <c r="D3220">
        <v>54210</v>
      </c>
      <c r="E3220" t="s">
        <v>230</v>
      </c>
      <c r="F3220">
        <v>12027</v>
      </c>
      <c r="G3220">
        <v>0.69865036245181489</v>
      </c>
      <c r="H3220">
        <v>0</v>
      </c>
      <c r="I3220">
        <v>0</v>
      </c>
      <c r="J3220">
        <v>0.62809002153748006</v>
      </c>
      <c r="K3220">
        <v>0</v>
      </c>
      <c r="L3220">
        <v>0</v>
      </c>
      <c r="M3220">
        <v>0.45052256668234147</v>
      </c>
      <c r="N3220">
        <v>0</v>
      </c>
      <c r="O3220">
        <v>0</v>
      </c>
      <c r="P3220">
        <v>0.48811232895405232</v>
      </c>
      <c r="Q3220">
        <v>1.011822196642038</v>
      </c>
      <c r="R3220">
        <v>2.1090762970452319</v>
      </c>
      <c r="S3220">
        <v>0.21773352272105501</v>
      </c>
      <c r="T3220">
        <v>0.17038194352786859</v>
      </c>
      <c r="U3220">
        <v>4.418010118566559</v>
      </c>
      <c r="V3220">
        <v>0.21014144114715341</v>
      </c>
      <c r="W3220">
        <v>6.5793169999999996</v>
      </c>
      <c r="X3220">
        <v>0.30433788632250358</v>
      </c>
      <c r="Z3220" t="s">
        <v>392</v>
      </c>
      <c r="AA3220">
        <v>114</v>
      </c>
      <c r="AB3220" t="s">
        <v>3611</v>
      </c>
      <c r="AC3220" t="str">
        <f>HYPERLINK("plots/3FT6Y578R04_015_S21P_20251218081014_M5358ACSC201811_RBGEUFRF04/dpll_52046/txpa_54210.png","plot")</f>
        <v>plot</v>
      </c>
    </row>
    <row r="3221" spans="1:29" x14ac:dyDescent="0.35">
      <c r="A3221" s="4" t="s">
        <v>49</v>
      </c>
      <c r="B3221">
        <v>52046</v>
      </c>
      <c r="C3221" t="s">
        <v>51</v>
      </c>
      <c r="D3221">
        <v>54211</v>
      </c>
      <c r="E3221" t="s">
        <v>231</v>
      </c>
      <c r="F3221">
        <v>12028</v>
      </c>
      <c r="G3221">
        <v>0.69246135043909907</v>
      </c>
      <c r="H3221">
        <v>0</v>
      </c>
      <c r="I3221">
        <v>0</v>
      </c>
      <c r="J3221">
        <v>0.6312812758644043</v>
      </c>
      <c r="K3221">
        <v>0</v>
      </c>
      <c r="L3221">
        <v>0</v>
      </c>
      <c r="M3221">
        <v>0.45103610142050221</v>
      </c>
      <c r="N3221">
        <v>0</v>
      </c>
      <c r="O3221">
        <v>0</v>
      </c>
      <c r="P3221">
        <v>0.47950272185194082</v>
      </c>
      <c r="Q3221">
        <v>1.035604543767277</v>
      </c>
      <c r="R3221">
        <v>3.0634418850094951</v>
      </c>
      <c r="S3221">
        <v>0.2267334771476657</v>
      </c>
      <c r="T3221">
        <v>0.17461393012999901</v>
      </c>
      <c r="U3221">
        <v>4.4179867093448619</v>
      </c>
      <c r="V3221">
        <v>0.2101483876699779</v>
      </c>
      <c r="W3221">
        <v>7.6387289955104754</v>
      </c>
      <c r="X3221">
        <v>0.31428559153286162</v>
      </c>
      <c r="Z3221" t="s">
        <v>392</v>
      </c>
      <c r="AA3221">
        <v>114</v>
      </c>
      <c r="AB3221" t="s">
        <v>3612</v>
      </c>
      <c r="AC3221" t="str">
        <f>HYPERLINK("plots/3FT6Y578R04_015_S21P_20251218081014_M5358ACSC201811_RBGEUFRF04/dpll_52046/txpa_54211.png","plot")</f>
        <v>plot</v>
      </c>
    </row>
    <row r="3222" spans="1:29" x14ac:dyDescent="0.35">
      <c r="A3222" s="4" t="s">
        <v>49</v>
      </c>
      <c r="B3222">
        <v>52046</v>
      </c>
      <c r="C3222" t="s">
        <v>51</v>
      </c>
      <c r="D3222">
        <v>54212</v>
      </c>
      <c r="E3222" t="s">
        <v>232</v>
      </c>
      <c r="F3222">
        <v>12028</v>
      </c>
      <c r="G3222">
        <v>0.71201847916898642</v>
      </c>
      <c r="H3222">
        <v>0</v>
      </c>
      <c r="I3222">
        <v>0</v>
      </c>
      <c r="J3222">
        <v>0.64411056191478178</v>
      </c>
      <c r="K3222">
        <v>0</v>
      </c>
      <c r="L3222">
        <v>0</v>
      </c>
      <c r="M3222">
        <v>0.46368820463373739</v>
      </c>
      <c r="N3222">
        <v>0</v>
      </c>
      <c r="O3222">
        <v>0</v>
      </c>
      <c r="P3222">
        <v>0.50697031467811637</v>
      </c>
      <c r="Q3222">
        <v>1.066593105150873</v>
      </c>
      <c r="R3222">
        <v>2.955227626406344</v>
      </c>
      <c r="S3222">
        <v>0.22103042020653951</v>
      </c>
      <c r="T3222">
        <v>0.17284523993727921</v>
      </c>
      <c r="U3222">
        <v>4.4179867093448619</v>
      </c>
      <c r="V3222">
        <v>0.2101483876699779</v>
      </c>
      <c r="W3222">
        <v>7.6674217892417689</v>
      </c>
      <c r="X3222">
        <v>0.31479916309050521</v>
      </c>
      <c r="Z3222" t="s">
        <v>392</v>
      </c>
      <c r="AA3222">
        <v>114</v>
      </c>
      <c r="AB3222" t="s">
        <v>3613</v>
      </c>
      <c r="AC3222" t="str">
        <f>HYPERLINK("plots/3FT6Y578R04_015_S21P_20251218081014_M5358ACSC201811_RBGEUFRF04/dpll_52046/txpa_54212.png","plot")</f>
        <v>plot</v>
      </c>
    </row>
    <row r="3223" spans="1:29" x14ac:dyDescent="0.35">
      <c r="A3223" s="4" t="s">
        <v>49</v>
      </c>
      <c r="B3223">
        <v>52046</v>
      </c>
      <c r="C3223" t="s">
        <v>51</v>
      </c>
      <c r="D3223">
        <v>54213</v>
      </c>
      <c r="E3223" t="s">
        <v>233</v>
      </c>
      <c r="F3223">
        <v>12028</v>
      </c>
      <c r="G3223">
        <v>0.70131824187167735</v>
      </c>
      <c r="H3223">
        <v>0</v>
      </c>
      <c r="I3223">
        <v>0</v>
      </c>
      <c r="J3223">
        <v>0.63295510174603531</v>
      </c>
      <c r="K3223">
        <v>0</v>
      </c>
      <c r="L3223">
        <v>0</v>
      </c>
      <c r="M3223">
        <v>0.45368487523870088</v>
      </c>
      <c r="N3223">
        <v>0</v>
      </c>
      <c r="O3223">
        <v>0</v>
      </c>
      <c r="P3223">
        <v>0.49184727638198061</v>
      </c>
      <c r="Q3223">
        <v>1.034025072026219</v>
      </c>
      <c r="R3223">
        <v>3.1128045893910952</v>
      </c>
      <c r="S3223">
        <v>0.22086203568009111</v>
      </c>
      <c r="T3223">
        <v>0.17159318276992599</v>
      </c>
      <c r="U3223">
        <v>4.4179867093448619</v>
      </c>
      <c r="V3223">
        <v>0.2101483876699779</v>
      </c>
      <c r="W3223">
        <v>7.6811136147322916</v>
      </c>
      <c r="X3223">
        <v>0.30984321913075591</v>
      </c>
      <c r="Z3223" t="s">
        <v>392</v>
      </c>
      <c r="AA3223">
        <v>114</v>
      </c>
      <c r="AB3223" t="s">
        <v>3614</v>
      </c>
      <c r="AC3223" t="str">
        <f>HYPERLINK("plots/3FT6Y578R04_015_S21P_20251218081014_M5358ACSC201811_RBGEUFRF04/dpll_52046/txpa_54213.png","plot")</f>
        <v>plot</v>
      </c>
    </row>
    <row r="3224" spans="1:29" x14ac:dyDescent="0.35">
      <c r="A3224" s="4" t="s">
        <v>49</v>
      </c>
      <c r="B3224">
        <v>52046</v>
      </c>
      <c r="C3224" t="s">
        <v>51</v>
      </c>
      <c r="D3224">
        <v>54214</v>
      </c>
      <c r="E3224" t="s">
        <v>234</v>
      </c>
      <c r="F3224">
        <v>12027</v>
      </c>
      <c r="G3224">
        <v>0.71814973302930751</v>
      </c>
      <c r="H3224">
        <v>0</v>
      </c>
      <c r="I3224">
        <v>0</v>
      </c>
      <c r="J3224">
        <v>0.64622010574240674</v>
      </c>
      <c r="K3224">
        <v>0</v>
      </c>
      <c r="L3224">
        <v>0</v>
      </c>
      <c r="M3224">
        <v>0.4656603108907128</v>
      </c>
      <c r="N3224">
        <v>0</v>
      </c>
      <c r="O3224">
        <v>0</v>
      </c>
      <c r="P3224">
        <v>0.51573903905006568</v>
      </c>
      <c r="Q3224">
        <v>1.0688518381816401</v>
      </c>
      <c r="R3224">
        <v>2.960176674583177</v>
      </c>
      <c r="S3224">
        <v>0.2176527468712732</v>
      </c>
      <c r="T3224">
        <v>0.17036539387580149</v>
      </c>
      <c r="U3224">
        <v>4.417995080651866</v>
      </c>
      <c r="V3224">
        <v>0.21015511914181201</v>
      </c>
      <c r="W3224">
        <v>7.6823588376153653</v>
      </c>
      <c r="X3224">
        <v>0.31278252301298343</v>
      </c>
      <c r="Z3224" t="s">
        <v>392</v>
      </c>
      <c r="AA3224">
        <v>114</v>
      </c>
      <c r="AB3224" t="s">
        <v>3615</v>
      </c>
      <c r="AC3224" t="str">
        <f>HYPERLINK("plots/3FT6Y578R04_015_S21P_20251218081014_M5358ACSC201811_RBGEUFRF04/dpll_52046/txpa_54214.png","plot")</f>
        <v>plot</v>
      </c>
    </row>
    <row r="3225" spans="1:29" x14ac:dyDescent="0.35">
      <c r="A3225" s="4" t="s">
        <v>49</v>
      </c>
      <c r="B3225">
        <v>52046</v>
      </c>
      <c r="C3225" t="s">
        <v>51</v>
      </c>
      <c r="D3225">
        <v>54215</v>
      </c>
      <c r="E3225" t="s">
        <v>235</v>
      </c>
      <c r="F3225">
        <v>12027</v>
      </c>
      <c r="G3225">
        <v>0.71707754916431721</v>
      </c>
      <c r="H3225">
        <v>0</v>
      </c>
      <c r="I3225">
        <v>0</v>
      </c>
      <c r="J3225">
        <v>0.63956181714672578</v>
      </c>
      <c r="K3225">
        <v>0</v>
      </c>
      <c r="L3225">
        <v>0</v>
      </c>
      <c r="M3225">
        <v>0.45827968399788838</v>
      </c>
      <c r="N3225">
        <v>0</v>
      </c>
      <c r="O3225">
        <v>0</v>
      </c>
      <c r="P3225">
        <v>0.51420021151550377</v>
      </c>
      <c r="Q3225">
        <v>1.0600443813140821</v>
      </c>
      <c r="R3225">
        <v>2.9816409457644082</v>
      </c>
      <c r="S3225">
        <v>0.2165042190458428</v>
      </c>
      <c r="T3225">
        <v>0.17037961993403339</v>
      </c>
      <c r="U3225">
        <v>4.4179587365926656</v>
      </c>
      <c r="V3225">
        <v>0.21013472984942591</v>
      </c>
      <c r="W3225">
        <v>7.6648732813669236</v>
      </c>
      <c r="X3225">
        <v>0.31063884227784272</v>
      </c>
      <c r="Z3225" t="s">
        <v>392</v>
      </c>
      <c r="AA3225">
        <v>114</v>
      </c>
      <c r="AB3225" t="s">
        <v>3616</v>
      </c>
      <c r="AC3225" t="str">
        <f>HYPERLINK("plots/3FT6Y578R04_015_S21P_20251218081014_M5358ACSC201811_RBGEUFRF04/dpll_52046/txpa_54215.png","plot")</f>
        <v>plot</v>
      </c>
    </row>
    <row r="3226" spans="1:29" x14ac:dyDescent="0.35">
      <c r="A3226" s="4" t="s">
        <v>49</v>
      </c>
      <c r="B3226">
        <v>52046</v>
      </c>
      <c r="C3226" t="s">
        <v>51</v>
      </c>
      <c r="D3226">
        <v>54216</v>
      </c>
      <c r="E3226" t="s">
        <v>236</v>
      </c>
      <c r="F3226">
        <v>12028</v>
      </c>
      <c r="G3226">
        <v>0.72168585502395022</v>
      </c>
      <c r="H3226">
        <v>0</v>
      </c>
      <c r="I3226">
        <v>0</v>
      </c>
      <c r="J3226">
        <v>0.65336967574604832</v>
      </c>
      <c r="K3226">
        <v>0</v>
      </c>
      <c r="L3226">
        <v>0</v>
      </c>
      <c r="M3226">
        <v>0.4713393697232538</v>
      </c>
      <c r="N3226">
        <v>0</v>
      </c>
      <c r="O3226">
        <v>0</v>
      </c>
      <c r="P3226">
        <v>0.52083047334165011</v>
      </c>
      <c r="Q3226">
        <v>1.0790605153245529</v>
      </c>
      <c r="R3226">
        <v>2.9129270673578138</v>
      </c>
      <c r="S3226">
        <v>0.21749546778525941</v>
      </c>
      <c r="T3226">
        <v>0.1703030112924504</v>
      </c>
      <c r="U3226">
        <v>4.4179867093448619</v>
      </c>
      <c r="V3226">
        <v>0.2101483876699779</v>
      </c>
      <c r="W3226">
        <v>7.6802020826405064</v>
      </c>
      <c r="X3226">
        <v>0.31421265349071431</v>
      </c>
      <c r="Z3226" t="s">
        <v>392</v>
      </c>
      <c r="AA3226">
        <v>114</v>
      </c>
      <c r="AB3226" t="s">
        <v>3617</v>
      </c>
      <c r="AC3226" t="str">
        <f>HYPERLINK("plots/3FT6Y578R04_015_S21P_20251218081014_M5358ACSC201811_RBGEUFRF04/dpll_52046/txpa_54216.png","plot")</f>
        <v>plot</v>
      </c>
    </row>
    <row r="3227" spans="1:29" x14ac:dyDescent="0.35">
      <c r="A3227" s="4" t="s">
        <v>49</v>
      </c>
      <c r="B3227">
        <v>52046</v>
      </c>
      <c r="C3227" t="s">
        <v>51</v>
      </c>
      <c r="D3227">
        <v>54217</v>
      </c>
      <c r="E3227" t="s">
        <v>237</v>
      </c>
      <c r="F3227">
        <v>12028</v>
      </c>
      <c r="G3227">
        <v>0.72018133905783854</v>
      </c>
      <c r="H3227">
        <v>0</v>
      </c>
      <c r="I3227">
        <v>0</v>
      </c>
      <c r="J3227">
        <v>0.6454153294547591</v>
      </c>
      <c r="K3227">
        <v>0</v>
      </c>
      <c r="L3227">
        <v>0</v>
      </c>
      <c r="M3227">
        <v>0.46394106691178633</v>
      </c>
      <c r="N3227">
        <v>0</v>
      </c>
      <c r="O3227">
        <v>0</v>
      </c>
      <c r="P3227">
        <v>0.51866116112714145</v>
      </c>
      <c r="Q3227">
        <v>1.060578444182263</v>
      </c>
      <c r="R3227">
        <v>3.0002314011011051</v>
      </c>
      <c r="S3227">
        <v>0.2147011611002862</v>
      </c>
      <c r="T3227">
        <v>0.16912305300149469</v>
      </c>
      <c r="U3227">
        <v>4.4179867093448619</v>
      </c>
      <c r="V3227">
        <v>0.2101483876699779</v>
      </c>
      <c r="W3227">
        <v>7.685852871715996</v>
      </c>
      <c r="X3227">
        <v>0.30947601382453582</v>
      </c>
      <c r="Z3227" t="s">
        <v>392</v>
      </c>
      <c r="AA3227">
        <v>114</v>
      </c>
      <c r="AB3227" t="s">
        <v>3618</v>
      </c>
      <c r="AC3227" t="str">
        <f>HYPERLINK("plots/3FT6Y578R04_015_S21P_20251218081014_M5358ACSC201811_RBGEUFRF04/dpll_52046/txpa_54217.png","plot")</f>
        <v>plot</v>
      </c>
    </row>
    <row r="3228" spans="1:29" x14ac:dyDescent="0.35">
      <c r="A3228" s="4" t="s">
        <v>49</v>
      </c>
      <c r="B3228">
        <v>52046</v>
      </c>
      <c r="C3228" t="s">
        <v>51</v>
      </c>
      <c r="D3228">
        <v>54218</v>
      </c>
      <c r="E3228" t="s">
        <v>238</v>
      </c>
      <c r="F3228">
        <v>12027</v>
      </c>
      <c r="G3228">
        <v>0.71314669876861059</v>
      </c>
      <c r="H3228">
        <v>0</v>
      </c>
      <c r="I3228">
        <v>0</v>
      </c>
      <c r="J3228">
        <v>0.63977572897186119</v>
      </c>
      <c r="K3228">
        <v>0</v>
      </c>
      <c r="L3228">
        <v>0</v>
      </c>
      <c r="M3228">
        <v>0.46036244957376937</v>
      </c>
      <c r="N3228">
        <v>0</v>
      </c>
      <c r="O3228">
        <v>0</v>
      </c>
      <c r="P3228">
        <v>0.50857821396456737</v>
      </c>
      <c r="Q3228">
        <v>1.0589456847886869</v>
      </c>
      <c r="R3228">
        <v>2.9711811231257359</v>
      </c>
      <c r="S3228">
        <v>0.21873368138003851</v>
      </c>
      <c r="T3228">
        <v>0.17085823614525369</v>
      </c>
      <c r="U3228">
        <v>4.418010118566559</v>
      </c>
      <c r="V3228">
        <v>0.21014144114715341</v>
      </c>
      <c r="W3228">
        <v>7.6496138735345474</v>
      </c>
      <c r="X3228">
        <v>0.31203730267880858</v>
      </c>
      <c r="Z3228" t="s">
        <v>392</v>
      </c>
      <c r="AA3228">
        <v>114</v>
      </c>
      <c r="AB3228" t="s">
        <v>3619</v>
      </c>
      <c r="AC3228" t="str">
        <f>HYPERLINK("plots/3FT6Y578R04_015_S21P_20251218081014_M5358ACSC201811_RBGEUFRF04/dpll_52046/txpa_54218.png","plot")</f>
        <v>plot</v>
      </c>
    </row>
    <row r="3229" spans="1:29" x14ac:dyDescent="0.35">
      <c r="A3229" s="4" t="s">
        <v>49</v>
      </c>
      <c r="B3229">
        <v>52046</v>
      </c>
      <c r="C3229" t="s">
        <v>51</v>
      </c>
      <c r="D3229">
        <v>54219</v>
      </c>
      <c r="E3229" t="s">
        <v>239</v>
      </c>
      <c r="F3229">
        <v>12028</v>
      </c>
      <c r="G3229">
        <v>0.70940805337158563</v>
      </c>
      <c r="H3229">
        <v>0</v>
      </c>
      <c r="I3229">
        <v>0</v>
      </c>
      <c r="J3229">
        <v>0.64433219268792941</v>
      </c>
      <c r="K3229">
        <v>0</v>
      </c>
      <c r="L3229">
        <v>0</v>
      </c>
      <c r="M3229">
        <v>0.46208169201223309</v>
      </c>
      <c r="N3229">
        <v>0</v>
      </c>
      <c r="O3229">
        <v>0</v>
      </c>
      <c r="P3229">
        <v>0.50325978618846245</v>
      </c>
      <c r="Q3229">
        <v>1.0934313459324689</v>
      </c>
      <c r="R3229">
        <v>3.877569360638673</v>
      </c>
      <c r="S3229">
        <v>0.22828011019125161</v>
      </c>
      <c r="T3229">
        <v>0.17519633973711729</v>
      </c>
      <c r="U3229">
        <v>4.4179867093448619</v>
      </c>
      <c r="V3229">
        <v>0.2101483876699779</v>
      </c>
      <c r="W3229">
        <v>8.7083345145493851</v>
      </c>
      <c r="X3229">
        <v>0.32390784582080678</v>
      </c>
      <c r="Z3229" t="s">
        <v>392</v>
      </c>
      <c r="AA3229">
        <v>114</v>
      </c>
      <c r="AB3229" t="s">
        <v>3620</v>
      </c>
      <c r="AC3229" t="str">
        <f>HYPERLINK("plots/3FT6Y578R04_015_S21P_20251218081014_M5358ACSC201811_RBGEUFRF04/dpll_52046/txpa_54219.png","plot")</f>
        <v>plot</v>
      </c>
    </row>
    <row r="3230" spans="1:29" x14ac:dyDescent="0.35">
      <c r="A3230" s="4" t="s">
        <v>49</v>
      </c>
      <c r="B3230">
        <v>52046</v>
      </c>
      <c r="C3230" t="s">
        <v>51</v>
      </c>
      <c r="D3230">
        <v>54220</v>
      </c>
      <c r="E3230" t="s">
        <v>240</v>
      </c>
      <c r="F3230">
        <v>12028</v>
      </c>
      <c r="G3230">
        <v>0.72838234750346231</v>
      </c>
      <c r="H3230">
        <v>0</v>
      </c>
      <c r="I3230">
        <v>0</v>
      </c>
      <c r="J3230">
        <v>0.65688552341997564</v>
      </c>
      <c r="K3230">
        <v>0</v>
      </c>
      <c r="L3230">
        <v>0</v>
      </c>
      <c r="M3230">
        <v>0.47474155788741812</v>
      </c>
      <c r="N3230">
        <v>0</v>
      </c>
      <c r="O3230">
        <v>0</v>
      </c>
      <c r="P3230">
        <v>0.53054084415465452</v>
      </c>
      <c r="Q3230">
        <v>1.1248716899289311</v>
      </c>
      <c r="R3230">
        <v>3.765713014647921</v>
      </c>
      <c r="S3230">
        <v>0.22235683803906461</v>
      </c>
      <c r="T3230">
        <v>0.17343992710046269</v>
      </c>
      <c r="U3230">
        <v>4.4179867093448619</v>
      </c>
      <c r="V3230">
        <v>0.2101483876699779</v>
      </c>
      <c r="W3230">
        <v>8.735381190472232</v>
      </c>
      <c r="X3230">
        <v>0.32454105015641471</v>
      </c>
      <c r="Z3230" t="s">
        <v>392</v>
      </c>
      <c r="AA3230">
        <v>114</v>
      </c>
      <c r="AB3230" t="s">
        <v>3621</v>
      </c>
      <c r="AC3230" t="str">
        <f>HYPERLINK("plots/3FT6Y578R04_015_S21P_20251218081014_M5358ACSC201811_RBGEUFRF04/dpll_52046/txpa_54220.png","plot")</f>
        <v>plot</v>
      </c>
    </row>
    <row r="3231" spans="1:29" x14ac:dyDescent="0.35">
      <c r="A3231" s="4" t="s">
        <v>49</v>
      </c>
      <c r="B3231">
        <v>52046</v>
      </c>
      <c r="C3231" t="s">
        <v>51</v>
      </c>
      <c r="D3231">
        <v>54221</v>
      </c>
      <c r="E3231" t="s">
        <v>241</v>
      </c>
      <c r="F3231">
        <v>12028</v>
      </c>
      <c r="G3231">
        <v>0.71837868135206739</v>
      </c>
      <c r="H3231">
        <v>0</v>
      </c>
      <c r="I3231">
        <v>0</v>
      </c>
      <c r="J3231">
        <v>0.64616447293905821</v>
      </c>
      <c r="K3231">
        <v>0</v>
      </c>
      <c r="L3231">
        <v>0</v>
      </c>
      <c r="M3231">
        <v>0.46493812938411411</v>
      </c>
      <c r="N3231">
        <v>0</v>
      </c>
      <c r="O3231">
        <v>0</v>
      </c>
      <c r="P3231">
        <v>0.51606792982113514</v>
      </c>
      <c r="Q3231">
        <v>1.092009118471083</v>
      </c>
      <c r="R3231">
        <v>3.9246792152247578</v>
      </c>
      <c r="S3231">
        <v>0.22221482994315511</v>
      </c>
      <c r="T3231">
        <v>0.17203316707207689</v>
      </c>
      <c r="U3231">
        <v>4.4179867093448619</v>
      </c>
      <c r="V3231">
        <v>0.2101483876699779</v>
      </c>
      <c r="W3231">
        <v>8.7491609871134024</v>
      </c>
      <c r="X3231">
        <v>0.31944705699742931</v>
      </c>
      <c r="Z3231" t="s">
        <v>392</v>
      </c>
      <c r="AA3231">
        <v>114</v>
      </c>
      <c r="AB3231" t="s">
        <v>3622</v>
      </c>
      <c r="AC3231" t="str">
        <f>HYPERLINK("plots/3FT6Y578R04_015_S21P_20251218081014_M5358ACSC201811_RBGEUFRF04/dpll_52046/txpa_54221.png","plot")</f>
        <v>plot</v>
      </c>
    </row>
    <row r="3232" spans="1:29" x14ac:dyDescent="0.35">
      <c r="A3232" s="4" t="s">
        <v>49</v>
      </c>
      <c r="B3232">
        <v>52046</v>
      </c>
      <c r="C3232" t="s">
        <v>51</v>
      </c>
      <c r="D3232">
        <v>54222</v>
      </c>
      <c r="E3232" t="s">
        <v>242</v>
      </c>
      <c r="F3232">
        <v>12027</v>
      </c>
      <c r="G3232">
        <v>0.73416798406402517</v>
      </c>
      <c r="H3232">
        <v>0</v>
      </c>
      <c r="I3232">
        <v>0</v>
      </c>
      <c r="J3232">
        <v>0.65876585224898099</v>
      </c>
      <c r="K3232">
        <v>0</v>
      </c>
      <c r="L3232">
        <v>0</v>
      </c>
      <c r="M3232">
        <v>0.47645688338703801</v>
      </c>
      <c r="N3232">
        <v>0</v>
      </c>
      <c r="O3232">
        <v>0</v>
      </c>
      <c r="P3232">
        <v>0.53900262882463468</v>
      </c>
      <c r="Q3232">
        <v>1.126158746780054</v>
      </c>
      <c r="R3232">
        <v>3.77437776275235</v>
      </c>
      <c r="S3232">
        <v>0.21886449514492581</v>
      </c>
      <c r="T3232">
        <v>0.17094391108162549</v>
      </c>
      <c r="U3232">
        <v>4.417995080651866</v>
      </c>
      <c r="V3232">
        <v>0.21015511914181201</v>
      </c>
      <c r="W3232">
        <v>8.7497415660597007</v>
      </c>
      <c r="X3232">
        <v>0.32236222600183118</v>
      </c>
      <c r="Z3232" t="s">
        <v>392</v>
      </c>
      <c r="AA3232">
        <v>114</v>
      </c>
      <c r="AB3232" t="s">
        <v>3623</v>
      </c>
      <c r="AC3232" t="str">
        <f>HYPERLINK("plots/3FT6Y578R04_015_S21P_20251218081014_M5358ACSC201811_RBGEUFRF04/dpll_52046/txpa_54222.png","plot")</f>
        <v>plot</v>
      </c>
    </row>
    <row r="3233" spans="1:29" x14ac:dyDescent="0.35">
      <c r="A3233" s="4" t="s">
        <v>49</v>
      </c>
      <c r="B3233">
        <v>52046</v>
      </c>
      <c r="C3233" t="s">
        <v>51</v>
      </c>
      <c r="D3233">
        <v>54223</v>
      </c>
      <c r="E3233" t="s">
        <v>243</v>
      </c>
      <c r="F3233">
        <v>12027</v>
      </c>
      <c r="G3233">
        <v>0.73340094291587576</v>
      </c>
      <c r="H3233">
        <v>0</v>
      </c>
      <c r="I3233">
        <v>0</v>
      </c>
      <c r="J3233">
        <v>0.65209440821681364</v>
      </c>
      <c r="K3233">
        <v>0</v>
      </c>
      <c r="L3233">
        <v>0</v>
      </c>
      <c r="M3233">
        <v>0.46893441509582351</v>
      </c>
      <c r="N3233">
        <v>0</v>
      </c>
      <c r="O3233">
        <v>0</v>
      </c>
      <c r="P3233">
        <v>0.53787694306989564</v>
      </c>
      <c r="Q3233">
        <v>1.1178363067627131</v>
      </c>
      <c r="R3233">
        <v>3.793201479437323</v>
      </c>
      <c r="S3233">
        <v>0.21771850636948531</v>
      </c>
      <c r="T3233">
        <v>0.1708798875541826</v>
      </c>
      <c r="U3233">
        <v>4.4179587365926656</v>
      </c>
      <c r="V3233">
        <v>0.21013472984942591</v>
      </c>
      <c r="W3233">
        <v>8.7317561569801292</v>
      </c>
      <c r="X3233">
        <v>0.32028351286753942</v>
      </c>
      <c r="Z3233" t="s">
        <v>392</v>
      </c>
      <c r="AA3233">
        <v>114</v>
      </c>
      <c r="AB3233" t="s">
        <v>3624</v>
      </c>
      <c r="AC3233" t="str">
        <f>HYPERLINK("plots/3FT6Y578R04_015_S21P_20251218081014_M5358ACSC201811_RBGEUFRF04/dpll_52046/txpa_54223.png","plot")</f>
        <v>plot</v>
      </c>
    </row>
    <row r="3234" spans="1:29" x14ac:dyDescent="0.35">
      <c r="A3234" s="4" t="s">
        <v>49</v>
      </c>
      <c r="B3234">
        <v>52046</v>
      </c>
      <c r="C3234" t="s">
        <v>51</v>
      </c>
      <c r="D3234">
        <v>54224</v>
      </c>
      <c r="E3234" t="s">
        <v>244</v>
      </c>
      <c r="F3234">
        <v>12028</v>
      </c>
      <c r="G3234">
        <v>0.73740348862658467</v>
      </c>
      <c r="H3234">
        <v>0</v>
      </c>
      <c r="I3234">
        <v>0</v>
      </c>
      <c r="J3234">
        <v>0.66570544830915612</v>
      </c>
      <c r="K3234">
        <v>0</v>
      </c>
      <c r="L3234">
        <v>0</v>
      </c>
      <c r="M3234">
        <v>0.48202995932293963</v>
      </c>
      <c r="N3234">
        <v>0</v>
      </c>
      <c r="O3234">
        <v>0</v>
      </c>
      <c r="P3234">
        <v>0.54376390503865757</v>
      </c>
      <c r="Q3234">
        <v>1.136789803053744</v>
      </c>
      <c r="R3234">
        <v>3.725514811749556</v>
      </c>
      <c r="S3234">
        <v>0.21881536284234571</v>
      </c>
      <c r="T3234">
        <v>0.1708405767754779</v>
      </c>
      <c r="U3234">
        <v>4.4179867093448619</v>
      </c>
      <c r="V3234">
        <v>0.2101483876699779</v>
      </c>
      <c r="W3234">
        <v>8.7478370529597598</v>
      </c>
      <c r="X3234">
        <v>0.32396720101820742</v>
      </c>
      <c r="Z3234" t="s">
        <v>392</v>
      </c>
      <c r="AA3234">
        <v>114</v>
      </c>
      <c r="AB3234" t="s">
        <v>3625</v>
      </c>
      <c r="AC3234" t="str">
        <f>HYPERLINK("plots/3FT6Y578R04_015_S21P_20251218081014_M5358ACSC201811_RBGEUFRF04/dpll_52046/txpa_54224.png","plot")</f>
        <v>plot</v>
      </c>
    </row>
    <row r="3235" spans="1:29" x14ac:dyDescent="0.35">
      <c r="A3235" s="4" t="s">
        <v>49</v>
      </c>
      <c r="B3235">
        <v>52046</v>
      </c>
      <c r="C3235" t="s">
        <v>51</v>
      </c>
      <c r="D3235">
        <v>54225</v>
      </c>
      <c r="E3235" t="s">
        <v>245</v>
      </c>
      <c r="F3235">
        <v>12028</v>
      </c>
      <c r="G3235">
        <v>0.73664178166943606</v>
      </c>
      <c r="H3235">
        <v>0</v>
      </c>
      <c r="I3235">
        <v>0</v>
      </c>
      <c r="J3235">
        <v>0.65803239512178846</v>
      </c>
      <c r="K3235">
        <v>0</v>
      </c>
      <c r="L3235">
        <v>0</v>
      </c>
      <c r="M3235">
        <v>0.47485918354030721</v>
      </c>
      <c r="N3235">
        <v>0</v>
      </c>
      <c r="O3235">
        <v>0</v>
      </c>
      <c r="P3235">
        <v>0.54264111450112107</v>
      </c>
      <c r="Q3235">
        <v>1.118828914027487</v>
      </c>
      <c r="R3235">
        <v>3.8109699153581729</v>
      </c>
      <c r="S3235">
        <v>0.2158459488278634</v>
      </c>
      <c r="T3235">
        <v>0.1695762736023233</v>
      </c>
      <c r="U3235">
        <v>4.4179867093448619</v>
      </c>
      <c r="V3235">
        <v>0.2101483876699779</v>
      </c>
      <c r="W3235">
        <v>8.7539411875623561</v>
      </c>
      <c r="X3235">
        <v>0.31917832820802122</v>
      </c>
      <c r="Z3235" t="s">
        <v>392</v>
      </c>
      <c r="AA3235">
        <v>114</v>
      </c>
      <c r="AB3235" t="s">
        <v>3626</v>
      </c>
      <c r="AC3235" t="str">
        <f>HYPERLINK("plots/3FT6Y578R04_015_S21P_20251218081014_M5358ACSC201811_RBGEUFRF04/dpll_52046/txpa_54225.png","plot")</f>
        <v>plot</v>
      </c>
    </row>
    <row r="3236" spans="1:29" x14ac:dyDescent="0.35">
      <c r="A3236" s="4" t="s">
        <v>49</v>
      </c>
      <c r="B3236">
        <v>52046</v>
      </c>
      <c r="C3236" t="s">
        <v>51</v>
      </c>
      <c r="D3236">
        <v>54226</v>
      </c>
      <c r="E3236" t="s">
        <v>246</v>
      </c>
      <c r="F3236">
        <v>12027</v>
      </c>
      <c r="G3236">
        <v>0.72933549304714951</v>
      </c>
      <c r="H3236">
        <v>0</v>
      </c>
      <c r="I3236">
        <v>0</v>
      </c>
      <c r="J3236">
        <v>0.651933453713053</v>
      </c>
      <c r="K3236">
        <v>0</v>
      </c>
      <c r="L3236">
        <v>0</v>
      </c>
      <c r="M3236">
        <v>0.4706584174954237</v>
      </c>
      <c r="N3236">
        <v>0</v>
      </c>
      <c r="O3236">
        <v>0</v>
      </c>
      <c r="P3236">
        <v>0.53193026141832866</v>
      </c>
      <c r="Q3236">
        <v>1.1156409443525619</v>
      </c>
      <c r="R3236">
        <v>3.790512308262755</v>
      </c>
      <c r="S3236">
        <v>0.21991053157979129</v>
      </c>
      <c r="T3236">
        <v>0.1713168056925379</v>
      </c>
      <c r="U3236">
        <v>4.418010118566559</v>
      </c>
      <c r="V3236">
        <v>0.21014144114715341</v>
      </c>
      <c r="W3236">
        <v>8.7194252890995259</v>
      </c>
      <c r="X3236">
        <v>0.32144657442835101</v>
      </c>
      <c r="Z3236" t="s">
        <v>392</v>
      </c>
      <c r="AA3236">
        <v>114</v>
      </c>
      <c r="AB3236" t="s">
        <v>3627</v>
      </c>
      <c r="AC3236" t="str">
        <f>HYPERLINK("plots/3FT6Y578R04_015_S21P_20251218081014_M5358ACSC201811_RBGEUFRF04/dpll_52046/txpa_54226.png","plot")</f>
        <v>plot</v>
      </c>
    </row>
    <row r="3237" spans="1:29" x14ac:dyDescent="0.35">
      <c r="A3237" s="4" t="s">
        <v>49</v>
      </c>
      <c r="B3237">
        <v>52046</v>
      </c>
      <c r="C3237" t="s">
        <v>51</v>
      </c>
      <c r="D3237">
        <v>54227</v>
      </c>
      <c r="E3237" t="s">
        <v>247</v>
      </c>
      <c r="F3237">
        <v>12028</v>
      </c>
      <c r="G3237">
        <v>0.71512603237596928</v>
      </c>
      <c r="H3237">
        <v>0</v>
      </c>
      <c r="I3237">
        <v>0</v>
      </c>
      <c r="J3237">
        <v>0.64843881429125316</v>
      </c>
      <c r="K3237">
        <v>0</v>
      </c>
      <c r="L3237">
        <v>0</v>
      </c>
      <c r="M3237">
        <v>0.46558468254383217</v>
      </c>
      <c r="N3237">
        <v>0</v>
      </c>
      <c r="O3237">
        <v>0</v>
      </c>
      <c r="P3237">
        <v>0.51140524218179584</v>
      </c>
      <c r="Q3237">
        <v>1.118497072245392</v>
      </c>
      <c r="R3237">
        <v>4.2964268869267732</v>
      </c>
      <c r="S3237">
        <v>0.22973897204450139</v>
      </c>
      <c r="T3237">
        <v>0.17601041774666371</v>
      </c>
      <c r="U3237">
        <v>4.4179867093448619</v>
      </c>
      <c r="V3237">
        <v>0.2101483876699779</v>
      </c>
      <c r="W3237">
        <v>9.2379320865480548</v>
      </c>
      <c r="X3237">
        <v>0.32868382034005578</v>
      </c>
      <c r="Z3237" t="s">
        <v>392</v>
      </c>
      <c r="AA3237">
        <v>114</v>
      </c>
      <c r="AB3237" t="s">
        <v>3628</v>
      </c>
      <c r="AC3237" t="str">
        <f>HYPERLINK("plots/3FT6Y578R04_015_S21P_20251218081014_M5358ACSC201811_RBGEUFRF04/dpll_52046/txpa_54227.png","plot")</f>
        <v>plot</v>
      </c>
    </row>
    <row r="3238" spans="1:29" x14ac:dyDescent="0.35">
      <c r="A3238" s="4" t="s">
        <v>49</v>
      </c>
      <c r="B3238">
        <v>52046</v>
      </c>
      <c r="C3238" t="s">
        <v>51</v>
      </c>
      <c r="D3238">
        <v>54228</v>
      </c>
      <c r="E3238" t="s">
        <v>248</v>
      </c>
      <c r="F3238">
        <v>12028</v>
      </c>
      <c r="G3238">
        <v>0.73354496688259385</v>
      </c>
      <c r="H3238">
        <v>0</v>
      </c>
      <c r="I3238">
        <v>0</v>
      </c>
      <c r="J3238">
        <v>0.66070858834042401</v>
      </c>
      <c r="K3238">
        <v>0</v>
      </c>
      <c r="L3238">
        <v>0</v>
      </c>
      <c r="M3238">
        <v>0.47807758812975859</v>
      </c>
      <c r="N3238">
        <v>0</v>
      </c>
      <c r="O3238">
        <v>0</v>
      </c>
      <c r="P3238">
        <v>0.53808821843878574</v>
      </c>
      <c r="Q3238">
        <v>1.1497144281804941</v>
      </c>
      <c r="R3238">
        <v>4.1850128980136159</v>
      </c>
      <c r="S3238">
        <v>0.22384673683645501</v>
      </c>
      <c r="T3238">
        <v>0.17428395795592519</v>
      </c>
      <c r="U3238">
        <v>4.4179867093448619</v>
      </c>
      <c r="V3238">
        <v>0.2101483876699779</v>
      </c>
      <c r="W3238">
        <v>9.2644359612570675</v>
      </c>
      <c r="X3238">
        <v>0.32937399105856319</v>
      </c>
      <c r="Z3238" t="s">
        <v>392</v>
      </c>
      <c r="AA3238">
        <v>114</v>
      </c>
      <c r="AB3238" t="s">
        <v>3629</v>
      </c>
      <c r="AC3238" t="str">
        <f>HYPERLINK("plots/3FT6Y578R04_015_S21P_20251218081014_M5358ACSC201811_RBGEUFRF04/dpll_52046/txpa_54228.png","plot")</f>
        <v>plot</v>
      </c>
    </row>
    <row r="3239" spans="1:29" x14ac:dyDescent="0.35">
      <c r="A3239" s="4" t="s">
        <v>49</v>
      </c>
      <c r="B3239">
        <v>52046</v>
      </c>
      <c r="C3239" t="s">
        <v>51</v>
      </c>
      <c r="D3239">
        <v>54229</v>
      </c>
      <c r="E3239" t="s">
        <v>249</v>
      </c>
      <c r="F3239">
        <v>12028</v>
      </c>
      <c r="G3239">
        <v>0.72394264920776541</v>
      </c>
      <c r="H3239">
        <v>0</v>
      </c>
      <c r="I3239">
        <v>0</v>
      </c>
      <c r="J3239">
        <v>0.65007910671853053</v>
      </c>
      <c r="K3239">
        <v>0</v>
      </c>
      <c r="L3239">
        <v>0</v>
      </c>
      <c r="M3239">
        <v>0.46830767700179721</v>
      </c>
      <c r="N3239">
        <v>0</v>
      </c>
      <c r="O3239">
        <v>0</v>
      </c>
      <c r="P3239">
        <v>0.52409295934195765</v>
      </c>
      <c r="Q3239">
        <v>1.1169137027953679</v>
      </c>
      <c r="R3239">
        <v>4.3436796504601531</v>
      </c>
      <c r="S3239">
        <v>0.22365804756479071</v>
      </c>
      <c r="T3239">
        <v>0.17284304033533049</v>
      </c>
      <c r="U3239">
        <v>4.4179867093448619</v>
      </c>
      <c r="V3239">
        <v>0.2101483876699779</v>
      </c>
      <c r="W3239">
        <v>9.2781895448952447</v>
      </c>
      <c r="X3239">
        <v>0.32422128198388472</v>
      </c>
      <c r="Z3239" t="s">
        <v>392</v>
      </c>
      <c r="AA3239">
        <v>114</v>
      </c>
      <c r="AB3239" t="s">
        <v>3630</v>
      </c>
      <c r="AC3239" t="str">
        <f>HYPERLINK("plots/3FT6Y578R04_015_S21P_20251218081014_M5358ACSC201811_RBGEUFRF04/dpll_52046/txpa_54229.png","plot")</f>
        <v>plot</v>
      </c>
    </row>
    <row r="3240" spans="1:29" x14ac:dyDescent="0.35">
      <c r="A3240" s="4" t="s">
        <v>49</v>
      </c>
      <c r="B3240">
        <v>52046</v>
      </c>
      <c r="C3240" t="s">
        <v>51</v>
      </c>
      <c r="D3240">
        <v>54230</v>
      </c>
      <c r="E3240" t="s">
        <v>250</v>
      </c>
      <c r="F3240">
        <v>12027</v>
      </c>
      <c r="G3240">
        <v>0.73939317715667685</v>
      </c>
      <c r="H3240">
        <v>0</v>
      </c>
      <c r="I3240">
        <v>0</v>
      </c>
      <c r="J3240">
        <v>0.66259579793260759</v>
      </c>
      <c r="K3240">
        <v>0</v>
      </c>
      <c r="L3240">
        <v>0</v>
      </c>
      <c r="M3240">
        <v>0.47976838643784769</v>
      </c>
      <c r="N3240">
        <v>0</v>
      </c>
      <c r="O3240">
        <v>0</v>
      </c>
      <c r="P3240">
        <v>0.54670227042584496</v>
      </c>
      <c r="Q3240">
        <v>1.151206092824786</v>
      </c>
      <c r="R3240">
        <v>4.1924247496400531</v>
      </c>
      <c r="S3240">
        <v>0.22028824870245689</v>
      </c>
      <c r="T3240">
        <v>0.17182552224086009</v>
      </c>
      <c r="U3240">
        <v>4.417995080651866</v>
      </c>
      <c r="V3240">
        <v>0.21015511914181201</v>
      </c>
      <c r="W3240">
        <v>9.2784476045564137</v>
      </c>
      <c r="X3240">
        <v>0.32720325405857459</v>
      </c>
      <c r="Z3240" t="s">
        <v>392</v>
      </c>
      <c r="AA3240">
        <v>114</v>
      </c>
      <c r="AB3240" t="s">
        <v>3631</v>
      </c>
      <c r="AC3240" t="str">
        <f>HYPERLINK("plots/3FT6Y578R04_015_S21P_20251218081014_M5358ACSC201811_RBGEUFRF04/dpll_52046/txpa_54230.png","plot")</f>
        <v>plot</v>
      </c>
    </row>
    <row r="3241" spans="1:29" x14ac:dyDescent="0.35">
      <c r="A3241" s="4" t="s">
        <v>49</v>
      </c>
      <c r="B3241">
        <v>52046</v>
      </c>
      <c r="C3241" t="s">
        <v>51</v>
      </c>
      <c r="D3241">
        <v>54231</v>
      </c>
      <c r="E3241" t="s">
        <v>251</v>
      </c>
      <c r="F3241">
        <v>12027</v>
      </c>
      <c r="G3241">
        <v>0.73873297839965968</v>
      </c>
      <c r="H3241">
        <v>0</v>
      </c>
      <c r="I3241">
        <v>0</v>
      </c>
      <c r="J3241">
        <v>0.65599610680190379</v>
      </c>
      <c r="K3241">
        <v>0</v>
      </c>
      <c r="L3241">
        <v>0</v>
      </c>
      <c r="M3241">
        <v>0.4722508639761161</v>
      </c>
      <c r="N3241">
        <v>0</v>
      </c>
      <c r="O3241">
        <v>0</v>
      </c>
      <c r="P3241">
        <v>0.54572641337523209</v>
      </c>
      <c r="Q3241">
        <v>1.1429585440962799</v>
      </c>
      <c r="R3241">
        <v>4.2106575588303023</v>
      </c>
      <c r="S3241">
        <v>0.21911974536503451</v>
      </c>
      <c r="T3241">
        <v>0.17172147148858791</v>
      </c>
      <c r="U3241">
        <v>4.4179587365926656</v>
      </c>
      <c r="V3241">
        <v>0.21013472984942591</v>
      </c>
      <c r="W3241">
        <v>9.2602012442836958</v>
      </c>
      <c r="X3241">
        <v>0.3251178597888833</v>
      </c>
      <c r="Z3241" t="s">
        <v>392</v>
      </c>
      <c r="AA3241">
        <v>114</v>
      </c>
      <c r="AB3241" t="s">
        <v>3632</v>
      </c>
      <c r="AC3241" t="str">
        <f>HYPERLINK("plots/3FT6Y578R04_015_S21P_20251218081014_M5358ACSC201811_RBGEUFRF04/dpll_52046/txpa_54231.png","plot")</f>
        <v>plot</v>
      </c>
    </row>
    <row r="3242" spans="1:29" x14ac:dyDescent="0.35">
      <c r="A3242" s="4" t="s">
        <v>49</v>
      </c>
      <c r="B3242">
        <v>52046</v>
      </c>
      <c r="C3242" t="s">
        <v>51</v>
      </c>
      <c r="D3242">
        <v>54232</v>
      </c>
      <c r="E3242" t="s">
        <v>252</v>
      </c>
      <c r="F3242">
        <v>12027</v>
      </c>
      <c r="G3242">
        <v>0.74454978174659403</v>
      </c>
      <c r="H3242">
        <v>0</v>
      </c>
      <c r="I3242">
        <v>0</v>
      </c>
      <c r="J3242">
        <v>0.66949681366085234</v>
      </c>
      <c r="K3242">
        <v>0</v>
      </c>
      <c r="L3242">
        <v>0</v>
      </c>
      <c r="M3242">
        <v>0.4853221993138192</v>
      </c>
      <c r="N3242">
        <v>0</v>
      </c>
      <c r="O3242">
        <v>0</v>
      </c>
      <c r="P3242">
        <v>0.55435437749890082</v>
      </c>
      <c r="Q3242">
        <v>1.1632394674668209</v>
      </c>
      <c r="R3242">
        <v>4.1374892253158633</v>
      </c>
      <c r="S3242">
        <v>0.21914670982067519</v>
      </c>
      <c r="T3242">
        <v>0.17145615939547201</v>
      </c>
      <c r="U3242">
        <v>4.417954512264072</v>
      </c>
      <c r="V3242">
        <v>0.21012745463637059</v>
      </c>
      <c r="W3242">
        <v>9.2766282794545614</v>
      </c>
      <c r="X3242">
        <v>0.32829040370944729</v>
      </c>
      <c r="Z3242" t="s">
        <v>392</v>
      </c>
      <c r="AA3242">
        <v>114</v>
      </c>
      <c r="AB3242" t="s">
        <v>3633</v>
      </c>
      <c r="AC3242" t="str">
        <f>HYPERLINK("plots/3FT6Y578R04_015_S21P_20251218081014_M5358ACSC201811_RBGEUFRF04/dpll_52046/txpa_54232.png","plot")</f>
        <v>plot</v>
      </c>
    </row>
    <row r="3243" spans="1:29" x14ac:dyDescent="0.35">
      <c r="A3243" s="4" t="s">
        <v>49</v>
      </c>
      <c r="B3243">
        <v>52046</v>
      </c>
      <c r="C3243" t="s">
        <v>51</v>
      </c>
      <c r="D3243">
        <v>54233</v>
      </c>
      <c r="E3243" t="s">
        <v>253</v>
      </c>
      <c r="F3243">
        <v>12028</v>
      </c>
      <c r="G3243">
        <v>0.74203250782677188</v>
      </c>
      <c r="H3243">
        <v>0</v>
      </c>
      <c r="I3243">
        <v>0</v>
      </c>
      <c r="J3243">
        <v>0.66197629940071367</v>
      </c>
      <c r="K3243">
        <v>0</v>
      </c>
      <c r="L3243">
        <v>0</v>
      </c>
      <c r="M3243">
        <v>0.47826987722938219</v>
      </c>
      <c r="N3243">
        <v>0</v>
      </c>
      <c r="O3243">
        <v>0</v>
      </c>
      <c r="P3243">
        <v>0.55061224267168829</v>
      </c>
      <c r="Q3243">
        <v>1.1437834761170651</v>
      </c>
      <c r="R3243">
        <v>4.2295464806513614</v>
      </c>
      <c r="S3243">
        <v>0.2171398396658118</v>
      </c>
      <c r="T3243">
        <v>0.17031494646001419</v>
      </c>
      <c r="U3243">
        <v>4.4179867093448619</v>
      </c>
      <c r="V3243">
        <v>0.2101483876699779</v>
      </c>
      <c r="W3243">
        <v>9.2827666765048225</v>
      </c>
      <c r="X3243">
        <v>0.32392685066255522</v>
      </c>
      <c r="Z3243" t="s">
        <v>392</v>
      </c>
      <c r="AA3243">
        <v>114</v>
      </c>
      <c r="AB3243" t="s">
        <v>3634</v>
      </c>
      <c r="AC3243" t="str">
        <f>HYPERLINK("plots/3FT6Y578R04_015_S21P_20251218081014_M5358ACSC201811_RBGEUFRF04/dpll_52046/txpa_54233.png","plot")</f>
        <v>plot</v>
      </c>
    </row>
    <row r="3244" spans="1:29" x14ac:dyDescent="0.35">
      <c r="A3244" s="4" t="s">
        <v>49</v>
      </c>
      <c r="B3244">
        <v>52046</v>
      </c>
      <c r="C3244" t="s">
        <v>51</v>
      </c>
      <c r="D3244">
        <v>54234</v>
      </c>
      <c r="E3244" t="s">
        <v>254</v>
      </c>
      <c r="F3244">
        <v>12027</v>
      </c>
      <c r="G3244">
        <v>0.73452295477507568</v>
      </c>
      <c r="H3244">
        <v>0</v>
      </c>
      <c r="I3244">
        <v>0</v>
      </c>
      <c r="J3244">
        <v>0.65548960035921056</v>
      </c>
      <c r="K3244">
        <v>0</v>
      </c>
      <c r="L3244">
        <v>0</v>
      </c>
      <c r="M3244">
        <v>0.4737217146236074</v>
      </c>
      <c r="N3244">
        <v>0</v>
      </c>
      <c r="O3244">
        <v>0</v>
      </c>
      <c r="P3244">
        <v>0.53952397109150785</v>
      </c>
      <c r="Q3244">
        <v>1.140283736256003</v>
      </c>
      <c r="R3244">
        <v>4.2111979733864766</v>
      </c>
      <c r="S3244">
        <v>0.2213628418096944</v>
      </c>
      <c r="T3244">
        <v>0.17219949785029201</v>
      </c>
      <c r="U3244">
        <v>4.418010118566559</v>
      </c>
      <c r="V3244">
        <v>0.21014144114715341</v>
      </c>
      <c r="W3244">
        <v>9.2489830582023789</v>
      </c>
      <c r="X3244">
        <v>0.32622652035003241</v>
      </c>
      <c r="Z3244" t="s">
        <v>392</v>
      </c>
      <c r="AA3244">
        <v>114</v>
      </c>
      <c r="AB3244" t="s">
        <v>3635</v>
      </c>
      <c r="AC3244" t="str">
        <f>HYPERLINK("plots/3FT6Y578R04_015_S21P_20251218081014_M5358ACSC201811_RBGEUFRF04/dpll_52046/txpa_54234.png","plot")</f>
        <v>plot</v>
      </c>
    </row>
    <row r="3245" spans="1:29" x14ac:dyDescent="0.35">
      <c r="A3245" s="4" t="s">
        <v>49</v>
      </c>
      <c r="B3245">
        <v>52046</v>
      </c>
      <c r="C3245" t="s">
        <v>51</v>
      </c>
      <c r="D3245">
        <v>54235</v>
      </c>
      <c r="E3245" t="s">
        <v>255</v>
      </c>
      <c r="F3245">
        <v>12028</v>
      </c>
      <c r="G3245">
        <v>0.72016058444480402</v>
      </c>
      <c r="H3245">
        <v>0</v>
      </c>
      <c r="I3245">
        <v>0</v>
      </c>
      <c r="J3245">
        <v>0.65190441717105452</v>
      </c>
      <c r="K3245">
        <v>0</v>
      </c>
      <c r="L3245">
        <v>0</v>
      </c>
      <c r="M3245">
        <v>0.46852395945742997</v>
      </c>
      <c r="N3245">
        <v>0</v>
      </c>
      <c r="O3245">
        <v>0</v>
      </c>
      <c r="P3245">
        <v>0.51863126738788168</v>
      </c>
      <c r="Q3245">
        <v>1.1419171084680759</v>
      </c>
      <c r="R3245">
        <v>4.6879931877568612</v>
      </c>
      <c r="S3245">
        <v>0.2311810214682897</v>
      </c>
      <c r="T3245">
        <v>0.1767841951848492</v>
      </c>
      <c r="U3245">
        <v>4.4179867093448619</v>
      </c>
      <c r="V3245">
        <v>0.2101483876699779</v>
      </c>
      <c r="W3245">
        <v>9.7329677961423346</v>
      </c>
      <c r="X3245">
        <v>0.3332201794719602</v>
      </c>
      <c r="Z3245" t="s">
        <v>392</v>
      </c>
      <c r="AA3245">
        <v>114</v>
      </c>
      <c r="AB3245" t="s">
        <v>3636</v>
      </c>
      <c r="AC3245" t="str">
        <f>HYPERLINK("plots/3FT6Y578R04_015_S21P_20251218081014_M5358ACSC201811_RBGEUFRF04/dpll_52046/txpa_54235.png","plot")</f>
        <v>plot</v>
      </c>
    </row>
    <row r="3246" spans="1:29" x14ac:dyDescent="0.35">
      <c r="A3246" s="4" t="s">
        <v>49</v>
      </c>
      <c r="B3246">
        <v>52046</v>
      </c>
      <c r="C3246" t="s">
        <v>51</v>
      </c>
      <c r="D3246">
        <v>54236</v>
      </c>
      <c r="E3246" t="s">
        <v>256</v>
      </c>
      <c r="F3246">
        <v>12028</v>
      </c>
      <c r="G3246">
        <v>0.73831679644938886</v>
      </c>
      <c r="H3246">
        <v>0</v>
      </c>
      <c r="I3246">
        <v>0</v>
      </c>
      <c r="J3246">
        <v>0.66405936446605351</v>
      </c>
      <c r="K3246">
        <v>0</v>
      </c>
      <c r="L3246">
        <v>0</v>
      </c>
      <c r="M3246">
        <v>0.48099610709215429</v>
      </c>
      <c r="N3246">
        <v>0</v>
      </c>
      <c r="O3246">
        <v>0</v>
      </c>
      <c r="P3246">
        <v>0.54511169191928832</v>
      </c>
      <c r="Q3246">
        <v>1.1736128938138899</v>
      </c>
      <c r="R3246">
        <v>4.5745327246344898</v>
      </c>
      <c r="S3246">
        <v>0.2252903132521995</v>
      </c>
      <c r="T3246">
        <v>0.17510641934020749</v>
      </c>
      <c r="U3246">
        <v>4.4179867093448619</v>
      </c>
      <c r="V3246">
        <v>0.2101483876699779</v>
      </c>
      <c r="W3246">
        <v>9.7595388914200196</v>
      </c>
      <c r="X3246">
        <v>0.33404746928386131</v>
      </c>
      <c r="Z3246" t="s">
        <v>392</v>
      </c>
      <c r="AA3246">
        <v>114</v>
      </c>
      <c r="AB3246" t="s">
        <v>3637</v>
      </c>
      <c r="AC3246" t="str">
        <f>HYPERLINK("plots/3FT6Y578R04_015_S21P_20251218081014_M5358ACSC201811_RBGEUFRF04/dpll_52046/txpa_54236.png","plot")</f>
        <v>plot</v>
      </c>
    </row>
    <row r="3247" spans="1:29" x14ac:dyDescent="0.35">
      <c r="A3247" s="4" t="s">
        <v>49</v>
      </c>
      <c r="B3247">
        <v>52046</v>
      </c>
      <c r="C3247" t="s">
        <v>51</v>
      </c>
      <c r="D3247">
        <v>54237</v>
      </c>
      <c r="E3247" t="s">
        <v>257</v>
      </c>
      <c r="F3247">
        <v>12028</v>
      </c>
      <c r="G3247">
        <v>0.72912143803179486</v>
      </c>
      <c r="H3247">
        <v>0</v>
      </c>
      <c r="I3247">
        <v>0</v>
      </c>
      <c r="J3247">
        <v>0.65352190748644923</v>
      </c>
      <c r="K3247">
        <v>0</v>
      </c>
      <c r="L3247">
        <v>0</v>
      </c>
      <c r="M3247">
        <v>0.47125446290432421</v>
      </c>
      <c r="N3247">
        <v>0</v>
      </c>
      <c r="O3247">
        <v>0</v>
      </c>
      <c r="P3247">
        <v>0.53161807139755246</v>
      </c>
      <c r="Q3247">
        <v>1.1408632702124299</v>
      </c>
      <c r="R3247">
        <v>4.7332974446160474</v>
      </c>
      <c r="S3247">
        <v>0.22503071697359581</v>
      </c>
      <c r="T3247">
        <v>0.17356220482989951</v>
      </c>
      <c r="U3247">
        <v>4.4179867093448619</v>
      </c>
      <c r="V3247">
        <v>0.2101483876699779</v>
      </c>
      <c r="W3247">
        <v>9.7736162095942802</v>
      </c>
      <c r="X3247">
        <v>0.3288211870909023</v>
      </c>
      <c r="Z3247" t="s">
        <v>392</v>
      </c>
      <c r="AA3247">
        <v>114</v>
      </c>
      <c r="AB3247" t="s">
        <v>3638</v>
      </c>
      <c r="AC3247" t="str">
        <f>HYPERLINK("plots/3FT6Y578R04_015_S21P_20251218081014_M5358ACSC201811_RBGEUFRF04/dpll_52046/txpa_54237.png","plot")</f>
        <v>plot</v>
      </c>
    </row>
    <row r="3248" spans="1:29" x14ac:dyDescent="0.35">
      <c r="A3248" s="4" t="s">
        <v>49</v>
      </c>
      <c r="B3248">
        <v>52046</v>
      </c>
      <c r="C3248" t="s">
        <v>51</v>
      </c>
      <c r="D3248">
        <v>54238</v>
      </c>
      <c r="E3248" t="s">
        <v>258</v>
      </c>
      <c r="F3248">
        <v>12027</v>
      </c>
      <c r="G3248">
        <v>0.74413477454303145</v>
      </c>
      <c r="H3248">
        <v>0</v>
      </c>
      <c r="I3248">
        <v>0</v>
      </c>
      <c r="J3248">
        <v>0.66589667097588223</v>
      </c>
      <c r="K3248">
        <v>0</v>
      </c>
      <c r="L3248">
        <v>0</v>
      </c>
      <c r="M3248">
        <v>0.48264322423899969</v>
      </c>
      <c r="N3248">
        <v>0</v>
      </c>
      <c r="O3248">
        <v>0</v>
      </c>
      <c r="P3248">
        <v>0.55373656268420823</v>
      </c>
      <c r="Q3248">
        <v>1.174880921405538</v>
      </c>
      <c r="R3248">
        <v>4.582633260164874</v>
      </c>
      <c r="S3248">
        <v>0.2216459611682165</v>
      </c>
      <c r="T3248">
        <v>0.17261960172379601</v>
      </c>
      <c r="U3248">
        <v>4.417995080651866</v>
      </c>
      <c r="V3248">
        <v>0.21015511914181201</v>
      </c>
      <c r="W3248">
        <v>9.7732513912862728</v>
      </c>
      <c r="X3248">
        <v>0.331804464005928</v>
      </c>
      <c r="Z3248" t="s">
        <v>392</v>
      </c>
      <c r="AA3248">
        <v>114</v>
      </c>
      <c r="AB3248" t="s">
        <v>3639</v>
      </c>
      <c r="AC3248" t="str">
        <f>HYPERLINK("plots/3FT6Y578R04_015_S21P_20251218081014_M5358ACSC201811_RBGEUFRF04/dpll_52046/txpa_54238.png","plot")</f>
        <v>plot</v>
      </c>
    </row>
    <row r="3249" spans="1:29" x14ac:dyDescent="0.35">
      <c r="A3249" s="4" t="s">
        <v>49</v>
      </c>
      <c r="B3249">
        <v>52046</v>
      </c>
      <c r="C3249" t="s">
        <v>51</v>
      </c>
      <c r="D3249">
        <v>54239</v>
      </c>
      <c r="E3249" t="s">
        <v>259</v>
      </c>
      <c r="F3249">
        <v>12027</v>
      </c>
      <c r="G3249">
        <v>0.74369903629773548</v>
      </c>
      <c r="H3249">
        <v>0</v>
      </c>
      <c r="I3249">
        <v>0</v>
      </c>
      <c r="J3249">
        <v>0.65942849768670897</v>
      </c>
      <c r="K3249">
        <v>0</v>
      </c>
      <c r="L3249">
        <v>0</v>
      </c>
      <c r="M3249">
        <v>0.47517231344584338</v>
      </c>
      <c r="N3249">
        <v>0</v>
      </c>
      <c r="O3249">
        <v>0</v>
      </c>
      <c r="P3249">
        <v>0.55308825659018046</v>
      </c>
      <c r="Q3249">
        <v>1.167186264459958</v>
      </c>
      <c r="R3249">
        <v>4.598185618858559</v>
      </c>
      <c r="S3249">
        <v>0.22046193403396849</v>
      </c>
      <c r="T3249">
        <v>0.17252561984126261</v>
      </c>
      <c r="U3249">
        <v>4.4179587365926656</v>
      </c>
      <c r="V3249">
        <v>0.21013472984942591</v>
      </c>
      <c r="W3249">
        <v>9.754766373160388</v>
      </c>
      <c r="X3249">
        <v>0.32979250798445681</v>
      </c>
      <c r="Z3249" t="s">
        <v>392</v>
      </c>
      <c r="AA3249">
        <v>114</v>
      </c>
      <c r="AB3249" t="s">
        <v>3640</v>
      </c>
      <c r="AC3249" t="str">
        <f>HYPERLINK("plots/3FT6Y578R04_015_S21P_20251218081014_M5358ACSC201811_RBGEUFRF04/dpll_52046/txpa_54239.png","plot")</f>
        <v>plot</v>
      </c>
    </row>
    <row r="3250" spans="1:29" x14ac:dyDescent="0.35">
      <c r="A3250" s="4" t="s">
        <v>49</v>
      </c>
      <c r="B3250">
        <v>52046</v>
      </c>
      <c r="C3250" t="s">
        <v>51</v>
      </c>
      <c r="D3250">
        <v>54240</v>
      </c>
      <c r="E3250" t="s">
        <v>260</v>
      </c>
      <c r="F3250">
        <v>12027</v>
      </c>
      <c r="G3250">
        <v>0.74904950463711051</v>
      </c>
      <c r="H3250">
        <v>0</v>
      </c>
      <c r="I3250">
        <v>0</v>
      </c>
      <c r="J3250">
        <v>0.67229832056467442</v>
      </c>
      <c r="K3250">
        <v>0</v>
      </c>
      <c r="L3250">
        <v>0</v>
      </c>
      <c r="M3250">
        <v>0.48777167901893392</v>
      </c>
      <c r="N3250">
        <v>0</v>
      </c>
      <c r="O3250">
        <v>0</v>
      </c>
      <c r="P3250">
        <v>0.56107516039710059</v>
      </c>
      <c r="Q3250">
        <v>1.1867604259892039</v>
      </c>
      <c r="R3250">
        <v>4.5286222665388216</v>
      </c>
      <c r="S3250">
        <v>0.22055268956765581</v>
      </c>
      <c r="T3250">
        <v>0.1723266510572721</v>
      </c>
      <c r="U3250">
        <v>4.417954512264072</v>
      </c>
      <c r="V3250">
        <v>0.21012745463637059</v>
      </c>
      <c r="W3250">
        <v>9.7716758455142596</v>
      </c>
      <c r="X3250">
        <v>0.33291651090150359</v>
      </c>
      <c r="Z3250" t="s">
        <v>392</v>
      </c>
      <c r="AA3250">
        <v>114</v>
      </c>
      <c r="AB3250" t="s">
        <v>3641</v>
      </c>
      <c r="AC3250" t="str">
        <f>HYPERLINK("plots/3FT6Y578R04_015_S21P_20251218081014_M5358ACSC201811_RBGEUFRF04/dpll_52046/txpa_54240.png","plot")</f>
        <v>plot</v>
      </c>
    </row>
    <row r="3251" spans="1:29" x14ac:dyDescent="0.35">
      <c r="A3251" s="4" t="s">
        <v>49</v>
      </c>
      <c r="B3251">
        <v>52046</v>
      </c>
      <c r="C3251" t="s">
        <v>51</v>
      </c>
      <c r="D3251">
        <v>54241</v>
      </c>
      <c r="E3251" t="s">
        <v>261</v>
      </c>
      <c r="F3251">
        <v>12028</v>
      </c>
      <c r="G3251">
        <v>0.74680241246590218</v>
      </c>
      <c r="H3251">
        <v>0</v>
      </c>
      <c r="I3251">
        <v>0</v>
      </c>
      <c r="J3251">
        <v>0.66503015739215277</v>
      </c>
      <c r="K3251">
        <v>0</v>
      </c>
      <c r="L3251">
        <v>0</v>
      </c>
      <c r="M3251">
        <v>0.48094234450731882</v>
      </c>
      <c r="N3251">
        <v>0</v>
      </c>
      <c r="O3251">
        <v>0</v>
      </c>
      <c r="P3251">
        <v>0.55771384326489148</v>
      </c>
      <c r="Q3251">
        <v>1.1676666902460811</v>
      </c>
      <c r="R3251">
        <v>4.6191306454822616</v>
      </c>
      <c r="S3251">
        <v>0.21851077655084139</v>
      </c>
      <c r="T3251">
        <v>0.17112945998490089</v>
      </c>
      <c r="U3251">
        <v>4.4179867093448619</v>
      </c>
      <c r="V3251">
        <v>0.2101483876699779</v>
      </c>
      <c r="W3251">
        <v>9.777866563934154</v>
      </c>
      <c r="X3251">
        <v>0.32857857472756541</v>
      </c>
      <c r="Z3251" t="s">
        <v>392</v>
      </c>
      <c r="AA3251">
        <v>114</v>
      </c>
      <c r="AB3251" t="s">
        <v>3642</v>
      </c>
      <c r="AC3251" t="str">
        <f>HYPERLINK("plots/3FT6Y578R04_015_S21P_20251218081014_M5358ACSC201811_RBGEUFRF04/dpll_52046/txpa_54241.png","plot")</f>
        <v>plot</v>
      </c>
    </row>
    <row r="3252" spans="1:29" x14ac:dyDescent="0.35">
      <c r="A3252" s="4" t="s">
        <v>49</v>
      </c>
      <c r="B3252">
        <v>52046</v>
      </c>
      <c r="C3252" t="s">
        <v>51</v>
      </c>
      <c r="D3252">
        <v>54242</v>
      </c>
      <c r="E3252" t="s">
        <v>262</v>
      </c>
      <c r="F3252">
        <v>12027</v>
      </c>
      <c r="G3252">
        <v>0.73928947799285594</v>
      </c>
      <c r="H3252">
        <v>0</v>
      </c>
      <c r="I3252">
        <v>0</v>
      </c>
      <c r="J3252">
        <v>0.6586962293664016</v>
      </c>
      <c r="K3252">
        <v>0</v>
      </c>
      <c r="L3252">
        <v>0</v>
      </c>
      <c r="M3252">
        <v>0.47649295298824917</v>
      </c>
      <c r="N3252">
        <v>0</v>
      </c>
      <c r="O3252">
        <v>0</v>
      </c>
      <c r="P3252">
        <v>0.54654893227094947</v>
      </c>
      <c r="Q3252">
        <v>1.1636009786233059</v>
      </c>
      <c r="R3252">
        <v>4.6036313009383916</v>
      </c>
      <c r="S3252">
        <v>0.22271446138859921</v>
      </c>
      <c r="T3252">
        <v>0.17294365146291191</v>
      </c>
      <c r="U3252">
        <v>4.418010118566559</v>
      </c>
      <c r="V3252">
        <v>0.21014144114715341</v>
      </c>
      <c r="W3252">
        <v>9.7444321984701077</v>
      </c>
      <c r="X3252">
        <v>0.33075107092286049</v>
      </c>
      <c r="Z3252" t="s">
        <v>392</v>
      </c>
      <c r="AA3252">
        <v>114</v>
      </c>
      <c r="AB3252" t="s">
        <v>3643</v>
      </c>
      <c r="AC3252" t="str">
        <f>HYPERLINK("plots/3FT6Y578R04_015_S21P_20251218081014_M5358ACSC201811_RBGEUFRF04/dpll_52046/txpa_54242.png","plot")</f>
        <v>plot</v>
      </c>
    </row>
    <row r="3253" spans="1:29" x14ac:dyDescent="0.35">
      <c r="A3253" s="4" t="s">
        <v>49</v>
      </c>
      <c r="B3253">
        <v>52046</v>
      </c>
      <c r="C3253" t="s">
        <v>51</v>
      </c>
      <c r="D3253">
        <v>54243</v>
      </c>
      <c r="E3253" t="s">
        <v>263</v>
      </c>
      <c r="F3253">
        <v>12028</v>
      </c>
      <c r="G3253">
        <v>0.7330161749507077</v>
      </c>
      <c r="H3253">
        <v>0</v>
      </c>
      <c r="I3253">
        <v>0</v>
      </c>
      <c r="J3253">
        <v>0.66090618605786744</v>
      </c>
      <c r="K3253">
        <v>0</v>
      </c>
      <c r="L3253">
        <v>0</v>
      </c>
      <c r="M3253">
        <v>0.47636295760283609</v>
      </c>
      <c r="N3253">
        <v>0</v>
      </c>
      <c r="O3253">
        <v>0</v>
      </c>
      <c r="P3253">
        <v>0.53731271273936654</v>
      </c>
      <c r="Q3253">
        <v>1.2097120254665461</v>
      </c>
      <c r="R3253">
        <v>6.0259858904249812</v>
      </c>
      <c r="S3253">
        <v>0.23589581243502511</v>
      </c>
      <c r="T3253">
        <v>0.17939309315957261</v>
      </c>
      <c r="U3253">
        <v>4.4179867093448619</v>
      </c>
      <c r="V3253">
        <v>0.2101483876699779</v>
      </c>
      <c r="W3253">
        <v>11.370477541070841</v>
      </c>
      <c r="X3253">
        <v>0.34681230835577842</v>
      </c>
      <c r="Z3253" t="s">
        <v>392</v>
      </c>
      <c r="AA3253">
        <v>114</v>
      </c>
      <c r="AB3253" t="s">
        <v>3644</v>
      </c>
      <c r="AC3253" t="str">
        <f>HYPERLINK("plots/3FT6Y578R04_015_S21P_20251218081014_M5358ACSC201811_RBGEUFRF04/dpll_52046/txpa_54243.png","plot")</f>
        <v>plot</v>
      </c>
    </row>
    <row r="3254" spans="1:29" x14ac:dyDescent="0.35">
      <c r="A3254" s="4" t="s">
        <v>49</v>
      </c>
      <c r="B3254">
        <v>52046</v>
      </c>
      <c r="C3254" t="s">
        <v>51</v>
      </c>
      <c r="D3254">
        <v>54244</v>
      </c>
      <c r="E3254" t="s">
        <v>264</v>
      </c>
      <c r="F3254">
        <v>12028</v>
      </c>
      <c r="G3254">
        <v>0.75067105274183266</v>
      </c>
      <c r="H3254">
        <v>0</v>
      </c>
      <c r="I3254">
        <v>0</v>
      </c>
      <c r="J3254">
        <v>0.67275925002562109</v>
      </c>
      <c r="K3254">
        <v>0</v>
      </c>
      <c r="L3254">
        <v>0</v>
      </c>
      <c r="M3254">
        <v>0.48877149926204971</v>
      </c>
      <c r="N3254">
        <v>0</v>
      </c>
      <c r="O3254">
        <v>0</v>
      </c>
      <c r="P3254">
        <v>0.56350702942453135</v>
      </c>
      <c r="Q3254">
        <v>1.2419667605686171</v>
      </c>
      <c r="R3254">
        <v>5.9090111505945444</v>
      </c>
      <c r="S3254">
        <v>0.22969785459463951</v>
      </c>
      <c r="T3254">
        <v>0.1775641739912269</v>
      </c>
      <c r="U3254">
        <v>4.4179867093448619</v>
      </c>
      <c r="V3254">
        <v>0.2101483876699779</v>
      </c>
      <c r="W3254">
        <v>11.39600379223479</v>
      </c>
      <c r="X3254">
        <v>0.34768532943944669</v>
      </c>
      <c r="Z3254" t="s">
        <v>392</v>
      </c>
      <c r="AA3254">
        <v>114</v>
      </c>
      <c r="AB3254" t="s">
        <v>3645</v>
      </c>
      <c r="AC3254" t="str">
        <f>HYPERLINK("plots/3FT6Y578R04_015_S21P_20251218081014_M5358ACSC201811_RBGEUFRF04/dpll_52046/txpa_54244.png","plot")</f>
        <v>plot</v>
      </c>
    </row>
    <row r="3255" spans="1:29" x14ac:dyDescent="0.35">
      <c r="A3255" s="4" t="s">
        <v>49</v>
      </c>
      <c r="B3255">
        <v>52046</v>
      </c>
      <c r="C3255" t="s">
        <v>51</v>
      </c>
      <c r="D3255">
        <v>54245</v>
      </c>
      <c r="E3255" t="s">
        <v>265</v>
      </c>
      <c r="F3255">
        <v>12028</v>
      </c>
      <c r="G3255">
        <v>0.74209140153783415</v>
      </c>
      <c r="H3255">
        <v>0</v>
      </c>
      <c r="I3255">
        <v>0</v>
      </c>
      <c r="J3255">
        <v>0.6627248859134186</v>
      </c>
      <c r="K3255">
        <v>0</v>
      </c>
      <c r="L3255">
        <v>0</v>
      </c>
      <c r="M3255">
        <v>0.47933827509763688</v>
      </c>
      <c r="N3255">
        <v>0</v>
      </c>
      <c r="O3255">
        <v>0</v>
      </c>
      <c r="P3255">
        <v>0.55069964823638695</v>
      </c>
      <c r="Q3255">
        <v>1.209127297572395</v>
      </c>
      <c r="R3255">
        <v>6.068352997154375</v>
      </c>
      <c r="S3255">
        <v>0.22950439879824949</v>
      </c>
      <c r="T3255">
        <v>0.17606367109569029</v>
      </c>
      <c r="U3255">
        <v>4.4179867093448619</v>
      </c>
      <c r="V3255">
        <v>0.2101483876699779</v>
      </c>
      <c r="W3255">
        <v>11.410261327735279</v>
      </c>
      <c r="X3255">
        <v>0.34240546588470561</v>
      </c>
      <c r="Z3255" t="s">
        <v>392</v>
      </c>
      <c r="AA3255">
        <v>114</v>
      </c>
      <c r="AB3255" t="s">
        <v>3646</v>
      </c>
      <c r="AC3255" t="str">
        <f>HYPERLINK("plots/3FT6Y578R04_015_S21P_20251218081014_M5358ACSC201811_RBGEUFRF04/dpll_52046/txpa_54245.png","plot")</f>
        <v>plot</v>
      </c>
    </row>
    <row r="3256" spans="1:29" x14ac:dyDescent="0.35">
      <c r="A3256" s="4" t="s">
        <v>49</v>
      </c>
      <c r="B3256">
        <v>52046</v>
      </c>
      <c r="C3256" t="s">
        <v>51</v>
      </c>
      <c r="D3256">
        <v>54246</v>
      </c>
      <c r="E3256" t="s">
        <v>266</v>
      </c>
      <c r="F3256">
        <v>12027</v>
      </c>
      <c r="G3256">
        <v>0.75612370841820831</v>
      </c>
      <c r="H3256">
        <v>0</v>
      </c>
      <c r="I3256">
        <v>0</v>
      </c>
      <c r="J3256">
        <v>0.6743624012999142</v>
      </c>
      <c r="K3256">
        <v>0</v>
      </c>
      <c r="L3256">
        <v>0</v>
      </c>
      <c r="M3256">
        <v>0.49016748385216158</v>
      </c>
      <c r="N3256">
        <v>0</v>
      </c>
      <c r="O3256">
        <v>0</v>
      </c>
      <c r="P3256">
        <v>0.57172306243210369</v>
      </c>
      <c r="Q3256">
        <v>1.242265284133977</v>
      </c>
      <c r="R3256">
        <v>5.9205476984530963</v>
      </c>
      <c r="S3256">
        <v>0.2259465711240399</v>
      </c>
      <c r="T3256">
        <v>0.1751990497509896</v>
      </c>
      <c r="U3256">
        <v>4.417995080651866</v>
      </c>
      <c r="V3256">
        <v>0.21015511914181201</v>
      </c>
      <c r="W3256">
        <v>11.408869612621601</v>
      </c>
      <c r="X3256">
        <v>0.34527208429829748</v>
      </c>
      <c r="Z3256" t="s">
        <v>392</v>
      </c>
      <c r="AA3256">
        <v>114</v>
      </c>
      <c r="AB3256" t="s">
        <v>3647</v>
      </c>
      <c r="AC3256" t="str">
        <f>HYPERLINK("plots/3FT6Y578R04_015_S21P_20251218081014_M5358ACSC201811_RBGEUFRF04/dpll_52046/txpa_54246.png","plot")</f>
        <v>plot</v>
      </c>
    </row>
    <row r="3257" spans="1:29" x14ac:dyDescent="0.35">
      <c r="A3257" s="4" t="s">
        <v>49</v>
      </c>
      <c r="B3257">
        <v>52046</v>
      </c>
      <c r="C3257" t="s">
        <v>51</v>
      </c>
      <c r="D3257">
        <v>54247</v>
      </c>
      <c r="E3257" t="s">
        <v>267</v>
      </c>
      <c r="F3257">
        <v>12027</v>
      </c>
      <c r="G3257">
        <v>0.75580050668714449</v>
      </c>
      <c r="H3257">
        <v>0</v>
      </c>
      <c r="I3257">
        <v>0</v>
      </c>
      <c r="J3257">
        <v>0.66755757269517002</v>
      </c>
      <c r="K3257">
        <v>0</v>
      </c>
      <c r="L3257">
        <v>0</v>
      </c>
      <c r="M3257">
        <v>0.4822584656585775</v>
      </c>
      <c r="N3257">
        <v>0</v>
      </c>
      <c r="O3257">
        <v>0</v>
      </c>
      <c r="P3257">
        <v>0.57123440590854435</v>
      </c>
      <c r="Q3257">
        <v>1.235819495167918</v>
      </c>
      <c r="R3257">
        <v>5.9297897052629107</v>
      </c>
      <c r="S3257">
        <v>0.22497673398208171</v>
      </c>
      <c r="T3257">
        <v>0.17527530437432479</v>
      </c>
      <c r="U3257">
        <v>4.4179587365926656</v>
      </c>
      <c r="V3257">
        <v>0.21013472984942591</v>
      </c>
      <c r="W3257">
        <v>11.389589240791549</v>
      </c>
      <c r="X3257">
        <v>0.34359410117101119</v>
      </c>
      <c r="Z3257" t="s">
        <v>392</v>
      </c>
      <c r="AA3257">
        <v>114</v>
      </c>
      <c r="AB3257" t="s">
        <v>3648</v>
      </c>
      <c r="AC3257" t="str">
        <f>HYPERLINK("plots/3FT6Y578R04_015_S21P_20251218081014_M5358ACSC201811_RBGEUFRF04/dpll_52046/txpa_54247.png","plot")</f>
        <v>plot</v>
      </c>
    </row>
    <row r="3258" spans="1:29" x14ac:dyDescent="0.35">
      <c r="A3258" s="4" t="s">
        <v>49</v>
      </c>
      <c r="B3258">
        <v>52046</v>
      </c>
      <c r="C3258" t="s">
        <v>51</v>
      </c>
      <c r="D3258">
        <v>54248</v>
      </c>
      <c r="E3258" t="s">
        <v>268</v>
      </c>
      <c r="F3258">
        <v>12027</v>
      </c>
      <c r="G3258">
        <v>0.76082531496690264</v>
      </c>
      <c r="H3258">
        <v>0</v>
      </c>
      <c r="I3258">
        <v>0</v>
      </c>
      <c r="J3258">
        <v>0.68016068799679974</v>
      </c>
      <c r="K3258">
        <v>0</v>
      </c>
      <c r="L3258">
        <v>0</v>
      </c>
      <c r="M3258">
        <v>0.49495548095643249</v>
      </c>
      <c r="N3258">
        <v>0</v>
      </c>
      <c r="O3258">
        <v>0</v>
      </c>
      <c r="P3258">
        <v>0.57885515989448666</v>
      </c>
      <c r="Q3258">
        <v>1.254525975557597</v>
      </c>
      <c r="R3258">
        <v>5.8656450636603736</v>
      </c>
      <c r="S3258">
        <v>0.22484083506497141</v>
      </c>
      <c r="T3258">
        <v>0.17486869003662581</v>
      </c>
      <c r="U3258">
        <v>4.417954512264072</v>
      </c>
      <c r="V3258">
        <v>0.21012745463637059</v>
      </c>
      <c r="W3258">
        <v>11.408083758127541</v>
      </c>
      <c r="X3258">
        <v>0.34647946753795261</v>
      </c>
      <c r="Z3258" t="s">
        <v>392</v>
      </c>
      <c r="AA3258">
        <v>114</v>
      </c>
      <c r="AB3258" t="s">
        <v>3649</v>
      </c>
      <c r="AC3258" t="str">
        <f>HYPERLINK("plots/3FT6Y578R04_015_S21P_20251218081014_M5358ACSC201811_RBGEUFRF04/dpll_52046/txpa_54248.png","plot")</f>
        <v>plot</v>
      </c>
    </row>
    <row r="3259" spans="1:29" x14ac:dyDescent="0.35">
      <c r="A3259" s="4" t="s">
        <v>49</v>
      </c>
      <c r="B3259">
        <v>52046</v>
      </c>
      <c r="C3259" t="s">
        <v>51</v>
      </c>
      <c r="D3259">
        <v>54249</v>
      </c>
      <c r="E3259" t="s">
        <v>269</v>
      </c>
      <c r="F3259">
        <v>12028</v>
      </c>
      <c r="G3259">
        <v>0.7589572004932863</v>
      </c>
      <c r="H3259">
        <v>0</v>
      </c>
      <c r="I3259">
        <v>0</v>
      </c>
      <c r="J3259">
        <v>0.67313328238305736</v>
      </c>
      <c r="K3259">
        <v>0</v>
      </c>
      <c r="L3259">
        <v>0</v>
      </c>
      <c r="M3259">
        <v>0.48813221199703921</v>
      </c>
      <c r="N3259">
        <v>0</v>
      </c>
      <c r="O3259">
        <v>0</v>
      </c>
      <c r="P3259">
        <v>0.57601603218060637</v>
      </c>
      <c r="Q3259">
        <v>1.235581947419677</v>
      </c>
      <c r="R3259">
        <v>5.9563570308035336</v>
      </c>
      <c r="S3259">
        <v>0.22275988973533151</v>
      </c>
      <c r="T3259">
        <v>0.17350929815465671</v>
      </c>
      <c r="U3259">
        <v>4.4179867093448619</v>
      </c>
      <c r="V3259">
        <v>0.2101483876699779</v>
      </c>
      <c r="W3259">
        <v>11.41514165281011</v>
      </c>
      <c r="X3259">
        <v>0.34212147129721249</v>
      </c>
      <c r="Z3259" t="s">
        <v>392</v>
      </c>
      <c r="AA3259">
        <v>114</v>
      </c>
      <c r="AB3259" t="s">
        <v>3650</v>
      </c>
      <c r="AC3259" t="str">
        <f>HYPERLINK("plots/3FT6Y578R04_015_S21P_20251218081014_M5358ACSC201811_RBGEUFRF04/dpll_52046/txpa_54249.png","plot")</f>
        <v>plot</v>
      </c>
    </row>
    <row r="3260" spans="1:29" x14ac:dyDescent="0.35">
      <c r="A3260" s="4" t="s">
        <v>49</v>
      </c>
      <c r="B3260">
        <v>52046</v>
      </c>
      <c r="C3260" t="s">
        <v>51</v>
      </c>
      <c r="D3260">
        <v>54250</v>
      </c>
      <c r="E3260" t="s">
        <v>270</v>
      </c>
      <c r="F3260">
        <v>12027</v>
      </c>
      <c r="G3260">
        <v>0.75109213322427726</v>
      </c>
      <c r="H3260">
        <v>0</v>
      </c>
      <c r="I3260">
        <v>0</v>
      </c>
      <c r="J3260">
        <v>0.66645861420182129</v>
      </c>
      <c r="K3260">
        <v>0</v>
      </c>
      <c r="L3260">
        <v>0</v>
      </c>
      <c r="M3260">
        <v>0.48329720487358568</v>
      </c>
      <c r="N3260">
        <v>0</v>
      </c>
      <c r="O3260">
        <v>0</v>
      </c>
      <c r="P3260">
        <v>0.56413939259139545</v>
      </c>
      <c r="Q3260">
        <v>1.2300537698192451</v>
      </c>
      <c r="R3260">
        <v>5.9492571141309263</v>
      </c>
      <c r="S3260">
        <v>0.22719477719791059</v>
      </c>
      <c r="T3260">
        <v>0.1755431798763829</v>
      </c>
      <c r="U3260">
        <v>4.418010118566559</v>
      </c>
      <c r="V3260">
        <v>0.21014144114715341</v>
      </c>
      <c r="W3260">
        <v>11.383647115573289</v>
      </c>
      <c r="X3260">
        <v>0.34414589162142267</v>
      </c>
      <c r="Z3260" t="s">
        <v>392</v>
      </c>
      <c r="AA3260">
        <v>114</v>
      </c>
      <c r="AB3260" t="s">
        <v>3651</v>
      </c>
      <c r="AC3260" t="str">
        <f>HYPERLINK("plots/3FT6Y578R04_015_S21P_20251218081014_M5358ACSC201811_RBGEUFRF04/dpll_52046/txpa_54250.png","plot")</f>
        <v>plot</v>
      </c>
    </row>
    <row r="3261" spans="1:29" x14ac:dyDescent="0.35">
      <c r="A3261" s="4" t="s">
        <v>49</v>
      </c>
      <c r="B3261">
        <v>52046</v>
      </c>
      <c r="C3261" t="s">
        <v>51</v>
      </c>
      <c r="D3261">
        <v>54251</v>
      </c>
      <c r="E3261" t="s">
        <v>271</v>
      </c>
      <c r="F3261">
        <v>12028</v>
      </c>
      <c r="G3261">
        <v>0.73597567335084846</v>
      </c>
      <c r="H3261">
        <v>0</v>
      </c>
      <c r="I3261">
        <v>0</v>
      </c>
      <c r="J3261">
        <v>0.66263803721478565</v>
      </c>
      <c r="K3261">
        <v>0</v>
      </c>
      <c r="L3261">
        <v>0</v>
      </c>
      <c r="M3261">
        <v>0.47794248049761928</v>
      </c>
      <c r="N3261">
        <v>0</v>
      </c>
      <c r="O3261">
        <v>0</v>
      </c>
      <c r="P3261">
        <v>0.54166019176423474</v>
      </c>
      <c r="Q3261">
        <v>1.2263460165981539</v>
      </c>
      <c r="R3261">
        <v>6.5312376421740286</v>
      </c>
      <c r="S3261">
        <v>0.2370562241233056</v>
      </c>
      <c r="T3261">
        <v>0.1799564149765745</v>
      </c>
      <c r="U3261">
        <v>4.4179867093448619</v>
      </c>
      <c r="V3261">
        <v>0.2101483876699779</v>
      </c>
      <c r="W3261">
        <v>11.94921804456269</v>
      </c>
      <c r="X3261">
        <v>0.3501673322166266</v>
      </c>
      <c r="Z3261" t="s">
        <v>392</v>
      </c>
      <c r="AA3261">
        <v>114</v>
      </c>
      <c r="AB3261" t="s">
        <v>3652</v>
      </c>
      <c r="AC3261" t="str">
        <f>HYPERLINK("plots/3FT6Y578R04_015_S21P_20251218081014_M5358ACSC201811_RBGEUFRF04/dpll_52046/txpa_54251.png","plot")</f>
        <v>plot</v>
      </c>
    </row>
    <row r="3262" spans="1:29" x14ac:dyDescent="0.35">
      <c r="A3262" s="4" t="s">
        <v>49</v>
      </c>
      <c r="B3262">
        <v>52046</v>
      </c>
      <c r="C3262" t="s">
        <v>51</v>
      </c>
      <c r="D3262">
        <v>54252</v>
      </c>
      <c r="E3262" t="s">
        <v>272</v>
      </c>
      <c r="F3262">
        <v>12028</v>
      </c>
      <c r="G3262">
        <v>0.7535115280584983</v>
      </c>
      <c r="H3262">
        <v>0</v>
      </c>
      <c r="I3262">
        <v>0</v>
      </c>
      <c r="J3262">
        <v>0.67451157680645202</v>
      </c>
      <c r="K3262">
        <v>0</v>
      </c>
      <c r="L3262">
        <v>0</v>
      </c>
      <c r="M3262">
        <v>0.49042665388354278</v>
      </c>
      <c r="N3262">
        <v>0</v>
      </c>
      <c r="O3262">
        <v>0</v>
      </c>
      <c r="P3262">
        <v>0.56777962291705308</v>
      </c>
      <c r="Q3262">
        <v>1.2589117843264781</v>
      </c>
      <c r="R3262">
        <v>6.4127839273708807</v>
      </c>
      <c r="S3262">
        <v>0.23081606077979919</v>
      </c>
      <c r="T3262">
        <v>0.17811928422921641</v>
      </c>
      <c r="U3262">
        <v>4.4179867093448619</v>
      </c>
      <c r="V3262">
        <v>0.2101483876699779</v>
      </c>
      <c r="W3262">
        <v>11.974639458762891</v>
      </c>
      <c r="X3262">
        <v>0.35110050987090607</v>
      </c>
      <c r="Z3262" t="s">
        <v>392</v>
      </c>
      <c r="AA3262">
        <v>114</v>
      </c>
      <c r="AB3262" t="s">
        <v>3653</v>
      </c>
      <c r="AC3262" t="str">
        <f>HYPERLINK("plots/3FT6Y578R04_015_S21P_20251218081014_M5358ACSC201811_RBGEUFRF04/dpll_52046/txpa_54252.png","plot")</f>
        <v>plot</v>
      </c>
    </row>
    <row r="3263" spans="1:29" x14ac:dyDescent="0.35">
      <c r="A3263" s="4" t="s">
        <v>49</v>
      </c>
      <c r="B3263">
        <v>52046</v>
      </c>
      <c r="C3263" t="s">
        <v>51</v>
      </c>
      <c r="D3263">
        <v>54253</v>
      </c>
      <c r="E3263" t="s">
        <v>273</v>
      </c>
      <c r="F3263">
        <v>12028</v>
      </c>
      <c r="G3263">
        <v>0.74501093574025845</v>
      </c>
      <c r="H3263">
        <v>0</v>
      </c>
      <c r="I3263">
        <v>0</v>
      </c>
      <c r="J3263">
        <v>0.66432904174999208</v>
      </c>
      <c r="K3263">
        <v>0</v>
      </c>
      <c r="L3263">
        <v>0</v>
      </c>
      <c r="M3263">
        <v>0.48079980791284438</v>
      </c>
      <c r="N3263">
        <v>0</v>
      </c>
      <c r="O3263">
        <v>0</v>
      </c>
      <c r="P3263">
        <v>0.55504129437257554</v>
      </c>
      <c r="Q3263">
        <v>1.225599619915352</v>
      </c>
      <c r="R3263">
        <v>6.5745436422963888</v>
      </c>
      <c r="S3263">
        <v>0.23059709513185639</v>
      </c>
      <c r="T3263">
        <v>0.17661319277205861</v>
      </c>
      <c r="U3263">
        <v>4.4179867093448619</v>
      </c>
      <c r="V3263">
        <v>0.2101483876699779</v>
      </c>
      <c r="W3263">
        <v>11.98922647406053</v>
      </c>
      <c r="X3263">
        <v>0.34571007175650942</v>
      </c>
      <c r="Z3263" t="s">
        <v>392</v>
      </c>
      <c r="AA3263">
        <v>114</v>
      </c>
      <c r="AB3263" t="s">
        <v>3654</v>
      </c>
      <c r="AC3263" t="str">
        <f>HYPERLINK("plots/3FT6Y578R04_015_S21P_20251218081014_M5358ACSC201811_RBGEUFRF04/dpll_52046/txpa_54253.png","plot")</f>
        <v>plot</v>
      </c>
    </row>
    <row r="3264" spans="1:29" x14ac:dyDescent="0.35">
      <c r="A3264" s="4" t="s">
        <v>49</v>
      </c>
      <c r="B3264">
        <v>52046</v>
      </c>
      <c r="C3264" t="s">
        <v>51</v>
      </c>
      <c r="D3264">
        <v>54254</v>
      </c>
      <c r="E3264" t="s">
        <v>274</v>
      </c>
      <c r="F3264">
        <v>12027</v>
      </c>
      <c r="G3264">
        <v>0.75881835967140021</v>
      </c>
      <c r="H3264">
        <v>0</v>
      </c>
      <c r="I3264">
        <v>0</v>
      </c>
      <c r="J3264">
        <v>0.67597139272983553</v>
      </c>
      <c r="K3264">
        <v>0</v>
      </c>
      <c r="L3264">
        <v>0</v>
      </c>
      <c r="M3264">
        <v>0.4916382886790045</v>
      </c>
      <c r="N3264">
        <v>0</v>
      </c>
      <c r="O3264">
        <v>0</v>
      </c>
      <c r="P3264">
        <v>0.57580530297439447</v>
      </c>
      <c r="Q3264">
        <v>1.258692959745092</v>
      </c>
      <c r="R3264">
        <v>6.4263910300429856</v>
      </c>
      <c r="S3264">
        <v>0.2270317036336951</v>
      </c>
      <c r="T3264">
        <v>0.17579495678178511</v>
      </c>
      <c r="U3264">
        <v>4.417995080651866</v>
      </c>
      <c r="V3264">
        <v>0.21015511914181201</v>
      </c>
      <c r="W3264">
        <v>11.987290334247939</v>
      </c>
      <c r="X3264">
        <v>0.3485956362900054</v>
      </c>
      <c r="Z3264" t="s">
        <v>392</v>
      </c>
      <c r="AA3264">
        <v>114</v>
      </c>
      <c r="AB3264" t="s">
        <v>3655</v>
      </c>
      <c r="AC3264" t="str">
        <f>HYPERLINK("plots/3FT6Y578R04_015_S21P_20251218081014_M5358ACSC201811_RBGEUFRF04/dpll_52046/txpa_54254.png","plot")</f>
        <v>plot</v>
      </c>
    </row>
    <row r="3265" spans="1:29" x14ac:dyDescent="0.35">
      <c r="A3265" s="4" t="s">
        <v>49</v>
      </c>
      <c r="B3265">
        <v>52046</v>
      </c>
      <c r="C3265" t="s">
        <v>51</v>
      </c>
      <c r="D3265">
        <v>54255</v>
      </c>
      <c r="E3265" t="s">
        <v>275</v>
      </c>
      <c r="F3265">
        <v>12027</v>
      </c>
      <c r="G3265">
        <v>0.75841724752514583</v>
      </c>
      <c r="H3265">
        <v>0</v>
      </c>
      <c r="I3265">
        <v>0</v>
      </c>
      <c r="J3265">
        <v>0.66899205632841396</v>
      </c>
      <c r="K3265">
        <v>0</v>
      </c>
      <c r="L3265">
        <v>0</v>
      </c>
      <c r="M3265">
        <v>0.48359799157244421</v>
      </c>
      <c r="N3265">
        <v>0</v>
      </c>
      <c r="O3265">
        <v>0</v>
      </c>
      <c r="P3265">
        <v>0.57519672134361832</v>
      </c>
      <c r="Q3265">
        <v>1.2524315239717121</v>
      </c>
      <c r="R3265">
        <v>6.4342449279788649</v>
      </c>
      <c r="S3265">
        <v>0.2261619289944988</v>
      </c>
      <c r="T3265">
        <v>0.1759507582413698</v>
      </c>
      <c r="U3265">
        <v>4.4179587365926656</v>
      </c>
      <c r="V3265">
        <v>0.21013472984942591</v>
      </c>
      <c r="W3265">
        <v>11.967435721293761</v>
      </c>
      <c r="X3265">
        <v>0.34701130651168949</v>
      </c>
      <c r="Z3265" t="s">
        <v>392</v>
      </c>
      <c r="AA3265">
        <v>114</v>
      </c>
      <c r="AB3265" t="s">
        <v>3656</v>
      </c>
      <c r="AC3265" t="str">
        <f>HYPERLINK("plots/3FT6Y578R04_015_S21P_20251218081014_M5358ACSC201811_RBGEUFRF04/dpll_52046/txpa_54255.png","plot")</f>
        <v>plot</v>
      </c>
    </row>
    <row r="3266" spans="1:29" x14ac:dyDescent="0.35">
      <c r="A3266" s="4" t="s">
        <v>49</v>
      </c>
      <c r="B3266">
        <v>52046</v>
      </c>
      <c r="C3266" t="s">
        <v>51</v>
      </c>
      <c r="D3266">
        <v>54256</v>
      </c>
      <c r="E3266" t="s">
        <v>276</v>
      </c>
      <c r="F3266">
        <v>12027</v>
      </c>
      <c r="G3266">
        <v>0.76336700201486718</v>
      </c>
      <c r="H3266">
        <v>0</v>
      </c>
      <c r="I3266">
        <v>0</v>
      </c>
      <c r="J3266">
        <v>0.68157654037614257</v>
      </c>
      <c r="K3266">
        <v>0</v>
      </c>
      <c r="L3266">
        <v>0</v>
      </c>
      <c r="M3266">
        <v>0.49638650428951508</v>
      </c>
      <c r="N3266">
        <v>0</v>
      </c>
      <c r="O3266">
        <v>0</v>
      </c>
      <c r="P3266">
        <v>0.58272917976516625</v>
      </c>
      <c r="Q3266">
        <v>1.2712215749222551</v>
      </c>
      <c r="R3266">
        <v>6.3702517958182412</v>
      </c>
      <c r="S3266">
        <v>0.22602767825435099</v>
      </c>
      <c r="T3266">
        <v>0.17550344645078719</v>
      </c>
      <c r="U3266">
        <v>4.417954512264072</v>
      </c>
      <c r="V3266">
        <v>0.21012745463637059</v>
      </c>
      <c r="W3266">
        <v>11.98645088883346</v>
      </c>
      <c r="X3266">
        <v>0.34992153592204839</v>
      </c>
      <c r="Z3266" t="s">
        <v>392</v>
      </c>
      <c r="AA3266">
        <v>114</v>
      </c>
      <c r="AB3266" t="s">
        <v>3657</v>
      </c>
      <c r="AC3266" t="str">
        <f>HYPERLINK("plots/3FT6Y578R04_015_S21P_20251218081014_M5358ACSC201811_RBGEUFRF04/dpll_52046/txpa_54256.png","plot")</f>
        <v>plot</v>
      </c>
    </row>
    <row r="3267" spans="1:29" x14ac:dyDescent="0.35">
      <c r="A3267" s="4" t="s">
        <v>49</v>
      </c>
      <c r="B3267">
        <v>52046</v>
      </c>
      <c r="C3267" t="s">
        <v>51</v>
      </c>
      <c r="D3267">
        <v>54257</v>
      </c>
      <c r="E3267" t="s">
        <v>277</v>
      </c>
      <c r="F3267">
        <v>12028</v>
      </c>
      <c r="G3267">
        <v>0.76169783593503548</v>
      </c>
      <c r="H3267">
        <v>0</v>
      </c>
      <c r="I3267">
        <v>0</v>
      </c>
      <c r="J3267">
        <v>0.67464474753370796</v>
      </c>
      <c r="K3267">
        <v>0</v>
      </c>
      <c r="L3267">
        <v>0</v>
      </c>
      <c r="M3267">
        <v>0.48955365859024103</v>
      </c>
      <c r="N3267">
        <v>0</v>
      </c>
      <c r="O3267">
        <v>0</v>
      </c>
      <c r="P3267">
        <v>0.58018359326811619</v>
      </c>
      <c r="Q3267">
        <v>1.2522021174564519</v>
      </c>
      <c r="R3267">
        <v>6.4617476535767704</v>
      </c>
      <c r="S3267">
        <v>0.22383573584296271</v>
      </c>
      <c r="T3267">
        <v>0.17403081549060431</v>
      </c>
      <c r="U3267">
        <v>4.4179867093448619</v>
      </c>
      <c r="V3267">
        <v>0.2101483876699779</v>
      </c>
      <c r="W3267">
        <v>11.99395996591287</v>
      </c>
      <c r="X3267">
        <v>0.34547591394607752</v>
      </c>
      <c r="Z3267" t="s">
        <v>392</v>
      </c>
      <c r="AA3267">
        <v>114</v>
      </c>
      <c r="AB3267" t="s">
        <v>3658</v>
      </c>
      <c r="AC3267" t="str">
        <f>HYPERLINK("plots/3FT6Y578R04_015_S21P_20251218081014_M5358ACSC201811_RBGEUFRF04/dpll_52046/txpa_54257.png","plot")</f>
        <v>plot</v>
      </c>
    </row>
    <row r="3268" spans="1:29" x14ac:dyDescent="0.35">
      <c r="A3268" s="4" t="s">
        <v>49</v>
      </c>
      <c r="B3268">
        <v>52046</v>
      </c>
      <c r="C3268" t="s">
        <v>51</v>
      </c>
      <c r="D3268">
        <v>54258</v>
      </c>
      <c r="E3268" t="s">
        <v>278</v>
      </c>
      <c r="F3268">
        <v>12027</v>
      </c>
      <c r="G3268">
        <v>0.75360556105718735</v>
      </c>
      <c r="H3268">
        <v>0</v>
      </c>
      <c r="I3268">
        <v>0</v>
      </c>
      <c r="J3268">
        <v>0.66759784067170436</v>
      </c>
      <c r="K3268">
        <v>0</v>
      </c>
      <c r="L3268">
        <v>0</v>
      </c>
      <c r="M3268">
        <v>0.48439723610434438</v>
      </c>
      <c r="N3268">
        <v>0</v>
      </c>
      <c r="O3268">
        <v>0</v>
      </c>
      <c r="P3268">
        <v>0.56792134165631813</v>
      </c>
      <c r="Q3268">
        <v>1.2462288763430109</v>
      </c>
      <c r="R3268">
        <v>6.4569340369989296</v>
      </c>
      <c r="S3268">
        <v>0.22841718444078821</v>
      </c>
      <c r="T3268">
        <v>0.17620029408220739</v>
      </c>
      <c r="U3268">
        <v>4.418010118566559</v>
      </c>
      <c r="V3268">
        <v>0.21014144114715341</v>
      </c>
      <c r="W3268">
        <v>11.96278582273219</v>
      </c>
      <c r="X3268">
        <v>0.34750849198423722</v>
      </c>
      <c r="Z3268" t="s">
        <v>392</v>
      </c>
      <c r="AA3268">
        <v>114</v>
      </c>
      <c r="AB3268" t="s">
        <v>3659</v>
      </c>
      <c r="AC3268" t="str">
        <f>HYPERLINK("plots/3FT6Y578R04_015_S21P_20251218081014_M5358ACSC201811_RBGEUFRF04/dpll_52046/txpa_54258.png","plot")</f>
        <v>plot</v>
      </c>
    </row>
    <row r="3269" spans="1:29" hidden="1" x14ac:dyDescent="0.35">
      <c r="A3269" s="4" t="s">
        <v>49</v>
      </c>
      <c r="B3269">
        <v>52046</v>
      </c>
      <c r="C3269" t="s">
        <v>51</v>
      </c>
      <c r="D3269">
        <v>55146</v>
      </c>
      <c r="E3269" t="s">
        <v>279</v>
      </c>
      <c r="F3269">
        <v>12027</v>
      </c>
      <c r="G3269">
        <v>-8.7378435915427839E-3</v>
      </c>
      <c r="H3269">
        <v>0.33797314806999901</v>
      </c>
      <c r="I3269">
        <v>0.33931165558710791</v>
      </c>
      <c r="J3269">
        <v>-9.6450697790420072E-3</v>
      </c>
      <c r="K3269">
        <v>0.29020724732708081</v>
      </c>
      <c r="L3269">
        <v>0.29078077943642278</v>
      </c>
      <c r="M3269">
        <v>-6.3691411642744682E-3</v>
      </c>
      <c r="N3269">
        <v>0.29483986821548752</v>
      </c>
      <c r="O3269">
        <v>0.29542255570207931</v>
      </c>
      <c r="P3269">
        <v>7.6349910630265296E-5</v>
      </c>
      <c r="Q3269">
        <v>-0.1810260570345667</v>
      </c>
      <c r="R3269">
        <v>-11.07616793080817</v>
      </c>
      <c r="S3269">
        <v>4.3535630290450831</v>
      </c>
      <c r="T3269">
        <v>3.3643042434861901</v>
      </c>
      <c r="U3269">
        <v>4.4179916976802192</v>
      </c>
      <c r="V3269">
        <v>0.2101564125970847</v>
      </c>
      <c r="W3269">
        <v>-11.87593954785067</v>
      </c>
      <c r="X3269">
        <v>4.3539102450634077</v>
      </c>
      <c r="Z3269" t="s">
        <v>392</v>
      </c>
      <c r="AA3269">
        <v>114</v>
      </c>
      <c r="AB3269" t="s">
        <v>3660</v>
      </c>
      <c r="AC3269" t="str">
        <f>HYPERLINK("plots/3FT6Y578R04_015_S21P_20251218081014_M5358ACSC201811_RBGEUFRF04/dpll_52046/txpa_55146.png","plot")</f>
        <v>plot</v>
      </c>
    </row>
    <row r="3270" spans="1:29" x14ac:dyDescent="0.35">
      <c r="A3270" s="4" t="s">
        <v>49</v>
      </c>
      <c r="B3270">
        <v>52046</v>
      </c>
      <c r="C3270" t="s">
        <v>51</v>
      </c>
      <c r="D3270">
        <v>55147</v>
      </c>
      <c r="E3270" t="s">
        <v>280</v>
      </c>
      <c r="F3270">
        <v>12028</v>
      </c>
      <c r="G3270">
        <v>0.2345791853520714</v>
      </c>
      <c r="H3270">
        <v>4.860998021328007E-150</v>
      </c>
      <c r="I3270">
        <v>4.9094143362814728E-150</v>
      </c>
      <c r="J3270">
        <v>0.2220948603774146</v>
      </c>
      <c r="K3270">
        <v>2.620596782963715E-134</v>
      </c>
      <c r="L3270">
        <v>2.6493371265455699E-134</v>
      </c>
      <c r="M3270">
        <v>0.1494100957989796</v>
      </c>
      <c r="N3270">
        <v>6.4236057888535132E-133</v>
      </c>
      <c r="O3270">
        <v>6.4940541075747382E-133</v>
      </c>
      <c r="P3270">
        <v>5.5027394200441462E-2</v>
      </c>
      <c r="Q3270">
        <v>1.335057819817036</v>
      </c>
      <c r="R3270">
        <v>-27.28876400196371</v>
      </c>
      <c r="S3270">
        <v>1.162594378331786</v>
      </c>
      <c r="T3270">
        <v>0.90550330012558577</v>
      </c>
      <c r="U3270">
        <v>4.4179867093448619</v>
      </c>
      <c r="V3270">
        <v>0.2101483876699779</v>
      </c>
      <c r="W3270">
        <v>-21.390496297805122</v>
      </c>
      <c r="X3270">
        <v>1.1960151019352521</v>
      </c>
      <c r="Z3270" t="s">
        <v>392</v>
      </c>
      <c r="AA3270">
        <v>114</v>
      </c>
      <c r="AB3270" t="s">
        <v>3661</v>
      </c>
      <c r="AC3270" t="str">
        <f>HYPERLINK("plots/3FT6Y578R04_015_S21P_20251218081014_M5358ACSC201811_RBGEUFRF04/dpll_52046/txpa_55147.png","plot")</f>
        <v>plot</v>
      </c>
    </row>
    <row r="3271" spans="1:29" x14ac:dyDescent="0.35">
      <c r="A3271" s="4" t="s">
        <v>49</v>
      </c>
      <c r="B3271">
        <v>52046</v>
      </c>
      <c r="C3271" t="s">
        <v>51</v>
      </c>
      <c r="D3271">
        <v>55148</v>
      </c>
      <c r="E3271" t="s">
        <v>281</v>
      </c>
      <c r="F3271">
        <v>12028</v>
      </c>
      <c r="G3271">
        <v>0.27418525371487312</v>
      </c>
      <c r="H3271">
        <v>2.149386799269916E-206</v>
      </c>
      <c r="I3271">
        <v>2.2422615375099739E-206</v>
      </c>
      <c r="J3271">
        <v>0.26327343869412889</v>
      </c>
      <c r="K3271">
        <v>7.2041701352499205E-190</v>
      </c>
      <c r="L3271">
        <v>7.5699777379724546E-190</v>
      </c>
      <c r="M3271">
        <v>0.17751284226410061</v>
      </c>
      <c r="N3271">
        <v>6.1109030272900201E-187</v>
      </c>
      <c r="O3271">
        <v>6.4211975851524139E-187</v>
      </c>
      <c r="P3271">
        <v>7.5177553354689342E-2</v>
      </c>
      <c r="Q3271">
        <v>1.532689914982867</v>
      </c>
      <c r="R3271">
        <v>-28.05947953859037</v>
      </c>
      <c r="S3271">
        <v>1.12965907394349</v>
      </c>
      <c r="T3271">
        <v>0.87290194660199227</v>
      </c>
      <c r="U3271">
        <v>4.4179867093448619</v>
      </c>
      <c r="V3271">
        <v>0.2101483876699779</v>
      </c>
      <c r="W3271">
        <v>-21.288075864649151</v>
      </c>
      <c r="X3271">
        <v>1.1747251541347681</v>
      </c>
      <c r="Z3271" t="s">
        <v>392</v>
      </c>
      <c r="AA3271">
        <v>114</v>
      </c>
      <c r="AB3271" t="s">
        <v>3662</v>
      </c>
      <c r="AC3271" t="str">
        <f>HYPERLINK("plots/3FT6Y578R04_015_S21P_20251218081014_M5358ACSC201811_RBGEUFRF04/dpll_52046/txpa_55148.png","plot")</f>
        <v>plot</v>
      </c>
    </row>
    <row r="3272" spans="1:29" x14ac:dyDescent="0.35">
      <c r="A3272" s="4" t="s">
        <v>49</v>
      </c>
      <c r="B3272">
        <v>52046</v>
      </c>
      <c r="C3272" t="s">
        <v>51</v>
      </c>
      <c r="D3272">
        <v>55149</v>
      </c>
      <c r="E3272" t="s">
        <v>282</v>
      </c>
      <c r="F3272">
        <v>12028</v>
      </c>
      <c r="G3272">
        <v>0.24571883475722381</v>
      </c>
      <c r="H3272">
        <v>6.9028700308604265E-165</v>
      </c>
      <c r="I3272">
        <v>7.0135372858641997E-165</v>
      </c>
      <c r="J3272">
        <v>0.2296625442334575</v>
      </c>
      <c r="K3272">
        <v>9.9074341205165879E-144</v>
      </c>
      <c r="L3272">
        <v>1.007636730010413E-143</v>
      </c>
      <c r="M3272">
        <v>0.15469681129139379</v>
      </c>
      <c r="N3272">
        <v>1.9158071086699771E-142</v>
      </c>
      <c r="O3272">
        <v>1.9484738296803981E-142</v>
      </c>
      <c r="P3272">
        <v>6.0377745754447862E-2</v>
      </c>
      <c r="Q3272">
        <v>1.375001424840818</v>
      </c>
      <c r="R3272">
        <v>-27.35661393065277</v>
      </c>
      <c r="S3272">
        <v>1.139854337527874</v>
      </c>
      <c r="T3272">
        <v>0.88404382850904761</v>
      </c>
      <c r="U3272">
        <v>4.4179867093448619</v>
      </c>
      <c r="V3272">
        <v>0.2101483876699779</v>
      </c>
      <c r="W3272">
        <v>-21.281875910375788</v>
      </c>
      <c r="X3272">
        <v>1.175955163387105</v>
      </c>
      <c r="Z3272" t="s">
        <v>392</v>
      </c>
      <c r="AA3272">
        <v>114</v>
      </c>
      <c r="AB3272" t="s">
        <v>3663</v>
      </c>
      <c r="AC3272" t="str">
        <f>HYPERLINK("plots/3FT6Y578R04_015_S21P_20251218081014_M5358ACSC201811_RBGEUFRF04/dpll_52046/txpa_55149.png","plot")</f>
        <v>plot</v>
      </c>
    </row>
    <row r="3273" spans="1:29" x14ac:dyDescent="0.35">
      <c r="A3273" s="4" t="s">
        <v>49</v>
      </c>
      <c r="B3273">
        <v>52046</v>
      </c>
      <c r="C3273" t="s">
        <v>51</v>
      </c>
      <c r="D3273">
        <v>55150</v>
      </c>
      <c r="E3273" t="s">
        <v>283</v>
      </c>
      <c r="F3273">
        <v>12028</v>
      </c>
      <c r="G3273">
        <v>0.26810014940812849</v>
      </c>
      <c r="H3273">
        <v>4.3979417035974043E-197</v>
      </c>
      <c r="I3273">
        <v>4.5691730404177939E-197</v>
      </c>
      <c r="J3273">
        <v>0.25377573648884388</v>
      </c>
      <c r="K3273">
        <v>4.1344650298085162E-176</v>
      </c>
      <c r="L3273">
        <v>4.2910414946016737E-176</v>
      </c>
      <c r="M3273">
        <v>0.17127972314676579</v>
      </c>
      <c r="N3273">
        <v>3.241703572672499E-174</v>
      </c>
      <c r="O3273">
        <v>3.3644702381677731E-174</v>
      </c>
      <c r="P3273">
        <v>7.1877690112660847E-2</v>
      </c>
      <c r="Q3273">
        <v>1.4977417270951909</v>
      </c>
      <c r="R3273">
        <v>-27.82420113213292</v>
      </c>
      <c r="S3273">
        <v>1.1309684441547789</v>
      </c>
      <c r="T3273">
        <v>0.87225148582107093</v>
      </c>
      <c r="U3273">
        <v>4.4179867093448619</v>
      </c>
      <c r="V3273">
        <v>0.2101483876699779</v>
      </c>
      <c r="W3273">
        <v>-21.207198087795138</v>
      </c>
      <c r="X3273">
        <v>1.173994157742754</v>
      </c>
      <c r="Z3273" t="s">
        <v>392</v>
      </c>
      <c r="AA3273">
        <v>114</v>
      </c>
      <c r="AB3273" t="s">
        <v>3664</v>
      </c>
      <c r="AC3273" t="str">
        <f>HYPERLINK("plots/3FT6Y578R04_015_S21P_20251218081014_M5358ACSC201811_RBGEUFRF04/dpll_52046/txpa_55150.png","plot")</f>
        <v>plot</v>
      </c>
    </row>
    <row r="3274" spans="1:29" x14ac:dyDescent="0.35">
      <c r="A3274" s="4" t="s">
        <v>49</v>
      </c>
      <c r="B3274">
        <v>52046</v>
      </c>
      <c r="C3274" t="s">
        <v>51</v>
      </c>
      <c r="D3274">
        <v>55151</v>
      </c>
      <c r="E3274" t="s">
        <v>284</v>
      </c>
      <c r="F3274">
        <v>12028</v>
      </c>
      <c r="G3274">
        <v>0.26101771520351841</v>
      </c>
      <c r="H3274">
        <v>1.505278003336326E-186</v>
      </c>
      <c r="I3274">
        <v>1.5448905823714921E-186</v>
      </c>
      <c r="J3274">
        <v>0.2493667411803121</v>
      </c>
      <c r="K3274">
        <v>6.4340123927257292E-170</v>
      </c>
      <c r="L3274">
        <v>6.6234401687552181E-170</v>
      </c>
      <c r="M3274">
        <v>0.16822562574481359</v>
      </c>
      <c r="N3274">
        <v>4.3188538518584663E-168</v>
      </c>
      <c r="O3274">
        <v>4.4505262253907363E-168</v>
      </c>
      <c r="P3274">
        <v>6.8130247650065021E-2</v>
      </c>
      <c r="Q3274">
        <v>1.460335454082557</v>
      </c>
      <c r="R3274">
        <v>-27.706883630813689</v>
      </c>
      <c r="S3274">
        <v>1.134927870163976</v>
      </c>
      <c r="T3274">
        <v>0.87833318578524999</v>
      </c>
      <c r="U3274">
        <v>4.4179867093448619</v>
      </c>
      <c r="V3274">
        <v>0.2101483876699779</v>
      </c>
      <c r="W3274">
        <v>-21.25514100349185</v>
      </c>
      <c r="X3274">
        <v>1.1757329991700809</v>
      </c>
      <c r="Z3274" t="s">
        <v>392</v>
      </c>
      <c r="AA3274">
        <v>114</v>
      </c>
      <c r="AB3274" t="s">
        <v>3665</v>
      </c>
      <c r="AC3274" t="str">
        <f>HYPERLINK("plots/3FT6Y578R04_015_S21P_20251218081014_M5358ACSC201811_RBGEUFRF04/dpll_52046/txpa_55151.png","plot")</f>
        <v>plot</v>
      </c>
    </row>
    <row r="3275" spans="1:29" x14ac:dyDescent="0.35">
      <c r="A3275" s="4" t="s">
        <v>49</v>
      </c>
      <c r="B3275">
        <v>52046</v>
      </c>
      <c r="C3275" t="s">
        <v>51</v>
      </c>
      <c r="D3275">
        <v>55152</v>
      </c>
      <c r="E3275" t="s">
        <v>285</v>
      </c>
      <c r="F3275">
        <v>12028</v>
      </c>
      <c r="G3275">
        <v>0.26110165223542198</v>
      </c>
      <c r="H3275">
        <v>1.1341270469345109E-186</v>
      </c>
      <c r="I3275">
        <v>1.1651517989783129E-186</v>
      </c>
      <c r="J3275">
        <v>0.25340507574589449</v>
      </c>
      <c r="K3275">
        <v>1.3858538922393939E-175</v>
      </c>
      <c r="L3275">
        <v>1.436866918947592E-175</v>
      </c>
      <c r="M3275">
        <v>0.17123481432010379</v>
      </c>
      <c r="N3275">
        <v>4.9624304857039136E-174</v>
      </c>
      <c r="O3275">
        <v>5.1450966385519114E-174</v>
      </c>
      <c r="P3275">
        <v>6.8174072800067265E-2</v>
      </c>
      <c r="Q3275">
        <v>1.4701105542333739</v>
      </c>
      <c r="R3275">
        <v>-27.799693272976739</v>
      </c>
      <c r="S3275">
        <v>1.142130629660322</v>
      </c>
      <c r="T3275">
        <v>0.88714963710250616</v>
      </c>
      <c r="U3275">
        <v>4.4179867093448619</v>
      </c>
      <c r="V3275">
        <v>0.2101483876699779</v>
      </c>
      <c r="W3275">
        <v>-21.304764383106079</v>
      </c>
      <c r="X3275">
        <v>1.1832225496229509</v>
      </c>
      <c r="Z3275" t="s">
        <v>392</v>
      </c>
      <c r="AA3275">
        <v>114</v>
      </c>
      <c r="AB3275" t="s">
        <v>3666</v>
      </c>
      <c r="AC3275" t="str">
        <f>HYPERLINK("plots/3FT6Y578R04_015_S21P_20251218081014_M5358ACSC201811_RBGEUFRF04/dpll_52046/txpa_55152.png","plot")</f>
        <v>plot</v>
      </c>
    </row>
    <row r="3276" spans="1:29" x14ac:dyDescent="0.35">
      <c r="A3276" s="4" t="s">
        <v>49</v>
      </c>
      <c r="B3276">
        <v>52046</v>
      </c>
      <c r="C3276" t="s">
        <v>51</v>
      </c>
      <c r="D3276">
        <v>55153</v>
      </c>
      <c r="E3276" t="s">
        <v>286</v>
      </c>
      <c r="F3276">
        <v>12028</v>
      </c>
      <c r="G3276">
        <v>0.23958026322242501</v>
      </c>
      <c r="H3276">
        <v>1.3070500747043681E-156</v>
      </c>
      <c r="I3276">
        <v>1.3240247509992291E-156</v>
      </c>
      <c r="J3276">
        <v>0.2263604850860485</v>
      </c>
      <c r="K3276">
        <v>1.4131786236407509E-139</v>
      </c>
      <c r="L3276">
        <v>1.431531592778942E-139</v>
      </c>
      <c r="M3276">
        <v>0.15314155337890781</v>
      </c>
      <c r="N3276">
        <v>1.340746224758157E-139</v>
      </c>
      <c r="O3276">
        <v>1.3581585133913799E-139</v>
      </c>
      <c r="P3276">
        <v>5.7398702525726437E-2</v>
      </c>
      <c r="Q3276">
        <v>1.3590514487678389</v>
      </c>
      <c r="R3276">
        <v>-27.30011167528513</v>
      </c>
      <c r="S3276">
        <v>1.1573291309322971</v>
      </c>
      <c r="T3276">
        <v>0.89951000663291825</v>
      </c>
      <c r="U3276">
        <v>4.4179867093448619</v>
      </c>
      <c r="V3276">
        <v>0.2101483876699779</v>
      </c>
      <c r="W3276">
        <v>-21.29584043731294</v>
      </c>
      <c r="X3276">
        <v>1.1920951537395941</v>
      </c>
      <c r="Z3276" t="s">
        <v>392</v>
      </c>
      <c r="AA3276">
        <v>114</v>
      </c>
      <c r="AB3276" t="s">
        <v>3667</v>
      </c>
      <c r="AC3276" t="str">
        <f>HYPERLINK("plots/3FT6Y578R04_015_S21P_20251218081014_M5358ACSC201811_RBGEUFRF04/dpll_52046/txpa_55153.png","plot")</f>
        <v>plot</v>
      </c>
    </row>
    <row r="3277" spans="1:29" x14ac:dyDescent="0.35">
      <c r="A3277" s="4" t="s">
        <v>49</v>
      </c>
      <c r="B3277">
        <v>52046</v>
      </c>
      <c r="C3277" t="s">
        <v>51</v>
      </c>
      <c r="D3277">
        <v>55154</v>
      </c>
      <c r="E3277" t="s">
        <v>287</v>
      </c>
      <c r="F3277">
        <v>12028</v>
      </c>
      <c r="G3277">
        <v>0.25664918785722413</v>
      </c>
      <c r="H3277">
        <v>3.2701920258848258E-180</v>
      </c>
      <c r="I3277">
        <v>3.3326379037660441E-180</v>
      </c>
      <c r="J3277">
        <v>0.23945227157285681</v>
      </c>
      <c r="K3277">
        <v>1.93365632192372E-156</v>
      </c>
      <c r="L3277">
        <v>1.9725628877571959E-156</v>
      </c>
      <c r="M3277">
        <v>0.1616169398434848</v>
      </c>
      <c r="N3277">
        <v>3.181623518444494E-155</v>
      </c>
      <c r="O3277">
        <v>3.245640088232109E-155</v>
      </c>
      <c r="P3277">
        <v>6.5868805627772697E-2</v>
      </c>
      <c r="Q3277">
        <v>1.455803904486652</v>
      </c>
      <c r="R3277">
        <v>-27.813100948757299</v>
      </c>
      <c r="S3277">
        <v>1.152059557414717</v>
      </c>
      <c r="T3277">
        <v>0.89955745319723313</v>
      </c>
      <c r="U3277">
        <v>4.4179867093448619</v>
      </c>
      <c r="V3277">
        <v>0.2101483876699779</v>
      </c>
      <c r="W3277">
        <v>-21.381378647322911</v>
      </c>
      <c r="X3277">
        <v>1.192035111608156</v>
      </c>
      <c r="Z3277" t="s">
        <v>392</v>
      </c>
      <c r="AA3277">
        <v>114</v>
      </c>
      <c r="AB3277" t="s">
        <v>3668</v>
      </c>
      <c r="AC3277" t="str">
        <f>HYPERLINK("plots/3FT6Y578R04_015_S21P_20251218081014_M5358ACSC201811_RBGEUFRF04/dpll_52046/txpa_55154.png","plot")</f>
        <v>plot</v>
      </c>
    </row>
    <row r="3278" spans="1:29" x14ac:dyDescent="0.35">
      <c r="A3278" s="4" t="s">
        <v>49</v>
      </c>
      <c r="B3278">
        <v>52046</v>
      </c>
      <c r="C3278" t="s">
        <v>51</v>
      </c>
      <c r="D3278">
        <v>55155</v>
      </c>
      <c r="E3278" t="s">
        <v>288</v>
      </c>
      <c r="F3278">
        <v>12028</v>
      </c>
      <c r="G3278">
        <v>0.50934344127243825</v>
      </c>
      <c r="H3278">
        <v>0</v>
      </c>
      <c r="I3278">
        <v>0</v>
      </c>
      <c r="J3278">
        <v>0.450732495101621</v>
      </c>
      <c r="K3278">
        <v>0</v>
      </c>
      <c r="L3278">
        <v>0</v>
      </c>
      <c r="M3278">
        <v>0.31068967383338991</v>
      </c>
      <c r="N3278">
        <v>0</v>
      </c>
      <c r="O3278">
        <v>0</v>
      </c>
      <c r="P3278">
        <v>0.25943074116724968</v>
      </c>
      <c r="Q3278">
        <v>0.79780445315227433</v>
      </c>
      <c r="R3278">
        <v>-15.130919218770689</v>
      </c>
      <c r="S3278">
        <v>0.28325434873493882</v>
      </c>
      <c r="T3278">
        <v>0.2196664695870893</v>
      </c>
      <c r="U3278">
        <v>4.4179867093448619</v>
      </c>
      <c r="V3278">
        <v>0.2101483876699779</v>
      </c>
      <c r="W3278">
        <v>-11.60622974808779</v>
      </c>
      <c r="X3278">
        <v>0.32916359752672691</v>
      </c>
      <c r="Z3278" t="s">
        <v>392</v>
      </c>
      <c r="AA3278">
        <v>114</v>
      </c>
      <c r="AB3278" t="s">
        <v>3669</v>
      </c>
      <c r="AC3278" t="str">
        <f>HYPERLINK("plots/3FT6Y578R04_015_S21P_20251218081014_M5358ACSC201811_RBGEUFRF04/dpll_52046/txpa_55155.png","plot")</f>
        <v>plot</v>
      </c>
    </row>
    <row r="3279" spans="1:29" x14ac:dyDescent="0.35">
      <c r="A3279" s="4" t="s">
        <v>49</v>
      </c>
      <c r="B3279">
        <v>52046</v>
      </c>
      <c r="C3279" t="s">
        <v>51</v>
      </c>
      <c r="D3279">
        <v>55156</v>
      </c>
      <c r="E3279" t="s">
        <v>289</v>
      </c>
      <c r="F3279">
        <v>12028</v>
      </c>
      <c r="G3279">
        <v>0.54675544860739822</v>
      </c>
      <c r="H3279">
        <v>0</v>
      </c>
      <c r="I3279">
        <v>0</v>
      </c>
      <c r="J3279">
        <v>0.48139831110911441</v>
      </c>
      <c r="K3279">
        <v>0</v>
      </c>
      <c r="L3279">
        <v>0</v>
      </c>
      <c r="M3279">
        <v>0.33451487907710142</v>
      </c>
      <c r="N3279">
        <v>0</v>
      </c>
      <c r="O3279">
        <v>0</v>
      </c>
      <c r="P3279">
        <v>0.29894152058187728</v>
      </c>
      <c r="Q3279">
        <v>0.85610644974813299</v>
      </c>
      <c r="R3279">
        <v>-15.325224274603389</v>
      </c>
      <c r="S3279">
        <v>0.27549884386647289</v>
      </c>
      <c r="T3279">
        <v>0.21545037424965949</v>
      </c>
      <c r="U3279">
        <v>4.4179867093448619</v>
      </c>
      <c r="V3279">
        <v>0.2101483876699779</v>
      </c>
      <c r="W3279">
        <v>-11.54295735783173</v>
      </c>
      <c r="X3279">
        <v>0.32904910329960768</v>
      </c>
      <c r="Z3279" t="s">
        <v>392</v>
      </c>
      <c r="AA3279">
        <v>114</v>
      </c>
      <c r="AB3279" t="s">
        <v>3670</v>
      </c>
      <c r="AC3279" t="str">
        <f>HYPERLINK("plots/3FT6Y578R04_015_S21P_20251218081014_M5358ACSC201811_RBGEUFRF04/dpll_52046/txpa_55156.png","plot")</f>
        <v>plot</v>
      </c>
    </row>
    <row r="3280" spans="1:29" x14ac:dyDescent="0.35">
      <c r="A3280" s="4" t="s">
        <v>49</v>
      </c>
      <c r="B3280">
        <v>52046</v>
      </c>
      <c r="C3280" t="s">
        <v>51</v>
      </c>
      <c r="D3280">
        <v>55157</v>
      </c>
      <c r="E3280" t="s">
        <v>290</v>
      </c>
      <c r="F3280">
        <v>12028</v>
      </c>
      <c r="G3280">
        <v>0.53638289458157451</v>
      </c>
      <c r="H3280">
        <v>0</v>
      </c>
      <c r="I3280">
        <v>0</v>
      </c>
      <c r="J3280">
        <v>0.46668982694353361</v>
      </c>
      <c r="K3280">
        <v>0</v>
      </c>
      <c r="L3280">
        <v>0</v>
      </c>
      <c r="M3280">
        <v>0.32388683128631629</v>
      </c>
      <c r="N3280">
        <v>0</v>
      </c>
      <c r="O3280">
        <v>0</v>
      </c>
      <c r="P3280">
        <v>0.28770660959970851</v>
      </c>
      <c r="Q3280">
        <v>0.82412603977741206</v>
      </c>
      <c r="R3280">
        <v>-15.16099277084097</v>
      </c>
      <c r="S3280">
        <v>0.27249352207168093</v>
      </c>
      <c r="T3280">
        <v>0.21359285727818031</v>
      </c>
      <c r="U3280">
        <v>4.4179867093448619</v>
      </c>
      <c r="V3280">
        <v>0.2101483876699779</v>
      </c>
      <c r="W3280">
        <v>-11.52001488027935</v>
      </c>
      <c r="X3280">
        <v>0.32288270234860789</v>
      </c>
      <c r="Z3280" t="s">
        <v>392</v>
      </c>
      <c r="AA3280">
        <v>114</v>
      </c>
      <c r="AB3280" t="s">
        <v>3671</v>
      </c>
      <c r="AC3280" t="str">
        <f>HYPERLINK("plots/3FT6Y578R04_015_S21P_20251218081014_M5358ACSC201811_RBGEUFRF04/dpll_52046/txpa_55157.png","plot")</f>
        <v>plot</v>
      </c>
    </row>
    <row r="3281" spans="1:29" x14ac:dyDescent="0.35">
      <c r="A3281" s="4" t="s">
        <v>49</v>
      </c>
      <c r="B3281">
        <v>52046</v>
      </c>
      <c r="C3281" t="s">
        <v>51</v>
      </c>
      <c r="D3281">
        <v>55158</v>
      </c>
      <c r="E3281" t="s">
        <v>291</v>
      </c>
      <c r="F3281">
        <v>12028</v>
      </c>
      <c r="G3281">
        <v>0.55817393920233038</v>
      </c>
      <c r="H3281">
        <v>0</v>
      </c>
      <c r="I3281">
        <v>0</v>
      </c>
      <c r="J3281">
        <v>0.48920874212979532</v>
      </c>
      <c r="K3281">
        <v>0</v>
      </c>
      <c r="L3281">
        <v>0</v>
      </c>
      <c r="M3281">
        <v>0.34037505988127009</v>
      </c>
      <c r="N3281">
        <v>0</v>
      </c>
      <c r="O3281">
        <v>0</v>
      </c>
      <c r="P3281">
        <v>0.3115581464046468</v>
      </c>
      <c r="Q3281">
        <v>0.87763798803300697</v>
      </c>
      <c r="R3281">
        <v>-15.370532805455669</v>
      </c>
      <c r="S3281">
        <v>0.27414952525951292</v>
      </c>
      <c r="T3281">
        <v>0.2138921761184536</v>
      </c>
      <c r="U3281">
        <v>4.4179867093448619</v>
      </c>
      <c r="V3281">
        <v>0.2101483876699779</v>
      </c>
      <c r="W3281">
        <v>-11.493139838709681</v>
      </c>
      <c r="X3281">
        <v>0.33042425521805852</v>
      </c>
      <c r="Z3281" t="s">
        <v>392</v>
      </c>
      <c r="AA3281">
        <v>114</v>
      </c>
      <c r="AB3281" t="s">
        <v>3672</v>
      </c>
      <c r="AC3281" t="str">
        <f>HYPERLINK("plots/3FT6Y578R04_015_S21P_20251218081014_M5358ACSC201811_RBGEUFRF04/dpll_52046/txpa_55158.png","plot")</f>
        <v>plot</v>
      </c>
    </row>
    <row r="3282" spans="1:29" x14ac:dyDescent="0.35">
      <c r="A3282" s="4" t="s">
        <v>49</v>
      </c>
      <c r="B3282">
        <v>52046</v>
      </c>
      <c r="C3282" t="s">
        <v>51</v>
      </c>
      <c r="D3282">
        <v>55159</v>
      </c>
      <c r="E3282" t="s">
        <v>292</v>
      </c>
      <c r="F3282">
        <v>12027</v>
      </c>
      <c r="G3282">
        <v>0.54634278233286782</v>
      </c>
      <c r="H3282">
        <v>0</v>
      </c>
      <c r="I3282">
        <v>0</v>
      </c>
      <c r="J3282">
        <v>0.47509038307048301</v>
      </c>
      <c r="K3282">
        <v>0</v>
      </c>
      <c r="L3282">
        <v>0</v>
      </c>
      <c r="M3282">
        <v>0.32937723080029868</v>
      </c>
      <c r="N3282">
        <v>0</v>
      </c>
      <c r="O3282">
        <v>0</v>
      </c>
      <c r="P3282">
        <v>0.2984904358072194</v>
      </c>
      <c r="Q3282">
        <v>0.8629763662936184</v>
      </c>
      <c r="R3282">
        <v>-15.3219870999132</v>
      </c>
      <c r="S3282">
        <v>0.27799070225495282</v>
      </c>
      <c r="T3282">
        <v>0.21723031810685761</v>
      </c>
      <c r="U3282">
        <v>4.4179587365926656</v>
      </c>
      <c r="V3282">
        <v>0.21013472984942591</v>
      </c>
      <c r="W3282">
        <v>-11.509393122973311</v>
      </c>
      <c r="X3282">
        <v>0.3319185527137864</v>
      </c>
      <c r="Z3282" t="s">
        <v>392</v>
      </c>
      <c r="AA3282">
        <v>114</v>
      </c>
      <c r="AB3282" t="s">
        <v>3673</v>
      </c>
      <c r="AC3282" t="str">
        <f>HYPERLINK("plots/3FT6Y578R04_015_S21P_20251218081014_M5358ACSC201811_RBGEUFRF04/dpll_52046/txpa_55159.png","plot")</f>
        <v>plot</v>
      </c>
    </row>
    <row r="3283" spans="1:29" x14ac:dyDescent="0.35">
      <c r="A3283" s="4" t="s">
        <v>49</v>
      </c>
      <c r="B3283">
        <v>52046</v>
      </c>
      <c r="C3283" t="s">
        <v>51</v>
      </c>
      <c r="D3283">
        <v>55160</v>
      </c>
      <c r="E3283" t="s">
        <v>293</v>
      </c>
      <c r="F3283">
        <v>12028</v>
      </c>
      <c r="G3283">
        <v>0.55571115326942455</v>
      </c>
      <c r="H3283">
        <v>0</v>
      </c>
      <c r="I3283">
        <v>0</v>
      </c>
      <c r="J3283">
        <v>0.48977453603917798</v>
      </c>
      <c r="K3283">
        <v>0</v>
      </c>
      <c r="L3283">
        <v>0</v>
      </c>
      <c r="M3283">
        <v>0.34095344296521779</v>
      </c>
      <c r="N3283">
        <v>0</v>
      </c>
      <c r="O3283">
        <v>0</v>
      </c>
      <c r="P3283">
        <v>0.30881488586803391</v>
      </c>
      <c r="Q3283">
        <v>0.86403589127383285</v>
      </c>
      <c r="R3283">
        <v>-15.336172707090959</v>
      </c>
      <c r="S3283">
        <v>0.27163633737109599</v>
      </c>
      <c r="T3283">
        <v>0.21324203767661701</v>
      </c>
      <c r="U3283">
        <v>4.4179867093448619</v>
      </c>
      <c r="V3283">
        <v>0.2101483876699779</v>
      </c>
      <c r="W3283">
        <v>-11.518873623046231</v>
      </c>
      <c r="X3283">
        <v>0.32674483564333878</v>
      </c>
      <c r="Z3283" t="s">
        <v>392</v>
      </c>
      <c r="AA3283">
        <v>114</v>
      </c>
      <c r="AB3283" t="s">
        <v>3674</v>
      </c>
      <c r="AC3283" t="str">
        <f>HYPERLINK("plots/3FT6Y578R04_015_S21P_20251218081014_M5358ACSC201811_RBGEUFRF04/dpll_52046/txpa_55160.png","plot")</f>
        <v>plot</v>
      </c>
    </row>
    <row r="3284" spans="1:29" x14ac:dyDescent="0.35">
      <c r="A3284" s="4" t="s">
        <v>49</v>
      </c>
      <c r="B3284">
        <v>52046</v>
      </c>
      <c r="C3284" t="s">
        <v>51</v>
      </c>
      <c r="D3284">
        <v>55161</v>
      </c>
      <c r="E3284" t="s">
        <v>294</v>
      </c>
      <c r="F3284">
        <v>12028</v>
      </c>
      <c r="G3284">
        <v>0.54759127384725659</v>
      </c>
      <c r="H3284">
        <v>0</v>
      </c>
      <c r="I3284">
        <v>0</v>
      </c>
      <c r="J3284">
        <v>0.47667438055313388</v>
      </c>
      <c r="K3284">
        <v>0</v>
      </c>
      <c r="L3284">
        <v>0</v>
      </c>
      <c r="M3284">
        <v>0.3305779588213516</v>
      </c>
      <c r="N3284">
        <v>0</v>
      </c>
      <c r="O3284">
        <v>0</v>
      </c>
      <c r="P3284">
        <v>0.29985620319366108</v>
      </c>
      <c r="Q3284">
        <v>0.84197145071931756</v>
      </c>
      <c r="R3284">
        <v>-15.2359433197638</v>
      </c>
      <c r="S3284">
        <v>0.27036002490953692</v>
      </c>
      <c r="T3284">
        <v>0.21278196044790981</v>
      </c>
      <c r="U3284">
        <v>4.4179867093448619</v>
      </c>
      <c r="V3284">
        <v>0.2101483876699779</v>
      </c>
      <c r="W3284">
        <v>-11.516124640838051</v>
      </c>
      <c r="X3284">
        <v>0.32312228350477989</v>
      </c>
      <c r="Z3284" t="s">
        <v>392</v>
      </c>
      <c r="AA3284">
        <v>114</v>
      </c>
      <c r="AB3284" t="s">
        <v>3675</v>
      </c>
      <c r="AC3284" t="str">
        <f>HYPERLINK("plots/3FT6Y578R04_015_S21P_20251218081014_M5358ACSC201811_RBGEUFRF04/dpll_52046/txpa_55161.png","plot")</f>
        <v>plot</v>
      </c>
    </row>
    <row r="3285" spans="1:29" x14ac:dyDescent="0.35">
      <c r="A3285" s="4" t="s">
        <v>49</v>
      </c>
      <c r="B3285">
        <v>52046</v>
      </c>
      <c r="C3285" t="s">
        <v>51</v>
      </c>
      <c r="D3285">
        <v>55162</v>
      </c>
      <c r="E3285" t="s">
        <v>295</v>
      </c>
      <c r="F3285">
        <v>12028</v>
      </c>
      <c r="G3285">
        <v>0.5302817009622417</v>
      </c>
      <c r="H3285">
        <v>0</v>
      </c>
      <c r="I3285">
        <v>0</v>
      </c>
      <c r="J3285">
        <v>0.46330400791837639</v>
      </c>
      <c r="K3285">
        <v>0</v>
      </c>
      <c r="L3285">
        <v>0</v>
      </c>
      <c r="M3285">
        <v>0.32114253622984701</v>
      </c>
      <c r="N3285">
        <v>0</v>
      </c>
      <c r="O3285">
        <v>0</v>
      </c>
      <c r="P3285">
        <v>0.28119868237540829</v>
      </c>
      <c r="Q3285">
        <v>0.82359402445529939</v>
      </c>
      <c r="R3285">
        <v>-15.2277342040225</v>
      </c>
      <c r="S3285">
        <v>0.27670626140241023</v>
      </c>
      <c r="T3285">
        <v>0.21593139627277891</v>
      </c>
      <c r="U3285">
        <v>4.4179867093448619</v>
      </c>
      <c r="V3285">
        <v>0.2101483876699779</v>
      </c>
      <c r="W3285">
        <v>-11.58910675008314</v>
      </c>
      <c r="X3285">
        <v>0.32638681670486919</v>
      </c>
      <c r="Z3285" t="s">
        <v>392</v>
      </c>
      <c r="AA3285">
        <v>114</v>
      </c>
      <c r="AB3285" t="s">
        <v>3676</v>
      </c>
      <c r="AC3285" t="str">
        <f>HYPERLINK("plots/3FT6Y578R04_015_S21P_20251218081014_M5358ACSC201811_RBGEUFRF04/dpll_52046/txpa_55162.png","plot")</f>
        <v>plot</v>
      </c>
    </row>
    <row r="3286" spans="1:29" x14ac:dyDescent="0.35">
      <c r="A3286" s="4" t="s">
        <v>49</v>
      </c>
      <c r="B3286">
        <v>52046</v>
      </c>
      <c r="C3286" t="s">
        <v>51</v>
      </c>
      <c r="D3286">
        <v>55163</v>
      </c>
      <c r="E3286" t="s">
        <v>296</v>
      </c>
      <c r="F3286">
        <v>12028</v>
      </c>
      <c r="G3286">
        <v>0.50695801959987985</v>
      </c>
      <c r="H3286">
        <v>0</v>
      </c>
      <c r="I3286">
        <v>0</v>
      </c>
      <c r="J3286">
        <v>0.45035566658906367</v>
      </c>
      <c r="K3286">
        <v>0</v>
      </c>
      <c r="L3286">
        <v>0</v>
      </c>
      <c r="M3286">
        <v>0.30965781904781792</v>
      </c>
      <c r="N3286">
        <v>0</v>
      </c>
      <c r="O3286">
        <v>0</v>
      </c>
      <c r="P3286">
        <v>0.25700643363663223</v>
      </c>
      <c r="Q3286">
        <v>0.70722905001851954</v>
      </c>
      <c r="R3286">
        <v>-8.8755901745551533</v>
      </c>
      <c r="S3286">
        <v>0.25269033342587999</v>
      </c>
      <c r="T3286">
        <v>0.1960562063393145</v>
      </c>
      <c r="U3286">
        <v>4.4179867093448619</v>
      </c>
      <c r="V3286">
        <v>0.2101483876699779</v>
      </c>
      <c r="W3286">
        <v>-5.7510616311107423</v>
      </c>
      <c r="X3286">
        <v>0.29316637439144139</v>
      </c>
      <c r="Z3286" t="s">
        <v>392</v>
      </c>
      <c r="AA3286">
        <v>114</v>
      </c>
      <c r="AB3286" t="s">
        <v>3677</v>
      </c>
      <c r="AC3286" t="str">
        <f>HYPERLINK("plots/3FT6Y578R04_015_S21P_20251218081014_M5358ACSC201811_RBGEUFRF04/dpll_52046/txpa_55163.png","plot")</f>
        <v>plot</v>
      </c>
    </row>
    <row r="3287" spans="1:29" x14ac:dyDescent="0.35">
      <c r="A3287" s="4" t="s">
        <v>49</v>
      </c>
      <c r="B3287">
        <v>52046</v>
      </c>
      <c r="C3287" t="s">
        <v>51</v>
      </c>
      <c r="D3287">
        <v>55164</v>
      </c>
      <c r="E3287" t="s">
        <v>297</v>
      </c>
      <c r="F3287">
        <v>12028</v>
      </c>
      <c r="G3287">
        <v>0.53688703947678373</v>
      </c>
      <c r="H3287">
        <v>0</v>
      </c>
      <c r="I3287">
        <v>0</v>
      </c>
      <c r="J3287">
        <v>0.47467387055018279</v>
      </c>
      <c r="K3287">
        <v>0</v>
      </c>
      <c r="L3287">
        <v>0</v>
      </c>
      <c r="M3287">
        <v>0.32936832556459172</v>
      </c>
      <c r="N3287">
        <v>0</v>
      </c>
      <c r="O3287">
        <v>0</v>
      </c>
      <c r="P3287">
        <v>0.28824769315814552</v>
      </c>
      <c r="Q3287">
        <v>0.74946872243520946</v>
      </c>
      <c r="R3287">
        <v>-9.0196358190385109</v>
      </c>
      <c r="S3287">
        <v>0.24748167273479621</v>
      </c>
      <c r="T3287">
        <v>0.19362946741698639</v>
      </c>
      <c r="U3287">
        <v>4.4179867093448619</v>
      </c>
      <c r="V3287">
        <v>0.2101483876699779</v>
      </c>
      <c r="W3287">
        <v>-5.7084929642500821</v>
      </c>
      <c r="X3287">
        <v>0.29335713483105641</v>
      </c>
      <c r="Z3287" t="s">
        <v>392</v>
      </c>
      <c r="AA3287">
        <v>114</v>
      </c>
      <c r="AB3287" t="s">
        <v>3678</v>
      </c>
      <c r="AC3287" t="str">
        <f>HYPERLINK("plots/3FT6Y578R04_015_S21P_20251218081014_M5358ACSC201811_RBGEUFRF04/dpll_52046/txpa_55164.png","plot")</f>
        <v>plot</v>
      </c>
    </row>
    <row r="3288" spans="1:29" x14ac:dyDescent="0.35">
      <c r="A3288" s="4" t="s">
        <v>49</v>
      </c>
      <c r="B3288">
        <v>52046</v>
      </c>
      <c r="C3288" t="s">
        <v>51</v>
      </c>
      <c r="D3288">
        <v>55165</v>
      </c>
      <c r="E3288" t="s">
        <v>298</v>
      </c>
      <c r="F3288">
        <v>12028</v>
      </c>
      <c r="G3288">
        <v>0.52351499477113805</v>
      </c>
      <c r="H3288">
        <v>0</v>
      </c>
      <c r="I3288">
        <v>0</v>
      </c>
      <c r="J3288">
        <v>0.45836752617855447</v>
      </c>
      <c r="K3288">
        <v>0</v>
      </c>
      <c r="L3288">
        <v>0</v>
      </c>
      <c r="M3288">
        <v>0.31696041087173321</v>
      </c>
      <c r="N3288">
        <v>0</v>
      </c>
      <c r="O3288">
        <v>0</v>
      </c>
      <c r="P3288">
        <v>0.27406794975022469</v>
      </c>
      <c r="Q3288">
        <v>0.71753327447669235</v>
      </c>
      <c r="R3288">
        <v>-8.8579146316904662</v>
      </c>
      <c r="S3288">
        <v>0.2453968105017697</v>
      </c>
      <c r="T3288">
        <v>0.1924621974156433</v>
      </c>
      <c r="U3288">
        <v>4.4179867093448619</v>
      </c>
      <c r="V3288">
        <v>0.2101483876699779</v>
      </c>
      <c r="W3288">
        <v>-5.6878621615397398</v>
      </c>
      <c r="X3288">
        <v>0.28803083433504312</v>
      </c>
      <c r="Z3288" t="s">
        <v>392</v>
      </c>
      <c r="AA3288">
        <v>114</v>
      </c>
      <c r="AB3288" t="s">
        <v>3679</v>
      </c>
      <c r="AC3288" t="str">
        <f>HYPERLINK("plots/3FT6Y578R04_015_S21P_20251218081014_M5358ACSC201811_RBGEUFRF04/dpll_52046/txpa_55165.png","plot")</f>
        <v>plot</v>
      </c>
    </row>
    <row r="3289" spans="1:29" x14ac:dyDescent="0.35">
      <c r="A3289" s="4" t="s">
        <v>49</v>
      </c>
      <c r="B3289">
        <v>52046</v>
      </c>
      <c r="C3289" t="s">
        <v>51</v>
      </c>
      <c r="D3289">
        <v>55166</v>
      </c>
      <c r="E3289" t="s">
        <v>299</v>
      </c>
      <c r="F3289">
        <v>12028</v>
      </c>
      <c r="G3289">
        <v>0.54926753736549339</v>
      </c>
      <c r="H3289">
        <v>0</v>
      </c>
      <c r="I3289">
        <v>0</v>
      </c>
      <c r="J3289">
        <v>0.48092563602477623</v>
      </c>
      <c r="K3289">
        <v>0</v>
      </c>
      <c r="L3289">
        <v>0</v>
      </c>
      <c r="M3289">
        <v>0.33416733207381638</v>
      </c>
      <c r="N3289">
        <v>0</v>
      </c>
      <c r="O3289">
        <v>0</v>
      </c>
      <c r="P3289">
        <v>0.30169482760355371</v>
      </c>
      <c r="Q3289">
        <v>0.76715002317477843</v>
      </c>
      <c r="R3289">
        <v>-9.0636914994594413</v>
      </c>
      <c r="S3289">
        <v>0.24526016029639919</v>
      </c>
      <c r="T3289">
        <v>0.19229229732652989</v>
      </c>
      <c r="U3289">
        <v>4.4179867093448619</v>
      </c>
      <c r="V3289">
        <v>0.2101483876699779</v>
      </c>
      <c r="W3289">
        <v>-5.6744328929996666</v>
      </c>
      <c r="X3289">
        <v>0.29350968244804559</v>
      </c>
      <c r="Z3289" t="s">
        <v>392</v>
      </c>
      <c r="AA3289">
        <v>114</v>
      </c>
      <c r="AB3289" t="s">
        <v>3680</v>
      </c>
      <c r="AC3289" t="str">
        <f>HYPERLINK("plots/3FT6Y578R04_015_S21P_20251218081014_M5358ACSC201811_RBGEUFRF04/dpll_52046/txpa_55166.png","plot")</f>
        <v>plot</v>
      </c>
    </row>
    <row r="3290" spans="1:29" x14ac:dyDescent="0.35">
      <c r="A3290" s="4" t="s">
        <v>49</v>
      </c>
      <c r="B3290">
        <v>52046</v>
      </c>
      <c r="C3290" t="s">
        <v>51</v>
      </c>
      <c r="D3290">
        <v>55167</v>
      </c>
      <c r="E3290" t="s">
        <v>300</v>
      </c>
      <c r="F3290">
        <v>12027</v>
      </c>
      <c r="G3290">
        <v>0.54343734924345144</v>
      </c>
      <c r="H3290">
        <v>0</v>
      </c>
      <c r="I3290">
        <v>0</v>
      </c>
      <c r="J3290">
        <v>0.46920864902555559</v>
      </c>
      <c r="K3290">
        <v>0</v>
      </c>
      <c r="L3290">
        <v>0</v>
      </c>
      <c r="M3290">
        <v>0.32415702768639931</v>
      </c>
      <c r="N3290">
        <v>0</v>
      </c>
      <c r="O3290">
        <v>0</v>
      </c>
      <c r="P3290">
        <v>0.29532415255274902</v>
      </c>
      <c r="Q3290">
        <v>0.75733442892196456</v>
      </c>
      <c r="R3290">
        <v>-9.0314428504424669</v>
      </c>
      <c r="S3290">
        <v>0.2458174396416174</v>
      </c>
      <c r="T3290">
        <v>0.1941156522245216</v>
      </c>
      <c r="U3290">
        <v>4.4179587365926656</v>
      </c>
      <c r="V3290">
        <v>0.21013472984942591</v>
      </c>
      <c r="W3290">
        <v>-5.6855705936642549</v>
      </c>
      <c r="X3290">
        <v>0.29284381327256348</v>
      </c>
      <c r="Z3290" t="s">
        <v>392</v>
      </c>
      <c r="AA3290">
        <v>114</v>
      </c>
      <c r="AB3290" t="s">
        <v>3681</v>
      </c>
      <c r="AC3290" t="str">
        <f>HYPERLINK("plots/3FT6Y578R04_015_S21P_20251218081014_M5358ACSC201811_RBGEUFRF04/dpll_52046/txpa_55167.png","plot")</f>
        <v>plot</v>
      </c>
    </row>
    <row r="3291" spans="1:29" x14ac:dyDescent="0.35">
      <c r="A3291" s="4" t="s">
        <v>49</v>
      </c>
      <c r="B3291">
        <v>52046</v>
      </c>
      <c r="C3291" t="s">
        <v>51</v>
      </c>
      <c r="D3291">
        <v>55168</v>
      </c>
      <c r="E3291" t="s">
        <v>301</v>
      </c>
      <c r="F3291">
        <v>12028</v>
      </c>
      <c r="G3291">
        <v>0.5512325898876862</v>
      </c>
      <c r="H3291">
        <v>0</v>
      </c>
      <c r="I3291">
        <v>0</v>
      </c>
      <c r="J3291">
        <v>0.48412330580650342</v>
      </c>
      <c r="K3291">
        <v>0</v>
      </c>
      <c r="L3291">
        <v>0</v>
      </c>
      <c r="M3291">
        <v>0.33615839439161282</v>
      </c>
      <c r="N3291">
        <v>0</v>
      </c>
      <c r="O3291">
        <v>0</v>
      </c>
      <c r="P3291">
        <v>0.30385736815428599</v>
      </c>
      <c r="Q3291">
        <v>0.76459424531541764</v>
      </c>
      <c r="R3291">
        <v>-9.0634412543339415</v>
      </c>
      <c r="S3291">
        <v>0.24319422766221771</v>
      </c>
      <c r="T3291">
        <v>0.1918098849437804</v>
      </c>
      <c r="U3291">
        <v>4.4179867093448619</v>
      </c>
      <c r="V3291">
        <v>0.2101483876699779</v>
      </c>
      <c r="W3291">
        <v>-5.6854740404888604</v>
      </c>
      <c r="X3291">
        <v>0.29148902082788108</v>
      </c>
      <c r="Z3291" t="s">
        <v>392</v>
      </c>
      <c r="AA3291">
        <v>114</v>
      </c>
      <c r="AB3291" t="s">
        <v>3682</v>
      </c>
      <c r="AC3291" t="str">
        <f>HYPERLINK("plots/3FT6Y578R04_015_S21P_20251218081014_M5358ACSC201811_RBGEUFRF04/dpll_52046/txpa_55168.png","plot")</f>
        <v>plot</v>
      </c>
    </row>
    <row r="3292" spans="1:29" x14ac:dyDescent="0.35">
      <c r="A3292" s="4" t="s">
        <v>49</v>
      </c>
      <c r="B3292">
        <v>52046</v>
      </c>
      <c r="C3292" t="s">
        <v>51</v>
      </c>
      <c r="D3292">
        <v>55169</v>
      </c>
      <c r="E3292" t="s">
        <v>302</v>
      </c>
      <c r="F3292">
        <v>12028</v>
      </c>
      <c r="G3292">
        <v>0.54529331260742819</v>
      </c>
      <c r="H3292">
        <v>0</v>
      </c>
      <c r="I3292">
        <v>0</v>
      </c>
      <c r="J3292">
        <v>0.47311511122890593</v>
      </c>
      <c r="K3292">
        <v>0</v>
      </c>
      <c r="L3292">
        <v>0</v>
      </c>
      <c r="M3292">
        <v>0.32700761415841417</v>
      </c>
      <c r="N3292">
        <v>0</v>
      </c>
      <c r="O3292">
        <v>0</v>
      </c>
      <c r="P3292">
        <v>0.29734479677438241</v>
      </c>
      <c r="Q3292">
        <v>0.74368640374411721</v>
      </c>
      <c r="R3292">
        <v>-8.9672276931392059</v>
      </c>
      <c r="S3292">
        <v>0.24023640012135561</v>
      </c>
      <c r="T3292">
        <v>0.18983514871975099</v>
      </c>
      <c r="U3292">
        <v>4.4179867093448619</v>
      </c>
      <c r="V3292">
        <v>0.2101483876699779</v>
      </c>
      <c r="W3292">
        <v>-5.6816310454772196</v>
      </c>
      <c r="X3292">
        <v>0.28660629988584529</v>
      </c>
      <c r="Z3292" t="s">
        <v>392</v>
      </c>
      <c r="AA3292">
        <v>114</v>
      </c>
      <c r="AB3292" t="s">
        <v>3683</v>
      </c>
      <c r="AC3292" t="str">
        <f>HYPERLINK("plots/3FT6Y578R04_015_S21P_20251218081014_M5358ACSC201811_RBGEUFRF04/dpll_52046/txpa_55169.png","plot")</f>
        <v>plot</v>
      </c>
    </row>
    <row r="3293" spans="1:29" x14ac:dyDescent="0.35">
      <c r="A3293" s="4" t="s">
        <v>49</v>
      </c>
      <c r="B3293">
        <v>52046</v>
      </c>
      <c r="C3293" t="s">
        <v>51</v>
      </c>
      <c r="D3293">
        <v>55170</v>
      </c>
      <c r="E3293" t="s">
        <v>303</v>
      </c>
      <c r="F3293">
        <v>12028</v>
      </c>
      <c r="G3293">
        <v>0.53061502271677907</v>
      </c>
      <c r="H3293">
        <v>0</v>
      </c>
      <c r="I3293">
        <v>0</v>
      </c>
      <c r="J3293">
        <v>0.46224541282110743</v>
      </c>
      <c r="K3293">
        <v>0</v>
      </c>
      <c r="L3293">
        <v>0</v>
      </c>
      <c r="M3293">
        <v>0.31990844353997572</v>
      </c>
      <c r="N3293">
        <v>0</v>
      </c>
      <c r="O3293">
        <v>0</v>
      </c>
      <c r="P3293">
        <v>0.28155230233272799</v>
      </c>
      <c r="Q3293">
        <v>0.733569870636682</v>
      </c>
      <c r="R3293">
        <v>-8.9748853031652853</v>
      </c>
      <c r="S3293">
        <v>0.2462450623134515</v>
      </c>
      <c r="T3293">
        <v>0.19342846852637469</v>
      </c>
      <c r="U3293">
        <v>4.4179867093448619</v>
      </c>
      <c r="V3293">
        <v>0.2101483876699779</v>
      </c>
      <c r="W3293">
        <v>-5.7339833643165941</v>
      </c>
      <c r="X3293">
        <v>0.29052800798641659</v>
      </c>
      <c r="Z3293" t="s">
        <v>392</v>
      </c>
      <c r="AA3293">
        <v>114</v>
      </c>
      <c r="AB3293" t="s">
        <v>3684</v>
      </c>
      <c r="AC3293" t="str">
        <f>HYPERLINK("plots/3FT6Y578R04_015_S21P_20251218081014_M5358ACSC201811_RBGEUFRF04/dpll_52046/txpa_55170.png","plot")</f>
        <v>plot</v>
      </c>
    </row>
    <row r="3294" spans="1:29" x14ac:dyDescent="0.35">
      <c r="A3294" s="4" t="s">
        <v>49</v>
      </c>
      <c r="B3294">
        <v>52046</v>
      </c>
      <c r="C3294" t="s">
        <v>51</v>
      </c>
      <c r="D3294">
        <v>55171</v>
      </c>
      <c r="E3294" t="s">
        <v>304</v>
      </c>
      <c r="F3294">
        <v>12028</v>
      </c>
      <c r="G3294">
        <v>0.5163522557866147</v>
      </c>
      <c r="H3294">
        <v>0</v>
      </c>
      <c r="I3294">
        <v>0</v>
      </c>
      <c r="J3294">
        <v>0.46329450958883811</v>
      </c>
      <c r="K3294">
        <v>0</v>
      </c>
      <c r="L3294">
        <v>0</v>
      </c>
      <c r="M3294">
        <v>0.31885488855876942</v>
      </c>
      <c r="N3294">
        <v>0</v>
      </c>
      <c r="O3294">
        <v>0</v>
      </c>
      <c r="P3294">
        <v>0.26661965205592558</v>
      </c>
      <c r="Q3294">
        <v>0.71691245256229785</v>
      </c>
      <c r="R3294">
        <v>-5.840413062475049</v>
      </c>
      <c r="S3294">
        <v>0.2498576710335996</v>
      </c>
      <c r="T3294">
        <v>0.19378625390288221</v>
      </c>
      <c r="U3294">
        <v>4.4179867093448619</v>
      </c>
      <c r="V3294">
        <v>0.2101483876699779</v>
      </c>
      <c r="W3294">
        <v>-2.6731033752909878</v>
      </c>
      <c r="X3294">
        <v>0.29177367643525248</v>
      </c>
      <c r="Z3294" t="s">
        <v>392</v>
      </c>
      <c r="AA3294">
        <v>114</v>
      </c>
      <c r="AB3294" t="s">
        <v>3685</v>
      </c>
      <c r="AC3294" t="str">
        <f>HYPERLINK("plots/3FT6Y578R04_015_S21P_20251218081014_M5358ACSC201811_RBGEUFRF04/dpll_52046/txpa_55171.png","plot")</f>
        <v>plot</v>
      </c>
    </row>
    <row r="3295" spans="1:29" x14ac:dyDescent="0.35">
      <c r="A3295" s="4" t="s">
        <v>49</v>
      </c>
      <c r="B3295">
        <v>52046</v>
      </c>
      <c r="C3295" t="s">
        <v>51</v>
      </c>
      <c r="D3295">
        <v>55172</v>
      </c>
      <c r="E3295" t="s">
        <v>305</v>
      </c>
      <c r="F3295">
        <v>12028</v>
      </c>
      <c r="G3295">
        <v>0.54505403351720638</v>
      </c>
      <c r="H3295">
        <v>0</v>
      </c>
      <c r="I3295">
        <v>0</v>
      </c>
      <c r="J3295">
        <v>0.48582169438736339</v>
      </c>
      <c r="K3295">
        <v>0</v>
      </c>
      <c r="L3295">
        <v>0</v>
      </c>
      <c r="M3295">
        <v>0.33734452295999118</v>
      </c>
      <c r="N3295">
        <v>0</v>
      </c>
      <c r="O3295">
        <v>0</v>
      </c>
      <c r="P3295">
        <v>0.29708389945337588</v>
      </c>
      <c r="Q3295">
        <v>0.75666314445770722</v>
      </c>
      <c r="R3295">
        <v>-5.97960201255583</v>
      </c>
      <c r="S3295">
        <v>0.24458103395648639</v>
      </c>
      <c r="T3295">
        <v>0.19144961103448491</v>
      </c>
      <c r="U3295">
        <v>4.4179867093448619</v>
      </c>
      <c r="V3295">
        <v>0.2101483876699779</v>
      </c>
      <c r="W3295">
        <v>-2.6366742968905879</v>
      </c>
      <c r="X3295">
        <v>0.29173536941097239</v>
      </c>
      <c r="Z3295" t="s">
        <v>392</v>
      </c>
      <c r="AA3295">
        <v>114</v>
      </c>
      <c r="AB3295" t="s">
        <v>3686</v>
      </c>
      <c r="AC3295" t="str">
        <f>HYPERLINK("plots/3FT6Y578R04_015_S21P_20251218081014_M5358ACSC201811_RBGEUFRF04/dpll_52046/txpa_55172.png","plot")</f>
        <v>plot</v>
      </c>
    </row>
    <row r="3296" spans="1:29" x14ac:dyDescent="0.35">
      <c r="A3296" s="4" t="s">
        <v>49</v>
      </c>
      <c r="B3296">
        <v>52046</v>
      </c>
      <c r="C3296" t="s">
        <v>51</v>
      </c>
      <c r="D3296">
        <v>55173</v>
      </c>
      <c r="E3296" t="s">
        <v>306</v>
      </c>
      <c r="F3296">
        <v>12028</v>
      </c>
      <c r="G3296">
        <v>0.53062912106440674</v>
      </c>
      <c r="H3296">
        <v>0</v>
      </c>
      <c r="I3296">
        <v>0</v>
      </c>
      <c r="J3296">
        <v>0.46957318224625</v>
      </c>
      <c r="K3296">
        <v>0</v>
      </c>
      <c r="L3296">
        <v>0</v>
      </c>
      <c r="M3296">
        <v>0.32488123082963027</v>
      </c>
      <c r="N3296">
        <v>0</v>
      </c>
      <c r="O3296">
        <v>0</v>
      </c>
      <c r="P3296">
        <v>0.28156726412158478</v>
      </c>
      <c r="Q3296">
        <v>0.72347506102398551</v>
      </c>
      <c r="R3296">
        <v>-5.8138120913263442</v>
      </c>
      <c r="S3296">
        <v>0.24284745091782181</v>
      </c>
      <c r="T3296">
        <v>0.19036263463545339</v>
      </c>
      <c r="U3296">
        <v>4.4179867093448619</v>
      </c>
      <c r="V3296">
        <v>0.2101483876699779</v>
      </c>
      <c r="W3296">
        <v>-2.617508887179913</v>
      </c>
      <c r="X3296">
        <v>0.28652237798154218</v>
      </c>
      <c r="Z3296" t="s">
        <v>392</v>
      </c>
      <c r="AA3296">
        <v>114</v>
      </c>
      <c r="AB3296" t="s">
        <v>3687</v>
      </c>
      <c r="AC3296" t="str">
        <f>HYPERLINK("plots/3FT6Y578R04_015_S21P_20251218081014_M5358ACSC201811_RBGEUFRF04/dpll_52046/txpa_55173.png","plot")</f>
        <v>plot</v>
      </c>
    </row>
    <row r="3297" spans="1:29" x14ac:dyDescent="0.35">
      <c r="A3297" s="4" t="s">
        <v>49</v>
      </c>
      <c r="B3297">
        <v>52046</v>
      </c>
      <c r="C3297" t="s">
        <v>51</v>
      </c>
      <c r="D3297">
        <v>55174</v>
      </c>
      <c r="E3297" t="s">
        <v>307</v>
      </c>
      <c r="F3297">
        <v>12028</v>
      </c>
      <c r="G3297">
        <v>0.55356677312336711</v>
      </c>
      <c r="H3297">
        <v>0</v>
      </c>
      <c r="I3297">
        <v>0</v>
      </c>
      <c r="J3297">
        <v>0.48817412826737761</v>
      </c>
      <c r="K3297">
        <v>0</v>
      </c>
      <c r="L3297">
        <v>0</v>
      </c>
      <c r="M3297">
        <v>0.3394893623669718</v>
      </c>
      <c r="N3297">
        <v>0</v>
      </c>
      <c r="O3297">
        <v>0</v>
      </c>
      <c r="P3297">
        <v>0.30643617230621739</v>
      </c>
      <c r="Q3297">
        <v>0.76624514206743854</v>
      </c>
      <c r="R3297">
        <v>-5.9943674702322269</v>
      </c>
      <c r="S3297">
        <v>0.2422417220372948</v>
      </c>
      <c r="T3297">
        <v>0.19003782543604891</v>
      </c>
      <c r="U3297">
        <v>4.4179867093448619</v>
      </c>
      <c r="V3297">
        <v>0.2101483876699779</v>
      </c>
      <c r="W3297">
        <v>-2.609106616478218</v>
      </c>
      <c r="X3297">
        <v>0.29088664454493829</v>
      </c>
      <c r="Z3297" t="s">
        <v>392</v>
      </c>
      <c r="AA3297">
        <v>114</v>
      </c>
      <c r="AB3297" t="s">
        <v>3688</v>
      </c>
      <c r="AC3297" t="str">
        <f>HYPERLINK("plots/3FT6Y578R04_015_S21P_20251218081014_M5358ACSC201811_RBGEUFRF04/dpll_52046/txpa_55174.png","plot")</f>
        <v>plot</v>
      </c>
    </row>
    <row r="3298" spans="1:29" x14ac:dyDescent="0.35">
      <c r="A3298" s="4" t="s">
        <v>49</v>
      </c>
      <c r="B3298">
        <v>52046</v>
      </c>
      <c r="C3298" t="s">
        <v>51</v>
      </c>
      <c r="D3298">
        <v>55175</v>
      </c>
      <c r="E3298" t="s">
        <v>308</v>
      </c>
      <c r="F3298">
        <v>12027</v>
      </c>
      <c r="G3298">
        <v>0.54833591666917569</v>
      </c>
      <c r="H3298">
        <v>0</v>
      </c>
      <c r="I3298">
        <v>0</v>
      </c>
      <c r="J3298">
        <v>0.47700007524231219</v>
      </c>
      <c r="K3298">
        <v>0</v>
      </c>
      <c r="L3298">
        <v>0</v>
      </c>
      <c r="M3298">
        <v>0.3297012764306621</v>
      </c>
      <c r="N3298">
        <v>0</v>
      </c>
      <c r="O3298">
        <v>0</v>
      </c>
      <c r="P3298">
        <v>0.30067227750942521</v>
      </c>
      <c r="Q3298">
        <v>0.7562404147951941</v>
      </c>
      <c r="R3298">
        <v>-5.9607616209104028</v>
      </c>
      <c r="S3298">
        <v>0.24234459722512369</v>
      </c>
      <c r="T3298">
        <v>0.1913581977850648</v>
      </c>
      <c r="U3298">
        <v>4.4179587365926656</v>
      </c>
      <c r="V3298">
        <v>0.21013472984942591</v>
      </c>
      <c r="W3298">
        <v>-2.6197226734015131</v>
      </c>
      <c r="X3298">
        <v>0.28980843755321889</v>
      </c>
      <c r="Z3298" t="s">
        <v>392</v>
      </c>
      <c r="AA3298">
        <v>114</v>
      </c>
      <c r="AB3298" t="s">
        <v>3689</v>
      </c>
      <c r="AC3298" t="str">
        <f>HYPERLINK("plots/3FT6Y578R04_015_S21P_20251218081014_M5358ACSC201811_RBGEUFRF04/dpll_52046/txpa_55175.png","plot")</f>
        <v>plot</v>
      </c>
    </row>
    <row r="3299" spans="1:29" x14ac:dyDescent="0.35">
      <c r="A3299" s="4" t="s">
        <v>49</v>
      </c>
      <c r="B3299">
        <v>52046</v>
      </c>
      <c r="C3299" t="s">
        <v>51</v>
      </c>
      <c r="D3299">
        <v>55176</v>
      </c>
      <c r="E3299" t="s">
        <v>309</v>
      </c>
      <c r="F3299">
        <v>12028</v>
      </c>
      <c r="G3299">
        <v>0.55886674131962744</v>
      </c>
      <c r="H3299">
        <v>0</v>
      </c>
      <c r="I3299">
        <v>0</v>
      </c>
      <c r="J3299">
        <v>0.49534787777635653</v>
      </c>
      <c r="K3299">
        <v>0</v>
      </c>
      <c r="L3299">
        <v>0</v>
      </c>
      <c r="M3299">
        <v>0.34443558182715611</v>
      </c>
      <c r="N3299">
        <v>0</v>
      </c>
      <c r="O3299">
        <v>0</v>
      </c>
      <c r="P3299">
        <v>0.3123320345532194</v>
      </c>
      <c r="Q3299">
        <v>0.77169207176144117</v>
      </c>
      <c r="R3299">
        <v>-6.0252969673141958</v>
      </c>
      <c r="S3299">
        <v>0.2406208064989887</v>
      </c>
      <c r="T3299">
        <v>0.18953619458257159</v>
      </c>
      <c r="U3299">
        <v>4.4179867093448619</v>
      </c>
      <c r="V3299">
        <v>0.2101483876699779</v>
      </c>
      <c r="W3299">
        <v>-2.615971650565347</v>
      </c>
      <c r="X3299">
        <v>0.29017623105545198</v>
      </c>
      <c r="Z3299" t="s">
        <v>392</v>
      </c>
      <c r="AA3299">
        <v>114</v>
      </c>
      <c r="AB3299" t="s">
        <v>3690</v>
      </c>
      <c r="AC3299" t="str">
        <f>HYPERLINK("plots/3FT6Y578R04_015_S21P_20251218081014_M5358ACSC201811_RBGEUFRF04/dpll_52046/txpa_55176.png","plot")</f>
        <v>plot</v>
      </c>
    </row>
    <row r="3300" spans="1:29" x14ac:dyDescent="0.35">
      <c r="A3300" s="4" t="s">
        <v>49</v>
      </c>
      <c r="B3300">
        <v>52046</v>
      </c>
      <c r="C3300" t="s">
        <v>51</v>
      </c>
      <c r="D3300">
        <v>55177</v>
      </c>
      <c r="E3300" t="s">
        <v>310</v>
      </c>
      <c r="F3300">
        <v>12028</v>
      </c>
      <c r="G3300">
        <v>0.55334937233060333</v>
      </c>
      <c r="H3300">
        <v>0</v>
      </c>
      <c r="I3300">
        <v>0</v>
      </c>
      <c r="J3300">
        <v>0.48478891044660272</v>
      </c>
      <c r="K3300">
        <v>0</v>
      </c>
      <c r="L3300">
        <v>0</v>
      </c>
      <c r="M3300">
        <v>0.3355481084134122</v>
      </c>
      <c r="N3300">
        <v>0</v>
      </c>
      <c r="O3300">
        <v>0</v>
      </c>
      <c r="P3300">
        <v>0.30619552785867271</v>
      </c>
      <c r="Q3300">
        <v>0.75154584232484345</v>
      </c>
      <c r="R3300">
        <v>-5.9309009657843781</v>
      </c>
      <c r="S3300">
        <v>0.23772924462789169</v>
      </c>
      <c r="T3300">
        <v>0.1881016789268343</v>
      </c>
      <c r="U3300">
        <v>4.4179867093448619</v>
      </c>
      <c r="V3300">
        <v>0.2101483876699779</v>
      </c>
      <c r="W3300">
        <v>-2.610581422929831</v>
      </c>
      <c r="X3300">
        <v>0.28541849855082341</v>
      </c>
      <c r="Z3300" t="s">
        <v>392</v>
      </c>
      <c r="AA3300">
        <v>114</v>
      </c>
      <c r="AB3300" t="s">
        <v>3691</v>
      </c>
      <c r="AC3300" t="str">
        <f>HYPERLINK("plots/3FT6Y578R04_015_S21P_20251218081014_M5358ACSC201811_RBGEUFRF04/dpll_52046/txpa_55177.png","plot")</f>
        <v>plot</v>
      </c>
    </row>
    <row r="3301" spans="1:29" x14ac:dyDescent="0.35">
      <c r="A3301" s="4" t="s">
        <v>49</v>
      </c>
      <c r="B3301">
        <v>52046</v>
      </c>
      <c r="C3301" t="s">
        <v>51</v>
      </c>
      <c r="D3301">
        <v>55178</v>
      </c>
      <c r="E3301" t="s">
        <v>311</v>
      </c>
      <c r="F3301">
        <v>12027</v>
      </c>
      <c r="G3301">
        <v>0.53857543166542876</v>
      </c>
      <c r="H3301">
        <v>0</v>
      </c>
      <c r="I3301">
        <v>0</v>
      </c>
      <c r="J3301">
        <v>0.47355785169688908</v>
      </c>
      <c r="K3301">
        <v>0</v>
      </c>
      <c r="L3301">
        <v>0</v>
      </c>
      <c r="M3301">
        <v>0.32831284619738832</v>
      </c>
      <c r="N3301">
        <v>0</v>
      </c>
      <c r="O3301">
        <v>0</v>
      </c>
      <c r="P3301">
        <v>0.29006349559360289</v>
      </c>
      <c r="Q3301">
        <v>0.74225647818670926</v>
      </c>
      <c r="R3301">
        <v>-5.9359400460171221</v>
      </c>
      <c r="S3301">
        <v>0.24401181931867641</v>
      </c>
      <c r="T3301">
        <v>0.19168460005253149</v>
      </c>
      <c r="U3301">
        <v>4.418010118566559</v>
      </c>
      <c r="V3301">
        <v>0.21014144114715341</v>
      </c>
      <c r="W3301">
        <v>-2.6566434148166622</v>
      </c>
      <c r="X3301">
        <v>0.28961374183860328</v>
      </c>
      <c r="Z3301" t="s">
        <v>392</v>
      </c>
      <c r="AA3301">
        <v>114</v>
      </c>
      <c r="AB3301" t="s">
        <v>3692</v>
      </c>
      <c r="AC3301" t="str">
        <f>HYPERLINK("plots/3FT6Y578R04_015_S21P_20251218081014_M5358ACSC201811_RBGEUFRF04/dpll_52046/txpa_55178.png","plot")</f>
        <v>plot</v>
      </c>
    </row>
    <row r="3302" spans="1:29" x14ac:dyDescent="0.35">
      <c r="A3302" s="4" t="s">
        <v>49</v>
      </c>
      <c r="B3302">
        <v>52046</v>
      </c>
      <c r="C3302" t="s">
        <v>51</v>
      </c>
      <c r="D3302">
        <v>55179</v>
      </c>
      <c r="E3302" t="s">
        <v>312</v>
      </c>
      <c r="F3302">
        <v>12028</v>
      </c>
      <c r="G3302">
        <v>0.56170467427452964</v>
      </c>
      <c r="H3302">
        <v>0</v>
      </c>
      <c r="I3302">
        <v>0</v>
      </c>
      <c r="J3302">
        <v>0.51376376995983253</v>
      </c>
      <c r="K3302">
        <v>0</v>
      </c>
      <c r="L3302">
        <v>0</v>
      </c>
      <c r="M3302">
        <v>0.35671134176311459</v>
      </c>
      <c r="N3302">
        <v>0</v>
      </c>
      <c r="O3302">
        <v>0</v>
      </c>
      <c r="P3302">
        <v>0.31551214110185538</v>
      </c>
      <c r="Q3302">
        <v>0.78323645753026983</v>
      </c>
      <c r="R3302">
        <v>-2.5066513657894922</v>
      </c>
      <c r="S3302">
        <v>0.24242407058728141</v>
      </c>
      <c r="T3302">
        <v>0.18746231044267811</v>
      </c>
      <c r="U3302">
        <v>4.4179867093448619</v>
      </c>
      <c r="V3302">
        <v>0.2101483876699779</v>
      </c>
      <c r="W3302">
        <v>0.95367689385359156</v>
      </c>
      <c r="X3302">
        <v>0.29302921313039698</v>
      </c>
      <c r="Z3302" t="s">
        <v>392</v>
      </c>
      <c r="AA3302">
        <v>114</v>
      </c>
      <c r="AB3302" t="s">
        <v>3693</v>
      </c>
      <c r="AC3302" t="str">
        <f>HYPERLINK("plots/3FT6Y578R04_015_S21P_20251218081014_M5358ACSC201811_RBGEUFRF04/dpll_52046/txpa_55179.png","plot")</f>
        <v>plot</v>
      </c>
    </row>
    <row r="3303" spans="1:29" x14ac:dyDescent="0.35">
      <c r="A3303" s="4" t="s">
        <v>49</v>
      </c>
      <c r="B3303">
        <v>52046</v>
      </c>
      <c r="C3303" t="s">
        <v>51</v>
      </c>
      <c r="D3303">
        <v>55180</v>
      </c>
      <c r="E3303" t="s">
        <v>313</v>
      </c>
      <c r="F3303">
        <v>12028</v>
      </c>
      <c r="G3303">
        <v>0.58880344657145123</v>
      </c>
      <c r="H3303">
        <v>0</v>
      </c>
      <c r="I3303">
        <v>0</v>
      </c>
      <c r="J3303">
        <v>0.53352234257366604</v>
      </c>
      <c r="K3303">
        <v>0</v>
      </c>
      <c r="L3303">
        <v>0</v>
      </c>
      <c r="M3303">
        <v>0.37349234048761037</v>
      </c>
      <c r="N3303">
        <v>0</v>
      </c>
      <c r="O3303">
        <v>0</v>
      </c>
      <c r="P3303">
        <v>0.34668949869441978</v>
      </c>
      <c r="Q3303">
        <v>0.82029076342080476</v>
      </c>
      <c r="R3303">
        <v>-2.6386837550323539</v>
      </c>
      <c r="S3303">
        <v>0.2366275491031482</v>
      </c>
      <c r="T3303">
        <v>0.1852006859427312</v>
      </c>
      <c r="U3303">
        <v>4.4179867093448619</v>
      </c>
      <c r="V3303">
        <v>0.2101483876699779</v>
      </c>
      <c r="W3303">
        <v>0.9853499355591121</v>
      </c>
      <c r="X3303">
        <v>0.29276795568576691</v>
      </c>
      <c r="Z3303" t="s">
        <v>392</v>
      </c>
      <c r="AA3303">
        <v>114</v>
      </c>
      <c r="AB3303" t="s">
        <v>3694</v>
      </c>
      <c r="AC3303" t="str">
        <f>HYPERLINK("plots/3FT6Y578R04_015_S21P_20251218081014_M5358ACSC201811_RBGEUFRF04/dpll_52046/txpa_55180.png","plot")</f>
        <v>plot</v>
      </c>
    </row>
    <row r="3304" spans="1:29" x14ac:dyDescent="0.35">
      <c r="A3304" s="4" t="s">
        <v>49</v>
      </c>
      <c r="B3304">
        <v>52046</v>
      </c>
      <c r="C3304" t="s">
        <v>51</v>
      </c>
      <c r="D3304">
        <v>55181</v>
      </c>
      <c r="E3304" t="s">
        <v>314</v>
      </c>
      <c r="F3304">
        <v>12028</v>
      </c>
      <c r="G3304">
        <v>0.57367080963730821</v>
      </c>
      <c r="H3304">
        <v>0</v>
      </c>
      <c r="I3304">
        <v>0</v>
      </c>
      <c r="J3304">
        <v>0.51705536155325327</v>
      </c>
      <c r="K3304">
        <v>0</v>
      </c>
      <c r="L3304">
        <v>0</v>
      </c>
      <c r="M3304">
        <v>0.36043815913473071</v>
      </c>
      <c r="N3304">
        <v>0</v>
      </c>
      <c r="O3304">
        <v>0</v>
      </c>
      <c r="P3304">
        <v>0.32909819782992472</v>
      </c>
      <c r="Q3304">
        <v>0.78735523056319989</v>
      </c>
      <c r="R3304">
        <v>-2.475621134809614</v>
      </c>
      <c r="S3304">
        <v>0.2362356582700654</v>
      </c>
      <c r="T3304">
        <v>0.1846901961558966</v>
      </c>
      <c r="U3304">
        <v>4.4179867093448619</v>
      </c>
      <c r="V3304">
        <v>0.2101483876699779</v>
      </c>
      <c r="W3304">
        <v>1.002903809351763</v>
      </c>
      <c r="X3304">
        <v>0.28842574774022411</v>
      </c>
      <c r="Z3304" t="s">
        <v>392</v>
      </c>
      <c r="AA3304">
        <v>114</v>
      </c>
      <c r="AB3304" t="s">
        <v>3695</v>
      </c>
      <c r="AC3304" t="str">
        <f>HYPERLINK("plots/3FT6Y578R04_015_S21P_20251218081014_M5358ACSC201811_RBGEUFRF04/dpll_52046/txpa_55181.png","plot")</f>
        <v>plot</v>
      </c>
    </row>
    <row r="3305" spans="1:29" x14ac:dyDescent="0.35">
      <c r="A3305" s="4" t="s">
        <v>49</v>
      </c>
      <c r="B3305">
        <v>52046</v>
      </c>
      <c r="C3305" t="s">
        <v>51</v>
      </c>
      <c r="D3305">
        <v>55182</v>
      </c>
      <c r="E3305" t="s">
        <v>315</v>
      </c>
      <c r="F3305">
        <v>12028</v>
      </c>
      <c r="G3305">
        <v>0.59392870322705804</v>
      </c>
      <c r="H3305">
        <v>0</v>
      </c>
      <c r="I3305">
        <v>0</v>
      </c>
      <c r="J3305">
        <v>0.53293845597420131</v>
      </c>
      <c r="K3305">
        <v>0</v>
      </c>
      <c r="L3305">
        <v>0</v>
      </c>
      <c r="M3305">
        <v>0.37346865079039981</v>
      </c>
      <c r="N3305">
        <v>0</v>
      </c>
      <c r="O3305">
        <v>0</v>
      </c>
      <c r="P3305">
        <v>0.35275130451697478</v>
      </c>
      <c r="Q3305">
        <v>0.82501629163022527</v>
      </c>
      <c r="R3305">
        <v>-2.6379481418205408</v>
      </c>
      <c r="S3305">
        <v>0.23483985869200269</v>
      </c>
      <c r="T3305">
        <v>0.18390973407982331</v>
      </c>
      <c r="U3305">
        <v>4.4179867093448619</v>
      </c>
      <c r="V3305">
        <v>0.2101483876699779</v>
      </c>
      <c r="W3305">
        <v>1.006962869594779</v>
      </c>
      <c r="X3305">
        <v>0.29191356226014031</v>
      </c>
      <c r="Z3305" t="s">
        <v>392</v>
      </c>
      <c r="AA3305">
        <v>114</v>
      </c>
      <c r="AB3305" t="s">
        <v>3696</v>
      </c>
      <c r="AC3305" t="str">
        <f>HYPERLINK("plots/3FT6Y578R04_015_S21P_20251218081014_M5358ACSC201811_RBGEUFRF04/dpll_52046/txpa_55182.png","plot")</f>
        <v>plot</v>
      </c>
    </row>
    <row r="3306" spans="1:29" x14ac:dyDescent="0.35">
      <c r="A3306" s="4" t="s">
        <v>49</v>
      </c>
      <c r="B3306">
        <v>52046</v>
      </c>
      <c r="C3306" t="s">
        <v>51</v>
      </c>
      <c r="D3306">
        <v>55183</v>
      </c>
      <c r="E3306" t="s">
        <v>316</v>
      </c>
      <c r="F3306">
        <v>12027</v>
      </c>
      <c r="G3306">
        <v>0.59110107343365204</v>
      </c>
      <c r="H3306">
        <v>0</v>
      </c>
      <c r="I3306">
        <v>0</v>
      </c>
      <c r="J3306">
        <v>0.52401396091112973</v>
      </c>
      <c r="K3306">
        <v>0</v>
      </c>
      <c r="L3306">
        <v>0</v>
      </c>
      <c r="M3306">
        <v>0.36501919875752031</v>
      </c>
      <c r="N3306">
        <v>0</v>
      </c>
      <c r="O3306">
        <v>0</v>
      </c>
      <c r="P3306">
        <v>0.34940047901441568</v>
      </c>
      <c r="Q3306">
        <v>0.81630540079375025</v>
      </c>
      <c r="R3306">
        <v>-2.6102515879858461</v>
      </c>
      <c r="S3306">
        <v>0.23406019995865529</v>
      </c>
      <c r="T3306">
        <v>0.1846176037787175</v>
      </c>
      <c r="U3306">
        <v>4.4179587365926656</v>
      </c>
      <c r="V3306">
        <v>0.21013472984942591</v>
      </c>
      <c r="W3306">
        <v>0.9961519891786812</v>
      </c>
      <c r="X3306">
        <v>0.290194219871732</v>
      </c>
      <c r="Z3306" t="s">
        <v>392</v>
      </c>
      <c r="AA3306">
        <v>114</v>
      </c>
      <c r="AB3306" t="s">
        <v>3697</v>
      </c>
      <c r="AC3306" t="str">
        <f>HYPERLINK("plots/3FT6Y578R04_015_S21P_20251218081014_M5358ACSC201811_RBGEUFRF04/dpll_52046/txpa_55183.png","plot")</f>
        <v>plot</v>
      </c>
    </row>
    <row r="3307" spans="1:29" x14ac:dyDescent="0.35">
      <c r="A3307" s="4" t="s">
        <v>49</v>
      </c>
      <c r="B3307">
        <v>52046</v>
      </c>
      <c r="C3307" t="s">
        <v>51</v>
      </c>
      <c r="D3307">
        <v>55184</v>
      </c>
      <c r="E3307" t="s">
        <v>317</v>
      </c>
      <c r="F3307">
        <v>12028</v>
      </c>
      <c r="G3307">
        <v>0.60060434899955084</v>
      </c>
      <c r="H3307">
        <v>0</v>
      </c>
      <c r="I3307">
        <v>0</v>
      </c>
      <c r="J3307">
        <v>0.5411331453570235</v>
      </c>
      <c r="K3307">
        <v>0</v>
      </c>
      <c r="L3307">
        <v>0</v>
      </c>
      <c r="M3307">
        <v>0.37926533859072692</v>
      </c>
      <c r="N3307">
        <v>0</v>
      </c>
      <c r="O3307">
        <v>0</v>
      </c>
      <c r="P3307">
        <v>0.36072558403717431</v>
      </c>
      <c r="Q3307">
        <v>0.83405829069102877</v>
      </c>
      <c r="R3307">
        <v>-2.6816362199584201</v>
      </c>
      <c r="S3307">
        <v>0.23332410102068141</v>
      </c>
      <c r="T3307">
        <v>0.1835884057048891</v>
      </c>
      <c r="U3307">
        <v>4.4179867093448619</v>
      </c>
      <c r="V3307">
        <v>0.2101483876699779</v>
      </c>
      <c r="W3307">
        <v>1.003222223133438</v>
      </c>
      <c r="X3307">
        <v>0.29183272699150659</v>
      </c>
      <c r="Z3307" t="s">
        <v>392</v>
      </c>
      <c r="AA3307">
        <v>114</v>
      </c>
      <c r="AB3307" t="s">
        <v>3698</v>
      </c>
      <c r="AC3307" t="str">
        <f>HYPERLINK("plots/3FT6Y578R04_015_S21P_20251218081014_M5358ACSC201811_RBGEUFRF04/dpll_52046/txpa_55184.png","plot")</f>
        <v>plot</v>
      </c>
    </row>
    <row r="3308" spans="1:29" x14ac:dyDescent="0.35">
      <c r="A3308" s="4" t="s">
        <v>49</v>
      </c>
      <c r="B3308">
        <v>52046</v>
      </c>
      <c r="C3308" t="s">
        <v>51</v>
      </c>
      <c r="D3308">
        <v>55185</v>
      </c>
      <c r="E3308" t="s">
        <v>318</v>
      </c>
      <c r="F3308">
        <v>12028</v>
      </c>
      <c r="G3308">
        <v>0.5952043690729083</v>
      </c>
      <c r="H3308">
        <v>0</v>
      </c>
      <c r="I3308">
        <v>0</v>
      </c>
      <c r="J3308">
        <v>0.53121213734393136</v>
      </c>
      <c r="K3308">
        <v>0</v>
      </c>
      <c r="L3308">
        <v>0</v>
      </c>
      <c r="M3308">
        <v>0.37081225157946018</v>
      </c>
      <c r="N3308">
        <v>0</v>
      </c>
      <c r="O3308">
        <v>0</v>
      </c>
      <c r="P3308">
        <v>0.35426824096347892</v>
      </c>
      <c r="Q3308">
        <v>0.81271057167483185</v>
      </c>
      <c r="R3308">
        <v>-2.5806158655545688</v>
      </c>
      <c r="S3308">
        <v>0.23057057365233721</v>
      </c>
      <c r="T3308">
        <v>0.1822508850250841</v>
      </c>
      <c r="U3308">
        <v>4.4179867093448619</v>
      </c>
      <c r="V3308">
        <v>0.2101483876699779</v>
      </c>
      <c r="W3308">
        <v>1.009928638648903</v>
      </c>
      <c r="X3308">
        <v>0.28694314953674582</v>
      </c>
      <c r="Z3308" t="s">
        <v>392</v>
      </c>
      <c r="AA3308">
        <v>114</v>
      </c>
      <c r="AB3308" t="s">
        <v>3699</v>
      </c>
      <c r="AC3308" t="str">
        <f>HYPERLINK("plots/3FT6Y578R04_015_S21P_20251218081014_M5358ACSC201811_RBGEUFRF04/dpll_52046/txpa_55185.png","plot")</f>
        <v>plot</v>
      </c>
    </row>
    <row r="3309" spans="1:29" x14ac:dyDescent="0.35">
      <c r="A3309" s="4" t="s">
        <v>49</v>
      </c>
      <c r="B3309">
        <v>52046</v>
      </c>
      <c r="C3309" t="s">
        <v>51</v>
      </c>
      <c r="D3309">
        <v>55186</v>
      </c>
      <c r="E3309" t="s">
        <v>319</v>
      </c>
      <c r="F3309">
        <v>12027</v>
      </c>
      <c r="G3309">
        <v>0.58348606345044041</v>
      </c>
      <c r="H3309">
        <v>0</v>
      </c>
      <c r="I3309">
        <v>0</v>
      </c>
      <c r="J3309">
        <v>0.52196761924821233</v>
      </c>
      <c r="K3309">
        <v>0</v>
      </c>
      <c r="L3309">
        <v>0</v>
      </c>
      <c r="M3309">
        <v>0.36485116860578232</v>
      </c>
      <c r="N3309">
        <v>0</v>
      </c>
      <c r="O3309">
        <v>0</v>
      </c>
      <c r="P3309">
        <v>0.34045598624089141</v>
      </c>
      <c r="Q3309">
        <v>0.80837159724203067</v>
      </c>
      <c r="R3309">
        <v>-2.6022699788068522</v>
      </c>
      <c r="S3309">
        <v>0.23642647136336889</v>
      </c>
      <c r="T3309">
        <v>0.18548129792569171</v>
      </c>
      <c r="U3309">
        <v>4.418010118566559</v>
      </c>
      <c r="V3309">
        <v>0.21014144114715341</v>
      </c>
      <c r="W3309">
        <v>0.96912391737025039</v>
      </c>
      <c r="X3309">
        <v>0.29113355582535688</v>
      </c>
      <c r="Z3309" t="s">
        <v>392</v>
      </c>
      <c r="AA3309">
        <v>114</v>
      </c>
      <c r="AB3309" t="s">
        <v>3700</v>
      </c>
      <c r="AC3309" t="str">
        <f>HYPERLINK("plots/3FT6Y578R04_015_S21P_20251218081014_M5358ACSC201811_RBGEUFRF04/dpll_52046/txpa_55186.png","plot")</f>
        <v>plot</v>
      </c>
    </row>
    <row r="3310" spans="1:29" x14ac:dyDescent="0.35">
      <c r="A3310" s="4" t="s">
        <v>49</v>
      </c>
      <c r="B3310">
        <v>52046</v>
      </c>
      <c r="C3310" t="s">
        <v>51</v>
      </c>
      <c r="D3310">
        <v>55187</v>
      </c>
      <c r="E3310" t="s">
        <v>320</v>
      </c>
      <c r="F3310">
        <v>12028</v>
      </c>
      <c r="G3310">
        <v>0.60032575641063279</v>
      </c>
      <c r="H3310">
        <v>0</v>
      </c>
      <c r="I3310">
        <v>0</v>
      </c>
      <c r="J3310">
        <v>0.5527048938611091</v>
      </c>
      <c r="K3310">
        <v>0</v>
      </c>
      <c r="L3310">
        <v>0</v>
      </c>
      <c r="M3310">
        <v>0.38684945776917712</v>
      </c>
      <c r="N3310">
        <v>0</v>
      </c>
      <c r="O3310">
        <v>0</v>
      </c>
      <c r="P3310">
        <v>0.36039101380999838</v>
      </c>
      <c r="Q3310">
        <v>0.84660734259298598</v>
      </c>
      <c r="R3310">
        <v>-0.74917097015032219</v>
      </c>
      <c r="S3310">
        <v>0.23700654561501891</v>
      </c>
      <c r="T3310">
        <v>0.1831682284019561</v>
      </c>
      <c r="U3310">
        <v>4.4179867093448619</v>
      </c>
      <c r="V3310">
        <v>0.2101483876699779</v>
      </c>
      <c r="W3310">
        <v>2.991129017459262</v>
      </c>
      <c r="X3310">
        <v>0.29636104420911291</v>
      </c>
      <c r="Z3310" t="s">
        <v>392</v>
      </c>
      <c r="AA3310">
        <v>114</v>
      </c>
      <c r="AB3310" t="s">
        <v>3701</v>
      </c>
      <c r="AC3310" t="str">
        <f>HYPERLINK("plots/3FT6Y578R04_015_S21P_20251218081014_M5358ACSC201811_RBGEUFRF04/dpll_52046/txpa_55187.png","plot")</f>
        <v>plot</v>
      </c>
    </row>
    <row r="3311" spans="1:29" x14ac:dyDescent="0.35">
      <c r="A3311" s="4" t="s">
        <v>49</v>
      </c>
      <c r="B3311">
        <v>52046</v>
      </c>
      <c r="C3311" t="s">
        <v>51</v>
      </c>
      <c r="D3311">
        <v>55188</v>
      </c>
      <c r="E3311" t="s">
        <v>321</v>
      </c>
      <c r="F3311">
        <v>12028</v>
      </c>
      <c r="G3311">
        <v>0.62589595322193703</v>
      </c>
      <c r="H3311">
        <v>0</v>
      </c>
      <c r="I3311">
        <v>0</v>
      </c>
      <c r="J3311">
        <v>0.57082335388344219</v>
      </c>
      <c r="K3311">
        <v>0</v>
      </c>
      <c r="L3311">
        <v>0</v>
      </c>
      <c r="M3311">
        <v>0.40292583621414613</v>
      </c>
      <c r="N3311">
        <v>0</v>
      </c>
      <c r="O3311">
        <v>0</v>
      </c>
      <c r="P3311">
        <v>0.39174574425959718</v>
      </c>
      <c r="Q3311">
        <v>0.88311827055335479</v>
      </c>
      <c r="R3311">
        <v>-0.88028381849937309</v>
      </c>
      <c r="S3311">
        <v>0.23124231708245779</v>
      </c>
      <c r="T3311">
        <v>0.18096572732433869</v>
      </c>
      <c r="U3311">
        <v>4.4179867093448619</v>
      </c>
      <c r="V3311">
        <v>0.2101483876699779</v>
      </c>
      <c r="W3311">
        <v>3.021320963584968</v>
      </c>
      <c r="X3311">
        <v>0.29651235117169672</v>
      </c>
      <c r="Z3311" t="s">
        <v>392</v>
      </c>
      <c r="AA3311">
        <v>114</v>
      </c>
      <c r="AB3311" t="s">
        <v>3702</v>
      </c>
      <c r="AC3311" t="str">
        <f>HYPERLINK("plots/3FT6Y578R04_015_S21P_20251218081014_M5358ACSC201811_RBGEUFRF04/dpll_52046/txpa_55188.png","plot")</f>
        <v>plot</v>
      </c>
    </row>
    <row r="3312" spans="1:29" x14ac:dyDescent="0.35">
      <c r="A3312" s="4" t="s">
        <v>49</v>
      </c>
      <c r="B3312">
        <v>52046</v>
      </c>
      <c r="C3312" t="s">
        <v>51</v>
      </c>
      <c r="D3312">
        <v>55189</v>
      </c>
      <c r="E3312" t="s">
        <v>322</v>
      </c>
      <c r="F3312">
        <v>12028</v>
      </c>
      <c r="G3312">
        <v>0.61175217652470326</v>
      </c>
      <c r="H3312">
        <v>0</v>
      </c>
      <c r="I3312">
        <v>0</v>
      </c>
      <c r="J3312">
        <v>0.55602856598679951</v>
      </c>
      <c r="K3312">
        <v>0</v>
      </c>
      <c r="L3312">
        <v>0</v>
      </c>
      <c r="M3312">
        <v>0.39061740053848681</v>
      </c>
      <c r="N3312">
        <v>0</v>
      </c>
      <c r="O3312">
        <v>0</v>
      </c>
      <c r="P3312">
        <v>0.3742407254827117</v>
      </c>
      <c r="Q3312">
        <v>0.84981258303373275</v>
      </c>
      <c r="R3312">
        <v>-0.71592423419092643</v>
      </c>
      <c r="S3312">
        <v>0.23091879883132321</v>
      </c>
      <c r="T3312">
        <v>0.18044758507729641</v>
      </c>
      <c r="U3312">
        <v>4.4179867093448619</v>
      </c>
      <c r="V3312">
        <v>0.2101483876699779</v>
      </c>
      <c r="W3312">
        <v>3.0385364630861318</v>
      </c>
      <c r="X3312">
        <v>0.29192661832562627</v>
      </c>
      <c r="Z3312" t="s">
        <v>392</v>
      </c>
      <c r="AA3312">
        <v>114</v>
      </c>
      <c r="AB3312" t="s">
        <v>3703</v>
      </c>
      <c r="AC3312" t="str">
        <f>HYPERLINK("plots/3FT6Y578R04_015_S21P_20251218081014_M5358ACSC201811_RBGEUFRF04/dpll_52046/txpa_55189.png","plot")</f>
        <v>plot</v>
      </c>
    </row>
    <row r="3313" spans="1:29" x14ac:dyDescent="0.35">
      <c r="A3313" s="4" t="s">
        <v>49</v>
      </c>
      <c r="B3313">
        <v>52046</v>
      </c>
      <c r="C3313" t="s">
        <v>51</v>
      </c>
      <c r="D3313">
        <v>55190</v>
      </c>
      <c r="E3313" t="s">
        <v>323</v>
      </c>
      <c r="F3313">
        <v>12028</v>
      </c>
      <c r="G3313">
        <v>0.63005494084980374</v>
      </c>
      <c r="H3313">
        <v>0</v>
      </c>
      <c r="I3313">
        <v>0</v>
      </c>
      <c r="J3313">
        <v>0.57061429364482219</v>
      </c>
      <c r="K3313">
        <v>0</v>
      </c>
      <c r="L3313">
        <v>0</v>
      </c>
      <c r="M3313">
        <v>0.40302930599612102</v>
      </c>
      <c r="N3313">
        <v>0</v>
      </c>
      <c r="O3313">
        <v>0</v>
      </c>
      <c r="P3313">
        <v>0.3969692284892497</v>
      </c>
      <c r="Q3313">
        <v>0.884847985348996</v>
      </c>
      <c r="R3313">
        <v>-0.86882937767235191</v>
      </c>
      <c r="S3313">
        <v>0.2291753956639011</v>
      </c>
      <c r="T3313">
        <v>0.1794106793981971</v>
      </c>
      <c r="U3313">
        <v>4.4179867093448619</v>
      </c>
      <c r="V3313">
        <v>0.2101483876699779</v>
      </c>
      <c r="W3313">
        <v>3.0404172613900902</v>
      </c>
      <c r="X3313">
        <v>0.29513200420794328</v>
      </c>
      <c r="Z3313" t="s">
        <v>392</v>
      </c>
      <c r="AA3313">
        <v>114</v>
      </c>
      <c r="AB3313" t="s">
        <v>3704</v>
      </c>
      <c r="AC3313" t="str">
        <f>HYPERLINK("plots/3FT6Y578R04_015_S21P_20251218081014_M5358ACSC201811_RBGEUFRF04/dpll_52046/txpa_55190.png","plot")</f>
        <v>plot</v>
      </c>
    </row>
    <row r="3314" spans="1:29" x14ac:dyDescent="0.35">
      <c r="A3314" s="4" t="s">
        <v>49</v>
      </c>
      <c r="B3314">
        <v>52046</v>
      </c>
      <c r="C3314" t="s">
        <v>51</v>
      </c>
      <c r="D3314">
        <v>55191</v>
      </c>
      <c r="E3314" t="s">
        <v>324</v>
      </c>
      <c r="F3314">
        <v>12027</v>
      </c>
      <c r="G3314">
        <v>0.62821805986961354</v>
      </c>
      <c r="H3314">
        <v>0</v>
      </c>
      <c r="I3314">
        <v>0</v>
      </c>
      <c r="J3314">
        <v>0.56180769868114522</v>
      </c>
      <c r="K3314">
        <v>0</v>
      </c>
      <c r="L3314">
        <v>0</v>
      </c>
      <c r="M3314">
        <v>0.39440448525433452</v>
      </c>
      <c r="N3314">
        <v>0</v>
      </c>
      <c r="O3314">
        <v>0</v>
      </c>
      <c r="P3314">
        <v>0.39465793074634142</v>
      </c>
      <c r="Q3314">
        <v>0.87660226694423393</v>
      </c>
      <c r="R3314">
        <v>-0.84458384589175939</v>
      </c>
      <c r="S3314">
        <v>0.22812473691977639</v>
      </c>
      <c r="T3314">
        <v>0.17989038003398419</v>
      </c>
      <c r="U3314">
        <v>4.4179587365926656</v>
      </c>
      <c r="V3314">
        <v>0.21013472984942591</v>
      </c>
      <c r="W3314">
        <v>3.0282087978714558</v>
      </c>
      <c r="X3314">
        <v>0.29321758210509319</v>
      </c>
      <c r="Z3314" t="s">
        <v>392</v>
      </c>
      <c r="AA3314">
        <v>114</v>
      </c>
      <c r="AB3314" t="s">
        <v>3705</v>
      </c>
      <c r="AC3314" t="str">
        <f>HYPERLINK("plots/3FT6Y578R04_015_S21P_20251218081014_M5358ACSC201811_RBGEUFRF04/dpll_52046/txpa_55191.png","plot")</f>
        <v>plot</v>
      </c>
    </row>
    <row r="3315" spans="1:29" x14ac:dyDescent="0.35">
      <c r="A3315" s="4" t="s">
        <v>49</v>
      </c>
      <c r="B3315">
        <v>52046</v>
      </c>
      <c r="C3315" t="s">
        <v>51</v>
      </c>
      <c r="D3315">
        <v>55192</v>
      </c>
      <c r="E3315" t="s">
        <v>325</v>
      </c>
      <c r="F3315">
        <v>12028</v>
      </c>
      <c r="G3315">
        <v>0.63646927938436093</v>
      </c>
      <c r="H3315">
        <v>0</v>
      </c>
      <c r="I3315">
        <v>0</v>
      </c>
      <c r="J3315">
        <v>0.57825700489635956</v>
      </c>
      <c r="K3315">
        <v>0</v>
      </c>
      <c r="L3315">
        <v>0</v>
      </c>
      <c r="M3315">
        <v>0.40860357354505472</v>
      </c>
      <c r="N3315">
        <v>0</v>
      </c>
      <c r="O3315">
        <v>0</v>
      </c>
      <c r="P3315">
        <v>0.40509314360004772</v>
      </c>
      <c r="Q3315">
        <v>0.89558883129021849</v>
      </c>
      <c r="R3315">
        <v>-0.91892016766191986</v>
      </c>
      <c r="S3315">
        <v>0.2280676658670294</v>
      </c>
      <c r="T3315">
        <v>0.17944870414446679</v>
      </c>
      <c r="U3315">
        <v>4.4179867093448619</v>
      </c>
      <c r="V3315">
        <v>0.2101483876699779</v>
      </c>
      <c r="W3315">
        <v>3.0377793860159632</v>
      </c>
      <c r="X3315">
        <v>0.29570405832144231</v>
      </c>
      <c r="Z3315" t="s">
        <v>392</v>
      </c>
      <c r="AA3315">
        <v>114</v>
      </c>
      <c r="AB3315" t="s">
        <v>3706</v>
      </c>
      <c r="AC3315" t="str">
        <f>HYPERLINK("plots/3FT6Y578R04_015_S21P_20251218081014_M5358ACSC201811_RBGEUFRF04/dpll_52046/txpa_55192.png","plot")</f>
        <v>plot</v>
      </c>
    </row>
    <row r="3316" spans="1:29" x14ac:dyDescent="0.35">
      <c r="A3316" s="4" t="s">
        <v>49</v>
      </c>
      <c r="B3316">
        <v>52046</v>
      </c>
      <c r="C3316" t="s">
        <v>51</v>
      </c>
      <c r="D3316">
        <v>55193</v>
      </c>
      <c r="E3316" t="s">
        <v>326</v>
      </c>
      <c r="F3316">
        <v>12028</v>
      </c>
      <c r="G3316">
        <v>0.6323413142611809</v>
      </c>
      <c r="H3316">
        <v>0</v>
      </c>
      <c r="I3316">
        <v>0</v>
      </c>
      <c r="J3316">
        <v>0.56911680982700785</v>
      </c>
      <c r="K3316">
        <v>0</v>
      </c>
      <c r="L3316">
        <v>0</v>
      </c>
      <c r="M3316">
        <v>0.40056515418131572</v>
      </c>
      <c r="N3316">
        <v>0</v>
      </c>
      <c r="O3316">
        <v>0</v>
      </c>
      <c r="P3316">
        <v>0.39985553772155752</v>
      </c>
      <c r="Q3316">
        <v>0.87539777637743643</v>
      </c>
      <c r="R3316">
        <v>-0.82296442749140564</v>
      </c>
      <c r="S3316">
        <v>0.22536672373453201</v>
      </c>
      <c r="T3316">
        <v>0.17820772290242409</v>
      </c>
      <c r="U3316">
        <v>4.4179867093448619</v>
      </c>
      <c r="V3316">
        <v>0.2101483876699779</v>
      </c>
      <c r="W3316">
        <v>3.0445313139341539</v>
      </c>
      <c r="X3316">
        <v>0.29092426372700719</v>
      </c>
      <c r="Z3316" t="s">
        <v>392</v>
      </c>
      <c r="AA3316">
        <v>114</v>
      </c>
      <c r="AB3316" t="s">
        <v>3707</v>
      </c>
      <c r="AC3316" t="str">
        <f>HYPERLINK("plots/3FT6Y578R04_015_S21P_20251218081014_M5358ACSC201811_RBGEUFRF04/dpll_52046/txpa_55193.png","plot")</f>
        <v>plot</v>
      </c>
    </row>
    <row r="3317" spans="1:29" x14ac:dyDescent="0.35">
      <c r="A3317" s="4" t="s">
        <v>49</v>
      </c>
      <c r="B3317">
        <v>52046</v>
      </c>
      <c r="C3317" t="s">
        <v>51</v>
      </c>
      <c r="D3317">
        <v>55194</v>
      </c>
      <c r="E3317" t="s">
        <v>327</v>
      </c>
      <c r="F3317">
        <v>12027</v>
      </c>
      <c r="G3317">
        <v>0.62236032967263233</v>
      </c>
      <c r="H3317">
        <v>0</v>
      </c>
      <c r="I3317">
        <v>0</v>
      </c>
      <c r="J3317">
        <v>0.56106845970283981</v>
      </c>
      <c r="K3317">
        <v>0</v>
      </c>
      <c r="L3317">
        <v>0</v>
      </c>
      <c r="M3317">
        <v>0.39537091659163831</v>
      </c>
      <c r="N3317">
        <v>0</v>
      </c>
      <c r="O3317">
        <v>0</v>
      </c>
      <c r="P3317">
        <v>0.38733237995022762</v>
      </c>
      <c r="Q3317">
        <v>0.87248421150701561</v>
      </c>
      <c r="R3317">
        <v>-0.8489748784192539</v>
      </c>
      <c r="S3317">
        <v>0.23058008193916829</v>
      </c>
      <c r="T3317">
        <v>0.18074784034863309</v>
      </c>
      <c r="U3317">
        <v>4.418010118566559</v>
      </c>
      <c r="V3317">
        <v>0.21014144114715341</v>
      </c>
      <c r="W3317">
        <v>3.0056691963083071</v>
      </c>
      <c r="X3317">
        <v>0.29459636297940689</v>
      </c>
      <c r="Z3317" t="s">
        <v>392</v>
      </c>
      <c r="AA3317">
        <v>114</v>
      </c>
      <c r="AB3317" t="s">
        <v>3708</v>
      </c>
      <c r="AC3317" t="str">
        <f>HYPERLINK("plots/3FT6Y578R04_015_S21P_20251218081014_M5358ACSC201811_RBGEUFRF04/dpll_52046/txpa_55194.png","plot")</f>
        <v>plot</v>
      </c>
    </row>
    <row r="3318" spans="1:29" x14ac:dyDescent="0.35">
      <c r="A3318" s="4" t="s">
        <v>49</v>
      </c>
      <c r="B3318">
        <v>52046</v>
      </c>
      <c r="C3318" t="s">
        <v>51</v>
      </c>
      <c r="D3318">
        <v>55195</v>
      </c>
      <c r="E3318" t="s">
        <v>328</v>
      </c>
      <c r="F3318">
        <v>12028</v>
      </c>
      <c r="G3318">
        <v>0.6474238981288083</v>
      </c>
      <c r="H3318">
        <v>0</v>
      </c>
      <c r="I3318">
        <v>0</v>
      </c>
      <c r="J3318">
        <v>0.59630709421563477</v>
      </c>
      <c r="K3318">
        <v>0</v>
      </c>
      <c r="L3318">
        <v>0</v>
      </c>
      <c r="M3318">
        <v>0.4220450928292751</v>
      </c>
      <c r="N3318">
        <v>0</v>
      </c>
      <c r="O3318">
        <v>0</v>
      </c>
      <c r="P3318">
        <v>0.41915770386830148</v>
      </c>
      <c r="Q3318">
        <v>0.93871047556052389</v>
      </c>
      <c r="R3318">
        <v>1.305999707455201</v>
      </c>
      <c r="S3318">
        <v>0.23220954256732909</v>
      </c>
      <c r="T3318">
        <v>0.17901792617883139</v>
      </c>
      <c r="U3318">
        <v>4.4179867093448619</v>
      </c>
      <c r="V3318">
        <v>0.2101483876699779</v>
      </c>
      <c r="W3318">
        <v>5.4532101124043901</v>
      </c>
      <c r="X3318">
        <v>0.30469757680881088</v>
      </c>
      <c r="Z3318" t="s">
        <v>392</v>
      </c>
      <c r="AA3318">
        <v>114</v>
      </c>
      <c r="AB3318" t="s">
        <v>3709</v>
      </c>
      <c r="AC3318" t="str">
        <f>HYPERLINK("plots/3FT6Y578R04_015_S21P_20251218081014_M5358ACSC201811_RBGEUFRF04/dpll_52046/txpa_55195.png","plot")</f>
        <v>plot</v>
      </c>
    </row>
    <row r="3319" spans="1:29" x14ac:dyDescent="0.35">
      <c r="A3319" s="4" t="s">
        <v>49</v>
      </c>
      <c r="B3319">
        <v>52046</v>
      </c>
      <c r="C3319" t="s">
        <v>51</v>
      </c>
      <c r="D3319">
        <v>55196</v>
      </c>
      <c r="E3319" t="s">
        <v>329</v>
      </c>
      <c r="F3319">
        <v>12028</v>
      </c>
      <c r="G3319">
        <v>0.67005691220096297</v>
      </c>
      <c r="H3319">
        <v>0</v>
      </c>
      <c r="I3319">
        <v>0</v>
      </c>
      <c r="J3319">
        <v>0.61107574011614108</v>
      </c>
      <c r="K3319">
        <v>0</v>
      </c>
      <c r="L3319">
        <v>0</v>
      </c>
      <c r="M3319">
        <v>0.43597289433046399</v>
      </c>
      <c r="N3319">
        <v>0</v>
      </c>
      <c r="O3319">
        <v>0</v>
      </c>
      <c r="P3319">
        <v>0.44897626558828901</v>
      </c>
      <c r="Q3319">
        <v>0.97207280127490947</v>
      </c>
      <c r="R3319">
        <v>1.188326113265588</v>
      </c>
      <c r="S3319">
        <v>0.22629776304174401</v>
      </c>
      <c r="T3319">
        <v>0.17690977762060259</v>
      </c>
      <c r="U3319">
        <v>4.4179867093448619</v>
      </c>
      <c r="V3319">
        <v>0.2101483876699779</v>
      </c>
      <c r="W3319">
        <v>5.4829308298137676</v>
      </c>
      <c r="X3319">
        <v>0.30486892705092139</v>
      </c>
      <c r="Z3319" t="s">
        <v>392</v>
      </c>
      <c r="AA3319">
        <v>114</v>
      </c>
      <c r="AB3319" t="s">
        <v>3710</v>
      </c>
      <c r="AC3319" t="str">
        <f>HYPERLINK("plots/3FT6Y578R04_015_S21P_20251218081014_M5358ACSC201811_RBGEUFRF04/dpll_52046/txpa_55196.png","plot")</f>
        <v>plot</v>
      </c>
    </row>
    <row r="3320" spans="1:29" x14ac:dyDescent="0.35">
      <c r="A3320" s="4" t="s">
        <v>49</v>
      </c>
      <c r="B3320">
        <v>52046</v>
      </c>
      <c r="C3320" t="s">
        <v>51</v>
      </c>
      <c r="D3320">
        <v>55197</v>
      </c>
      <c r="E3320" t="s">
        <v>330</v>
      </c>
      <c r="F3320">
        <v>12028</v>
      </c>
      <c r="G3320">
        <v>0.65665681338843362</v>
      </c>
      <c r="H3320">
        <v>0</v>
      </c>
      <c r="I3320">
        <v>0</v>
      </c>
      <c r="J3320">
        <v>0.59772010880593274</v>
      </c>
      <c r="K3320">
        <v>0</v>
      </c>
      <c r="L3320">
        <v>0</v>
      </c>
      <c r="M3320">
        <v>0.42443161893269382</v>
      </c>
      <c r="N3320">
        <v>0</v>
      </c>
      <c r="O3320">
        <v>0</v>
      </c>
      <c r="P3320">
        <v>0.43119817056945209</v>
      </c>
      <c r="Q3320">
        <v>0.93832130101354316</v>
      </c>
      <c r="R3320">
        <v>1.3541311825148481</v>
      </c>
      <c r="S3320">
        <v>0.22646527602312899</v>
      </c>
      <c r="T3320">
        <v>0.1763123700645724</v>
      </c>
      <c r="U3320">
        <v>4.4179867093448619</v>
      </c>
      <c r="V3320">
        <v>0.2101483876699779</v>
      </c>
      <c r="W3320">
        <v>5.4996222194878612</v>
      </c>
      <c r="X3320">
        <v>0.30028883353373498</v>
      </c>
      <c r="Z3320" t="s">
        <v>392</v>
      </c>
      <c r="AA3320">
        <v>114</v>
      </c>
      <c r="AB3320" t="s">
        <v>3711</v>
      </c>
      <c r="AC3320" t="str">
        <f>HYPERLINK("plots/3FT6Y578R04_015_S21P_20251218081014_M5358ACSC201811_RBGEUFRF04/dpll_52046/txpa_55197.png","plot")</f>
        <v>plot</v>
      </c>
    </row>
    <row r="3321" spans="1:29" x14ac:dyDescent="0.35">
      <c r="A3321" s="4" t="s">
        <v>49</v>
      </c>
      <c r="B3321">
        <v>52046</v>
      </c>
      <c r="C3321" t="s">
        <v>51</v>
      </c>
      <c r="D3321">
        <v>55198</v>
      </c>
      <c r="E3321" t="s">
        <v>331</v>
      </c>
      <c r="F3321">
        <v>12028</v>
      </c>
      <c r="G3321">
        <v>0.67357375714582512</v>
      </c>
      <c r="H3321">
        <v>0</v>
      </c>
      <c r="I3321">
        <v>0</v>
      </c>
      <c r="J3321">
        <v>0.61133394798591068</v>
      </c>
      <c r="K3321">
        <v>0</v>
      </c>
      <c r="L3321">
        <v>0</v>
      </c>
      <c r="M3321">
        <v>0.43632549928441328</v>
      </c>
      <c r="N3321">
        <v>0</v>
      </c>
      <c r="O3321">
        <v>0</v>
      </c>
      <c r="P3321">
        <v>0.45370160631554302</v>
      </c>
      <c r="Q3321">
        <v>0.97190929703173823</v>
      </c>
      <c r="R3321">
        <v>1.2053978098025919</v>
      </c>
      <c r="S3321">
        <v>0.22411119322232201</v>
      </c>
      <c r="T3321">
        <v>0.1750790165900451</v>
      </c>
      <c r="U3321">
        <v>4.4179867093448619</v>
      </c>
      <c r="V3321">
        <v>0.2101483876699779</v>
      </c>
      <c r="W3321">
        <v>5.4992801667775186</v>
      </c>
      <c r="X3321">
        <v>0.30322614200134801</v>
      </c>
      <c r="Z3321" t="s">
        <v>392</v>
      </c>
      <c r="AA3321">
        <v>114</v>
      </c>
      <c r="AB3321" t="s">
        <v>3712</v>
      </c>
      <c r="AC3321" t="str">
        <f>HYPERLINK("plots/3FT6Y578R04_015_S21P_20251218081014_M5358ACSC201811_RBGEUFRF04/dpll_52046/txpa_55198.png","plot")</f>
        <v>plot</v>
      </c>
    </row>
    <row r="3322" spans="1:29" x14ac:dyDescent="0.35">
      <c r="A3322" s="4" t="s">
        <v>49</v>
      </c>
      <c r="B3322">
        <v>52046</v>
      </c>
      <c r="C3322" t="s">
        <v>51</v>
      </c>
      <c r="D3322">
        <v>55199</v>
      </c>
      <c r="E3322" t="s">
        <v>332</v>
      </c>
      <c r="F3322">
        <v>12027</v>
      </c>
      <c r="G3322">
        <v>0.6733802188902801</v>
      </c>
      <c r="H3322">
        <v>0</v>
      </c>
      <c r="I3322">
        <v>0</v>
      </c>
      <c r="J3322">
        <v>0.60410753947262374</v>
      </c>
      <c r="K3322">
        <v>0</v>
      </c>
      <c r="L3322">
        <v>0</v>
      </c>
      <c r="M3322">
        <v>0.42868792385338861</v>
      </c>
      <c r="N3322">
        <v>0</v>
      </c>
      <c r="O3322">
        <v>0</v>
      </c>
      <c r="P3322">
        <v>0.45344091919272161</v>
      </c>
      <c r="Q3322">
        <v>0.96521410036249644</v>
      </c>
      <c r="R3322">
        <v>1.2218398632771019</v>
      </c>
      <c r="S3322">
        <v>0.22266996488730811</v>
      </c>
      <c r="T3322">
        <v>0.17530309265650501</v>
      </c>
      <c r="U3322">
        <v>4.4179587365926656</v>
      </c>
      <c r="V3322">
        <v>0.21013472984942591</v>
      </c>
      <c r="W3322">
        <v>5.4861159306560241</v>
      </c>
      <c r="X3322">
        <v>0.30120428034072982</v>
      </c>
      <c r="Z3322" t="s">
        <v>392</v>
      </c>
      <c r="AA3322">
        <v>114</v>
      </c>
      <c r="AB3322" t="s">
        <v>3713</v>
      </c>
      <c r="AC3322" t="str">
        <f>HYPERLINK("plots/3FT6Y578R04_015_S21P_20251218081014_M5358ACSC201811_RBGEUFRF04/dpll_52046/txpa_55199.png","plot")</f>
        <v>plot</v>
      </c>
    </row>
    <row r="3323" spans="1:29" x14ac:dyDescent="0.35">
      <c r="A3323" s="4" t="s">
        <v>49</v>
      </c>
      <c r="B3323">
        <v>52046</v>
      </c>
      <c r="C3323" t="s">
        <v>51</v>
      </c>
      <c r="D3323">
        <v>55200</v>
      </c>
      <c r="E3323" t="s">
        <v>333</v>
      </c>
      <c r="F3323">
        <v>12028</v>
      </c>
      <c r="G3323">
        <v>0.67942675595267898</v>
      </c>
      <c r="H3323">
        <v>0</v>
      </c>
      <c r="I3323">
        <v>0</v>
      </c>
      <c r="J3323">
        <v>0.61865614731343643</v>
      </c>
      <c r="K3323">
        <v>0</v>
      </c>
      <c r="L3323">
        <v>0</v>
      </c>
      <c r="M3323">
        <v>0.44196550280115188</v>
      </c>
      <c r="N3323">
        <v>0</v>
      </c>
      <c r="O3323">
        <v>0</v>
      </c>
      <c r="P3323">
        <v>0.46162071670438121</v>
      </c>
      <c r="Q3323">
        <v>0.98359542936307132</v>
      </c>
      <c r="R3323">
        <v>1.1521879805004001</v>
      </c>
      <c r="S3323">
        <v>0.22321636656068511</v>
      </c>
      <c r="T3323">
        <v>0.17511320054195709</v>
      </c>
      <c r="U3323">
        <v>4.4179867093448619</v>
      </c>
      <c r="V3323">
        <v>0.2101483876699779</v>
      </c>
      <c r="W3323">
        <v>5.4976995147988026</v>
      </c>
      <c r="X3323">
        <v>0.3042285158616943</v>
      </c>
      <c r="Z3323" t="s">
        <v>392</v>
      </c>
      <c r="AA3323">
        <v>114</v>
      </c>
      <c r="AB3323" t="s">
        <v>3714</v>
      </c>
      <c r="AC3323" t="str">
        <f>HYPERLINK("plots/3FT6Y578R04_015_S21P_20251218081014_M5358ACSC201811_RBGEUFRF04/dpll_52046/txpa_55200.png","plot")</f>
        <v>plot</v>
      </c>
    </row>
    <row r="3324" spans="1:29" x14ac:dyDescent="0.35">
      <c r="A3324" s="4" t="s">
        <v>49</v>
      </c>
      <c r="B3324">
        <v>52046</v>
      </c>
      <c r="C3324" t="s">
        <v>51</v>
      </c>
      <c r="D3324">
        <v>55201</v>
      </c>
      <c r="E3324" t="s">
        <v>334</v>
      </c>
      <c r="F3324">
        <v>12028</v>
      </c>
      <c r="G3324">
        <v>0.67689446086274863</v>
      </c>
      <c r="H3324">
        <v>0</v>
      </c>
      <c r="I3324">
        <v>0</v>
      </c>
      <c r="J3324">
        <v>0.61069941416069862</v>
      </c>
      <c r="K3324">
        <v>0</v>
      </c>
      <c r="L3324">
        <v>0</v>
      </c>
      <c r="M3324">
        <v>0.43460571054041092</v>
      </c>
      <c r="N3324">
        <v>0</v>
      </c>
      <c r="O3324">
        <v>0</v>
      </c>
      <c r="P3324">
        <v>0.45818611114667113</v>
      </c>
      <c r="Q3324">
        <v>0.96436346247750349</v>
      </c>
      <c r="R3324">
        <v>1.2443562730855899</v>
      </c>
      <c r="S3324">
        <v>0.22037019817975109</v>
      </c>
      <c r="T3324">
        <v>0.17386650708360929</v>
      </c>
      <c r="U3324">
        <v>4.4179867093448619</v>
      </c>
      <c r="V3324">
        <v>0.2101483876699779</v>
      </c>
      <c r="W3324">
        <v>5.5049012332889928</v>
      </c>
      <c r="X3324">
        <v>0.29939590066844579</v>
      </c>
      <c r="Z3324" t="s">
        <v>392</v>
      </c>
      <c r="AA3324">
        <v>114</v>
      </c>
      <c r="AB3324" t="s">
        <v>3715</v>
      </c>
      <c r="AC3324" t="str">
        <f>HYPERLINK("plots/3FT6Y578R04_015_S21P_20251218081014_M5358ACSC201811_RBGEUFRF04/dpll_52046/txpa_55201.png","plot")</f>
        <v>plot</v>
      </c>
    </row>
    <row r="3325" spans="1:29" x14ac:dyDescent="0.35">
      <c r="A3325" s="4" t="s">
        <v>49</v>
      </c>
      <c r="B3325">
        <v>52046</v>
      </c>
      <c r="C3325" t="s">
        <v>51</v>
      </c>
      <c r="D3325">
        <v>55202</v>
      </c>
      <c r="E3325" t="s">
        <v>335</v>
      </c>
      <c r="F3325">
        <v>12027</v>
      </c>
      <c r="G3325">
        <v>0.66849394126289741</v>
      </c>
      <c r="H3325">
        <v>0</v>
      </c>
      <c r="I3325">
        <v>0</v>
      </c>
      <c r="J3325">
        <v>0.60400553813900693</v>
      </c>
      <c r="K3325">
        <v>0</v>
      </c>
      <c r="L3325">
        <v>0</v>
      </c>
      <c r="M3325">
        <v>0.43032476196441999</v>
      </c>
      <c r="N3325">
        <v>0</v>
      </c>
      <c r="O3325">
        <v>0</v>
      </c>
      <c r="P3325">
        <v>0.44688414950520211</v>
      </c>
      <c r="Q3325">
        <v>0.96418519748827891</v>
      </c>
      <c r="R3325">
        <v>1.208425646546273</v>
      </c>
      <c r="S3325">
        <v>0.2254055924257107</v>
      </c>
      <c r="T3325">
        <v>0.17630341017168449</v>
      </c>
      <c r="U3325">
        <v>4.418010118566559</v>
      </c>
      <c r="V3325">
        <v>0.21014144114715341</v>
      </c>
      <c r="W3325">
        <v>5.4682056052215851</v>
      </c>
      <c r="X3325">
        <v>0.30309215151623581</v>
      </c>
      <c r="Z3325" t="s">
        <v>392</v>
      </c>
      <c r="AA3325">
        <v>114</v>
      </c>
      <c r="AB3325" t="s">
        <v>3716</v>
      </c>
      <c r="AC3325" t="str">
        <f>HYPERLINK("plots/3FT6Y578R04_015_S21P_20251218081014_M5358ACSC201811_RBGEUFRF04/dpll_52046/txpa_55202.png","plot")</f>
        <v>plot</v>
      </c>
    </row>
    <row r="3326" spans="1:29" x14ac:dyDescent="0.35">
      <c r="A3326" s="4" t="s">
        <v>49</v>
      </c>
      <c r="B3326">
        <v>52046</v>
      </c>
      <c r="C3326" t="s">
        <v>51</v>
      </c>
      <c r="D3326">
        <v>55203</v>
      </c>
      <c r="E3326" t="s">
        <v>336</v>
      </c>
      <c r="F3326">
        <v>12028</v>
      </c>
      <c r="G3326">
        <v>0.66403991926860029</v>
      </c>
      <c r="H3326">
        <v>0</v>
      </c>
      <c r="I3326">
        <v>0</v>
      </c>
      <c r="J3326">
        <v>0.61032454720429208</v>
      </c>
      <c r="K3326">
        <v>0</v>
      </c>
      <c r="L3326">
        <v>0</v>
      </c>
      <c r="M3326">
        <v>0.43363055129683842</v>
      </c>
      <c r="N3326">
        <v>0</v>
      </c>
      <c r="O3326">
        <v>0</v>
      </c>
      <c r="P3326">
        <v>0.4409490143822492</v>
      </c>
      <c r="Q3326">
        <v>0.98083898655514357</v>
      </c>
      <c r="R3326">
        <v>2.2106750034685811</v>
      </c>
      <c r="S3326">
        <v>0.23207975036014611</v>
      </c>
      <c r="T3326">
        <v>0.17857969499801429</v>
      </c>
      <c r="U3326">
        <v>4.4179867093448619</v>
      </c>
      <c r="V3326">
        <v>0.2101483876699779</v>
      </c>
      <c r="W3326">
        <v>6.5440086100764887</v>
      </c>
      <c r="X3326">
        <v>0.31040563316652597</v>
      </c>
      <c r="Z3326" t="s">
        <v>392</v>
      </c>
      <c r="AA3326">
        <v>114</v>
      </c>
      <c r="AB3326" t="s">
        <v>3717</v>
      </c>
      <c r="AC3326" t="str">
        <f>HYPERLINK("plots/3FT6Y578R04_015_S21P_20251218081014_M5358ACSC201811_RBGEUFRF04/dpll_52046/txpa_55203.png","plot")</f>
        <v>plot</v>
      </c>
    </row>
    <row r="3327" spans="1:29" x14ac:dyDescent="0.35">
      <c r="A3327" s="4" t="s">
        <v>49</v>
      </c>
      <c r="B3327">
        <v>52046</v>
      </c>
      <c r="C3327" t="s">
        <v>51</v>
      </c>
      <c r="D3327">
        <v>55204</v>
      </c>
      <c r="E3327" t="s">
        <v>337</v>
      </c>
      <c r="F3327">
        <v>12028</v>
      </c>
      <c r="G3327">
        <v>0.68560049660176525</v>
      </c>
      <c r="H3327">
        <v>0</v>
      </c>
      <c r="I3327">
        <v>0</v>
      </c>
      <c r="J3327">
        <v>0.6242422232815682</v>
      </c>
      <c r="K3327">
        <v>0</v>
      </c>
      <c r="L3327">
        <v>0</v>
      </c>
      <c r="M3327">
        <v>0.44703732131189933</v>
      </c>
      <c r="N3327">
        <v>0</v>
      </c>
      <c r="O3327">
        <v>0</v>
      </c>
      <c r="P3327">
        <v>0.47004804094058711</v>
      </c>
      <c r="Q3327">
        <v>1.012739343337653</v>
      </c>
      <c r="R3327">
        <v>2.098772783787342</v>
      </c>
      <c r="S3327">
        <v>0.22597105723487179</v>
      </c>
      <c r="T3327">
        <v>0.17636563963481419</v>
      </c>
      <c r="U3327">
        <v>4.4179867093448619</v>
      </c>
      <c r="V3327">
        <v>0.2101483876699779</v>
      </c>
      <c r="W3327">
        <v>6.5730417426837384</v>
      </c>
      <c r="X3327">
        <v>0.31042209156388773</v>
      </c>
      <c r="Z3327" t="s">
        <v>392</v>
      </c>
      <c r="AA3327">
        <v>114</v>
      </c>
      <c r="AB3327" t="s">
        <v>3718</v>
      </c>
      <c r="AC3327" t="str">
        <f>HYPERLINK("plots/3FT6Y578R04_015_S21P_20251218081014_M5358ACSC201811_RBGEUFRF04/dpll_52046/txpa_55204.png","plot")</f>
        <v>plot</v>
      </c>
    </row>
    <row r="3328" spans="1:29" x14ac:dyDescent="0.35">
      <c r="A3328" s="4" t="s">
        <v>49</v>
      </c>
      <c r="B3328">
        <v>52046</v>
      </c>
      <c r="C3328" t="s">
        <v>51</v>
      </c>
      <c r="D3328">
        <v>55205</v>
      </c>
      <c r="E3328" t="s">
        <v>338</v>
      </c>
      <c r="F3328">
        <v>12028</v>
      </c>
      <c r="G3328">
        <v>0.67296418695376059</v>
      </c>
      <c r="H3328">
        <v>0</v>
      </c>
      <c r="I3328">
        <v>0</v>
      </c>
      <c r="J3328">
        <v>0.611491799090779</v>
      </c>
      <c r="K3328">
        <v>0</v>
      </c>
      <c r="L3328">
        <v>0</v>
      </c>
      <c r="M3328">
        <v>0.43580861938393051</v>
      </c>
      <c r="N3328">
        <v>0</v>
      </c>
      <c r="O3328">
        <v>0</v>
      </c>
      <c r="P3328">
        <v>0.45288079692233602</v>
      </c>
      <c r="Q3328">
        <v>0.97957010591152149</v>
      </c>
      <c r="R3328">
        <v>2.2619843396815948</v>
      </c>
      <c r="S3328">
        <v>0.22625206783664839</v>
      </c>
      <c r="T3328">
        <v>0.1757094551432859</v>
      </c>
      <c r="U3328">
        <v>4.4179867093448619</v>
      </c>
      <c r="V3328">
        <v>0.2101483876699779</v>
      </c>
      <c r="W3328">
        <v>6.5897120484702354</v>
      </c>
      <c r="X3328">
        <v>0.30589306586854093</v>
      </c>
      <c r="Z3328" t="s">
        <v>392</v>
      </c>
      <c r="AA3328">
        <v>114</v>
      </c>
      <c r="AB3328" t="s">
        <v>3719</v>
      </c>
      <c r="AC3328" t="str">
        <f>HYPERLINK("plots/3FT6Y578R04_015_S21P_20251218081014_M5358ACSC201811_RBGEUFRF04/dpll_52046/txpa_55205.png","plot")</f>
        <v>plot</v>
      </c>
    </row>
    <row r="3329" spans="1:29" x14ac:dyDescent="0.35">
      <c r="A3329" s="4" t="s">
        <v>49</v>
      </c>
      <c r="B3329">
        <v>52046</v>
      </c>
      <c r="C3329" t="s">
        <v>51</v>
      </c>
      <c r="D3329">
        <v>55206</v>
      </c>
      <c r="E3329" t="s">
        <v>339</v>
      </c>
      <c r="F3329">
        <v>12027</v>
      </c>
      <c r="G3329">
        <v>0.69013551188966837</v>
      </c>
      <c r="H3329">
        <v>0</v>
      </c>
      <c r="I3329">
        <v>0</v>
      </c>
      <c r="J3329">
        <v>0.62482305486029677</v>
      </c>
      <c r="K3329">
        <v>0</v>
      </c>
      <c r="L3329">
        <v>0</v>
      </c>
      <c r="M3329">
        <v>0.44764149128503578</v>
      </c>
      <c r="N3329">
        <v>0</v>
      </c>
      <c r="O3329">
        <v>0</v>
      </c>
      <c r="P3329">
        <v>0.4762870247712146</v>
      </c>
      <c r="Q3329">
        <v>1.012656577184555</v>
      </c>
      <c r="R3329">
        <v>2.1148334426161108</v>
      </c>
      <c r="S3329">
        <v>0.22314974617365521</v>
      </c>
      <c r="T3329">
        <v>0.17446115393308201</v>
      </c>
      <c r="U3329">
        <v>4.417995080651866</v>
      </c>
      <c r="V3329">
        <v>0.21015511914181201</v>
      </c>
      <c r="W3329">
        <v>6.588745219007234</v>
      </c>
      <c r="X3329">
        <v>0.30836692209222583</v>
      </c>
      <c r="Z3329" t="s">
        <v>392</v>
      </c>
      <c r="AA3329">
        <v>114</v>
      </c>
      <c r="AB3329" t="s">
        <v>3720</v>
      </c>
      <c r="AC3329" t="str">
        <f>HYPERLINK("plots/3FT6Y578R04_015_S21P_20251218081014_M5358ACSC201811_RBGEUFRF04/dpll_52046/txpa_55206.png","plot")</f>
        <v>plot</v>
      </c>
    </row>
    <row r="3330" spans="1:29" x14ac:dyDescent="0.35">
      <c r="A3330" s="4" t="s">
        <v>49</v>
      </c>
      <c r="B3330">
        <v>52046</v>
      </c>
      <c r="C3330" t="s">
        <v>51</v>
      </c>
      <c r="D3330">
        <v>55207</v>
      </c>
      <c r="E3330" t="s">
        <v>340</v>
      </c>
      <c r="F3330">
        <v>12027</v>
      </c>
      <c r="G3330">
        <v>0.68959320386277279</v>
      </c>
      <c r="H3330">
        <v>0</v>
      </c>
      <c r="I3330">
        <v>0</v>
      </c>
      <c r="J3330">
        <v>0.61811577376913196</v>
      </c>
      <c r="K3330">
        <v>0</v>
      </c>
      <c r="L3330">
        <v>0</v>
      </c>
      <c r="M3330">
        <v>0.44039178835488391</v>
      </c>
      <c r="N3330">
        <v>0</v>
      </c>
      <c r="O3330">
        <v>0</v>
      </c>
      <c r="P3330">
        <v>0.47553878681372369</v>
      </c>
      <c r="Q3330">
        <v>1.0061747949805471</v>
      </c>
      <c r="R3330">
        <v>2.1295444904892031</v>
      </c>
      <c r="S3330">
        <v>0.22203269433244679</v>
      </c>
      <c r="T3330">
        <v>0.1745562137384872</v>
      </c>
      <c r="U3330">
        <v>4.4179587365926656</v>
      </c>
      <c r="V3330">
        <v>0.21013472984942591</v>
      </c>
      <c r="W3330">
        <v>6.5747832165128468</v>
      </c>
      <c r="X3330">
        <v>0.30660433939922238</v>
      </c>
      <c r="Z3330" t="s">
        <v>392</v>
      </c>
      <c r="AA3330">
        <v>114</v>
      </c>
      <c r="AB3330" t="s">
        <v>3721</v>
      </c>
      <c r="AC3330" t="str">
        <f>HYPERLINK("plots/3FT6Y578R04_015_S21P_20251218081014_M5358ACSC201811_RBGEUFRF04/dpll_52046/txpa_55207.png","plot")</f>
        <v>plot</v>
      </c>
    </row>
    <row r="3331" spans="1:29" x14ac:dyDescent="0.35">
      <c r="A3331" s="4" t="s">
        <v>49</v>
      </c>
      <c r="B3331">
        <v>52046</v>
      </c>
      <c r="C3331" t="s">
        <v>51</v>
      </c>
      <c r="D3331">
        <v>55208</v>
      </c>
      <c r="E3331" t="s">
        <v>341</v>
      </c>
      <c r="F3331">
        <v>12028</v>
      </c>
      <c r="G3331">
        <v>0.69478071549309273</v>
      </c>
      <c r="H3331">
        <v>0</v>
      </c>
      <c r="I3331">
        <v>0</v>
      </c>
      <c r="J3331">
        <v>0.63191549452401252</v>
      </c>
      <c r="K3331">
        <v>0</v>
      </c>
      <c r="L3331">
        <v>0</v>
      </c>
      <c r="M3331">
        <v>0.4532139764383028</v>
      </c>
      <c r="N3331">
        <v>0</v>
      </c>
      <c r="O3331">
        <v>0</v>
      </c>
      <c r="P3331">
        <v>0.48272024262109392</v>
      </c>
      <c r="Q3331">
        <v>1.0246492555418281</v>
      </c>
      <c r="R3331">
        <v>2.060068692477294</v>
      </c>
      <c r="S3331">
        <v>0.22289392051321</v>
      </c>
      <c r="T3331">
        <v>0.17449972932136229</v>
      </c>
      <c r="U3331">
        <v>4.4179867093448619</v>
      </c>
      <c r="V3331">
        <v>0.2101483876699779</v>
      </c>
      <c r="W3331">
        <v>6.5869554852011962</v>
      </c>
      <c r="X3331">
        <v>0.30992280611377859</v>
      </c>
      <c r="Z3331" t="s">
        <v>392</v>
      </c>
      <c r="AA3331">
        <v>114</v>
      </c>
      <c r="AB3331" t="s">
        <v>3722</v>
      </c>
      <c r="AC3331" t="str">
        <f>HYPERLINK("plots/3FT6Y578R04_015_S21P_20251218081014_M5358ACSC201811_RBGEUFRF04/dpll_52046/txpa_55208.png","plot")</f>
        <v>plot</v>
      </c>
    </row>
    <row r="3332" spans="1:29" x14ac:dyDescent="0.35">
      <c r="A3332" s="4" t="s">
        <v>49</v>
      </c>
      <c r="B3332">
        <v>52046</v>
      </c>
      <c r="C3332" t="s">
        <v>51</v>
      </c>
      <c r="D3332">
        <v>55209</v>
      </c>
      <c r="E3332" t="s">
        <v>342</v>
      </c>
      <c r="F3332">
        <v>12028</v>
      </c>
      <c r="G3332">
        <v>0.69309384197745116</v>
      </c>
      <c r="H3332">
        <v>0</v>
      </c>
      <c r="I3332">
        <v>0</v>
      </c>
      <c r="J3332">
        <v>0.62454360757180827</v>
      </c>
      <c r="K3332">
        <v>0</v>
      </c>
      <c r="L3332">
        <v>0</v>
      </c>
      <c r="M3332">
        <v>0.44623610170597172</v>
      </c>
      <c r="N3332">
        <v>0</v>
      </c>
      <c r="O3332">
        <v>0</v>
      </c>
      <c r="P3332">
        <v>0.48037907378706413</v>
      </c>
      <c r="Q3332">
        <v>1.0063281745789761</v>
      </c>
      <c r="R3332">
        <v>2.1482776478745311</v>
      </c>
      <c r="S3332">
        <v>0.21993731362854579</v>
      </c>
      <c r="T3332">
        <v>0.1731780610774637</v>
      </c>
      <c r="U3332">
        <v>4.4179867093448619</v>
      </c>
      <c r="V3332">
        <v>0.2101483876699779</v>
      </c>
      <c r="W3332">
        <v>6.5942221484037242</v>
      </c>
      <c r="X3332">
        <v>0.30512209248790889</v>
      </c>
      <c r="Z3332" t="s">
        <v>392</v>
      </c>
      <c r="AA3332">
        <v>114</v>
      </c>
      <c r="AB3332" t="s">
        <v>3723</v>
      </c>
      <c r="AC3332" t="str">
        <f>HYPERLINK("plots/3FT6Y578R04_015_S21P_20251218081014_M5358ACSC201811_RBGEUFRF04/dpll_52046/txpa_55209.png","plot")</f>
        <v>plot</v>
      </c>
    </row>
    <row r="3333" spans="1:29" x14ac:dyDescent="0.35">
      <c r="A3333" s="4" t="s">
        <v>49</v>
      </c>
      <c r="B3333">
        <v>52046</v>
      </c>
      <c r="C3333" t="s">
        <v>51</v>
      </c>
      <c r="D3333">
        <v>55210</v>
      </c>
      <c r="E3333" t="s">
        <v>343</v>
      </c>
      <c r="F3333">
        <v>12027</v>
      </c>
      <c r="G3333">
        <v>0.68472674531962463</v>
      </c>
      <c r="H3333">
        <v>0</v>
      </c>
      <c r="I3333">
        <v>0</v>
      </c>
      <c r="J3333">
        <v>0.61763070050793623</v>
      </c>
      <c r="K3333">
        <v>0</v>
      </c>
      <c r="L3333">
        <v>0</v>
      </c>
      <c r="M3333">
        <v>0.44171473832947022</v>
      </c>
      <c r="N3333">
        <v>0</v>
      </c>
      <c r="O3333">
        <v>0</v>
      </c>
      <c r="P3333">
        <v>0.46885071575600612</v>
      </c>
      <c r="Q3333">
        <v>1.005701020449181</v>
      </c>
      <c r="R3333">
        <v>2.1156045973351221</v>
      </c>
      <c r="S3333">
        <v>0.22493319390513161</v>
      </c>
      <c r="T3333">
        <v>0.17557416030481809</v>
      </c>
      <c r="U3333">
        <v>4.418010118566559</v>
      </c>
      <c r="V3333">
        <v>0.21014144114715341</v>
      </c>
      <c r="W3333">
        <v>6.5588018819323191</v>
      </c>
      <c r="X3333">
        <v>0.30864788507962021</v>
      </c>
      <c r="Z3333" t="s">
        <v>392</v>
      </c>
      <c r="AA3333">
        <v>114</v>
      </c>
      <c r="AB3333" t="s">
        <v>3724</v>
      </c>
      <c r="AC3333" t="str">
        <f>HYPERLINK("plots/3FT6Y578R04_015_S21P_20251218081014_M5358ACSC201811_RBGEUFRF04/dpll_52046/txpa_55210.png","plot")</f>
        <v>plot</v>
      </c>
    </row>
    <row r="3334" spans="1:29" x14ac:dyDescent="0.35">
      <c r="A3334" s="4" t="s">
        <v>49</v>
      </c>
      <c r="B3334">
        <v>52046</v>
      </c>
      <c r="C3334" t="s">
        <v>51</v>
      </c>
      <c r="D3334">
        <v>55211</v>
      </c>
      <c r="E3334" t="s">
        <v>344</v>
      </c>
      <c r="F3334">
        <v>12028</v>
      </c>
      <c r="G3334">
        <v>0.67870918640759637</v>
      </c>
      <c r="H3334">
        <v>0</v>
      </c>
      <c r="I3334">
        <v>0</v>
      </c>
      <c r="J3334">
        <v>0.62237783914449485</v>
      </c>
      <c r="K3334">
        <v>0</v>
      </c>
      <c r="L3334">
        <v>0</v>
      </c>
      <c r="M3334">
        <v>0.4436864364102342</v>
      </c>
      <c r="N3334">
        <v>0</v>
      </c>
      <c r="O3334">
        <v>0</v>
      </c>
      <c r="P3334">
        <v>0.46064615971406142</v>
      </c>
      <c r="Q3334">
        <v>1.0264512687483229</v>
      </c>
      <c r="R3334">
        <v>3.0789661217816331</v>
      </c>
      <c r="S3334">
        <v>0.23339927578526831</v>
      </c>
      <c r="T3334">
        <v>0.17917585803962119</v>
      </c>
      <c r="U3334">
        <v>4.4179867093448619</v>
      </c>
      <c r="V3334">
        <v>0.2101483876699779</v>
      </c>
      <c r="W3334">
        <v>7.6138141849018952</v>
      </c>
      <c r="X3334">
        <v>0.31781959559292172</v>
      </c>
      <c r="Z3334" t="s">
        <v>392</v>
      </c>
      <c r="AA3334">
        <v>114</v>
      </c>
      <c r="AB3334" t="s">
        <v>3725</v>
      </c>
      <c r="AC3334" t="str">
        <f>HYPERLINK("plots/3FT6Y578R04_015_S21P_20251218081014_M5358ACSC201811_RBGEUFRF04/dpll_52046/txpa_55211.png","plot")</f>
        <v>plot</v>
      </c>
    </row>
    <row r="3335" spans="1:29" x14ac:dyDescent="0.35">
      <c r="A3335" s="4" t="s">
        <v>49</v>
      </c>
      <c r="B3335">
        <v>52046</v>
      </c>
      <c r="C3335" t="s">
        <v>51</v>
      </c>
      <c r="D3335">
        <v>55212</v>
      </c>
      <c r="E3335" t="s">
        <v>345</v>
      </c>
      <c r="F3335">
        <v>12028</v>
      </c>
      <c r="G3335">
        <v>0.69956990973574962</v>
      </c>
      <c r="H3335">
        <v>0</v>
      </c>
      <c r="I3335">
        <v>0</v>
      </c>
      <c r="J3335">
        <v>0.63589670633797646</v>
      </c>
      <c r="K3335">
        <v>0</v>
      </c>
      <c r="L3335">
        <v>0</v>
      </c>
      <c r="M3335">
        <v>0.45691980457642067</v>
      </c>
      <c r="N3335">
        <v>0</v>
      </c>
      <c r="O3335">
        <v>0</v>
      </c>
      <c r="P3335">
        <v>0.48939805860768493</v>
      </c>
      <c r="Q3335">
        <v>1.0581433152365241</v>
      </c>
      <c r="R3335">
        <v>2.967120896536648</v>
      </c>
      <c r="S3335">
        <v>0.22712378155780449</v>
      </c>
      <c r="T3335">
        <v>0.17701559651450399</v>
      </c>
      <c r="U3335">
        <v>4.4179867093448619</v>
      </c>
      <c r="V3335">
        <v>0.2101483876699779</v>
      </c>
      <c r="W3335">
        <v>7.6419839998337196</v>
      </c>
      <c r="X3335">
        <v>0.31786260175872338</v>
      </c>
      <c r="Z3335" t="s">
        <v>392</v>
      </c>
      <c r="AA3335">
        <v>114</v>
      </c>
      <c r="AB3335" t="s">
        <v>3726</v>
      </c>
      <c r="AC3335" t="str">
        <f>HYPERLINK("plots/3FT6Y578R04_015_S21P_20251218081014_M5358ACSC201811_RBGEUFRF04/dpll_52046/txpa_55212.png","plot")</f>
        <v>plot</v>
      </c>
    </row>
    <row r="3336" spans="1:29" x14ac:dyDescent="0.35">
      <c r="A3336" s="4" t="s">
        <v>49</v>
      </c>
      <c r="B3336">
        <v>52046</v>
      </c>
      <c r="C3336" t="s">
        <v>51</v>
      </c>
      <c r="D3336">
        <v>55213</v>
      </c>
      <c r="E3336" t="s">
        <v>346</v>
      </c>
      <c r="F3336">
        <v>12028</v>
      </c>
      <c r="G3336">
        <v>0.68767538042931697</v>
      </c>
      <c r="H3336">
        <v>0</v>
      </c>
      <c r="I3336">
        <v>0</v>
      </c>
      <c r="J3336">
        <v>0.6236500532322834</v>
      </c>
      <c r="K3336">
        <v>0</v>
      </c>
      <c r="L3336">
        <v>0</v>
      </c>
      <c r="M3336">
        <v>0.44599924126540691</v>
      </c>
      <c r="N3336">
        <v>0</v>
      </c>
      <c r="O3336">
        <v>0</v>
      </c>
      <c r="P3336">
        <v>0.47289742884860581</v>
      </c>
      <c r="Q3336">
        <v>1.024714756706367</v>
      </c>
      <c r="R3336">
        <v>3.1313730069914101</v>
      </c>
      <c r="S3336">
        <v>0.22733959891906089</v>
      </c>
      <c r="T3336">
        <v>0.176106407536047</v>
      </c>
      <c r="U3336">
        <v>4.4179867093448619</v>
      </c>
      <c r="V3336">
        <v>0.2101483876699779</v>
      </c>
      <c r="W3336">
        <v>7.6585491829896917</v>
      </c>
      <c r="X3336">
        <v>0.31314506825740679</v>
      </c>
      <c r="Z3336" t="s">
        <v>392</v>
      </c>
      <c r="AA3336">
        <v>114</v>
      </c>
      <c r="AB3336" t="s">
        <v>3727</v>
      </c>
      <c r="AC3336" t="str">
        <f>HYPERLINK("plots/3FT6Y578R04_015_S21P_20251218081014_M5358ACSC201811_RBGEUFRF04/dpll_52046/txpa_55213.png","plot")</f>
        <v>plot</v>
      </c>
    </row>
    <row r="3337" spans="1:29" x14ac:dyDescent="0.35">
      <c r="A3337" s="4" t="s">
        <v>49</v>
      </c>
      <c r="B3337">
        <v>52046</v>
      </c>
      <c r="C3337" t="s">
        <v>51</v>
      </c>
      <c r="D3337">
        <v>55214</v>
      </c>
      <c r="E3337" t="s">
        <v>347</v>
      </c>
      <c r="F3337">
        <v>12027</v>
      </c>
      <c r="G3337">
        <v>0.70417786845167285</v>
      </c>
      <c r="H3337">
        <v>0</v>
      </c>
      <c r="I3337">
        <v>0</v>
      </c>
      <c r="J3337">
        <v>0.63662472137867832</v>
      </c>
      <c r="K3337">
        <v>0</v>
      </c>
      <c r="L3337">
        <v>0</v>
      </c>
      <c r="M3337">
        <v>0.45756254335474411</v>
      </c>
      <c r="N3337">
        <v>0</v>
      </c>
      <c r="O3337">
        <v>0</v>
      </c>
      <c r="P3337">
        <v>0.49586647041714149</v>
      </c>
      <c r="Q3337">
        <v>1.057380746773116</v>
      </c>
      <c r="R3337">
        <v>2.9852617870831319</v>
      </c>
      <c r="S3337">
        <v>0.22404937459043969</v>
      </c>
      <c r="T3337">
        <v>0.17489591750814051</v>
      </c>
      <c r="U3337">
        <v>4.417995080651866</v>
      </c>
      <c r="V3337">
        <v>0.21015511914181201</v>
      </c>
      <c r="W3337">
        <v>7.6567647247027537</v>
      </c>
      <c r="X3337">
        <v>0.31556512462534558</v>
      </c>
      <c r="Z3337" t="s">
        <v>392</v>
      </c>
      <c r="AA3337">
        <v>114</v>
      </c>
      <c r="AB3337" t="s">
        <v>3728</v>
      </c>
      <c r="AC3337" t="str">
        <f>HYPERLINK("plots/3FT6Y578R04_015_S21P_20251218081014_M5358ACSC201811_RBGEUFRF04/dpll_52046/txpa_55214.png","plot")</f>
        <v>plot</v>
      </c>
    </row>
    <row r="3338" spans="1:29" x14ac:dyDescent="0.35">
      <c r="A3338" s="4" t="s">
        <v>49</v>
      </c>
      <c r="B3338">
        <v>52046</v>
      </c>
      <c r="C3338" t="s">
        <v>51</v>
      </c>
      <c r="D3338">
        <v>55215</v>
      </c>
      <c r="E3338" t="s">
        <v>348</v>
      </c>
      <c r="F3338">
        <v>12027</v>
      </c>
      <c r="G3338">
        <v>0.70385407310027681</v>
      </c>
      <c r="H3338">
        <v>0</v>
      </c>
      <c r="I3338">
        <v>0</v>
      </c>
      <c r="J3338">
        <v>0.62987409612637779</v>
      </c>
      <c r="K3338">
        <v>0</v>
      </c>
      <c r="L3338">
        <v>0</v>
      </c>
      <c r="M3338">
        <v>0.45019926681762051</v>
      </c>
      <c r="N3338">
        <v>0</v>
      </c>
      <c r="O3338">
        <v>0</v>
      </c>
      <c r="P3338">
        <v>0.49541055621984981</v>
      </c>
      <c r="Q3338">
        <v>1.0519680267763321</v>
      </c>
      <c r="R3338">
        <v>2.9949243280798559</v>
      </c>
      <c r="S3338">
        <v>0.2230841796085315</v>
      </c>
      <c r="T3338">
        <v>0.1750524381203655</v>
      </c>
      <c r="U3338">
        <v>4.4179587365926656</v>
      </c>
      <c r="V3338">
        <v>0.21013472984942591</v>
      </c>
      <c r="W3338">
        <v>7.6424756625925001</v>
      </c>
      <c r="X3338">
        <v>0.31406370377767873</v>
      </c>
      <c r="Z3338" t="s">
        <v>392</v>
      </c>
      <c r="AA3338">
        <v>114</v>
      </c>
      <c r="AB3338" t="s">
        <v>3729</v>
      </c>
      <c r="AC3338" t="str">
        <f>HYPERLINK("plots/3FT6Y578R04_015_S21P_20251218081014_M5358ACSC201811_RBGEUFRF04/dpll_52046/txpa_55215.png","plot")</f>
        <v>plot</v>
      </c>
    </row>
    <row r="3339" spans="1:29" x14ac:dyDescent="0.35">
      <c r="A3339" s="4" t="s">
        <v>49</v>
      </c>
      <c r="B3339">
        <v>52046</v>
      </c>
      <c r="C3339" t="s">
        <v>51</v>
      </c>
      <c r="D3339">
        <v>55216</v>
      </c>
      <c r="E3339" t="s">
        <v>349</v>
      </c>
      <c r="F3339">
        <v>12028</v>
      </c>
      <c r="G3339">
        <v>0.7084245893745108</v>
      </c>
      <c r="H3339">
        <v>0</v>
      </c>
      <c r="I3339">
        <v>0</v>
      </c>
      <c r="J3339">
        <v>0.6432322134890105</v>
      </c>
      <c r="K3339">
        <v>0</v>
      </c>
      <c r="L3339">
        <v>0</v>
      </c>
      <c r="M3339">
        <v>0.46288502733675668</v>
      </c>
      <c r="N3339">
        <v>0</v>
      </c>
      <c r="O3339">
        <v>0</v>
      </c>
      <c r="P3339">
        <v>0.50186539883044423</v>
      </c>
      <c r="Q3339">
        <v>1.0697475600257489</v>
      </c>
      <c r="R3339">
        <v>2.929009979161493</v>
      </c>
      <c r="S3339">
        <v>0.22395926848496681</v>
      </c>
      <c r="T3339">
        <v>0.17497965667407539</v>
      </c>
      <c r="U3339">
        <v>4.4179867093448619</v>
      </c>
      <c r="V3339">
        <v>0.2101483876699779</v>
      </c>
      <c r="W3339">
        <v>7.6551404817093456</v>
      </c>
      <c r="X3339">
        <v>0.31733190564685471</v>
      </c>
      <c r="Z3339" t="s">
        <v>392</v>
      </c>
      <c r="AA3339">
        <v>114</v>
      </c>
      <c r="AB3339" t="s">
        <v>3730</v>
      </c>
      <c r="AC3339" t="str">
        <f>HYPERLINK("plots/3FT6Y578R04_015_S21P_20251218081014_M5358ACSC201811_RBGEUFRF04/dpll_52046/txpa_55216.png","plot")</f>
        <v>plot</v>
      </c>
    </row>
    <row r="3340" spans="1:29" x14ac:dyDescent="0.35">
      <c r="A3340" s="4" t="s">
        <v>49</v>
      </c>
      <c r="B3340">
        <v>52046</v>
      </c>
      <c r="C3340" t="s">
        <v>51</v>
      </c>
      <c r="D3340">
        <v>55217</v>
      </c>
      <c r="E3340" t="s">
        <v>350</v>
      </c>
      <c r="F3340">
        <v>12028</v>
      </c>
      <c r="G3340">
        <v>0.70751248967970848</v>
      </c>
      <c r="H3340">
        <v>0</v>
      </c>
      <c r="I3340">
        <v>0</v>
      </c>
      <c r="J3340">
        <v>0.6362763729257328</v>
      </c>
      <c r="K3340">
        <v>0</v>
      </c>
      <c r="L3340">
        <v>0</v>
      </c>
      <c r="M3340">
        <v>0.45612282779364738</v>
      </c>
      <c r="N3340">
        <v>0</v>
      </c>
      <c r="O3340">
        <v>0</v>
      </c>
      <c r="P3340">
        <v>0.50057392305277959</v>
      </c>
      <c r="Q3340">
        <v>1.0522207131975201</v>
      </c>
      <c r="R3340">
        <v>3.014191691803966</v>
      </c>
      <c r="S3340">
        <v>0.22085963563472211</v>
      </c>
      <c r="T3340">
        <v>0.17366782554405591</v>
      </c>
      <c r="U3340">
        <v>4.4179867093448619</v>
      </c>
      <c r="V3340">
        <v>0.2101483876699779</v>
      </c>
      <c r="W3340">
        <v>7.6628888180079811</v>
      </c>
      <c r="X3340">
        <v>0.31253509948851299</v>
      </c>
      <c r="Z3340" t="s">
        <v>392</v>
      </c>
      <c r="AA3340">
        <v>114</v>
      </c>
      <c r="AB3340" t="s">
        <v>3731</v>
      </c>
      <c r="AC3340" t="str">
        <f>HYPERLINK("plots/3FT6Y578R04_015_S21P_20251218081014_M5358ACSC201811_RBGEUFRF04/dpll_52046/txpa_55217.png","plot")</f>
        <v>plot</v>
      </c>
    </row>
    <row r="3341" spans="1:29" x14ac:dyDescent="0.35">
      <c r="A3341" s="4" t="s">
        <v>49</v>
      </c>
      <c r="B3341">
        <v>52046</v>
      </c>
      <c r="C3341" t="s">
        <v>51</v>
      </c>
      <c r="D3341">
        <v>55218</v>
      </c>
      <c r="E3341" t="s">
        <v>351</v>
      </c>
      <c r="F3341">
        <v>12027</v>
      </c>
      <c r="G3341">
        <v>0.69901523370153218</v>
      </c>
      <c r="H3341">
        <v>0</v>
      </c>
      <c r="I3341">
        <v>0</v>
      </c>
      <c r="J3341">
        <v>0.62928750042363135</v>
      </c>
      <c r="K3341">
        <v>0</v>
      </c>
      <c r="L3341">
        <v>0</v>
      </c>
      <c r="M3341">
        <v>0.45142407266241008</v>
      </c>
      <c r="N3341">
        <v>0</v>
      </c>
      <c r="O3341">
        <v>0</v>
      </c>
      <c r="P3341">
        <v>0.48862229694680759</v>
      </c>
      <c r="Q3341">
        <v>1.0509312129804209</v>
      </c>
      <c r="R3341">
        <v>2.9850975764391379</v>
      </c>
      <c r="S3341">
        <v>0.2259187076787329</v>
      </c>
      <c r="T3341">
        <v>0.176061224188342</v>
      </c>
      <c r="U3341">
        <v>4.418010118566559</v>
      </c>
      <c r="V3341">
        <v>0.21014144114715341</v>
      </c>
      <c r="W3341">
        <v>7.6281223093040662</v>
      </c>
      <c r="X3341">
        <v>0.31593617562922599</v>
      </c>
      <c r="Z3341" t="s">
        <v>392</v>
      </c>
      <c r="AA3341">
        <v>114</v>
      </c>
      <c r="AB3341" t="s">
        <v>3732</v>
      </c>
      <c r="AC3341" t="str">
        <f>HYPERLINK("plots/3FT6Y578R04_015_S21P_20251218081014_M5358ACSC201811_RBGEUFRF04/dpll_52046/txpa_55218.png","plot")</f>
        <v>plot</v>
      </c>
    </row>
    <row r="3342" spans="1:29" x14ac:dyDescent="0.35">
      <c r="A3342" s="4" t="s">
        <v>49</v>
      </c>
      <c r="B3342">
        <v>52046</v>
      </c>
      <c r="C3342" t="s">
        <v>51</v>
      </c>
      <c r="D3342">
        <v>55219</v>
      </c>
      <c r="E3342" t="s">
        <v>352</v>
      </c>
      <c r="F3342">
        <v>12028</v>
      </c>
      <c r="G3342">
        <v>0.69558182689612313</v>
      </c>
      <c r="H3342">
        <v>0</v>
      </c>
      <c r="I3342">
        <v>0</v>
      </c>
      <c r="J3342">
        <v>0.63567075660860906</v>
      </c>
      <c r="K3342">
        <v>0</v>
      </c>
      <c r="L3342">
        <v>0</v>
      </c>
      <c r="M3342">
        <v>0.45492243283408068</v>
      </c>
      <c r="N3342">
        <v>0</v>
      </c>
      <c r="O3342">
        <v>0</v>
      </c>
      <c r="P3342">
        <v>0.4838340779081482</v>
      </c>
      <c r="Q3342">
        <v>1.0819552341365291</v>
      </c>
      <c r="R3342">
        <v>3.903152494604079</v>
      </c>
      <c r="S3342">
        <v>0.23483549349257821</v>
      </c>
      <c r="T3342">
        <v>0.17965356697202259</v>
      </c>
      <c r="U3342">
        <v>4.4179867093448619</v>
      </c>
      <c r="V3342">
        <v>0.2101483876699779</v>
      </c>
      <c r="W3342">
        <v>8.6832163391253747</v>
      </c>
      <c r="X3342">
        <v>0.32687908049506942</v>
      </c>
      <c r="Z3342" t="s">
        <v>392</v>
      </c>
      <c r="AA3342">
        <v>114</v>
      </c>
      <c r="AB3342" t="s">
        <v>3733</v>
      </c>
      <c r="AC3342" t="str">
        <f>HYPERLINK("plots/3FT6Y578R04_015_S21P_20251218081014_M5358ACSC201811_RBGEUFRF04/dpll_52046/txpa_55219.png","plot")</f>
        <v>plot</v>
      </c>
    </row>
    <row r="3343" spans="1:29" x14ac:dyDescent="0.35">
      <c r="A3343" s="4" t="s">
        <v>49</v>
      </c>
      <c r="B3343">
        <v>52046</v>
      </c>
      <c r="C3343" t="s">
        <v>51</v>
      </c>
      <c r="D3343">
        <v>55220</v>
      </c>
      <c r="E3343" t="s">
        <v>353</v>
      </c>
      <c r="F3343">
        <v>12028</v>
      </c>
      <c r="G3343">
        <v>0.71542658461466102</v>
      </c>
      <c r="H3343">
        <v>0</v>
      </c>
      <c r="I3343">
        <v>0</v>
      </c>
      <c r="J3343">
        <v>0.64835743363733034</v>
      </c>
      <c r="K3343">
        <v>0</v>
      </c>
      <c r="L3343">
        <v>0</v>
      </c>
      <c r="M3343">
        <v>0.46762306797170627</v>
      </c>
      <c r="N3343">
        <v>0</v>
      </c>
      <c r="O3343">
        <v>0</v>
      </c>
      <c r="P3343">
        <v>0.51183519797339871</v>
      </c>
      <c r="Q3343">
        <v>1.112986786741563</v>
      </c>
      <c r="R3343">
        <v>3.792331966221314</v>
      </c>
      <c r="S3343">
        <v>0.22841055740691099</v>
      </c>
      <c r="T3343">
        <v>0.177584721319445</v>
      </c>
      <c r="U3343">
        <v>4.4179867093448619</v>
      </c>
      <c r="V3343">
        <v>0.2101483876699779</v>
      </c>
      <c r="W3343">
        <v>8.7094927977219818</v>
      </c>
      <c r="X3343">
        <v>0.32692715613539408</v>
      </c>
      <c r="Z3343" t="s">
        <v>392</v>
      </c>
      <c r="AA3343">
        <v>114</v>
      </c>
      <c r="AB3343" t="s">
        <v>3734</v>
      </c>
      <c r="AC3343" t="str">
        <f>HYPERLINK("plots/3FT6Y578R04_015_S21P_20251218081014_M5358ACSC201811_RBGEUFRF04/dpll_52046/txpa_55220.png","plot")</f>
        <v>plot</v>
      </c>
    </row>
    <row r="3344" spans="1:29" x14ac:dyDescent="0.35">
      <c r="A3344" s="4" t="s">
        <v>49</v>
      </c>
      <c r="B3344">
        <v>52046</v>
      </c>
      <c r="C3344" t="s">
        <v>51</v>
      </c>
      <c r="D3344">
        <v>55221</v>
      </c>
      <c r="E3344" t="s">
        <v>354</v>
      </c>
      <c r="F3344">
        <v>12028</v>
      </c>
      <c r="G3344">
        <v>0.70451003622191144</v>
      </c>
      <c r="H3344">
        <v>0</v>
      </c>
      <c r="I3344">
        <v>0</v>
      </c>
      <c r="J3344">
        <v>0.63699074623849783</v>
      </c>
      <c r="K3344">
        <v>0</v>
      </c>
      <c r="L3344">
        <v>0</v>
      </c>
      <c r="M3344">
        <v>0.45731667307217411</v>
      </c>
      <c r="N3344">
        <v>0</v>
      </c>
      <c r="O3344">
        <v>0</v>
      </c>
      <c r="P3344">
        <v>0.49633439113739902</v>
      </c>
      <c r="Q3344">
        <v>1.0798287448090671</v>
      </c>
      <c r="R3344">
        <v>3.9551879633004492</v>
      </c>
      <c r="S3344">
        <v>0.2285845413092133</v>
      </c>
      <c r="T3344">
        <v>0.1764287832509496</v>
      </c>
      <c r="U3344">
        <v>4.4179867093448619</v>
      </c>
      <c r="V3344">
        <v>0.2101483876699779</v>
      </c>
      <c r="W3344">
        <v>8.7258570062354508</v>
      </c>
      <c r="X3344">
        <v>0.32210225264958919</v>
      </c>
      <c r="Z3344" t="s">
        <v>392</v>
      </c>
      <c r="AA3344">
        <v>114</v>
      </c>
      <c r="AB3344" t="s">
        <v>3735</v>
      </c>
      <c r="AC3344" t="str">
        <f>HYPERLINK("plots/3FT6Y578R04_015_S21P_20251218081014_M5358ACSC201811_RBGEUFRF04/dpll_52046/txpa_55221.png","plot")</f>
        <v>plot</v>
      </c>
    </row>
    <row r="3345" spans="1:29" x14ac:dyDescent="0.35">
      <c r="A3345" s="4" t="s">
        <v>49</v>
      </c>
      <c r="B3345">
        <v>52046</v>
      </c>
      <c r="C3345" t="s">
        <v>51</v>
      </c>
      <c r="D3345">
        <v>55222</v>
      </c>
      <c r="E3345" t="s">
        <v>355</v>
      </c>
      <c r="F3345">
        <v>12027</v>
      </c>
      <c r="G3345">
        <v>0.72009853914696009</v>
      </c>
      <c r="H3345">
        <v>0</v>
      </c>
      <c r="I3345">
        <v>0</v>
      </c>
      <c r="J3345">
        <v>0.64914800533773542</v>
      </c>
      <c r="K3345">
        <v>0</v>
      </c>
      <c r="L3345">
        <v>0</v>
      </c>
      <c r="M3345">
        <v>0.46829466543923581</v>
      </c>
      <c r="N3345">
        <v>0</v>
      </c>
      <c r="O3345">
        <v>0</v>
      </c>
      <c r="P3345">
        <v>0.51854190608158601</v>
      </c>
      <c r="Q3345">
        <v>1.1122857210148109</v>
      </c>
      <c r="R3345">
        <v>3.8097728230270631</v>
      </c>
      <c r="S3345">
        <v>0.22522966758298679</v>
      </c>
      <c r="T3345">
        <v>0.17541514268170261</v>
      </c>
      <c r="U3345">
        <v>4.417995080651866</v>
      </c>
      <c r="V3345">
        <v>0.21015511914181201</v>
      </c>
      <c r="W3345">
        <v>8.7238456667498134</v>
      </c>
      <c r="X3345">
        <v>0.32461187672524761</v>
      </c>
      <c r="Z3345" t="s">
        <v>392</v>
      </c>
      <c r="AA3345">
        <v>114</v>
      </c>
      <c r="AB3345" t="s">
        <v>3736</v>
      </c>
      <c r="AC3345" t="str">
        <f>HYPERLINK("plots/3FT6Y578R04_015_S21P_20251218081014_M5358ACSC201811_RBGEUFRF04/dpll_52046/txpa_55222.png","plot")</f>
        <v>plot</v>
      </c>
    </row>
    <row r="3346" spans="1:29" x14ac:dyDescent="0.35">
      <c r="A3346" s="4" t="s">
        <v>49</v>
      </c>
      <c r="B3346">
        <v>52046</v>
      </c>
      <c r="C3346" t="s">
        <v>51</v>
      </c>
      <c r="D3346">
        <v>55223</v>
      </c>
      <c r="E3346" t="s">
        <v>356</v>
      </c>
      <c r="F3346">
        <v>12027</v>
      </c>
      <c r="G3346">
        <v>0.71999860471299937</v>
      </c>
      <c r="H3346">
        <v>0</v>
      </c>
      <c r="I3346">
        <v>0</v>
      </c>
      <c r="J3346">
        <v>0.64256264646244265</v>
      </c>
      <c r="K3346">
        <v>0</v>
      </c>
      <c r="L3346">
        <v>0</v>
      </c>
      <c r="M3346">
        <v>0.46094858455519511</v>
      </c>
      <c r="N3346">
        <v>0</v>
      </c>
      <c r="O3346">
        <v>0</v>
      </c>
      <c r="P3346">
        <v>0.51839799078866589</v>
      </c>
      <c r="Q3346">
        <v>1.1071058442501041</v>
      </c>
      <c r="R3346">
        <v>3.8178678348259849</v>
      </c>
      <c r="S3346">
        <v>0.2242236479165052</v>
      </c>
      <c r="T3346">
        <v>0.1755093052265479</v>
      </c>
      <c r="U3346">
        <v>4.4179587365926656</v>
      </c>
      <c r="V3346">
        <v>0.21013472984942591</v>
      </c>
      <c r="W3346">
        <v>8.7090157717635321</v>
      </c>
      <c r="X3346">
        <v>0.32311366435071071</v>
      </c>
      <c r="Z3346" t="s">
        <v>392</v>
      </c>
      <c r="AA3346">
        <v>114</v>
      </c>
      <c r="AB3346" t="s">
        <v>3737</v>
      </c>
      <c r="AC3346" t="str">
        <f>HYPERLINK("plots/3FT6Y578R04_015_S21P_20251218081014_M5358ACSC201811_RBGEUFRF04/dpll_52046/txpa_55223.png","plot")</f>
        <v>plot</v>
      </c>
    </row>
    <row r="3347" spans="1:29" x14ac:dyDescent="0.35">
      <c r="A3347" s="4" t="s">
        <v>49</v>
      </c>
      <c r="B3347">
        <v>52046</v>
      </c>
      <c r="C3347" t="s">
        <v>51</v>
      </c>
      <c r="D3347">
        <v>55224</v>
      </c>
      <c r="E3347" t="s">
        <v>357</v>
      </c>
      <c r="F3347">
        <v>12028</v>
      </c>
      <c r="G3347">
        <v>0.72399558343332115</v>
      </c>
      <c r="H3347">
        <v>0</v>
      </c>
      <c r="I3347">
        <v>0</v>
      </c>
      <c r="J3347">
        <v>0.65529639473738543</v>
      </c>
      <c r="K3347">
        <v>0</v>
      </c>
      <c r="L3347">
        <v>0</v>
      </c>
      <c r="M3347">
        <v>0.47326297717849469</v>
      </c>
      <c r="N3347">
        <v>0</v>
      </c>
      <c r="O3347">
        <v>0</v>
      </c>
      <c r="P3347">
        <v>0.52416960483095509</v>
      </c>
      <c r="Q3347">
        <v>1.12440909266066</v>
      </c>
      <c r="R3347">
        <v>3.7546791265498429</v>
      </c>
      <c r="S3347">
        <v>0.2251243803055604</v>
      </c>
      <c r="T3347">
        <v>0.1754260532341719</v>
      </c>
      <c r="U3347">
        <v>4.4179867093448619</v>
      </c>
      <c r="V3347">
        <v>0.2101483876699779</v>
      </c>
      <c r="W3347">
        <v>8.7223035537911535</v>
      </c>
      <c r="X3347">
        <v>0.32637320352640342</v>
      </c>
      <c r="Z3347" t="s">
        <v>392</v>
      </c>
      <c r="AA3347">
        <v>114</v>
      </c>
      <c r="AB3347" t="s">
        <v>3738</v>
      </c>
      <c r="AC3347" t="str">
        <f>HYPERLINK("plots/3FT6Y578R04_015_S21P_20251218081014_M5358ACSC201811_RBGEUFRF04/dpll_52046/txpa_55224.png","plot")</f>
        <v>plot</v>
      </c>
    </row>
    <row r="3348" spans="1:29" x14ac:dyDescent="0.35">
      <c r="A3348" s="4" t="s">
        <v>49</v>
      </c>
      <c r="B3348">
        <v>52046</v>
      </c>
      <c r="C3348" t="s">
        <v>51</v>
      </c>
      <c r="D3348">
        <v>55225</v>
      </c>
      <c r="E3348" t="s">
        <v>358</v>
      </c>
      <c r="F3348">
        <v>12028</v>
      </c>
      <c r="G3348">
        <v>0.72365464053259465</v>
      </c>
      <c r="H3348">
        <v>0</v>
      </c>
      <c r="I3348">
        <v>0</v>
      </c>
      <c r="J3348">
        <v>0.64880002682597715</v>
      </c>
      <c r="K3348">
        <v>0</v>
      </c>
      <c r="L3348">
        <v>0</v>
      </c>
      <c r="M3348">
        <v>0.46689330847203742</v>
      </c>
      <c r="N3348">
        <v>0</v>
      </c>
      <c r="O3348">
        <v>0</v>
      </c>
      <c r="P3348">
        <v>0.52367603876435875</v>
      </c>
      <c r="Q3348">
        <v>1.1072022047153911</v>
      </c>
      <c r="R3348">
        <v>3.838617199835483</v>
      </c>
      <c r="S3348">
        <v>0.22189872817717929</v>
      </c>
      <c r="T3348">
        <v>0.17396925393138199</v>
      </c>
      <c r="U3348">
        <v>4.4179867093448619</v>
      </c>
      <c r="V3348">
        <v>0.2101483876699779</v>
      </c>
      <c r="W3348">
        <v>8.7302218248254082</v>
      </c>
      <c r="X3348">
        <v>0.32153011272661652</v>
      </c>
      <c r="Z3348" t="s">
        <v>392</v>
      </c>
      <c r="AA3348">
        <v>114</v>
      </c>
      <c r="AB3348" t="s">
        <v>3739</v>
      </c>
      <c r="AC3348" t="str">
        <f>HYPERLINK("plots/3FT6Y578R04_015_S21P_20251218081014_M5358ACSC201811_RBGEUFRF04/dpll_52046/txpa_55225.png","plot")</f>
        <v>plot</v>
      </c>
    </row>
    <row r="3349" spans="1:29" x14ac:dyDescent="0.35">
      <c r="A3349" s="4" t="s">
        <v>49</v>
      </c>
      <c r="B3349">
        <v>52046</v>
      </c>
      <c r="C3349" t="s">
        <v>51</v>
      </c>
      <c r="D3349">
        <v>55226</v>
      </c>
      <c r="E3349" t="s">
        <v>359</v>
      </c>
      <c r="F3349">
        <v>12027</v>
      </c>
      <c r="G3349">
        <v>0.71529068084414393</v>
      </c>
      <c r="H3349">
        <v>0</v>
      </c>
      <c r="I3349">
        <v>0</v>
      </c>
      <c r="J3349">
        <v>0.64176038148407899</v>
      </c>
      <c r="K3349">
        <v>0</v>
      </c>
      <c r="L3349">
        <v>0</v>
      </c>
      <c r="M3349">
        <v>0.46200003922978378</v>
      </c>
      <c r="N3349">
        <v>0</v>
      </c>
      <c r="O3349">
        <v>0</v>
      </c>
      <c r="P3349">
        <v>0.511640758102479</v>
      </c>
      <c r="Q3349">
        <v>1.1051237420031239</v>
      </c>
      <c r="R3349">
        <v>3.814853169879012</v>
      </c>
      <c r="S3349">
        <v>0.22687764125254151</v>
      </c>
      <c r="T3349">
        <v>0.17633928525906639</v>
      </c>
      <c r="U3349">
        <v>4.418010118566559</v>
      </c>
      <c r="V3349">
        <v>0.21014144114715341</v>
      </c>
      <c r="W3349">
        <v>8.6973010443169532</v>
      </c>
      <c r="X3349">
        <v>0.32466842083893038</v>
      </c>
      <c r="Z3349" t="s">
        <v>392</v>
      </c>
      <c r="AA3349">
        <v>114</v>
      </c>
      <c r="AB3349" t="s">
        <v>3740</v>
      </c>
      <c r="AC3349" t="str">
        <f>HYPERLINK("plots/3FT6Y578R04_015_S21P_20251218081014_M5358ACSC201811_RBGEUFRF04/dpll_52046/txpa_55226.png","plot")</f>
        <v>plot</v>
      </c>
    </row>
    <row r="3350" spans="1:29" x14ac:dyDescent="0.35">
      <c r="A3350" s="4" t="s">
        <v>49</v>
      </c>
      <c r="B3350">
        <v>52046</v>
      </c>
      <c r="C3350" t="s">
        <v>51</v>
      </c>
      <c r="D3350">
        <v>55227</v>
      </c>
      <c r="E3350" t="s">
        <v>360</v>
      </c>
      <c r="F3350">
        <v>12028</v>
      </c>
      <c r="G3350">
        <v>0.7009460556013446</v>
      </c>
      <c r="H3350">
        <v>0</v>
      </c>
      <c r="I3350">
        <v>0</v>
      </c>
      <c r="J3350">
        <v>0.63975881496044273</v>
      </c>
      <c r="K3350">
        <v>0</v>
      </c>
      <c r="L3350">
        <v>0</v>
      </c>
      <c r="M3350">
        <v>0.4584337219971214</v>
      </c>
      <c r="N3350">
        <v>0</v>
      </c>
      <c r="O3350">
        <v>0</v>
      </c>
      <c r="P3350">
        <v>0.49132537286308331</v>
      </c>
      <c r="Q3350">
        <v>1.1052119668405831</v>
      </c>
      <c r="R3350">
        <v>4.3299954278366011</v>
      </c>
      <c r="S3350">
        <v>0.23631376974256491</v>
      </c>
      <c r="T3350">
        <v>0.180423509848048</v>
      </c>
      <c r="U3350">
        <v>4.4179867093448619</v>
      </c>
      <c r="V3350">
        <v>0.2101483876699779</v>
      </c>
      <c r="W3350">
        <v>9.2128072083471899</v>
      </c>
      <c r="X3350">
        <v>0.33135005327315531</v>
      </c>
      <c r="Z3350" t="s">
        <v>392</v>
      </c>
      <c r="AA3350">
        <v>114</v>
      </c>
      <c r="AB3350" t="s">
        <v>3741</v>
      </c>
      <c r="AC3350" t="str">
        <f>HYPERLINK("plots/3FT6Y578R04_015_S21P_20251218081014_M5358ACSC201811_RBGEUFRF04/dpll_52046/txpa_55227.png","plot")</f>
        <v>plot</v>
      </c>
    </row>
    <row r="3351" spans="1:29" x14ac:dyDescent="0.35">
      <c r="A3351" s="4" t="s">
        <v>49</v>
      </c>
      <c r="B3351">
        <v>52046</v>
      </c>
      <c r="C3351" t="s">
        <v>51</v>
      </c>
      <c r="D3351">
        <v>55228</v>
      </c>
      <c r="E3351" t="s">
        <v>361</v>
      </c>
      <c r="F3351">
        <v>12028</v>
      </c>
      <c r="G3351">
        <v>0.72052374214942039</v>
      </c>
      <c r="H3351">
        <v>0</v>
      </c>
      <c r="I3351">
        <v>0</v>
      </c>
      <c r="J3351">
        <v>0.65220195640462442</v>
      </c>
      <c r="K3351">
        <v>0</v>
      </c>
      <c r="L3351">
        <v>0</v>
      </c>
      <c r="M3351">
        <v>0.47099644351626352</v>
      </c>
      <c r="N3351">
        <v>0</v>
      </c>
      <c r="O3351">
        <v>0</v>
      </c>
      <c r="P3351">
        <v>0.51915446300100443</v>
      </c>
      <c r="Q3351">
        <v>1.136523205370392</v>
      </c>
      <c r="R3351">
        <v>4.2172198708917374</v>
      </c>
      <c r="S3351">
        <v>0.22984804512331899</v>
      </c>
      <c r="T3351">
        <v>0.17835656291558091</v>
      </c>
      <c r="U3351">
        <v>4.4179867093448619</v>
      </c>
      <c r="V3351">
        <v>0.2101483876699779</v>
      </c>
      <c r="W3351">
        <v>9.238364287080147</v>
      </c>
      <c r="X3351">
        <v>0.33147904112863119</v>
      </c>
      <c r="Z3351" t="s">
        <v>392</v>
      </c>
      <c r="AA3351">
        <v>114</v>
      </c>
      <c r="AB3351" t="s">
        <v>3742</v>
      </c>
      <c r="AC3351" t="str">
        <f>HYPERLINK("plots/3FT6Y578R04_015_S21P_20251218081014_M5358ACSC201811_RBGEUFRF04/dpll_52046/txpa_55228.png","plot")</f>
        <v>plot</v>
      </c>
    </row>
    <row r="3352" spans="1:29" x14ac:dyDescent="0.35">
      <c r="A3352" s="4" t="s">
        <v>49</v>
      </c>
      <c r="B3352">
        <v>52046</v>
      </c>
      <c r="C3352" t="s">
        <v>51</v>
      </c>
      <c r="D3352">
        <v>55229</v>
      </c>
      <c r="E3352" t="s">
        <v>362</v>
      </c>
      <c r="F3352">
        <v>12028</v>
      </c>
      <c r="G3352">
        <v>0.7098856824038341</v>
      </c>
      <c r="H3352">
        <v>0</v>
      </c>
      <c r="I3352">
        <v>0</v>
      </c>
      <c r="J3352">
        <v>0.64088970372206899</v>
      </c>
      <c r="K3352">
        <v>0</v>
      </c>
      <c r="L3352">
        <v>0</v>
      </c>
      <c r="M3352">
        <v>0.46061046778009562</v>
      </c>
      <c r="N3352">
        <v>0</v>
      </c>
      <c r="O3352">
        <v>0</v>
      </c>
      <c r="P3352">
        <v>0.50393768208195722</v>
      </c>
      <c r="Q3352">
        <v>1.10344269210141</v>
      </c>
      <c r="R3352">
        <v>4.379741497598661</v>
      </c>
      <c r="S3352">
        <v>0.23005808103311809</v>
      </c>
      <c r="T3352">
        <v>0.1772757353263584</v>
      </c>
      <c r="U3352">
        <v>4.4179867093448619</v>
      </c>
      <c r="V3352">
        <v>0.2101483876699779</v>
      </c>
      <c r="W3352">
        <v>9.2547366458264051</v>
      </c>
      <c r="X3352">
        <v>0.32665358434348218</v>
      </c>
      <c r="Z3352" t="s">
        <v>392</v>
      </c>
      <c r="AA3352">
        <v>114</v>
      </c>
      <c r="AB3352" t="s">
        <v>3743</v>
      </c>
      <c r="AC3352" t="str">
        <f>HYPERLINK("plots/3FT6Y578R04_015_S21P_20251218081014_M5358ACSC201811_RBGEUFRF04/dpll_52046/txpa_55229.png","plot")</f>
        <v>plot</v>
      </c>
    </row>
    <row r="3353" spans="1:29" x14ac:dyDescent="0.35">
      <c r="A3353" s="4" t="s">
        <v>49</v>
      </c>
      <c r="B3353">
        <v>52046</v>
      </c>
      <c r="C3353" t="s">
        <v>51</v>
      </c>
      <c r="D3353">
        <v>55230</v>
      </c>
      <c r="E3353" t="s">
        <v>363</v>
      </c>
      <c r="F3353">
        <v>12027</v>
      </c>
      <c r="G3353">
        <v>0.72519323021669913</v>
      </c>
      <c r="H3353">
        <v>0</v>
      </c>
      <c r="I3353">
        <v>0</v>
      </c>
      <c r="J3353">
        <v>0.65305159508205635</v>
      </c>
      <c r="K3353">
        <v>0</v>
      </c>
      <c r="L3353">
        <v>0</v>
      </c>
      <c r="M3353">
        <v>0.47166012164603499</v>
      </c>
      <c r="N3353">
        <v>0</v>
      </c>
      <c r="O3353">
        <v>0</v>
      </c>
      <c r="P3353">
        <v>0.52590522115213034</v>
      </c>
      <c r="Q3353">
        <v>1.1355851203803791</v>
      </c>
      <c r="R3353">
        <v>4.2354748530920254</v>
      </c>
      <c r="S3353">
        <v>0.2265794175161335</v>
      </c>
      <c r="T3353">
        <v>0.17618778617281791</v>
      </c>
      <c r="U3353">
        <v>4.417995080651866</v>
      </c>
      <c r="V3353">
        <v>0.21015511914181201</v>
      </c>
      <c r="W3353">
        <v>9.2524843285939973</v>
      </c>
      <c r="X3353">
        <v>0.3290833619584333</v>
      </c>
      <c r="Z3353" t="s">
        <v>392</v>
      </c>
      <c r="AA3353">
        <v>114</v>
      </c>
      <c r="AB3353" t="s">
        <v>3744</v>
      </c>
      <c r="AC3353" t="str">
        <f>HYPERLINK("plots/3FT6Y578R04_015_S21P_20251218081014_M5358ACSC201811_RBGEUFRF04/dpll_52046/txpa_55230.png","plot")</f>
        <v>plot</v>
      </c>
    </row>
    <row r="3354" spans="1:29" x14ac:dyDescent="0.35">
      <c r="A3354" s="4" t="s">
        <v>49</v>
      </c>
      <c r="B3354">
        <v>52046</v>
      </c>
      <c r="C3354" t="s">
        <v>51</v>
      </c>
      <c r="D3354">
        <v>55231</v>
      </c>
      <c r="E3354" t="s">
        <v>364</v>
      </c>
      <c r="F3354">
        <v>12027</v>
      </c>
      <c r="G3354">
        <v>0.7251552665305081</v>
      </c>
      <c r="H3354">
        <v>0</v>
      </c>
      <c r="I3354">
        <v>0</v>
      </c>
      <c r="J3354">
        <v>0.64636718698257656</v>
      </c>
      <c r="K3354">
        <v>0</v>
      </c>
      <c r="L3354">
        <v>0</v>
      </c>
      <c r="M3354">
        <v>0.46417136046448843</v>
      </c>
      <c r="N3354">
        <v>0</v>
      </c>
      <c r="O3354">
        <v>0</v>
      </c>
      <c r="P3354">
        <v>0.52585016057693224</v>
      </c>
      <c r="Q3354">
        <v>1.130400954694939</v>
      </c>
      <c r="R3354">
        <v>4.2432144202498661</v>
      </c>
      <c r="S3354">
        <v>0.22554805917754681</v>
      </c>
      <c r="T3354">
        <v>0.17630917294234569</v>
      </c>
      <c r="U3354">
        <v>4.4179587365926656</v>
      </c>
      <c r="V3354">
        <v>0.21013472984942591</v>
      </c>
      <c r="W3354">
        <v>9.2372791938970646</v>
      </c>
      <c r="X3354">
        <v>0.32756639881117189</v>
      </c>
      <c r="Z3354" t="s">
        <v>392</v>
      </c>
      <c r="AA3354">
        <v>114</v>
      </c>
      <c r="AB3354" t="s">
        <v>3745</v>
      </c>
      <c r="AC3354" t="str">
        <f>HYPERLINK("plots/3FT6Y578R04_015_S21P_20251218081014_M5358ACSC201811_RBGEUFRF04/dpll_52046/txpa_55231.png","plot")</f>
        <v>plot</v>
      </c>
    </row>
    <row r="3355" spans="1:29" x14ac:dyDescent="0.35">
      <c r="A3355" s="4" t="s">
        <v>49</v>
      </c>
      <c r="B3355">
        <v>52046</v>
      </c>
      <c r="C3355" t="s">
        <v>51</v>
      </c>
      <c r="D3355">
        <v>55232</v>
      </c>
      <c r="E3355" t="s">
        <v>365</v>
      </c>
      <c r="F3355">
        <v>12028</v>
      </c>
      <c r="G3355">
        <v>0.72874808446014894</v>
      </c>
      <c r="H3355">
        <v>0</v>
      </c>
      <c r="I3355">
        <v>0</v>
      </c>
      <c r="J3355">
        <v>0.65881879395006315</v>
      </c>
      <c r="K3355">
        <v>0</v>
      </c>
      <c r="L3355">
        <v>0</v>
      </c>
      <c r="M3355">
        <v>0.47639089430748172</v>
      </c>
      <c r="N3355">
        <v>0</v>
      </c>
      <c r="O3355">
        <v>0</v>
      </c>
      <c r="P3355">
        <v>0.53107377060433636</v>
      </c>
      <c r="Q3355">
        <v>1.1475780879446089</v>
      </c>
      <c r="R3355">
        <v>4.1807723035891788</v>
      </c>
      <c r="S3355">
        <v>0.22660270606793981</v>
      </c>
      <c r="T3355">
        <v>0.17626748918637039</v>
      </c>
      <c r="U3355">
        <v>4.4179867093448619</v>
      </c>
      <c r="V3355">
        <v>0.2101483876699779</v>
      </c>
      <c r="W3355">
        <v>9.2507570440638514</v>
      </c>
      <c r="X3355">
        <v>0.33092599493500757</v>
      </c>
      <c r="Z3355" t="s">
        <v>392</v>
      </c>
      <c r="AA3355">
        <v>114</v>
      </c>
      <c r="AB3355" t="s">
        <v>3746</v>
      </c>
      <c r="AC3355" t="str">
        <f>HYPERLINK("plots/3FT6Y578R04_015_S21P_20251218081014_M5358ACSC201811_RBGEUFRF04/dpll_52046/txpa_55232.png","plot")</f>
        <v>plot</v>
      </c>
    </row>
    <row r="3356" spans="1:29" x14ac:dyDescent="0.35">
      <c r="A3356" s="4" t="s">
        <v>49</v>
      </c>
      <c r="B3356">
        <v>52046</v>
      </c>
      <c r="C3356" t="s">
        <v>51</v>
      </c>
      <c r="D3356">
        <v>55233</v>
      </c>
      <c r="E3356" t="s">
        <v>366</v>
      </c>
      <c r="F3356">
        <v>12028</v>
      </c>
      <c r="G3356">
        <v>0.72871530850880328</v>
      </c>
      <c r="H3356">
        <v>0</v>
      </c>
      <c r="I3356">
        <v>0</v>
      </c>
      <c r="J3356">
        <v>0.65250546692441813</v>
      </c>
      <c r="K3356">
        <v>0</v>
      </c>
      <c r="L3356">
        <v>0</v>
      </c>
      <c r="M3356">
        <v>0.47008806007698289</v>
      </c>
      <c r="N3356">
        <v>0</v>
      </c>
      <c r="O3356">
        <v>0</v>
      </c>
      <c r="P3356">
        <v>0.53102600085508034</v>
      </c>
      <c r="Q3356">
        <v>1.130363119358097</v>
      </c>
      <c r="R3356">
        <v>4.2649611054740859</v>
      </c>
      <c r="S3356">
        <v>0.22322481763944821</v>
      </c>
      <c r="T3356">
        <v>0.17470053138571359</v>
      </c>
      <c r="U3356">
        <v>4.4179867093448619</v>
      </c>
      <c r="V3356">
        <v>0.2101483876699779</v>
      </c>
      <c r="W3356">
        <v>9.2588903435317604</v>
      </c>
      <c r="X3356">
        <v>0.3259763919339172</v>
      </c>
      <c r="Z3356" t="s">
        <v>392</v>
      </c>
      <c r="AA3356">
        <v>114</v>
      </c>
      <c r="AB3356" t="s">
        <v>3747</v>
      </c>
      <c r="AC3356" t="str">
        <f>HYPERLINK("plots/3FT6Y578R04_015_S21P_20251218081014_M5358ACSC201811_RBGEUFRF04/dpll_52046/txpa_55233.png","plot")</f>
        <v>plot</v>
      </c>
    </row>
    <row r="3357" spans="1:29" x14ac:dyDescent="0.35">
      <c r="A3357" s="4" t="s">
        <v>49</v>
      </c>
      <c r="B3357">
        <v>52046</v>
      </c>
      <c r="C3357" t="s">
        <v>51</v>
      </c>
      <c r="D3357">
        <v>55234</v>
      </c>
      <c r="E3357" t="s">
        <v>367</v>
      </c>
      <c r="F3357">
        <v>12027</v>
      </c>
      <c r="G3357">
        <v>0.72046606548195258</v>
      </c>
      <c r="H3357">
        <v>0</v>
      </c>
      <c r="I3357">
        <v>0</v>
      </c>
      <c r="J3357">
        <v>0.6454624086187557</v>
      </c>
      <c r="K3357">
        <v>0</v>
      </c>
      <c r="L3357">
        <v>0</v>
      </c>
      <c r="M3357">
        <v>0.46519463843427228</v>
      </c>
      <c r="N3357">
        <v>0</v>
      </c>
      <c r="O3357">
        <v>0</v>
      </c>
      <c r="P3357">
        <v>0.51907135151104522</v>
      </c>
      <c r="Q3357">
        <v>1.128161007749779</v>
      </c>
      <c r="R3357">
        <v>4.2424600564135106</v>
      </c>
      <c r="S3357">
        <v>0.2281873317267275</v>
      </c>
      <c r="T3357">
        <v>0.17703122684221079</v>
      </c>
      <c r="U3357">
        <v>4.418010118566559</v>
      </c>
      <c r="V3357">
        <v>0.21014144114715341</v>
      </c>
      <c r="W3357">
        <v>9.2266868040242791</v>
      </c>
      <c r="X3357">
        <v>0.3290555813422999</v>
      </c>
      <c r="Z3357" t="s">
        <v>392</v>
      </c>
      <c r="AA3357">
        <v>114</v>
      </c>
      <c r="AB3357" t="s">
        <v>3748</v>
      </c>
      <c r="AC3357" t="str">
        <f>HYPERLINK("plots/3FT6Y578R04_015_S21P_20251218081014_M5358ACSC201811_RBGEUFRF04/dpll_52046/txpa_55234.png","plot")</f>
        <v>plot</v>
      </c>
    </row>
    <row r="3358" spans="1:29" x14ac:dyDescent="0.35">
      <c r="A3358" s="4" t="s">
        <v>49</v>
      </c>
      <c r="B3358">
        <v>52046</v>
      </c>
      <c r="C3358" t="s">
        <v>51</v>
      </c>
      <c r="D3358">
        <v>55235</v>
      </c>
      <c r="E3358" t="s">
        <v>368</v>
      </c>
      <c r="F3358">
        <v>12028</v>
      </c>
      <c r="G3358">
        <v>0.70583780591194611</v>
      </c>
      <c r="H3358">
        <v>0</v>
      </c>
      <c r="I3358">
        <v>0</v>
      </c>
      <c r="J3358">
        <v>0.64328280924891723</v>
      </c>
      <c r="K3358">
        <v>0</v>
      </c>
      <c r="L3358">
        <v>0</v>
      </c>
      <c r="M3358">
        <v>0.46141477798279318</v>
      </c>
      <c r="N3358">
        <v>0</v>
      </c>
      <c r="O3358">
        <v>0</v>
      </c>
      <c r="P3358">
        <v>0.49820700825459008</v>
      </c>
      <c r="Q3358">
        <v>1.127083538801495</v>
      </c>
      <c r="R3358">
        <v>4.7285080543224591</v>
      </c>
      <c r="S3358">
        <v>0.23769579262413809</v>
      </c>
      <c r="T3358">
        <v>0.1811458423634118</v>
      </c>
      <c r="U3358">
        <v>4.4179867093448619</v>
      </c>
      <c r="V3358">
        <v>0.2101483876699779</v>
      </c>
      <c r="W3358">
        <v>9.7079481490688391</v>
      </c>
      <c r="X3358">
        <v>0.33556546059825992</v>
      </c>
      <c r="Z3358" t="s">
        <v>392</v>
      </c>
      <c r="AA3358">
        <v>114</v>
      </c>
      <c r="AB3358" t="s">
        <v>3749</v>
      </c>
      <c r="AC3358" t="str">
        <f>HYPERLINK("plots/3FT6Y578R04_015_S21P_20251218081014_M5358ACSC201811_RBGEUFRF04/dpll_52046/txpa_55235.png","plot")</f>
        <v>plot</v>
      </c>
    </row>
    <row r="3359" spans="1:29" x14ac:dyDescent="0.35">
      <c r="A3359" s="4" t="s">
        <v>49</v>
      </c>
      <c r="B3359">
        <v>52046</v>
      </c>
      <c r="C3359" t="s">
        <v>51</v>
      </c>
      <c r="D3359">
        <v>55236</v>
      </c>
      <c r="E3359" t="s">
        <v>369</v>
      </c>
      <c r="F3359">
        <v>12028</v>
      </c>
      <c r="G3359">
        <v>0.72506719805737807</v>
      </c>
      <c r="H3359">
        <v>0</v>
      </c>
      <c r="I3359">
        <v>0</v>
      </c>
      <c r="J3359">
        <v>0.65549087760578628</v>
      </c>
      <c r="K3359">
        <v>0</v>
      </c>
      <c r="L3359">
        <v>0</v>
      </c>
      <c r="M3359">
        <v>0.47382968575892731</v>
      </c>
      <c r="N3359">
        <v>0</v>
      </c>
      <c r="O3359">
        <v>0</v>
      </c>
      <c r="P3359">
        <v>0.52572244169877713</v>
      </c>
      <c r="Q3359">
        <v>1.1585941689639809</v>
      </c>
      <c r="R3359">
        <v>4.6148480799793736</v>
      </c>
      <c r="S3359">
        <v>0.2312476755606846</v>
      </c>
      <c r="T3359">
        <v>0.1791232426498123</v>
      </c>
      <c r="U3359">
        <v>4.4179867093448619</v>
      </c>
      <c r="V3359">
        <v>0.2101483876699779</v>
      </c>
      <c r="W3359">
        <v>9.7335017199866982</v>
      </c>
      <c r="X3359">
        <v>0.33579880213026991</v>
      </c>
      <c r="Z3359" t="s">
        <v>392</v>
      </c>
      <c r="AA3359">
        <v>114</v>
      </c>
      <c r="AB3359" t="s">
        <v>3750</v>
      </c>
      <c r="AC3359" t="str">
        <f>HYPERLINK("plots/3FT6Y578R04_015_S21P_20251218081014_M5358ACSC201811_RBGEUFRF04/dpll_52046/txpa_55236.png","plot")</f>
        <v>plot</v>
      </c>
    </row>
    <row r="3360" spans="1:29" x14ac:dyDescent="0.35">
      <c r="A3360" s="4" t="s">
        <v>49</v>
      </c>
      <c r="B3360">
        <v>52046</v>
      </c>
      <c r="C3360" t="s">
        <v>51</v>
      </c>
      <c r="D3360">
        <v>55237</v>
      </c>
      <c r="E3360" t="s">
        <v>370</v>
      </c>
      <c r="F3360">
        <v>12028</v>
      </c>
      <c r="G3360">
        <v>0.71483437372337499</v>
      </c>
      <c r="H3360">
        <v>0</v>
      </c>
      <c r="I3360">
        <v>0</v>
      </c>
      <c r="J3360">
        <v>0.64443475268130668</v>
      </c>
      <c r="K3360">
        <v>0</v>
      </c>
      <c r="L3360">
        <v>0</v>
      </c>
      <c r="M3360">
        <v>0.46362688670878022</v>
      </c>
      <c r="N3360">
        <v>0</v>
      </c>
      <c r="O3360">
        <v>0</v>
      </c>
      <c r="P3360">
        <v>0.51098818185648975</v>
      </c>
      <c r="Q3360">
        <v>1.125718600530965</v>
      </c>
      <c r="R3360">
        <v>4.7766258421903691</v>
      </c>
      <c r="S3360">
        <v>0.2314153164339865</v>
      </c>
      <c r="T3360">
        <v>0.17796895201682811</v>
      </c>
      <c r="U3360">
        <v>4.4179867093448619</v>
      </c>
      <c r="V3360">
        <v>0.2101483876699779</v>
      </c>
      <c r="W3360">
        <v>9.7500356577984704</v>
      </c>
      <c r="X3360">
        <v>0.330940925013817</v>
      </c>
      <c r="Z3360" t="s">
        <v>392</v>
      </c>
      <c r="AA3360">
        <v>114</v>
      </c>
      <c r="AB3360" t="s">
        <v>3751</v>
      </c>
      <c r="AC3360" t="str">
        <f>HYPERLINK("plots/3FT6Y578R04_015_S21P_20251218081014_M5358ACSC201811_RBGEUFRF04/dpll_52046/txpa_55237.png","plot")</f>
        <v>plot</v>
      </c>
    </row>
    <row r="3361" spans="1:29" x14ac:dyDescent="0.35">
      <c r="A3361" s="4" t="s">
        <v>49</v>
      </c>
      <c r="B3361">
        <v>52046</v>
      </c>
      <c r="C3361" t="s">
        <v>51</v>
      </c>
      <c r="D3361">
        <v>55238</v>
      </c>
      <c r="E3361" t="s">
        <v>371</v>
      </c>
      <c r="F3361">
        <v>12027</v>
      </c>
      <c r="G3361">
        <v>0.72979778313678945</v>
      </c>
      <c r="H3361">
        <v>0</v>
      </c>
      <c r="I3361">
        <v>0</v>
      </c>
      <c r="J3361">
        <v>0.65638549052846151</v>
      </c>
      <c r="K3361">
        <v>0</v>
      </c>
      <c r="L3361">
        <v>0</v>
      </c>
      <c r="M3361">
        <v>0.47452885095138919</v>
      </c>
      <c r="N3361">
        <v>0</v>
      </c>
      <c r="O3361">
        <v>0</v>
      </c>
      <c r="P3361">
        <v>0.53260480427137236</v>
      </c>
      <c r="Q3361">
        <v>1.1579402972459649</v>
      </c>
      <c r="R3361">
        <v>4.6315392642760713</v>
      </c>
      <c r="S3361">
        <v>0.22795423647595001</v>
      </c>
      <c r="T3361">
        <v>0.17699600062903581</v>
      </c>
      <c r="U3361">
        <v>4.417995080651866</v>
      </c>
      <c r="V3361">
        <v>0.21015511914181201</v>
      </c>
      <c r="W3361">
        <v>9.7473138011973059</v>
      </c>
      <c r="X3361">
        <v>0.33344453319779299</v>
      </c>
      <c r="Z3361" t="s">
        <v>392</v>
      </c>
      <c r="AA3361">
        <v>114</v>
      </c>
      <c r="AB3361" t="s">
        <v>3752</v>
      </c>
      <c r="AC3361" t="str">
        <f>HYPERLINK("plots/3FT6Y578R04_015_S21P_20251218081014_M5358ACSC201811_RBGEUFRF04/dpll_52046/txpa_55238.png","plot")</f>
        <v>plot</v>
      </c>
    </row>
    <row r="3362" spans="1:29" x14ac:dyDescent="0.35">
      <c r="A3362" s="4" t="s">
        <v>49</v>
      </c>
      <c r="B3362">
        <v>52046</v>
      </c>
      <c r="C3362" t="s">
        <v>51</v>
      </c>
      <c r="D3362">
        <v>55239</v>
      </c>
      <c r="E3362" t="s">
        <v>372</v>
      </c>
      <c r="F3362">
        <v>12027</v>
      </c>
      <c r="G3362">
        <v>0.72982462721696018</v>
      </c>
      <c r="H3362">
        <v>0</v>
      </c>
      <c r="I3362">
        <v>0</v>
      </c>
      <c r="J3362">
        <v>0.64972371259459794</v>
      </c>
      <c r="K3362">
        <v>0</v>
      </c>
      <c r="L3362">
        <v>0</v>
      </c>
      <c r="M3362">
        <v>0.46699562475882062</v>
      </c>
      <c r="N3362">
        <v>0</v>
      </c>
      <c r="O3362">
        <v>0</v>
      </c>
      <c r="P3362">
        <v>0.53264398649237488</v>
      </c>
      <c r="Q3362">
        <v>1.152577199617066</v>
      </c>
      <c r="R3362">
        <v>4.63971575467846</v>
      </c>
      <c r="S3362">
        <v>0.226858579213853</v>
      </c>
      <c r="T3362">
        <v>0.17704247294458331</v>
      </c>
      <c r="U3362">
        <v>4.4179587365926656</v>
      </c>
      <c r="V3362">
        <v>0.21013472984942591</v>
      </c>
      <c r="W3362">
        <v>9.7317542633241878</v>
      </c>
      <c r="X3362">
        <v>0.33185574923075389</v>
      </c>
      <c r="Z3362" t="s">
        <v>392</v>
      </c>
      <c r="AA3362">
        <v>114</v>
      </c>
      <c r="AB3362" t="s">
        <v>3753</v>
      </c>
      <c r="AC3362" t="str">
        <f>HYPERLINK("plots/3FT6Y578R04_015_S21P_20251218081014_M5358ACSC201811_RBGEUFRF04/dpll_52046/txpa_55239.png","plot")</f>
        <v>plot</v>
      </c>
    </row>
    <row r="3363" spans="1:29" x14ac:dyDescent="0.35">
      <c r="A3363" s="4" t="s">
        <v>49</v>
      </c>
      <c r="B3363">
        <v>52046</v>
      </c>
      <c r="C3363" t="s">
        <v>51</v>
      </c>
      <c r="D3363">
        <v>55240</v>
      </c>
      <c r="E3363" t="s">
        <v>373</v>
      </c>
      <c r="F3363">
        <v>12028</v>
      </c>
      <c r="G3363">
        <v>0.73310988270453714</v>
      </c>
      <c r="H3363">
        <v>0</v>
      </c>
      <c r="I3363">
        <v>0</v>
      </c>
      <c r="J3363">
        <v>0.66204795925465931</v>
      </c>
      <c r="K3363">
        <v>0</v>
      </c>
      <c r="L3363">
        <v>0</v>
      </c>
      <c r="M3363">
        <v>0.47921142120906829</v>
      </c>
      <c r="N3363">
        <v>0</v>
      </c>
      <c r="O3363">
        <v>0</v>
      </c>
      <c r="P3363">
        <v>0.53745010011906025</v>
      </c>
      <c r="Q3363">
        <v>1.1696904686169409</v>
      </c>
      <c r="R3363">
        <v>4.5780978285494474</v>
      </c>
      <c r="S3363">
        <v>0.22802852638299489</v>
      </c>
      <c r="T3363">
        <v>0.17708594716506171</v>
      </c>
      <c r="U3363">
        <v>4.4179867093448619</v>
      </c>
      <c r="V3363">
        <v>0.2101483876699779</v>
      </c>
      <c r="W3363">
        <v>9.7457747729464579</v>
      </c>
      <c r="X3363">
        <v>0.33529566556376439</v>
      </c>
      <c r="Z3363" t="s">
        <v>392</v>
      </c>
      <c r="AA3363">
        <v>114</v>
      </c>
      <c r="AB3363" t="s">
        <v>3754</v>
      </c>
      <c r="AC3363" t="str">
        <f>HYPERLINK("plots/3FT6Y578R04_015_S21P_20251218081014_M5358ACSC201811_RBGEUFRF04/dpll_52046/txpa_55240.png","plot")</f>
        <v>plot</v>
      </c>
    </row>
    <row r="3364" spans="1:29" x14ac:dyDescent="0.35">
      <c r="A3364" s="4" t="s">
        <v>49</v>
      </c>
      <c r="B3364">
        <v>52046</v>
      </c>
      <c r="C3364" t="s">
        <v>51</v>
      </c>
      <c r="D3364">
        <v>55241</v>
      </c>
      <c r="E3364" t="s">
        <v>374</v>
      </c>
      <c r="F3364">
        <v>12028</v>
      </c>
      <c r="G3364">
        <v>0.73340800041606891</v>
      </c>
      <c r="H3364">
        <v>0</v>
      </c>
      <c r="I3364">
        <v>0</v>
      </c>
      <c r="J3364">
        <v>0.65564775798791697</v>
      </c>
      <c r="K3364">
        <v>0</v>
      </c>
      <c r="L3364">
        <v>0</v>
      </c>
      <c r="M3364">
        <v>0.47284761657145141</v>
      </c>
      <c r="N3364">
        <v>0</v>
      </c>
      <c r="O3364">
        <v>0</v>
      </c>
      <c r="P3364">
        <v>0.53788729507429656</v>
      </c>
      <c r="Q3364">
        <v>1.1529681489901</v>
      </c>
      <c r="R3364">
        <v>4.6600977498941196</v>
      </c>
      <c r="S3364">
        <v>0.2245709774496395</v>
      </c>
      <c r="T3364">
        <v>0.17545805230002021</v>
      </c>
      <c r="U3364">
        <v>4.4179867093448619</v>
      </c>
      <c r="V3364">
        <v>0.2101483876699779</v>
      </c>
      <c r="W3364">
        <v>9.7538957084303277</v>
      </c>
      <c r="X3364">
        <v>0.33036781356032752</v>
      </c>
      <c r="Z3364" t="s">
        <v>392</v>
      </c>
      <c r="AA3364">
        <v>114</v>
      </c>
      <c r="AB3364" t="s">
        <v>3755</v>
      </c>
      <c r="AC3364" t="str">
        <f>HYPERLINK("plots/3FT6Y578R04_015_S21P_20251218081014_M5358ACSC201811_RBGEUFRF04/dpll_52046/txpa_55241.png","plot")</f>
        <v>plot</v>
      </c>
    </row>
    <row r="3365" spans="1:29" x14ac:dyDescent="0.35">
      <c r="A3365" s="4" t="s">
        <v>49</v>
      </c>
      <c r="B3365">
        <v>52046</v>
      </c>
      <c r="C3365" t="s">
        <v>51</v>
      </c>
      <c r="D3365">
        <v>55242</v>
      </c>
      <c r="E3365" t="s">
        <v>375</v>
      </c>
      <c r="F3365">
        <v>12027</v>
      </c>
      <c r="G3365">
        <v>0.72497186204508546</v>
      </c>
      <c r="H3365">
        <v>0</v>
      </c>
      <c r="I3365">
        <v>0</v>
      </c>
      <c r="J3365">
        <v>0.64867255933860613</v>
      </c>
      <c r="K3365">
        <v>0</v>
      </c>
      <c r="L3365">
        <v>0</v>
      </c>
      <c r="M3365">
        <v>0.46792836806681692</v>
      </c>
      <c r="N3365">
        <v>0</v>
      </c>
      <c r="O3365">
        <v>0</v>
      </c>
      <c r="P3365">
        <v>0.52558420075711842</v>
      </c>
      <c r="Q3365">
        <v>1.150127352176648</v>
      </c>
      <c r="R3365">
        <v>4.6408432812648881</v>
      </c>
      <c r="S3365">
        <v>0.2296138092431943</v>
      </c>
      <c r="T3365">
        <v>0.17787009414321439</v>
      </c>
      <c r="U3365">
        <v>4.418010118566559</v>
      </c>
      <c r="V3365">
        <v>0.21014144114715341</v>
      </c>
      <c r="W3365">
        <v>9.7221175608214843</v>
      </c>
      <c r="X3365">
        <v>0.3333776549718423</v>
      </c>
      <c r="Z3365" t="s">
        <v>392</v>
      </c>
      <c r="AA3365">
        <v>114</v>
      </c>
      <c r="AB3365" t="s">
        <v>3756</v>
      </c>
      <c r="AC3365" t="str">
        <f>HYPERLINK("plots/3FT6Y578R04_015_S21P_20251218081014_M5358ACSC201811_RBGEUFRF04/dpll_52046/txpa_55242.png","plot")</f>
        <v>plot</v>
      </c>
    </row>
    <row r="3366" spans="1:29" x14ac:dyDescent="0.35">
      <c r="A3366" s="4" t="s">
        <v>49</v>
      </c>
      <c r="B3366">
        <v>52046</v>
      </c>
      <c r="C3366" t="s">
        <v>51</v>
      </c>
      <c r="D3366">
        <v>55243</v>
      </c>
      <c r="E3366" t="s">
        <v>376</v>
      </c>
      <c r="F3366">
        <v>12028</v>
      </c>
      <c r="G3366">
        <v>0.71803650408773001</v>
      </c>
      <c r="H3366">
        <v>0</v>
      </c>
      <c r="I3366">
        <v>0</v>
      </c>
      <c r="J3366">
        <v>0.65209230967916965</v>
      </c>
      <c r="K3366">
        <v>0</v>
      </c>
      <c r="L3366">
        <v>0</v>
      </c>
      <c r="M3366">
        <v>0.46913271168241871</v>
      </c>
      <c r="N3366">
        <v>0</v>
      </c>
      <c r="O3366">
        <v>0</v>
      </c>
      <c r="P3366">
        <v>0.51557642120252867</v>
      </c>
      <c r="Q3366">
        <v>1.190303345246531</v>
      </c>
      <c r="R3366">
        <v>6.0886640349419956</v>
      </c>
      <c r="S3366">
        <v>0.2424553520416301</v>
      </c>
      <c r="T3366">
        <v>0.18365878746490269</v>
      </c>
      <c r="U3366">
        <v>4.4179867093448619</v>
      </c>
      <c r="V3366">
        <v>0.2101483876699779</v>
      </c>
      <c r="W3366">
        <v>11.3474083943299</v>
      </c>
      <c r="X3366">
        <v>0.34836714765573717</v>
      </c>
      <c r="Z3366" t="s">
        <v>392</v>
      </c>
      <c r="AA3366">
        <v>114</v>
      </c>
      <c r="AB3366" t="s">
        <v>3757</v>
      </c>
      <c r="AC3366" t="str">
        <f>HYPERLINK("plots/3FT6Y578R04_015_S21P_20251218081014_M5358ACSC201811_RBGEUFRF04/dpll_52046/txpa_55243.png","plot")</f>
        <v>plot</v>
      </c>
    </row>
    <row r="3367" spans="1:29" x14ac:dyDescent="0.35">
      <c r="A3367" s="4" t="s">
        <v>49</v>
      </c>
      <c r="B3367">
        <v>52046</v>
      </c>
      <c r="C3367" t="s">
        <v>51</v>
      </c>
      <c r="D3367">
        <v>55244</v>
      </c>
      <c r="E3367" t="s">
        <v>377</v>
      </c>
      <c r="F3367">
        <v>12028</v>
      </c>
      <c r="G3367">
        <v>0.73673706227292013</v>
      </c>
      <c r="H3367">
        <v>0</v>
      </c>
      <c r="I3367">
        <v>0</v>
      </c>
      <c r="J3367">
        <v>0.66402172891987621</v>
      </c>
      <c r="K3367">
        <v>0</v>
      </c>
      <c r="L3367">
        <v>0</v>
      </c>
      <c r="M3367">
        <v>0.4814617992295791</v>
      </c>
      <c r="N3367">
        <v>0</v>
      </c>
      <c r="O3367">
        <v>0</v>
      </c>
      <c r="P3367">
        <v>0.5427814989265326</v>
      </c>
      <c r="Q3367">
        <v>1.222147407176541</v>
      </c>
      <c r="R3367">
        <v>5.9721897982836403</v>
      </c>
      <c r="S3367">
        <v>0.23571161233286261</v>
      </c>
      <c r="T3367">
        <v>0.18159528534858119</v>
      </c>
      <c r="U3367">
        <v>4.4179867093448619</v>
      </c>
      <c r="V3367">
        <v>0.2101483876699779</v>
      </c>
      <c r="W3367">
        <v>11.371620800049881</v>
      </c>
      <c r="X3367">
        <v>0.34860782803682561</v>
      </c>
      <c r="Z3367" t="s">
        <v>392</v>
      </c>
      <c r="AA3367">
        <v>114</v>
      </c>
      <c r="AB3367" t="s">
        <v>3758</v>
      </c>
      <c r="AC3367" t="str">
        <f>HYPERLINK("plots/3FT6Y578R04_015_S21P_20251218081014_M5358ACSC201811_RBGEUFRF04/dpll_52046/txpa_55244.png","plot")</f>
        <v>plot</v>
      </c>
    </row>
    <row r="3368" spans="1:29" x14ac:dyDescent="0.35">
      <c r="A3368" s="4" t="s">
        <v>49</v>
      </c>
      <c r="B3368">
        <v>52046</v>
      </c>
      <c r="C3368" t="s">
        <v>51</v>
      </c>
      <c r="D3368">
        <v>55245</v>
      </c>
      <c r="E3368" t="s">
        <v>378</v>
      </c>
      <c r="F3368">
        <v>12028</v>
      </c>
      <c r="G3368">
        <v>0.72718417465230811</v>
      </c>
      <c r="H3368">
        <v>0</v>
      </c>
      <c r="I3368">
        <v>0</v>
      </c>
      <c r="J3368">
        <v>0.65340485630952516</v>
      </c>
      <c r="K3368">
        <v>0</v>
      </c>
      <c r="L3368">
        <v>0</v>
      </c>
      <c r="M3368">
        <v>0.4715508497352775</v>
      </c>
      <c r="N3368">
        <v>0</v>
      </c>
      <c r="O3368">
        <v>0</v>
      </c>
      <c r="P3368">
        <v>0.52879682386475857</v>
      </c>
      <c r="Q3368">
        <v>1.189130321852065</v>
      </c>
      <c r="R3368">
        <v>6.1344318376064013</v>
      </c>
      <c r="S3368">
        <v>0.2358832740116609</v>
      </c>
      <c r="T3368">
        <v>0.18040918432233949</v>
      </c>
      <c r="U3368">
        <v>4.4179867093448619</v>
      </c>
      <c r="V3368">
        <v>0.2101483876699779</v>
      </c>
      <c r="W3368">
        <v>11.3879937952278</v>
      </c>
      <c r="X3368">
        <v>0.34364584458425029</v>
      </c>
      <c r="Z3368" t="s">
        <v>392</v>
      </c>
      <c r="AA3368">
        <v>114</v>
      </c>
      <c r="AB3368" t="s">
        <v>3759</v>
      </c>
      <c r="AC3368" t="str">
        <f>HYPERLINK("plots/3FT6Y578R04_015_S21P_20251218081014_M5358ACSC201811_RBGEUFRF04/dpll_52046/txpa_55245.png","plot")</f>
        <v>plot</v>
      </c>
    </row>
    <row r="3369" spans="1:29" x14ac:dyDescent="0.35">
      <c r="A3369" s="4" t="s">
        <v>49</v>
      </c>
      <c r="B3369">
        <v>52046</v>
      </c>
      <c r="C3369" t="s">
        <v>51</v>
      </c>
      <c r="D3369">
        <v>55246</v>
      </c>
      <c r="E3369" t="s">
        <v>379</v>
      </c>
      <c r="F3369">
        <v>12027</v>
      </c>
      <c r="G3369">
        <v>0.7413626827935339</v>
      </c>
      <c r="H3369">
        <v>0</v>
      </c>
      <c r="I3369">
        <v>0</v>
      </c>
      <c r="J3369">
        <v>0.66470448542698002</v>
      </c>
      <c r="K3369">
        <v>0</v>
      </c>
      <c r="L3369">
        <v>0</v>
      </c>
      <c r="M3369">
        <v>0.48190852290486802</v>
      </c>
      <c r="N3369">
        <v>0</v>
      </c>
      <c r="O3369">
        <v>0</v>
      </c>
      <c r="P3369">
        <v>0.54961862743882595</v>
      </c>
      <c r="Q3369">
        <v>1.2203193916003221</v>
      </c>
      <c r="R3369">
        <v>5.9931952872842524</v>
      </c>
      <c r="S3369">
        <v>0.2321426397685358</v>
      </c>
      <c r="T3369">
        <v>0.17944158769405391</v>
      </c>
      <c r="U3369">
        <v>4.417995080651866</v>
      </c>
      <c r="V3369">
        <v>0.21015511914181201</v>
      </c>
      <c r="W3369">
        <v>11.38456035619855</v>
      </c>
      <c r="X3369">
        <v>0.34592564892324251</v>
      </c>
      <c r="Z3369" t="s">
        <v>392</v>
      </c>
      <c r="AA3369">
        <v>114</v>
      </c>
      <c r="AB3369" t="s">
        <v>3760</v>
      </c>
      <c r="AC3369" t="str">
        <f>HYPERLINK("plots/3FT6Y578R04_015_S21P_20251218081014_M5358ACSC201811_RBGEUFRF04/dpll_52046/txpa_55246.png","plot")</f>
        <v>plot</v>
      </c>
    </row>
    <row r="3370" spans="1:29" x14ac:dyDescent="0.35">
      <c r="A3370" s="4" t="s">
        <v>49</v>
      </c>
      <c r="B3370">
        <v>52046</v>
      </c>
      <c r="C3370" t="s">
        <v>51</v>
      </c>
      <c r="D3370">
        <v>55247</v>
      </c>
      <c r="E3370" t="s">
        <v>380</v>
      </c>
      <c r="F3370">
        <v>12027</v>
      </c>
      <c r="G3370">
        <v>0.74128227934669388</v>
      </c>
      <c r="H3370">
        <v>0</v>
      </c>
      <c r="I3370">
        <v>0</v>
      </c>
      <c r="J3370">
        <v>0.65771036177126796</v>
      </c>
      <c r="K3370">
        <v>0</v>
      </c>
      <c r="L3370">
        <v>0</v>
      </c>
      <c r="M3370">
        <v>0.47399685649273771</v>
      </c>
      <c r="N3370">
        <v>0</v>
      </c>
      <c r="O3370">
        <v>0</v>
      </c>
      <c r="P3370">
        <v>0.54949941767342991</v>
      </c>
      <c r="Q3370">
        <v>1.2159175337393431</v>
      </c>
      <c r="R3370">
        <v>5.9962729143443427</v>
      </c>
      <c r="S3370">
        <v>0.23133852460297261</v>
      </c>
      <c r="T3370">
        <v>0.17967497604495011</v>
      </c>
      <c r="U3370">
        <v>4.4179587365926656</v>
      </c>
      <c r="V3370">
        <v>0.21013472984942591</v>
      </c>
      <c r="W3370">
        <v>11.36814640550428</v>
      </c>
      <c r="X3370">
        <v>0.3446817893673107</v>
      </c>
      <c r="Z3370" t="s">
        <v>392</v>
      </c>
      <c r="AA3370">
        <v>114</v>
      </c>
      <c r="AB3370" t="s">
        <v>3761</v>
      </c>
      <c r="AC3370" t="str">
        <f>HYPERLINK("plots/3FT6Y578R04_015_S21P_20251218081014_M5358ACSC201811_RBGEUFRF04/dpll_52046/txpa_55247.png","plot")</f>
        <v>plot</v>
      </c>
    </row>
    <row r="3371" spans="1:29" x14ac:dyDescent="0.35">
      <c r="A3371" s="4" t="s">
        <v>49</v>
      </c>
      <c r="B3371">
        <v>52046</v>
      </c>
      <c r="C3371" t="s">
        <v>51</v>
      </c>
      <c r="D3371">
        <v>55248</v>
      </c>
      <c r="E3371" t="s">
        <v>381</v>
      </c>
      <c r="F3371">
        <v>12027</v>
      </c>
      <c r="G3371">
        <v>0.74624246684626216</v>
      </c>
      <c r="H3371">
        <v>0</v>
      </c>
      <c r="I3371">
        <v>0</v>
      </c>
      <c r="J3371">
        <v>0.66997611463728235</v>
      </c>
      <c r="K3371">
        <v>0</v>
      </c>
      <c r="L3371">
        <v>0</v>
      </c>
      <c r="M3371">
        <v>0.48634879699990208</v>
      </c>
      <c r="N3371">
        <v>0</v>
      </c>
      <c r="O3371">
        <v>0</v>
      </c>
      <c r="P3371">
        <v>0.55687781932479463</v>
      </c>
      <c r="Q3371">
        <v>1.23434393326265</v>
      </c>
      <c r="R3371">
        <v>5.9306106391317508</v>
      </c>
      <c r="S3371">
        <v>0.2313570380068275</v>
      </c>
      <c r="T3371">
        <v>0.1793998668423791</v>
      </c>
      <c r="U3371">
        <v>4.417954512264072</v>
      </c>
      <c r="V3371">
        <v>0.21012745463637059</v>
      </c>
      <c r="W3371">
        <v>11.38388598877526</v>
      </c>
      <c r="X3371">
        <v>0.34756739312687901</v>
      </c>
      <c r="Z3371" t="s">
        <v>392</v>
      </c>
      <c r="AA3371">
        <v>114</v>
      </c>
      <c r="AB3371" t="s">
        <v>3762</v>
      </c>
      <c r="AC3371" t="str">
        <f>HYPERLINK("plots/3FT6Y578R04_015_S21P_20251218081014_M5358ACSC201811_RBGEUFRF04/dpll_52046/txpa_55248.png","plot")</f>
        <v>plot</v>
      </c>
    </row>
    <row r="3372" spans="1:29" x14ac:dyDescent="0.35">
      <c r="A3372" s="4" t="s">
        <v>49</v>
      </c>
      <c r="B3372">
        <v>52046</v>
      </c>
      <c r="C3372" t="s">
        <v>51</v>
      </c>
      <c r="D3372">
        <v>55249</v>
      </c>
      <c r="E3372" t="s">
        <v>382</v>
      </c>
      <c r="F3372">
        <v>12028</v>
      </c>
      <c r="G3372">
        <v>0.74490539015587309</v>
      </c>
      <c r="H3372">
        <v>0</v>
      </c>
      <c r="I3372">
        <v>0</v>
      </c>
      <c r="J3372">
        <v>0.66362728795265669</v>
      </c>
      <c r="K3372">
        <v>0</v>
      </c>
      <c r="L3372">
        <v>0</v>
      </c>
      <c r="M3372">
        <v>0.47990964649081408</v>
      </c>
      <c r="N3372">
        <v>0</v>
      </c>
      <c r="O3372">
        <v>0</v>
      </c>
      <c r="P3372">
        <v>0.55488404028327354</v>
      </c>
      <c r="Q3372">
        <v>1.215707746744342</v>
      </c>
      <c r="R3372">
        <v>6.0214293868090376</v>
      </c>
      <c r="S3372">
        <v>0.22880876577653569</v>
      </c>
      <c r="T3372">
        <v>0.17776590281808599</v>
      </c>
      <c r="U3372">
        <v>4.4179867093448619</v>
      </c>
      <c r="V3372">
        <v>0.2101483876699779</v>
      </c>
      <c r="W3372">
        <v>11.39241005437313</v>
      </c>
      <c r="X3372">
        <v>0.34296841750972668</v>
      </c>
      <c r="Z3372" t="s">
        <v>392</v>
      </c>
      <c r="AA3372">
        <v>114</v>
      </c>
      <c r="AB3372" t="s">
        <v>3763</v>
      </c>
      <c r="AC3372" t="str">
        <f>HYPERLINK("plots/3FT6Y578R04_015_S21P_20251218081014_M5358ACSC201811_RBGEUFRF04/dpll_52046/txpa_55249.png","plot")</f>
        <v>plot</v>
      </c>
    </row>
    <row r="3373" spans="1:29" x14ac:dyDescent="0.35">
      <c r="A3373" s="4" t="s">
        <v>49</v>
      </c>
      <c r="B3373">
        <v>52046</v>
      </c>
      <c r="C3373" t="s">
        <v>51</v>
      </c>
      <c r="D3373">
        <v>55250</v>
      </c>
      <c r="E3373" t="s">
        <v>383</v>
      </c>
      <c r="F3373">
        <v>12027</v>
      </c>
      <c r="G3373">
        <v>0.73636656076683948</v>
      </c>
      <c r="H3373">
        <v>0</v>
      </c>
      <c r="I3373">
        <v>0</v>
      </c>
      <c r="J3373">
        <v>0.65634968157138829</v>
      </c>
      <c r="K3373">
        <v>0</v>
      </c>
      <c r="L3373">
        <v>0</v>
      </c>
      <c r="M3373">
        <v>0.47474428399747909</v>
      </c>
      <c r="N3373">
        <v>0</v>
      </c>
      <c r="O3373">
        <v>0</v>
      </c>
      <c r="P3373">
        <v>0.5422357118155835</v>
      </c>
      <c r="Q3373">
        <v>1.212044383902755</v>
      </c>
      <c r="R3373">
        <v>6.0078747658335399</v>
      </c>
      <c r="S3373">
        <v>0.23401250743493701</v>
      </c>
      <c r="T3373">
        <v>0.18034306828852431</v>
      </c>
      <c r="U3373">
        <v>4.418010118566559</v>
      </c>
      <c r="V3373">
        <v>0.21014144114715341</v>
      </c>
      <c r="W3373">
        <v>11.362699118067679</v>
      </c>
      <c r="X3373">
        <v>0.34588853858653978</v>
      </c>
      <c r="Z3373" t="s">
        <v>392</v>
      </c>
      <c r="AA3373">
        <v>114</v>
      </c>
      <c r="AB3373" t="s">
        <v>3764</v>
      </c>
      <c r="AC3373" t="str">
        <f>HYPERLINK("plots/3FT6Y578R04_015_S21P_20251218081014_M5358ACSC201811_RBGEUFRF04/dpll_52046/txpa_55250.png","plot")</f>
        <v>plot</v>
      </c>
    </row>
    <row r="3374" spans="1:29" x14ac:dyDescent="0.35">
      <c r="A3374" s="4" t="s">
        <v>49</v>
      </c>
      <c r="B3374">
        <v>52046</v>
      </c>
      <c r="C3374" t="s">
        <v>51</v>
      </c>
      <c r="D3374">
        <v>55251</v>
      </c>
      <c r="E3374" t="s">
        <v>384</v>
      </c>
      <c r="F3374">
        <v>12028</v>
      </c>
      <c r="G3374">
        <v>0.72079088684842851</v>
      </c>
      <c r="H3374">
        <v>0</v>
      </c>
      <c r="I3374">
        <v>0</v>
      </c>
      <c r="J3374">
        <v>0.65368034317461199</v>
      </c>
      <c r="K3374">
        <v>0</v>
      </c>
      <c r="L3374">
        <v>0</v>
      </c>
      <c r="M3374">
        <v>0.47062680947913921</v>
      </c>
      <c r="N3374">
        <v>0</v>
      </c>
      <c r="O3374">
        <v>0</v>
      </c>
      <c r="P3374">
        <v>0.51953950256374404</v>
      </c>
      <c r="Q3374">
        <v>1.205465475789864</v>
      </c>
      <c r="R3374">
        <v>6.6016254780527426</v>
      </c>
      <c r="S3374">
        <v>0.24360283660079779</v>
      </c>
      <c r="T3374">
        <v>0.1841752563621617</v>
      </c>
      <c r="U3374">
        <v>4.4179867093448619</v>
      </c>
      <c r="V3374">
        <v>0.2101483876699779</v>
      </c>
      <c r="W3374">
        <v>11.92735592866644</v>
      </c>
      <c r="X3374">
        <v>0.3514564775322051</v>
      </c>
      <c r="Z3374" t="s">
        <v>392</v>
      </c>
      <c r="AA3374">
        <v>114</v>
      </c>
      <c r="AB3374" t="s">
        <v>3765</v>
      </c>
      <c r="AC3374" t="str">
        <f>HYPERLINK("plots/3FT6Y578R04_015_S21P_20251218081014_M5358ACSC201811_RBGEUFRF04/dpll_52046/txpa_55251.png","plot")</f>
        <v>plot</v>
      </c>
    </row>
    <row r="3375" spans="1:29" x14ac:dyDescent="0.35">
      <c r="A3375" s="4" t="s">
        <v>49</v>
      </c>
      <c r="B3375">
        <v>52046</v>
      </c>
      <c r="C3375" t="s">
        <v>51</v>
      </c>
      <c r="D3375">
        <v>55252</v>
      </c>
      <c r="E3375" t="s">
        <v>385</v>
      </c>
      <c r="F3375">
        <v>12028</v>
      </c>
      <c r="G3375">
        <v>0.73926773739430029</v>
      </c>
      <c r="H3375">
        <v>0</v>
      </c>
      <c r="I3375">
        <v>0</v>
      </c>
      <c r="J3375">
        <v>0.66554859376081121</v>
      </c>
      <c r="K3375">
        <v>0</v>
      </c>
      <c r="L3375">
        <v>0</v>
      </c>
      <c r="M3375">
        <v>0.48295673076030182</v>
      </c>
      <c r="N3375">
        <v>0</v>
      </c>
      <c r="O3375">
        <v>0</v>
      </c>
      <c r="P3375">
        <v>0.5465167875520881</v>
      </c>
      <c r="Q3375">
        <v>1.237300132261554</v>
      </c>
      <c r="R3375">
        <v>6.4849901078532861</v>
      </c>
      <c r="S3375">
        <v>0.2368437459015662</v>
      </c>
      <c r="T3375">
        <v>0.18211331054442531</v>
      </c>
      <c r="U3375">
        <v>4.4179867093448619</v>
      </c>
      <c r="V3375">
        <v>0.2101483876699779</v>
      </c>
      <c r="W3375">
        <v>11.95136564765547</v>
      </c>
      <c r="X3375">
        <v>0.35172186571416952</v>
      </c>
      <c r="Z3375" t="s">
        <v>392</v>
      </c>
      <c r="AA3375">
        <v>114</v>
      </c>
      <c r="AB3375" t="s">
        <v>3766</v>
      </c>
      <c r="AC3375" t="str">
        <f>HYPERLINK("plots/3FT6Y578R04_015_S21P_20251218081014_M5358ACSC201811_RBGEUFRF04/dpll_52046/txpa_55252.png","plot")</f>
        <v>plot</v>
      </c>
    </row>
    <row r="3376" spans="1:29" x14ac:dyDescent="0.35">
      <c r="A3376" s="4" t="s">
        <v>49</v>
      </c>
      <c r="B3376">
        <v>52046</v>
      </c>
      <c r="C3376" t="s">
        <v>51</v>
      </c>
      <c r="D3376">
        <v>55253</v>
      </c>
      <c r="E3376" t="s">
        <v>386</v>
      </c>
      <c r="F3376">
        <v>12028</v>
      </c>
      <c r="G3376">
        <v>0.7297594827110403</v>
      </c>
      <c r="H3376">
        <v>0</v>
      </c>
      <c r="I3376">
        <v>0</v>
      </c>
      <c r="J3376">
        <v>0.65482836529279409</v>
      </c>
      <c r="K3376">
        <v>0</v>
      </c>
      <c r="L3376">
        <v>0</v>
      </c>
      <c r="M3376">
        <v>0.47287735522981661</v>
      </c>
      <c r="N3376">
        <v>0</v>
      </c>
      <c r="O3376">
        <v>0</v>
      </c>
      <c r="P3376">
        <v>0.53254890260668508</v>
      </c>
      <c r="Q3376">
        <v>1.2040447942518331</v>
      </c>
      <c r="R3376">
        <v>6.6484710075920761</v>
      </c>
      <c r="S3376">
        <v>0.237049474666259</v>
      </c>
      <c r="T3376">
        <v>0.18096603319424531</v>
      </c>
      <c r="U3376">
        <v>4.4179867093448619</v>
      </c>
      <c r="V3376">
        <v>0.2101483876699779</v>
      </c>
      <c r="W3376">
        <v>11.96792490605254</v>
      </c>
      <c r="X3376">
        <v>0.34672803600229962</v>
      </c>
      <c r="Z3376" t="s">
        <v>392</v>
      </c>
      <c r="AA3376">
        <v>114</v>
      </c>
      <c r="AB3376" t="s">
        <v>3767</v>
      </c>
      <c r="AC3376" t="str">
        <f>HYPERLINK("plots/3FT6Y578R04_015_S21P_20251218081014_M5358ACSC201811_RBGEUFRF04/dpll_52046/txpa_55253.png","plot")</f>
        <v>plot</v>
      </c>
    </row>
    <row r="3377" spans="1:29" x14ac:dyDescent="0.35">
      <c r="A3377" s="4" t="s">
        <v>49</v>
      </c>
      <c r="B3377">
        <v>52046</v>
      </c>
      <c r="C3377" t="s">
        <v>51</v>
      </c>
      <c r="D3377">
        <v>55254</v>
      </c>
      <c r="E3377" t="s">
        <v>387</v>
      </c>
      <c r="F3377">
        <v>12027</v>
      </c>
      <c r="G3377">
        <v>0.7437586508954489</v>
      </c>
      <c r="H3377">
        <v>0</v>
      </c>
      <c r="I3377">
        <v>0</v>
      </c>
      <c r="J3377">
        <v>0.66608507346660673</v>
      </c>
      <c r="K3377">
        <v>0</v>
      </c>
      <c r="L3377">
        <v>0</v>
      </c>
      <c r="M3377">
        <v>0.4832049347406121</v>
      </c>
      <c r="N3377">
        <v>0</v>
      </c>
      <c r="O3377">
        <v>0</v>
      </c>
      <c r="P3377">
        <v>0.55317693078181829</v>
      </c>
      <c r="Q3377">
        <v>1.2353644059203319</v>
      </c>
      <c r="R3377">
        <v>6.5063010283144713</v>
      </c>
      <c r="S3377">
        <v>0.23332042841746961</v>
      </c>
      <c r="T3377">
        <v>0.18008587600732409</v>
      </c>
      <c r="U3377">
        <v>4.417995080651866</v>
      </c>
      <c r="V3377">
        <v>0.21015511914181201</v>
      </c>
      <c r="W3377">
        <v>11.964134896482911</v>
      </c>
      <c r="X3377">
        <v>0.34906236532129542</v>
      </c>
      <c r="Z3377" t="s">
        <v>392</v>
      </c>
      <c r="AA3377">
        <v>114</v>
      </c>
      <c r="AB3377" t="s">
        <v>3768</v>
      </c>
      <c r="AC3377" t="str">
        <f>HYPERLINK("plots/3FT6Y578R04_015_S21P_20251218081014_M5358ACSC201811_RBGEUFRF04/dpll_52046/txpa_55254.png","plot")</f>
        <v>plot</v>
      </c>
    </row>
    <row r="3378" spans="1:29" x14ac:dyDescent="0.35">
      <c r="A3378" s="4" t="s">
        <v>49</v>
      </c>
      <c r="B3378">
        <v>52046</v>
      </c>
      <c r="C3378" t="s">
        <v>51</v>
      </c>
      <c r="D3378">
        <v>55255</v>
      </c>
      <c r="E3378" t="s">
        <v>388</v>
      </c>
      <c r="F3378">
        <v>12027</v>
      </c>
      <c r="G3378">
        <v>0.74374725945974951</v>
      </c>
      <c r="H3378">
        <v>0</v>
      </c>
      <c r="I3378">
        <v>0</v>
      </c>
      <c r="J3378">
        <v>0.65910874879625736</v>
      </c>
      <c r="K3378">
        <v>0</v>
      </c>
      <c r="L3378">
        <v>0</v>
      </c>
      <c r="M3378">
        <v>0.47528057585553019</v>
      </c>
      <c r="N3378">
        <v>0</v>
      </c>
      <c r="O3378">
        <v>0</v>
      </c>
      <c r="P3378">
        <v>0.55315998595388793</v>
      </c>
      <c r="Q3378">
        <v>1.231208962567659</v>
      </c>
      <c r="R3378">
        <v>6.5077031542722246</v>
      </c>
      <c r="S3378">
        <v>0.23252100880014581</v>
      </c>
      <c r="T3378">
        <v>0.18030560754370489</v>
      </c>
      <c r="U3378">
        <v>4.4179587365926656</v>
      </c>
      <c r="V3378">
        <v>0.21013472984942591</v>
      </c>
      <c r="W3378">
        <v>11.947133547019209</v>
      </c>
      <c r="X3378">
        <v>0.34785978630062903</v>
      </c>
      <c r="Z3378" t="s">
        <v>392</v>
      </c>
      <c r="AA3378">
        <v>114</v>
      </c>
      <c r="AB3378" t="s">
        <v>3769</v>
      </c>
      <c r="AC3378" t="str">
        <f>HYPERLINK("plots/3FT6Y578R04_015_S21P_20251218081014_M5358ACSC201811_RBGEUFRF04/dpll_52046/txpa_55255.png","plot")</f>
        <v>plot</v>
      </c>
    </row>
    <row r="3379" spans="1:29" x14ac:dyDescent="0.35">
      <c r="A3379" s="4" t="s">
        <v>49</v>
      </c>
      <c r="B3379">
        <v>52046</v>
      </c>
      <c r="C3379" t="s">
        <v>51</v>
      </c>
      <c r="D3379">
        <v>55256</v>
      </c>
      <c r="E3379" t="s">
        <v>389</v>
      </c>
      <c r="F3379">
        <v>12027</v>
      </c>
      <c r="G3379">
        <v>0.74860766641765952</v>
      </c>
      <c r="H3379">
        <v>0</v>
      </c>
      <c r="I3379">
        <v>0</v>
      </c>
      <c r="J3379">
        <v>0.67133312844733328</v>
      </c>
      <c r="K3379">
        <v>0</v>
      </c>
      <c r="L3379">
        <v>0</v>
      </c>
      <c r="M3379">
        <v>0.48769795141506223</v>
      </c>
      <c r="N3379">
        <v>0</v>
      </c>
      <c r="O3379">
        <v>0</v>
      </c>
      <c r="P3379">
        <v>0.56041343821929379</v>
      </c>
      <c r="Q3379">
        <v>1.249557243682438</v>
      </c>
      <c r="R3379">
        <v>6.4429229460870063</v>
      </c>
      <c r="S3379">
        <v>0.2325352698052699</v>
      </c>
      <c r="T3379">
        <v>0.18002500910425959</v>
      </c>
      <c r="U3379">
        <v>4.417954512264072</v>
      </c>
      <c r="V3379">
        <v>0.21012745463637059</v>
      </c>
      <c r="W3379">
        <v>11.96341000914609</v>
      </c>
      <c r="X3379">
        <v>0.35073950590687669</v>
      </c>
      <c r="Z3379" t="s">
        <v>392</v>
      </c>
      <c r="AA3379">
        <v>114</v>
      </c>
      <c r="AB3379" t="s">
        <v>3770</v>
      </c>
      <c r="AC3379" t="str">
        <f>HYPERLINK("plots/3FT6Y578R04_015_S21P_20251218081014_M5358ACSC201811_RBGEUFRF04/dpll_52046/txpa_55256.png","plot")</f>
        <v>plot</v>
      </c>
    </row>
    <row r="3380" spans="1:29" x14ac:dyDescent="0.35">
      <c r="A3380" s="4" t="s">
        <v>49</v>
      </c>
      <c r="B3380">
        <v>52046</v>
      </c>
      <c r="C3380" t="s">
        <v>51</v>
      </c>
      <c r="D3380">
        <v>55257</v>
      </c>
      <c r="E3380" t="s">
        <v>390</v>
      </c>
      <c r="F3380">
        <v>12028</v>
      </c>
      <c r="G3380">
        <v>0.7474131689124508</v>
      </c>
      <c r="H3380">
        <v>0</v>
      </c>
      <c r="I3380">
        <v>0</v>
      </c>
      <c r="J3380">
        <v>0.66499842029505218</v>
      </c>
      <c r="K3380">
        <v>0</v>
      </c>
      <c r="L3380">
        <v>0</v>
      </c>
      <c r="M3380">
        <v>0.4811999336648386</v>
      </c>
      <c r="N3380">
        <v>0</v>
      </c>
      <c r="O3380">
        <v>0</v>
      </c>
      <c r="P3380">
        <v>0.5586264450637517</v>
      </c>
      <c r="Q3380">
        <v>1.231005747620376</v>
      </c>
      <c r="R3380">
        <v>6.5336533378561148</v>
      </c>
      <c r="S3380">
        <v>0.22993786657043169</v>
      </c>
      <c r="T3380">
        <v>0.17831891840150391</v>
      </c>
      <c r="U3380">
        <v>4.4179867093448619</v>
      </c>
      <c r="V3380">
        <v>0.2101483876699779</v>
      </c>
      <c r="W3380">
        <v>11.972220369970071</v>
      </c>
      <c r="X3380">
        <v>0.3461189658342777</v>
      </c>
      <c r="Z3380" t="s">
        <v>392</v>
      </c>
      <c r="AA3380">
        <v>114</v>
      </c>
      <c r="AB3380" t="s">
        <v>3771</v>
      </c>
      <c r="AC3380" t="str">
        <f>HYPERLINK("plots/3FT6Y578R04_015_S21P_20251218081014_M5358ACSC201811_RBGEUFRF04/dpll_52046/txpa_55257.png","plot")</f>
        <v>plot</v>
      </c>
    </row>
    <row r="3381" spans="1:29" x14ac:dyDescent="0.35">
      <c r="A3381" s="4" t="s">
        <v>49</v>
      </c>
      <c r="B3381">
        <v>52046</v>
      </c>
      <c r="C3381" t="s">
        <v>51</v>
      </c>
      <c r="D3381">
        <v>55258</v>
      </c>
      <c r="E3381" t="s">
        <v>391</v>
      </c>
      <c r="F3381">
        <v>12027</v>
      </c>
      <c r="G3381">
        <v>0.73866867743271314</v>
      </c>
      <c r="H3381">
        <v>0</v>
      </c>
      <c r="I3381">
        <v>0</v>
      </c>
      <c r="J3381">
        <v>0.65752275999062348</v>
      </c>
      <c r="K3381">
        <v>0</v>
      </c>
      <c r="L3381">
        <v>0</v>
      </c>
      <c r="M3381">
        <v>0.47589257689372372</v>
      </c>
      <c r="N3381">
        <v>0</v>
      </c>
      <c r="O3381">
        <v>0</v>
      </c>
      <c r="P3381">
        <v>0.54563141502019363</v>
      </c>
      <c r="Q3381">
        <v>1.2268566576473929</v>
      </c>
      <c r="R3381">
        <v>6.5226599394158038</v>
      </c>
      <c r="S3381">
        <v>0.23525666672302009</v>
      </c>
      <c r="T3381">
        <v>0.1809807881721103</v>
      </c>
      <c r="U3381">
        <v>4.418010118566559</v>
      </c>
      <c r="V3381">
        <v>0.21014144114715341</v>
      </c>
      <c r="W3381">
        <v>11.942925066932739</v>
      </c>
      <c r="X3381">
        <v>0.34902444627143109</v>
      </c>
      <c r="Z3381" t="s">
        <v>392</v>
      </c>
      <c r="AA3381">
        <v>114</v>
      </c>
      <c r="AB3381" t="s">
        <v>3772</v>
      </c>
      <c r="AC3381" t="str">
        <f>HYPERLINK("plots/3FT6Y578R04_015_S21P_20251218081014_M5358ACSC201811_RBGEUFRF04/dpll_52046/txpa_55258.png","plot")</f>
        <v>plot</v>
      </c>
    </row>
    <row r="3382" spans="1:29" hidden="1" x14ac:dyDescent="0.35">
      <c r="A3382" t="s">
        <v>49</v>
      </c>
      <c r="B3382">
        <v>52084</v>
      </c>
      <c r="C3382" t="s">
        <v>52</v>
      </c>
      <c r="D3382">
        <v>53179</v>
      </c>
      <c r="E3382" t="s">
        <v>54</v>
      </c>
      <c r="F3382">
        <v>12028</v>
      </c>
      <c r="G3382">
        <v>0.30249030630452028</v>
      </c>
      <c r="H3382">
        <v>6.1306617476254326E-253</v>
      </c>
      <c r="I3382">
        <v>6.5230755635804714E-253</v>
      </c>
      <c r="J3382">
        <v>0.2821541643102492</v>
      </c>
      <c r="K3382">
        <v>5.9046153866735861E-219</v>
      </c>
      <c r="L3382">
        <v>6.3223653665121601E-219</v>
      </c>
      <c r="M3382">
        <v>0.19065534682202659</v>
      </c>
      <c r="N3382">
        <v>1.4184780552161059E-215</v>
      </c>
      <c r="O3382">
        <v>1.5188350031564221E-215</v>
      </c>
      <c r="P3382">
        <v>9.1500385408202531E-2</v>
      </c>
      <c r="Q3382">
        <v>1.691892085635845</v>
      </c>
      <c r="R3382">
        <v>-28.04499778795898</v>
      </c>
      <c r="S3382">
        <v>1.0951938118077691</v>
      </c>
      <c r="T3382">
        <v>0.82744376383140861</v>
      </c>
      <c r="U3382">
        <v>4.2558177004489526</v>
      </c>
      <c r="V3382">
        <v>0.20544021673558341</v>
      </c>
      <c r="W3382">
        <v>-20.844613502660462</v>
      </c>
      <c r="X3382">
        <v>1.149070464480707</v>
      </c>
      <c r="Z3382" t="s">
        <v>392</v>
      </c>
      <c r="AA3382">
        <v>114</v>
      </c>
      <c r="AB3382" t="s">
        <v>3773</v>
      </c>
      <c r="AC3382" t="str">
        <f>HYPERLINK("plots/3FT6Y578R04_015_S21P_20251218081014_M5358ACSC201811_RBGEUFRF04/dpll_52084/txpa_53179.png","plot")</f>
        <v>plot</v>
      </c>
    </row>
    <row r="3383" spans="1:29" hidden="1" x14ac:dyDescent="0.35">
      <c r="A3383" t="s">
        <v>49</v>
      </c>
      <c r="B3383">
        <v>52084</v>
      </c>
      <c r="C3383" t="s">
        <v>52</v>
      </c>
      <c r="D3383">
        <v>53180</v>
      </c>
      <c r="E3383" t="s">
        <v>55</v>
      </c>
      <c r="F3383">
        <v>12028</v>
      </c>
      <c r="G3383">
        <v>0.31833078851655677</v>
      </c>
      <c r="H3383">
        <v>2.2074428288926781E-281</v>
      </c>
      <c r="I3383">
        <v>2.3786897221011429E-281</v>
      </c>
      <c r="J3383">
        <v>0.29362960290478601</v>
      </c>
      <c r="K3383">
        <v>8.694684291095836E-238</v>
      </c>
      <c r="L3383">
        <v>9.3891478926210631E-238</v>
      </c>
      <c r="M3383">
        <v>0.19873038030866991</v>
      </c>
      <c r="N3383">
        <v>4.5180856308199488E-234</v>
      </c>
      <c r="O3383">
        <v>4.8789550901506162E-234</v>
      </c>
      <c r="P3383">
        <v>0.10133449091757279</v>
      </c>
      <c r="Q3383">
        <v>1.748610119839211</v>
      </c>
      <c r="R3383">
        <v>-28.220545361284341</v>
      </c>
      <c r="S3383">
        <v>1.0697462916699549</v>
      </c>
      <c r="T3383">
        <v>0.81093905658104304</v>
      </c>
      <c r="U3383">
        <v>4.2558177004489526</v>
      </c>
      <c r="V3383">
        <v>0.20544021673558341</v>
      </c>
      <c r="W3383">
        <v>-20.778779462088458</v>
      </c>
      <c r="X3383">
        <v>1.128495436083518</v>
      </c>
      <c r="Z3383" t="s">
        <v>392</v>
      </c>
      <c r="AA3383">
        <v>114</v>
      </c>
      <c r="AB3383" t="s">
        <v>3774</v>
      </c>
      <c r="AC3383" t="str">
        <f>HYPERLINK("plots/3FT6Y578R04_015_S21P_20251218081014_M5358ACSC201811_RBGEUFRF04/dpll_52084/txpa_53180.png","plot")</f>
        <v>plot</v>
      </c>
    </row>
    <row r="3384" spans="1:29" hidden="1" x14ac:dyDescent="0.35">
      <c r="A3384" t="s">
        <v>49</v>
      </c>
      <c r="B3384">
        <v>52084</v>
      </c>
      <c r="C3384" t="s">
        <v>52</v>
      </c>
      <c r="D3384">
        <v>53181</v>
      </c>
      <c r="E3384" t="s">
        <v>56</v>
      </c>
      <c r="F3384">
        <v>12028</v>
      </c>
      <c r="G3384">
        <v>0.29668313433468052</v>
      </c>
      <c r="H3384">
        <v>6.0030582378110649E-243</v>
      </c>
      <c r="I3384">
        <v>6.3672605158372595E-243</v>
      </c>
      <c r="J3384">
        <v>0.26969473901396818</v>
      </c>
      <c r="K3384">
        <v>1.685324531471378E-199</v>
      </c>
      <c r="L3384">
        <v>1.789444057499453E-199</v>
      </c>
      <c r="M3384">
        <v>0.18273891023441011</v>
      </c>
      <c r="N3384">
        <v>3.067419701546527E-198</v>
      </c>
      <c r="O3384">
        <v>3.256925211903852E-198</v>
      </c>
      <c r="P3384">
        <v>8.8020882198650049E-2</v>
      </c>
      <c r="Q3384">
        <v>1.6170490830542841</v>
      </c>
      <c r="R3384">
        <v>-27.599610918105292</v>
      </c>
      <c r="S3384">
        <v>1.0692769409676079</v>
      </c>
      <c r="T3384">
        <v>0.80555719550988436</v>
      </c>
      <c r="U3384">
        <v>4.2558177004489526</v>
      </c>
      <c r="V3384">
        <v>0.20544021673558341</v>
      </c>
      <c r="W3384">
        <v>-20.717744807948119</v>
      </c>
      <c r="X3384">
        <v>1.119736431394158</v>
      </c>
      <c r="Z3384" t="s">
        <v>392</v>
      </c>
      <c r="AA3384">
        <v>114</v>
      </c>
      <c r="AB3384" t="s">
        <v>3775</v>
      </c>
      <c r="AC3384" t="str">
        <f>HYPERLINK("plots/3FT6Y578R04_015_S21P_20251218081014_M5358ACSC201811_RBGEUFRF04/dpll_52084/txpa_53181.png","plot")</f>
        <v>plot</v>
      </c>
    </row>
    <row r="3385" spans="1:29" hidden="1" x14ac:dyDescent="0.35">
      <c r="A3385" t="s">
        <v>49</v>
      </c>
      <c r="B3385">
        <v>52084</v>
      </c>
      <c r="C3385" t="s">
        <v>52</v>
      </c>
      <c r="D3385">
        <v>53182</v>
      </c>
      <c r="E3385" t="s">
        <v>57</v>
      </c>
      <c r="F3385">
        <v>12028</v>
      </c>
      <c r="G3385">
        <v>0.3079120594310516</v>
      </c>
      <c r="H3385">
        <v>1.7769427620246979E-262</v>
      </c>
      <c r="I3385">
        <v>1.898651170382554E-262</v>
      </c>
      <c r="J3385">
        <v>0.28064480613702841</v>
      </c>
      <c r="K3385">
        <v>1.522599976464959E-216</v>
      </c>
      <c r="L3385">
        <v>1.6251751327741779E-216</v>
      </c>
      <c r="M3385">
        <v>0.18985721701328101</v>
      </c>
      <c r="N3385">
        <v>7.5485116178151486E-214</v>
      </c>
      <c r="O3385">
        <v>8.0570429268048004E-214</v>
      </c>
      <c r="P3385">
        <v>9.4809836343071455E-2</v>
      </c>
      <c r="Q3385">
        <v>1.674594118068454</v>
      </c>
      <c r="R3385">
        <v>-27.730337312022449</v>
      </c>
      <c r="S3385">
        <v>1.062967989625599</v>
      </c>
      <c r="T3385">
        <v>0.79281892635782691</v>
      </c>
      <c r="U3385">
        <v>4.2558177004489526</v>
      </c>
      <c r="V3385">
        <v>0.20544021673558341</v>
      </c>
      <c r="W3385">
        <v>-20.603570023279019</v>
      </c>
      <c r="X3385">
        <v>1.1172962150160679</v>
      </c>
      <c r="Z3385" t="s">
        <v>392</v>
      </c>
      <c r="AA3385">
        <v>114</v>
      </c>
      <c r="AB3385" t="s">
        <v>3776</v>
      </c>
      <c r="AC3385" t="str">
        <f>HYPERLINK("plots/3FT6Y578R04_015_S21P_20251218081014_M5358ACSC201811_RBGEUFRF04/dpll_52084/txpa_53182.png","plot")</f>
        <v>plot</v>
      </c>
    </row>
    <row r="3386" spans="1:29" hidden="1" x14ac:dyDescent="0.35">
      <c r="A3386" t="s">
        <v>49</v>
      </c>
      <c r="B3386">
        <v>52084</v>
      </c>
      <c r="C3386" t="s">
        <v>52</v>
      </c>
      <c r="D3386">
        <v>53183</v>
      </c>
      <c r="E3386" t="s">
        <v>58</v>
      </c>
      <c r="F3386">
        <v>12028</v>
      </c>
      <c r="G3386">
        <v>0.31952643098237898</v>
      </c>
      <c r="H3386">
        <v>1.334004427393488E-283</v>
      </c>
      <c r="I3386">
        <v>1.440554301785939E-283</v>
      </c>
      <c r="J3386">
        <v>0.28823036751819292</v>
      </c>
      <c r="K3386">
        <v>8.1280668762180631E-229</v>
      </c>
      <c r="L3386">
        <v>8.7586182916951289E-229</v>
      </c>
      <c r="M3386">
        <v>0.19525908055013769</v>
      </c>
      <c r="N3386">
        <v>4.5945716300865823E-226</v>
      </c>
      <c r="O3386">
        <v>4.9510049233876661E-226</v>
      </c>
      <c r="P3386">
        <v>0.102097140096337</v>
      </c>
      <c r="Q3386">
        <v>1.7332159588858369</v>
      </c>
      <c r="R3386">
        <v>-28.01126441309496</v>
      </c>
      <c r="S3386">
        <v>1.055912615122705</v>
      </c>
      <c r="T3386">
        <v>0.79278529332139325</v>
      </c>
      <c r="U3386">
        <v>4.2558177004489526</v>
      </c>
      <c r="V3386">
        <v>0.20544021673558341</v>
      </c>
      <c r="W3386">
        <v>-20.635013256568008</v>
      </c>
      <c r="X3386">
        <v>1.114374986596069</v>
      </c>
      <c r="Z3386" t="s">
        <v>392</v>
      </c>
      <c r="AA3386">
        <v>114</v>
      </c>
      <c r="AB3386" t="s">
        <v>3777</v>
      </c>
      <c r="AC3386" t="str">
        <f>HYPERLINK("plots/3FT6Y578R04_015_S21P_20251218081014_M5358ACSC201811_RBGEUFRF04/dpll_52084/txpa_53183.png","plot")</f>
        <v>plot</v>
      </c>
    </row>
    <row r="3387" spans="1:29" hidden="1" x14ac:dyDescent="0.35">
      <c r="A3387" t="s">
        <v>49</v>
      </c>
      <c r="B3387">
        <v>52084</v>
      </c>
      <c r="C3387" t="s">
        <v>52</v>
      </c>
      <c r="D3387">
        <v>53184</v>
      </c>
      <c r="E3387" t="s">
        <v>59</v>
      </c>
      <c r="F3387">
        <v>12028</v>
      </c>
      <c r="G3387">
        <v>0.31071482084303259</v>
      </c>
      <c r="H3387">
        <v>1.733279139054891E-267</v>
      </c>
      <c r="I3387">
        <v>1.8598360285731839E-267</v>
      </c>
      <c r="J3387">
        <v>0.2855250149709776</v>
      </c>
      <c r="K3387">
        <v>2.1431800013420111E-224</v>
      </c>
      <c r="L3387">
        <v>2.2996661601701582E-224</v>
      </c>
      <c r="M3387">
        <v>0.193097552813142</v>
      </c>
      <c r="N3387">
        <v>4.221330296786636E-221</v>
      </c>
      <c r="O3387">
        <v>4.5343526704890344E-221</v>
      </c>
      <c r="P3387">
        <v>9.6543699891517842E-2</v>
      </c>
      <c r="Q3387">
        <v>1.714604486125205</v>
      </c>
      <c r="R3387">
        <v>-28.042750911310851</v>
      </c>
      <c r="S3387">
        <v>1.0775141253907381</v>
      </c>
      <c r="T3387">
        <v>0.81052707340782004</v>
      </c>
      <c r="U3387">
        <v>4.2558177004489526</v>
      </c>
      <c r="V3387">
        <v>0.20544021673558341</v>
      </c>
      <c r="W3387">
        <v>-20.74570678999002</v>
      </c>
      <c r="X3387">
        <v>1.1336720800431841</v>
      </c>
      <c r="Z3387" t="s">
        <v>392</v>
      </c>
      <c r="AA3387">
        <v>114</v>
      </c>
      <c r="AB3387" t="s">
        <v>3778</v>
      </c>
      <c r="AC3387" t="str">
        <f>HYPERLINK("plots/3FT6Y578R04_015_S21P_20251218081014_M5358ACSC201811_RBGEUFRF04/dpll_52084/txpa_53184.png","plot")</f>
        <v>plot</v>
      </c>
    </row>
    <row r="3388" spans="1:29" hidden="1" x14ac:dyDescent="0.35">
      <c r="A3388" t="s">
        <v>49</v>
      </c>
      <c r="B3388">
        <v>52084</v>
      </c>
      <c r="C3388" t="s">
        <v>52</v>
      </c>
      <c r="D3388">
        <v>53185</v>
      </c>
      <c r="E3388" t="s">
        <v>60</v>
      </c>
      <c r="F3388">
        <v>12028</v>
      </c>
      <c r="G3388">
        <v>0.30716375407942909</v>
      </c>
      <c r="H3388">
        <v>3.7863698426146769E-261</v>
      </c>
      <c r="I3388">
        <v>4.041451600432929E-261</v>
      </c>
      <c r="J3388">
        <v>0.27821819665186559</v>
      </c>
      <c r="K3388">
        <v>1.065973968822125E-212</v>
      </c>
      <c r="L3388">
        <v>1.133016356798359E-212</v>
      </c>
      <c r="M3388">
        <v>0.18864834008107101</v>
      </c>
      <c r="N3388">
        <v>3.8890931192736296E-211</v>
      </c>
      <c r="O3388">
        <v>4.133690170800273E-211</v>
      </c>
      <c r="P3388">
        <v>9.4349571820168024E-2</v>
      </c>
      <c r="Q3388">
        <v>1.6771268071482419</v>
      </c>
      <c r="R3388">
        <v>-27.864629220797841</v>
      </c>
      <c r="S3388">
        <v>1.067440417017069</v>
      </c>
      <c r="T3388">
        <v>0.80052599706716976</v>
      </c>
      <c r="U3388">
        <v>4.2558177004489526</v>
      </c>
      <c r="V3388">
        <v>0.20544021673558341</v>
      </c>
      <c r="W3388">
        <v>-20.727083269038911</v>
      </c>
      <c r="X3388">
        <v>1.12171208411685</v>
      </c>
      <c r="Z3388" t="s">
        <v>392</v>
      </c>
      <c r="AA3388">
        <v>114</v>
      </c>
      <c r="AB3388" t="s">
        <v>3779</v>
      </c>
      <c r="AC3388" t="str">
        <f>HYPERLINK("plots/3FT6Y578R04_015_S21P_20251218081014_M5358ACSC201811_RBGEUFRF04/dpll_52084/txpa_53185.png","plot")</f>
        <v>plot</v>
      </c>
    </row>
    <row r="3389" spans="1:29" hidden="1" x14ac:dyDescent="0.35">
      <c r="A3389" t="s">
        <v>49</v>
      </c>
      <c r="B3389">
        <v>52084</v>
      </c>
      <c r="C3389" t="s">
        <v>52</v>
      </c>
      <c r="D3389">
        <v>53186</v>
      </c>
      <c r="E3389" t="s">
        <v>61</v>
      </c>
      <c r="F3389">
        <v>12028</v>
      </c>
      <c r="G3389">
        <v>0.28726448749995692</v>
      </c>
      <c r="H3389">
        <v>3.1193071137375992E-227</v>
      </c>
      <c r="I3389">
        <v>3.2982037678101422E-227</v>
      </c>
      <c r="J3389">
        <v>0.26366747484772279</v>
      </c>
      <c r="K3389">
        <v>1.880493733365998E-190</v>
      </c>
      <c r="L3389">
        <v>1.9821420432776729E-190</v>
      </c>
      <c r="M3389">
        <v>0.17870993320065251</v>
      </c>
      <c r="N3389">
        <v>1.2549374170114321E-189</v>
      </c>
      <c r="O3389">
        <v>1.3227718719850229E-189</v>
      </c>
      <c r="P3389">
        <v>8.2520885778612871E-2</v>
      </c>
      <c r="Q3389">
        <v>1.6078725899514741</v>
      </c>
      <c r="R3389">
        <v>-27.740247408894319</v>
      </c>
      <c r="S3389">
        <v>1.101374950683303</v>
      </c>
      <c r="T3389">
        <v>0.83624465053887476</v>
      </c>
      <c r="U3389">
        <v>4.2558177004489526</v>
      </c>
      <c r="V3389">
        <v>0.20544021673558341</v>
      </c>
      <c r="W3389">
        <v>-20.897434780512139</v>
      </c>
      <c r="X3389">
        <v>1.14988697780781</v>
      </c>
      <c r="Z3389" t="s">
        <v>392</v>
      </c>
      <c r="AA3389">
        <v>114</v>
      </c>
      <c r="AB3389" t="s">
        <v>3780</v>
      </c>
      <c r="AC3389" t="str">
        <f>HYPERLINK("plots/3FT6Y578R04_015_S21P_20251218081014_M5358ACSC201811_RBGEUFRF04/dpll_52084/txpa_53186.png","plot")</f>
        <v>plot</v>
      </c>
    </row>
    <row r="3390" spans="1:29" hidden="1" x14ac:dyDescent="0.35">
      <c r="A3390" t="s">
        <v>49</v>
      </c>
      <c r="B3390">
        <v>52084</v>
      </c>
      <c r="C3390" t="s">
        <v>52</v>
      </c>
      <c r="D3390">
        <v>53187</v>
      </c>
      <c r="E3390" t="s">
        <v>62</v>
      </c>
      <c r="F3390">
        <v>12028</v>
      </c>
      <c r="G3390">
        <v>0.59365154151430066</v>
      </c>
      <c r="H3390">
        <v>0</v>
      </c>
      <c r="I3390">
        <v>0</v>
      </c>
      <c r="J3390">
        <v>0.50244851615213804</v>
      </c>
      <c r="K3390">
        <v>0</v>
      </c>
      <c r="L3390">
        <v>0</v>
      </c>
      <c r="M3390">
        <v>0.34896698583999058</v>
      </c>
      <c r="N3390">
        <v>0</v>
      </c>
      <c r="O3390">
        <v>0</v>
      </c>
      <c r="P3390">
        <v>0.35242215274230537</v>
      </c>
      <c r="Q3390">
        <v>0.91568386000325375</v>
      </c>
      <c r="R3390">
        <v>-15.287543373231699</v>
      </c>
      <c r="S3390">
        <v>0.25499247343992948</v>
      </c>
      <c r="T3390">
        <v>0.19939877601427539</v>
      </c>
      <c r="U3390">
        <v>4.2558177004489526</v>
      </c>
      <c r="V3390">
        <v>0.20544021673558341</v>
      </c>
      <c r="W3390">
        <v>-11.390559793814431</v>
      </c>
      <c r="X3390">
        <v>0.31688335244693783</v>
      </c>
      <c r="Z3390" t="s">
        <v>392</v>
      </c>
      <c r="AA3390">
        <v>114</v>
      </c>
      <c r="AB3390" t="s">
        <v>3781</v>
      </c>
      <c r="AC3390" t="str">
        <f>HYPERLINK("plots/3FT6Y578R04_015_S21P_20251218081014_M5358ACSC201811_RBGEUFRF04/dpll_52084/txpa_53187.png","plot")</f>
        <v>plot</v>
      </c>
    </row>
    <row r="3391" spans="1:29" hidden="1" x14ac:dyDescent="0.35">
      <c r="A3391" t="s">
        <v>49</v>
      </c>
      <c r="B3391">
        <v>52084</v>
      </c>
      <c r="C3391" t="s">
        <v>52</v>
      </c>
      <c r="D3391">
        <v>53188</v>
      </c>
      <c r="E3391" t="s">
        <v>63</v>
      </c>
      <c r="F3391">
        <v>12028</v>
      </c>
      <c r="G3391">
        <v>0.61779879901075785</v>
      </c>
      <c r="H3391">
        <v>0</v>
      </c>
      <c r="I3391">
        <v>0</v>
      </c>
      <c r="J3391">
        <v>0.52005455220733388</v>
      </c>
      <c r="K3391">
        <v>0</v>
      </c>
      <c r="L3391">
        <v>0</v>
      </c>
      <c r="M3391">
        <v>0.36445871500425348</v>
      </c>
      <c r="N3391">
        <v>0</v>
      </c>
      <c r="O3391">
        <v>0</v>
      </c>
      <c r="P3391">
        <v>0.38167535605913477</v>
      </c>
      <c r="Q3391">
        <v>0.94762551697517527</v>
      </c>
      <c r="R3391">
        <v>-15.36030864591284</v>
      </c>
      <c r="S3391">
        <v>0.24777950171484739</v>
      </c>
      <c r="T3391">
        <v>0.19406820863058361</v>
      </c>
      <c r="U3391">
        <v>4.2558177004489526</v>
      </c>
      <c r="V3391">
        <v>0.20544021673558341</v>
      </c>
      <c r="W3391">
        <v>-11.327387197372801</v>
      </c>
      <c r="X3391">
        <v>0.31511940765064428</v>
      </c>
      <c r="Z3391" t="s">
        <v>392</v>
      </c>
      <c r="AA3391">
        <v>114</v>
      </c>
      <c r="AB3391" t="s">
        <v>3782</v>
      </c>
      <c r="AC3391" t="str">
        <f>HYPERLINK("plots/3FT6Y578R04_015_S21P_20251218081014_M5358ACSC201811_RBGEUFRF04/dpll_52084/txpa_53188.png","plot")</f>
        <v>plot</v>
      </c>
    </row>
    <row r="3392" spans="1:29" hidden="1" x14ac:dyDescent="0.35">
      <c r="A3392" t="s">
        <v>49</v>
      </c>
      <c r="B3392">
        <v>52084</v>
      </c>
      <c r="C3392" t="s">
        <v>52</v>
      </c>
      <c r="D3392">
        <v>53189</v>
      </c>
      <c r="E3392" t="s">
        <v>64</v>
      </c>
      <c r="F3392">
        <v>12028</v>
      </c>
      <c r="G3392">
        <v>0.5978253704136598</v>
      </c>
      <c r="H3392">
        <v>0</v>
      </c>
      <c r="I3392">
        <v>0</v>
      </c>
      <c r="J3392">
        <v>0.49829173116481851</v>
      </c>
      <c r="K3392">
        <v>0</v>
      </c>
      <c r="L3392">
        <v>0</v>
      </c>
      <c r="M3392">
        <v>0.34695218105242742</v>
      </c>
      <c r="N3392">
        <v>0</v>
      </c>
      <c r="O3392">
        <v>0</v>
      </c>
      <c r="P3392">
        <v>0.35739517351022948</v>
      </c>
      <c r="Q3392">
        <v>0.8987883821055731</v>
      </c>
      <c r="R3392">
        <v>-15.127295194747919</v>
      </c>
      <c r="S3392">
        <v>0.24758396301817559</v>
      </c>
      <c r="T3392">
        <v>0.1943017341831417</v>
      </c>
      <c r="U3392">
        <v>4.2558177004489526</v>
      </c>
      <c r="V3392">
        <v>0.20544021673558341</v>
      </c>
      <c r="W3392">
        <v>-11.30221568922514</v>
      </c>
      <c r="X3392">
        <v>0.308864911322563</v>
      </c>
      <c r="Z3392" t="s">
        <v>392</v>
      </c>
      <c r="AA3392">
        <v>114</v>
      </c>
      <c r="AB3392" t="s">
        <v>3783</v>
      </c>
      <c r="AC3392" t="str">
        <f>HYPERLINK("plots/3FT6Y578R04_015_S21P_20251218081014_M5358ACSC201811_RBGEUFRF04/dpll_52084/txpa_53189.png","plot")</f>
        <v>plot</v>
      </c>
    </row>
    <row r="3393" spans="1:29" hidden="1" x14ac:dyDescent="0.35">
      <c r="A3393" t="s">
        <v>49</v>
      </c>
      <c r="B3393">
        <v>52084</v>
      </c>
      <c r="C3393" t="s">
        <v>52</v>
      </c>
      <c r="D3393">
        <v>53190</v>
      </c>
      <c r="E3393" t="s">
        <v>65</v>
      </c>
      <c r="F3393">
        <v>12028</v>
      </c>
      <c r="G3393">
        <v>0.6224695661098758</v>
      </c>
      <c r="H3393">
        <v>0</v>
      </c>
      <c r="I3393">
        <v>0</v>
      </c>
      <c r="J3393">
        <v>0.51816609687121862</v>
      </c>
      <c r="K3393">
        <v>0</v>
      </c>
      <c r="L3393">
        <v>0</v>
      </c>
      <c r="M3393">
        <v>0.36307170260110011</v>
      </c>
      <c r="N3393">
        <v>0</v>
      </c>
      <c r="O3393">
        <v>0</v>
      </c>
      <c r="P3393">
        <v>0.38746836073301699</v>
      </c>
      <c r="Q3393">
        <v>0.95052487951599074</v>
      </c>
      <c r="R3393">
        <v>-15.30272624048305</v>
      </c>
      <c r="S3393">
        <v>0.24551443957774491</v>
      </c>
      <c r="T3393">
        <v>0.19241347181762891</v>
      </c>
      <c r="U3393">
        <v>4.2558177004489526</v>
      </c>
      <c r="V3393">
        <v>0.20544021673558341</v>
      </c>
      <c r="W3393">
        <v>-11.257465633521781</v>
      </c>
      <c r="X3393">
        <v>0.31371178269920458</v>
      </c>
      <c r="Z3393" t="s">
        <v>392</v>
      </c>
      <c r="AA3393">
        <v>114</v>
      </c>
      <c r="AB3393" t="s">
        <v>3784</v>
      </c>
      <c r="AC3393" t="str">
        <f>HYPERLINK("plots/3FT6Y578R04_015_S21P_20251218081014_M5358ACSC201811_RBGEUFRF04/dpll_52084/txpa_53190.png","plot")</f>
        <v>plot</v>
      </c>
    </row>
    <row r="3394" spans="1:29" hidden="1" x14ac:dyDescent="0.35">
      <c r="A3394" t="s">
        <v>49</v>
      </c>
      <c r="B3394">
        <v>52084</v>
      </c>
      <c r="C3394" t="s">
        <v>52</v>
      </c>
      <c r="D3394">
        <v>53191</v>
      </c>
      <c r="E3394" t="s">
        <v>66</v>
      </c>
      <c r="F3394">
        <v>12027</v>
      </c>
      <c r="G3394">
        <v>0.62878311051746261</v>
      </c>
      <c r="H3394">
        <v>0</v>
      </c>
      <c r="I3394">
        <v>0</v>
      </c>
      <c r="J3394">
        <v>0.5227145770337368</v>
      </c>
      <c r="K3394">
        <v>0</v>
      </c>
      <c r="L3394">
        <v>0</v>
      </c>
      <c r="M3394">
        <v>0.36619686748551111</v>
      </c>
      <c r="N3394">
        <v>0</v>
      </c>
      <c r="O3394">
        <v>0</v>
      </c>
      <c r="P3394">
        <v>0.39536820007201562</v>
      </c>
      <c r="Q3394">
        <v>0.9573313848609829</v>
      </c>
      <c r="R3394">
        <v>-15.338155004737651</v>
      </c>
      <c r="S3394">
        <v>0.24319353616835129</v>
      </c>
      <c r="T3394">
        <v>0.1909539174214647</v>
      </c>
      <c r="U3394">
        <v>4.2557921641307059</v>
      </c>
      <c r="V3394">
        <v>0.20542966688110781</v>
      </c>
      <c r="W3394">
        <v>-11.263951598569889</v>
      </c>
      <c r="X3394">
        <v>0.31276964059192802</v>
      </c>
      <c r="Z3394" t="s">
        <v>392</v>
      </c>
      <c r="AA3394">
        <v>114</v>
      </c>
      <c r="AB3394" t="s">
        <v>3785</v>
      </c>
      <c r="AC3394" t="str">
        <f>HYPERLINK("plots/3FT6Y578R04_015_S21P_20251218081014_M5358ACSC201811_RBGEUFRF04/dpll_52084/txpa_53191.png","plot")</f>
        <v>plot</v>
      </c>
    </row>
    <row r="3395" spans="1:29" hidden="1" x14ac:dyDescent="0.35">
      <c r="A3395" t="s">
        <v>49</v>
      </c>
      <c r="B3395">
        <v>52084</v>
      </c>
      <c r="C3395" t="s">
        <v>52</v>
      </c>
      <c r="D3395">
        <v>53192</v>
      </c>
      <c r="E3395" t="s">
        <v>67</v>
      </c>
      <c r="F3395">
        <v>12027</v>
      </c>
      <c r="G3395">
        <v>0.62989726453804706</v>
      </c>
      <c r="H3395">
        <v>0</v>
      </c>
      <c r="I3395">
        <v>0</v>
      </c>
      <c r="J3395">
        <v>0.53042757182450873</v>
      </c>
      <c r="K3395">
        <v>0</v>
      </c>
      <c r="L3395">
        <v>0</v>
      </c>
      <c r="M3395">
        <v>0.37236102320927272</v>
      </c>
      <c r="N3395">
        <v>0</v>
      </c>
      <c r="O3395">
        <v>0</v>
      </c>
      <c r="P3395">
        <v>0.39677056387251453</v>
      </c>
      <c r="Q3395">
        <v>0.94982770365945257</v>
      </c>
      <c r="R3395">
        <v>-15.34945323167015</v>
      </c>
      <c r="S3395">
        <v>0.24060290031824369</v>
      </c>
      <c r="T3395">
        <v>0.18848169673537521</v>
      </c>
      <c r="U3395">
        <v>4.2558216788891663</v>
      </c>
      <c r="V3395">
        <v>0.2054482946965896</v>
      </c>
      <c r="W3395">
        <v>-11.307155899226739</v>
      </c>
      <c r="X3395">
        <v>0.30979731609967232</v>
      </c>
      <c r="Z3395" t="s">
        <v>392</v>
      </c>
      <c r="AA3395">
        <v>114</v>
      </c>
      <c r="AB3395" t="s">
        <v>3786</v>
      </c>
      <c r="AC3395" t="str">
        <f>HYPERLINK("plots/3FT6Y578R04_015_S21P_20251218081014_M5358ACSC201811_RBGEUFRF04/dpll_52084/txpa_53192.png","plot")</f>
        <v>plot</v>
      </c>
    </row>
    <row r="3396" spans="1:29" hidden="1" x14ac:dyDescent="0.35">
      <c r="A3396" t="s">
        <v>49</v>
      </c>
      <c r="B3396">
        <v>52084</v>
      </c>
      <c r="C3396" t="s">
        <v>52</v>
      </c>
      <c r="D3396">
        <v>53193</v>
      </c>
      <c r="E3396" t="s">
        <v>68</v>
      </c>
      <c r="F3396">
        <v>12028</v>
      </c>
      <c r="G3396">
        <v>0.62935669199383804</v>
      </c>
      <c r="H3396">
        <v>0</v>
      </c>
      <c r="I3396">
        <v>0</v>
      </c>
      <c r="J3396">
        <v>0.53098270589555152</v>
      </c>
      <c r="K3396">
        <v>0</v>
      </c>
      <c r="L3396">
        <v>0</v>
      </c>
      <c r="M3396">
        <v>0.37269036264786021</v>
      </c>
      <c r="N3396">
        <v>0</v>
      </c>
      <c r="O3396">
        <v>0</v>
      </c>
      <c r="P3396">
        <v>0.39608984575742667</v>
      </c>
      <c r="Q3396">
        <v>0.94418572955844315</v>
      </c>
      <c r="R3396">
        <v>-15.31311583554405</v>
      </c>
      <c r="S3396">
        <v>0.2395047627188045</v>
      </c>
      <c r="T3396">
        <v>0.1875803892196006</v>
      </c>
      <c r="U3396">
        <v>4.2558177004489526</v>
      </c>
      <c r="V3396">
        <v>0.20544021673558341</v>
      </c>
      <c r="W3396">
        <v>-11.294833495177921</v>
      </c>
      <c r="X3396">
        <v>0.30820951518702661</v>
      </c>
      <c r="Z3396" t="s">
        <v>392</v>
      </c>
      <c r="AA3396">
        <v>114</v>
      </c>
      <c r="AB3396" t="s">
        <v>3787</v>
      </c>
      <c r="AC3396" t="str">
        <f>HYPERLINK("plots/3FT6Y578R04_015_S21P_20251218081014_M5358ACSC201811_RBGEUFRF04/dpll_52084/txpa_53193.png","plot")</f>
        <v>plot</v>
      </c>
    </row>
    <row r="3397" spans="1:29" hidden="1" x14ac:dyDescent="0.35">
      <c r="A3397" t="s">
        <v>49</v>
      </c>
      <c r="B3397">
        <v>52084</v>
      </c>
      <c r="C3397" t="s">
        <v>52</v>
      </c>
      <c r="D3397">
        <v>53194</v>
      </c>
      <c r="E3397" t="s">
        <v>69</v>
      </c>
      <c r="F3397">
        <v>12027</v>
      </c>
      <c r="G3397">
        <v>0.61226154003373767</v>
      </c>
      <c r="H3397">
        <v>0</v>
      </c>
      <c r="I3397">
        <v>0</v>
      </c>
      <c r="J3397">
        <v>0.51320248906166843</v>
      </c>
      <c r="K3397">
        <v>0</v>
      </c>
      <c r="L3397">
        <v>0</v>
      </c>
      <c r="M3397">
        <v>0.35863593571253599</v>
      </c>
      <c r="N3397">
        <v>0</v>
      </c>
      <c r="O3397">
        <v>0</v>
      </c>
      <c r="P3397">
        <v>0.37486419340448418</v>
      </c>
      <c r="Q3397">
        <v>0.92594280645313254</v>
      </c>
      <c r="R3397">
        <v>-15.321478436941501</v>
      </c>
      <c r="S3397">
        <v>0.2456340430909969</v>
      </c>
      <c r="T3397">
        <v>0.19290570689107789</v>
      </c>
      <c r="U3397">
        <v>4.2558401814251274</v>
      </c>
      <c r="V3397">
        <v>0.20543396214013371</v>
      </c>
      <c r="W3397">
        <v>-11.38081383553671</v>
      </c>
      <c r="X3397">
        <v>0.31068438405316168</v>
      </c>
      <c r="Z3397" t="s">
        <v>392</v>
      </c>
      <c r="AA3397">
        <v>114</v>
      </c>
      <c r="AB3397" t="s">
        <v>3788</v>
      </c>
      <c r="AC3397" t="str">
        <f>HYPERLINK("plots/3FT6Y578R04_015_S21P_20251218081014_M5358ACSC201811_RBGEUFRF04/dpll_52084/txpa_53194.png","plot")</f>
        <v>plot</v>
      </c>
    </row>
    <row r="3398" spans="1:29" hidden="1" x14ac:dyDescent="0.35">
      <c r="A3398" t="s">
        <v>49</v>
      </c>
      <c r="B3398">
        <v>52084</v>
      </c>
      <c r="C3398" t="s">
        <v>52</v>
      </c>
      <c r="D3398">
        <v>53195</v>
      </c>
      <c r="E3398" t="s">
        <v>70</v>
      </c>
      <c r="F3398">
        <v>12028</v>
      </c>
      <c r="G3398">
        <v>0.6068538244630346</v>
      </c>
      <c r="H3398">
        <v>0</v>
      </c>
      <c r="I3398">
        <v>0</v>
      </c>
      <c r="J3398">
        <v>0.5179645389962646</v>
      </c>
      <c r="K3398">
        <v>0</v>
      </c>
      <c r="L3398">
        <v>0</v>
      </c>
      <c r="M3398">
        <v>0.36096534295193738</v>
      </c>
      <c r="N3398">
        <v>0</v>
      </c>
      <c r="O3398">
        <v>0</v>
      </c>
      <c r="P3398">
        <v>0.36827156426541158</v>
      </c>
      <c r="Q3398">
        <v>0.79880135275836595</v>
      </c>
      <c r="R3398">
        <v>-8.9308824998963559</v>
      </c>
      <c r="S3398">
        <v>0.21492519120348849</v>
      </c>
      <c r="T3398">
        <v>0.16924694936188839</v>
      </c>
      <c r="U3398">
        <v>4.2558177004489526</v>
      </c>
      <c r="V3398">
        <v>0.20544021673558341</v>
      </c>
      <c r="W3398">
        <v>-5.5313295636847348</v>
      </c>
      <c r="X3398">
        <v>0.27042084341243572</v>
      </c>
      <c r="Z3398" t="s">
        <v>392</v>
      </c>
      <c r="AA3398">
        <v>114</v>
      </c>
      <c r="AB3398" t="s">
        <v>3789</v>
      </c>
      <c r="AC3398" t="str">
        <f>HYPERLINK("plots/3FT6Y578R04_015_S21P_20251218081014_M5358ACSC201811_RBGEUFRF04/dpll_52084/txpa_53195.png","plot")</f>
        <v>plot</v>
      </c>
    </row>
    <row r="3399" spans="1:29" hidden="1" x14ac:dyDescent="0.35">
      <c r="A3399" t="s">
        <v>49</v>
      </c>
      <c r="B3399">
        <v>52084</v>
      </c>
      <c r="C3399" t="s">
        <v>52</v>
      </c>
      <c r="D3399">
        <v>53196</v>
      </c>
      <c r="E3399" t="s">
        <v>71</v>
      </c>
      <c r="F3399">
        <v>12028</v>
      </c>
      <c r="G3399">
        <v>0.62998505684283324</v>
      </c>
      <c r="H3399">
        <v>0</v>
      </c>
      <c r="I3399">
        <v>0</v>
      </c>
      <c r="J3399">
        <v>0.53728593378708733</v>
      </c>
      <c r="K3399">
        <v>0</v>
      </c>
      <c r="L3399">
        <v>0</v>
      </c>
      <c r="M3399">
        <v>0.37785811147329901</v>
      </c>
      <c r="N3399">
        <v>0</v>
      </c>
      <c r="O3399">
        <v>0</v>
      </c>
      <c r="P3399">
        <v>0.39688117184526778</v>
      </c>
      <c r="Q3399">
        <v>0.83406010464646174</v>
      </c>
      <c r="R3399">
        <v>-9.0346662756316256</v>
      </c>
      <c r="S3399">
        <v>0.2112204451711493</v>
      </c>
      <c r="T3399">
        <v>0.16678766120549479</v>
      </c>
      <c r="U3399">
        <v>4.2558177004489526</v>
      </c>
      <c r="V3399">
        <v>0.20544021673558341</v>
      </c>
      <c r="W3399">
        <v>-5.4850585190389083</v>
      </c>
      <c r="X3399">
        <v>0.27198976675381731</v>
      </c>
      <c r="Z3399" t="s">
        <v>392</v>
      </c>
      <c r="AA3399">
        <v>114</v>
      </c>
      <c r="AB3399" t="s">
        <v>3790</v>
      </c>
      <c r="AC3399" t="str">
        <f>HYPERLINK("plots/3FT6Y578R04_015_S21P_20251218081014_M5358ACSC201811_RBGEUFRF04/dpll_52084/txpa_53196.png","plot")</f>
        <v>plot</v>
      </c>
    </row>
    <row r="3400" spans="1:29" hidden="1" x14ac:dyDescent="0.35">
      <c r="A3400" t="s">
        <v>49</v>
      </c>
      <c r="B3400">
        <v>52084</v>
      </c>
      <c r="C3400" t="s">
        <v>52</v>
      </c>
      <c r="D3400">
        <v>53197</v>
      </c>
      <c r="E3400" t="s">
        <v>72</v>
      </c>
      <c r="F3400">
        <v>12028</v>
      </c>
      <c r="G3400">
        <v>0.61430050337618558</v>
      </c>
      <c r="H3400">
        <v>0</v>
      </c>
      <c r="I3400">
        <v>0</v>
      </c>
      <c r="J3400">
        <v>0.5183536562774933</v>
      </c>
      <c r="K3400">
        <v>0</v>
      </c>
      <c r="L3400">
        <v>0</v>
      </c>
      <c r="M3400">
        <v>0.36212015433039341</v>
      </c>
      <c r="N3400">
        <v>0</v>
      </c>
      <c r="O3400">
        <v>0</v>
      </c>
      <c r="P3400">
        <v>0.37736510844823501</v>
      </c>
      <c r="Q3400">
        <v>0.79410822615953136</v>
      </c>
      <c r="R3400">
        <v>-8.844494644097205</v>
      </c>
      <c r="S3400">
        <v>0.20954773029821011</v>
      </c>
      <c r="T3400">
        <v>0.16578414843755859</v>
      </c>
      <c r="U3400">
        <v>4.2558177004489526</v>
      </c>
      <c r="V3400">
        <v>0.20544021673558341</v>
      </c>
      <c r="W3400">
        <v>-5.4649147991353511</v>
      </c>
      <c r="X3400">
        <v>0.26557322547694401</v>
      </c>
      <c r="Z3400" t="s">
        <v>392</v>
      </c>
      <c r="AA3400">
        <v>114</v>
      </c>
      <c r="AB3400" t="s">
        <v>3791</v>
      </c>
      <c r="AC3400" t="str">
        <f>HYPERLINK("plots/3FT6Y578R04_015_S21P_20251218081014_M5358ACSC201811_RBGEUFRF04/dpll_52084/txpa_53197.png","plot")</f>
        <v>plot</v>
      </c>
    </row>
    <row r="3401" spans="1:29" hidden="1" x14ac:dyDescent="0.35">
      <c r="A3401" t="s">
        <v>49</v>
      </c>
      <c r="B3401">
        <v>52084</v>
      </c>
      <c r="C3401" t="s">
        <v>52</v>
      </c>
      <c r="D3401">
        <v>53198</v>
      </c>
      <c r="E3401" t="s">
        <v>73</v>
      </c>
      <c r="F3401">
        <v>12027</v>
      </c>
      <c r="G3401">
        <v>0.63547712157295211</v>
      </c>
      <c r="H3401">
        <v>0</v>
      </c>
      <c r="I3401">
        <v>0</v>
      </c>
      <c r="J3401">
        <v>0.53528154659680338</v>
      </c>
      <c r="K3401">
        <v>0</v>
      </c>
      <c r="L3401">
        <v>0</v>
      </c>
      <c r="M3401">
        <v>0.37631411828978217</v>
      </c>
      <c r="N3401">
        <v>0</v>
      </c>
      <c r="O3401">
        <v>0</v>
      </c>
      <c r="P3401">
        <v>0.40383117204264463</v>
      </c>
      <c r="Q3401">
        <v>0.83909235975208973</v>
      </c>
      <c r="R3401">
        <v>-9.0112166432539063</v>
      </c>
      <c r="S3401">
        <v>0.20944829712731489</v>
      </c>
      <c r="T3401">
        <v>0.16585446681040519</v>
      </c>
      <c r="U3401">
        <v>4.2558247893905383</v>
      </c>
      <c r="V3401">
        <v>0.20544728689892131</v>
      </c>
      <c r="W3401">
        <v>-5.4401865780327601</v>
      </c>
      <c r="X3401">
        <v>0.27127530310135689</v>
      </c>
      <c r="Z3401" t="s">
        <v>392</v>
      </c>
      <c r="AA3401">
        <v>114</v>
      </c>
      <c r="AB3401" t="s">
        <v>3792</v>
      </c>
      <c r="AC3401" t="str">
        <f>HYPERLINK("plots/3FT6Y578R04_015_S21P_20251218081014_M5358ACSC201811_RBGEUFRF04/dpll_52084/txpa_53198.png","plot")</f>
        <v>plot</v>
      </c>
    </row>
    <row r="3402" spans="1:29" hidden="1" x14ac:dyDescent="0.35">
      <c r="A3402" t="s">
        <v>49</v>
      </c>
      <c r="B3402">
        <v>52084</v>
      </c>
      <c r="C3402" t="s">
        <v>52</v>
      </c>
      <c r="D3402">
        <v>53199</v>
      </c>
      <c r="E3402" t="s">
        <v>74</v>
      </c>
      <c r="F3402">
        <v>12027</v>
      </c>
      <c r="G3402">
        <v>0.63784995402573152</v>
      </c>
      <c r="H3402">
        <v>0</v>
      </c>
      <c r="I3402">
        <v>0</v>
      </c>
      <c r="J3402">
        <v>0.53320500717969044</v>
      </c>
      <c r="K3402">
        <v>0</v>
      </c>
      <c r="L3402">
        <v>0</v>
      </c>
      <c r="M3402">
        <v>0.37353916915587509</v>
      </c>
      <c r="N3402">
        <v>0</v>
      </c>
      <c r="O3402">
        <v>0</v>
      </c>
      <c r="P3402">
        <v>0.40685256385062779</v>
      </c>
      <c r="Q3402">
        <v>0.84010665965038489</v>
      </c>
      <c r="R3402">
        <v>-9.023691196661451</v>
      </c>
      <c r="S3402">
        <v>0.2083734267315536</v>
      </c>
      <c r="T3402">
        <v>0.1657065297266824</v>
      </c>
      <c r="U3402">
        <v>4.2557921641307059</v>
      </c>
      <c r="V3402">
        <v>0.20542966688110781</v>
      </c>
      <c r="W3402">
        <v>-5.448371857487321</v>
      </c>
      <c r="X3402">
        <v>0.27056963812153328</v>
      </c>
      <c r="Z3402" t="s">
        <v>392</v>
      </c>
      <c r="AA3402">
        <v>114</v>
      </c>
      <c r="AB3402" t="s">
        <v>3793</v>
      </c>
      <c r="AC3402" t="str">
        <f>HYPERLINK("plots/3FT6Y578R04_015_S21P_20251218081014_M5358ACSC201811_RBGEUFRF04/dpll_52084/txpa_53199.png","plot")</f>
        <v>plot</v>
      </c>
    </row>
    <row r="3403" spans="1:29" hidden="1" x14ac:dyDescent="0.35">
      <c r="A3403" t="s">
        <v>49</v>
      </c>
      <c r="B3403">
        <v>52084</v>
      </c>
      <c r="C3403" t="s">
        <v>52</v>
      </c>
      <c r="D3403">
        <v>53200</v>
      </c>
      <c r="E3403" t="s">
        <v>75</v>
      </c>
      <c r="F3403">
        <v>12028</v>
      </c>
      <c r="G3403">
        <v>0.64308056054325158</v>
      </c>
      <c r="H3403">
        <v>0</v>
      </c>
      <c r="I3403">
        <v>0</v>
      </c>
      <c r="J3403">
        <v>0.55123363565812611</v>
      </c>
      <c r="K3403">
        <v>0</v>
      </c>
      <c r="L3403">
        <v>0</v>
      </c>
      <c r="M3403">
        <v>0.38837227689489151</v>
      </c>
      <c r="N3403">
        <v>0</v>
      </c>
      <c r="O3403">
        <v>0</v>
      </c>
      <c r="P3403">
        <v>0.41355260734862259</v>
      </c>
      <c r="Q3403">
        <v>0.84449198995154173</v>
      </c>
      <c r="R3403">
        <v>-9.0590011881877128</v>
      </c>
      <c r="S3403">
        <v>0.20659133076832289</v>
      </c>
      <c r="T3403">
        <v>0.1633931424362832</v>
      </c>
      <c r="U3403">
        <v>4.2558177004489526</v>
      </c>
      <c r="V3403">
        <v>0.20544021673558341</v>
      </c>
      <c r="W3403">
        <v>-5.4649972294645828</v>
      </c>
      <c r="X3403">
        <v>0.26978364468138882</v>
      </c>
      <c r="Z3403" t="s">
        <v>392</v>
      </c>
      <c r="AA3403">
        <v>114</v>
      </c>
      <c r="AB3403" t="s">
        <v>3794</v>
      </c>
      <c r="AC3403" t="str">
        <f>HYPERLINK("plots/3FT6Y578R04_015_S21P_20251218081014_M5358ACSC201811_RBGEUFRF04/dpll_52084/txpa_53200.png","plot")</f>
        <v>plot</v>
      </c>
    </row>
    <row r="3404" spans="1:29" hidden="1" x14ac:dyDescent="0.35">
      <c r="A3404" t="s">
        <v>49</v>
      </c>
      <c r="B3404">
        <v>52084</v>
      </c>
      <c r="C3404" t="s">
        <v>52</v>
      </c>
      <c r="D3404">
        <v>53201</v>
      </c>
      <c r="E3404" t="s">
        <v>76</v>
      </c>
      <c r="F3404">
        <v>12028</v>
      </c>
      <c r="G3404">
        <v>0.63972926977405309</v>
      </c>
      <c r="H3404">
        <v>0</v>
      </c>
      <c r="I3404">
        <v>0</v>
      </c>
      <c r="J3404">
        <v>0.54377626441747384</v>
      </c>
      <c r="K3404">
        <v>0</v>
      </c>
      <c r="L3404">
        <v>0</v>
      </c>
      <c r="M3404">
        <v>0.38205474233570019</v>
      </c>
      <c r="N3404">
        <v>0</v>
      </c>
      <c r="O3404">
        <v>0</v>
      </c>
      <c r="P3404">
        <v>0.40925353860564317</v>
      </c>
      <c r="Q3404">
        <v>0.82981770808200006</v>
      </c>
      <c r="R3404">
        <v>-8.9881176637297919</v>
      </c>
      <c r="S3404">
        <v>0.20481155338349369</v>
      </c>
      <c r="T3404">
        <v>0.1627636675027016</v>
      </c>
      <c r="U3404">
        <v>4.2558177004489526</v>
      </c>
      <c r="V3404">
        <v>0.20544021673558341</v>
      </c>
      <c r="W3404">
        <v>-5.4565647735284344</v>
      </c>
      <c r="X3404">
        <v>0.2664844925097809</v>
      </c>
      <c r="Z3404" t="s">
        <v>392</v>
      </c>
      <c r="AA3404">
        <v>114</v>
      </c>
      <c r="AB3404" t="s">
        <v>3795</v>
      </c>
      <c r="AC3404" t="str">
        <f>HYPERLINK("plots/3FT6Y578R04_015_S21P_20251218081014_M5358ACSC201811_RBGEUFRF04/dpll_52084/txpa_53201.png","plot")</f>
        <v>plot</v>
      </c>
    </row>
    <row r="3405" spans="1:29" hidden="1" x14ac:dyDescent="0.35">
      <c r="A3405" t="s">
        <v>49</v>
      </c>
      <c r="B3405">
        <v>52084</v>
      </c>
      <c r="C3405" t="s">
        <v>52</v>
      </c>
      <c r="D3405">
        <v>53202</v>
      </c>
      <c r="E3405" t="s">
        <v>77</v>
      </c>
      <c r="F3405">
        <v>12027</v>
      </c>
      <c r="G3405">
        <v>0.62552449811314192</v>
      </c>
      <c r="H3405">
        <v>0</v>
      </c>
      <c r="I3405">
        <v>0</v>
      </c>
      <c r="J3405">
        <v>0.53134442654842262</v>
      </c>
      <c r="K3405">
        <v>0</v>
      </c>
      <c r="L3405">
        <v>0</v>
      </c>
      <c r="M3405">
        <v>0.37281039399978477</v>
      </c>
      <c r="N3405">
        <v>0</v>
      </c>
      <c r="O3405">
        <v>0</v>
      </c>
      <c r="P3405">
        <v>0.3912808977396981</v>
      </c>
      <c r="Q3405">
        <v>0.81685546051172142</v>
      </c>
      <c r="R3405">
        <v>-8.9942914488244607</v>
      </c>
      <c r="S3405">
        <v>0.2092972612045246</v>
      </c>
      <c r="T3405">
        <v>0.1657927653477749</v>
      </c>
      <c r="U3405">
        <v>4.2558401814251274</v>
      </c>
      <c r="V3405">
        <v>0.20543396214013371</v>
      </c>
      <c r="W3405">
        <v>-5.5178851575621506</v>
      </c>
      <c r="X3405">
        <v>0.26827063409173441</v>
      </c>
      <c r="Z3405" t="s">
        <v>392</v>
      </c>
      <c r="AA3405">
        <v>114</v>
      </c>
      <c r="AB3405" t="s">
        <v>3796</v>
      </c>
      <c r="AC3405" t="str">
        <f>HYPERLINK("plots/3FT6Y578R04_015_S21P_20251218081014_M5358ACSC201811_RBGEUFRF04/dpll_52084/txpa_53202.png","plot")</f>
        <v>plot</v>
      </c>
    </row>
    <row r="3406" spans="1:29" hidden="1" x14ac:dyDescent="0.35">
      <c r="A3406" t="s">
        <v>49</v>
      </c>
      <c r="B3406">
        <v>52084</v>
      </c>
      <c r="C3406" t="s">
        <v>52</v>
      </c>
      <c r="D3406">
        <v>53203</v>
      </c>
      <c r="E3406" t="s">
        <v>78</v>
      </c>
      <c r="F3406">
        <v>12028</v>
      </c>
      <c r="G3406">
        <v>0.62102689360907115</v>
      </c>
      <c r="H3406">
        <v>0</v>
      </c>
      <c r="I3406">
        <v>0</v>
      </c>
      <c r="J3406">
        <v>0.53783399117944619</v>
      </c>
      <c r="K3406">
        <v>0</v>
      </c>
      <c r="L3406">
        <v>0</v>
      </c>
      <c r="M3406">
        <v>0.37619617574111808</v>
      </c>
      <c r="N3406">
        <v>0</v>
      </c>
      <c r="O3406">
        <v>0</v>
      </c>
      <c r="P3406">
        <v>0.3856744025857326</v>
      </c>
      <c r="Q3406">
        <v>0.80868311564592954</v>
      </c>
      <c r="R3406">
        <v>-5.9036138899347526</v>
      </c>
      <c r="S3406">
        <v>0.20966922218158651</v>
      </c>
      <c r="T3406">
        <v>0.16531114824842019</v>
      </c>
      <c r="U3406">
        <v>4.2558177004489526</v>
      </c>
      <c r="V3406">
        <v>0.20544021673558341</v>
      </c>
      <c r="W3406">
        <v>-2.4620059723145999</v>
      </c>
      <c r="X3406">
        <v>0.26751826089722819</v>
      </c>
      <c r="Z3406" t="s">
        <v>392</v>
      </c>
      <c r="AA3406">
        <v>114</v>
      </c>
      <c r="AB3406" t="s">
        <v>3797</v>
      </c>
      <c r="AC3406" t="str">
        <f>HYPERLINK("plots/3FT6Y578R04_015_S21P_20251218081014_M5358ACSC201811_RBGEUFRF04/dpll_52084/txpa_53203.png","plot")</f>
        <v>plot</v>
      </c>
    </row>
    <row r="3407" spans="1:29" hidden="1" x14ac:dyDescent="0.35">
      <c r="A3407" t="s">
        <v>49</v>
      </c>
      <c r="B3407">
        <v>52084</v>
      </c>
      <c r="C3407" t="s">
        <v>52</v>
      </c>
      <c r="D3407">
        <v>53204</v>
      </c>
      <c r="E3407" t="s">
        <v>79</v>
      </c>
      <c r="F3407">
        <v>12028</v>
      </c>
      <c r="G3407">
        <v>0.64755807099638629</v>
      </c>
      <c r="H3407">
        <v>0</v>
      </c>
      <c r="I3407">
        <v>0</v>
      </c>
      <c r="J3407">
        <v>0.56130141106306197</v>
      </c>
      <c r="K3407">
        <v>0</v>
      </c>
      <c r="L3407">
        <v>0</v>
      </c>
      <c r="M3407">
        <v>0.39647914331622702</v>
      </c>
      <c r="N3407">
        <v>0</v>
      </c>
      <c r="O3407">
        <v>0</v>
      </c>
      <c r="P3407">
        <v>0.41933145531256089</v>
      </c>
      <c r="Q3407">
        <v>0.85091965591213881</v>
      </c>
      <c r="R3407">
        <v>-6.0426843883955677</v>
      </c>
      <c r="S3407">
        <v>0.20570336480070681</v>
      </c>
      <c r="T3407">
        <v>0.16249653416589521</v>
      </c>
      <c r="U3407">
        <v>4.2558177004489526</v>
      </c>
      <c r="V3407">
        <v>0.20544021673558341</v>
      </c>
      <c r="W3407">
        <v>-2.4213254551047561</v>
      </c>
      <c r="X3407">
        <v>0.26995743913156078</v>
      </c>
      <c r="Z3407" t="s">
        <v>392</v>
      </c>
      <c r="AA3407">
        <v>114</v>
      </c>
      <c r="AB3407" t="s">
        <v>3798</v>
      </c>
      <c r="AC3407" t="str">
        <f>HYPERLINK("plots/3FT6Y578R04_015_S21P_20251218081014_M5358ACSC201811_RBGEUFRF04/dpll_52084/txpa_53204.png","plot")</f>
        <v>plot</v>
      </c>
    </row>
    <row r="3408" spans="1:29" hidden="1" x14ac:dyDescent="0.35">
      <c r="A3408" t="s">
        <v>49</v>
      </c>
      <c r="B3408">
        <v>52084</v>
      </c>
      <c r="C3408" t="s">
        <v>52</v>
      </c>
      <c r="D3408">
        <v>53205</v>
      </c>
      <c r="E3408" t="s">
        <v>80</v>
      </c>
      <c r="F3408">
        <v>12028</v>
      </c>
      <c r="G3408">
        <v>0.63166221357728636</v>
      </c>
      <c r="H3408">
        <v>0</v>
      </c>
      <c r="I3408">
        <v>0</v>
      </c>
      <c r="J3408">
        <v>0.54252630163932125</v>
      </c>
      <c r="K3408">
        <v>0</v>
      </c>
      <c r="L3408">
        <v>0</v>
      </c>
      <c r="M3408">
        <v>0.38098289214694853</v>
      </c>
      <c r="N3408">
        <v>0</v>
      </c>
      <c r="O3408">
        <v>0</v>
      </c>
      <c r="P3408">
        <v>0.39899715206135727</v>
      </c>
      <c r="Q3408">
        <v>0.80786280881560535</v>
      </c>
      <c r="R3408">
        <v>-5.84016581119542</v>
      </c>
      <c r="S3408">
        <v>0.20368469290990121</v>
      </c>
      <c r="T3408">
        <v>0.16107419409368581</v>
      </c>
      <c r="U3408">
        <v>4.2558177004489526</v>
      </c>
      <c r="V3408">
        <v>0.20544021673558341</v>
      </c>
      <c r="W3408">
        <v>-2.402048969903559</v>
      </c>
      <c r="X3408">
        <v>0.26274725156626522</v>
      </c>
      <c r="Z3408" t="s">
        <v>392</v>
      </c>
      <c r="AA3408">
        <v>114</v>
      </c>
      <c r="AB3408" t="s">
        <v>3799</v>
      </c>
      <c r="AC3408" t="str">
        <f>HYPERLINK("plots/3FT6Y578R04_015_S21P_20251218081014_M5358ACSC201811_RBGEUFRF04/dpll_52084/txpa_53205.png","plot")</f>
        <v>plot</v>
      </c>
    </row>
    <row r="3409" spans="1:29" hidden="1" x14ac:dyDescent="0.35">
      <c r="A3409" t="s">
        <v>49</v>
      </c>
      <c r="B3409">
        <v>52084</v>
      </c>
      <c r="C3409" t="s">
        <v>52</v>
      </c>
      <c r="D3409">
        <v>53206</v>
      </c>
      <c r="E3409" t="s">
        <v>81</v>
      </c>
      <c r="F3409">
        <v>12027</v>
      </c>
      <c r="G3409">
        <v>0.6513337451158826</v>
      </c>
      <c r="H3409">
        <v>0</v>
      </c>
      <c r="I3409">
        <v>0</v>
      </c>
      <c r="J3409">
        <v>0.55753299686464486</v>
      </c>
      <c r="K3409">
        <v>0</v>
      </c>
      <c r="L3409">
        <v>0</v>
      </c>
      <c r="M3409">
        <v>0.39364450885165381</v>
      </c>
      <c r="N3409">
        <v>0</v>
      </c>
      <c r="O3409">
        <v>0</v>
      </c>
      <c r="P3409">
        <v>0.42423564752668153</v>
      </c>
      <c r="Q3409">
        <v>0.85137472494397937</v>
      </c>
      <c r="R3409">
        <v>-6.0088746500816121</v>
      </c>
      <c r="S3409">
        <v>0.20376139948178759</v>
      </c>
      <c r="T3409">
        <v>0.1614341250713639</v>
      </c>
      <c r="U3409">
        <v>4.2558247893905383</v>
      </c>
      <c r="V3409">
        <v>0.20544728689892131</v>
      </c>
      <c r="W3409">
        <v>-2.3855729906044729</v>
      </c>
      <c r="X3409">
        <v>0.26854531748993937</v>
      </c>
      <c r="Z3409" t="s">
        <v>392</v>
      </c>
      <c r="AA3409">
        <v>114</v>
      </c>
      <c r="AB3409" t="s">
        <v>3800</v>
      </c>
      <c r="AC3409" t="str">
        <f>HYPERLINK("plots/3FT6Y578R04_015_S21P_20251218081014_M5358ACSC201811_RBGEUFRF04/dpll_52084/txpa_53206.png","plot")</f>
        <v>plot</v>
      </c>
    </row>
    <row r="3410" spans="1:29" hidden="1" x14ac:dyDescent="0.35">
      <c r="A3410" t="s">
        <v>49</v>
      </c>
      <c r="B3410">
        <v>52084</v>
      </c>
      <c r="C3410" t="s">
        <v>52</v>
      </c>
      <c r="D3410">
        <v>53207</v>
      </c>
      <c r="E3410" t="s">
        <v>82</v>
      </c>
      <c r="F3410">
        <v>12027</v>
      </c>
      <c r="G3410">
        <v>0.6526765132981609</v>
      </c>
      <c r="H3410">
        <v>0</v>
      </c>
      <c r="I3410">
        <v>0</v>
      </c>
      <c r="J3410">
        <v>0.55457949173131071</v>
      </c>
      <c r="K3410">
        <v>0</v>
      </c>
      <c r="L3410">
        <v>0</v>
      </c>
      <c r="M3410">
        <v>0.38996771001885411</v>
      </c>
      <c r="N3410">
        <v>0</v>
      </c>
      <c r="O3410">
        <v>0</v>
      </c>
      <c r="P3410">
        <v>0.42598663101104439</v>
      </c>
      <c r="Q3410">
        <v>0.84932735197263942</v>
      </c>
      <c r="R3410">
        <v>-6.0081825926910932</v>
      </c>
      <c r="S3410">
        <v>0.20252714265673319</v>
      </c>
      <c r="T3410">
        <v>0.16129746692415761</v>
      </c>
      <c r="U3410">
        <v>4.2557921641307059</v>
      </c>
      <c r="V3410">
        <v>0.20542966688110781</v>
      </c>
      <c r="W3410">
        <v>-2.393621903384052</v>
      </c>
      <c r="X3410">
        <v>0.26732543830491229</v>
      </c>
      <c r="Z3410" t="s">
        <v>392</v>
      </c>
      <c r="AA3410">
        <v>114</v>
      </c>
      <c r="AB3410" t="s">
        <v>3801</v>
      </c>
      <c r="AC3410" t="str">
        <f>HYPERLINK("plots/3FT6Y578R04_015_S21P_20251218081014_M5358ACSC201811_RBGEUFRF04/dpll_52084/txpa_53207.png","plot")</f>
        <v>plot</v>
      </c>
    </row>
    <row r="3411" spans="1:29" hidden="1" x14ac:dyDescent="0.35">
      <c r="A3411" t="s">
        <v>49</v>
      </c>
      <c r="B3411">
        <v>52084</v>
      </c>
      <c r="C3411" t="s">
        <v>52</v>
      </c>
      <c r="D3411">
        <v>53208</v>
      </c>
      <c r="E3411" t="s">
        <v>83</v>
      </c>
      <c r="F3411">
        <v>12028</v>
      </c>
      <c r="G3411">
        <v>0.65881421738923052</v>
      </c>
      <c r="H3411">
        <v>0</v>
      </c>
      <c r="I3411">
        <v>0</v>
      </c>
      <c r="J3411">
        <v>0.57331008662191019</v>
      </c>
      <c r="K3411">
        <v>0</v>
      </c>
      <c r="L3411">
        <v>0</v>
      </c>
      <c r="M3411">
        <v>0.40564868146873312</v>
      </c>
      <c r="N3411">
        <v>0</v>
      </c>
      <c r="O3411">
        <v>0</v>
      </c>
      <c r="P3411">
        <v>0.43403617303418429</v>
      </c>
      <c r="Q3411">
        <v>0.85855682585559201</v>
      </c>
      <c r="R3411">
        <v>-6.0554861473417736</v>
      </c>
      <c r="S3411">
        <v>0.20140387875553939</v>
      </c>
      <c r="T3411">
        <v>0.15943907405931659</v>
      </c>
      <c r="U3411">
        <v>4.2558177004489526</v>
      </c>
      <c r="V3411">
        <v>0.20544021673558341</v>
      </c>
      <c r="W3411">
        <v>-2.4016248110242771</v>
      </c>
      <c r="X3411">
        <v>0.26772661507300177</v>
      </c>
      <c r="Z3411" t="s">
        <v>392</v>
      </c>
      <c r="AA3411">
        <v>114</v>
      </c>
      <c r="AB3411" t="s">
        <v>3802</v>
      </c>
      <c r="AC3411" t="str">
        <f>HYPERLINK("plots/3FT6Y578R04_015_S21P_20251218081014_M5358ACSC201811_RBGEUFRF04/dpll_52084/txpa_53208.png","plot")</f>
        <v>plot</v>
      </c>
    </row>
    <row r="3412" spans="1:29" hidden="1" x14ac:dyDescent="0.35">
      <c r="A3412" t="s">
        <v>49</v>
      </c>
      <c r="B3412">
        <v>52084</v>
      </c>
      <c r="C3412" t="s">
        <v>52</v>
      </c>
      <c r="D3412">
        <v>53209</v>
      </c>
      <c r="E3412" t="s">
        <v>84</v>
      </c>
      <c r="F3412">
        <v>12028</v>
      </c>
      <c r="G3412">
        <v>0.65499596891535106</v>
      </c>
      <c r="H3412">
        <v>0</v>
      </c>
      <c r="I3412">
        <v>0</v>
      </c>
      <c r="J3412">
        <v>0.56523026003746157</v>
      </c>
      <c r="K3412">
        <v>0</v>
      </c>
      <c r="L3412">
        <v>0</v>
      </c>
      <c r="M3412">
        <v>0.39885090210284541</v>
      </c>
      <c r="N3412">
        <v>0</v>
      </c>
      <c r="O3412">
        <v>0</v>
      </c>
      <c r="P3412">
        <v>0.42901971929535948</v>
      </c>
      <c r="Q3412">
        <v>0.84240528269929293</v>
      </c>
      <c r="R3412">
        <v>-5.9792591072103436</v>
      </c>
      <c r="S3412">
        <v>0.19964591097073089</v>
      </c>
      <c r="T3412">
        <v>0.15893777757587091</v>
      </c>
      <c r="U3412">
        <v>4.2558177004489526</v>
      </c>
      <c r="V3412">
        <v>0.20544021673558341</v>
      </c>
      <c r="W3412">
        <v>-2.3941357941469898</v>
      </c>
      <c r="X3412">
        <v>0.26422135718412232</v>
      </c>
      <c r="Z3412" t="s">
        <v>392</v>
      </c>
      <c r="AA3412">
        <v>114</v>
      </c>
      <c r="AB3412" t="s">
        <v>3803</v>
      </c>
      <c r="AC3412" t="str">
        <f>HYPERLINK("plots/3FT6Y578R04_015_S21P_20251218081014_M5358ACSC201811_RBGEUFRF04/dpll_52084/txpa_53209.png","plot")</f>
        <v>plot</v>
      </c>
    </row>
    <row r="3413" spans="1:29" hidden="1" x14ac:dyDescent="0.35">
      <c r="A3413" t="s">
        <v>49</v>
      </c>
      <c r="B3413">
        <v>52084</v>
      </c>
      <c r="C3413" t="s">
        <v>52</v>
      </c>
      <c r="D3413">
        <v>53210</v>
      </c>
      <c r="E3413" t="s">
        <v>85</v>
      </c>
      <c r="F3413">
        <v>12027</v>
      </c>
      <c r="G3413">
        <v>0.64191713599208688</v>
      </c>
      <c r="H3413">
        <v>0</v>
      </c>
      <c r="I3413">
        <v>0</v>
      </c>
      <c r="J3413">
        <v>0.5536548806990168</v>
      </c>
      <c r="K3413">
        <v>0</v>
      </c>
      <c r="L3413">
        <v>0</v>
      </c>
      <c r="M3413">
        <v>0.39037762398501658</v>
      </c>
      <c r="N3413">
        <v>0</v>
      </c>
      <c r="O3413">
        <v>0</v>
      </c>
      <c r="P3413">
        <v>0.41205760948028342</v>
      </c>
      <c r="Q3413">
        <v>0.83005062625775516</v>
      </c>
      <c r="R3413">
        <v>-5.9804669576743947</v>
      </c>
      <c r="S3413">
        <v>0.20367943695624491</v>
      </c>
      <c r="T3413">
        <v>0.16111998744322431</v>
      </c>
      <c r="U3413">
        <v>4.2558401814251274</v>
      </c>
      <c r="V3413">
        <v>0.20543396214013371</v>
      </c>
      <c r="W3413">
        <v>-2.44790414982955</v>
      </c>
      <c r="X3413">
        <v>0.26564268091315152</v>
      </c>
      <c r="Z3413" t="s">
        <v>392</v>
      </c>
      <c r="AA3413">
        <v>114</v>
      </c>
      <c r="AB3413" t="s">
        <v>3804</v>
      </c>
      <c r="AC3413" t="str">
        <f>HYPERLINK("plots/3FT6Y578R04_015_S21P_20251218081014_M5358ACSC201811_RBGEUFRF04/dpll_52084/txpa_53210.png","plot")</f>
        <v>plot</v>
      </c>
    </row>
    <row r="3414" spans="1:29" hidden="1" x14ac:dyDescent="0.35">
      <c r="A3414" t="s">
        <v>49</v>
      </c>
      <c r="B3414">
        <v>52084</v>
      </c>
      <c r="C3414" t="s">
        <v>52</v>
      </c>
      <c r="D3414">
        <v>53211</v>
      </c>
      <c r="E3414" t="s">
        <v>86</v>
      </c>
      <c r="F3414">
        <v>12028</v>
      </c>
      <c r="G3414">
        <v>0.66794117324373692</v>
      </c>
      <c r="H3414">
        <v>0</v>
      </c>
      <c r="I3414">
        <v>0</v>
      </c>
      <c r="J3414">
        <v>0.59148942488698575</v>
      </c>
      <c r="K3414">
        <v>0</v>
      </c>
      <c r="L3414">
        <v>0</v>
      </c>
      <c r="M3414">
        <v>0.41876033202371848</v>
      </c>
      <c r="N3414">
        <v>0</v>
      </c>
      <c r="O3414">
        <v>0</v>
      </c>
      <c r="P3414">
        <v>0.44614541091421978</v>
      </c>
      <c r="Q3414">
        <v>0.87854140561442273</v>
      </c>
      <c r="R3414">
        <v>-2.5966927261322339</v>
      </c>
      <c r="S3414">
        <v>0.20108946056739921</v>
      </c>
      <c r="T3414">
        <v>0.1583511658840239</v>
      </c>
      <c r="U3414">
        <v>4.2558177004489526</v>
      </c>
      <c r="V3414">
        <v>0.20544021673558341</v>
      </c>
      <c r="W3414">
        <v>1.142219338458929</v>
      </c>
      <c r="X3414">
        <v>0.27021501894261851</v>
      </c>
      <c r="Z3414" t="s">
        <v>392</v>
      </c>
      <c r="AA3414">
        <v>114</v>
      </c>
      <c r="AB3414" t="s">
        <v>3805</v>
      </c>
      <c r="AC3414" t="str">
        <f>HYPERLINK("plots/3FT6Y578R04_015_S21P_20251218081014_M5358ACSC201811_RBGEUFRF04/dpll_52084/txpa_53211.png","plot")</f>
        <v>plot</v>
      </c>
    </row>
    <row r="3415" spans="1:29" hidden="1" x14ac:dyDescent="0.35">
      <c r="A3415" t="s">
        <v>49</v>
      </c>
      <c r="B3415">
        <v>52084</v>
      </c>
      <c r="C3415" t="s">
        <v>52</v>
      </c>
      <c r="D3415">
        <v>53212</v>
      </c>
      <c r="E3415" t="s">
        <v>87</v>
      </c>
      <c r="F3415">
        <v>12028</v>
      </c>
      <c r="G3415">
        <v>0.69238923550858844</v>
      </c>
      <c r="H3415">
        <v>0</v>
      </c>
      <c r="I3415">
        <v>0</v>
      </c>
      <c r="J3415">
        <v>0.61186526580377365</v>
      </c>
      <c r="K3415">
        <v>0</v>
      </c>
      <c r="L3415">
        <v>0</v>
      </c>
      <c r="M3415">
        <v>0.43735673185436202</v>
      </c>
      <c r="N3415">
        <v>0</v>
      </c>
      <c r="O3415">
        <v>0</v>
      </c>
      <c r="P3415">
        <v>0.47940285344816752</v>
      </c>
      <c r="Q3415">
        <v>0.91963974853794472</v>
      </c>
      <c r="R3415">
        <v>-2.7349627649074408</v>
      </c>
      <c r="S3415">
        <v>0.19687280483322889</v>
      </c>
      <c r="T3415">
        <v>0.15576708242874601</v>
      </c>
      <c r="U3415">
        <v>4.2558177004489526</v>
      </c>
      <c r="V3415">
        <v>0.20544021673558341</v>
      </c>
      <c r="W3415">
        <v>1.1788563549567681</v>
      </c>
      <c r="X3415">
        <v>0.27286817814190201</v>
      </c>
      <c r="Z3415" t="s">
        <v>392</v>
      </c>
      <c r="AA3415">
        <v>114</v>
      </c>
      <c r="AB3415" t="s">
        <v>3806</v>
      </c>
      <c r="AC3415" t="str">
        <f>HYPERLINK("plots/3FT6Y578R04_015_S21P_20251218081014_M5358ACSC201811_RBGEUFRF04/dpll_52084/txpa_53212.png","plot")</f>
        <v>plot</v>
      </c>
    </row>
    <row r="3416" spans="1:29" hidden="1" x14ac:dyDescent="0.35">
      <c r="A3416" t="s">
        <v>49</v>
      </c>
      <c r="B3416">
        <v>52084</v>
      </c>
      <c r="C3416" t="s">
        <v>52</v>
      </c>
      <c r="D3416">
        <v>53213</v>
      </c>
      <c r="E3416" t="s">
        <v>88</v>
      </c>
      <c r="F3416">
        <v>12028</v>
      </c>
      <c r="G3416">
        <v>0.6781846230359212</v>
      </c>
      <c r="H3416">
        <v>0</v>
      </c>
      <c r="I3416">
        <v>0</v>
      </c>
      <c r="J3416">
        <v>0.59534338985098934</v>
      </c>
      <c r="K3416">
        <v>0</v>
      </c>
      <c r="L3416">
        <v>0</v>
      </c>
      <c r="M3416">
        <v>0.42301657059978809</v>
      </c>
      <c r="N3416">
        <v>0</v>
      </c>
      <c r="O3416">
        <v>0</v>
      </c>
      <c r="P3416">
        <v>0.45993438292237449</v>
      </c>
      <c r="Q3416">
        <v>0.87884031430171861</v>
      </c>
      <c r="R3416">
        <v>-2.543555350009457</v>
      </c>
      <c r="S3416">
        <v>0.1956377714871575</v>
      </c>
      <c r="T3416">
        <v>0.15491405612136769</v>
      </c>
      <c r="U3416">
        <v>4.2558177004489526</v>
      </c>
      <c r="V3416">
        <v>0.20544021673558341</v>
      </c>
      <c r="W3416">
        <v>1.196628815463918</v>
      </c>
      <c r="X3416">
        <v>0.26622417924764769</v>
      </c>
      <c r="Z3416" t="s">
        <v>392</v>
      </c>
      <c r="AA3416">
        <v>114</v>
      </c>
      <c r="AB3416" t="s">
        <v>3807</v>
      </c>
      <c r="AC3416" t="str">
        <f>HYPERLINK("plots/3FT6Y578R04_015_S21P_20251218081014_M5358ACSC201811_RBGEUFRF04/dpll_52084/txpa_53213.png","plot")</f>
        <v>plot</v>
      </c>
    </row>
    <row r="3417" spans="1:29" hidden="1" x14ac:dyDescent="0.35">
      <c r="A3417" t="s">
        <v>49</v>
      </c>
      <c r="B3417">
        <v>52084</v>
      </c>
      <c r="C3417" t="s">
        <v>52</v>
      </c>
      <c r="D3417">
        <v>53214</v>
      </c>
      <c r="E3417" t="s">
        <v>89</v>
      </c>
      <c r="F3417">
        <v>12027</v>
      </c>
      <c r="G3417">
        <v>0.69630306374123518</v>
      </c>
      <c r="H3417">
        <v>0</v>
      </c>
      <c r="I3417">
        <v>0</v>
      </c>
      <c r="J3417">
        <v>0.61005888643611217</v>
      </c>
      <c r="K3417">
        <v>0</v>
      </c>
      <c r="L3417">
        <v>0</v>
      </c>
      <c r="M3417">
        <v>0.43604998199632539</v>
      </c>
      <c r="N3417">
        <v>0</v>
      </c>
      <c r="O3417">
        <v>0</v>
      </c>
      <c r="P3417">
        <v>0.48483795657543061</v>
      </c>
      <c r="Q3417">
        <v>0.9186892640121388</v>
      </c>
      <c r="R3417">
        <v>-2.703693591629917</v>
      </c>
      <c r="S3417">
        <v>0.19454703591481209</v>
      </c>
      <c r="T3417">
        <v>0.15408151918554649</v>
      </c>
      <c r="U3417">
        <v>4.2558247893905383</v>
      </c>
      <c r="V3417">
        <v>0.20544728689892131</v>
      </c>
      <c r="W3417">
        <v>1.206086951899892</v>
      </c>
      <c r="X3417">
        <v>0.27106331513227738</v>
      </c>
      <c r="Z3417" t="s">
        <v>392</v>
      </c>
      <c r="AA3417">
        <v>114</v>
      </c>
      <c r="AB3417" t="s">
        <v>3808</v>
      </c>
      <c r="AC3417" t="str">
        <f>HYPERLINK("plots/3FT6Y578R04_015_S21P_20251218081014_M5358ACSC201811_RBGEUFRF04/dpll_52084/txpa_53214.png","plot")</f>
        <v>plot</v>
      </c>
    </row>
    <row r="3418" spans="1:29" hidden="1" x14ac:dyDescent="0.35">
      <c r="A3418" t="s">
        <v>49</v>
      </c>
      <c r="B3418">
        <v>52084</v>
      </c>
      <c r="C3418" t="s">
        <v>52</v>
      </c>
      <c r="D3418">
        <v>53215</v>
      </c>
      <c r="E3418" t="s">
        <v>90</v>
      </c>
      <c r="F3418">
        <v>12027</v>
      </c>
      <c r="G3418">
        <v>0.69634776740432291</v>
      </c>
      <c r="H3418">
        <v>0</v>
      </c>
      <c r="I3418">
        <v>0</v>
      </c>
      <c r="J3418">
        <v>0.60571476435434146</v>
      </c>
      <c r="K3418">
        <v>0</v>
      </c>
      <c r="L3418">
        <v>0</v>
      </c>
      <c r="M3418">
        <v>0.43100459241604838</v>
      </c>
      <c r="N3418">
        <v>0</v>
      </c>
      <c r="O3418">
        <v>0</v>
      </c>
      <c r="P3418">
        <v>0.48490021316898502</v>
      </c>
      <c r="Q3418">
        <v>0.91432466710621751</v>
      </c>
      <c r="R3418">
        <v>-2.6941626082244712</v>
      </c>
      <c r="S3418">
        <v>0.19358203022172049</v>
      </c>
      <c r="T3418">
        <v>0.1541673773230352</v>
      </c>
      <c r="U3418">
        <v>4.2557921641307059</v>
      </c>
      <c r="V3418">
        <v>0.20542966688110781</v>
      </c>
      <c r="W3418">
        <v>1.197013145517585</v>
      </c>
      <c r="X3418">
        <v>0.26973506712738549</v>
      </c>
      <c r="Z3418" t="s">
        <v>392</v>
      </c>
      <c r="AA3418">
        <v>114</v>
      </c>
      <c r="AB3418" t="s">
        <v>3809</v>
      </c>
      <c r="AC3418" t="str">
        <f>HYPERLINK("plots/3FT6Y578R04_015_S21P_20251218081014_M5358ACSC201811_RBGEUFRF04/dpll_52084/txpa_53215.png","plot")</f>
        <v>plot</v>
      </c>
    </row>
    <row r="3419" spans="1:29" hidden="1" x14ac:dyDescent="0.35">
      <c r="A3419" t="s">
        <v>49</v>
      </c>
      <c r="B3419">
        <v>52084</v>
      </c>
      <c r="C3419" t="s">
        <v>52</v>
      </c>
      <c r="D3419">
        <v>53216</v>
      </c>
      <c r="E3419" t="s">
        <v>91</v>
      </c>
      <c r="F3419">
        <v>12028</v>
      </c>
      <c r="G3419">
        <v>0.70240295938762698</v>
      </c>
      <c r="H3419">
        <v>0</v>
      </c>
      <c r="I3419">
        <v>0</v>
      </c>
      <c r="J3419">
        <v>0.62420900785950018</v>
      </c>
      <c r="K3419">
        <v>0</v>
      </c>
      <c r="L3419">
        <v>0</v>
      </c>
      <c r="M3419">
        <v>0.44702961809242692</v>
      </c>
      <c r="N3419">
        <v>0</v>
      </c>
      <c r="O3419">
        <v>0</v>
      </c>
      <c r="P3419">
        <v>0.49336991735649638</v>
      </c>
      <c r="Q3419">
        <v>0.92723396121049617</v>
      </c>
      <c r="R3419">
        <v>-2.749764624042442</v>
      </c>
      <c r="S3419">
        <v>0.19302603703460849</v>
      </c>
      <c r="T3419">
        <v>0.15286997452727791</v>
      </c>
      <c r="U3419">
        <v>4.2558177004489526</v>
      </c>
      <c r="V3419">
        <v>0.20544021673558341</v>
      </c>
      <c r="W3419">
        <v>1.1963740805345859</v>
      </c>
      <c r="X3419">
        <v>0.27119923600799328</v>
      </c>
      <c r="Z3419" t="s">
        <v>392</v>
      </c>
      <c r="AA3419">
        <v>114</v>
      </c>
      <c r="AB3419" t="s">
        <v>3810</v>
      </c>
      <c r="AC3419" t="str">
        <f>HYPERLINK("plots/3FT6Y578R04_015_S21P_20251218081014_M5358ACSC201811_RBGEUFRF04/dpll_52084/txpa_53216.png","plot")</f>
        <v>plot</v>
      </c>
    </row>
    <row r="3420" spans="1:29" hidden="1" x14ac:dyDescent="0.35">
      <c r="A3420" t="s">
        <v>49</v>
      </c>
      <c r="B3420">
        <v>52084</v>
      </c>
      <c r="C3420" t="s">
        <v>52</v>
      </c>
      <c r="D3420">
        <v>53217</v>
      </c>
      <c r="E3420" t="s">
        <v>92</v>
      </c>
      <c r="F3420">
        <v>12028</v>
      </c>
      <c r="G3420">
        <v>0.69874577449757336</v>
      </c>
      <c r="H3420">
        <v>0</v>
      </c>
      <c r="I3420">
        <v>0</v>
      </c>
      <c r="J3420">
        <v>0.61553515541878623</v>
      </c>
      <c r="K3420">
        <v>0</v>
      </c>
      <c r="L3420">
        <v>0</v>
      </c>
      <c r="M3420">
        <v>0.43990707398440232</v>
      </c>
      <c r="N3420">
        <v>0</v>
      </c>
      <c r="O3420">
        <v>0</v>
      </c>
      <c r="P3420">
        <v>0.48824565737821363</v>
      </c>
      <c r="Q3420">
        <v>0.90957118353854949</v>
      </c>
      <c r="R3420">
        <v>-2.666646307395756</v>
      </c>
      <c r="S3420">
        <v>0.19130031137176859</v>
      </c>
      <c r="T3420">
        <v>0.15223461954643411</v>
      </c>
      <c r="U3420">
        <v>4.2558177004489526</v>
      </c>
      <c r="V3420">
        <v>0.20544021673558341</v>
      </c>
      <c r="W3420">
        <v>1.2043228353259059</v>
      </c>
      <c r="X3420">
        <v>0.2674255901110279</v>
      </c>
      <c r="Z3420" t="s">
        <v>392</v>
      </c>
      <c r="AA3420">
        <v>114</v>
      </c>
      <c r="AB3420" t="s">
        <v>3811</v>
      </c>
      <c r="AC3420" t="str">
        <f>HYPERLINK("plots/3FT6Y578R04_015_S21P_20251218081014_M5358ACSC201811_RBGEUFRF04/dpll_52084/txpa_53217.png","plot")</f>
        <v>plot</v>
      </c>
    </row>
    <row r="3421" spans="1:29" hidden="1" x14ac:dyDescent="0.35">
      <c r="A3421" t="s">
        <v>49</v>
      </c>
      <c r="B3421">
        <v>52084</v>
      </c>
      <c r="C3421" t="s">
        <v>52</v>
      </c>
      <c r="D3421">
        <v>53218</v>
      </c>
      <c r="E3421" t="s">
        <v>93</v>
      </c>
      <c r="F3421">
        <v>12027</v>
      </c>
      <c r="G3421">
        <v>0.68910545337611773</v>
      </c>
      <c r="H3421">
        <v>0</v>
      </c>
      <c r="I3421">
        <v>0</v>
      </c>
      <c r="J3421">
        <v>0.60621119779499621</v>
      </c>
      <c r="K3421">
        <v>0</v>
      </c>
      <c r="L3421">
        <v>0</v>
      </c>
      <c r="M3421">
        <v>0.43272806745775938</v>
      </c>
      <c r="N3421">
        <v>0</v>
      </c>
      <c r="O3421">
        <v>0</v>
      </c>
      <c r="P3421">
        <v>0.47486632587270478</v>
      </c>
      <c r="Q3421">
        <v>0.9013688670359612</v>
      </c>
      <c r="R3421">
        <v>-2.6797471648788642</v>
      </c>
      <c r="S3421">
        <v>0.19471794950791921</v>
      </c>
      <c r="T3421">
        <v>0.15407204531078911</v>
      </c>
      <c r="U3421">
        <v>4.2558401814251274</v>
      </c>
      <c r="V3421">
        <v>0.20543396214013371</v>
      </c>
      <c r="W3421">
        <v>1.156334677738422</v>
      </c>
      <c r="X3421">
        <v>0.26871326703010878</v>
      </c>
      <c r="Z3421" t="s">
        <v>392</v>
      </c>
      <c r="AA3421">
        <v>114</v>
      </c>
      <c r="AB3421" t="s">
        <v>3812</v>
      </c>
      <c r="AC3421" t="str">
        <f>HYPERLINK("plots/3FT6Y578R04_015_S21P_20251218081014_M5358ACSC201811_RBGEUFRF04/dpll_52084/txpa_53218.png","plot")</f>
        <v>plot</v>
      </c>
    </row>
    <row r="3422" spans="1:29" hidden="1" x14ac:dyDescent="0.35">
      <c r="A3422" t="s">
        <v>49</v>
      </c>
      <c r="B3422">
        <v>52084</v>
      </c>
      <c r="C3422" t="s">
        <v>52</v>
      </c>
      <c r="D3422">
        <v>53219</v>
      </c>
      <c r="E3422" t="s">
        <v>94</v>
      </c>
      <c r="F3422">
        <v>12028</v>
      </c>
      <c r="G3422">
        <v>0.69934182181047688</v>
      </c>
      <c r="H3422">
        <v>0</v>
      </c>
      <c r="I3422">
        <v>0</v>
      </c>
      <c r="J3422">
        <v>0.62347024488200598</v>
      </c>
      <c r="K3422">
        <v>0</v>
      </c>
      <c r="L3422">
        <v>0</v>
      </c>
      <c r="M3422">
        <v>0.44504956463653</v>
      </c>
      <c r="N3422">
        <v>0</v>
      </c>
      <c r="O3422">
        <v>0</v>
      </c>
      <c r="P3422">
        <v>0.4890789837331968</v>
      </c>
      <c r="Q3422">
        <v>0.9399133076780638</v>
      </c>
      <c r="R3422">
        <v>-0.83072606973841223</v>
      </c>
      <c r="S3422">
        <v>0.19735248170824679</v>
      </c>
      <c r="T3422">
        <v>0.1554407636669155</v>
      </c>
      <c r="U3422">
        <v>4.2558177004489526</v>
      </c>
      <c r="V3422">
        <v>0.20544021673558341</v>
      </c>
      <c r="W3422">
        <v>3.1693736219654141</v>
      </c>
      <c r="X3422">
        <v>0.27611103414657512</v>
      </c>
      <c r="Z3422" t="s">
        <v>392</v>
      </c>
      <c r="AA3422">
        <v>114</v>
      </c>
      <c r="AB3422" t="s">
        <v>3813</v>
      </c>
      <c r="AC3422" t="str">
        <f>HYPERLINK("plots/3FT6Y578R04_015_S21P_20251218081014_M5358ACSC201811_RBGEUFRF04/dpll_52084/txpa_53219.png","plot")</f>
        <v>plot</v>
      </c>
    </row>
    <row r="3423" spans="1:29" hidden="1" x14ac:dyDescent="0.35">
      <c r="A3423" t="s">
        <v>49</v>
      </c>
      <c r="B3423">
        <v>52084</v>
      </c>
      <c r="C3423" t="s">
        <v>52</v>
      </c>
      <c r="D3423">
        <v>53220</v>
      </c>
      <c r="E3423" t="s">
        <v>95</v>
      </c>
      <c r="F3423">
        <v>12028</v>
      </c>
      <c r="G3423">
        <v>0.72235921778224066</v>
      </c>
      <c r="H3423">
        <v>0</v>
      </c>
      <c r="I3423">
        <v>0</v>
      </c>
      <c r="J3423">
        <v>0.64261104898759369</v>
      </c>
      <c r="K3423">
        <v>0</v>
      </c>
      <c r="L3423">
        <v>0</v>
      </c>
      <c r="M3423">
        <v>0.46318898096910482</v>
      </c>
      <c r="N3423">
        <v>0</v>
      </c>
      <c r="O3423">
        <v>0</v>
      </c>
      <c r="P3423">
        <v>0.52180283951497064</v>
      </c>
      <c r="Q3423">
        <v>0.98027079025343367</v>
      </c>
      <c r="R3423">
        <v>-0.9674971100411347</v>
      </c>
      <c r="S3423">
        <v>0.19278078734234999</v>
      </c>
      <c r="T3423">
        <v>0.15277663481783771</v>
      </c>
      <c r="U3423">
        <v>4.2558177004489526</v>
      </c>
      <c r="V3423">
        <v>0.20544021673558341</v>
      </c>
      <c r="W3423">
        <v>3.204356670352511</v>
      </c>
      <c r="X3423">
        <v>0.27879071610315692</v>
      </c>
      <c r="Z3423" t="s">
        <v>392</v>
      </c>
      <c r="AA3423">
        <v>114</v>
      </c>
      <c r="AB3423" t="s">
        <v>3814</v>
      </c>
      <c r="AC3423" t="str">
        <f>HYPERLINK("plots/3FT6Y578R04_015_S21P_20251218081014_M5358ACSC201811_RBGEUFRF04/dpll_52084/txpa_53220.png","plot")</f>
        <v>plot</v>
      </c>
    </row>
    <row r="3424" spans="1:29" hidden="1" x14ac:dyDescent="0.35">
      <c r="A3424" t="s">
        <v>49</v>
      </c>
      <c r="B3424">
        <v>52084</v>
      </c>
      <c r="C3424" t="s">
        <v>52</v>
      </c>
      <c r="D3424">
        <v>53221</v>
      </c>
      <c r="E3424" t="s">
        <v>96</v>
      </c>
      <c r="F3424">
        <v>12028</v>
      </c>
      <c r="G3424">
        <v>0.70961035551451646</v>
      </c>
      <c r="H3424">
        <v>0</v>
      </c>
      <c r="I3424">
        <v>0</v>
      </c>
      <c r="J3424">
        <v>0.62832842923623144</v>
      </c>
      <c r="K3424">
        <v>0</v>
      </c>
      <c r="L3424">
        <v>0</v>
      </c>
      <c r="M3424">
        <v>0.45030348977994911</v>
      </c>
      <c r="N3424">
        <v>0</v>
      </c>
      <c r="O3424">
        <v>0</v>
      </c>
      <c r="P3424">
        <v>0.50354685665343846</v>
      </c>
      <c r="Q3424">
        <v>0.940569703603232</v>
      </c>
      <c r="R3424">
        <v>-0.78065364030717754</v>
      </c>
      <c r="S3424">
        <v>0.19185697108352889</v>
      </c>
      <c r="T3424">
        <v>0.15186190999334959</v>
      </c>
      <c r="U3424">
        <v>4.2558177004489526</v>
      </c>
      <c r="V3424">
        <v>0.20544021673558341</v>
      </c>
      <c r="W3424">
        <v>3.2222395527934822</v>
      </c>
      <c r="X3424">
        <v>0.27230555791856498</v>
      </c>
      <c r="Z3424" t="s">
        <v>392</v>
      </c>
      <c r="AA3424">
        <v>114</v>
      </c>
      <c r="AB3424" t="s">
        <v>3815</v>
      </c>
      <c r="AC3424" t="str">
        <f>HYPERLINK("plots/3FT6Y578R04_015_S21P_20251218081014_M5358ACSC201811_RBGEUFRF04/dpll_52084/txpa_53221.png","plot")</f>
        <v>plot</v>
      </c>
    </row>
    <row r="3425" spans="1:29" hidden="1" x14ac:dyDescent="0.35">
      <c r="A3425" t="s">
        <v>49</v>
      </c>
      <c r="B3425">
        <v>52084</v>
      </c>
      <c r="C3425" t="s">
        <v>52</v>
      </c>
      <c r="D3425">
        <v>53222</v>
      </c>
      <c r="E3425" t="s">
        <v>97</v>
      </c>
      <c r="F3425">
        <v>12027</v>
      </c>
      <c r="G3425">
        <v>0.72589081384192211</v>
      </c>
      <c r="H3425">
        <v>0</v>
      </c>
      <c r="I3425">
        <v>0</v>
      </c>
      <c r="J3425">
        <v>0.64180240046827852</v>
      </c>
      <c r="K3425">
        <v>0</v>
      </c>
      <c r="L3425">
        <v>0</v>
      </c>
      <c r="M3425">
        <v>0.46262944032835063</v>
      </c>
      <c r="N3425">
        <v>0</v>
      </c>
      <c r="O3425">
        <v>0</v>
      </c>
      <c r="P3425">
        <v>0.52691747362008801</v>
      </c>
      <c r="Q3425">
        <v>0.9772683487752345</v>
      </c>
      <c r="R3425">
        <v>-0.93091920392426486</v>
      </c>
      <c r="S3425">
        <v>0.19023627840807261</v>
      </c>
      <c r="T3425">
        <v>0.15073059492222179</v>
      </c>
      <c r="U3425">
        <v>4.2558247893905383</v>
      </c>
      <c r="V3425">
        <v>0.20544728689892131</v>
      </c>
      <c r="W3425">
        <v>3.2281636606801358</v>
      </c>
      <c r="X3425">
        <v>0.27659411994127281</v>
      </c>
      <c r="Z3425" t="s">
        <v>392</v>
      </c>
      <c r="AA3425">
        <v>114</v>
      </c>
      <c r="AB3425" t="s">
        <v>3816</v>
      </c>
      <c r="AC3425" t="str">
        <f>HYPERLINK("plots/3FT6Y578R04_015_S21P_20251218081014_M5358ACSC201811_RBGEUFRF04/dpll_52084/txpa_53222.png","plot")</f>
        <v>plot</v>
      </c>
    </row>
    <row r="3426" spans="1:29" hidden="1" x14ac:dyDescent="0.35">
      <c r="A3426" t="s">
        <v>49</v>
      </c>
      <c r="B3426">
        <v>52084</v>
      </c>
      <c r="C3426" t="s">
        <v>52</v>
      </c>
      <c r="D3426">
        <v>53223</v>
      </c>
      <c r="E3426" t="s">
        <v>98</v>
      </c>
      <c r="F3426">
        <v>12027</v>
      </c>
      <c r="G3426">
        <v>0.72653955712153451</v>
      </c>
      <c r="H3426">
        <v>0</v>
      </c>
      <c r="I3426">
        <v>0</v>
      </c>
      <c r="J3426">
        <v>0.63768052314822443</v>
      </c>
      <c r="K3426">
        <v>0</v>
      </c>
      <c r="L3426">
        <v>0</v>
      </c>
      <c r="M3426">
        <v>0.45758444681126359</v>
      </c>
      <c r="N3426">
        <v>0</v>
      </c>
      <c r="O3426">
        <v>0</v>
      </c>
      <c r="P3426">
        <v>0.52785972806235548</v>
      </c>
      <c r="Q3426">
        <v>0.97309730116322213</v>
      </c>
      <c r="R3426">
        <v>-0.92425596509480901</v>
      </c>
      <c r="S3426">
        <v>0.18905041380855661</v>
      </c>
      <c r="T3426">
        <v>0.15049534153736169</v>
      </c>
      <c r="U3426">
        <v>4.2557921641307059</v>
      </c>
      <c r="V3426">
        <v>0.20542966688110781</v>
      </c>
      <c r="W3426">
        <v>3.2170439041323688</v>
      </c>
      <c r="X3426">
        <v>0.27514407503544408</v>
      </c>
      <c r="Z3426" t="s">
        <v>392</v>
      </c>
      <c r="AA3426">
        <v>114</v>
      </c>
      <c r="AB3426" t="s">
        <v>3817</v>
      </c>
      <c r="AC3426" t="str">
        <f>HYPERLINK("plots/3FT6Y578R04_015_S21P_20251218081014_M5358ACSC201811_RBGEUFRF04/dpll_52084/txpa_53223.png","plot")</f>
        <v>plot</v>
      </c>
    </row>
    <row r="3427" spans="1:29" hidden="1" x14ac:dyDescent="0.35">
      <c r="A3427" t="s">
        <v>49</v>
      </c>
      <c r="B3427">
        <v>52084</v>
      </c>
      <c r="C3427" t="s">
        <v>52</v>
      </c>
      <c r="D3427">
        <v>53224</v>
      </c>
      <c r="E3427" t="s">
        <v>99</v>
      </c>
      <c r="F3427">
        <v>12028</v>
      </c>
      <c r="G3427">
        <v>0.73128448438817528</v>
      </c>
      <c r="H3427">
        <v>0</v>
      </c>
      <c r="I3427">
        <v>0</v>
      </c>
      <c r="J3427">
        <v>0.65553901007158188</v>
      </c>
      <c r="K3427">
        <v>0</v>
      </c>
      <c r="L3427">
        <v>0</v>
      </c>
      <c r="M3427">
        <v>0.47356675637164841</v>
      </c>
      <c r="N3427">
        <v>0</v>
      </c>
      <c r="O3427">
        <v>0</v>
      </c>
      <c r="P3427">
        <v>0.53477699710687943</v>
      </c>
      <c r="Q3427">
        <v>0.98801815324743603</v>
      </c>
      <c r="R3427">
        <v>-0.98400947343886225</v>
      </c>
      <c r="S3427">
        <v>0.18931131205195101</v>
      </c>
      <c r="T3427">
        <v>0.1499409633896843</v>
      </c>
      <c r="U3427">
        <v>4.2558177004489526</v>
      </c>
      <c r="V3427">
        <v>0.20544021673558341</v>
      </c>
      <c r="W3427">
        <v>3.220815671516462</v>
      </c>
      <c r="X3427">
        <v>0.27756457011619101</v>
      </c>
      <c r="Z3427" t="s">
        <v>392</v>
      </c>
      <c r="AA3427">
        <v>114</v>
      </c>
      <c r="AB3427" t="s">
        <v>3818</v>
      </c>
      <c r="AC3427" t="str">
        <f>HYPERLINK("plots/3FT6Y578R04_015_S21P_20251218081014_M5358ACSC201811_RBGEUFRF04/dpll_52084/txpa_53224.png","plot")</f>
        <v>plot</v>
      </c>
    </row>
    <row r="3428" spans="1:29" hidden="1" x14ac:dyDescent="0.35">
      <c r="A3428" t="s">
        <v>49</v>
      </c>
      <c r="B3428">
        <v>52084</v>
      </c>
      <c r="C3428" t="s">
        <v>52</v>
      </c>
      <c r="D3428">
        <v>53225</v>
      </c>
      <c r="E3428" t="s">
        <v>100</v>
      </c>
      <c r="F3428">
        <v>12028</v>
      </c>
      <c r="G3428">
        <v>0.72828460130797723</v>
      </c>
      <c r="H3428">
        <v>0</v>
      </c>
      <c r="I3428">
        <v>0</v>
      </c>
      <c r="J3428">
        <v>0.64675149653794761</v>
      </c>
      <c r="K3428">
        <v>0</v>
      </c>
      <c r="L3428">
        <v>0</v>
      </c>
      <c r="M3428">
        <v>0.46617266879124408</v>
      </c>
      <c r="N3428">
        <v>0</v>
      </c>
      <c r="O3428">
        <v>0</v>
      </c>
      <c r="P3428">
        <v>0.53039846050231931</v>
      </c>
      <c r="Q3428">
        <v>0.9708209714907915</v>
      </c>
      <c r="R3428">
        <v>-0.9034926317205656</v>
      </c>
      <c r="S3428">
        <v>0.18765934157295719</v>
      </c>
      <c r="T3428">
        <v>0.14943767317332021</v>
      </c>
      <c r="U3428">
        <v>4.2558177004489526</v>
      </c>
      <c r="V3428">
        <v>0.20544021673558341</v>
      </c>
      <c r="W3428">
        <v>3.2281444427169932</v>
      </c>
      <c r="X3428">
        <v>0.27385677307514072</v>
      </c>
      <c r="Z3428" t="s">
        <v>392</v>
      </c>
      <c r="AA3428">
        <v>114</v>
      </c>
      <c r="AB3428" t="s">
        <v>3819</v>
      </c>
      <c r="AC3428" t="str">
        <f>HYPERLINK("plots/3FT6Y578R04_015_S21P_20251218081014_M5358ACSC201811_RBGEUFRF04/dpll_52084/txpa_53225.png","plot")</f>
        <v>plot</v>
      </c>
    </row>
    <row r="3429" spans="1:29" hidden="1" x14ac:dyDescent="0.35">
      <c r="A3429" t="s">
        <v>49</v>
      </c>
      <c r="B3429">
        <v>52084</v>
      </c>
      <c r="C3429" t="s">
        <v>52</v>
      </c>
      <c r="D3429">
        <v>53226</v>
      </c>
      <c r="E3429" t="s">
        <v>101</v>
      </c>
      <c r="F3429">
        <v>12027</v>
      </c>
      <c r="G3429">
        <v>0.72065544062333475</v>
      </c>
      <c r="H3429">
        <v>0</v>
      </c>
      <c r="I3429">
        <v>0</v>
      </c>
      <c r="J3429">
        <v>0.63926513009195862</v>
      </c>
      <c r="K3429">
        <v>0</v>
      </c>
      <c r="L3429">
        <v>0</v>
      </c>
      <c r="M3429">
        <v>0.46041662537660238</v>
      </c>
      <c r="N3429">
        <v>0</v>
      </c>
      <c r="O3429">
        <v>0</v>
      </c>
      <c r="P3429">
        <v>0.51934426410001278</v>
      </c>
      <c r="Q3429">
        <v>0.96316426043750469</v>
      </c>
      <c r="R3429">
        <v>-0.91597652697550513</v>
      </c>
      <c r="S3429">
        <v>0.19034608145122189</v>
      </c>
      <c r="T3429">
        <v>0.15044837766485289</v>
      </c>
      <c r="U3429">
        <v>4.2558401814251274</v>
      </c>
      <c r="V3429">
        <v>0.20543396214013371</v>
      </c>
      <c r="W3429">
        <v>3.1830966339070428</v>
      </c>
      <c r="X3429">
        <v>0.27456484619376842</v>
      </c>
      <c r="Z3429" t="s">
        <v>392</v>
      </c>
      <c r="AA3429">
        <v>114</v>
      </c>
      <c r="AB3429" t="s">
        <v>3820</v>
      </c>
      <c r="AC3429" t="str">
        <f>HYPERLINK("plots/3FT6Y578R04_015_S21P_20251218081014_M5358ACSC201811_RBGEUFRF04/dpll_52084/txpa_53226.png","plot")</f>
        <v>plot</v>
      </c>
    </row>
    <row r="3430" spans="1:29" hidden="1" x14ac:dyDescent="0.35">
      <c r="A3430" t="s">
        <v>49</v>
      </c>
      <c r="B3430">
        <v>52084</v>
      </c>
      <c r="C3430" t="s">
        <v>52</v>
      </c>
      <c r="D3430">
        <v>53227</v>
      </c>
      <c r="E3430" t="s">
        <v>102</v>
      </c>
      <c r="F3430">
        <v>12028</v>
      </c>
      <c r="G3430">
        <v>0.73600603433666745</v>
      </c>
      <c r="H3430">
        <v>0</v>
      </c>
      <c r="I3430">
        <v>0</v>
      </c>
      <c r="J3430">
        <v>0.65593637873850608</v>
      </c>
      <c r="K3430">
        <v>0</v>
      </c>
      <c r="L3430">
        <v>0</v>
      </c>
      <c r="M3430">
        <v>0.47251645008935789</v>
      </c>
      <c r="N3430">
        <v>0</v>
      </c>
      <c r="O3430">
        <v>0</v>
      </c>
      <c r="P3430">
        <v>0.54170488257998772</v>
      </c>
      <c r="Q3430">
        <v>1.031554912849816</v>
      </c>
      <c r="R3430">
        <v>1.237324750707145</v>
      </c>
      <c r="S3430">
        <v>0.19491757618476779</v>
      </c>
      <c r="T3430">
        <v>0.15333020319447899</v>
      </c>
      <c r="U3430">
        <v>4.2558177004489526</v>
      </c>
      <c r="V3430">
        <v>0.20544021673558341</v>
      </c>
      <c r="W3430">
        <v>5.6274344077984706</v>
      </c>
      <c r="X3430">
        <v>0.28793631435579159</v>
      </c>
      <c r="Z3430" t="s">
        <v>392</v>
      </c>
      <c r="AA3430">
        <v>114</v>
      </c>
      <c r="AB3430" t="s">
        <v>3821</v>
      </c>
      <c r="AC3430" t="str">
        <f>HYPERLINK("plots/3FT6Y578R04_015_S21P_20251218081014_M5358ACSC201811_RBGEUFRF04/dpll_52084/txpa_53227.png","plot")</f>
        <v>plot</v>
      </c>
    </row>
    <row r="3431" spans="1:29" hidden="1" x14ac:dyDescent="0.35">
      <c r="A3431" t="s">
        <v>49</v>
      </c>
      <c r="B3431">
        <v>52084</v>
      </c>
      <c r="C3431" t="s">
        <v>52</v>
      </c>
      <c r="D3431">
        <v>53228</v>
      </c>
      <c r="E3431" t="s">
        <v>103</v>
      </c>
      <c r="F3431">
        <v>12028</v>
      </c>
      <c r="G3431">
        <v>0.75620748052698816</v>
      </c>
      <c r="H3431">
        <v>0</v>
      </c>
      <c r="I3431">
        <v>0</v>
      </c>
      <c r="J3431">
        <v>0.67295413637540269</v>
      </c>
      <c r="K3431">
        <v>0</v>
      </c>
      <c r="L3431">
        <v>0</v>
      </c>
      <c r="M3431">
        <v>0.48946109394458631</v>
      </c>
      <c r="N3431">
        <v>0</v>
      </c>
      <c r="O3431">
        <v>0</v>
      </c>
      <c r="P3431">
        <v>0.57184975360497514</v>
      </c>
      <c r="Q3431">
        <v>1.070367393296797</v>
      </c>
      <c r="R3431">
        <v>1.106413448581187</v>
      </c>
      <c r="S3431">
        <v>0.19026434527797609</v>
      </c>
      <c r="T3431">
        <v>0.15073478922557079</v>
      </c>
      <c r="U3431">
        <v>4.2558177004489526</v>
      </c>
      <c r="V3431">
        <v>0.20544021673558341</v>
      </c>
      <c r="W3431">
        <v>5.6617019469570993</v>
      </c>
      <c r="X3431">
        <v>0.29078859298291171</v>
      </c>
      <c r="Z3431" t="s">
        <v>392</v>
      </c>
      <c r="AA3431">
        <v>114</v>
      </c>
      <c r="AB3431" t="s">
        <v>3822</v>
      </c>
      <c r="AC3431" t="str">
        <f>HYPERLINK("plots/3FT6Y578R04_015_S21P_20251218081014_M5358ACSC201811_RBGEUFRF04/dpll_52084/txpa_53228.png","plot")</f>
        <v>plot</v>
      </c>
    </row>
    <row r="3432" spans="1:29" hidden="1" x14ac:dyDescent="0.35">
      <c r="A3432" t="s">
        <v>49</v>
      </c>
      <c r="B3432">
        <v>52084</v>
      </c>
      <c r="C3432" t="s">
        <v>52</v>
      </c>
      <c r="D3432">
        <v>53229</v>
      </c>
      <c r="E3432" t="s">
        <v>104</v>
      </c>
      <c r="F3432">
        <v>12028</v>
      </c>
      <c r="G3432">
        <v>0.74526955422937169</v>
      </c>
      <c r="H3432">
        <v>0</v>
      </c>
      <c r="I3432">
        <v>0</v>
      </c>
      <c r="J3432">
        <v>0.65998978744250958</v>
      </c>
      <c r="K3432">
        <v>0</v>
      </c>
      <c r="L3432">
        <v>0</v>
      </c>
      <c r="M3432">
        <v>0.47734895422560802</v>
      </c>
      <c r="N3432">
        <v>0</v>
      </c>
      <c r="O3432">
        <v>0</v>
      </c>
      <c r="P3432">
        <v>0.55542670846124642</v>
      </c>
      <c r="Q3432">
        <v>1.0314795733411011</v>
      </c>
      <c r="R3432">
        <v>1.289725199597302</v>
      </c>
      <c r="S3432">
        <v>0.18957730564659361</v>
      </c>
      <c r="T3432">
        <v>0.14987523675444109</v>
      </c>
      <c r="U3432">
        <v>4.2558177004489526</v>
      </c>
      <c r="V3432">
        <v>0.20544021673558341</v>
      </c>
      <c r="W3432">
        <v>5.679514225473894</v>
      </c>
      <c r="X3432">
        <v>0.28433656775989041</v>
      </c>
      <c r="Z3432" t="s">
        <v>392</v>
      </c>
      <c r="AA3432">
        <v>114</v>
      </c>
      <c r="AB3432" t="s">
        <v>3823</v>
      </c>
      <c r="AC3432" t="str">
        <f>HYPERLINK("plots/3FT6Y578R04_015_S21P_20251218081014_M5358ACSC201811_RBGEUFRF04/dpll_52084/txpa_53229.png","plot")</f>
        <v>plot</v>
      </c>
    </row>
    <row r="3433" spans="1:29" hidden="1" x14ac:dyDescent="0.35">
      <c r="A3433" t="s">
        <v>49</v>
      </c>
      <c r="B3433">
        <v>52084</v>
      </c>
      <c r="C3433" t="s">
        <v>52</v>
      </c>
      <c r="D3433">
        <v>53230</v>
      </c>
      <c r="E3433" t="s">
        <v>105</v>
      </c>
      <c r="F3433">
        <v>12027</v>
      </c>
      <c r="G3433">
        <v>0.76038886568791064</v>
      </c>
      <c r="H3433">
        <v>0</v>
      </c>
      <c r="I3433">
        <v>0</v>
      </c>
      <c r="J3433">
        <v>0.673366682906541</v>
      </c>
      <c r="K3433">
        <v>0</v>
      </c>
      <c r="L3433">
        <v>0</v>
      </c>
      <c r="M3433">
        <v>0.48998437735834888</v>
      </c>
      <c r="N3433">
        <v>0</v>
      </c>
      <c r="O3433">
        <v>0</v>
      </c>
      <c r="P3433">
        <v>0.57819122706214743</v>
      </c>
      <c r="Q3433">
        <v>1.067866340805685</v>
      </c>
      <c r="R3433">
        <v>1.138083371522987</v>
      </c>
      <c r="S3433">
        <v>0.18737916857186321</v>
      </c>
      <c r="T3433">
        <v>0.14842335338489579</v>
      </c>
      <c r="U3433">
        <v>4.2558247893905383</v>
      </c>
      <c r="V3433">
        <v>0.20544728689892131</v>
      </c>
      <c r="W3433">
        <v>5.6827354164795878</v>
      </c>
      <c r="X3433">
        <v>0.28852374408550591</v>
      </c>
      <c r="Z3433" t="s">
        <v>392</v>
      </c>
      <c r="AA3433">
        <v>114</v>
      </c>
      <c r="AB3433" t="s">
        <v>3824</v>
      </c>
      <c r="AC3433" t="str">
        <f>HYPERLINK("plots/3FT6Y578R04_015_S21P_20251218081014_M5358ACSC201811_RBGEUFRF04/dpll_52084/txpa_53230.png","plot")</f>
        <v>plot</v>
      </c>
    </row>
    <row r="3434" spans="1:29" hidden="1" x14ac:dyDescent="0.35">
      <c r="A3434" t="s">
        <v>49</v>
      </c>
      <c r="B3434">
        <v>52084</v>
      </c>
      <c r="C3434" t="s">
        <v>52</v>
      </c>
      <c r="D3434">
        <v>53231</v>
      </c>
      <c r="E3434" t="s">
        <v>106</v>
      </c>
      <c r="F3434">
        <v>12027</v>
      </c>
      <c r="G3434">
        <v>0.76112161926699851</v>
      </c>
      <c r="H3434">
        <v>0</v>
      </c>
      <c r="I3434">
        <v>0</v>
      </c>
      <c r="J3434">
        <v>0.67007878276588939</v>
      </c>
      <c r="K3434">
        <v>0</v>
      </c>
      <c r="L3434">
        <v>0</v>
      </c>
      <c r="M3434">
        <v>0.48554249810517919</v>
      </c>
      <c r="N3434">
        <v>0</v>
      </c>
      <c r="O3434">
        <v>0</v>
      </c>
      <c r="P3434">
        <v>0.57930611931561782</v>
      </c>
      <c r="Q3434">
        <v>1.0638672734922741</v>
      </c>
      <c r="R3434">
        <v>1.1423394274041969</v>
      </c>
      <c r="S3434">
        <v>0.18623512510382639</v>
      </c>
      <c r="T3434">
        <v>0.14803552947096049</v>
      </c>
      <c r="U3434">
        <v>4.2557921641307059</v>
      </c>
      <c r="V3434">
        <v>0.20542966688110781</v>
      </c>
      <c r="W3434">
        <v>5.669937433607716</v>
      </c>
      <c r="X3434">
        <v>0.28714188911058097</v>
      </c>
      <c r="Z3434" t="s">
        <v>392</v>
      </c>
      <c r="AA3434">
        <v>114</v>
      </c>
      <c r="AB3434" t="s">
        <v>3825</v>
      </c>
      <c r="AC3434" t="str">
        <f>HYPERLINK("plots/3FT6Y578R04_015_S21P_20251218081014_M5358ACSC201811_RBGEUFRF04/dpll_52084/txpa_53231.png","plot")</f>
        <v>plot</v>
      </c>
    </row>
    <row r="3435" spans="1:29" hidden="1" x14ac:dyDescent="0.35">
      <c r="A3435" t="s">
        <v>49</v>
      </c>
      <c r="B3435">
        <v>52084</v>
      </c>
      <c r="C3435" t="s">
        <v>52</v>
      </c>
      <c r="D3435">
        <v>53232</v>
      </c>
      <c r="E3435" t="s">
        <v>107</v>
      </c>
      <c r="F3435">
        <v>12027</v>
      </c>
      <c r="G3435">
        <v>0.76611837557781093</v>
      </c>
      <c r="H3435">
        <v>0</v>
      </c>
      <c r="I3435">
        <v>0</v>
      </c>
      <c r="J3435">
        <v>0.68583301532209895</v>
      </c>
      <c r="K3435">
        <v>0</v>
      </c>
      <c r="L3435">
        <v>0</v>
      </c>
      <c r="M3435">
        <v>0.50012767315851214</v>
      </c>
      <c r="N3435">
        <v>0</v>
      </c>
      <c r="O3435">
        <v>0</v>
      </c>
      <c r="P3435">
        <v>0.5869373653979838</v>
      </c>
      <c r="Q3435">
        <v>1.079890785052303</v>
      </c>
      <c r="R3435">
        <v>1.081676082674663</v>
      </c>
      <c r="S3435">
        <v>0.18609017668963371</v>
      </c>
      <c r="T3435">
        <v>0.14778517429895799</v>
      </c>
      <c r="U3435">
        <v>4.2557881821734433</v>
      </c>
      <c r="V3435">
        <v>0.20542324838451659</v>
      </c>
      <c r="W3435">
        <v>5.6774625237382548</v>
      </c>
      <c r="X3435">
        <v>0.28955665343314713</v>
      </c>
      <c r="Z3435" t="s">
        <v>392</v>
      </c>
      <c r="AA3435">
        <v>114</v>
      </c>
      <c r="AB3435" t="s">
        <v>3826</v>
      </c>
      <c r="AC3435" t="str">
        <f>HYPERLINK("plots/3FT6Y578R04_015_S21P_20251218081014_M5358ACSC201811_RBGEUFRF04/dpll_52084/txpa_53232.png","plot")</f>
        <v>plot</v>
      </c>
    </row>
    <row r="3436" spans="1:29" hidden="1" x14ac:dyDescent="0.35">
      <c r="A3436" t="s">
        <v>49</v>
      </c>
      <c r="B3436">
        <v>52084</v>
      </c>
      <c r="C3436" t="s">
        <v>52</v>
      </c>
      <c r="D3436">
        <v>53233</v>
      </c>
      <c r="E3436" t="s">
        <v>108</v>
      </c>
      <c r="F3436">
        <v>12028</v>
      </c>
      <c r="G3436">
        <v>0.76232677792237935</v>
      </c>
      <c r="H3436">
        <v>0</v>
      </c>
      <c r="I3436">
        <v>0</v>
      </c>
      <c r="J3436">
        <v>0.67722687148921756</v>
      </c>
      <c r="K3436">
        <v>0</v>
      </c>
      <c r="L3436">
        <v>0</v>
      </c>
      <c r="M3436">
        <v>0.49288158433745238</v>
      </c>
      <c r="N3436">
        <v>0</v>
      </c>
      <c r="O3436">
        <v>0</v>
      </c>
      <c r="P3436">
        <v>0.58114211633751667</v>
      </c>
      <c r="Q3436">
        <v>1.0618230052641431</v>
      </c>
      <c r="R3436">
        <v>1.165669121508164</v>
      </c>
      <c r="S3436">
        <v>0.1851875186255178</v>
      </c>
      <c r="T3436">
        <v>0.14727698543833051</v>
      </c>
      <c r="U3436">
        <v>4.2558177004489526</v>
      </c>
      <c r="V3436">
        <v>0.20544021673558341</v>
      </c>
      <c r="W3436">
        <v>5.6845942620552048</v>
      </c>
      <c r="X3436">
        <v>0.28615175887013827</v>
      </c>
      <c r="Z3436" t="s">
        <v>392</v>
      </c>
      <c r="AA3436">
        <v>114</v>
      </c>
      <c r="AB3436" t="s">
        <v>3827</v>
      </c>
      <c r="AC3436" t="str">
        <f>HYPERLINK("plots/3FT6Y578R04_015_S21P_20251218081014_M5358ACSC201811_RBGEUFRF04/dpll_52084/txpa_53233.png","plot")</f>
        <v>plot</v>
      </c>
    </row>
    <row r="3437" spans="1:29" hidden="1" x14ac:dyDescent="0.35">
      <c r="A3437" t="s">
        <v>49</v>
      </c>
      <c r="B3437">
        <v>52084</v>
      </c>
      <c r="C3437" t="s">
        <v>52</v>
      </c>
      <c r="D3437">
        <v>53234</v>
      </c>
      <c r="E3437" t="s">
        <v>109</v>
      </c>
      <c r="F3437">
        <v>12027</v>
      </c>
      <c r="G3437">
        <v>0.75619990688419225</v>
      </c>
      <c r="H3437">
        <v>0</v>
      </c>
      <c r="I3437">
        <v>0</v>
      </c>
      <c r="J3437">
        <v>0.67100138152732691</v>
      </c>
      <c r="K3437">
        <v>0</v>
      </c>
      <c r="L3437">
        <v>0</v>
      </c>
      <c r="M3437">
        <v>0.48792506898778942</v>
      </c>
      <c r="N3437">
        <v>0</v>
      </c>
      <c r="O3437">
        <v>0</v>
      </c>
      <c r="P3437">
        <v>0.57183829917166107</v>
      </c>
      <c r="Q3437">
        <v>1.055284064556113</v>
      </c>
      <c r="R3437">
        <v>1.1509570231283941</v>
      </c>
      <c r="S3437">
        <v>0.18758186765913851</v>
      </c>
      <c r="T3437">
        <v>0.1481806249628638</v>
      </c>
      <c r="U3437">
        <v>4.2558401814251274</v>
      </c>
      <c r="V3437">
        <v>0.20543396214013371</v>
      </c>
      <c r="W3437">
        <v>5.6420773478839266</v>
      </c>
      <c r="X3437">
        <v>0.28668502150226721</v>
      </c>
      <c r="Z3437" t="s">
        <v>392</v>
      </c>
      <c r="AA3437">
        <v>114</v>
      </c>
      <c r="AB3437" t="s">
        <v>3828</v>
      </c>
      <c r="AC3437" t="str">
        <f>HYPERLINK("plots/3FT6Y578R04_015_S21P_20251218081014_M5358ACSC201811_RBGEUFRF04/dpll_52084/txpa_53234.png","plot")</f>
        <v>plot</v>
      </c>
    </row>
    <row r="3438" spans="1:29" hidden="1" x14ac:dyDescent="0.35">
      <c r="A3438" t="s">
        <v>49</v>
      </c>
      <c r="B3438">
        <v>52084</v>
      </c>
      <c r="C3438" t="s">
        <v>52</v>
      </c>
      <c r="D3438">
        <v>53235</v>
      </c>
      <c r="E3438" t="s">
        <v>110</v>
      </c>
      <c r="F3438">
        <v>12028</v>
      </c>
      <c r="G3438">
        <v>0.74947784898736802</v>
      </c>
      <c r="H3438">
        <v>0</v>
      </c>
      <c r="I3438">
        <v>0</v>
      </c>
      <c r="J3438">
        <v>0.66626795222739266</v>
      </c>
      <c r="K3438">
        <v>0</v>
      </c>
      <c r="L3438">
        <v>0</v>
      </c>
      <c r="M3438">
        <v>0.48142094577335087</v>
      </c>
      <c r="N3438">
        <v>0</v>
      </c>
      <c r="O3438">
        <v>0</v>
      </c>
      <c r="P3438">
        <v>0.56171704612273199</v>
      </c>
      <c r="Q3438">
        <v>1.0781557048710619</v>
      </c>
      <c r="R3438">
        <v>2.130576082700613</v>
      </c>
      <c r="S3438">
        <v>0.19564438307109519</v>
      </c>
      <c r="T3438">
        <v>0.1535621691138882</v>
      </c>
      <c r="U3438">
        <v>4.2558177004489526</v>
      </c>
      <c r="V3438">
        <v>0.20544021673558341</v>
      </c>
      <c r="W3438">
        <v>6.7190102153308953</v>
      </c>
      <c r="X3438">
        <v>0.29553447374419989</v>
      </c>
      <c r="Z3438" t="s">
        <v>392</v>
      </c>
      <c r="AA3438">
        <v>114</v>
      </c>
      <c r="AB3438" t="s">
        <v>3829</v>
      </c>
      <c r="AC3438" t="str">
        <f>HYPERLINK("plots/3FT6Y578R04_015_S21P_20251218081014_M5358ACSC201811_RBGEUFRF04/dpll_52084/txpa_53235.png","plot")</f>
        <v>plot</v>
      </c>
    </row>
    <row r="3439" spans="1:29" hidden="1" x14ac:dyDescent="0.35">
      <c r="A3439" t="s">
        <v>49</v>
      </c>
      <c r="B3439">
        <v>52084</v>
      </c>
      <c r="C3439" t="s">
        <v>52</v>
      </c>
      <c r="D3439">
        <v>53236</v>
      </c>
      <c r="E3439" t="s">
        <v>111</v>
      </c>
      <c r="F3439">
        <v>12028</v>
      </c>
      <c r="G3439">
        <v>0.76879301814698098</v>
      </c>
      <c r="H3439">
        <v>0</v>
      </c>
      <c r="I3439">
        <v>0</v>
      </c>
      <c r="J3439">
        <v>0.68271715949755174</v>
      </c>
      <c r="K3439">
        <v>0</v>
      </c>
      <c r="L3439">
        <v>0</v>
      </c>
      <c r="M3439">
        <v>0.49805815899054978</v>
      </c>
      <c r="N3439">
        <v>0</v>
      </c>
      <c r="O3439">
        <v>0</v>
      </c>
      <c r="P3439">
        <v>0.59104270475154419</v>
      </c>
      <c r="Q3439">
        <v>1.117124414377908</v>
      </c>
      <c r="R3439">
        <v>1.9985558044783149</v>
      </c>
      <c r="S3439">
        <v>0.1908967360613866</v>
      </c>
      <c r="T3439">
        <v>0.15102840483341759</v>
      </c>
      <c r="U3439">
        <v>4.2558177004489526</v>
      </c>
      <c r="V3439">
        <v>0.20544021673558341</v>
      </c>
      <c r="W3439">
        <v>6.7528336607914872</v>
      </c>
      <c r="X3439">
        <v>0.29852284866423168</v>
      </c>
      <c r="Z3439" t="s">
        <v>392</v>
      </c>
      <c r="AA3439">
        <v>114</v>
      </c>
      <c r="AB3439" t="s">
        <v>3830</v>
      </c>
      <c r="AC3439" t="str">
        <f>HYPERLINK("plots/3FT6Y578R04_015_S21P_20251218081014_M5358ACSC201811_RBGEUFRF04/dpll_52084/txpa_53236.png","plot")</f>
        <v>plot</v>
      </c>
    </row>
    <row r="3440" spans="1:29" hidden="1" x14ac:dyDescent="0.35">
      <c r="A3440" t="s">
        <v>49</v>
      </c>
      <c r="B3440">
        <v>52084</v>
      </c>
      <c r="C3440" t="s">
        <v>52</v>
      </c>
      <c r="D3440">
        <v>53237</v>
      </c>
      <c r="E3440" t="s">
        <v>112</v>
      </c>
      <c r="F3440">
        <v>12028</v>
      </c>
      <c r="G3440">
        <v>0.75878423093222491</v>
      </c>
      <c r="H3440">
        <v>0</v>
      </c>
      <c r="I3440">
        <v>0</v>
      </c>
      <c r="J3440">
        <v>0.67010778045565034</v>
      </c>
      <c r="K3440">
        <v>0</v>
      </c>
      <c r="L3440">
        <v>0</v>
      </c>
      <c r="M3440">
        <v>0.48614274976461491</v>
      </c>
      <c r="N3440">
        <v>0</v>
      </c>
      <c r="O3440">
        <v>0</v>
      </c>
      <c r="P3440">
        <v>0.57575350911140799</v>
      </c>
      <c r="Q3440">
        <v>1.0784344614721151</v>
      </c>
      <c r="R3440">
        <v>2.181256876368197</v>
      </c>
      <c r="S3440">
        <v>0.19017437614855609</v>
      </c>
      <c r="T3440">
        <v>0.15017855729088139</v>
      </c>
      <c r="U3440">
        <v>4.2558177004489526</v>
      </c>
      <c r="V3440">
        <v>0.20544021673558341</v>
      </c>
      <c r="W3440">
        <v>6.7708773462753573</v>
      </c>
      <c r="X3440">
        <v>0.2919852580855003</v>
      </c>
      <c r="Z3440" t="s">
        <v>392</v>
      </c>
      <c r="AA3440">
        <v>114</v>
      </c>
      <c r="AB3440" t="s">
        <v>3831</v>
      </c>
      <c r="AC3440" t="str">
        <f>HYPERLINK("plots/3FT6Y578R04_015_S21P_20251218081014_M5358ACSC201811_RBGEUFRF04/dpll_52084/txpa_53237.png","plot")</f>
        <v>plot</v>
      </c>
    </row>
    <row r="3441" spans="1:29" hidden="1" x14ac:dyDescent="0.35">
      <c r="A3441" t="s">
        <v>49</v>
      </c>
      <c r="B3441">
        <v>52084</v>
      </c>
      <c r="C3441" t="s">
        <v>52</v>
      </c>
      <c r="D3441">
        <v>53238</v>
      </c>
      <c r="E3441" t="s">
        <v>113</v>
      </c>
      <c r="F3441">
        <v>12027</v>
      </c>
      <c r="G3441">
        <v>0.77303923464266056</v>
      </c>
      <c r="H3441">
        <v>0</v>
      </c>
      <c r="I3441">
        <v>0</v>
      </c>
      <c r="J3441">
        <v>0.68337717216323235</v>
      </c>
      <c r="K3441">
        <v>0</v>
      </c>
      <c r="L3441">
        <v>0</v>
      </c>
      <c r="M3441">
        <v>0.49881668079397912</v>
      </c>
      <c r="N3441">
        <v>0</v>
      </c>
      <c r="O3441">
        <v>0</v>
      </c>
      <c r="P3441">
        <v>0.59758965829691035</v>
      </c>
      <c r="Q3441">
        <v>1.115137864547566</v>
      </c>
      <c r="R3441">
        <v>2.0275346669761358</v>
      </c>
      <c r="S3441">
        <v>0.18799398214613569</v>
      </c>
      <c r="T3441">
        <v>0.14880740994669309</v>
      </c>
      <c r="U3441">
        <v>4.2558247893905383</v>
      </c>
      <c r="V3441">
        <v>0.20544728689892131</v>
      </c>
      <c r="W3441">
        <v>6.7733660345056963</v>
      </c>
      <c r="X3441">
        <v>0.29636535705132389</v>
      </c>
      <c r="Z3441" t="s">
        <v>392</v>
      </c>
      <c r="AA3441">
        <v>114</v>
      </c>
      <c r="AB3441" t="s">
        <v>3832</v>
      </c>
      <c r="AC3441" t="str">
        <f>HYPERLINK("plots/3FT6Y578R04_015_S21P_20251218081014_M5358ACSC201811_RBGEUFRF04/dpll_52084/txpa_53238.png","plot")</f>
        <v>plot</v>
      </c>
    </row>
    <row r="3442" spans="1:29" hidden="1" x14ac:dyDescent="0.35">
      <c r="A3442" t="s">
        <v>49</v>
      </c>
      <c r="B3442">
        <v>52084</v>
      </c>
      <c r="C3442" t="s">
        <v>52</v>
      </c>
      <c r="D3442">
        <v>53239</v>
      </c>
      <c r="E3442" t="s">
        <v>114</v>
      </c>
      <c r="F3442">
        <v>12027</v>
      </c>
      <c r="G3442">
        <v>0.77395185766897667</v>
      </c>
      <c r="H3442">
        <v>0</v>
      </c>
      <c r="I3442">
        <v>0</v>
      </c>
      <c r="J3442">
        <v>0.68011336013883494</v>
      </c>
      <c r="K3442">
        <v>0</v>
      </c>
      <c r="L3442">
        <v>0</v>
      </c>
      <c r="M3442">
        <v>0.49435599245331141</v>
      </c>
      <c r="N3442">
        <v>0</v>
      </c>
      <c r="O3442">
        <v>0</v>
      </c>
      <c r="P3442">
        <v>0.59900147798925996</v>
      </c>
      <c r="Q3442">
        <v>1.1107191022288609</v>
      </c>
      <c r="R3442">
        <v>2.0326853382897152</v>
      </c>
      <c r="S3442">
        <v>0.18668386603533429</v>
      </c>
      <c r="T3442">
        <v>0.14826929908553729</v>
      </c>
      <c r="U3442">
        <v>4.2557921641307059</v>
      </c>
      <c r="V3442">
        <v>0.20542966688110781</v>
      </c>
      <c r="W3442">
        <v>6.7596749901055952</v>
      </c>
      <c r="X3442">
        <v>0.29481763356261581</v>
      </c>
      <c r="Z3442" t="s">
        <v>392</v>
      </c>
      <c r="AA3442">
        <v>114</v>
      </c>
      <c r="AB3442" t="s">
        <v>3833</v>
      </c>
      <c r="AC3442" t="str">
        <f>HYPERLINK("plots/3FT6Y578R04_015_S21P_20251218081014_M5358ACSC201811_RBGEUFRF04/dpll_52084/txpa_53239.png","plot")</f>
        <v>plot</v>
      </c>
    </row>
    <row r="3443" spans="1:29" hidden="1" x14ac:dyDescent="0.35">
      <c r="A3443" t="s">
        <v>49</v>
      </c>
      <c r="B3443">
        <v>52084</v>
      </c>
      <c r="C3443" t="s">
        <v>52</v>
      </c>
      <c r="D3443">
        <v>53240</v>
      </c>
      <c r="E3443" t="s">
        <v>115</v>
      </c>
      <c r="F3443">
        <v>12027</v>
      </c>
      <c r="G3443">
        <v>0.77862282249555947</v>
      </c>
      <c r="H3443">
        <v>0</v>
      </c>
      <c r="I3443">
        <v>0</v>
      </c>
      <c r="J3443">
        <v>0.695446569829683</v>
      </c>
      <c r="K3443">
        <v>0</v>
      </c>
      <c r="L3443">
        <v>0</v>
      </c>
      <c r="M3443">
        <v>0.50879000751106762</v>
      </c>
      <c r="N3443">
        <v>0</v>
      </c>
      <c r="O3443">
        <v>0</v>
      </c>
      <c r="P3443">
        <v>0.60625349971095155</v>
      </c>
      <c r="Q3443">
        <v>1.126873667748779</v>
      </c>
      <c r="R3443">
        <v>1.9723847963483341</v>
      </c>
      <c r="S3443">
        <v>0.18654688066522659</v>
      </c>
      <c r="T3443">
        <v>0.1479560103975496</v>
      </c>
      <c r="U3443">
        <v>4.2557881821734433</v>
      </c>
      <c r="V3443">
        <v>0.20542324838451659</v>
      </c>
      <c r="W3443">
        <v>6.7681204343560326</v>
      </c>
      <c r="X3443">
        <v>0.29730190621178337</v>
      </c>
      <c r="Z3443" t="s">
        <v>392</v>
      </c>
      <c r="AA3443">
        <v>114</v>
      </c>
      <c r="AB3443" t="s">
        <v>3834</v>
      </c>
      <c r="AC3443" t="str">
        <f>HYPERLINK("plots/3FT6Y578R04_015_S21P_20251218081014_M5358ACSC201811_RBGEUFRF04/dpll_52084/txpa_53240.png","plot")</f>
        <v>plot</v>
      </c>
    </row>
    <row r="3444" spans="1:29" hidden="1" x14ac:dyDescent="0.35">
      <c r="A3444" t="s">
        <v>49</v>
      </c>
      <c r="B3444">
        <v>52084</v>
      </c>
      <c r="C3444" t="s">
        <v>52</v>
      </c>
      <c r="D3444">
        <v>53241</v>
      </c>
      <c r="E3444" t="s">
        <v>116</v>
      </c>
      <c r="F3444">
        <v>12028</v>
      </c>
      <c r="G3444">
        <v>0.77487019094703602</v>
      </c>
      <c r="H3444">
        <v>0</v>
      </c>
      <c r="I3444">
        <v>0</v>
      </c>
      <c r="J3444">
        <v>0.68671924708670706</v>
      </c>
      <c r="K3444">
        <v>0</v>
      </c>
      <c r="L3444">
        <v>0</v>
      </c>
      <c r="M3444">
        <v>0.50130368248709845</v>
      </c>
      <c r="N3444">
        <v>0</v>
      </c>
      <c r="O3444">
        <v>0</v>
      </c>
      <c r="P3444">
        <v>0.60042381281829604</v>
      </c>
      <c r="Q3444">
        <v>1.108724803143309</v>
      </c>
      <c r="R3444">
        <v>2.0565479158871871</v>
      </c>
      <c r="S3444">
        <v>0.18580697748308581</v>
      </c>
      <c r="T3444">
        <v>0.14762868942357529</v>
      </c>
      <c r="U3444">
        <v>4.2558177004489526</v>
      </c>
      <c r="V3444">
        <v>0.20544021673558341</v>
      </c>
      <c r="W3444">
        <v>6.77507855803126</v>
      </c>
      <c r="X3444">
        <v>0.29395460880937091</v>
      </c>
      <c r="Z3444" t="s">
        <v>392</v>
      </c>
      <c r="AA3444">
        <v>114</v>
      </c>
      <c r="AB3444" t="s">
        <v>3835</v>
      </c>
      <c r="AC3444" t="str">
        <f>HYPERLINK("plots/3FT6Y578R04_015_S21P_20251218081014_M5358ACSC201811_RBGEUFRF04/dpll_52084/txpa_53241.png","plot")</f>
        <v>plot</v>
      </c>
    </row>
    <row r="3445" spans="1:29" hidden="1" x14ac:dyDescent="0.35">
      <c r="A3445" t="s">
        <v>49</v>
      </c>
      <c r="B3445">
        <v>52084</v>
      </c>
      <c r="C3445" t="s">
        <v>52</v>
      </c>
      <c r="D3445">
        <v>53242</v>
      </c>
      <c r="E3445" t="s">
        <v>117</v>
      </c>
      <c r="F3445">
        <v>12027</v>
      </c>
      <c r="G3445">
        <v>0.76928089077028239</v>
      </c>
      <c r="H3445">
        <v>0</v>
      </c>
      <c r="I3445">
        <v>0</v>
      </c>
      <c r="J3445">
        <v>0.68095903153644499</v>
      </c>
      <c r="K3445">
        <v>0</v>
      </c>
      <c r="L3445">
        <v>0</v>
      </c>
      <c r="M3445">
        <v>0.49667740219532358</v>
      </c>
      <c r="N3445">
        <v>0</v>
      </c>
      <c r="O3445">
        <v>0</v>
      </c>
      <c r="P3445">
        <v>0.59179308890431914</v>
      </c>
      <c r="Q3445">
        <v>1.1018487626798179</v>
      </c>
      <c r="R3445">
        <v>2.0443307453875672</v>
      </c>
      <c r="S3445">
        <v>0.18798855385553301</v>
      </c>
      <c r="T3445">
        <v>0.14835179939712989</v>
      </c>
      <c r="U3445">
        <v>4.2558401814251274</v>
      </c>
      <c r="V3445">
        <v>0.20543396214013371</v>
      </c>
      <c r="W3445">
        <v>6.7336229834538948</v>
      </c>
      <c r="X3445">
        <v>0.29424513167078298</v>
      </c>
      <c r="Z3445" t="s">
        <v>392</v>
      </c>
      <c r="AA3445">
        <v>114</v>
      </c>
      <c r="AB3445" t="s">
        <v>3836</v>
      </c>
      <c r="AC3445" t="str">
        <f>HYPERLINK("plots/3FT6Y578R04_015_S21P_20251218081014_M5358ACSC201811_RBGEUFRF04/dpll_52084/txpa_53242.png","plot")</f>
        <v>plot</v>
      </c>
    </row>
    <row r="3446" spans="1:29" hidden="1" x14ac:dyDescent="0.35">
      <c r="A3446" t="s">
        <v>49</v>
      </c>
      <c r="B3446">
        <v>52084</v>
      </c>
      <c r="C3446" t="s">
        <v>52</v>
      </c>
      <c r="D3446">
        <v>53243</v>
      </c>
      <c r="E3446" t="s">
        <v>118</v>
      </c>
      <c r="F3446">
        <v>12028</v>
      </c>
      <c r="G3446">
        <v>0.76231979498811953</v>
      </c>
      <c r="H3446">
        <v>0</v>
      </c>
      <c r="I3446">
        <v>0</v>
      </c>
      <c r="J3446">
        <v>0.67572360315961788</v>
      </c>
      <c r="K3446">
        <v>0</v>
      </c>
      <c r="L3446">
        <v>0</v>
      </c>
      <c r="M3446">
        <v>0.48951664392967598</v>
      </c>
      <c r="N3446">
        <v>0</v>
      </c>
      <c r="O3446">
        <v>0</v>
      </c>
      <c r="P3446">
        <v>0.58113146983072861</v>
      </c>
      <c r="Q3446">
        <v>1.1328128517024889</v>
      </c>
      <c r="R3446">
        <v>2.9688939611361751</v>
      </c>
      <c r="S3446">
        <v>0.19757284198875491</v>
      </c>
      <c r="T3446">
        <v>0.15474988377478879</v>
      </c>
      <c r="U3446">
        <v>4.2558177004489526</v>
      </c>
      <c r="V3446">
        <v>0.20544021673558341</v>
      </c>
      <c r="W3446">
        <v>7.7899389467076823</v>
      </c>
      <c r="X3446">
        <v>0.30528568102870901</v>
      </c>
      <c r="Z3446" t="s">
        <v>392</v>
      </c>
      <c r="AA3446">
        <v>114</v>
      </c>
      <c r="AB3446" t="s">
        <v>3837</v>
      </c>
      <c r="AC3446" t="str">
        <f>HYPERLINK("plots/3FT6Y578R04_015_S21P_20251218081014_M5358ACSC201811_RBGEUFRF04/dpll_52084/txpa_53243.png","plot")</f>
        <v>plot</v>
      </c>
    </row>
    <row r="3447" spans="1:29" hidden="1" x14ac:dyDescent="0.35">
      <c r="A3447" t="s">
        <v>49</v>
      </c>
      <c r="B3447">
        <v>52084</v>
      </c>
      <c r="C3447" t="s">
        <v>52</v>
      </c>
      <c r="D3447">
        <v>53244</v>
      </c>
      <c r="E3447" t="s">
        <v>119</v>
      </c>
      <c r="F3447">
        <v>12028</v>
      </c>
      <c r="G3447">
        <v>0.78054509659688009</v>
      </c>
      <c r="H3447">
        <v>0</v>
      </c>
      <c r="I3447">
        <v>0</v>
      </c>
      <c r="J3447">
        <v>0.69155356895180353</v>
      </c>
      <c r="K3447">
        <v>0</v>
      </c>
      <c r="L3447">
        <v>0</v>
      </c>
      <c r="M3447">
        <v>0.50585793507254451</v>
      </c>
      <c r="N3447">
        <v>0</v>
      </c>
      <c r="O3447">
        <v>0</v>
      </c>
      <c r="P3447">
        <v>0.6092506478214329</v>
      </c>
      <c r="Q3447">
        <v>1.17199251923729</v>
      </c>
      <c r="R3447">
        <v>2.8355696675096089</v>
      </c>
      <c r="S3447">
        <v>0.19281613956553981</v>
      </c>
      <c r="T3447">
        <v>0.15235264378658581</v>
      </c>
      <c r="U3447">
        <v>4.2558177004489526</v>
      </c>
      <c r="V3447">
        <v>0.20544021673558341</v>
      </c>
      <c r="W3447">
        <v>7.8233561756734282</v>
      </c>
      <c r="X3447">
        <v>0.30846955315503272</v>
      </c>
      <c r="Z3447" t="s">
        <v>392</v>
      </c>
      <c r="AA3447">
        <v>114</v>
      </c>
      <c r="AB3447" t="s">
        <v>3838</v>
      </c>
      <c r="AC3447" t="str">
        <f>HYPERLINK("plots/3FT6Y578R04_015_S21P_20251218081014_M5358ACSC201811_RBGEUFRF04/dpll_52084/txpa_53244.png","plot")</f>
        <v>plot</v>
      </c>
    </row>
    <row r="3448" spans="1:29" hidden="1" x14ac:dyDescent="0.35">
      <c r="A3448" t="s">
        <v>49</v>
      </c>
      <c r="B3448">
        <v>52084</v>
      </c>
      <c r="C3448" t="s">
        <v>52</v>
      </c>
      <c r="D3448">
        <v>53245</v>
      </c>
      <c r="E3448" t="s">
        <v>120</v>
      </c>
      <c r="F3448">
        <v>12028</v>
      </c>
      <c r="G3448">
        <v>0.77144268461859966</v>
      </c>
      <c r="H3448">
        <v>0</v>
      </c>
      <c r="I3448">
        <v>0</v>
      </c>
      <c r="J3448">
        <v>0.6796434884771253</v>
      </c>
      <c r="K3448">
        <v>0</v>
      </c>
      <c r="L3448">
        <v>0</v>
      </c>
      <c r="M3448">
        <v>0.494431072254992</v>
      </c>
      <c r="N3448">
        <v>0</v>
      </c>
      <c r="O3448">
        <v>0</v>
      </c>
      <c r="P3448">
        <v>0.59512381565155226</v>
      </c>
      <c r="Q3448">
        <v>1.133281201952286</v>
      </c>
      <c r="R3448">
        <v>3.0186196652125741</v>
      </c>
      <c r="S3448">
        <v>0.1920271100701364</v>
      </c>
      <c r="T3448">
        <v>0.15137654658304109</v>
      </c>
      <c r="U3448">
        <v>4.2558177004489526</v>
      </c>
      <c r="V3448">
        <v>0.20544021673558341</v>
      </c>
      <c r="W3448">
        <v>7.8416578640671766</v>
      </c>
      <c r="X3448">
        <v>0.30180017309587542</v>
      </c>
      <c r="Z3448" t="s">
        <v>392</v>
      </c>
      <c r="AA3448">
        <v>114</v>
      </c>
      <c r="AB3448" t="s">
        <v>3839</v>
      </c>
      <c r="AC3448" t="str">
        <f>HYPERLINK("plots/3FT6Y578R04_015_S21P_20251218081014_M5358ACSC201811_RBGEUFRF04/dpll_52084/txpa_53245.png","plot")</f>
        <v>plot</v>
      </c>
    </row>
    <row r="3449" spans="1:29" hidden="1" x14ac:dyDescent="0.35">
      <c r="A3449" t="s">
        <v>49</v>
      </c>
      <c r="B3449">
        <v>52084</v>
      </c>
      <c r="C3449" t="s">
        <v>52</v>
      </c>
      <c r="D3449">
        <v>53246</v>
      </c>
      <c r="E3449" t="s">
        <v>121</v>
      </c>
      <c r="F3449">
        <v>12027</v>
      </c>
      <c r="G3449">
        <v>0.78482256316947108</v>
      </c>
      <c r="H3449">
        <v>0</v>
      </c>
      <c r="I3449">
        <v>0</v>
      </c>
      <c r="J3449">
        <v>0.69232514787837907</v>
      </c>
      <c r="K3449">
        <v>0</v>
      </c>
      <c r="L3449">
        <v>0</v>
      </c>
      <c r="M3449">
        <v>0.50668166292632411</v>
      </c>
      <c r="N3449">
        <v>0</v>
      </c>
      <c r="O3449">
        <v>0</v>
      </c>
      <c r="P3449">
        <v>0.61594645565989847</v>
      </c>
      <c r="Q3449">
        <v>1.16988766508757</v>
      </c>
      <c r="R3449">
        <v>2.8645836971329861</v>
      </c>
      <c r="S3449">
        <v>0.1897802109800216</v>
      </c>
      <c r="T3449">
        <v>0.15010992625039549</v>
      </c>
      <c r="U3449">
        <v>4.2558247893905383</v>
      </c>
      <c r="V3449">
        <v>0.20544728689892131</v>
      </c>
      <c r="W3449">
        <v>7.8434206230148833</v>
      </c>
      <c r="X3449">
        <v>0.30624788079245768</v>
      </c>
      <c r="Z3449" t="s">
        <v>392</v>
      </c>
      <c r="AA3449">
        <v>114</v>
      </c>
      <c r="AB3449" t="s">
        <v>3840</v>
      </c>
      <c r="AC3449" t="str">
        <f>HYPERLINK("plots/3FT6Y578R04_015_S21P_20251218081014_M5358ACSC201811_RBGEUFRF04/dpll_52084/txpa_53246.png","plot")</f>
        <v>plot</v>
      </c>
    </row>
    <row r="3450" spans="1:29" hidden="1" x14ac:dyDescent="0.35">
      <c r="A3450" t="s">
        <v>49</v>
      </c>
      <c r="B3450">
        <v>52084</v>
      </c>
      <c r="C3450" t="s">
        <v>52</v>
      </c>
      <c r="D3450">
        <v>53247</v>
      </c>
      <c r="E3450" t="s">
        <v>122</v>
      </c>
      <c r="F3450">
        <v>12027</v>
      </c>
      <c r="G3450">
        <v>0.78574278606202241</v>
      </c>
      <c r="H3450">
        <v>0</v>
      </c>
      <c r="I3450">
        <v>0</v>
      </c>
      <c r="J3450">
        <v>0.68884663814120384</v>
      </c>
      <c r="K3450">
        <v>0</v>
      </c>
      <c r="L3450">
        <v>0</v>
      </c>
      <c r="M3450">
        <v>0.50203034313418216</v>
      </c>
      <c r="N3450">
        <v>0</v>
      </c>
      <c r="O3450">
        <v>0</v>
      </c>
      <c r="P3450">
        <v>0.6173917258485091</v>
      </c>
      <c r="Q3450">
        <v>1.166326971096409</v>
      </c>
      <c r="R3450">
        <v>2.8655036107212308</v>
      </c>
      <c r="S3450">
        <v>0.1886089083041555</v>
      </c>
      <c r="T3450">
        <v>0.14962123645967279</v>
      </c>
      <c r="U3450">
        <v>4.2557921641307059</v>
      </c>
      <c r="V3450">
        <v>0.20542966688110781</v>
      </c>
      <c r="W3450">
        <v>7.8291487951276304</v>
      </c>
      <c r="X3450">
        <v>0.30493205333465739</v>
      </c>
      <c r="Z3450" t="s">
        <v>392</v>
      </c>
      <c r="AA3450">
        <v>114</v>
      </c>
      <c r="AB3450" t="s">
        <v>3841</v>
      </c>
      <c r="AC3450" t="str">
        <f>HYPERLINK("plots/3FT6Y578R04_015_S21P_20251218081014_M5358ACSC201811_RBGEUFRF04/dpll_52084/txpa_53247.png","plot")</f>
        <v>plot</v>
      </c>
    </row>
    <row r="3451" spans="1:29" hidden="1" x14ac:dyDescent="0.35">
      <c r="A3451" t="s">
        <v>49</v>
      </c>
      <c r="B3451">
        <v>52084</v>
      </c>
      <c r="C3451" t="s">
        <v>52</v>
      </c>
      <c r="D3451">
        <v>53248</v>
      </c>
      <c r="E3451" t="s">
        <v>123</v>
      </c>
      <c r="F3451">
        <v>12027</v>
      </c>
      <c r="G3451">
        <v>0.789990056794725</v>
      </c>
      <c r="H3451">
        <v>0</v>
      </c>
      <c r="I3451">
        <v>0</v>
      </c>
      <c r="J3451">
        <v>0.70361490746799549</v>
      </c>
      <c r="K3451">
        <v>0</v>
      </c>
      <c r="L3451">
        <v>0</v>
      </c>
      <c r="M3451">
        <v>0.51617243979813199</v>
      </c>
      <c r="N3451">
        <v>0</v>
      </c>
      <c r="O3451">
        <v>0</v>
      </c>
      <c r="P3451">
        <v>0.62408428983453279</v>
      </c>
      <c r="Q3451">
        <v>1.1815615195158991</v>
      </c>
      <c r="R3451">
        <v>2.8097982145934899</v>
      </c>
      <c r="S3451">
        <v>0.18836989181053429</v>
      </c>
      <c r="T3451">
        <v>0.14922748646394959</v>
      </c>
      <c r="U3451">
        <v>4.2557881821734433</v>
      </c>
      <c r="V3451">
        <v>0.20542324838451659</v>
      </c>
      <c r="W3451">
        <v>7.8382737658601487</v>
      </c>
      <c r="X3451">
        <v>0.3072446335462814</v>
      </c>
      <c r="Z3451" t="s">
        <v>392</v>
      </c>
      <c r="AA3451">
        <v>114</v>
      </c>
      <c r="AB3451" t="s">
        <v>3842</v>
      </c>
      <c r="AC3451" t="str">
        <f>HYPERLINK("plots/3FT6Y578R04_015_S21P_20251218081014_M5358ACSC201811_RBGEUFRF04/dpll_52084/txpa_53248.png","plot")</f>
        <v>plot</v>
      </c>
    </row>
    <row r="3452" spans="1:29" hidden="1" x14ac:dyDescent="0.35">
      <c r="A3452" t="s">
        <v>49</v>
      </c>
      <c r="B3452">
        <v>52084</v>
      </c>
      <c r="C3452" t="s">
        <v>52</v>
      </c>
      <c r="D3452">
        <v>53249</v>
      </c>
      <c r="E3452" t="s">
        <v>124</v>
      </c>
      <c r="F3452">
        <v>12028</v>
      </c>
      <c r="G3452">
        <v>0.78691903528856166</v>
      </c>
      <c r="H3452">
        <v>0</v>
      </c>
      <c r="I3452">
        <v>0</v>
      </c>
      <c r="J3452">
        <v>0.6952440764761646</v>
      </c>
      <c r="K3452">
        <v>0</v>
      </c>
      <c r="L3452">
        <v>0</v>
      </c>
      <c r="M3452">
        <v>0.50893448662070728</v>
      </c>
      <c r="N3452">
        <v>0</v>
      </c>
      <c r="O3452">
        <v>0</v>
      </c>
      <c r="P3452">
        <v>0.61924156809948061</v>
      </c>
      <c r="Q3452">
        <v>1.164291034918036</v>
      </c>
      <c r="R3452">
        <v>2.8905583823083569</v>
      </c>
      <c r="S3452">
        <v>0.18755285418496839</v>
      </c>
      <c r="T3452">
        <v>0.14881402211488809</v>
      </c>
      <c r="U3452">
        <v>4.2558177004489526</v>
      </c>
      <c r="V3452">
        <v>0.20544021673558341</v>
      </c>
      <c r="W3452">
        <v>7.8455687771865632</v>
      </c>
      <c r="X3452">
        <v>0.30396037181785401</v>
      </c>
      <c r="Z3452" t="s">
        <v>392</v>
      </c>
      <c r="AA3452">
        <v>114</v>
      </c>
      <c r="AB3452" t="s">
        <v>3843</v>
      </c>
      <c r="AC3452" t="str">
        <f>HYPERLINK("plots/3FT6Y578R04_015_S21P_20251218081014_M5358ACSC201811_RBGEUFRF04/dpll_52084/txpa_53249.png","plot")</f>
        <v>plot</v>
      </c>
    </row>
    <row r="3453" spans="1:29" hidden="1" x14ac:dyDescent="0.35">
      <c r="A3453" t="s">
        <v>49</v>
      </c>
      <c r="B3453">
        <v>52084</v>
      </c>
      <c r="C3453" t="s">
        <v>52</v>
      </c>
      <c r="D3453">
        <v>53250</v>
      </c>
      <c r="E3453" t="s">
        <v>125</v>
      </c>
      <c r="F3453">
        <v>12027</v>
      </c>
      <c r="G3453">
        <v>0.78110876860541656</v>
      </c>
      <c r="H3453">
        <v>0</v>
      </c>
      <c r="I3453">
        <v>0</v>
      </c>
      <c r="J3453">
        <v>0.68951556495094535</v>
      </c>
      <c r="K3453">
        <v>0</v>
      </c>
      <c r="L3453">
        <v>0</v>
      </c>
      <c r="M3453">
        <v>0.50421410753794926</v>
      </c>
      <c r="N3453">
        <v>0</v>
      </c>
      <c r="O3453">
        <v>0</v>
      </c>
      <c r="P3453">
        <v>0.61013090839227024</v>
      </c>
      <c r="Q3453">
        <v>1.15551660241709</v>
      </c>
      <c r="R3453">
        <v>2.8866367919604681</v>
      </c>
      <c r="S3453">
        <v>0.1897484628270478</v>
      </c>
      <c r="T3453">
        <v>0.14956877157936349</v>
      </c>
      <c r="U3453">
        <v>4.2558401814251274</v>
      </c>
      <c r="V3453">
        <v>0.20543396214013371</v>
      </c>
      <c r="W3453">
        <v>7.8043307788309626</v>
      </c>
      <c r="X3453">
        <v>0.30390435172948888</v>
      </c>
      <c r="Z3453" t="s">
        <v>392</v>
      </c>
      <c r="AA3453">
        <v>114</v>
      </c>
      <c r="AB3453" t="s">
        <v>3844</v>
      </c>
      <c r="AC3453" t="str">
        <f>HYPERLINK("plots/3FT6Y578R04_015_S21P_20251218081014_M5358ACSC201811_RBGEUFRF04/dpll_52084/txpa_53250.png","plot")</f>
        <v>plot</v>
      </c>
    </row>
    <row r="3454" spans="1:29" hidden="1" x14ac:dyDescent="0.35">
      <c r="A3454" t="s">
        <v>49</v>
      </c>
      <c r="B3454">
        <v>52084</v>
      </c>
      <c r="C3454" t="s">
        <v>52</v>
      </c>
      <c r="D3454">
        <v>53251</v>
      </c>
      <c r="E3454" t="s">
        <v>126</v>
      </c>
      <c r="F3454">
        <v>12028</v>
      </c>
      <c r="G3454">
        <v>0.77676370644543857</v>
      </c>
      <c r="H3454">
        <v>0</v>
      </c>
      <c r="I3454">
        <v>0</v>
      </c>
      <c r="J3454">
        <v>0.68573384737834597</v>
      </c>
      <c r="K3454">
        <v>0</v>
      </c>
      <c r="L3454">
        <v>0</v>
      </c>
      <c r="M3454">
        <v>0.4982212348235896</v>
      </c>
      <c r="N3454">
        <v>0</v>
      </c>
      <c r="O3454">
        <v>0</v>
      </c>
      <c r="P3454">
        <v>0.60336185565085543</v>
      </c>
      <c r="Q3454">
        <v>1.200478523098391</v>
      </c>
      <c r="R3454">
        <v>3.749901715142625</v>
      </c>
      <c r="S3454">
        <v>0.19995401018844849</v>
      </c>
      <c r="T3454">
        <v>0.15619075736432361</v>
      </c>
      <c r="U3454">
        <v>4.2558177004489526</v>
      </c>
      <c r="V3454">
        <v>0.20544021673558341</v>
      </c>
      <c r="W3454">
        <v>8.8589194627535743</v>
      </c>
      <c r="X3454">
        <v>0.31750526694963471</v>
      </c>
      <c r="Z3454" t="s">
        <v>392</v>
      </c>
      <c r="AA3454">
        <v>114</v>
      </c>
      <c r="AB3454" t="s">
        <v>3845</v>
      </c>
      <c r="AC3454" t="str">
        <f>HYPERLINK("plots/3FT6Y578R04_015_S21P_20251218081014_M5358ACSC201811_RBGEUFRF04/dpll_52084/txpa_53251.png","plot")</f>
        <v>plot</v>
      </c>
    </row>
    <row r="3455" spans="1:29" hidden="1" x14ac:dyDescent="0.35">
      <c r="A3455" t="s">
        <v>49</v>
      </c>
      <c r="B3455">
        <v>52084</v>
      </c>
      <c r="C3455" t="s">
        <v>52</v>
      </c>
      <c r="D3455">
        <v>53252</v>
      </c>
      <c r="E3455" t="s">
        <v>127</v>
      </c>
      <c r="F3455">
        <v>12028</v>
      </c>
      <c r="G3455">
        <v>0.79373335535274214</v>
      </c>
      <c r="H3455">
        <v>0</v>
      </c>
      <c r="I3455">
        <v>0</v>
      </c>
      <c r="J3455">
        <v>0.70074864436234174</v>
      </c>
      <c r="K3455">
        <v>0</v>
      </c>
      <c r="L3455">
        <v>0</v>
      </c>
      <c r="M3455">
        <v>0.51407556461549742</v>
      </c>
      <c r="N3455">
        <v>0</v>
      </c>
      <c r="O3455">
        <v>0</v>
      </c>
      <c r="P3455">
        <v>0.63001263939952246</v>
      </c>
      <c r="Q3455">
        <v>1.239918894747718</v>
      </c>
      <c r="R3455">
        <v>3.6142937248516658</v>
      </c>
      <c r="S3455">
        <v>0.19519985975235449</v>
      </c>
      <c r="T3455">
        <v>0.15398862585821729</v>
      </c>
      <c r="U3455">
        <v>4.2558177004489526</v>
      </c>
      <c r="V3455">
        <v>0.20544021673558341</v>
      </c>
      <c r="W3455">
        <v>8.891162504240107</v>
      </c>
      <c r="X3455">
        <v>0.32092541500704919</v>
      </c>
      <c r="Z3455" t="s">
        <v>392</v>
      </c>
      <c r="AA3455">
        <v>114</v>
      </c>
      <c r="AB3455" t="s">
        <v>3846</v>
      </c>
      <c r="AC3455" t="str">
        <f>HYPERLINK("plots/3FT6Y578R04_015_S21P_20251218081014_M5358ACSC201811_RBGEUFRF04/dpll_52084/txpa_53252.png","plot")</f>
        <v>plot</v>
      </c>
    </row>
    <row r="3456" spans="1:29" hidden="1" x14ac:dyDescent="0.35">
      <c r="A3456" t="s">
        <v>49</v>
      </c>
      <c r="B3456">
        <v>52084</v>
      </c>
      <c r="C3456" t="s">
        <v>52</v>
      </c>
      <c r="D3456">
        <v>53253</v>
      </c>
      <c r="E3456" t="s">
        <v>128</v>
      </c>
      <c r="F3456">
        <v>12028</v>
      </c>
      <c r="G3456">
        <v>0.7859060297766195</v>
      </c>
      <c r="H3456">
        <v>0</v>
      </c>
      <c r="I3456">
        <v>0</v>
      </c>
      <c r="J3456">
        <v>0.6898953214398662</v>
      </c>
      <c r="K3456">
        <v>0</v>
      </c>
      <c r="L3456">
        <v>0</v>
      </c>
      <c r="M3456">
        <v>0.50344226282955129</v>
      </c>
      <c r="N3456">
        <v>0</v>
      </c>
      <c r="O3456">
        <v>0</v>
      </c>
      <c r="P3456">
        <v>0.61764828763924873</v>
      </c>
      <c r="Q3456">
        <v>1.2016784151813391</v>
      </c>
      <c r="R3456">
        <v>3.7953403614514141</v>
      </c>
      <c r="S3456">
        <v>0.19423011601564449</v>
      </c>
      <c r="T3456">
        <v>0.1527231664915881</v>
      </c>
      <c r="U3456">
        <v>4.2558177004489526</v>
      </c>
      <c r="V3456">
        <v>0.20544021673558341</v>
      </c>
      <c r="W3456">
        <v>8.9094646310276016</v>
      </c>
      <c r="X3456">
        <v>0.314125435748974</v>
      </c>
      <c r="Z3456" t="s">
        <v>392</v>
      </c>
      <c r="AA3456">
        <v>114</v>
      </c>
      <c r="AB3456" t="s">
        <v>3847</v>
      </c>
      <c r="AC3456" t="str">
        <f>HYPERLINK("plots/3FT6Y578R04_015_S21P_20251218081014_M5358ACSC201811_RBGEUFRF04/dpll_52084/txpa_53253.png","plot")</f>
        <v>plot</v>
      </c>
    </row>
    <row r="3457" spans="1:29" hidden="1" x14ac:dyDescent="0.35">
      <c r="A3457" t="s">
        <v>49</v>
      </c>
      <c r="B3457">
        <v>52084</v>
      </c>
      <c r="C3457" t="s">
        <v>52</v>
      </c>
      <c r="D3457">
        <v>53254</v>
      </c>
      <c r="E3457" t="s">
        <v>129</v>
      </c>
      <c r="F3457">
        <v>12027</v>
      </c>
      <c r="G3457">
        <v>0.79816515123468756</v>
      </c>
      <c r="H3457">
        <v>0</v>
      </c>
      <c r="I3457">
        <v>0</v>
      </c>
      <c r="J3457">
        <v>0.70183743650588493</v>
      </c>
      <c r="K3457">
        <v>0</v>
      </c>
      <c r="L3457">
        <v>0</v>
      </c>
      <c r="M3457">
        <v>0.51511370468758055</v>
      </c>
      <c r="N3457">
        <v>0</v>
      </c>
      <c r="O3457">
        <v>0</v>
      </c>
      <c r="P3457">
        <v>0.63706760864549172</v>
      </c>
      <c r="Q3457">
        <v>1.238644478402902</v>
      </c>
      <c r="R3457">
        <v>3.6398999026516168</v>
      </c>
      <c r="S3457">
        <v>0.19206539720161711</v>
      </c>
      <c r="T3457">
        <v>0.1517449296560564</v>
      </c>
      <c r="U3457">
        <v>4.2558247893905383</v>
      </c>
      <c r="V3457">
        <v>0.20544728689892131</v>
      </c>
      <c r="W3457">
        <v>8.911353779080402</v>
      </c>
      <c r="X3457">
        <v>0.31882643225722718</v>
      </c>
      <c r="Z3457" t="s">
        <v>392</v>
      </c>
      <c r="AA3457">
        <v>114</v>
      </c>
      <c r="AB3457" t="s">
        <v>3848</v>
      </c>
      <c r="AC3457" t="str">
        <f>HYPERLINK("plots/3FT6Y578R04_015_S21P_20251218081014_M5358ACSC201811_RBGEUFRF04/dpll_52084/txpa_53254.png","plot")</f>
        <v>plot</v>
      </c>
    </row>
    <row r="3458" spans="1:29" hidden="1" x14ac:dyDescent="0.35">
      <c r="A3458" t="s">
        <v>49</v>
      </c>
      <c r="B3458">
        <v>52084</v>
      </c>
      <c r="C3458" t="s">
        <v>52</v>
      </c>
      <c r="D3458">
        <v>53255</v>
      </c>
      <c r="E3458" t="s">
        <v>130</v>
      </c>
      <c r="F3458">
        <v>12027</v>
      </c>
      <c r="G3458">
        <v>0.79892984769348263</v>
      </c>
      <c r="H3458">
        <v>0</v>
      </c>
      <c r="I3458">
        <v>0</v>
      </c>
      <c r="J3458">
        <v>0.69814338852730506</v>
      </c>
      <c r="K3458">
        <v>0</v>
      </c>
      <c r="L3458">
        <v>0</v>
      </c>
      <c r="M3458">
        <v>0.51026383290475474</v>
      </c>
      <c r="N3458">
        <v>0</v>
      </c>
      <c r="O3458">
        <v>0</v>
      </c>
      <c r="P3458">
        <v>0.63828890153553131</v>
      </c>
      <c r="Q3458">
        <v>1.2348630743385809</v>
      </c>
      <c r="R3458">
        <v>3.6408804516825879</v>
      </c>
      <c r="S3458">
        <v>0.19095726295979609</v>
      </c>
      <c r="T3458">
        <v>0.15121115430034629</v>
      </c>
      <c r="U3458">
        <v>4.2557921641307059</v>
      </c>
      <c r="V3458">
        <v>0.20542966688110781</v>
      </c>
      <c r="W3458">
        <v>8.8962010472270734</v>
      </c>
      <c r="X3458">
        <v>0.31752163314153869</v>
      </c>
      <c r="Z3458" t="s">
        <v>392</v>
      </c>
      <c r="AA3458">
        <v>114</v>
      </c>
      <c r="AB3458" t="s">
        <v>3849</v>
      </c>
      <c r="AC3458" t="str">
        <f>HYPERLINK("plots/3FT6Y578R04_015_S21P_20251218081014_M5358ACSC201811_RBGEUFRF04/dpll_52084/txpa_53255.png","plot")</f>
        <v>plot</v>
      </c>
    </row>
    <row r="3459" spans="1:29" hidden="1" x14ac:dyDescent="0.35">
      <c r="A3459" t="s">
        <v>49</v>
      </c>
      <c r="B3459">
        <v>52084</v>
      </c>
      <c r="C3459" t="s">
        <v>52</v>
      </c>
      <c r="D3459">
        <v>53256</v>
      </c>
      <c r="E3459" t="s">
        <v>131</v>
      </c>
      <c r="F3459">
        <v>12027</v>
      </c>
      <c r="G3459">
        <v>0.80292961290400722</v>
      </c>
      <c r="H3459">
        <v>0</v>
      </c>
      <c r="I3459">
        <v>0</v>
      </c>
      <c r="J3459">
        <v>0.71262840706417618</v>
      </c>
      <c r="K3459">
        <v>0</v>
      </c>
      <c r="L3459">
        <v>0</v>
      </c>
      <c r="M3459">
        <v>0.52428757152859617</v>
      </c>
      <c r="N3459">
        <v>0</v>
      </c>
      <c r="O3459">
        <v>0</v>
      </c>
      <c r="P3459">
        <v>0.64469596327817891</v>
      </c>
      <c r="Q3459">
        <v>1.249563886665747</v>
      </c>
      <c r="R3459">
        <v>3.5881589969318481</v>
      </c>
      <c r="S3459">
        <v>0.1905515989767681</v>
      </c>
      <c r="T3459">
        <v>0.15072186398339019</v>
      </c>
      <c r="U3459">
        <v>4.2557881821734433</v>
      </c>
      <c r="V3459">
        <v>0.20542324838451659</v>
      </c>
      <c r="W3459">
        <v>8.9060382186746487</v>
      </c>
      <c r="X3459">
        <v>0.31969112676573769</v>
      </c>
      <c r="Z3459" t="s">
        <v>392</v>
      </c>
      <c r="AA3459">
        <v>114</v>
      </c>
      <c r="AB3459" t="s">
        <v>3850</v>
      </c>
      <c r="AC3459" t="str">
        <f>HYPERLINK("plots/3FT6Y578R04_015_S21P_20251218081014_M5358ACSC201811_RBGEUFRF04/dpll_52084/txpa_53256.png","plot")</f>
        <v>plot</v>
      </c>
    </row>
    <row r="3460" spans="1:29" hidden="1" x14ac:dyDescent="0.35">
      <c r="A3460" t="s">
        <v>49</v>
      </c>
      <c r="B3460">
        <v>52084</v>
      </c>
      <c r="C3460" t="s">
        <v>52</v>
      </c>
      <c r="D3460">
        <v>53257</v>
      </c>
      <c r="E3460" t="s">
        <v>132</v>
      </c>
      <c r="F3460">
        <v>12028</v>
      </c>
      <c r="G3460">
        <v>0.80025867449539112</v>
      </c>
      <c r="H3460">
        <v>0</v>
      </c>
      <c r="I3460">
        <v>0</v>
      </c>
      <c r="J3460">
        <v>0.70440284034242739</v>
      </c>
      <c r="K3460">
        <v>0</v>
      </c>
      <c r="L3460">
        <v>0</v>
      </c>
      <c r="M3460">
        <v>0.51716316273842333</v>
      </c>
      <c r="N3460">
        <v>0</v>
      </c>
      <c r="O3460">
        <v>0</v>
      </c>
      <c r="P3460">
        <v>0.64041394610512037</v>
      </c>
      <c r="Q3460">
        <v>1.2321027786575001</v>
      </c>
      <c r="R3460">
        <v>3.6698356428340362</v>
      </c>
      <c r="S3460">
        <v>0.18966420580459181</v>
      </c>
      <c r="T3460">
        <v>0.15019857880783291</v>
      </c>
      <c r="U3460">
        <v>4.2558177004489526</v>
      </c>
      <c r="V3460">
        <v>0.20544021673558341</v>
      </c>
      <c r="W3460">
        <v>8.9134404570169607</v>
      </c>
      <c r="X3460">
        <v>0.31630205326736421</v>
      </c>
      <c r="Z3460" t="s">
        <v>392</v>
      </c>
      <c r="AA3460">
        <v>114</v>
      </c>
      <c r="AB3460" t="s">
        <v>3851</v>
      </c>
      <c r="AC3460" t="str">
        <f>HYPERLINK("plots/3FT6Y578R04_015_S21P_20251218081014_M5358ACSC201811_RBGEUFRF04/dpll_52084/txpa_53257.png","plot")</f>
        <v>plot</v>
      </c>
    </row>
    <row r="3461" spans="1:29" hidden="1" x14ac:dyDescent="0.35">
      <c r="A3461" t="s">
        <v>49</v>
      </c>
      <c r="B3461">
        <v>52084</v>
      </c>
      <c r="C3461" t="s">
        <v>52</v>
      </c>
      <c r="D3461">
        <v>53258</v>
      </c>
      <c r="E3461" t="s">
        <v>133</v>
      </c>
      <c r="F3461">
        <v>12027</v>
      </c>
      <c r="G3461">
        <v>0.79477179958401079</v>
      </c>
      <c r="H3461">
        <v>0</v>
      </c>
      <c r="I3461">
        <v>0</v>
      </c>
      <c r="J3461">
        <v>0.69909734496521481</v>
      </c>
      <c r="K3461">
        <v>0</v>
      </c>
      <c r="L3461">
        <v>0</v>
      </c>
      <c r="M3461">
        <v>0.51264322196793455</v>
      </c>
      <c r="N3461">
        <v>0</v>
      </c>
      <c r="O3461">
        <v>0</v>
      </c>
      <c r="P3461">
        <v>0.63166221341400697</v>
      </c>
      <c r="Q3461">
        <v>1.2232311760074019</v>
      </c>
      <c r="R3461">
        <v>3.6675287638795049</v>
      </c>
      <c r="S3461">
        <v>0.19188605574808071</v>
      </c>
      <c r="T3461">
        <v>0.1509859294991063</v>
      </c>
      <c r="U3461">
        <v>4.2558401814251274</v>
      </c>
      <c r="V3461">
        <v>0.20543396214013371</v>
      </c>
      <c r="W3461">
        <v>8.8734051539037164</v>
      </c>
      <c r="X3461">
        <v>0.31618286812902069</v>
      </c>
      <c r="Z3461" t="s">
        <v>392</v>
      </c>
      <c r="AA3461">
        <v>114</v>
      </c>
      <c r="AB3461" t="s">
        <v>3852</v>
      </c>
      <c r="AC3461" t="str">
        <f>HYPERLINK("plots/3FT6Y578R04_015_S21P_20251218081014_M5358ACSC201811_RBGEUFRF04/dpll_52084/txpa_53258.png","plot")</f>
        <v>plot</v>
      </c>
    </row>
    <row r="3462" spans="1:29" hidden="1" x14ac:dyDescent="0.35">
      <c r="A3462" t="s">
        <v>49</v>
      </c>
      <c r="B3462">
        <v>52084</v>
      </c>
      <c r="C3462" t="s">
        <v>52</v>
      </c>
      <c r="D3462">
        <v>53259</v>
      </c>
      <c r="E3462" t="s">
        <v>134</v>
      </c>
      <c r="F3462">
        <v>12028</v>
      </c>
      <c r="G3462">
        <v>0.78188442392473889</v>
      </c>
      <c r="H3462">
        <v>0</v>
      </c>
      <c r="I3462">
        <v>0</v>
      </c>
      <c r="J3462">
        <v>0.68902267566588604</v>
      </c>
      <c r="K3462">
        <v>0</v>
      </c>
      <c r="L3462">
        <v>0</v>
      </c>
      <c r="M3462">
        <v>0.50100385453006879</v>
      </c>
      <c r="N3462">
        <v>0</v>
      </c>
      <c r="O3462">
        <v>0</v>
      </c>
      <c r="P3462">
        <v>0.61134325237612075</v>
      </c>
      <c r="Q3462">
        <v>1.2310498327155781</v>
      </c>
      <c r="R3462">
        <v>4.1488071074843793</v>
      </c>
      <c r="S3462">
        <v>0.20164320342308981</v>
      </c>
      <c r="T3462">
        <v>0.15727625196195119</v>
      </c>
      <c r="U3462">
        <v>4.2558177004489526</v>
      </c>
      <c r="V3462">
        <v>0.20544021673558341</v>
      </c>
      <c r="W3462">
        <v>9.387930775690057</v>
      </c>
      <c r="X3462">
        <v>0.32345847635114922</v>
      </c>
      <c r="Z3462" t="s">
        <v>392</v>
      </c>
      <c r="AA3462">
        <v>114</v>
      </c>
      <c r="AB3462" t="s">
        <v>3853</v>
      </c>
      <c r="AC3462" t="str">
        <f>HYPERLINK("plots/3FT6Y578R04_015_S21P_20251218081014_M5358ACSC201811_RBGEUFRF04/dpll_52084/txpa_53259.png","plot")</f>
        <v>plot</v>
      </c>
    </row>
    <row r="3463" spans="1:29" hidden="1" x14ac:dyDescent="0.35">
      <c r="A3463" t="s">
        <v>49</v>
      </c>
      <c r="B3463">
        <v>52084</v>
      </c>
      <c r="C3463" t="s">
        <v>52</v>
      </c>
      <c r="D3463">
        <v>53260</v>
      </c>
      <c r="E3463" t="s">
        <v>135</v>
      </c>
      <c r="F3463">
        <v>12028</v>
      </c>
      <c r="G3463">
        <v>0.79840958506303861</v>
      </c>
      <c r="H3463">
        <v>0</v>
      </c>
      <c r="I3463">
        <v>0</v>
      </c>
      <c r="J3463">
        <v>0.70372653925621453</v>
      </c>
      <c r="K3463">
        <v>0</v>
      </c>
      <c r="L3463">
        <v>0</v>
      </c>
      <c r="M3463">
        <v>0.51671966944115288</v>
      </c>
      <c r="N3463">
        <v>0</v>
      </c>
      <c r="O3463">
        <v>0</v>
      </c>
      <c r="P3463">
        <v>0.63745786552053352</v>
      </c>
      <c r="Q3463">
        <v>1.270273430108986</v>
      </c>
      <c r="R3463">
        <v>4.013864065982256</v>
      </c>
      <c r="S3463">
        <v>0.1967968424837945</v>
      </c>
      <c r="T3463">
        <v>0.15507041081687559</v>
      </c>
      <c r="U3463">
        <v>4.2558177004489526</v>
      </c>
      <c r="V3463">
        <v>0.20544021673558341</v>
      </c>
      <c r="W3463">
        <v>9.4199162142500832</v>
      </c>
      <c r="X3463">
        <v>0.32685635753538528</v>
      </c>
      <c r="Z3463" t="s">
        <v>392</v>
      </c>
      <c r="AA3463">
        <v>114</v>
      </c>
      <c r="AB3463" t="s">
        <v>3854</v>
      </c>
      <c r="AC3463" t="str">
        <f>HYPERLINK("plots/3FT6Y578R04_015_S21P_20251218081014_M5358ACSC201811_RBGEUFRF04/dpll_52084/txpa_53260.png","plot")</f>
        <v>plot</v>
      </c>
    </row>
    <row r="3464" spans="1:29" hidden="1" x14ac:dyDescent="0.35">
      <c r="A3464" t="s">
        <v>49</v>
      </c>
      <c r="B3464">
        <v>52084</v>
      </c>
      <c r="C3464" t="s">
        <v>52</v>
      </c>
      <c r="D3464">
        <v>53261</v>
      </c>
      <c r="E3464" t="s">
        <v>136</v>
      </c>
      <c r="F3464">
        <v>12028</v>
      </c>
      <c r="G3464">
        <v>0.79095397007734791</v>
      </c>
      <c r="H3464">
        <v>0</v>
      </c>
      <c r="I3464">
        <v>0</v>
      </c>
      <c r="J3464">
        <v>0.69320732967201071</v>
      </c>
      <c r="K3464">
        <v>0</v>
      </c>
      <c r="L3464">
        <v>0</v>
      </c>
      <c r="M3464">
        <v>0.50627793774332719</v>
      </c>
      <c r="N3464">
        <v>0</v>
      </c>
      <c r="O3464">
        <v>0</v>
      </c>
      <c r="P3464">
        <v>0.62560818278111818</v>
      </c>
      <c r="Q3464">
        <v>1.232043696813369</v>
      </c>
      <c r="R3464">
        <v>4.1949375828955544</v>
      </c>
      <c r="S3464">
        <v>0.19579675297110641</v>
      </c>
      <c r="T3464">
        <v>0.15373290728734779</v>
      </c>
      <c r="U3464">
        <v>4.2558177004489526</v>
      </c>
      <c r="V3464">
        <v>0.20544021673558341</v>
      </c>
      <c r="W3464">
        <v>9.4382909555204524</v>
      </c>
      <c r="X3464">
        <v>0.32000765363918232</v>
      </c>
      <c r="Z3464" t="s">
        <v>392</v>
      </c>
      <c r="AA3464">
        <v>114</v>
      </c>
      <c r="AB3464" t="s">
        <v>3855</v>
      </c>
      <c r="AC3464" t="str">
        <f>HYPERLINK("plots/3FT6Y578R04_015_S21P_20251218081014_M5358ACSC201811_RBGEUFRF04/dpll_52084/txpa_53261.png","plot")</f>
        <v>plot</v>
      </c>
    </row>
    <row r="3465" spans="1:29" hidden="1" x14ac:dyDescent="0.35">
      <c r="A3465" t="s">
        <v>49</v>
      </c>
      <c r="B3465">
        <v>52084</v>
      </c>
      <c r="C3465" t="s">
        <v>52</v>
      </c>
      <c r="D3465">
        <v>53262</v>
      </c>
      <c r="E3465" t="s">
        <v>137</v>
      </c>
      <c r="F3465">
        <v>12027</v>
      </c>
      <c r="G3465">
        <v>0.80278661738635138</v>
      </c>
      <c r="H3465">
        <v>0</v>
      </c>
      <c r="I3465">
        <v>0</v>
      </c>
      <c r="J3465">
        <v>0.70484077254136102</v>
      </c>
      <c r="K3465">
        <v>0</v>
      </c>
      <c r="L3465">
        <v>0</v>
      </c>
      <c r="M3465">
        <v>0.51779231453817565</v>
      </c>
      <c r="N3465">
        <v>0</v>
      </c>
      <c r="O3465">
        <v>0</v>
      </c>
      <c r="P3465">
        <v>0.64446635305462008</v>
      </c>
      <c r="Q3465">
        <v>1.269136443428599</v>
      </c>
      <c r="R3465">
        <v>4.0389484690405606</v>
      </c>
      <c r="S3465">
        <v>0.19365597430752171</v>
      </c>
      <c r="T3465">
        <v>0.1528842084786452</v>
      </c>
      <c r="U3465">
        <v>4.2558247893905383</v>
      </c>
      <c r="V3465">
        <v>0.20544728689892131</v>
      </c>
      <c r="W3465">
        <v>9.4401708061029339</v>
      </c>
      <c r="X3465">
        <v>0.32479445142701863</v>
      </c>
      <c r="Z3465" t="s">
        <v>392</v>
      </c>
      <c r="AA3465">
        <v>114</v>
      </c>
      <c r="AB3465" t="s">
        <v>3856</v>
      </c>
      <c r="AC3465" t="str">
        <f>HYPERLINK("plots/3FT6Y578R04_015_S21P_20251218081014_M5358ACSC201811_RBGEUFRF04/dpll_52084/txpa_53262.png","plot")</f>
        <v>plot</v>
      </c>
    </row>
    <row r="3466" spans="1:29" hidden="1" x14ac:dyDescent="0.35">
      <c r="A3466" t="s">
        <v>49</v>
      </c>
      <c r="B3466">
        <v>52084</v>
      </c>
      <c r="C3466" t="s">
        <v>52</v>
      </c>
      <c r="D3466">
        <v>53263</v>
      </c>
      <c r="E3466" t="s">
        <v>138</v>
      </c>
      <c r="F3466">
        <v>12027</v>
      </c>
      <c r="G3466">
        <v>0.8034931579742226</v>
      </c>
      <c r="H3466">
        <v>0</v>
      </c>
      <c r="I3466">
        <v>0</v>
      </c>
      <c r="J3466">
        <v>0.70108540792412388</v>
      </c>
      <c r="K3466">
        <v>0</v>
      </c>
      <c r="L3466">
        <v>0</v>
      </c>
      <c r="M3466">
        <v>0.5127906658785627</v>
      </c>
      <c r="N3466">
        <v>0</v>
      </c>
      <c r="O3466">
        <v>0</v>
      </c>
      <c r="P3466">
        <v>0.64560125491138909</v>
      </c>
      <c r="Q3466">
        <v>1.2653887347991419</v>
      </c>
      <c r="R3466">
        <v>4.0394081220481244</v>
      </c>
      <c r="S3466">
        <v>0.192589663674265</v>
      </c>
      <c r="T3466">
        <v>0.1523563446358363</v>
      </c>
      <c r="U3466">
        <v>4.2557921641307059</v>
      </c>
      <c r="V3466">
        <v>0.20542966688110781</v>
      </c>
      <c r="W3466">
        <v>9.4246395841855826</v>
      </c>
      <c r="X3466">
        <v>0.32352283735717108</v>
      </c>
      <c r="Z3466" t="s">
        <v>392</v>
      </c>
      <c r="AA3466">
        <v>114</v>
      </c>
      <c r="AB3466" t="s">
        <v>3857</v>
      </c>
      <c r="AC3466" t="str">
        <f>HYPERLINK("plots/3FT6Y578R04_015_S21P_20251218081014_M5358ACSC201811_RBGEUFRF04/dpll_52084/txpa_53263.png","plot")</f>
        <v>plot</v>
      </c>
    </row>
    <row r="3467" spans="1:29" hidden="1" x14ac:dyDescent="0.35">
      <c r="A3467" t="s">
        <v>49</v>
      </c>
      <c r="B3467">
        <v>52084</v>
      </c>
      <c r="C3467" t="s">
        <v>52</v>
      </c>
      <c r="D3467">
        <v>53264</v>
      </c>
      <c r="E3467" t="s">
        <v>139</v>
      </c>
      <c r="F3467">
        <v>12027</v>
      </c>
      <c r="G3467">
        <v>0.80745907367640246</v>
      </c>
      <c r="H3467">
        <v>0</v>
      </c>
      <c r="I3467">
        <v>0</v>
      </c>
      <c r="J3467">
        <v>0.71521196909043794</v>
      </c>
      <c r="K3467">
        <v>0</v>
      </c>
      <c r="L3467">
        <v>0</v>
      </c>
      <c r="M3467">
        <v>0.52668583003120617</v>
      </c>
      <c r="N3467">
        <v>0</v>
      </c>
      <c r="O3467">
        <v>0</v>
      </c>
      <c r="P3467">
        <v>0.65199015566235397</v>
      </c>
      <c r="Q3467">
        <v>1.2799501537264231</v>
      </c>
      <c r="R3467">
        <v>3.9873526017356</v>
      </c>
      <c r="S3467">
        <v>0.19208782497591501</v>
      </c>
      <c r="T3467">
        <v>0.15178871906229591</v>
      </c>
      <c r="U3467">
        <v>4.2557881821734433</v>
      </c>
      <c r="V3467">
        <v>0.20542324838451659</v>
      </c>
      <c r="W3467">
        <v>9.4345493397355948</v>
      </c>
      <c r="X3467">
        <v>0.32562829116725722</v>
      </c>
      <c r="Z3467" t="s">
        <v>392</v>
      </c>
      <c r="AA3467">
        <v>114</v>
      </c>
      <c r="AB3467" t="s">
        <v>3858</v>
      </c>
      <c r="AC3467" t="str">
        <f>HYPERLINK("plots/3FT6Y578R04_015_S21P_20251218081014_M5358ACSC201811_RBGEUFRF04/dpll_52084/txpa_53264.png","plot")</f>
        <v>plot</v>
      </c>
    </row>
    <row r="3468" spans="1:29" hidden="1" x14ac:dyDescent="0.35">
      <c r="A3468" t="s">
        <v>49</v>
      </c>
      <c r="B3468">
        <v>52084</v>
      </c>
      <c r="C3468" t="s">
        <v>52</v>
      </c>
      <c r="D3468">
        <v>53265</v>
      </c>
      <c r="E3468" t="s">
        <v>140</v>
      </c>
      <c r="F3468">
        <v>12028</v>
      </c>
      <c r="G3468">
        <v>0.80488670210843283</v>
      </c>
      <c r="H3468">
        <v>0</v>
      </c>
      <c r="I3468">
        <v>0</v>
      </c>
      <c r="J3468">
        <v>0.70718103479813432</v>
      </c>
      <c r="K3468">
        <v>0</v>
      </c>
      <c r="L3468">
        <v>0</v>
      </c>
      <c r="M3468">
        <v>0.51963707048315921</v>
      </c>
      <c r="N3468">
        <v>0</v>
      </c>
      <c r="O3468">
        <v>0</v>
      </c>
      <c r="P3468">
        <v>0.64784260323098908</v>
      </c>
      <c r="Q3468">
        <v>1.262241514443416</v>
      </c>
      <c r="R3468">
        <v>4.0701689774907814</v>
      </c>
      <c r="S3468">
        <v>0.19118047013196071</v>
      </c>
      <c r="T3468">
        <v>0.15121363950059191</v>
      </c>
      <c r="U3468">
        <v>4.2558177004489526</v>
      </c>
      <c r="V3468">
        <v>0.20544021673558341</v>
      </c>
      <c r="W3468">
        <v>9.4420387569005655</v>
      </c>
      <c r="X3468">
        <v>0.32217599026126331</v>
      </c>
      <c r="Z3468" t="s">
        <v>392</v>
      </c>
      <c r="AA3468">
        <v>114</v>
      </c>
      <c r="AB3468" t="s">
        <v>3859</v>
      </c>
      <c r="AC3468" t="str">
        <f>HYPERLINK("plots/3FT6Y578R04_015_S21P_20251218081014_M5358ACSC201811_RBGEUFRF04/dpll_52084/txpa_53265.png","plot")</f>
        <v>plot</v>
      </c>
    </row>
    <row r="3469" spans="1:29" hidden="1" x14ac:dyDescent="0.35">
      <c r="A3469" t="s">
        <v>49</v>
      </c>
      <c r="B3469">
        <v>52084</v>
      </c>
      <c r="C3469" t="s">
        <v>52</v>
      </c>
      <c r="D3469">
        <v>53266</v>
      </c>
      <c r="E3469" t="s">
        <v>141</v>
      </c>
      <c r="F3469">
        <v>12027</v>
      </c>
      <c r="G3469">
        <v>0.7992465720290961</v>
      </c>
      <c r="H3469">
        <v>0</v>
      </c>
      <c r="I3469">
        <v>0</v>
      </c>
      <c r="J3469">
        <v>0.70154867135673304</v>
      </c>
      <c r="K3469">
        <v>0</v>
      </c>
      <c r="L3469">
        <v>0</v>
      </c>
      <c r="M3469">
        <v>0.51478420743935216</v>
      </c>
      <c r="N3469">
        <v>0</v>
      </c>
      <c r="O3469">
        <v>0</v>
      </c>
      <c r="P3469">
        <v>0.6387950829002611</v>
      </c>
      <c r="Q3469">
        <v>1.252605597138678</v>
      </c>
      <c r="R3469">
        <v>4.0714542365820501</v>
      </c>
      <c r="S3469">
        <v>0.19349269749663009</v>
      </c>
      <c r="T3469">
        <v>0.15204312453079519</v>
      </c>
      <c r="U3469">
        <v>4.2558401814251274</v>
      </c>
      <c r="V3469">
        <v>0.20543396214013371</v>
      </c>
      <c r="W3469">
        <v>9.4023434683628491</v>
      </c>
      <c r="X3469">
        <v>0.32196288332624712</v>
      </c>
      <c r="Z3469" t="s">
        <v>392</v>
      </c>
      <c r="AA3469">
        <v>114</v>
      </c>
      <c r="AB3469" t="s">
        <v>3860</v>
      </c>
      <c r="AC3469" t="str">
        <f>HYPERLINK("plots/3FT6Y578R04_015_S21P_20251218081014_M5358ACSC201811_RBGEUFRF04/dpll_52084/txpa_53266.png","plot")</f>
        <v>plot</v>
      </c>
    </row>
    <row r="3470" spans="1:29" hidden="1" x14ac:dyDescent="0.35">
      <c r="A3470" t="s">
        <v>49</v>
      </c>
      <c r="B3470">
        <v>52084</v>
      </c>
      <c r="C3470" t="s">
        <v>52</v>
      </c>
      <c r="D3470">
        <v>53267</v>
      </c>
      <c r="E3470" t="s">
        <v>142</v>
      </c>
      <c r="F3470">
        <v>12028</v>
      </c>
      <c r="G3470">
        <v>0.78640715538462858</v>
      </c>
      <c r="H3470">
        <v>0</v>
      </c>
      <c r="I3470">
        <v>0</v>
      </c>
      <c r="J3470">
        <v>0.69181622379288987</v>
      </c>
      <c r="K3470">
        <v>0</v>
      </c>
      <c r="L3470">
        <v>0</v>
      </c>
      <c r="M3470">
        <v>0.50344116655735971</v>
      </c>
      <c r="N3470">
        <v>0</v>
      </c>
      <c r="O3470">
        <v>0</v>
      </c>
      <c r="P3470">
        <v>0.61843621404014337</v>
      </c>
      <c r="Q3470">
        <v>1.259426685072021</v>
      </c>
      <c r="R3470">
        <v>4.5227462645018282</v>
      </c>
      <c r="S3470">
        <v>0.20322466652405169</v>
      </c>
      <c r="T3470">
        <v>0.1583074170170688</v>
      </c>
      <c r="U3470">
        <v>4.2558177004489526</v>
      </c>
      <c r="V3470">
        <v>0.20544021673558341</v>
      </c>
      <c r="W3470">
        <v>9.882636643249084</v>
      </c>
      <c r="X3470">
        <v>0.32901136437044037</v>
      </c>
      <c r="Z3470" t="s">
        <v>392</v>
      </c>
      <c r="AA3470">
        <v>114</v>
      </c>
      <c r="AB3470" t="s">
        <v>3861</v>
      </c>
      <c r="AC3470" t="str">
        <f>HYPERLINK("plots/3FT6Y578R04_015_S21P_20251218081014_M5358ACSC201811_RBGEUFRF04/dpll_52084/txpa_53267.png","plot")</f>
        <v>plot</v>
      </c>
    </row>
    <row r="3471" spans="1:29" hidden="1" x14ac:dyDescent="0.35">
      <c r="A3471" t="s">
        <v>49</v>
      </c>
      <c r="B3471">
        <v>52084</v>
      </c>
      <c r="C3471" t="s">
        <v>52</v>
      </c>
      <c r="D3471">
        <v>53268</v>
      </c>
      <c r="E3471" t="s">
        <v>143</v>
      </c>
      <c r="F3471">
        <v>12028</v>
      </c>
      <c r="G3471">
        <v>0.80250919784218755</v>
      </c>
      <c r="H3471">
        <v>0</v>
      </c>
      <c r="I3471">
        <v>0</v>
      </c>
      <c r="J3471">
        <v>0.70633343796532166</v>
      </c>
      <c r="K3471">
        <v>0</v>
      </c>
      <c r="L3471">
        <v>0</v>
      </c>
      <c r="M3471">
        <v>0.51907212874898712</v>
      </c>
      <c r="N3471">
        <v>0</v>
      </c>
      <c r="O3471">
        <v>0</v>
      </c>
      <c r="P3471">
        <v>0.64402101262131128</v>
      </c>
      <c r="Q3471">
        <v>1.299323019588899</v>
      </c>
      <c r="R3471">
        <v>4.3852209363354762</v>
      </c>
      <c r="S3471">
        <v>0.19844799071075789</v>
      </c>
      <c r="T3471">
        <v>0.15616105785849829</v>
      </c>
      <c r="U3471">
        <v>4.2558177004489526</v>
      </c>
      <c r="V3471">
        <v>0.20544021673558341</v>
      </c>
      <c r="W3471">
        <v>9.9149028417026948</v>
      </c>
      <c r="X3471">
        <v>0.33262323157368762</v>
      </c>
      <c r="Z3471" t="s">
        <v>392</v>
      </c>
      <c r="AA3471">
        <v>114</v>
      </c>
      <c r="AB3471" t="s">
        <v>3862</v>
      </c>
      <c r="AC3471" t="str">
        <f>HYPERLINK("plots/3FT6Y578R04_015_S21P_20251218081014_M5358ACSC201811_RBGEUFRF04/dpll_52084/txpa_53268.png","plot")</f>
        <v>plot</v>
      </c>
    </row>
    <row r="3472" spans="1:29" hidden="1" x14ac:dyDescent="0.35">
      <c r="A3472" t="s">
        <v>49</v>
      </c>
      <c r="B3472">
        <v>52084</v>
      </c>
      <c r="C3472" t="s">
        <v>52</v>
      </c>
      <c r="D3472">
        <v>53269</v>
      </c>
      <c r="E3472" t="s">
        <v>144</v>
      </c>
      <c r="F3472">
        <v>12028</v>
      </c>
      <c r="G3472">
        <v>0.79550076418053672</v>
      </c>
      <c r="H3472">
        <v>0</v>
      </c>
      <c r="I3472">
        <v>0</v>
      </c>
      <c r="J3472">
        <v>0.69595715339544895</v>
      </c>
      <c r="K3472">
        <v>0</v>
      </c>
      <c r="L3472">
        <v>0</v>
      </c>
      <c r="M3472">
        <v>0.50864197967836877</v>
      </c>
      <c r="N3472">
        <v>0</v>
      </c>
      <c r="O3472">
        <v>0</v>
      </c>
      <c r="P3472">
        <v>0.63282146581181786</v>
      </c>
      <c r="Q3472">
        <v>1.2610522314611281</v>
      </c>
      <c r="R3472">
        <v>4.5667996630749386</v>
      </c>
      <c r="S3472">
        <v>0.19733245820482581</v>
      </c>
      <c r="T3472">
        <v>0.15476032589305599</v>
      </c>
      <c r="U3472">
        <v>4.2558177004489526</v>
      </c>
      <c r="V3472">
        <v>0.20544021673558341</v>
      </c>
      <c r="W3472">
        <v>9.9336080709178578</v>
      </c>
      <c r="X3472">
        <v>0.32567013812128781</v>
      </c>
      <c r="Z3472" t="s">
        <v>392</v>
      </c>
      <c r="AA3472">
        <v>114</v>
      </c>
      <c r="AB3472" t="s">
        <v>3863</v>
      </c>
      <c r="AC3472" t="str">
        <f>HYPERLINK("plots/3FT6Y578R04_015_S21P_20251218081014_M5358ACSC201811_RBGEUFRF04/dpll_52084/txpa_53269.png","plot")</f>
        <v>plot</v>
      </c>
    </row>
    <row r="3473" spans="1:29" hidden="1" x14ac:dyDescent="0.35">
      <c r="A3473" t="s">
        <v>49</v>
      </c>
      <c r="B3473">
        <v>52084</v>
      </c>
      <c r="C3473" t="s">
        <v>52</v>
      </c>
      <c r="D3473">
        <v>53270</v>
      </c>
      <c r="E3473" t="s">
        <v>145</v>
      </c>
      <c r="F3473">
        <v>12027</v>
      </c>
      <c r="G3473">
        <v>0.80699123009666218</v>
      </c>
      <c r="H3473">
        <v>0</v>
      </c>
      <c r="I3473">
        <v>0</v>
      </c>
      <c r="J3473">
        <v>0.70738904655025825</v>
      </c>
      <c r="K3473">
        <v>0</v>
      </c>
      <c r="L3473">
        <v>0</v>
      </c>
      <c r="M3473">
        <v>0.52004689782760305</v>
      </c>
      <c r="N3473">
        <v>0</v>
      </c>
      <c r="O3473">
        <v>0</v>
      </c>
      <c r="P3473">
        <v>0.65123484545292398</v>
      </c>
      <c r="Q3473">
        <v>1.2984672704147451</v>
      </c>
      <c r="R3473">
        <v>4.4092337041609353</v>
      </c>
      <c r="S3473">
        <v>0.19521405851494381</v>
      </c>
      <c r="T3473">
        <v>0.1539819461203365</v>
      </c>
      <c r="U3473">
        <v>4.2558247893905383</v>
      </c>
      <c r="V3473">
        <v>0.20544728689892131</v>
      </c>
      <c r="W3473">
        <v>9.9352829018042748</v>
      </c>
      <c r="X3473">
        <v>0.33056936418231442</v>
      </c>
      <c r="Z3473" t="s">
        <v>392</v>
      </c>
      <c r="AA3473">
        <v>114</v>
      </c>
      <c r="AB3473" t="s">
        <v>3864</v>
      </c>
      <c r="AC3473" t="str">
        <f>HYPERLINK("plots/3FT6Y578R04_015_S21P_20251218081014_M5358ACSC201811_RBGEUFRF04/dpll_52084/txpa_53270.png","plot")</f>
        <v>plot</v>
      </c>
    </row>
    <row r="3474" spans="1:29" hidden="1" x14ac:dyDescent="0.35">
      <c r="A3474" t="s">
        <v>49</v>
      </c>
      <c r="B3474">
        <v>52084</v>
      </c>
      <c r="C3474" t="s">
        <v>52</v>
      </c>
      <c r="D3474">
        <v>53271</v>
      </c>
      <c r="E3474" t="s">
        <v>146</v>
      </c>
      <c r="F3474">
        <v>12027</v>
      </c>
      <c r="G3474">
        <v>0.80754277070864777</v>
      </c>
      <c r="H3474">
        <v>0</v>
      </c>
      <c r="I3474">
        <v>0</v>
      </c>
      <c r="J3474">
        <v>0.70347561687926141</v>
      </c>
      <c r="K3474">
        <v>0</v>
      </c>
      <c r="L3474">
        <v>0</v>
      </c>
      <c r="M3474">
        <v>0.51489486459070388</v>
      </c>
      <c r="N3474">
        <v>0</v>
      </c>
      <c r="O3474">
        <v>0</v>
      </c>
      <c r="P3474">
        <v>0.65212532652379962</v>
      </c>
      <c r="Q3474">
        <v>1.2945478681224669</v>
      </c>
      <c r="R3474">
        <v>4.4099934416604203</v>
      </c>
      <c r="S3474">
        <v>0.19422677196787769</v>
      </c>
      <c r="T3474">
        <v>0.15350327330825289</v>
      </c>
      <c r="U3474">
        <v>4.2557921641307059</v>
      </c>
      <c r="V3474">
        <v>0.20542966688110781</v>
      </c>
      <c r="W3474">
        <v>9.9193201149081247</v>
      </c>
      <c r="X3474">
        <v>0.32931820698075981</v>
      </c>
      <c r="Z3474" t="s">
        <v>392</v>
      </c>
      <c r="AA3474">
        <v>114</v>
      </c>
      <c r="AB3474" t="s">
        <v>3865</v>
      </c>
      <c r="AC3474" t="str">
        <f>HYPERLINK("plots/3FT6Y578R04_015_S21P_20251218081014_M5358ACSC201811_RBGEUFRF04/dpll_52084/txpa_53271.png","plot")</f>
        <v>plot</v>
      </c>
    </row>
    <row r="3475" spans="1:29" hidden="1" x14ac:dyDescent="0.35">
      <c r="A3475" t="s">
        <v>49</v>
      </c>
      <c r="B3475">
        <v>52084</v>
      </c>
      <c r="C3475" t="s">
        <v>52</v>
      </c>
      <c r="D3475">
        <v>53272</v>
      </c>
      <c r="E3475" t="s">
        <v>147</v>
      </c>
      <c r="F3475">
        <v>12027</v>
      </c>
      <c r="G3475">
        <v>0.81133937361277964</v>
      </c>
      <c r="H3475">
        <v>0</v>
      </c>
      <c r="I3475">
        <v>0</v>
      </c>
      <c r="J3475">
        <v>0.71742446004727678</v>
      </c>
      <c r="K3475">
        <v>0</v>
      </c>
      <c r="L3475">
        <v>0</v>
      </c>
      <c r="M3475">
        <v>0.52868132278652025</v>
      </c>
      <c r="N3475">
        <v>0</v>
      </c>
      <c r="O3475">
        <v>0</v>
      </c>
      <c r="P3475">
        <v>0.65827157917437762</v>
      </c>
      <c r="Q3475">
        <v>1.3086288114972979</v>
      </c>
      <c r="R3475">
        <v>4.3604209535466261</v>
      </c>
      <c r="S3475">
        <v>0.19368055097055281</v>
      </c>
      <c r="T3475">
        <v>0.1529086370303458</v>
      </c>
      <c r="U3475">
        <v>4.2557881821734433</v>
      </c>
      <c r="V3475">
        <v>0.20542324838451659</v>
      </c>
      <c r="W3475">
        <v>9.9296679843685052</v>
      </c>
      <c r="X3475">
        <v>0.33133210359348692</v>
      </c>
      <c r="Z3475" t="s">
        <v>392</v>
      </c>
      <c r="AA3475">
        <v>114</v>
      </c>
      <c r="AB3475" t="s">
        <v>3866</v>
      </c>
      <c r="AC3475" t="str">
        <f>HYPERLINK("plots/3FT6Y578R04_015_S21P_20251218081014_M5358ACSC201811_RBGEUFRF04/dpll_52084/txpa_53272.png","plot")</f>
        <v>plot</v>
      </c>
    </row>
    <row r="3476" spans="1:29" hidden="1" x14ac:dyDescent="0.35">
      <c r="A3476" t="s">
        <v>49</v>
      </c>
      <c r="B3476">
        <v>52084</v>
      </c>
      <c r="C3476" t="s">
        <v>52</v>
      </c>
      <c r="D3476">
        <v>53273</v>
      </c>
      <c r="E3476" t="s">
        <v>148</v>
      </c>
      <c r="F3476">
        <v>12028</v>
      </c>
      <c r="G3476">
        <v>0.80900144054312306</v>
      </c>
      <c r="H3476">
        <v>0</v>
      </c>
      <c r="I3476">
        <v>0</v>
      </c>
      <c r="J3476">
        <v>0.70942979969283915</v>
      </c>
      <c r="K3476">
        <v>0</v>
      </c>
      <c r="L3476">
        <v>0</v>
      </c>
      <c r="M3476">
        <v>0.52165778489094916</v>
      </c>
      <c r="N3476">
        <v>0</v>
      </c>
      <c r="O3476">
        <v>0</v>
      </c>
      <c r="P3476">
        <v>0.65448333080084831</v>
      </c>
      <c r="Q3476">
        <v>1.291238057411731</v>
      </c>
      <c r="R3476">
        <v>4.4418833090654886</v>
      </c>
      <c r="S3476">
        <v>0.1927342665174093</v>
      </c>
      <c r="T3476">
        <v>0.15226555904175099</v>
      </c>
      <c r="U3476">
        <v>4.2558177004489526</v>
      </c>
      <c r="V3476">
        <v>0.20544021673558341</v>
      </c>
      <c r="W3476">
        <v>9.9371570892916523</v>
      </c>
      <c r="X3476">
        <v>0.32790080842601382</v>
      </c>
      <c r="Z3476" t="s">
        <v>392</v>
      </c>
      <c r="AA3476">
        <v>114</v>
      </c>
      <c r="AB3476" t="s">
        <v>3867</v>
      </c>
      <c r="AC3476" t="str">
        <f>HYPERLINK("plots/3FT6Y578R04_015_S21P_20251218081014_M5358ACSC201811_RBGEUFRF04/dpll_52084/txpa_53273.png","plot")</f>
        <v>plot</v>
      </c>
    </row>
    <row r="3477" spans="1:29" hidden="1" x14ac:dyDescent="0.35">
      <c r="A3477" t="s">
        <v>49</v>
      </c>
      <c r="B3477">
        <v>52084</v>
      </c>
      <c r="C3477" t="s">
        <v>52</v>
      </c>
      <c r="D3477">
        <v>53274</v>
      </c>
      <c r="E3477" t="s">
        <v>149</v>
      </c>
      <c r="F3477">
        <v>12027</v>
      </c>
      <c r="G3477">
        <v>0.80331494666274716</v>
      </c>
      <c r="H3477">
        <v>0</v>
      </c>
      <c r="I3477">
        <v>0</v>
      </c>
      <c r="J3477">
        <v>0.70403118855045299</v>
      </c>
      <c r="K3477">
        <v>0</v>
      </c>
      <c r="L3477">
        <v>0</v>
      </c>
      <c r="M3477">
        <v>0.51696438987411963</v>
      </c>
      <c r="N3477">
        <v>0</v>
      </c>
      <c r="O3477">
        <v>0</v>
      </c>
      <c r="P3477">
        <v>0.64531490353177234</v>
      </c>
      <c r="Q3477">
        <v>1.280956186860549</v>
      </c>
      <c r="R3477">
        <v>4.4457589298974494</v>
      </c>
      <c r="S3477">
        <v>0.19508509286905129</v>
      </c>
      <c r="T3477">
        <v>0.15314435870286969</v>
      </c>
      <c r="U3477">
        <v>4.2558401814251274</v>
      </c>
      <c r="V3477">
        <v>0.20543396214013371</v>
      </c>
      <c r="W3477">
        <v>9.8973037405836877</v>
      </c>
      <c r="X3477">
        <v>0.32758248292018688</v>
      </c>
      <c r="Z3477" t="s">
        <v>392</v>
      </c>
      <c r="AA3477">
        <v>114</v>
      </c>
      <c r="AB3477" t="s">
        <v>3868</v>
      </c>
      <c r="AC3477" t="str">
        <f>HYPERLINK("plots/3FT6Y578R04_015_S21P_20251218081014_M5358ACSC201811_RBGEUFRF04/dpll_52084/txpa_53274.png","plot")</f>
        <v>plot</v>
      </c>
    </row>
    <row r="3478" spans="1:29" hidden="1" x14ac:dyDescent="0.35">
      <c r="A3478" t="s">
        <v>49</v>
      </c>
      <c r="B3478">
        <v>52084</v>
      </c>
      <c r="C3478" t="s">
        <v>52</v>
      </c>
      <c r="D3478">
        <v>53275</v>
      </c>
      <c r="E3478" t="s">
        <v>150</v>
      </c>
      <c r="F3478">
        <v>12028</v>
      </c>
      <c r="G3478">
        <v>0.79815995795216532</v>
      </c>
      <c r="H3478">
        <v>0</v>
      </c>
      <c r="I3478">
        <v>0</v>
      </c>
      <c r="J3478">
        <v>0.69969320665453816</v>
      </c>
      <c r="K3478">
        <v>0</v>
      </c>
      <c r="L3478">
        <v>0</v>
      </c>
      <c r="M3478">
        <v>0.51025054620247789</v>
      </c>
      <c r="N3478">
        <v>0</v>
      </c>
      <c r="O3478">
        <v>0</v>
      </c>
      <c r="P3478">
        <v>0.6370593184782023</v>
      </c>
      <c r="Q3478">
        <v>1.341244709915135</v>
      </c>
      <c r="R3478">
        <v>5.8069940564979436</v>
      </c>
      <c r="S3478">
        <v>0.20797125915696929</v>
      </c>
      <c r="T3478">
        <v>0.16143372651810289</v>
      </c>
      <c r="U3478">
        <v>4.2558177004489526</v>
      </c>
      <c r="V3478">
        <v>0.20544021673558341</v>
      </c>
      <c r="W3478">
        <v>11.515087033588291</v>
      </c>
      <c r="X3478">
        <v>0.34522604291924891</v>
      </c>
      <c r="Z3478" t="s">
        <v>392</v>
      </c>
      <c r="AA3478">
        <v>114</v>
      </c>
      <c r="AB3478" t="s">
        <v>3869</v>
      </c>
      <c r="AC3478" t="str">
        <f>HYPERLINK("plots/3FT6Y578R04_015_S21P_20251218081014_M5358ACSC201811_RBGEUFRF04/dpll_52084/txpa_53275.png","plot")</f>
        <v>plot</v>
      </c>
    </row>
    <row r="3479" spans="1:29" hidden="1" x14ac:dyDescent="0.35">
      <c r="A3479" t="s">
        <v>49</v>
      </c>
      <c r="B3479">
        <v>52084</v>
      </c>
      <c r="C3479" t="s">
        <v>52</v>
      </c>
      <c r="D3479">
        <v>53276</v>
      </c>
      <c r="E3479" t="s">
        <v>151</v>
      </c>
      <c r="F3479">
        <v>12028</v>
      </c>
      <c r="G3479">
        <v>0.81325060617288181</v>
      </c>
      <c r="H3479">
        <v>0</v>
      </c>
      <c r="I3479">
        <v>0</v>
      </c>
      <c r="J3479">
        <v>0.71344512802126758</v>
      </c>
      <c r="K3479">
        <v>0</v>
      </c>
      <c r="L3479">
        <v>0</v>
      </c>
      <c r="M3479">
        <v>0.52547294076635764</v>
      </c>
      <c r="N3479">
        <v>0</v>
      </c>
      <c r="O3479">
        <v>0</v>
      </c>
      <c r="P3479">
        <v>0.66137654844055971</v>
      </c>
      <c r="Q3479">
        <v>1.3817487303518989</v>
      </c>
      <c r="R3479">
        <v>5.6670422854862412</v>
      </c>
      <c r="S3479">
        <v>0.20310967204706279</v>
      </c>
      <c r="T3479">
        <v>0.15927352427208691</v>
      </c>
      <c r="U3479">
        <v>4.2558177004489526</v>
      </c>
      <c r="V3479">
        <v>0.20544021673558341</v>
      </c>
      <c r="W3479">
        <v>11.54751298969072</v>
      </c>
      <c r="X3479">
        <v>0.34905200990070551</v>
      </c>
      <c r="Z3479" t="s">
        <v>392</v>
      </c>
      <c r="AA3479">
        <v>114</v>
      </c>
      <c r="AB3479" t="s">
        <v>3870</v>
      </c>
      <c r="AC3479" t="str">
        <f>HYPERLINK("plots/3FT6Y578R04_015_S21P_20251218081014_M5358ACSC201811_RBGEUFRF04/dpll_52084/txpa_53276.png","plot")</f>
        <v>plot</v>
      </c>
    </row>
    <row r="3480" spans="1:29" hidden="1" x14ac:dyDescent="0.35">
      <c r="A3480" t="s">
        <v>49</v>
      </c>
      <c r="B3480">
        <v>52084</v>
      </c>
      <c r="C3480" t="s">
        <v>52</v>
      </c>
      <c r="D3480">
        <v>53277</v>
      </c>
      <c r="E3480" t="s">
        <v>152</v>
      </c>
      <c r="F3480">
        <v>12028</v>
      </c>
      <c r="G3480">
        <v>0.8073963628983718</v>
      </c>
      <c r="H3480">
        <v>0</v>
      </c>
      <c r="I3480">
        <v>0</v>
      </c>
      <c r="J3480">
        <v>0.70407668002819301</v>
      </c>
      <c r="K3480">
        <v>0</v>
      </c>
      <c r="L3480">
        <v>0</v>
      </c>
      <c r="M3480">
        <v>0.51580117428677763</v>
      </c>
      <c r="N3480">
        <v>0</v>
      </c>
      <c r="O3480">
        <v>0</v>
      </c>
      <c r="P3480">
        <v>0.65188888682151924</v>
      </c>
      <c r="Q3480">
        <v>1.344007342572221</v>
      </c>
      <c r="R3480">
        <v>5.8466253148244034</v>
      </c>
      <c r="S3480">
        <v>0.20176285144289971</v>
      </c>
      <c r="T3480">
        <v>0.15767966487317381</v>
      </c>
      <c r="U3480">
        <v>4.2558177004489526</v>
      </c>
      <c r="V3480">
        <v>0.20544021673558341</v>
      </c>
      <c r="W3480">
        <v>11.56647555287662</v>
      </c>
      <c r="X3480">
        <v>0.34197969230511299</v>
      </c>
      <c r="Z3480" t="s">
        <v>392</v>
      </c>
      <c r="AA3480">
        <v>114</v>
      </c>
      <c r="AB3480" t="s">
        <v>3871</v>
      </c>
      <c r="AC3480" t="str">
        <f>HYPERLINK("plots/3FT6Y578R04_015_S21P_20251218081014_M5358ACSC201811_RBGEUFRF04/dpll_52084/txpa_53277.png","plot")</f>
        <v>plot</v>
      </c>
    </row>
    <row r="3481" spans="1:29" hidden="1" x14ac:dyDescent="0.35">
      <c r="A3481" t="s">
        <v>49</v>
      </c>
      <c r="B3481">
        <v>52084</v>
      </c>
      <c r="C3481" t="s">
        <v>52</v>
      </c>
      <c r="D3481">
        <v>53278</v>
      </c>
      <c r="E3481" t="s">
        <v>153</v>
      </c>
      <c r="F3481">
        <v>12027</v>
      </c>
      <c r="G3481">
        <v>0.81785233903717314</v>
      </c>
      <c r="H3481">
        <v>0</v>
      </c>
      <c r="I3481">
        <v>0</v>
      </c>
      <c r="J3481">
        <v>0.71462128419222026</v>
      </c>
      <c r="K3481">
        <v>0</v>
      </c>
      <c r="L3481">
        <v>0</v>
      </c>
      <c r="M3481">
        <v>0.52651555076921863</v>
      </c>
      <c r="N3481">
        <v>0</v>
      </c>
      <c r="O3481">
        <v>0</v>
      </c>
      <c r="P3481">
        <v>0.66888244846857514</v>
      </c>
      <c r="Q3481">
        <v>1.3821899526941279</v>
      </c>
      <c r="R3481">
        <v>5.6861828930736538</v>
      </c>
      <c r="S3481">
        <v>0.19978656836961711</v>
      </c>
      <c r="T3481">
        <v>0.1572081872347191</v>
      </c>
      <c r="U3481">
        <v>4.2558247893905383</v>
      </c>
      <c r="V3481">
        <v>0.20544728689892131</v>
      </c>
      <c r="W3481">
        <v>11.56854115739586</v>
      </c>
      <c r="X3481">
        <v>0.3472108132554354</v>
      </c>
      <c r="Z3481" t="s">
        <v>392</v>
      </c>
      <c r="AA3481">
        <v>114</v>
      </c>
      <c r="AB3481" t="s">
        <v>3872</v>
      </c>
      <c r="AC3481" t="str">
        <f>HYPERLINK("plots/3FT6Y578R04_015_S21P_20251218081014_M5358ACSC201811_RBGEUFRF04/dpll_52084/txpa_53278.png","plot")</f>
        <v>plot</v>
      </c>
    </row>
    <row r="3482" spans="1:29" hidden="1" x14ac:dyDescent="0.35">
      <c r="A3482" t="s">
        <v>49</v>
      </c>
      <c r="B3482">
        <v>52084</v>
      </c>
      <c r="C3482" t="s">
        <v>52</v>
      </c>
      <c r="D3482">
        <v>53279</v>
      </c>
      <c r="E3482" t="s">
        <v>154</v>
      </c>
      <c r="F3482">
        <v>12027</v>
      </c>
      <c r="G3482">
        <v>0.81800243522548777</v>
      </c>
      <c r="H3482">
        <v>0</v>
      </c>
      <c r="I3482">
        <v>0</v>
      </c>
      <c r="J3482">
        <v>0.7105056794099982</v>
      </c>
      <c r="K3482">
        <v>0</v>
      </c>
      <c r="L3482">
        <v>0</v>
      </c>
      <c r="M3482">
        <v>0.5210729669490588</v>
      </c>
      <c r="N3482">
        <v>0</v>
      </c>
      <c r="O3482">
        <v>0</v>
      </c>
      <c r="P3482">
        <v>0.66912798403482832</v>
      </c>
      <c r="Q3482">
        <v>1.378392820552597</v>
      </c>
      <c r="R3482">
        <v>5.6847797806210369</v>
      </c>
      <c r="S3482">
        <v>0.19911021016532479</v>
      </c>
      <c r="T3482">
        <v>0.1569821671070232</v>
      </c>
      <c r="U3482">
        <v>4.2557921641307059</v>
      </c>
      <c r="V3482">
        <v>0.20542966688110781</v>
      </c>
      <c r="W3482">
        <v>11.5509331454228</v>
      </c>
      <c r="X3482">
        <v>0.34616373468298423</v>
      </c>
      <c r="Z3482" t="s">
        <v>392</v>
      </c>
      <c r="AA3482">
        <v>114</v>
      </c>
      <c r="AB3482" t="s">
        <v>3873</v>
      </c>
      <c r="AC3482" t="str">
        <f>HYPERLINK("plots/3FT6Y578R04_015_S21P_20251218081014_M5358ACSC201811_RBGEUFRF04/dpll_52084/txpa_53279.png","plot")</f>
        <v>plot</v>
      </c>
    </row>
    <row r="3483" spans="1:29" hidden="1" x14ac:dyDescent="0.35">
      <c r="A3483" t="s">
        <v>49</v>
      </c>
      <c r="B3483">
        <v>52084</v>
      </c>
      <c r="C3483" t="s">
        <v>52</v>
      </c>
      <c r="D3483">
        <v>53280</v>
      </c>
      <c r="E3483" t="s">
        <v>155</v>
      </c>
      <c r="F3483">
        <v>12027</v>
      </c>
      <c r="G3483">
        <v>0.82172529746373335</v>
      </c>
      <c r="H3483">
        <v>0</v>
      </c>
      <c r="I3483">
        <v>0</v>
      </c>
      <c r="J3483">
        <v>0.72374516612008499</v>
      </c>
      <c r="K3483">
        <v>0</v>
      </c>
      <c r="L3483">
        <v>0</v>
      </c>
      <c r="M3483">
        <v>0.53449765579180053</v>
      </c>
      <c r="N3483">
        <v>0</v>
      </c>
      <c r="O3483">
        <v>0</v>
      </c>
      <c r="P3483">
        <v>0.67523246449186103</v>
      </c>
      <c r="Q3483">
        <v>1.391168307512278</v>
      </c>
      <c r="R3483">
        <v>5.641944585794632</v>
      </c>
      <c r="S3483">
        <v>0.1981850359026972</v>
      </c>
      <c r="T3483">
        <v>0.1560335110918197</v>
      </c>
      <c r="U3483">
        <v>4.2557881821734433</v>
      </c>
      <c r="V3483">
        <v>0.20542324838451659</v>
      </c>
      <c r="W3483">
        <v>11.562462228319619</v>
      </c>
      <c r="X3483">
        <v>0.34777840436557222</v>
      </c>
      <c r="Z3483" t="s">
        <v>392</v>
      </c>
      <c r="AA3483">
        <v>114</v>
      </c>
      <c r="AB3483" t="s">
        <v>3874</v>
      </c>
      <c r="AC3483" t="str">
        <f>HYPERLINK("plots/3FT6Y578R04_015_S21P_20251218081014_M5358ACSC201811_RBGEUFRF04/dpll_52084/txpa_53280.png","plot")</f>
        <v>plot</v>
      </c>
    </row>
    <row r="3484" spans="1:29" hidden="1" x14ac:dyDescent="0.35">
      <c r="A3484" t="s">
        <v>49</v>
      </c>
      <c r="B3484">
        <v>52084</v>
      </c>
      <c r="C3484" t="s">
        <v>52</v>
      </c>
      <c r="D3484">
        <v>53281</v>
      </c>
      <c r="E3484" t="s">
        <v>156</v>
      </c>
      <c r="F3484">
        <v>12028</v>
      </c>
      <c r="G3484">
        <v>0.81983844491135216</v>
      </c>
      <c r="H3484">
        <v>0</v>
      </c>
      <c r="I3484">
        <v>0</v>
      </c>
      <c r="J3484">
        <v>0.71635171777584283</v>
      </c>
      <c r="K3484">
        <v>0</v>
      </c>
      <c r="L3484">
        <v>0</v>
      </c>
      <c r="M3484">
        <v>0.52784895924030228</v>
      </c>
      <c r="N3484">
        <v>0</v>
      </c>
      <c r="O3484">
        <v>0</v>
      </c>
      <c r="P3484">
        <v>0.67213507575466425</v>
      </c>
      <c r="Q3484">
        <v>1.3737517349168991</v>
      </c>
      <c r="R3484">
        <v>5.7241883897267192</v>
      </c>
      <c r="S3484">
        <v>0.19710373906789519</v>
      </c>
      <c r="T3484">
        <v>0.15514268124394989</v>
      </c>
      <c r="U3484">
        <v>4.2558177004489526</v>
      </c>
      <c r="V3484">
        <v>0.20544021673558341</v>
      </c>
      <c r="W3484">
        <v>11.57062533920851</v>
      </c>
      <c r="X3484">
        <v>0.34424325416055362</v>
      </c>
      <c r="Z3484" t="s">
        <v>392</v>
      </c>
      <c r="AA3484">
        <v>114</v>
      </c>
      <c r="AB3484" t="s">
        <v>3875</v>
      </c>
      <c r="AC3484" t="str">
        <f>HYPERLINK("plots/3FT6Y578R04_015_S21P_20251218081014_M5358ACSC201811_RBGEUFRF04/dpll_52084/txpa_53281.png","plot")</f>
        <v>plot</v>
      </c>
    </row>
    <row r="3485" spans="1:29" hidden="1" x14ac:dyDescent="0.35">
      <c r="A3485" t="s">
        <v>49</v>
      </c>
      <c r="B3485">
        <v>52084</v>
      </c>
      <c r="C3485" t="s">
        <v>52</v>
      </c>
      <c r="D3485">
        <v>53282</v>
      </c>
      <c r="E3485" t="s">
        <v>157</v>
      </c>
      <c r="F3485">
        <v>12027</v>
      </c>
      <c r="G3485">
        <v>0.81376755440463411</v>
      </c>
      <c r="H3485">
        <v>0</v>
      </c>
      <c r="I3485">
        <v>0</v>
      </c>
      <c r="J3485">
        <v>0.71025299595702618</v>
      </c>
      <c r="K3485">
        <v>0</v>
      </c>
      <c r="L3485">
        <v>0</v>
      </c>
      <c r="M3485">
        <v>0.52248342284407323</v>
      </c>
      <c r="N3485">
        <v>0</v>
      </c>
      <c r="O3485">
        <v>0</v>
      </c>
      <c r="P3485">
        <v>0.66221763260169908</v>
      </c>
      <c r="Q3485">
        <v>1.361097784865249</v>
      </c>
      <c r="R3485">
        <v>5.7387570093524189</v>
      </c>
      <c r="S3485">
        <v>0.19969244351363791</v>
      </c>
      <c r="T3485">
        <v>0.15623427253905031</v>
      </c>
      <c r="U3485">
        <v>4.2558401814251274</v>
      </c>
      <c r="V3485">
        <v>0.20543396214013371</v>
      </c>
      <c r="W3485">
        <v>11.53137165303068</v>
      </c>
      <c r="X3485">
        <v>0.34360636436236258</v>
      </c>
      <c r="Z3485" t="s">
        <v>392</v>
      </c>
      <c r="AA3485">
        <v>114</v>
      </c>
      <c r="AB3485" t="s">
        <v>3876</v>
      </c>
      <c r="AC3485" t="str">
        <f>HYPERLINK("plots/3FT6Y578R04_015_S21P_20251218081014_M5358ACSC201811_RBGEUFRF04/dpll_52084/txpa_53282.png","plot")</f>
        <v>plot</v>
      </c>
    </row>
    <row r="3486" spans="1:29" hidden="1" x14ac:dyDescent="0.35">
      <c r="A3486" t="s">
        <v>49</v>
      </c>
      <c r="B3486">
        <v>52084</v>
      </c>
      <c r="C3486" t="s">
        <v>52</v>
      </c>
      <c r="D3486">
        <v>53283</v>
      </c>
      <c r="E3486" t="s">
        <v>158</v>
      </c>
      <c r="F3486">
        <v>12028</v>
      </c>
      <c r="G3486">
        <v>0.80096941944766031</v>
      </c>
      <c r="H3486">
        <v>0</v>
      </c>
      <c r="I3486">
        <v>0</v>
      </c>
      <c r="J3486">
        <v>0.70123892472534211</v>
      </c>
      <c r="K3486">
        <v>0</v>
      </c>
      <c r="L3486">
        <v>0</v>
      </c>
      <c r="M3486">
        <v>0.5116294535136392</v>
      </c>
      <c r="N3486">
        <v>0</v>
      </c>
      <c r="O3486">
        <v>0</v>
      </c>
      <c r="P3486">
        <v>0.64155201089032199</v>
      </c>
      <c r="Q3486">
        <v>1.361573928183208</v>
      </c>
      <c r="R3486">
        <v>6.296242422659148</v>
      </c>
      <c r="S3486">
        <v>0.2090767670727508</v>
      </c>
      <c r="T3486">
        <v>0.1621346366847852</v>
      </c>
      <c r="U3486">
        <v>4.2558177004489526</v>
      </c>
      <c r="V3486">
        <v>0.20544021673558341</v>
      </c>
      <c r="W3486">
        <v>12.09085284669105</v>
      </c>
      <c r="X3486">
        <v>0.34922936645992209</v>
      </c>
      <c r="Z3486" t="s">
        <v>392</v>
      </c>
      <c r="AA3486">
        <v>114</v>
      </c>
      <c r="AB3486" t="s">
        <v>3877</v>
      </c>
      <c r="AC3486" t="str">
        <f>HYPERLINK("plots/3FT6Y578R04_015_S21P_20251218081014_M5358ACSC201811_RBGEUFRF04/dpll_52084/txpa_53283.png","plot")</f>
        <v>plot</v>
      </c>
    </row>
    <row r="3487" spans="1:29" hidden="1" x14ac:dyDescent="0.35">
      <c r="A3487" t="s">
        <v>49</v>
      </c>
      <c r="B3487">
        <v>52084</v>
      </c>
      <c r="C3487" t="s">
        <v>52</v>
      </c>
      <c r="D3487">
        <v>53284</v>
      </c>
      <c r="E3487" t="s">
        <v>159</v>
      </c>
      <c r="F3487">
        <v>12028</v>
      </c>
      <c r="G3487">
        <v>0.81582522056127249</v>
      </c>
      <c r="H3487">
        <v>0</v>
      </c>
      <c r="I3487">
        <v>0</v>
      </c>
      <c r="J3487">
        <v>0.71502563160675237</v>
      </c>
      <c r="K3487">
        <v>0</v>
      </c>
      <c r="L3487">
        <v>0</v>
      </c>
      <c r="M3487">
        <v>0.52698971857936072</v>
      </c>
      <c r="N3487">
        <v>0</v>
      </c>
      <c r="O3487">
        <v>0</v>
      </c>
      <c r="P3487">
        <v>0.66557079050384893</v>
      </c>
      <c r="Q3487">
        <v>1.4031611740283789</v>
      </c>
      <c r="R3487">
        <v>6.1520839000115703</v>
      </c>
      <c r="S3487">
        <v>0.20432896894637839</v>
      </c>
      <c r="T3487">
        <v>0.1600566643211315</v>
      </c>
      <c r="U3487">
        <v>4.2558177004489526</v>
      </c>
      <c r="V3487">
        <v>0.20544021673558341</v>
      </c>
      <c r="W3487">
        <v>12.123682061024279</v>
      </c>
      <c r="X3487">
        <v>0.35334251558075702</v>
      </c>
      <c r="Z3487" t="s">
        <v>392</v>
      </c>
      <c r="AA3487">
        <v>114</v>
      </c>
      <c r="AB3487" t="s">
        <v>3878</v>
      </c>
      <c r="AC3487" t="str">
        <f>HYPERLINK("plots/3FT6Y578R04_015_S21P_20251218081014_M5358ACSC201811_RBGEUFRF04/dpll_52084/txpa_53284.png","plot")</f>
        <v>plot</v>
      </c>
    </row>
    <row r="3488" spans="1:29" hidden="1" x14ac:dyDescent="0.35">
      <c r="A3488" t="s">
        <v>49</v>
      </c>
      <c r="B3488">
        <v>52084</v>
      </c>
      <c r="C3488" t="s">
        <v>52</v>
      </c>
      <c r="D3488">
        <v>53285</v>
      </c>
      <c r="E3488" t="s">
        <v>160</v>
      </c>
      <c r="F3488">
        <v>12028</v>
      </c>
      <c r="G3488">
        <v>0.81003754403625294</v>
      </c>
      <c r="H3488">
        <v>0</v>
      </c>
      <c r="I3488">
        <v>0</v>
      </c>
      <c r="J3488">
        <v>0.70553567539626305</v>
      </c>
      <c r="K3488">
        <v>0</v>
      </c>
      <c r="L3488">
        <v>0</v>
      </c>
      <c r="M3488">
        <v>0.51712750840633959</v>
      </c>
      <c r="N3488">
        <v>0</v>
      </c>
      <c r="O3488">
        <v>0</v>
      </c>
      <c r="P3488">
        <v>0.65616082274828447</v>
      </c>
      <c r="Q3488">
        <v>1.364870035045221</v>
      </c>
      <c r="R3488">
        <v>6.334311374043498</v>
      </c>
      <c r="S3488">
        <v>0.2029697144556489</v>
      </c>
      <c r="T3488">
        <v>0.15846366920896959</v>
      </c>
      <c r="U3488">
        <v>4.2558177004489526</v>
      </c>
      <c r="V3488">
        <v>0.20544021673558341</v>
      </c>
      <c r="W3488">
        <v>12.14294942800133</v>
      </c>
      <c r="X3488">
        <v>0.34615580213531999</v>
      </c>
      <c r="Z3488" t="s">
        <v>392</v>
      </c>
      <c r="AA3488">
        <v>114</v>
      </c>
      <c r="AB3488" t="s">
        <v>3879</v>
      </c>
      <c r="AC3488" t="str">
        <f>HYPERLINK("plots/3FT6Y578R04_015_S21P_20251218081014_M5358ACSC201811_RBGEUFRF04/dpll_52084/txpa_53285.png","plot")</f>
        <v>plot</v>
      </c>
    </row>
    <row r="3489" spans="1:29" hidden="1" x14ac:dyDescent="0.35">
      <c r="A3489" t="s">
        <v>49</v>
      </c>
      <c r="B3489">
        <v>52084</v>
      </c>
      <c r="C3489" t="s">
        <v>52</v>
      </c>
      <c r="D3489">
        <v>53286</v>
      </c>
      <c r="E3489" t="s">
        <v>161</v>
      </c>
      <c r="F3489">
        <v>12027</v>
      </c>
      <c r="G3489">
        <v>0.82027605121118652</v>
      </c>
      <c r="H3489">
        <v>0</v>
      </c>
      <c r="I3489">
        <v>0</v>
      </c>
      <c r="J3489">
        <v>0.71597818311947681</v>
      </c>
      <c r="K3489">
        <v>0</v>
      </c>
      <c r="L3489">
        <v>0</v>
      </c>
      <c r="M3489">
        <v>0.52774783885239651</v>
      </c>
      <c r="N3489">
        <v>0</v>
      </c>
      <c r="O3489">
        <v>0</v>
      </c>
      <c r="P3489">
        <v>0.67285280019061711</v>
      </c>
      <c r="Q3489">
        <v>1.4033814537613241</v>
      </c>
      <c r="R3489">
        <v>6.1724015623748683</v>
      </c>
      <c r="S3489">
        <v>0.20103406720867251</v>
      </c>
      <c r="T3489">
        <v>0.1580681387555174</v>
      </c>
      <c r="U3489">
        <v>4.2558247893905383</v>
      </c>
      <c r="V3489">
        <v>0.20544728689892131</v>
      </c>
      <c r="W3489">
        <v>12.14494714226324</v>
      </c>
      <c r="X3489">
        <v>0.35149253929065088</v>
      </c>
      <c r="Z3489" t="s">
        <v>392</v>
      </c>
      <c r="AA3489">
        <v>114</v>
      </c>
      <c r="AB3489" t="s">
        <v>3880</v>
      </c>
      <c r="AC3489" t="str">
        <f>HYPERLINK("plots/3FT6Y578R04_015_S21P_20251218081014_M5358ACSC201811_RBGEUFRF04/dpll_52084/txpa_53286.png","plot")</f>
        <v>plot</v>
      </c>
    </row>
    <row r="3490" spans="1:29" hidden="1" x14ac:dyDescent="0.35">
      <c r="A3490" t="s">
        <v>49</v>
      </c>
      <c r="B3490">
        <v>52084</v>
      </c>
      <c r="C3490" t="s">
        <v>52</v>
      </c>
      <c r="D3490">
        <v>53287</v>
      </c>
      <c r="E3490" t="s">
        <v>162</v>
      </c>
      <c r="F3490">
        <v>12027</v>
      </c>
      <c r="G3490">
        <v>0.82039432689806191</v>
      </c>
      <c r="H3490">
        <v>0</v>
      </c>
      <c r="I3490">
        <v>0</v>
      </c>
      <c r="J3490">
        <v>0.71190335254848791</v>
      </c>
      <c r="K3490">
        <v>0</v>
      </c>
      <c r="L3490">
        <v>0</v>
      </c>
      <c r="M3490">
        <v>0.52233259891554795</v>
      </c>
      <c r="N3490">
        <v>0</v>
      </c>
      <c r="O3490">
        <v>0</v>
      </c>
      <c r="P3490">
        <v>0.67304685160652411</v>
      </c>
      <c r="Q3490">
        <v>1.4000361194615289</v>
      </c>
      <c r="R3490">
        <v>6.1683962887991157</v>
      </c>
      <c r="S3490">
        <v>0.20044926110828179</v>
      </c>
      <c r="T3490">
        <v>0.15796024701366901</v>
      </c>
      <c r="U3490">
        <v>4.2557921641307059</v>
      </c>
      <c r="V3490">
        <v>0.20542966688110781</v>
      </c>
      <c r="W3490">
        <v>12.126659035503449</v>
      </c>
      <c r="X3490">
        <v>0.35057404008382143</v>
      </c>
      <c r="Z3490" t="s">
        <v>392</v>
      </c>
      <c r="AA3490">
        <v>114</v>
      </c>
      <c r="AB3490" t="s">
        <v>3881</v>
      </c>
      <c r="AC3490" t="str">
        <f>HYPERLINK("plots/3FT6Y578R04_015_S21P_20251218081014_M5358ACSC201811_RBGEUFRF04/dpll_52084/txpa_53287.png","plot")</f>
        <v>plot</v>
      </c>
    </row>
    <row r="3491" spans="1:29" hidden="1" x14ac:dyDescent="0.35">
      <c r="A3491" t="s">
        <v>49</v>
      </c>
      <c r="B3491">
        <v>52084</v>
      </c>
      <c r="C3491" t="s">
        <v>52</v>
      </c>
      <c r="D3491">
        <v>53288</v>
      </c>
      <c r="E3491" t="s">
        <v>163</v>
      </c>
      <c r="F3491">
        <v>12027</v>
      </c>
      <c r="G3491">
        <v>0.82405408435230876</v>
      </c>
      <c r="H3491">
        <v>0</v>
      </c>
      <c r="I3491">
        <v>0</v>
      </c>
      <c r="J3491">
        <v>0.72486282969680182</v>
      </c>
      <c r="K3491">
        <v>0</v>
      </c>
      <c r="L3491">
        <v>0</v>
      </c>
      <c r="M3491">
        <v>0.53556891675903706</v>
      </c>
      <c r="N3491">
        <v>0</v>
      </c>
      <c r="O3491">
        <v>0</v>
      </c>
      <c r="P3491">
        <v>0.67906513393772194</v>
      </c>
      <c r="Q3491">
        <v>1.412132942875036</v>
      </c>
      <c r="R3491">
        <v>6.1288486161159756</v>
      </c>
      <c r="S3491">
        <v>0.1994159333646861</v>
      </c>
      <c r="T3491">
        <v>0.15687945339262821</v>
      </c>
      <c r="U3491">
        <v>4.2557881821734433</v>
      </c>
      <c r="V3491">
        <v>0.20542324838451659</v>
      </c>
      <c r="W3491">
        <v>12.13858730606136</v>
      </c>
      <c r="X3491">
        <v>0.35202172015709188</v>
      </c>
      <c r="Z3491" t="s">
        <v>392</v>
      </c>
      <c r="AA3491">
        <v>114</v>
      </c>
      <c r="AB3491" t="s">
        <v>3882</v>
      </c>
      <c r="AC3491" t="str">
        <f>HYPERLINK("plots/3FT6Y578R04_015_S21P_20251218081014_M5358ACSC201811_RBGEUFRF04/dpll_52084/txpa_53288.png","plot")</f>
        <v>plot</v>
      </c>
    </row>
    <row r="3492" spans="1:29" hidden="1" x14ac:dyDescent="0.35">
      <c r="A3492" t="s">
        <v>49</v>
      </c>
      <c r="B3492">
        <v>52084</v>
      </c>
      <c r="C3492" t="s">
        <v>52</v>
      </c>
      <c r="D3492">
        <v>53289</v>
      </c>
      <c r="E3492" t="s">
        <v>164</v>
      </c>
      <c r="F3492">
        <v>12028</v>
      </c>
      <c r="G3492">
        <v>0.82232614185889907</v>
      </c>
      <c r="H3492">
        <v>0</v>
      </c>
      <c r="I3492">
        <v>0</v>
      </c>
      <c r="J3492">
        <v>0.71771888693723263</v>
      </c>
      <c r="K3492">
        <v>0</v>
      </c>
      <c r="L3492">
        <v>0</v>
      </c>
      <c r="M3492">
        <v>0.52909772894225682</v>
      </c>
      <c r="N3492">
        <v>0</v>
      </c>
      <c r="O3492">
        <v>0</v>
      </c>
      <c r="P3492">
        <v>0.67622028358454223</v>
      </c>
      <c r="Q3492">
        <v>1.3947215680091021</v>
      </c>
      <c r="R3492">
        <v>6.211376018740447</v>
      </c>
      <c r="S3492">
        <v>0.1982602500773045</v>
      </c>
      <c r="T3492">
        <v>0.15590517698060541</v>
      </c>
      <c r="U3492">
        <v>4.2558177004489526</v>
      </c>
      <c r="V3492">
        <v>0.20544021673558341</v>
      </c>
      <c r="W3492">
        <v>12.1470567550715</v>
      </c>
      <c r="X3492">
        <v>0.34844070573977698</v>
      </c>
      <c r="Z3492" t="s">
        <v>392</v>
      </c>
      <c r="AA3492">
        <v>114</v>
      </c>
      <c r="AB3492" t="s">
        <v>3883</v>
      </c>
      <c r="AC3492" t="str">
        <f>HYPERLINK("plots/3FT6Y578R04_015_S21P_20251218081014_M5358ACSC201811_RBGEUFRF04/dpll_52084/txpa_53289.png","plot")</f>
        <v>plot</v>
      </c>
    </row>
    <row r="3493" spans="1:29" hidden="1" x14ac:dyDescent="0.35">
      <c r="A3493" t="s">
        <v>49</v>
      </c>
      <c r="B3493">
        <v>52084</v>
      </c>
      <c r="C3493" t="s">
        <v>52</v>
      </c>
      <c r="D3493">
        <v>53290</v>
      </c>
      <c r="E3493" t="s">
        <v>165</v>
      </c>
      <c r="F3493">
        <v>12027</v>
      </c>
      <c r="G3493">
        <v>0.81597376391899523</v>
      </c>
      <c r="H3493">
        <v>0</v>
      </c>
      <c r="I3493">
        <v>0</v>
      </c>
      <c r="J3493">
        <v>0.71112858527813161</v>
      </c>
      <c r="K3493">
        <v>0</v>
      </c>
      <c r="L3493">
        <v>0</v>
      </c>
      <c r="M3493">
        <v>0.52330777389132421</v>
      </c>
      <c r="N3493">
        <v>0</v>
      </c>
      <c r="O3493">
        <v>0</v>
      </c>
      <c r="P3493">
        <v>0.6658131834041322</v>
      </c>
      <c r="Q3493">
        <v>1.381086629472686</v>
      </c>
      <c r="R3493">
        <v>6.2299626367254382</v>
      </c>
      <c r="S3493">
        <v>0.20099884831669471</v>
      </c>
      <c r="T3493">
        <v>0.15708342621617091</v>
      </c>
      <c r="U3493">
        <v>4.2558401814251274</v>
      </c>
      <c r="V3493">
        <v>0.20543396214013371</v>
      </c>
      <c r="W3493">
        <v>12.10764660846429</v>
      </c>
      <c r="X3493">
        <v>0.3477098295276842</v>
      </c>
      <c r="Z3493" t="s">
        <v>392</v>
      </c>
      <c r="AA3493">
        <v>114</v>
      </c>
      <c r="AB3493" t="s">
        <v>3884</v>
      </c>
      <c r="AC3493" t="str">
        <f>HYPERLINK("plots/3FT6Y578R04_015_S21P_20251218081014_M5358ACSC201811_RBGEUFRF04/dpll_52084/txpa_53290.png","plot")</f>
        <v>plot</v>
      </c>
    </row>
    <row r="3494" spans="1:29" hidden="1" x14ac:dyDescent="0.35">
      <c r="A3494" t="s">
        <v>49</v>
      </c>
      <c r="B3494">
        <v>52084</v>
      </c>
      <c r="C3494" t="s">
        <v>52</v>
      </c>
      <c r="D3494">
        <v>54146</v>
      </c>
      <c r="E3494" t="s">
        <v>166</v>
      </c>
      <c r="F3494">
        <v>12028</v>
      </c>
      <c r="G3494">
        <v>-6.4991075819399134E-3</v>
      </c>
      <c r="H3494">
        <v>0.47602824257400478</v>
      </c>
      <c r="I3494">
        <v>0.47696900985181911</v>
      </c>
      <c r="J3494">
        <v>-1.045105109166693E-2</v>
      </c>
      <c r="K3494">
        <v>0.25175280659475879</v>
      </c>
      <c r="L3494">
        <v>0.25300034280186862</v>
      </c>
      <c r="M3494">
        <v>-6.8979242333460826E-3</v>
      </c>
      <c r="N3494">
        <v>0.2565505548019652</v>
      </c>
      <c r="O3494">
        <v>0.25782186577719801</v>
      </c>
      <c r="P3494">
        <v>4.2238399361628868E-5</v>
      </c>
      <c r="Q3494">
        <v>-0.13855235410607861</v>
      </c>
      <c r="R3494">
        <v>-11.295711490918571</v>
      </c>
      <c r="S3494">
        <v>4.3794383923977431</v>
      </c>
      <c r="T3494">
        <v>3.375967609581255</v>
      </c>
      <c r="U3494">
        <v>4.2558177004489526</v>
      </c>
      <c r="V3494">
        <v>0.20544021673558341</v>
      </c>
      <c r="W3494">
        <v>-11.88536505196209</v>
      </c>
      <c r="X3494">
        <v>4.3797129525715333</v>
      </c>
      <c r="Z3494" t="s">
        <v>392</v>
      </c>
      <c r="AA3494">
        <v>114</v>
      </c>
      <c r="AB3494" t="s">
        <v>3885</v>
      </c>
      <c r="AC3494" t="str">
        <f>HYPERLINK("plots/3FT6Y578R04_015_S21P_20251218081014_M5358ACSC201811_RBGEUFRF04/dpll_52084/txpa_54146.png","plot")</f>
        <v>plot</v>
      </c>
    </row>
    <row r="3495" spans="1:29" hidden="1" x14ac:dyDescent="0.35">
      <c r="A3495" t="s">
        <v>49</v>
      </c>
      <c r="B3495">
        <v>52084</v>
      </c>
      <c r="C3495" t="s">
        <v>52</v>
      </c>
      <c r="D3495">
        <v>54147</v>
      </c>
      <c r="E3495" t="s">
        <v>167</v>
      </c>
      <c r="F3495">
        <v>12028</v>
      </c>
      <c r="G3495">
        <v>0.25705150220198558</v>
      </c>
      <c r="H3495">
        <v>8.6313022755622847E-181</v>
      </c>
      <c r="I3495">
        <v>8.8138373690031784E-181</v>
      </c>
      <c r="J3495">
        <v>0.2431648164958948</v>
      </c>
      <c r="K3495">
        <v>2.048467493613025E-161</v>
      </c>
      <c r="L3495">
        <v>2.093897216253637E-161</v>
      </c>
      <c r="M3495">
        <v>0.16445431806109451</v>
      </c>
      <c r="N3495">
        <v>9.7538730228104227E-161</v>
      </c>
      <c r="O3495">
        <v>9.9701887551711375E-161</v>
      </c>
      <c r="P3495">
        <v>6.6075474784297428E-2</v>
      </c>
      <c r="Q3495">
        <v>1.4788430835169051</v>
      </c>
      <c r="R3495">
        <v>-27.556654601446748</v>
      </c>
      <c r="S3495">
        <v>1.142155535062666</v>
      </c>
      <c r="T3495">
        <v>0.88161360417296242</v>
      </c>
      <c r="U3495">
        <v>4.2558177004489526</v>
      </c>
      <c r="V3495">
        <v>0.20544021673558341</v>
      </c>
      <c r="W3495">
        <v>-21.262968030429001</v>
      </c>
      <c r="X3495">
        <v>1.1819181797930169</v>
      </c>
      <c r="Z3495" t="s">
        <v>392</v>
      </c>
      <c r="AA3495">
        <v>114</v>
      </c>
      <c r="AB3495" t="s">
        <v>3886</v>
      </c>
      <c r="AC3495" t="str">
        <f>HYPERLINK("plots/3FT6Y578R04_015_S21P_20251218081014_M5358ACSC201811_RBGEUFRF04/dpll_52084/txpa_54147.png","plot")</f>
        <v>plot</v>
      </c>
    </row>
    <row r="3496" spans="1:29" hidden="1" x14ac:dyDescent="0.35">
      <c r="A3496" t="s">
        <v>49</v>
      </c>
      <c r="B3496">
        <v>52084</v>
      </c>
      <c r="C3496" t="s">
        <v>52</v>
      </c>
      <c r="D3496">
        <v>54148</v>
      </c>
      <c r="E3496" t="s">
        <v>168</v>
      </c>
      <c r="F3496">
        <v>12028</v>
      </c>
      <c r="G3496">
        <v>0.2836610281022206</v>
      </c>
      <c r="H3496">
        <v>2.2318672593125928E-221</v>
      </c>
      <c r="I3496">
        <v>2.3500658369085871E-221</v>
      </c>
      <c r="J3496">
        <v>0.2611474365676385</v>
      </c>
      <c r="K3496">
        <v>9.7179699480787849E-187</v>
      </c>
      <c r="L3496">
        <v>1.013788222978589E-186</v>
      </c>
      <c r="M3496">
        <v>0.17625899479871099</v>
      </c>
      <c r="N3496">
        <v>2.016720555132006E-184</v>
      </c>
      <c r="O3496">
        <v>2.09954275452141E-184</v>
      </c>
      <c r="P3496">
        <v>8.0463578864008789E-2</v>
      </c>
      <c r="Q3496">
        <v>1.610181659253221</v>
      </c>
      <c r="R3496">
        <v>-28.01488749049188</v>
      </c>
      <c r="S3496">
        <v>1.1182195504001811</v>
      </c>
      <c r="T3496">
        <v>0.86258814018261998</v>
      </c>
      <c r="U3496">
        <v>4.2558177004489526</v>
      </c>
      <c r="V3496">
        <v>0.20544021673558341</v>
      </c>
      <c r="W3496">
        <v>-21.16224788410376</v>
      </c>
      <c r="X3496">
        <v>1.1661667846082711</v>
      </c>
      <c r="Z3496" t="s">
        <v>392</v>
      </c>
      <c r="AA3496">
        <v>114</v>
      </c>
      <c r="AB3496" t="s">
        <v>3887</v>
      </c>
      <c r="AC3496" t="str">
        <f>HYPERLINK("plots/3FT6Y578R04_015_S21P_20251218081014_M5358ACSC201811_RBGEUFRF04/dpll_52084/txpa_54148.png","plot")</f>
        <v>plot</v>
      </c>
    </row>
    <row r="3497" spans="1:29" hidden="1" x14ac:dyDescent="0.35">
      <c r="A3497" t="s">
        <v>49</v>
      </c>
      <c r="B3497">
        <v>52084</v>
      </c>
      <c r="C3497" t="s">
        <v>52</v>
      </c>
      <c r="D3497">
        <v>54149</v>
      </c>
      <c r="E3497" t="s">
        <v>169</v>
      </c>
      <c r="F3497">
        <v>12028</v>
      </c>
      <c r="G3497">
        <v>0.26448147340820738</v>
      </c>
      <c r="H3497">
        <v>1.16438860955334E-191</v>
      </c>
      <c r="I3497">
        <v>1.204785765394986E-191</v>
      </c>
      <c r="J3497">
        <v>0.24905439227924581</v>
      </c>
      <c r="K3497">
        <v>1.7478086429903531E-169</v>
      </c>
      <c r="L3497">
        <v>1.7974421541503229E-169</v>
      </c>
      <c r="M3497">
        <v>0.16811150615347359</v>
      </c>
      <c r="N3497">
        <v>7.0371248287201228E-168</v>
      </c>
      <c r="O3497">
        <v>7.2443092145403093E-168</v>
      </c>
      <c r="P3497">
        <v>6.9950449776176302E-2</v>
      </c>
      <c r="Q3497">
        <v>1.525078486416259</v>
      </c>
      <c r="R3497">
        <v>-27.686077930931859</v>
      </c>
      <c r="S3497">
        <v>1.1423978916766691</v>
      </c>
      <c r="T3497">
        <v>0.87912321995120812</v>
      </c>
      <c r="U3497">
        <v>4.2558177004489526</v>
      </c>
      <c r="V3497">
        <v>0.20544021673558341</v>
      </c>
      <c r="W3497">
        <v>-21.19562191386764</v>
      </c>
      <c r="X3497">
        <v>1.1846291188213309</v>
      </c>
      <c r="Z3497" t="s">
        <v>392</v>
      </c>
      <c r="AA3497">
        <v>114</v>
      </c>
      <c r="AB3497" t="s">
        <v>3888</v>
      </c>
      <c r="AC3497" t="str">
        <f>HYPERLINK("plots/3FT6Y578R04_015_S21P_20251218081014_M5358ACSC201811_RBGEUFRF04/dpll_52084/txpa_54149.png","plot")</f>
        <v>plot</v>
      </c>
    </row>
    <row r="3498" spans="1:29" hidden="1" x14ac:dyDescent="0.35">
      <c r="A3498" t="s">
        <v>49</v>
      </c>
      <c r="B3498">
        <v>52084</v>
      </c>
      <c r="C3498" t="s">
        <v>52</v>
      </c>
      <c r="D3498">
        <v>54150</v>
      </c>
      <c r="E3498" t="s">
        <v>170</v>
      </c>
      <c r="F3498">
        <v>12028</v>
      </c>
      <c r="G3498">
        <v>0.27777375127039122</v>
      </c>
      <c r="H3498">
        <v>5.3430278445309129E-212</v>
      </c>
      <c r="I3498">
        <v>5.5911560726051049E-212</v>
      </c>
      <c r="J3498">
        <v>0.26127416416579158</v>
      </c>
      <c r="K3498">
        <v>6.3360111242588836E-187</v>
      </c>
      <c r="L3498">
        <v>6.6234178144314518E-187</v>
      </c>
      <c r="M3498">
        <v>0.17660824010231951</v>
      </c>
      <c r="N3498">
        <v>3.3389726562254168E-185</v>
      </c>
      <c r="O3498">
        <v>3.4868365328656777E-185</v>
      </c>
      <c r="P3498">
        <v>7.7158256894825167E-2</v>
      </c>
      <c r="Q3498">
        <v>1.5802811332220701</v>
      </c>
      <c r="R3498">
        <v>-27.788874131787569</v>
      </c>
      <c r="S3498">
        <v>1.122727025987126</v>
      </c>
      <c r="T3498">
        <v>0.85459766726587338</v>
      </c>
      <c r="U3498">
        <v>4.2558177004489526</v>
      </c>
      <c r="V3498">
        <v>0.20544021673558341</v>
      </c>
      <c r="W3498">
        <v>-21.063485713335549</v>
      </c>
      <c r="X3498">
        <v>1.168768816446845</v>
      </c>
      <c r="Z3498" t="s">
        <v>392</v>
      </c>
      <c r="AA3498">
        <v>114</v>
      </c>
      <c r="AB3498" t="s">
        <v>3889</v>
      </c>
      <c r="AC3498" t="str">
        <f>HYPERLINK("plots/3FT6Y578R04_015_S21P_20251218081014_M5358ACSC201811_RBGEUFRF04/dpll_52084/txpa_54150.png","plot")</f>
        <v>plot</v>
      </c>
    </row>
    <row r="3499" spans="1:29" hidden="1" x14ac:dyDescent="0.35">
      <c r="A3499" t="s">
        <v>49</v>
      </c>
      <c r="B3499">
        <v>52084</v>
      </c>
      <c r="C3499" t="s">
        <v>52</v>
      </c>
      <c r="D3499">
        <v>54151</v>
      </c>
      <c r="E3499" t="s">
        <v>171</v>
      </c>
      <c r="F3499">
        <v>12028</v>
      </c>
      <c r="G3499">
        <v>0.26798435446304958</v>
      </c>
      <c r="H3499">
        <v>6.5779518807531306E-197</v>
      </c>
      <c r="I3499">
        <v>6.8270657186117441E-197</v>
      </c>
      <c r="J3499">
        <v>0.26055781016068541</v>
      </c>
      <c r="K3499">
        <v>7.0877000941682128E-186</v>
      </c>
      <c r="L3499">
        <v>7.3863596048166153E-186</v>
      </c>
      <c r="M3499">
        <v>0.1766437134352041</v>
      </c>
      <c r="N3499">
        <v>3.0821164610431248E-185</v>
      </c>
      <c r="O3499">
        <v>3.2219238056677618E-185</v>
      </c>
      <c r="P3499">
        <v>7.1815614236977396E-2</v>
      </c>
      <c r="Q3499">
        <v>1.513994297895696</v>
      </c>
      <c r="R3499">
        <v>-27.556992150884401</v>
      </c>
      <c r="S3499">
        <v>1.1181481235497941</v>
      </c>
      <c r="T3499">
        <v>0.85724619684860692</v>
      </c>
      <c r="U3499">
        <v>4.2558177004489526</v>
      </c>
      <c r="V3499">
        <v>0.20544021673558341</v>
      </c>
      <c r="W3499">
        <v>-21.113708419521121</v>
      </c>
      <c r="X3499">
        <v>1.1606472971877011</v>
      </c>
      <c r="Z3499" t="s">
        <v>392</v>
      </c>
      <c r="AA3499">
        <v>114</v>
      </c>
      <c r="AB3499" t="s">
        <v>3890</v>
      </c>
      <c r="AC3499" t="str">
        <f>HYPERLINK("plots/3FT6Y578R04_015_S21P_20251218081014_M5358ACSC201811_RBGEUFRF04/dpll_52084/txpa_54151.png","plot")</f>
        <v>plot</v>
      </c>
    </row>
    <row r="3500" spans="1:29" hidden="1" x14ac:dyDescent="0.35">
      <c r="A3500" t="s">
        <v>49</v>
      </c>
      <c r="B3500">
        <v>52084</v>
      </c>
      <c r="C3500" t="s">
        <v>52</v>
      </c>
      <c r="D3500">
        <v>54152</v>
      </c>
      <c r="E3500" t="s">
        <v>172</v>
      </c>
      <c r="F3500">
        <v>12028</v>
      </c>
      <c r="G3500">
        <v>0.27886649280138892</v>
      </c>
      <c r="H3500">
        <v>1.009910266577065E-213</v>
      </c>
      <c r="I3500">
        <v>1.0589958741563011E-213</v>
      </c>
      <c r="J3500">
        <v>0.26463851978294128</v>
      </c>
      <c r="K3500">
        <v>6.8000260052736777E-192</v>
      </c>
      <c r="L3500">
        <v>7.1900170691840563E-192</v>
      </c>
      <c r="M3500">
        <v>0.17938797355778349</v>
      </c>
      <c r="N3500">
        <v>5.9418221111647555E-191</v>
      </c>
      <c r="O3500">
        <v>6.2760496049177723E-191</v>
      </c>
      <c r="P3500">
        <v>7.776652080734707E-2</v>
      </c>
      <c r="Q3500">
        <v>1.5804982813130799</v>
      </c>
      <c r="R3500">
        <v>-27.87545471777587</v>
      </c>
      <c r="S3500">
        <v>1.118112610179282</v>
      </c>
      <c r="T3500">
        <v>0.86025434426562908</v>
      </c>
      <c r="U3500">
        <v>4.2558177004489526</v>
      </c>
      <c r="V3500">
        <v>0.20544021673558341</v>
      </c>
      <c r="W3500">
        <v>-21.149142156634522</v>
      </c>
      <c r="X3500">
        <v>1.164348954947517</v>
      </c>
      <c r="Z3500" t="s">
        <v>392</v>
      </c>
      <c r="AA3500">
        <v>114</v>
      </c>
      <c r="AB3500" t="s">
        <v>3891</v>
      </c>
      <c r="AC3500" t="str">
        <f>HYPERLINK("plots/3FT6Y578R04_015_S21P_20251218081014_M5358ACSC201811_RBGEUFRF04/dpll_52084/txpa_54152.png","plot")</f>
        <v>plot</v>
      </c>
    </row>
    <row r="3501" spans="1:29" hidden="1" x14ac:dyDescent="0.35">
      <c r="A3501" t="s">
        <v>49</v>
      </c>
      <c r="B3501">
        <v>52084</v>
      </c>
      <c r="C3501" t="s">
        <v>52</v>
      </c>
      <c r="D3501">
        <v>54153</v>
      </c>
      <c r="E3501" t="s">
        <v>173</v>
      </c>
      <c r="F3501">
        <v>12028</v>
      </c>
      <c r="G3501">
        <v>0.26061639512015972</v>
      </c>
      <c r="H3501">
        <v>5.8192215566999694E-186</v>
      </c>
      <c r="I3501">
        <v>5.9663201804790383E-186</v>
      </c>
      <c r="J3501">
        <v>0.24957204191576321</v>
      </c>
      <c r="K3501">
        <v>3.3333401950627311E-170</v>
      </c>
      <c r="L3501">
        <v>3.4349664205219613E-170</v>
      </c>
      <c r="M3501">
        <v>0.16805228384971199</v>
      </c>
      <c r="N3501">
        <v>7.6368573225582688E-168</v>
      </c>
      <c r="O3501">
        <v>7.8537254818195587E-168</v>
      </c>
      <c r="P3501">
        <v>6.7920905405427182E-2</v>
      </c>
      <c r="Q3501">
        <v>1.4835388278454531</v>
      </c>
      <c r="R3501">
        <v>-27.484058960480159</v>
      </c>
      <c r="S3501">
        <v>1.12899229522138</v>
      </c>
      <c r="T3501">
        <v>0.86773453452866478</v>
      </c>
      <c r="U3501">
        <v>4.2558177004489526</v>
      </c>
      <c r="V3501">
        <v>0.20544021673558341</v>
      </c>
      <c r="W3501">
        <v>-21.170388157632189</v>
      </c>
      <c r="X3501">
        <v>1.16945266696557</v>
      </c>
      <c r="Z3501" t="s">
        <v>392</v>
      </c>
      <c r="AA3501">
        <v>114</v>
      </c>
      <c r="AB3501" t="s">
        <v>3892</v>
      </c>
      <c r="AC3501" t="str">
        <f>HYPERLINK("plots/3FT6Y578R04_015_S21P_20251218081014_M5358ACSC201811_RBGEUFRF04/dpll_52084/txpa_54153.png","plot")</f>
        <v>plot</v>
      </c>
    </row>
    <row r="3502" spans="1:29" hidden="1" x14ac:dyDescent="0.35">
      <c r="A3502" t="s">
        <v>49</v>
      </c>
      <c r="B3502">
        <v>52084</v>
      </c>
      <c r="C3502" t="s">
        <v>52</v>
      </c>
      <c r="D3502">
        <v>54154</v>
      </c>
      <c r="E3502" t="s">
        <v>174</v>
      </c>
      <c r="F3502">
        <v>12028</v>
      </c>
      <c r="G3502">
        <v>0.2317323750215784</v>
      </c>
      <c r="H3502">
        <v>2.280125519006733E-146</v>
      </c>
      <c r="I3502">
        <v>2.2936976947151061E-146</v>
      </c>
      <c r="J3502">
        <v>0.21641123093076159</v>
      </c>
      <c r="K3502">
        <v>1.848396437403381E-127</v>
      </c>
      <c r="L3502">
        <v>1.8612452706326E-127</v>
      </c>
      <c r="M3502">
        <v>0.1462023695622951</v>
      </c>
      <c r="N3502">
        <v>1.9010868846255668E-127</v>
      </c>
      <c r="O3502">
        <v>1.9143019871006211E-127</v>
      </c>
      <c r="P3502">
        <v>5.3699893633141448E-2</v>
      </c>
      <c r="Q3502">
        <v>1.340992457540648</v>
      </c>
      <c r="R3502">
        <v>-27.00654374109374</v>
      </c>
      <c r="S3502">
        <v>1.156435665435074</v>
      </c>
      <c r="T3502">
        <v>0.89674340660056273</v>
      </c>
      <c r="U3502">
        <v>4.2558177004489526</v>
      </c>
      <c r="V3502">
        <v>0.20544021673558341</v>
      </c>
      <c r="W3502">
        <v>-21.299524304123711</v>
      </c>
      <c r="X3502">
        <v>1.1888445932178451</v>
      </c>
      <c r="Z3502" t="s">
        <v>392</v>
      </c>
      <c r="AA3502">
        <v>114</v>
      </c>
      <c r="AB3502" t="s">
        <v>3893</v>
      </c>
      <c r="AC3502" t="str">
        <f>HYPERLINK("plots/3FT6Y578R04_015_S21P_20251218081014_M5358ACSC201811_RBGEUFRF04/dpll_52084/txpa_54154.png","plot")</f>
        <v>plot</v>
      </c>
    </row>
    <row r="3503" spans="1:29" hidden="1" x14ac:dyDescent="0.35">
      <c r="A3503" t="s">
        <v>49</v>
      </c>
      <c r="B3503">
        <v>52084</v>
      </c>
      <c r="C3503" t="s">
        <v>52</v>
      </c>
      <c r="D3503">
        <v>54155</v>
      </c>
      <c r="E3503" t="s">
        <v>175</v>
      </c>
      <c r="F3503">
        <v>12028</v>
      </c>
      <c r="G3503">
        <v>0.52460228094251693</v>
      </c>
      <c r="H3503">
        <v>0</v>
      </c>
      <c r="I3503">
        <v>0</v>
      </c>
      <c r="J3503">
        <v>0.46265889516331982</v>
      </c>
      <c r="K3503">
        <v>0</v>
      </c>
      <c r="L3503">
        <v>0</v>
      </c>
      <c r="M3503">
        <v>0.31964002287596482</v>
      </c>
      <c r="N3503">
        <v>0</v>
      </c>
      <c r="O3503">
        <v>0</v>
      </c>
      <c r="P3503">
        <v>0.27520755317009138</v>
      </c>
      <c r="Q3503">
        <v>0.83649529456494809</v>
      </c>
      <c r="R3503">
        <v>-15.1415078776927</v>
      </c>
      <c r="S3503">
        <v>0.27887370561413971</v>
      </c>
      <c r="T3503">
        <v>0.21663360045152971</v>
      </c>
      <c r="U3503">
        <v>4.2558177004489526</v>
      </c>
      <c r="V3503">
        <v>0.20544021673558341</v>
      </c>
      <c r="W3503">
        <v>-11.58153639674094</v>
      </c>
      <c r="X3503">
        <v>0.32758106637464079</v>
      </c>
      <c r="Z3503" t="s">
        <v>392</v>
      </c>
      <c r="AA3503">
        <v>114</v>
      </c>
      <c r="AB3503" t="s">
        <v>3894</v>
      </c>
      <c r="AC3503" t="str">
        <f>HYPERLINK("plots/3FT6Y578R04_015_S21P_20251218081014_M5358ACSC201811_RBGEUFRF04/dpll_52084/txpa_54155.png","plot")</f>
        <v>plot</v>
      </c>
    </row>
    <row r="3504" spans="1:29" hidden="1" x14ac:dyDescent="0.35">
      <c r="A3504" t="s">
        <v>49</v>
      </c>
      <c r="B3504">
        <v>52084</v>
      </c>
      <c r="C3504" t="s">
        <v>52</v>
      </c>
      <c r="D3504">
        <v>54156</v>
      </c>
      <c r="E3504" t="s">
        <v>176</v>
      </c>
      <c r="F3504">
        <v>12028</v>
      </c>
      <c r="G3504">
        <v>0.55395476649895403</v>
      </c>
      <c r="H3504">
        <v>0</v>
      </c>
      <c r="I3504">
        <v>0</v>
      </c>
      <c r="J3504">
        <v>0.48256579449281978</v>
      </c>
      <c r="K3504">
        <v>0</v>
      </c>
      <c r="L3504">
        <v>0</v>
      </c>
      <c r="M3504">
        <v>0.33573904947370692</v>
      </c>
      <c r="N3504">
        <v>0</v>
      </c>
      <c r="O3504">
        <v>0</v>
      </c>
      <c r="P3504">
        <v>0.30686588332691073</v>
      </c>
      <c r="Q3504">
        <v>0.88486636758787285</v>
      </c>
      <c r="R3504">
        <v>-15.2848033010593</v>
      </c>
      <c r="S3504">
        <v>0.27319920620264498</v>
      </c>
      <c r="T3504">
        <v>0.21337955668858369</v>
      </c>
      <c r="U3504">
        <v>4.2558177004489526</v>
      </c>
      <c r="V3504">
        <v>0.20544021673558341</v>
      </c>
      <c r="W3504">
        <v>-11.51897335134686</v>
      </c>
      <c r="X3504">
        <v>0.32816242287830261</v>
      </c>
      <c r="Z3504" t="s">
        <v>392</v>
      </c>
      <c r="AA3504">
        <v>114</v>
      </c>
      <c r="AB3504" t="s">
        <v>3895</v>
      </c>
      <c r="AC3504" t="str">
        <f>HYPERLINK("plots/3FT6Y578R04_015_S21P_20251218081014_M5358ACSC201811_RBGEUFRF04/dpll_52084/txpa_54156.png","plot")</f>
        <v>plot</v>
      </c>
    </row>
    <row r="3505" spans="1:29" hidden="1" x14ac:dyDescent="0.35">
      <c r="A3505" t="s">
        <v>49</v>
      </c>
      <c r="B3505">
        <v>52084</v>
      </c>
      <c r="C3505" t="s">
        <v>52</v>
      </c>
      <c r="D3505">
        <v>54157</v>
      </c>
      <c r="E3505" t="s">
        <v>177</v>
      </c>
      <c r="F3505">
        <v>12028</v>
      </c>
      <c r="G3505">
        <v>0.54660108965078058</v>
      </c>
      <c r="H3505">
        <v>0</v>
      </c>
      <c r="I3505">
        <v>0</v>
      </c>
      <c r="J3505">
        <v>0.47827937194117631</v>
      </c>
      <c r="K3505">
        <v>0</v>
      </c>
      <c r="L3505">
        <v>0</v>
      </c>
      <c r="M3505">
        <v>0.33212039040755698</v>
      </c>
      <c r="N3505">
        <v>0</v>
      </c>
      <c r="O3505">
        <v>0</v>
      </c>
      <c r="P3505">
        <v>0.29877275120742069</v>
      </c>
      <c r="Q3505">
        <v>0.85440380738171162</v>
      </c>
      <c r="R3505">
        <v>-15.149824171362051</v>
      </c>
      <c r="S3505">
        <v>0.26889918388480288</v>
      </c>
      <c r="T3505">
        <v>0.21015017464010341</v>
      </c>
      <c r="U3505">
        <v>4.2558177004489526</v>
      </c>
      <c r="V3505">
        <v>0.20544021673558341</v>
      </c>
      <c r="W3505">
        <v>-11.51363732457599</v>
      </c>
      <c r="X3505">
        <v>0.32112797923683389</v>
      </c>
      <c r="Z3505" t="s">
        <v>392</v>
      </c>
      <c r="AA3505">
        <v>114</v>
      </c>
      <c r="AB3505" t="s">
        <v>3896</v>
      </c>
      <c r="AC3505" t="str">
        <f>HYPERLINK("plots/3FT6Y578R04_015_S21P_20251218081014_M5358ACSC201811_RBGEUFRF04/dpll_52084/txpa_54157.png","plot")</f>
        <v>plot</v>
      </c>
    </row>
    <row r="3506" spans="1:29" hidden="1" x14ac:dyDescent="0.35">
      <c r="A3506" t="s">
        <v>49</v>
      </c>
      <c r="B3506">
        <v>52084</v>
      </c>
      <c r="C3506" t="s">
        <v>52</v>
      </c>
      <c r="D3506">
        <v>54158</v>
      </c>
      <c r="E3506" t="s">
        <v>178</v>
      </c>
      <c r="F3506">
        <v>12028</v>
      </c>
      <c r="G3506">
        <v>0.57371374228613981</v>
      </c>
      <c r="H3506">
        <v>0</v>
      </c>
      <c r="I3506">
        <v>0</v>
      </c>
      <c r="J3506">
        <v>0.49753809227746698</v>
      </c>
      <c r="K3506">
        <v>0</v>
      </c>
      <c r="L3506">
        <v>0</v>
      </c>
      <c r="M3506">
        <v>0.34651057809601798</v>
      </c>
      <c r="N3506">
        <v>0</v>
      </c>
      <c r="O3506">
        <v>0</v>
      </c>
      <c r="P3506">
        <v>0.32914745808796719</v>
      </c>
      <c r="Q3506">
        <v>0.92114770158476877</v>
      </c>
      <c r="R3506">
        <v>-15.38375573453572</v>
      </c>
      <c r="S3506">
        <v>0.27015621636899129</v>
      </c>
      <c r="T3506">
        <v>0.2112852274632985</v>
      </c>
      <c r="U3506">
        <v>4.2558177004489526</v>
      </c>
      <c r="V3506">
        <v>0.20544021673558341</v>
      </c>
      <c r="W3506">
        <v>-11.463519041403391</v>
      </c>
      <c r="X3506">
        <v>0.3298522756400627</v>
      </c>
      <c r="Z3506" t="s">
        <v>392</v>
      </c>
      <c r="AA3506">
        <v>114</v>
      </c>
      <c r="AB3506" t="s">
        <v>3897</v>
      </c>
      <c r="AC3506" t="str">
        <f>HYPERLINK("plots/3FT6Y578R04_015_S21P_20251218081014_M5358ACSC201811_RBGEUFRF04/dpll_52084/txpa_54158.png","plot")</f>
        <v>plot</v>
      </c>
    </row>
    <row r="3507" spans="1:29" hidden="1" x14ac:dyDescent="0.35">
      <c r="A3507" t="s">
        <v>49</v>
      </c>
      <c r="B3507">
        <v>52084</v>
      </c>
      <c r="C3507" t="s">
        <v>52</v>
      </c>
      <c r="D3507">
        <v>54159</v>
      </c>
      <c r="E3507" t="s">
        <v>179</v>
      </c>
      <c r="F3507">
        <v>12027</v>
      </c>
      <c r="G3507">
        <v>0.5616755446564301</v>
      </c>
      <c r="H3507">
        <v>0</v>
      </c>
      <c r="I3507">
        <v>0</v>
      </c>
      <c r="J3507">
        <v>0.48309877739341578</v>
      </c>
      <c r="K3507">
        <v>0</v>
      </c>
      <c r="L3507">
        <v>0</v>
      </c>
      <c r="M3507">
        <v>0.33539676486406372</v>
      </c>
      <c r="N3507">
        <v>0</v>
      </c>
      <c r="O3507">
        <v>0</v>
      </c>
      <c r="P3507">
        <v>0.31547941746509739</v>
      </c>
      <c r="Q3507">
        <v>0.890339378672377</v>
      </c>
      <c r="R3507">
        <v>-15.2705273623125</v>
      </c>
      <c r="S3507">
        <v>0.26940672273459582</v>
      </c>
      <c r="T3507">
        <v>0.21192219713549909</v>
      </c>
      <c r="U3507">
        <v>4.2557921641307059</v>
      </c>
      <c r="V3507">
        <v>0.20542966688110781</v>
      </c>
      <c r="W3507">
        <v>-11.481428011141601</v>
      </c>
      <c r="X3507">
        <v>0.32563661300881058</v>
      </c>
      <c r="Z3507" t="s">
        <v>392</v>
      </c>
      <c r="AA3507">
        <v>114</v>
      </c>
      <c r="AB3507" t="s">
        <v>3898</v>
      </c>
      <c r="AC3507" t="str">
        <f>HYPERLINK("plots/3FT6Y578R04_015_S21P_20251218081014_M5358ACSC201811_RBGEUFRF04/dpll_52084/txpa_54159.png","plot")</f>
        <v>plot</v>
      </c>
    </row>
    <row r="3508" spans="1:29" hidden="1" x14ac:dyDescent="0.35">
      <c r="A3508" t="s">
        <v>49</v>
      </c>
      <c r="B3508">
        <v>52084</v>
      </c>
      <c r="C3508" t="s">
        <v>52</v>
      </c>
      <c r="D3508">
        <v>54160</v>
      </c>
      <c r="E3508" t="s">
        <v>180</v>
      </c>
      <c r="F3508">
        <v>12028</v>
      </c>
      <c r="G3508">
        <v>0.56496739123044204</v>
      </c>
      <c r="H3508">
        <v>0</v>
      </c>
      <c r="I3508">
        <v>0</v>
      </c>
      <c r="J3508">
        <v>0.49435483706059008</v>
      </c>
      <c r="K3508">
        <v>0</v>
      </c>
      <c r="L3508">
        <v>0</v>
      </c>
      <c r="M3508">
        <v>0.34484185863019262</v>
      </c>
      <c r="N3508">
        <v>0</v>
      </c>
      <c r="O3508">
        <v>0</v>
      </c>
      <c r="P3508">
        <v>0.31918815315373128</v>
      </c>
      <c r="Q3508">
        <v>0.89243544343237002</v>
      </c>
      <c r="R3508">
        <v>-15.29526646671072</v>
      </c>
      <c r="S3508">
        <v>0.26775302784236982</v>
      </c>
      <c r="T3508">
        <v>0.20965384752966371</v>
      </c>
      <c r="U3508">
        <v>4.2558177004489526</v>
      </c>
      <c r="V3508">
        <v>0.20544021673558341</v>
      </c>
      <c r="W3508">
        <v>-11.49722391004323</v>
      </c>
      <c r="X3508">
        <v>0.3245180762060656</v>
      </c>
      <c r="Z3508" t="s">
        <v>392</v>
      </c>
      <c r="AA3508">
        <v>114</v>
      </c>
      <c r="AB3508" t="s">
        <v>3899</v>
      </c>
      <c r="AC3508" t="str">
        <f>HYPERLINK("plots/3FT6Y578R04_015_S21P_20251218081014_M5358ACSC201811_RBGEUFRF04/dpll_52084/txpa_54160.png","plot")</f>
        <v>plot</v>
      </c>
    </row>
    <row r="3509" spans="1:29" hidden="1" x14ac:dyDescent="0.35">
      <c r="A3509" t="s">
        <v>49</v>
      </c>
      <c r="B3509">
        <v>52084</v>
      </c>
      <c r="C3509" t="s">
        <v>52</v>
      </c>
      <c r="D3509">
        <v>54161</v>
      </c>
      <c r="E3509" t="s">
        <v>181</v>
      </c>
      <c r="F3509">
        <v>12028</v>
      </c>
      <c r="G3509">
        <v>0.55315842968079221</v>
      </c>
      <c r="H3509">
        <v>0</v>
      </c>
      <c r="I3509">
        <v>0</v>
      </c>
      <c r="J3509">
        <v>0.48092395453255621</v>
      </c>
      <c r="K3509">
        <v>0</v>
      </c>
      <c r="L3509">
        <v>0</v>
      </c>
      <c r="M3509">
        <v>0.33424005163805642</v>
      </c>
      <c r="N3509">
        <v>0</v>
      </c>
      <c r="O3509">
        <v>0</v>
      </c>
      <c r="P3509">
        <v>0.30598424832691989</v>
      </c>
      <c r="Q3509">
        <v>0.86722807309255823</v>
      </c>
      <c r="R3509">
        <v>-15.189914773351241</v>
      </c>
      <c r="S3509">
        <v>0.26830938697434459</v>
      </c>
      <c r="T3509">
        <v>0.2102393604363923</v>
      </c>
      <c r="U3509">
        <v>4.2558177004489526</v>
      </c>
      <c r="V3509">
        <v>0.20544021673558341</v>
      </c>
      <c r="W3509">
        <v>-11.4991501895577</v>
      </c>
      <c r="X3509">
        <v>0.32208407887434592</v>
      </c>
      <c r="Z3509" t="s">
        <v>392</v>
      </c>
      <c r="AA3509">
        <v>114</v>
      </c>
      <c r="AB3509" t="s">
        <v>3900</v>
      </c>
      <c r="AC3509" t="str">
        <f>HYPERLINK("plots/3FT6Y578R04_015_S21P_20251218081014_M5358ACSC201811_RBGEUFRF04/dpll_52084/txpa_54161.png","plot")</f>
        <v>plot</v>
      </c>
    </row>
    <row r="3510" spans="1:29" hidden="1" x14ac:dyDescent="0.35">
      <c r="A3510" t="s">
        <v>49</v>
      </c>
      <c r="B3510">
        <v>52084</v>
      </c>
      <c r="C3510" t="s">
        <v>52</v>
      </c>
      <c r="D3510">
        <v>54162</v>
      </c>
      <c r="E3510" t="s">
        <v>182</v>
      </c>
      <c r="F3510">
        <v>12028</v>
      </c>
      <c r="G3510">
        <v>0.54104047426525548</v>
      </c>
      <c r="H3510">
        <v>0</v>
      </c>
      <c r="I3510">
        <v>0</v>
      </c>
      <c r="J3510">
        <v>0.46821423287470709</v>
      </c>
      <c r="K3510">
        <v>0</v>
      </c>
      <c r="L3510">
        <v>0</v>
      </c>
      <c r="M3510">
        <v>0.32527405531371151</v>
      </c>
      <c r="N3510">
        <v>0</v>
      </c>
      <c r="O3510">
        <v>0</v>
      </c>
      <c r="P3510">
        <v>0.29272479479317259</v>
      </c>
      <c r="Q3510">
        <v>0.84903965757901734</v>
      </c>
      <c r="R3510">
        <v>-15.189412441917341</v>
      </c>
      <c r="S3510">
        <v>0.2711189338319811</v>
      </c>
      <c r="T3510">
        <v>0.21204320098718629</v>
      </c>
      <c r="U3510">
        <v>4.2558177004489526</v>
      </c>
      <c r="V3510">
        <v>0.20544021673558341</v>
      </c>
      <c r="W3510">
        <v>-11.57605443880944</v>
      </c>
      <c r="X3510">
        <v>0.32239157616999792</v>
      </c>
      <c r="Z3510" t="s">
        <v>392</v>
      </c>
      <c r="AA3510">
        <v>114</v>
      </c>
      <c r="AB3510" t="s">
        <v>3901</v>
      </c>
      <c r="AC3510" t="str">
        <f>HYPERLINK("plots/3FT6Y578R04_015_S21P_20251218081014_M5358ACSC201811_RBGEUFRF04/dpll_52084/txpa_54162.png","plot")</f>
        <v>plot</v>
      </c>
    </row>
    <row r="3511" spans="1:29" hidden="1" x14ac:dyDescent="0.35">
      <c r="A3511" t="s">
        <v>49</v>
      </c>
      <c r="B3511">
        <v>52084</v>
      </c>
      <c r="C3511" t="s">
        <v>52</v>
      </c>
      <c r="D3511">
        <v>54163</v>
      </c>
      <c r="E3511" t="s">
        <v>183</v>
      </c>
      <c r="F3511">
        <v>12028</v>
      </c>
      <c r="G3511">
        <v>0.51924508745048059</v>
      </c>
      <c r="H3511">
        <v>0</v>
      </c>
      <c r="I3511">
        <v>0</v>
      </c>
      <c r="J3511">
        <v>0.45907923864738892</v>
      </c>
      <c r="K3511">
        <v>0</v>
      </c>
      <c r="L3511">
        <v>0</v>
      </c>
      <c r="M3511">
        <v>0.31637571624077609</v>
      </c>
      <c r="N3511">
        <v>0</v>
      </c>
      <c r="O3511">
        <v>0</v>
      </c>
      <c r="P3511">
        <v>0.26961546084145721</v>
      </c>
      <c r="Q3511">
        <v>0.72871953852580751</v>
      </c>
      <c r="R3511">
        <v>-8.8283557931454659</v>
      </c>
      <c r="S3511">
        <v>0.2463946159622056</v>
      </c>
      <c r="T3511">
        <v>0.19174874229090361</v>
      </c>
      <c r="U3511">
        <v>4.2558177004489526</v>
      </c>
      <c r="V3511">
        <v>0.20544021673558341</v>
      </c>
      <c r="W3511">
        <v>-5.727058282424343</v>
      </c>
      <c r="X3511">
        <v>0.28831914552966043</v>
      </c>
      <c r="Z3511" t="s">
        <v>392</v>
      </c>
      <c r="AA3511">
        <v>114</v>
      </c>
      <c r="AB3511" t="s">
        <v>3902</v>
      </c>
      <c r="AC3511" t="str">
        <f>HYPERLINK("plots/3FT6Y578R04_015_S21P_20251218081014_M5358ACSC201811_RBGEUFRF04/dpll_52084/txpa_54163.png","plot")</f>
        <v>plot</v>
      </c>
    </row>
    <row r="3512" spans="1:29" hidden="1" x14ac:dyDescent="0.35">
      <c r="A3512" t="s">
        <v>49</v>
      </c>
      <c r="B3512">
        <v>52084</v>
      </c>
      <c r="C3512" t="s">
        <v>52</v>
      </c>
      <c r="D3512">
        <v>54164</v>
      </c>
      <c r="E3512" t="s">
        <v>184</v>
      </c>
      <c r="F3512">
        <v>12028</v>
      </c>
      <c r="G3512">
        <v>0.54713252789880606</v>
      </c>
      <c r="H3512">
        <v>0</v>
      </c>
      <c r="I3512">
        <v>0</v>
      </c>
      <c r="J3512">
        <v>0.48028678156806209</v>
      </c>
      <c r="K3512">
        <v>0</v>
      </c>
      <c r="L3512">
        <v>0</v>
      </c>
      <c r="M3512">
        <v>0.33351674866125619</v>
      </c>
      <c r="N3512">
        <v>0</v>
      </c>
      <c r="O3512">
        <v>0</v>
      </c>
      <c r="P3512">
        <v>0.29935400308493781</v>
      </c>
      <c r="Q3512">
        <v>0.7709746958721474</v>
      </c>
      <c r="R3512">
        <v>-8.9648421587708125</v>
      </c>
      <c r="S3512">
        <v>0.2423060858272057</v>
      </c>
      <c r="T3512">
        <v>0.1901087744115014</v>
      </c>
      <c r="U3512">
        <v>4.2558177004489526</v>
      </c>
      <c r="V3512">
        <v>0.20544021673558341</v>
      </c>
      <c r="W3512">
        <v>-5.6837144014798797</v>
      </c>
      <c r="X3512">
        <v>0.28948965843046931</v>
      </c>
      <c r="Z3512" t="s">
        <v>392</v>
      </c>
      <c r="AA3512">
        <v>114</v>
      </c>
      <c r="AB3512" t="s">
        <v>3903</v>
      </c>
      <c r="AC3512" t="str">
        <f>HYPERLINK("plots/3FT6Y578R04_015_S21P_20251218081014_M5358ACSC201811_RBGEUFRF04/dpll_52084/txpa_54164.png","plot")</f>
        <v>plot</v>
      </c>
    </row>
    <row r="3513" spans="1:29" hidden="1" x14ac:dyDescent="0.35">
      <c r="A3513" t="s">
        <v>49</v>
      </c>
      <c r="B3513">
        <v>52084</v>
      </c>
      <c r="C3513" t="s">
        <v>52</v>
      </c>
      <c r="D3513">
        <v>54165</v>
      </c>
      <c r="E3513" t="s">
        <v>185</v>
      </c>
      <c r="F3513">
        <v>12028</v>
      </c>
      <c r="G3513">
        <v>0.53288252578541662</v>
      </c>
      <c r="H3513">
        <v>0</v>
      </c>
      <c r="I3513">
        <v>0</v>
      </c>
      <c r="J3513">
        <v>0.46429610486556611</v>
      </c>
      <c r="K3513">
        <v>0</v>
      </c>
      <c r="L3513">
        <v>0</v>
      </c>
      <c r="M3513">
        <v>0.32138155566087551</v>
      </c>
      <c r="N3513">
        <v>0</v>
      </c>
      <c r="O3513">
        <v>0</v>
      </c>
      <c r="P3513">
        <v>0.28396378628744517</v>
      </c>
      <c r="Q3513">
        <v>0.73426081973343837</v>
      </c>
      <c r="R3513">
        <v>-8.7992551416550526</v>
      </c>
      <c r="S3513">
        <v>0.23952661645547069</v>
      </c>
      <c r="T3513">
        <v>0.18817765329352679</v>
      </c>
      <c r="U3513">
        <v>4.2558177004489526</v>
      </c>
      <c r="V3513">
        <v>0.20544021673558341</v>
      </c>
      <c r="W3513">
        <v>-5.674374948287328</v>
      </c>
      <c r="X3513">
        <v>0.28307684085559298</v>
      </c>
      <c r="Z3513" t="s">
        <v>392</v>
      </c>
      <c r="AA3513">
        <v>114</v>
      </c>
      <c r="AB3513" t="s">
        <v>3904</v>
      </c>
      <c r="AC3513" t="str">
        <f>HYPERLINK("plots/3FT6Y578R04_015_S21P_20251218081014_M5358ACSC201811_RBGEUFRF04/dpll_52084/txpa_54165.png","plot")</f>
        <v>plot</v>
      </c>
    </row>
    <row r="3514" spans="1:29" hidden="1" x14ac:dyDescent="0.35">
      <c r="A3514" t="s">
        <v>49</v>
      </c>
      <c r="B3514">
        <v>52084</v>
      </c>
      <c r="C3514" t="s">
        <v>52</v>
      </c>
      <c r="D3514">
        <v>54166</v>
      </c>
      <c r="E3514" t="s">
        <v>186</v>
      </c>
      <c r="F3514">
        <v>12028</v>
      </c>
      <c r="G3514">
        <v>0.56386131905027082</v>
      </c>
      <c r="H3514">
        <v>0</v>
      </c>
      <c r="I3514">
        <v>0</v>
      </c>
      <c r="J3514">
        <v>0.48942489300988951</v>
      </c>
      <c r="K3514">
        <v>0</v>
      </c>
      <c r="L3514">
        <v>0</v>
      </c>
      <c r="M3514">
        <v>0.34103137912141052</v>
      </c>
      <c r="N3514">
        <v>0</v>
      </c>
      <c r="O3514">
        <v>0</v>
      </c>
      <c r="P3514">
        <v>0.31793958712111131</v>
      </c>
      <c r="Q3514">
        <v>0.79667343302759153</v>
      </c>
      <c r="R3514">
        <v>-9.0383042493525316</v>
      </c>
      <c r="S3514">
        <v>0.2397103930391041</v>
      </c>
      <c r="T3514">
        <v>0.1880774313288755</v>
      </c>
      <c r="U3514">
        <v>4.2558177004489526</v>
      </c>
      <c r="V3514">
        <v>0.20544021673558341</v>
      </c>
      <c r="W3514">
        <v>-5.647807351596275</v>
      </c>
      <c r="X3514">
        <v>0.29026421430067628</v>
      </c>
      <c r="Z3514" t="s">
        <v>392</v>
      </c>
      <c r="AA3514">
        <v>114</v>
      </c>
      <c r="AB3514" t="s">
        <v>3905</v>
      </c>
      <c r="AC3514" t="str">
        <f>HYPERLINK("plots/3FT6Y578R04_015_S21P_20251218081014_M5358ACSC201811_RBGEUFRF04/dpll_52084/txpa_54166.png","plot")</f>
        <v>plot</v>
      </c>
    </row>
    <row r="3515" spans="1:29" hidden="1" x14ac:dyDescent="0.35">
      <c r="A3515" t="s">
        <v>49</v>
      </c>
      <c r="B3515">
        <v>52084</v>
      </c>
      <c r="C3515" t="s">
        <v>52</v>
      </c>
      <c r="D3515">
        <v>54167</v>
      </c>
      <c r="E3515" t="s">
        <v>187</v>
      </c>
      <c r="F3515">
        <v>12027</v>
      </c>
      <c r="G3515">
        <v>0.55405381287191824</v>
      </c>
      <c r="H3515">
        <v>0</v>
      </c>
      <c r="I3515">
        <v>0</v>
      </c>
      <c r="J3515">
        <v>0.47678011263362391</v>
      </c>
      <c r="K3515">
        <v>0</v>
      </c>
      <c r="L3515">
        <v>0</v>
      </c>
      <c r="M3515">
        <v>0.32986399010086942</v>
      </c>
      <c r="N3515">
        <v>0</v>
      </c>
      <c r="O3515">
        <v>0</v>
      </c>
      <c r="P3515">
        <v>0.30697562755791058</v>
      </c>
      <c r="Q3515">
        <v>0.77312979373043067</v>
      </c>
      <c r="R3515">
        <v>-8.9531128988570607</v>
      </c>
      <c r="S3515">
        <v>0.23862713230798199</v>
      </c>
      <c r="T3515">
        <v>0.1889668460264611</v>
      </c>
      <c r="U3515">
        <v>4.2557921641307059</v>
      </c>
      <c r="V3515">
        <v>0.20542966688110781</v>
      </c>
      <c r="W3515">
        <v>-5.6628331808431041</v>
      </c>
      <c r="X3515">
        <v>0.2866577077750706</v>
      </c>
      <c r="Z3515" t="s">
        <v>392</v>
      </c>
      <c r="AA3515">
        <v>114</v>
      </c>
      <c r="AB3515" t="s">
        <v>3906</v>
      </c>
      <c r="AC3515" t="str">
        <f>HYPERLINK("plots/3FT6Y578R04_015_S21P_20251218081014_M5358ACSC201811_RBGEUFRF04/dpll_52084/txpa_54167.png","plot")</f>
        <v>plot</v>
      </c>
    </row>
    <row r="3516" spans="1:29" hidden="1" x14ac:dyDescent="0.35">
      <c r="A3516" t="s">
        <v>49</v>
      </c>
      <c r="B3516">
        <v>52084</v>
      </c>
      <c r="C3516" t="s">
        <v>52</v>
      </c>
      <c r="D3516">
        <v>54168</v>
      </c>
      <c r="E3516" t="s">
        <v>188</v>
      </c>
      <c r="F3516">
        <v>12028</v>
      </c>
      <c r="G3516">
        <v>0.56361452432363102</v>
      </c>
      <c r="H3516">
        <v>0</v>
      </c>
      <c r="I3516">
        <v>0</v>
      </c>
      <c r="J3516">
        <v>0.4938687013280455</v>
      </c>
      <c r="K3516">
        <v>0</v>
      </c>
      <c r="L3516">
        <v>0</v>
      </c>
      <c r="M3516">
        <v>0.3441283823914234</v>
      </c>
      <c r="N3516">
        <v>0</v>
      </c>
      <c r="O3516">
        <v>0</v>
      </c>
      <c r="P3516">
        <v>0.31766133202855279</v>
      </c>
      <c r="Q3516">
        <v>0.78895019942600375</v>
      </c>
      <c r="R3516">
        <v>-9.0201949709125966</v>
      </c>
      <c r="S3516">
        <v>0.2375389409973277</v>
      </c>
      <c r="T3516">
        <v>0.18712206458785879</v>
      </c>
      <c r="U3516">
        <v>4.2558177004489526</v>
      </c>
      <c r="V3516">
        <v>0.20544021673558341</v>
      </c>
      <c r="W3516">
        <v>-5.6625667474226793</v>
      </c>
      <c r="X3516">
        <v>0.28757615882622539</v>
      </c>
      <c r="Z3516" t="s">
        <v>392</v>
      </c>
      <c r="AA3516">
        <v>114</v>
      </c>
      <c r="AB3516" t="s">
        <v>3907</v>
      </c>
      <c r="AC3516" t="str">
        <f>HYPERLINK("plots/3FT6Y578R04_015_S21P_20251218081014_M5358ACSC201811_RBGEUFRF04/dpll_52084/txpa_54168.png","plot")</f>
        <v>plot</v>
      </c>
    </row>
    <row r="3517" spans="1:29" hidden="1" x14ac:dyDescent="0.35">
      <c r="A3517" t="s">
        <v>49</v>
      </c>
      <c r="B3517">
        <v>52084</v>
      </c>
      <c r="C3517" t="s">
        <v>52</v>
      </c>
      <c r="D3517">
        <v>54169</v>
      </c>
      <c r="E3517" t="s">
        <v>189</v>
      </c>
      <c r="F3517">
        <v>12028</v>
      </c>
      <c r="G3517">
        <v>0.55197204655473442</v>
      </c>
      <c r="H3517">
        <v>0</v>
      </c>
      <c r="I3517">
        <v>0</v>
      </c>
      <c r="J3517">
        <v>0.47822725993598408</v>
      </c>
      <c r="K3517">
        <v>0</v>
      </c>
      <c r="L3517">
        <v>0</v>
      </c>
      <c r="M3517">
        <v>0.33128894674603449</v>
      </c>
      <c r="N3517">
        <v>0</v>
      </c>
      <c r="O3517">
        <v>0</v>
      </c>
      <c r="P3517">
        <v>0.30467314017782188</v>
      </c>
      <c r="Q3517">
        <v>0.75977925474901586</v>
      </c>
      <c r="R3517">
        <v>-8.8958383308579609</v>
      </c>
      <c r="S3517">
        <v>0.23579373418458249</v>
      </c>
      <c r="T3517">
        <v>0.18679723494530509</v>
      </c>
      <c r="U3517">
        <v>4.2558177004489526</v>
      </c>
      <c r="V3517">
        <v>0.20544021673558341</v>
      </c>
      <c r="W3517">
        <v>-5.6623563300631856</v>
      </c>
      <c r="X3517">
        <v>0.28278463690526751</v>
      </c>
      <c r="Z3517" t="s">
        <v>392</v>
      </c>
      <c r="AA3517">
        <v>114</v>
      </c>
      <c r="AB3517" t="s">
        <v>3908</v>
      </c>
      <c r="AC3517" t="str">
        <f>HYPERLINK("plots/3FT6Y578R04_015_S21P_20251218081014_M5358ACSC201811_RBGEUFRF04/dpll_52084/txpa_54169.png","plot")</f>
        <v>plot</v>
      </c>
    </row>
    <row r="3518" spans="1:29" hidden="1" x14ac:dyDescent="0.35">
      <c r="A3518" t="s">
        <v>49</v>
      </c>
      <c r="B3518">
        <v>52084</v>
      </c>
      <c r="C3518" t="s">
        <v>52</v>
      </c>
      <c r="D3518">
        <v>54170</v>
      </c>
      <c r="E3518" t="s">
        <v>190</v>
      </c>
      <c r="F3518">
        <v>12028</v>
      </c>
      <c r="G3518">
        <v>0.54281337578483857</v>
      </c>
      <c r="H3518">
        <v>0</v>
      </c>
      <c r="I3518">
        <v>0</v>
      </c>
      <c r="J3518">
        <v>0.47134984211608733</v>
      </c>
      <c r="K3518">
        <v>0</v>
      </c>
      <c r="L3518">
        <v>0</v>
      </c>
      <c r="M3518">
        <v>0.32741731684981562</v>
      </c>
      <c r="N3518">
        <v>0</v>
      </c>
      <c r="O3518">
        <v>0</v>
      </c>
      <c r="P3518">
        <v>0.29464636093093238</v>
      </c>
      <c r="Q3518">
        <v>0.75492436625412163</v>
      </c>
      <c r="R3518">
        <v>-8.9310342578404818</v>
      </c>
      <c r="S3518">
        <v>0.2399516652327757</v>
      </c>
      <c r="T3518">
        <v>0.18861025245947211</v>
      </c>
      <c r="U3518">
        <v>4.2558177004489526</v>
      </c>
      <c r="V3518">
        <v>0.20544021673558341</v>
      </c>
      <c r="W3518">
        <v>-5.7182137774359827</v>
      </c>
      <c r="X3518">
        <v>0.285718503524304</v>
      </c>
      <c r="Z3518" t="s">
        <v>392</v>
      </c>
      <c r="AA3518">
        <v>114</v>
      </c>
      <c r="AB3518" t="s">
        <v>3909</v>
      </c>
      <c r="AC3518" t="str">
        <f>HYPERLINK("plots/3FT6Y578R04_015_S21P_20251218081014_M5358ACSC201811_RBGEUFRF04/dpll_52084/txpa_54170.png","plot")</f>
        <v>plot</v>
      </c>
    </row>
    <row r="3519" spans="1:29" hidden="1" x14ac:dyDescent="0.35">
      <c r="A3519" t="s">
        <v>49</v>
      </c>
      <c r="B3519">
        <v>52084</v>
      </c>
      <c r="C3519" t="s">
        <v>52</v>
      </c>
      <c r="D3519">
        <v>54171</v>
      </c>
      <c r="E3519" t="s">
        <v>191</v>
      </c>
      <c r="F3519">
        <v>12028</v>
      </c>
      <c r="G3519">
        <v>0.52830848950401077</v>
      </c>
      <c r="H3519">
        <v>0</v>
      </c>
      <c r="I3519">
        <v>0</v>
      </c>
      <c r="J3519">
        <v>0.47205108973772919</v>
      </c>
      <c r="K3519">
        <v>0</v>
      </c>
      <c r="L3519">
        <v>0</v>
      </c>
      <c r="M3519">
        <v>0.3258296883326216</v>
      </c>
      <c r="N3519">
        <v>0</v>
      </c>
      <c r="O3519">
        <v>0</v>
      </c>
      <c r="P3519">
        <v>0.27910986008200939</v>
      </c>
      <c r="Q3519">
        <v>0.73727715043750652</v>
      </c>
      <c r="R3519">
        <v>-5.7861349488474536</v>
      </c>
      <c r="S3519">
        <v>0.24341376736215131</v>
      </c>
      <c r="T3519">
        <v>0.18930531572836909</v>
      </c>
      <c r="U3519">
        <v>4.2558177004489526</v>
      </c>
      <c r="V3519">
        <v>0.20544021673558341</v>
      </c>
      <c r="W3519">
        <v>-2.6484178018789488</v>
      </c>
      <c r="X3519">
        <v>0.28670063152359182</v>
      </c>
      <c r="Z3519" t="s">
        <v>392</v>
      </c>
      <c r="AA3519">
        <v>114</v>
      </c>
      <c r="AB3519" t="s">
        <v>3910</v>
      </c>
      <c r="AC3519" t="str">
        <f>HYPERLINK("plots/3FT6Y578R04_015_S21P_20251218081014_M5358ACSC201811_RBGEUFRF04/dpll_52084/txpa_54171.png","plot")</f>
        <v>plot</v>
      </c>
    </row>
    <row r="3520" spans="1:29" hidden="1" x14ac:dyDescent="0.35">
      <c r="A3520" t="s">
        <v>49</v>
      </c>
      <c r="B3520">
        <v>52084</v>
      </c>
      <c r="C3520" t="s">
        <v>52</v>
      </c>
      <c r="D3520">
        <v>54172</v>
      </c>
      <c r="E3520" t="s">
        <v>192</v>
      </c>
      <c r="F3520">
        <v>12028</v>
      </c>
      <c r="G3520">
        <v>0.55696542766771884</v>
      </c>
      <c r="H3520">
        <v>0</v>
      </c>
      <c r="I3520">
        <v>0</v>
      </c>
      <c r="J3520">
        <v>0.49386054995799772</v>
      </c>
      <c r="K3520">
        <v>0</v>
      </c>
      <c r="L3520">
        <v>0</v>
      </c>
      <c r="M3520">
        <v>0.34355719436250298</v>
      </c>
      <c r="N3520">
        <v>0</v>
      </c>
      <c r="O3520">
        <v>0</v>
      </c>
      <c r="P3520">
        <v>0.31021048761708492</v>
      </c>
      <c r="Q3520">
        <v>0.77912538963530653</v>
      </c>
      <c r="R3520">
        <v>-5.9280499409231551</v>
      </c>
      <c r="S3520">
        <v>0.23867384123987559</v>
      </c>
      <c r="T3520">
        <v>0.18731975053002281</v>
      </c>
      <c r="U3520">
        <v>4.2558177004489526</v>
      </c>
      <c r="V3520">
        <v>0.20544021673558341</v>
      </c>
      <c r="W3520">
        <v>-2.612234316844031</v>
      </c>
      <c r="X3520">
        <v>0.2873853222472656</v>
      </c>
      <c r="Z3520" t="s">
        <v>392</v>
      </c>
      <c r="AA3520">
        <v>114</v>
      </c>
      <c r="AB3520" t="s">
        <v>3911</v>
      </c>
      <c r="AC3520" t="str">
        <f>HYPERLINK("plots/3FT6Y578R04_015_S21P_20251218081014_M5358ACSC201811_RBGEUFRF04/dpll_52084/txpa_54172.png","plot")</f>
        <v>plot</v>
      </c>
    </row>
    <row r="3521" spans="1:29" hidden="1" x14ac:dyDescent="0.35">
      <c r="A3521" t="s">
        <v>49</v>
      </c>
      <c r="B3521">
        <v>52084</v>
      </c>
      <c r="C3521" t="s">
        <v>52</v>
      </c>
      <c r="D3521">
        <v>54173</v>
      </c>
      <c r="E3521" t="s">
        <v>193</v>
      </c>
      <c r="F3521">
        <v>12028</v>
      </c>
      <c r="G3521">
        <v>0.54182047634950947</v>
      </c>
      <c r="H3521">
        <v>0</v>
      </c>
      <c r="I3521">
        <v>0</v>
      </c>
      <c r="J3521">
        <v>0.47757720677240068</v>
      </c>
      <c r="K3521">
        <v>0</v>
      </c>
      <c r="L3521">
        <v>0</v>
      </c>
      <c r="M3521">
        <v>0.33110627479800919</v>
      </c>
      <c r="N3521">
        <v>0</v>
      </c>
      <c r="O3521">
        <v>0</v>
      </c>
      <c r="P3521">
        <v>0.29356942859160928</v>
      </c>
      <c r="Q3521">
        <v>0.74340073616635616</v>
      </c>
      <c r="R3521">
        <v>-5.7650878393219838</v>
      </c>
      <c r="S3521">
        <v>0.23690254490986631</v>
      </c>
      <c r="T3521">
        <v>0.1860220383981436</v>
      </c>
      <c r="U3521">
        <v>4.2558177004489526</v>
      </c>
      <c r="V3521">
        <v>0.20544021673558341</v>
      </c>
      <c r="W3521">
        <v>-2.6013098278184241</v>
      </c>
      <c r="X3521">
        <v>0.28187271435066868</v>
      </c>
      <c r="Z3521" t="s">
        <v>392</v>
      </c>
      <c r="AA3521">
        <v>114</v>
      </c>
      <c r="AB3521" t="s">
        <v>3912</v>
      </c>
      <c r="AC3521" t="str">
        <f>HYPERLINK("plots/3FT6Y578R04_015_S21P_20251218081014_M5358ACSC201811_RBGEUFRF04/dpll_52084/txpa_54173.png","plot")</f>
        <v>plot</v>
      </c>
    </row>
    <row r="3522" spans="1:29" hidden="1" x14ac:dyDescent="0.35">
      <c r="A3522" t="s">
        <v>49</v>
      </c>
      <c r="B3522">
        <v>52084</v>
      </c>
      <c r="C3522" t="s">
        <v>52</v>
      </c>
      <c r="D3522">
        <v>54174</v>
      </c>
      <c r="E3522" t="s">
        <v>194</v>
      </c>
      <c r="F3522">
        <v>12028</v>
      </c>
      <c r="G3522">
        <v>0.56752545866448467</v>
      </c>
      <c r="H3522">
        <v>0</v>
      </c>
      <c r="I3522">
        <v>0</v>
      </c>
      <c r="J3522">
        <v>0.49775709755946268</v>
      </c>
      <c r="K3522">
        <v>0</v>
      </c>
      <c r="L3522">
        <v>0</v>
      </c>
      <c r="M3522">
        <v>0.3469386426847631</v>
      </c>
      <c r="N3522">
        <v>0</v>
      </c>
      <c r="O3522">
        <v>0</v>
      </c>
      <c r="P3522">
        <v>0.3220851462323337</v>
      </c>
      <c r="Q3522">
        <v>0.7936933817963997</v>
      </c>
      <c r="R3522">
        <v>-5.9608495523231682</v>
      </c>
      <c r="S3522">
        <v>0.2365496968724797</v>
      </c>
      <c r="T3522">
        <v>0.18584772079582709</v>
      </c>
      <c r="U3522">
        <v>4.2558177004489526</v>
      </c>
      <c r="V3522">
        <v>0.20544021673558341</v>
      </c>
      <c r="W3522">
        <v>-2.5830352093448621</v>
      </c>
      <c r="X3522">
        <v>0.28731141112428582</v>
      </c>
      <c r="Z3522" t="s">
        <v>392</v>
      </c>
      <c r="AA3522">
        <v>114</v>
      </c>
      <c r="AB3522" t="s">
        <v>3913</v>
      </c>
      <c r="AC3522" t="str">
        <f>HYPERLINK("plots/3FT6Y578R04_015_S21P_20251218081014_M5358ACSC201811_RBGEUFRF04/dpll_52084/txpa_54174.png","plot")</f>
        <v>plot</v>
      </c>
    </row>
    <row r="3523" spans="1:29" hidden="1" x14ac:dyDescent="0.35">
      <c r="A3523" t="s">
        <v>49</v>
      </c>
      <c r="B3523">
        <v>52084</v>
      </c>
      <c r="C3523" t="s">
        <v>52</v>
      </c>
      <c r="D3523">
        <v>54175</v>
      </c>
      <c r="E3523" t="s">
        <v>195</v>
      </c>
      <c r="F3523">
        <v>12027</v>
      </c>
      <c r="G3523">
        <v>0.56057846354800744</v>
      </c>
      <c r="H3523">
        <v>0</v>
      </c>
      <c r="I3523">
        <v>0</v>
      </c>
      <c r="J3523">
        <v>0.48701048257678398</v>
      </c>
      <c r="K3523">
        <v>0</v>
      </c>
      <c r="L3523">
        <v>0</v>
      </c>
      <c r="M3523">
        <v>0.33739396503116609</v>
      </c>
      <c r="N3523">
        <v>0</v>
      </c>
      <c r="O3523">
        <v>0</v>
      </c>
      <c r="P3523">
        <v>0.31424821379384471</v>
      </c>
      <c r="Q3523">
        <v>0.77541848481480691</v>
      </c>
      <c r="R3523">
        <v>-5.8975639050284059</v>
      </c>
      <c r="S3523">
        <v>0.23530346405435729</v>
      </c>
      <c r="T3523">
        <v>0.18611947190350339</v>
      </c>
      <c r="U3523">
        <v>4.2557921641307059</v>
      </c>
      <c r="V3523">
        <v>0.20542966688110781</v>
      </c>
      <c r="W3523">
        <v>-2.5975439934314459</v>
      </c>
      <c r="X3523">
        <v>0.2841599729335969</v>
      </c>
      <c r="Z3523" t="s">
        <v>392</v>
      </c>
      <c r="AA3523">
        <v>114</v>
      </c>
      <c r="AB3523" t="s">
        <v>3914</v>
      </c>
      <c r="AC3523" t="str">
        <f>HYPERLINK("plots/3FT6Y578R04_015_S21P_20251218081014_M5358ACSC201811_RBGEUFRF04/dpll_52084/txpa_54175.png","plot")</f>
        <v>plot</v>
      </c>
    </row>
    <row r="3524" spans="1:29" hidden="1" x14ac:dyDescent="0.35">
      <c r="A3524" t="s">
        <v>49</v>
      </c>
      <c r="B3524">
        <v>52084</v>
      </c>
      <c r="C3524" t="s">
        <v>52</v>
      </c>
      <c r="D3524">
        <v>54176</v>
      </c>
      <c r="E3524" t="s">
        <v>196</v>
      </c>
      <c r="F3524">
        <v>12028</v>
      </c>
      <c r="G3524">
        <v>0.57154061031429426</v>
      </c>
      <c r="H3524">
        <v>0</v>
      </c>
      <c r="I3524">
        <v>0</v>
      </c>
      <c r="J3524">
        <v>0.50561009564885295</v>
      </c>
      <c r="K3524">
        <v>0</v>
      </c>
      <c r="L3524">
        <v>0</v>
      </c>
      <c r="M3524">
        <v>0.3526217632341021</v>
      </c>
      <c r="N3524">
        <v>0</v>
      </c>
      <c r="O3524">
        <v>0</v>
      </c>
      <c r="P3524">
        <v>0.32665866923843601</v>
      </c>
      <c r="Q3524">
        <v>0.7950111268977762</v>
      </c>
      <c r="R3524">
        <v>-5.9757453223969446</v>
      </c>
      <c r="S3524">
        <v>0.23448289079975829</v>
      </c>
      <c r="T3524">
        <v>0.18489044925169981</v>
      </c>
      <c r="U3524">
        <v>4.2558177004489526</v>
      </c>
      <c r="V3524">
        <v>0.20544021673558341</v>
      </c>
      <c r="W3524">
        <v>-2.5923228964915199</v>
      </c>
      <c r="X3524">
        <v>0.28576667216571872</v>
      </c>
      <c r="Z3524" t="s">
        <v>392</v>
      </c>
      <c r="AA3524">
        <v>114</v>
      </c>
      <c r="AB3524" t="s">
        <v>3915</v>
      </c>
      <c r="AC3524" t="str">
        <f>HYPERLINK("plots/3FT6Y578R04_015_S21P_20251218081014_M5358ACSC201811_RBGEUFRF04/dpll_52084/txpa_54176.png","plot")</f>
        <v>plot</v>
      </c>
    </row>
    <row r="3525" spans="1:29" hidden="1" x14ac:dyDescent="0.35">
      <c r="A3525" t="s">
        <v>49</v>
      </c>
      <c r="B3525">
        <v>52084</v>
      </c>
      <c r="C3525" t="s">
        <v>52</v>
      </c>
      <c r="D3525">
        <v>54177</v>
      </c>
      <c r="E3525" t="s">
        <v>197</v>
      </c>
      <c r="F3525">
        <v>12028</v>
      </c>
      <c r="G3525">
        <v>0.56148424067516145</v>
      </c>
      <c r="H3525">
        <v>0</v>
      </c>
      <c r="I3525">
        <v>0</v>
      </c>
      <c r="J3525">
        <v>0.49194996185627532</v>
      </c>
      <c r="K3525">
        <v>0</v>
      </c>
      <c r="L3525">
        <v>0</v>
      </c>
      <c r="M3525">
        <v>0.34127229922402402</v>
      </c>
      <c r="N3525">
        <v>0</v>
      </c>
      <c r="O3525">
        <v>0</v>
      </c>
      <c r="P3525">
        <v>0.3152645525265626</v>
      </c>
      <c r="Q3525">
        <v>0.76764813869252191</v>
      </c>
      <c r="R3525">
        <v>-5.8574184457424447</v>
      </c>
      <c r="S3525">
        <v>0.23240926958026681</v>
      </c>
      <c r="T3525">
        <v>0.18401243377592949</v>
      </c>
      <c r="U3525">
        <v>4.2558177004489526</v>
      </c>
      <c r="V3525">
        <v>0.20544021673558341</v>
      </c>
      <c r="W3525">
        <v>-2.5904479093781179</v>
      </c>
      <c r="X3525">
        <v>0.28087306564477099</v>
      </c>
      <c r="Z3525" t="s">
        <v>392</v>
      </c>
      <c r="AA3525">
        <v>114</v>
      </c>
      <c r="AB3525" t="s">
        <v>3916</v>
      </c>
      <c r="AC3525" t="str">
        <f>HYPERLINK("plots/3FT6Y578R04_015_S21P_20251218081014_M5358ACSC201811_RBGEUFRF04/dpll_52084/txpa_54177.png","plot")</f>
        <v>plot</v>
      </c>
    </row>
    <row r="3526" spans="1:29" hidden="1" x14ac:dyDescent="0.35">
      <c r="A3526" t="s">
        <v>49</v>
      </c>
      <c r="B3526">
        <v>52084</v>
      </c>
      <c r="C3526" t="s">
        <v>52</v>
      </c>
      <c r="D3526">
        <v>54178</v>
      </c>
      <c r="E3526" t="s">
        <v>198</v>
      </c>
      <c r="F3526">
        <v>12027</v>
      </c>
      <c r="G3526">
        <v>0.55169180363728643</v>
      </c>
      <c r="H3526">
        <v>0</v>
      </c>
      <c r="I3526">
        <v>0</v>
      </c>
      <c r="J3526">
        <v>0.48381312557969369</v>
      </c>
      <c r="K3526">
        <v>0</v>
      </c>
      <c r="L3526">
        <v>0</v>
      </c>
      <c r="M3526">
        <v>0.33657745435341918</v>
      </c>
      <c r="N3526">
        <v>0</v>
      </c>
      <c r="O3526">
        <v>0</v>
      </c>
      <c r="P3526">
        <v>0.30436384620056223</v>
      </c>
      <c r="Q3526">
        <v>0.76330176824072293</v>
      </c>
      <c r="R3526">
        <v>-5.8874075737131513</v>
      </c>
      <c r="S3526">
        <v>0.23705274891950001</v>
      </c>
      <c r="T3526">
        <v>0.1866206983520515</v>
      </c>
      <c r="U3526">
        <v>4.2558401814251274</v>
      </c>
      <c r="V3526">
        <v>0.20543396214013371</v>
      </c>
      <c r="W3526">
        <v>-2.638917237881433</v>
      </c>
      <c r="X3526">
        <v>0.28423135077307837</v>
      </c>
      <c r="Z3526" t="s">
        <v>392</v>
      </c>
      <c r="AA3526">
        <v>114</v>
      </c>
      <c r="AB3526" t="s">
        <v>3917</v>
      </c>
      <c r="AC3526" t="str">
        <f>HYPERLINK("plots/3FT6Y578R04_015_S21P_20251218081014_M5358ACSC201811_RBGEUFRF04/dpll_52084/txpa_54178.png","plot")</f>
        <v>plot</v>
      </c>
    </row>
    <row r="3527" spans="1:29" hidden="1" x14ac:dyDescent="0.35">
      <c r="A3527" t="s">
        <v>49</v>
      </c>
      <c r="B3527">
        <v>52084</v>
      </c>
      <c r="C3527" t="s">
        <v>52</v>
      </c>
      <c r="D3527">
        <v>54179</v>
      </c>
      <c r="E3527" t="s">
        <v>199</v>
      </c>
      <c r="F3527">
        <v>12028</v>
      </c>
      <c r="G3527">
        <v>0.57349614681490046</v>
      </c>
      <c r="H3527">
        <v>0</v>
      </c>
      <c r="I3527">
        <v>0</v>
      </c>
      <c r="J3527">
        <v>0.52247601158433266</v>
      </c>
      <c r="K3527">
        <v>0</v>
      </c>
      <c r="L3527">
        <v>0</v>
      </c>
      <c r="M3527">
        <v>0.36366118710694317</v>
      </c>
      <c r="N3527">
        <v>0</v>
      </c>
      <c r="O3527">
        <v>0</v>
      </c>
      <c r="P3527">
        <v>0.32889783041153792</v>
      </c>
      <c r="Q3527">
        <v>0.80413466401585099</v>
      </c>
      <c r="R3527">
        <v>-2.445323656666639</v>
      </c>
      <c r="S3527">
        <v>0.23597174882641761</v>
      </c>
      <c r="T3527">
        <v>0.18306735628793569</v>
      </c>
      <c r="U3527">
        <v>4.2558177004489526</v>
      </c>
      <c r="V3527">
        <v>0.20544021673558341</v>
      </c>
      <c r="W3527">
        <v>0.97692687999659122</v>
      </c>
      <c r="X3527">
        <v>0.28806052242462921</v>
      </c>
      <c r="Z3527" t="s">
        <v>392</v>
      </c>
      <c r="AA3527">
        <v>114</v>
      </c>
      <c r="AB3527" t="s">
        <v>3918</v>
      </c>
      <c r="AC3527" t="str">
        <f>HYPERLINK("plots/3FT6Y578R04_015_S21P_20251218081014_M5358ACSC201811_RBGEUFRF04/dpll_52084/txpa_54179.png","plot")</f>
        <v>plot</v>
      </c>
    </row>
    <row r="3528" spans="1:29" hidden="1" x14ac:dyDescent="0.35">
      <c r="A3528" t="s">
        <v>49</v>
      </c>
      <c r="B3528">
        <v>52084</v>
      </c>
      <c r="C3528" t="s">
        <v>52</v>
      </c>
      <c r="D3528">
        <v>54180</v>
      </c>
      <c r="E3528" t="s">
        <v>200</v>
      </c>
      <c r="F3528">
        <v>12028</v>
      </c>
      <c r="G3528">
        <v>0.60060679104480752</v>
      </c>
      <c r="H3528">
        <v>0</v>
      </c>
      <c r="I3528">
        <v>0</v>
      </c>
      <c r="J3528">
        <v>0.54222311329674333</v>
      </c>
      <c r="K3528">
        <v>0</v>
      </c>
      <c r="L3528">
        <v>0</v>
      </c>
      <c r="M3528">
        <v>0.38049449883524122</v>
      </c>
      <c r="N3528">
        <v>0</v>
      </c>
      <c r="O3528">
        <v>0</v>
      </c>
      <c r="P3528">
        <v>0.36072851744914108</v>
      </c>
      <c r="Q3528">
        <v>0.84292199373102372</v>
      </c>
      <c r="R3528">
        <v>-2.578669717207104</v>
      </c>
      <c r="S3528">
        <v>0.2305192634365972</v>
      </c>
      <c r="T3528">
        <v>0.18086488150764629</v>
      </c>
      <c r="U3528">
        <v>4.2558177004489526</v>
      </c>
      <c r="V3528">
        <v>0.20544021673558341</v>
      </c>
      <c r="W3528">
        <v>1.008652623811108</v>
      </c>
      <c r="X3528">
        <v>0.28832520654994159</v>
      </c>
      <c r="Z3528" t="s">
        <v>392</v>
      </c>
      <c r="AA3528">
        <v>114</v>
      </c>
      <c r="AB3528" t="s">
        <v>3919</v>
      </c>
      <c r="AC3528" t="str">
        <f>HYPERLINK("plots/3FT6Y578R04_015_S21P_20251218081014_M5358ACSC201811_RBGEUFRF04/dpll_52084/txpa_54180.png","plot")</f>
        <v>plot</v>
      </c>
    </row>
    <row r="3529" spans="1:29" hidden="1" x14ac:dyDescent="0.35">
      <c r="A3529" t="s">
        <v>49</v>
      </c>
      <c r="B3529">
        <v>52084</v>
      </c>
      <c r="C3529" t="s">
        <v>52</v>
      </c>
      <c r="D3529">
        <v>54181</v>
      </c>
      <c r="E3529" t="s">
        <v>201</v>
      </c>
      <c r="F3529">
        <v>12028</v>
      </c>
      <c r="G3529">
        <v>0.58544400866870661</v>
      </c>
      <c r="H3529">
        <v>0</v>
      </c>
      <c r="I3529">
        <v>0</v>
      </c>
      <c r="J3529">
        <v>0.52640729302358102</v>
      </c>
      <c r="K3529">
        <v>0</v>
      </c>
      <c r="L3529">
        <v>0</v>
      </c>
      <c r="M3529">
        <v>0.36775245030866371</v>
      </c>
      <c r="N3529">
        <v>0</v>
      </c>
      <c r="O3529">
        <v>0</v>
      </c>
      <c r="P3529">
        <v>0.34274468728608459</v>
      </c>
      <c r="Q3529">
        <v>0.80696777677634657</v>
      </c>
      <c r="R3529">
        <v>-2.4141025578441369</v>
      </c>
      <c r="S3529">
        <v>0.22956479649290851</v>
      </c>
      <c r="T3529">
        <v>0.1800917275883151</v>
      </c>
      <c r="U3529">
        <v>4.2558177004489526</v>
      </c>
      <c r="V3529">
        <v>0.20544021673558341</v>
      </c>
      <c r="W3529">
        <v>1.0202051902525771</v>
      </c>
      <c r="X3529">
        <v>0.28317590154616989</v>
      </c>
      <c r="Z3529" t="s">
        <v>392</v>
      </c>
      <c r="AA3529">
        <v>114</v>
      </c>
      <c r="AB3529" t="s">
        <v>3920</v>
      </c>
      <c r="AC3529" t="str">
        <f>HYPERLINK("plots/3FT6Y578R04_015_S21P_20251218081014_M5358ACSC201811_RBGEUFRF04/dpll_52084/txpa_54181.png","plot")</f>
        <v>plot</v>
      </c>
    </row>
    <row r="3530" spans="1:29" hidden="1" x14ac:dyDescent="0.35">
      <c r="A3530" t="s">
        <v>49</v>
      </c>
      <c r="B3530">
        <v>52084</v>
      </c>
      <c r="C3530" t="s">
        <v>52</v>
      </c>
      <c r="D3530">
        <v>54182</v>
      </c>
      <c r="E3530" t="s">
        <v>202</v>
      </c>
      <c r="F3530">
        <v>12028</v>
      </c>
      <c r="G3530">
        <v>0.60797378925605583</v>
      </c>
      <c r="H3530">
        <v>0</v>
      </c>
      <c r="I3530">
        <v>0</v>
      </c>
      <c r="J3530">
        <v>0.54391129831436191</v>
      </c>
      <c r="K3530">
        <v>0</v>
      </c>
      <c r="L3530">
        <v>0</v>
      </c>
      <c r="M3530">
        <v>0.38219815910977939</v>
      </c>
      <c r="N3530">
        <v>0</v>
      </c>
      <c r="O3530">
        <v>0</v>
      </c>
      <c r="P3530">
        <v>0.36963212842236698</v>
      </c>
      <c r="Q3530">
        <v>0.85081042266787477</v>
      </c>
      <c r="R3530">
        <v>-2.5898816281814279</v>
      </c>
      <c r="S3530">
        <v>0.22825084306463431</v>
      </c>
      <c r="T3530">
        <v>0.1790723797328479</v>
      </c>
      <c r="U3530">
        <v>4.2558177004489526</v>
      </c>
      <c r="V3530">
        <v>0.20544021673558341</v>
      </c>
      <c r="W3530">
        <v>1.031012428334968</v>
      </c>
      <c r="X3530">
        <v>0.28749706109479389</v>
      </c>
      <c r="Z3530" t="s">
        <v>392</v>
      </c>
      <c r="AA3530">
        <v>114</v>
      </c>
      <c r="AB3530" t="s">
        <v>3921</v>
      </c>
      <c r="AC3530" t="str">
        <f>HYPERLINK("plots/3FT6Y578R04_015_S21P_20251218081014_M5358ACSC201811_RBGEUFRF04/dpll_52084/txpa_54182.png","plot")</f>
        <v>plot</v>
      </c>
    </row>
    <row r="3531" spans="1:29" hidden="1" x14ac:dyDescent="0.35">
      <c r="A3531" t="s">
        <v>49</v>
      </c>
      <c r="B3531">
        <v>52084</v>
      </c>
      <c r="C3531" t="s">
        <v>52</v>
      </c>
      <c r="D3531">
        <v>54183</v>
      </c>
      <c r="E3531" t="s">
        <v>203</v>
      </c>
      <c r="F3531">
        <v>12027</v>
      </c>
      <c r="G3531">
        <v>0.6029077877176714</v>
      </c>
      <c r="H3531">
        <v>0</v>
      </c>
      <c r="I3531">
        <v>0</v>
      </c>
      <c r="J3531">
        <v>0.53380585063111652</v>
      </c>
      <c r="K3531">
        <v>0</v>
      </c>
      <c r="L3531">
        <v>0</v>
      </c>
      <c r="M3531">
        <v>0.37282099429332699</v>
      </c>
      <c r="N3531">
        <v>0</v>
      </c>
      <c r="O3531">
        <v>0</v>
      </c>
      <c r="P3531">
        <v>0.3634978004906167</v>
      </c>
      <c r="Q3531">
        <v>0.83591574670846425</v>
      </c>
      <c r="R3531">
        <v>-2.540633865898438</v>
      </c>
      <c r="S3531">
        <v>0.22722529362991919</v>
      </c>
      <c r="T3531">
        <v>0.1796084940431398</v>
      </c>
      <c r="U3531">
        <v>4.2557921641307059</v>
      </c>
      <c r="V3531">
        <v>0.20542966688110781</v>
      </c>
      <c r="W3531">
        <v>1.0168498188169119</v>
      </c>
      <c r="X3531">
        <v>0.28482281517220343</v>
      </c>
      <c r="Z3531" t="s">
        <v>392</v>
      </c>
      <c r="AA3531">
        <v>114</v>
      </c>
      <c r="AB3531" t="s">
        <v>3922</v>
      </c>
      <c r="AC3531" t="str">
        <f>HYPERLINK("plots/3FT6Y578R04_015_S21P_20251218081014_M5358ACSC201811_RBGEUFRF04/dpll_52084/txpa_54183.png","plot")</f>
        <v>plot</v>
      </c>
    </row>
    <row r="3532" spans="1:29" hidden="1" x14ac:dyDescent="0.35">
      <c r="A3532" t="s">
        <v>49</v>
      </c>
      <c r="B3532">
        <v>52084</v>
      </c>
      <c r="C3532" t="s">
        <v>52</v>
      </c>
      <c r="D3532">
        <v>54184</v>
      </c>
      <c r="E3532" t="s">
        <v>204</v>
      </c>
      <c r="F3532">
        <v>12028</v>
      </c>
      <c r="G3532">
        <v>0.61276291704730712</v>
      </c>
      <c r="H3532">
        <v>0</v>
      </c>
      <c r="I3532">
        <v>0</v>
      </c>
      <c r="J3532">
        <v>0.55199133396292011</v>
      </c>
      <c r="K3532">
        <v>0</v>
      </c>
      <c r="L3532">
        <v>0</v>
      </c>
      <c r="M3532">
        <v>0.38807918132076402</v>
      </c>
      <c r="N3532">
        <v>0</v>
      </c>
      <c r="O3532">
        <v>0</v>
      </c>
      <c r="P3532">
        <v>0.37547839250832499</v>
      </c>
      <c r="Q3532">
        <v>0.85646262704120779</v>
      </c>
      <c r="R3532">
        <v>-2.6191465850449749</v>
      </c>
      <c r="S3532">
        <v>0.22691180291590671</v>
      </c>
      <c r="T3532">
        <v>0.17862939450682661</v>
      </c>
      <c r="U3532">
        <v>4.2558177004489526</v>
      </c>
      <c r="V3532">
        <v>0.20544021673558341</v>
      </c>
      <c r="W3532">
        <v>1.025802222890007</v>
      </c>
      <c r="X3532">
        <v>0.28714509776982627</v>
      </c>
      <c r="Z3532" t="s">
        <v>392</v>
      </c>
      <c r="AA3532">
        <v>114</v>
      </c>
      <c r="AB3532" t="s">
        <v>3923</v>
      </c>
      <c r="AC3532" t="str">
        <f>HYPERLINK("plots/3FT6Y578R04_015_S21P_20251218081014_M5358ACSC201811_RBGEUFRF04/dpll_52084/txpa_54184.png","plot")</f>
        <v>plot</v>
      </c>
    </row>
    <row r="3533" spans="1:29" hidden="1" x14ac:dyDescent="0.35">
      <c r="A3533" t="s">
        <v>49</v>
      </c>
      <c r="B3533">
        <v>52084</v>
      </c>
      <c r="C3533" t="s">
        <v>52</v>
      </c>
      <c r="D3533">
        <v>54185</v>
      </c>
      <c r="E3533" t="s">
        <v>205</v>
      </c>
      <c r="F3533">
        <v>12028</v>
      </c>
      <c r="G3533">
        <v>0.60563357669793327</v>
      </c>
      <c r="H3533">
        <v>0</v>
      </c>
      <c r="I3533">
        <v>0</v>
      </c>
      <c r="J3533">
        <v>0.54090373990763785</v>
      </c>
      <c r="K3533">
        <v>0</v>
      </c>
      <c r="L3533">
        <v>0</v>
      </c>
      <c r="M3533">
        <v>0.37874512685646539</v>
      </c>
      <c r="N3533">
        <v>0</v>
      </c>
      <c r="O3533">
        <v>0</v>
      </c>
      <c r="P3533">
        <v>0.36679202922393139</v>
      </c>
      <c r="Q3533">
        <v>0.83267220226910099</v>
      </c>
      <c r="R3533">
        <v>-2.5138348303323319</v>
      </c>
      <c r="S3533">
        <v>0.22475259700353389</v>
      </c>
      <c r="T3533">
        <v>0.17785597710133161</v>
      </c>
      <c r="U3533">
        <v>4.2558177004489526</v>
      </c>
      <c r="V3533">
        <v>0.20544021673558341</v>
      </c>
      <c r="W3533">
        <v>1.029866266756319</v>
      </c>
      <c r="X3533">
        <v>0.28245520771246829</v>
      </c>
      <c r="Z3533" t="s">
        <v>392</v>
      </c>
      <c r="AA3533">
        <v>114</v>
      </c>
      <c r="AB3533" t="s">
        <v>3924</v>
      </c>
      <c r="AC3533" t="str">
        <f>HYPERLINK("plots/3FT6Y578R04_015_S21P_20251218081014_M5358ACSC201811_RBGEUFRF04/dpll_52084/txpa_54185.png","plot")</f>
        <v>plot</v>
      </c>
    </row>
    <row r="3534" spans="1:29" hidden="1" x14ac:dyDescent="0.35">
      <c r="A3534" t="s">
        <v>49</v>
      </c>
      <c r="B3534">
        <v>52084</v>
      </c>
      <c r="C3534" t="s">
        <v>52</v>
      </c>
      <c r="D3534">
        <v>54186</v>
      </c>
      <c r="E3534" t="s">
        <v>206</v>
      </c>
      <c r="F3534">
        <v>12027</v>
      </c>
      <c r="G3534">
        <v>0.59645664134965903</v>
      </c>
      <c r="H3534">
        <v>0</v>
      </c>
      <c r="I3534">
        <v>0</v>
      </c>
      <c r="J3534">
        <v>0.53304752552300561</v>
      </c>
      <c r="K3534">
        <v>0</v>
      </c>
      <c r="L3534">
        <v>0</v>
      </c>
      <c r="M3534">
        <v>0.37390906890096159</v>
      </c>
      <c r="N3534">
        <v>0</v>
      </c>
      <c r="O3534">
        <v>0</v>
      </c>
      <c r="P3534">
        <v>0.35576052501011579</v>
      </c>
      <c r="Q3534">
        <v>0.8297439877000965</v>
      </c>
      <c r="R3534">
        <v>-2.5445223359609952</v>
      </c>
      <c r="S3534">
        <v>0.22937341903651329</v>
      </c>
      <c r="T3534">
        <v>0.18030778154113861</v>
      </c>
      <c r="U3534">
        <v>4.2558401814251274</v>
      </c>
      <c r="V3534">
        <v>0.20543396214013371</v>
      </c>
      <c r="W3534">
        <v>0.98673546718899141</v>
      </c>
      <c r="X3534">
        <v>0.28578371525795188</v>
      </c>
      <c r="Z3534" t="s">
        <v>392</v>
      </c>
      <c r="AA3534">
        <v>114</v>
      </c>
      <c r="AB3534" t="s">
        <v>3925</v>
      </c>
      <c r="AC3534" t="str">
        <f>HYPERLINK("plots/3FT6Y578R04_015_S21P_20251218081014_M5358ACSC201811_RBGEUFRF04/dpll_52084/txpa_54186.png","plot")</f>
        <v>plot</v>
      </c>
    </row>
    <row r="3535" spans="1:29" hidden="1" x14ac:dyDescent="0.35">
      <c r="A3535" t="s">
        <v>49</v>
      </c>
      <c r="B3535">
        <v>52084</v>
      </c>
      <c r="C3535" t="s">
        <v>52</v>
      </c>
      <c r="D3535">
        <v>54187</v>
      </c>
      <c r="E3535" t="s">
        <v>207</v>
      </c>
      <c r="F3535">
        <v>12028</v>
      </c>
      <c r="G3535">
        <v>0.61150268735669766</v>
      </c>
      <c r="H3535">
        <v>0</v>
      </c>
      <c r="I3535">
        <v>0</v>
      </c>
      <c r="J3535">
        <v>0.56110944514603889</v>
      </c>
      <c r="K3535">
        <v>0</v>
      </c>
      <c r="L3535">
        <v>0</v>
      </c>
      <c r="M3535">
        <v>0.39375251083091728</v>
      </c>
      <c r="N3535">
        <v>0</v>
      </c>
      <c r="O3535">
        <v>0</v>
      </c>
      <c r="P3535">
        <v>0.37393553664446311</v>
      </c>
      <c r="Q3535">
        <v>0.86817929562548035</v>
      </c>
      <c r="R3535">
        <v>-0.68069451119157742</v>
      </c>
      <c r="S3535">
        <v>0.23077459180918</v>
      </c>
      <c r="T3535">
        <v>0.17899763732667431</v>
      </c>
      <c r="U3535">
        <v>4.2558177004489526</v>
      </c>
      <c r="V3535">
        <v>0.20544021673558341</v>
      </c>
      <c r="W3535">
        <v>3.0141183022946461</v>
      </c>
      <c r="X3535">
        <v>0.2916731951410147</v>
      </c>
      <c r="Z3535" t="s">
        <v>392</v>
      </c>
      <c r="AA3535">
        <v>114</v>
      </c>
      <c r="AB3535" t="s">
        <v>3926</v>
      </c>
      <c r="AC3535" t="str">
        <f>HYPERLINK("plots/3FT6Y578R04_015_S21P_20251218081014_M5358ACSC201811_RBGEUFRF04/dpll_52084/txpa_54187.png","plot")</f>
        <v>plot</v>
      </c>
    </row>
    <row r="3536" spans="1:29" hidden="1" x14ac:dyDescent="0.35">
      <c r="A3536" t="s">
        <v>49</v>
      </c>
      <c r="B3536">
        <v>52084</v>
      </c>
      <c r="C3536" t="s">
        <v>52</v>
      </c>
      <c r="D3536">
        <v>54188</v>
      </c>
      <c r="E3536" t="s">
        <v>208</v>
      </c>
      <c r="F3536">
        <v>12028</v>
      </c>
      <c r="G3536">
        <v>0.63622163371535112</v>
      </c>
      <c r="H3536">
        <v>0</v>
      </c>
      <c r="I3536">
        <v>0</v>
      </c>
      <c r="J3536">
        <v>0.57852068862259076</v>
      </c>
      <c r="K3536">
        <v>0</v>
      </c>
      <c r="L3536">
        <v>0</v>
      </c>
      <c r="M3536">
        <v>0.40928815409428959</v>
      </c>
      <c r="N3536">
        <v>0</v>
      </c>
      <c r="O3536">
        <v>0</v>
      </c>
      <c r="P3536">
        <v>0.40477796720743042</v>
      </c>
      <c r="Q3536">
        <v>0.90510315378288653</v>
      </c>
      <c r="R3536">
        <v>-0.80756942108824292</v>
      </c>
      <c r="S3536">
        <v>0.2254740445865572</v>
      </c>
      <c r="T3536">
        <v>0.17709660145288891</v>
      </c>
      <c r="U3536">
        <v>4.2558177004489526</v>
      </c>
      <c r="V3536">
        <v>0.20544021673558341</v>
      </c>
      <c r="W3536">
        <v>3.0443846015131362</v>
      </c>
      <c r="X3536">
        <v>0.29226385622153961</v>
      </c>
      <c r="Z3536" t="s">
        <v>392</v>
      </c>
      <c r="AA3536">
        <v>114</v>
      </c>
      <c r="AB3536" t="s">
        <v>3927</v>
      </c>
      <c r="AC3536" t="str">
        <f>HYPERLINK("plots/3FT6Y578R04_015_S21P_20251218081014_M5358ACSC201811_RBGEUFRF04/dpll_52084/txpa_54188.png","plot")</f>
        <v>plot</v>
      </c>
    </row>
    <row r="3537" spans="1:29" hidden="1" x14ac:dyDescent="0.35">
      <c r="A3537" t="s">
        <v>49</v>
      </c>
      <c r="B3537">
        <v>52084</v>
      </c>
      <c r="C3537" t="s">
        <v>52</v>
      </c>
      <c r="D3537">
        <v>54189</v>
      </c>
      <c r="E3537" t="s">
        <v>209</v>
      </c>
      <c r="F3537">
        <v>12028</v>
      </c>
      <c r="G3537">
        <v>0.62231137098595857</v>
      </c>
      <c r="H3537">
        <v>0</v>
      </c>
      <c r="I3537">
        <v>0</v>
      </c>
      <c r="J3537">
        <v>0.56437578978839686</v>
      </c>
      <c r="K3537">
        <v>0</v>
      </c>
      <c r="L3537">
        <v>0</v>
      </c>
      <c r="M3537">
        <v>0.3973872368608376</v>
      </c>
      <c r="N3537">
        <v>0</v>
      </c>
      <c r="O3537">
        <v>0</v>
      </c>
      <c r="P3537">
        <v>0.38727144245842338</v>
      </c>
      <c r="Q3537">
        <v>0.87002292327978992</v>
      </c>
      <c r="R3537">
        <v>-0.64579957973669666</v>
      </c>
      <c r="S3537">
        <v>0.22481455774193149</v>
      </c>
      <c r="T3537">
        <v>0.176187513508402</v>
      </c>
      <c r="U3537">
        <v>4.2558177004489526</v>
      </c>
      <c r="V3537">
        <v>0.20544021673558341</v>
      </c>
      <c r="W3537">
        <v>3.0568593769537742</v>
      </c>
      <c r="X3537">
        <v>0.2872158637248472</v>
      </c>
      <c r="Z3537" t="s">
        <v>392</v>
      </c>
      <c r="AA3537">
        <v>114</v>
      </c>
      <c r="AB3537" t="s">
        <v>3928</v>
      </c>
      <c r="AC3537" t="str">
        <f>HYPERLINK("plots/3FT6Y578R04_015_S21P_20251218081014_M5358ACSC201811_RBGEUFRF04/dpll_52084/txpa_54189.png","plot")</f>
        <v>plot</v>
      </c>
    </row>
    <row r="3538" spans="1:29" hidden="1" x14ac:dyDescent="0.35">
      <c r="A3538" t="s">
        <v>49</v>
      </c>
      <c r="B3538">
        <v>52084</v>
      </c>
      <c r="C3538" t="s">
        <v>52</v>
      </c>
      <c r="D3538">
        <v>54190</v>
      </c>
      <c r="E3538" t="s">
        <v>210</v>
      </c>
      <c r="F3538">
        <v>12028</v>
      </c>
      <c r="G3538">
        <v>0.64306186318169389</v>
      </c>
      <c r="H3538">
        <v>0</v>
      </c>
      <c r="I3538">
        <v>0</v>
      </c>
      <c r="J3538">
        <v>0.58013661033179964</v>
      </c>
      <c r="K3538">
        <v>0</v>
      </c>
      <c r="L3538">
        <v>0</v>
      </c>
      <c r="M3538">
        <v>0.41086989864727658</v>
      </c>
      <c r="N3538">
        <v>0</v>
      </c>
      <c r="O3538">
        <v>0</v>
      </c>
      <c r="P3538">
        <v>0.41352855987871162</v>
      </c>
      <c r="Q3538">
        <v>0.91086453166019077</v>
      </c>
      <c r="R3538">
        <v>-0.8125625529356868</v>
      </c>
      <c r="S3538">
        <v>0.2228393490031618</v>
      </c>
      <c r="T3538">
        <v>0.17491615502090491</v>
      </c>
      <c r="U3538">
        <v>4.2558177004489526</v>
      </c>
      <c r="V3538">
        <v>0.20544021673558341</v>
      </c>
      <c r="W3538">
        <v>3.0639108436148978</v>
      </c>
      <c r="X3538">
        <v>0.29099565300788699</v>
      </c>
      <c r="Z3538" t="s">
        <v>392</v>
      </c>
      <c r="AA3538">
        <v>114</v>
      </c>
      <c r="AB3538" t="s">
        <v>3929</v>
      </c>
      <c r="AC3538" t="str">
        <f>HYPERLINK("plots/3FT6Y578R04_015_S21P_20251218081014_M5358ACSC201811_RBGEUFRF04/dpll_52084/txpa_54190.png","plot")</f>
        <v>plot</v>
      </c>
    </row>
    <row r="3539" spans="1:29" hidden="1" x14ac:dyDescent="0.35">
      <c r="A3539" t="s">
        <v>49</v>
      </c>
      <c r="B3539">
        <v>52084</v>
      </c>
      <c r="C3539" t="s">
        <v>52</v>
      </c>
      <c r="D3539">
        <v>54191</v>
      </c>
      <c r="E3539" t="s">
        <v>211</v>
      </c>
      <c r="F3539">
        <v>12027</v>
      </c>
      <c r="G3539">
        <v>0.63907531852847255</v>
      </c>
      <c r="H3539">
        <v>0</v>
      </c>
      <c r="I3539">
        <v>0</v>
      </c>
      <c r="J3539">
        <v>0.57133038573324124</v>
      </c>
      <c r="K3539">
        <v>0</v>
      </c>
      <c r="L3539">
        <v>0</v>
      </c>
      <c r="M3539">
        <v>0.40220320722193542</v>
      </c>
      <c r="N3539">
        <v>0</v>
      </c>
      <c r="O3539">
        <v>0</v>
      </c>
      <c r="P3539">
        <v>0.40841726275226858</v>
      </c>
      <c r="Q3539">
        <v>0.89654341356544454</v>
      </c>
      <c r="R3539">
        <v>-0.76724971562173794</v>
      </c>
      <c r="S3539">
        <v>0.22165224359767099</v>
      </c>
      <c r="T3539">
        <v>0.17516971243981949</v>
      </c>
      <c r="U3539">
        <v>4.2557921641307059</v>
      </c>
      <c r="V3539">
        <v>0.20542966688110781</v>
      </c>
      <c r="W3539">
        <v>3.0482527186330759</v>
      </c>
      <c r="X3539">
        <v>0.28819234517972547</v>
      </c>
      <c r="Z3539" t="s">
        <v>392</v>
      </c>
      <c r="AA3539">
        <v>114</v>
      </c>
      <c r="AB3539" t="s">
        <v>3930</v>
      </c>
      <c r="AC3539" t="str">
        <f>HYPERLINK("plots/3FT6Y578R04_015_S21P_20251218081014_M5358ACSC201811_RBGEUFRF04/dpll_52084/txpa_54191.png","plot")</f>
        <v>plot</v>
      </c>
    </row>
    <row r="3540" spans="1:29" hidden="1" x14ac:dyDescent="0.35">
      <c r="A3540" t="s">
        <v>49</v>
      </c>
      <c r="B3540">
        <v>52084</v>
      </c>
      <c r="C3540" t="s">
        <v>52</v>
      </c>
      <c r="D3540">
        <v>54192</v>
      </c>
      <c r="E3540" t="s">
        <v>212</v>
      </c>
      <c r="F3540">
        <v>12028</v>
      </c>
      <c r="G3540">
        <v>0.6476810797689373</v>
      </c>
      <c r="H3540">
        <v>0</v>
      </c>
      <c r="I3540">
        <v>0</v>
      </c>
      <c r="J3540">
        <v>0.58816000308723837</v>
      </c>
      <c r="K3540">
        <v>0</v>
      </c>
      <c r="L3540">
        <v>0</v>
      </c>
      <c r="M3540">
        <v>0.41673660091957321</v>
      </c>
      <c r="N3540">
        <v>0</v>
      </c>
      <c r="O3540">
        <v>0</v>
      </c>
      <c r="P3540">
        <v>0.41949078109065652</v>
      </c>
      <c r="Q3540">
        <v>0.91780542352920425</v>
      </c>
      <c r="R3540">
        <v>-0.84584295536749954</v>
      </c>
      <c r="S3540">
        <v>0.22179991738775001</v>
      </c>
      <c r="T3540">
        <v>0.17479843934022299</v>
      </c>
      <c r="U3540">
        <v>4.2558177004489526</v>
      </c>
      <c r="V3540">
        <v>0.20544021673558341</v>
      </c>
      <c r="W3540">
        <v>3.0601696116561361</v>
      </c>
      <c r="X3540">
        <v>0.29112189783002651</v>
      </c>
      <c r="Z3540" t="s">
        <v>392</v>
      </c>
      <c r="AA3540">
        <v>114</v>
      </c>
      <c r="AB3540" t="s">
        <v>3931</v>
      </c>
      <c r="AC3540" t="str">
        <f>HYPERLINK("plots/3FT6Y578R04_015_S21P_20251218081014_M5358ACSC201811_RBGEUFRF04/dpll_52084/txpa_54192.png","plot")</f>
        <v>plot</v>
      </c>
    </row>
    <row r="3541" spans="1:29" hidden="1" x14ac:dyDescent="0.35">
      <c r="A3541" t="s">
        <v>49</v>
      </c>
      <c r="B3541">
        <v>52084</v>
      </c>
      <c r="C3541" t="s">
        <v>52</v>
      </c>
      <c r="D3541">
        <v>54193</v>
      </c>
      <c r="E3541" t="s">
        <v>213</v>
      </c>
      <c r="F3541">
        <v>12028</v>
      </c>
      <c r="G3541">
        <v>0.6420195422770133</v>
      </c>
      <c r="H3541">
        <v>0</v>
      </c>
      <c r="I3541">
        <v>0</v>
      </c>
      <c r="J3541">
        <v>0.5783947626009911</v>
      </c>
      <c r="K3541">
        <v>0</v>
      </c>
      <c r="L3541">
        <v>0</v>
      </c>
      <c r="M3541">
        <v>0.40829164930565759</v>
      </c>
      <c r="N3541">
        <v>0</v>
      </c>
      <c r="O3541">
        <v>0</v>
      </c>
      <c r="P3541">
        <v>0.41218909266558568</v>
      </c>
      <c r="Q3541">
        <v>0.89530483505842406</v>
      </c>
      <c r="R3541">
        <v>-0.74595585373059103</v>
      </c>
      <c r="S3541">
        <v>0.21963872442109689</v>
      </c>
      <c r="T3541">
        <v>0.1739979646959777</v>
      </c>
      <c r="U3541">
        <v>4.2558177004489526</v>
      </c>
      <c r="V3541">
        <v>0.20544021673558341</v>
      </c>
      <c r="W3541">
        <v>3.0642983106085802</v>
      </c>
      <c r="X3541">
        <v>0.28648912883006472</v>
      </c>
      <c r="Z3541" t="s">
        <v>392</v>
      </c>
      <c r="AA3541">
        <v>114</v>
      </c>
      <c r="AB3541" t="s">
        <v>3932</v>
      </c>
      <c r="AC3541" t="str">
        <f>HYPERLINK("plots/3FT6Y578R04_015_S21P_20251218081014_M5358ACSC201811_RBGEUFRF04/dpll_52084/txpa_54193.png","plot")</f>
        <v>plot</v>
      </c>
    </row>
    <row r="3542" spans="1:29" hidden="1" x14ac:dyDescent="0.35">
      <c r="A3542" t="s">
        <v>49</v>
      </c>
      <c r="B3542">
        <v>52084</v>
      </c>
      <c r="C3542" t="s">
        <v>52</v>
      </c>
      <c r="D3542">
        <v>54194</v>
      </c>
      <c r="E3542" t="s">
        <v>214</v>
      </c>
      <c r="F3542">
        <v>12027</v>
      </c>
      <c r="G3542">
        <v>0.6341143763632886</v>
      </c>
      <c r="H3542">
        <v>0</v>
      </c>
      <c r="I3542">
        <v>0</v>
      </c>
      <c r="J3542">
        <v>0.57153743010715596</v>
      </c>
      <c r="K3542">
        <v>0</v>
      </c>
      <c r="L3542">
        <v>0</v>
      </c>
      <c r="M3542">
        <v>0.40411157113415519</v>
      </c>
      <c r="N3542">
        <v>0</v>
      </c>
      <c r="O3542">
        <v>0</v>
      </c>
      <c r="P3542">
        <v>0.40210104231060251</v>
      </c>
      <c r="Q3542">
        <v>0.89352126580655278</v>
      </c>
      <c r="R3542">
        <v>-0.77897087800696818</v>
      </c>
      <c r="S3542">
        <v>0.22382334324604539</v>
      </c>
      <c r="T3542">
        <v>0.17577452472401189</v>
      </c>
      <c r="U3542">
        <v>4.2558401814251274</v>
      </c>
      <c r="V3542">
        <v>0.20543396214013371</v>
      </c>
      <c r="W3542">
        <v>3.0237128279704</v>
      </c>
      <c r="X3542">
        <v>0.28947398250744782</v>
      </c>
      <c r="Z3542" t="s">
        <v>392</v>
      </c>
      <c r="AA3542">
        <v>114</v>
      </c>
      <c r="AB3542" t="s">
        <v>3933</v>
      </c>
      <c r="AC3542" t="str">
        <f>HYPERLINK("plots/3FT6Y578R04_015_S21P_20251218081014_M5358ACSC201811_RBGEUFRF04/dpll_52084/txpa_54194.png","plot")</f>
        <v>plot</v>
      </c>
    </row>
    <row r="3543" spans="1:29" hidden="1" x14ac:dyDescent="0.35">
      <c r="A3543" t="s">
        <v>49</v>
      </c>
      <c r="B3543">
        <v>52084</v>
      </c>
      <c r="C3543" t="s">
        <v>52</v>
      </c>
      <c r="D3543">
        <v>54195</v>
      </c>
      <c r="E3543" t="s">
        <v>215</v>
      </c>
      <c r="F3543">
        <v>12028</v>
      </c>
      <c r="G3543">
        <v>0.65756850130965816</v>
      </c>
      <c r="H3543">
        <v>0</v>
      </c>
      <c r="I3543">
        <v>0</v>
      </c>
      <c r="J3543">
        <v>0.60360387819797834</v>
      </c>
      <c r="K3543">
        <v>0</v>
      </c>
      <c r="L3543">
        <v>0</v>
      </c>
      <c r="M3543">
        <v>0.42812556903347448</v>
      </c>
      <c r="N3543">
        <v>0</v>
      </c>
      <c r="O3543">
        <v>0</v>
      </c>
      <c r="P3543">
        <v>0.43239633391462989</v>
      </c>
      <c r="Q3543">
        <v>0.96164930879298638</v>
      </c>
      <c r="R3543">
        <v>1.384346711836723</v>
      </c>
      <c r="S3543">
        <v>0.22634230196940591</v>
      </c>
      <c r="T3543">
        <v>0.1751632030672384</v>
      </c>
      <c r="U3543">
        <v>4.2558177004489526</v>
      </c>
      <c r="V3543">
        <v>0.20544021673558341</v>
      </c>
      <c r="W3543">
        <v>5.4769508618224148</v>
      </c>
      <c r="X3543">
        <v>0.30044237524847739</v>
      </c>
      <c r="Z3543" t="s">
        <v>392</v>
      </c>
      <c r="AA3543">
        <v>114</v>
      </c>
      <c r="AB3543" t="s">
        <v>3934</v>
      </c>
      <c r="AC3543" t="str">
        <f>HYPERLINK("plots/3FT6Y578R04_015_S21P_20251218081014_M5358ACSC201811_RBGEUFRF04/dpll_52084/txpa_54195.png","plot")</f>
        <v>plot</v>
      </c>
    </row>
    <row r="3544" spans="1:29" hidden="1" x14ac:dyDescent="0.35">
      <c r="A3544" t="s">
        <v>49</v>
      </c>
      <c r="B3544">
        <v>52084</v>
      </c>
      <c r="C3544" t="s">
        <v>52</v>
      </c>
      <c r="D3544">
        <v>54196</v>
      </c>
      <c r="E3544" t="s">
        <v>216</v>
      </c>
      <c r="F3544">
        <v>12028</v>
      </c>
      <c r="G3544">
        <v>0.6798863927652713</v>
      </c>
      <c r="H3544">
        <v>0</v>
      </c>
      <c r="I3544">
        <v>0</v>
      </c>
      <c r="J3544">
        <v>0.61823145054866235</v>
      </c>
      <c r="K3544">
        <v>0</v>
      </c>
      <c r="L3544">
        <v>0</v>
      </c>
      <c r="M3544">
        <v>0.44197800168561818</v>
      </c>
      <c r="N3544">
        <v>0</v>
      </c>
      <c r="O3544">
        <v>0</v>
      </c>
      <c r="P3544">
        <v>0.46224550706737277</v>
      </c>
      <c r="Q3544">
        <v>0.99649470499764814</v>
      </c>
      <c r="R3544">
        <v>1.265903115588469</v>
      </c>
      <c r="S3544">
        <v>0.22079949725338849</v>
      </c>
      <c r="T3544">
        <v>0.17328632826156959</v>
      </c>
      <c r="U3544">
        <v>4.2558177004489526</v>
      </c>
      <c r="V3544">
        <v>0.20544021673558341</v>
      </c>
      <c r="W3544">
        <v>5.5068029195211166</v>
      </c>
      <c r="X3544">
        <v>0.30110925935424221</v>
      </c>
      <c r="Z3544" t="s">
        <v>392</v>
      </c>
      <c r="AA3544">
        <v>114</v>
      </c>
      <c r="AB3544" t="s">
        <v>3935</v>
      </c>
      <c r="AC3544" t="str">
        <f>HYPERLINK("plots/3FT6Y578R04_015_S21P_20251218081014_M5358ACSC201811_RBGEUFRF04/dpll_52084/txpa_54196.png","plot")</f>
        <v>plot</v>
      </c>
    </row>
    <row r="3545" spans="1:29" hidden="1" x14ac:dyDescent="0.35">
      <c r="A3545" t="s">
        <v>49</v>
      </c>
      <c r="B3545">
        <v>52084</v>
      </c>
      <c r="C3545" t="s">
        <v>52</v>
      </c>
      <c r="D3545">
        <v>54197</v>
      </c>
      <c r="E3545" t="s">
        <v>217</v>
      </c>
      <c r="F3545">
        <v>12028</v>
      </c>
      <c r="G3545">
        <v>0.66707262981230619</v>
      </c>
      <c r="H3545">
        <v>0</v>
      </c>
      <c r="I3545">
        <v>0</v>
      </c>
      <c r="J3545">
        <v>0.60561229682885309</v>
      </c>
      <c r="K3545">
        <v>0</v>
      </c>
      <c r="L3545">
        <v>0</v>
      </c>
      <c r="M3545">
        <v>0.43091495637702543</v>
      </c>
      <c r="N3545">
        <v>0</v>
      </c>
      <c r="O3545">
        <v>0</v>
      </c>
      <c r="P3545">
        <v>0.44498589344470613</v>
      </c>
      <c r="Q3545">
        <v>0.96120744618910658</v>
      </c>
      <c r="R3545">
        <v>1.429017842109124</v>
      </c>
      <c r="S3545">
        <v>0.2205278410647504</v>
      </c>
      <c r="T3545">
        <v>0.17229361718545741</v>
      </c>
      <c r="U3545">
        <v>4.2558177004489526</v>
      </c>
      <c r="V3545">
        <v>0.20544021673558341</v>
      </c>
      <c r="W3545">
        <v>5.5197415054040579</v>
      </c>
      <c r="X3545">
        <v>0.296025735801076</v>
      </c>
      <c r="Z3545" t="s">
        <v>392</v>
      </c>
      <c r="AA3545">
        <v>114</v>
      </c>
      <c r="AB3545" t="s">
        <v>3936</v>
      </c>
      <c r="AC3545" t="str">
        <f>HYPERLINK("plots/3FT6Y578R04_015_S21P_20251218081014_M5358ACSC201811_RBGEUFRF04/dpll_52084/txpa_54197.png","plot")</f>
        <v>plot</v>
      </c>
    </row>
    <row r="3546" spans="1:29" hidden="1" x14ac:dyDescent="0.35">
      <c r="A3546" t="s">
        <v>49</v>
      </c>
      <c r="B3546">
        <v>52084</v>
      </c>
      <c r="C3546" t="s">
        <v>52</v>
      </c>
      <c r="D3546">
        <v>54198</v>
      </c>
      <c r="E3546" t="s">
        <v>218</v>
      </c>
      <c r="F3546">
        <v>12028</v>
      </c>
      <c r="G3546">
        <v>0.68569965340912176</v>
      </c>
      <c r="H3546">
        <v>0</v>
      </c>
      <c r="I3546">
        <v>0</v>
      </c>
      <c r="J3546">
        <v>0.62031878514654071</v>
      </c>
      <c r="K3546">
        <v>0</v>
      </c>
      <c r="L3546">
        <v>0</v>
      </c>
      <c r="M3546">
        <v>0.4439320976787115</v>
      </c>
      <c r="N3546">
        <v>0</v>
      </c>
      <c r="O3546">
        <v>0</v>
      </c>
      <c r="P3546">
        <v>0.47018401468538967</v>
      </c>
      <c r="Q3546">
        <v>0.99976404069015512</v>
      </c>
      <c r="R3546">
        <v>1.2685252291556111</v>
      </c>
      <c r="S3546">
        <v>0.21801858729120729</v>
      </c>
      <c r="T3546">
        <v>0.17087767257916561</v>
      </c>
      <c r="U3546">
        <v>4.2558177004489526</v>
      </c>
      <c r="V3546">
        <v>0.20544021673558341</v>
      </c>
      <c r="W3546">
        <v>5.5233387297971399</v>
      </c>
      <c r="X3546">
        <v>0.29953601432153781</v>
      </c>
      <c r="Z3546" t="s">
        <v>392</v>
      </c>
      <c r="AA3546">
        <v>114</v>
      </c>
      <c r="AB3546" t="s">
        <v>3937</v>
      </c>
      <c r="AC3546" t="str">
        <f>HYPERLINK("plots/3FT6Y578R04_015_S21P_20251218081014_M5358ACSC201811_RBGEUFRF04/dpll_52084/txpa_54198.png","plot")</f>
        <v>plot</v>
      </c>
    </row>
    <row r="3547" spans="1:29" hidden="1" x14ac:dyDescent="0.35">
      <c r="A3547" t="s">
        <v>49</v>
      </c>
      <c r="B3547">
        <v>52084</v>
      </c>
      <c r="C3547" t="s">
        <v>52</v>
      </c>
      <c r="D3547">
        <v>54199</v>
      </c>
      <c r="E3547" t="s">
        <v>219</v>
      </c>
      <c r="F3547">
        <v>12027</v>
      </c>
      <c r="G3547">
        <v>0.68365338758549843</v>
      </c>
      <c r="H3547">
        <v>0</v>
      </c>
      <c r="I3547">
        <v>0</v>
      </c>
      <c r="J3547">
        <v>0.61288907517206792</v>
      </c>
      <c r="K3547">
        <v>0</v>
      </c>
      <c r="L3547">
        <v>0</v>
      </c>
      <c r="M3547">
        <v>0.43610789379716569</v>
      </c>
      <c r="N3547">
        <v>0</v>
      </c>
      <c r="O3547">
        <v>0</v>
      </c>
      <c r="P3547">
        <v>0.46738195435712782</v>
      </c>
      <c r="Q3547">
        <v>0.98742972179505328</v>
      </c>
      <c r="R3547">
        <v>1.3046007670322419</v>
      </c>
      <c r="S3547">
        <v>0.21653258959607219</v>
      </c>
      <c r="T3547">
        <v>0.17089421513635811</v>
      </c>
      <c r="U3547">
        <v>4.2557921641307059</v>
      </c>
      <c r="V3547">
        <v>0.20542966688110781</v>
      </c>
      <c r="W3547">
        <v>5.5068964396773934</v>
      </c>
      <c r="X3547">
        <v>0.29671082232660562</v>
      </c>
      <c r="Z3547" t="s">
        <v>392</v>
      </c>
      <c r="AA3547">
        <v>114</v>
      </c>
      <c r="AB3547" t="s">
        <v>3938</v>
      </c>
      <c r="AC3547" t="str">
        <f>HYPERLINK("plots/3FT6Y578R04_015_S21P_20251218081014_M5358ACSC201811_RBGEUFRF04/dpll_52084/txpa_54199.png","plot")</f>
        <v>plot</v>
      </c>
    </row>
    <row r="3548" spans="1:29" hidden="1" x14ac:dyDescent="0.35">
      <c r="A3548" t="s">
        <v>49</v>
      </c>
      <c r="B3548">
        <v>52084</v>
      </c>
      <c r="C3548" t="s">
        <v>52</v>
      </c>
      <c r="D3548">
        <v>54200</v>
      </c>
      <c r="E3548" t="s">
        <v>220</v>
      </c>
      <c r="F3548">
        <v>12028</v>
      </c>
      <c r="G3548">
        <v>0.69011018508969624</v>
      </c>
      <c r="H3548">
        <v>0</v>
      </c>
      <c r="I3548">
        <v>0</v>
      </c>
      <c r="J3548">
        <v>0.62807224833916708</v>
      </c>
      <c r="K3548">
        <v>0</v>
      </c>
      <c r="L3548">
        <v>0</v>
      </c>
      <c r="M3548">
        <v>0.44984356238102291</v>
      </c>
      <c r="N3548">
        <v>0</v>
      </c>
      <c r="O3548">
        <v>0</v>
      </c>
      <c r="P3548">
        <v>0.47625206756453481</v>
      </c>
      <c r="Q3548">
        <v>1.008477862044187</v>
      </c>
      <c r="R3548">
        <v>1.229255963436549</v>
      </c>
      <c r="S3548">
        <v>0.2172583631257507</v>
      </c>
      <c r="T3548">
        <v>0.17087165048324091</v>
      </c>
      <c r="U3548">
        <v>4.2558177004489526</v>
      </c>
      <c r="V3548">
        <v>0.20544021673558341</v>
      </c>
      <c r="W3548">
        <v>5.5211538992351183</v>
      </c>
      <c r="X3548">
        <v>0.30021569747513221</v>
      </c>
      <c r="Z3548" t="s">
        <v>392</v>
      </c>
      <c r="AA3548">
        <v>114</v>
      </c>
      <c r="AB3548" t="s">
        <v>3939</v>
      </c>
      <c r="AC3548" t="str">
        <f>HYPERLINK("plots/3FT6Y578R04_015_S21P_20251218081014_M5358ACSC201811_RBGEUFRF04/dpll_52084/txpa_54200.png","plot")</f>
        <v>plot</v>
      </c>
    </row>
    <row r="3549" spans="1:29" hidden="1" x14ac:dyDescent="0.35">
      <c r="A3549" t="s">
        <v>49</v>
      </c>
      <c r="B3549">
        <v>52084</v>
      </c>
      <c r="C3549" t="s">
        <v>52</v>
      </c>
      <c r="D3549">
        <v>54201</v>
      </c>
      <c r="E3549" t="s">
        <v>221</v>
      </c>
      <c r="F3549">
        <v>12028</v>
      </c>
      <c r="G3549">
        <v>0.68634556639106692</v>
      </c>
      <c r="H3549">
        <v>0</v>
      </c>
      <c r="I3549">
        <v>0</v>
      </c>
      <c r="J3549">
        <v>0.61960619413804896</v>
      </c>
      <c r="K3549">
        <v>0</v>
      </c>
      <c r="L3549">
        <v>0</v>
      </c>
      <c r="M3549">
        <v>0.44223633615403041</v>
      </c>
      <c r="N3549">
        <v>0</v>
      </c>
      <c r="O3549">
        <v>0</v>
      </c>
      <c r="P3549">
        <v>0.47107023650467439</v>
      </c>
      <c r="Q3549">
        <v>0.98703774228343055</v>
      </c>
      <c r="R3549">
        <v>1.3253632771947681</v>
      </c>
      <c r="S3549">
        <v>0.2148608751004783</v>
      </c>
      <c r="T3549">
        <v>0.1699211336520389</v>
      </c>
      <c r="U3549">
        <v>4.2558177004489526</v>
      </c>
      <c r="V3549">
        <v>0.20544021673558341</v>
      </c>
      <c r="W3549">
        <v>5.5260159718157631</v>
      </c>
      <c r="X3549">
        <v>0.2954448278396401</v>
      </c>
      <c r="Z3549" t="s">
        <v>392</v>
      </c>
      <c r="AA3549">
        <v>114</v>
      </c>
      <c r="AB3549" t="s">
        <v>3940</v>
      </c>
      <c r="AC3549" t="str">
        <f>HYPERLINK("plots/3FT6Y578R04_015_S21P_20251218081014_M5358ACSC201811_RBGEUFRF04/dpll_52084/txpa_54201.png","plot")</f>
        <v>plot</v>
      </c>
    </row>
    <row r="3550" spans="1:29" hidden="1" x14ac:dyDescent="0.35">
      <c r="A3550" t="s">
        <v>49</v>
      </c>
      <c r="B3550">
        <v>52084</v>
      </c>
      <c r="C3550" t="s">
        <v>52</v>
      </c>
      <c r="D3550">
        <v>54202</v>
      </c>
      <c r="E3550" t="s">
        <v>222</v>
      </c>
      <c r="F3550">
        <v>12027</v>
      </c>
      <c r="G3550">
        <v>0.67967210383642407</v>
      </c>
      <c r="H3550">
        <v>0</v>
      </c>
      <c r="I3550">
        <v>0</v>
      </c>
      <c r="J3550">
        <v>0.61332583597679535</v>
      </c>
      <c r="K3550">
        <v>0</v>
      </c>
      <c r="L3550">
        <v>0</v>
      </c>
      <c r="M3550">
        <v>0.43833554979969919</v>
      </c>
      <c r="N3550">
        <v>0</v>
      </c>
      <c r="O3550">
        <v>0</v>
      </c>
      <c r="P3550">
        <v>0.46195416873343081</v>
      </c>
      <c r="Q3550">
        <v>0.9872903021167051</v>
      </c>
      <c r="R3550">
        <v>1.2860492119652061</v>
      </c>
      <c r="S3550">
        <v>0.21888159653407921</v>
      </c>
      <c r="T3550">
        <v>0.17161326901699511</v>
      </c>
      <c r="U3550">
        <v>4.2558401814251274</v>
      </c>
      <c r="V3550">
        <v>0.20543396214013371</v>
      </c>
      <c r="W3550">
        <v>5.4877989504448328</v>
      </c>
      <c r="X3550">
        <v>0.29841295148281921</v>
      </c>
      <c r="Z3550" t="s">
        <v>392</v>
      </c>
      <c r="AA3550">
        <v>114</v>
      </c>
      <c r="AB3550" t="s">
        <v>3941</v>
      </c>
      <c r="AC3550" t="str">
        <f>HYPERLINK("plots/3FT6Y578R04_015_S21P_20251218081014_M5358ACSC201811_RBGEUFRF04/dpll_52084/txpa_54202.png","plot")</f>
        <v>plot</v>
      </c>
    </row>
    <row r="3551" spans="1:29" hidden="1" x14ac:dyDescent="0.35">
      <c r="A3551" t="s">
        <v>49</v>
      </c>
      <c r="B3551">
        <v>52084</v>
      </c>
      <c r="C3551" t="s">
        <v>52</v>
      </c>
      <c r="D3551">
        <v>54203</v>
      </c>
      <c r="E3551" t="s">
        <v>223</v>
      </c>
      <c r="F3551">
        <v>12028</v>
      </c>
      <c r="G3551">
        <v>0.67406827699758998</v>
      </c>
      <c r="H3551">
        <v>0</v>
      </c>
      <c r="I3551">
        <v>0</v>
      </c>
      <c r="J3551">
        <v>0.61727866354793004</v>
      </c>
      <c r="K3551">
        <v>0</v>
      </c>
      <c r="L3551">
        <v>0</v>
      </c>
      <c r="M3551">
        <v>0.43945649910972068</v>
      </c>
      <c r="N3551">
        <v>0</v>
      </c>
      <c r="O3551">
        <v>0</v>
      </c>
      <c r="P3551">
        <v>0.45436804205449971</v>
      </c>
      <c r="Q3551">
        <v>1.005570519739607</v>
      </c>
      <c r="R3551">
        <v>2.288869595829357</v>
      </c>
      <c r="S3551">
        <v>0.22637369190972009</v>
      </c>
      <c r="T3551">
        <v>0.1748312640937818</v>
      </c>
      <c r="U3551">
        <v>4.2558177004489526</v>
      </c>
      <c r="V3551">
        <v>0.20544021673558341</v>
      </c>
      <c r="W3551">
        <v>6.568394412786831</v>
      </c>
      <c r="X3551">
        <v>0.30647433289455472</v>
      </c>
      <c r="Z3551" t="s">
        <v>392</v>
      </c>
      <c r="AA3551">
        <v>114</v>
      </c>
      <c r="AB3551" t="s">
        <v>3942</v>
      </c>
      <c r="AC3551" t="str">
        <f>HYPERLINK("plots/3FT6Y578R04_015_S21P_20251218081014_M5358ACSC201811_RBGEUFRF04/dpll_52084/txpa_54203.png","plot")</f>
        <v>plot</v>
      </c>
    </row>
    <row r="3552" spans="1:29" hidden="1" x14ac:dyDescent="0.35">
      <c r="A3552" t="s">
        <v>49</v>
      </c>
      <c r="B3552">
        <v>52084</v>
      </c>
      <c r="C3552" t="s">
        <v>52</v>
      </c>
      <c r="D3552">
        <v>54204</v>
      </c>
      <c r="E3552" t="s">
        <v>224</v>
      </c>
      <c r="F3552">
        <v>12028</v>
      </c>
      <c r="G3552">
        <v>0.69531342499410864</v>
      </c>
      <c r="H3552">
        <v>0</v>
      </c>
      <c r="I3552">
        <v>0</v>
      </c>
      <c r="J3552">
        <v>0.63116355525863976</v>
      </c>
      <c r="K3552">
        <v>0</v>
      </c>
      <c r="L3552">
        <v>0</v>
      </c>
      <c r="M3552">
        <v>0.45293446320511987</v>
      </c>
      <c r="N3552">
        <v>0</v>
      </c>
      <c r="O3552">
        <v>0</v>
      </c>
      <c r="P3552">
        <v>0.48346075897703789</v>
      </c>
      <c r="Q3552">
        <v>1.0391024101978521</v>
      </c>
      <c r="R3552">
        <v>2.175549187161006</v>
      </c>
      <c r="S3552">
        <v>0.22064638057336819</v>
      </c>
      <c r="T3552">
        <v>0.17290448002935099</v>
      </c>
      <c r="U3552">
        <v>4.2558177004489526</v>
      </c>
      <c r="V3552">
        <v>0.20544021673558341</v>
      </c>
      <c r="W3552">
        <v>6.5977796170601932</v>
      </c>
      <c r="X3552">
        <v>0.3070175501980601</v>
      </c>
      <c r="Z3552" t="s">
        <v>392</v>
      </c>
      <c r="AA3552">
        <v>114</v>
      </c>
      <c r="AB3552" t="s">
        <v>3943</v>
      </c>
      <c r="AC3552" t="str">
        <f>HYPERLINK("plots/3FT6Y578R04_015_S21P_20251218081014_M5358ACSC201811_RBGEUFRF04/dpll_52084/txpa_54204.png","plot")</f>
        <v>plot</v>
      </c>
    </row>
    <row r="3553" spans="1:29" hidden="1" x14ac:dyDescent="0.35">
      <c r="A3553" t="s">
        <v>49</v>
      </c>
      <c r="B3553">
        <v>52084</v>
      </c>
      <c r="C3553" t="s">
        <v>52</v>
      </c>
      <c r="D3553">
        <v>54205</v>
      </c>
      <c r="E3553" t="s">
        <v>225</v>
      </c>
      <c r="F3553">
        <v>12028</v>
      </c>
      <c r="G3553">
        <v>0.68348281698811619</v>
      </c>
      <c r="H3553">
        <v>0</v>
      </c>
      <c r="I3553">
        <v>0</v>
      </c>
      <c r="J3553">
        <v>0.6191611761478294</v>
      </c>
      <c r="K3553">
        <v>0</v>
      </c>
      <c r="L3553">
        <v>0</v>
      </c>
      <c r="M3553">
        <v>0.44220305442037039</v>
      </c>
      <c r="N3553">
        <v>0</v>
      </c>
      <c r="O3553">
        <v>0</v>
      </c>
      <c r="P3553">
        <v>0.46714876111801068</v>
      </c>
      <c r="Q3553">
        <v>1.004913943323883</v>
      </c>
      <c r="R3553">
        <v>2.334300831357103</v>
      </c>
      <c r="S3553">
        <v>0.22048125470905819</v>
      </c>
      <c r="T3553">
        <v>0.17189007065565479</v>
      </c>
      <c r="U3553">
        <v>4.2558177004489526</v>
      </c>
      <c r="V3553">
        <v>0.20544021673558341</v>
      </c>
      <c r="W3553">
        <v>6.6110313787828412</v>
      </c>
      <c r="X3553">
        <v>0.30205549164619028</v>
      </c>
      <c r="Z3553" t="s">
        <v>392</v>
      </c>
      <c r="AA3553">
        <v>114</v>
      </c>
      <c r="AB3553" t="s">
        <v>3944</v>
      </c>
      <c r="AC3553" t="str">
        <f>HYPERLINK("plots/3FT6Y578R04_015_S21P_20251218081014_M5358ACSC201811_RBGEUFRF04/dpll_52084/txpa_54205.png","plot")</f>
        <v>plot</v>
      </c>
    </row>
    <row r="3554" spans="1:29" hidden="1" x14ac:dyDescent="0.35">
      <c r="A3554" t="s">
        <v>49</v>
      </c>
      <c r="B3554">
        <v>52084</v>
      </c>
      <c r="C3554" t="s">
        <v>52</v>
      </c>
      <c r="D3554">
        <v>54206</v>
      </c>
      <c r="E3554" t="s">
        <v>226</v>
      </c>
      <c r="F3554">
        <v>12028</v>
      </c>
      <c r="G3554">
        <v>0.7012244889833088</v>
      </c>
      <c r="H3554">
        <v>0</v>
      </c>
      <c r="I3554">
        <v>0</v>
      </c>
      <c r="J3554">
        <v>0.63352872818392758</v>
      </c>
      <c r="K3554">
        <v>0</v>
      </c>
      <c r="L3554">
        <v>0</v>
      </c>
      <c r="M3554">
        <v>0.45506934000324861</v>
      </c>
      <c r="N3554">
        <v>0</v>
      </c>
      <c r="O3554">
        <v>0</v>
      </c>
      <c r="P3554">
        <v>0.49171578394990262</v>
      </c>
      <c r="Q3554">
        <v>1.0428806047745529</v>
      </c>
      <c r="R3554">
        <v>2.1750853768127261</v>
      </c>
      <c r="S3554">
        <v>0.2178202429663543</v>
      </c>
      <c r="T3554">
        <v>0.17049066251701009</v>
      </c>
      <c r="U3554">
        <v>4.2558177004489526</v>
      </c>
      <c r="V3554">
        <v>0.20544021673558341</v>
      </c>
      <c r="W3554">
        <v>6.6133951140671767</v>
      </c>
      <c r="X3554">
        <v>0.30553641642615298</v>
      </c>
      <c r="Z3554" t="s">
        <v>392</v>
      </c>
      <c r="AA3554">
        <v>114</v>
      </c>
      <c r="AB3554" t="s">
        <v>3945</v>
      </c>
      <c r="AC3554" t="str">
        <f>HYPERLINK("plots/3FT6Y578R04_015_S21P_20251218081014_M5358ACSC201811_RBGEUFRF04/dpll_52084/txpa_54206.png","plot")</f>
        <v>plot</v>
      </c>
    </row>
    <row r="3555" spans="1:29" hidden="1" x14ac:dyDescent="0.35">
      <c r="A3555" t="s">
        <v>49</v>
      </c>
      <c r="B3555">
        <v>52084</v>
      </c>
      <c r="C3555" t="s">
        <v>52</v>
      </c>
      <c r="D3555">
        <v>54207</v>
      </c>
      <c r="E3555" t="s">
        <v>227</v>
      </c>
      <c r="F3555">
        <v>12027</v>
      </c>
      <c r="G3555">
        <v>0.69991695129688158</v>
      </c>
      <c r="H3555">
        <v>0</v>
      </c>
      <c r="I3555">
        <v>0</v>
      </c>
      <c r="J3555">
        <v>0.62659244525118352</v>
      </c>
      <c r="K3555">
        <v>0</v>
      </c>
      <c r="L3555">
        <v>0</v>
      </c>
      <c r="M3555">
        <v>0.44750822533822721</v>
      </c>
      <c r="N3555">
        <v>0</v>
      </c>
      <c r="O3555">
        <v>0</v>
      </c>
      <c r="P3555">
        <v>0.48988373871272128</v>
      </c>
      <c r="Q3555">
        <v>1.03131542175088</v>
      </c>
      <c r="R3555">
        <v>2.2073007751674001</v>
      </c>
      <c r="S3555">
        <v>0.2161845685440755</v>
      </c>
      <c r="T3555">
        <v>0.17040707754426801</v>
      </c>
      <c r="U3555">
        <v>4.2557921641307059</v>
      </c>
      <c r="V3555">
        <v>0.20542966688110781</v>
      </c>
      <c r="W3555">
        <v>6.5963648658019469</v>
      </c>
      <c r="X3555">
        <v>0.3026970316222094</v>
      </c>
      <c r="Z3555" t="s">
        <v>392</v>
      </c>
      <c r="AA3555">
        <v>114</v>
      </c>
      <c r="AB3555" t="s">
        <v>3946</v>
      </c>
      <c r="AC3555" t="str">
        <f>HYPERLINK("plots/3FT6Y578R04_015_S21P_20251218081014_M5358ACSC201811_RBGEUFRF04/dpll_52084/txpa_54207.png","plot")</f>
        <v>plot</v>
      </c>
    </row>
    <row r="3556" spans="1:29" hidden="1" x14ac:dyDescent="0.35">
      <c r="A3556" t="s">
        <v>49</v>
      </c>
      <c r="B3556">
        <v>52084</v>
      </c>
      <c r="C3556" t="s">
        <v>52</v>
      </c>
      <c r="D3556">
        <v>54208</v>
      </c>
      <c r="E3556" t="s">
        <v>228</v>
      </c>
      <c r="F3556">
        <v>12028</v>
      </c>
      <c r="G3556">
        <v>0.70543514521818462</v>
      </c>
      <c r="H3556">
        <v>0</v>
      </c>
      <c r="I3556">
        <v>0</v>
      </c>
      <c r="J3556">
        <v>0.64130633224776934</v>
      </c>
      <c r="K3556">
        <v>0</v>
      </c>
      <c r="L3556">
        <v>0</v>
      </c>
      <c r="M3556">
        <v>0.4611298341643274</v>
      </c>
      <c r="N3556">
        <v>0</v>
      </c>
      <c r="O3556">
        <v>0</v>
      </c>
      <c r="P3556">
        <v>0.49763874410900122</v>
      </c>
      <c r="Q3556">
        <v>1.0519531054583999</v>
      </c>
      <c r="R3556">
        <v>2.1343102100831151</v>
      </c>
      <c r="S3556">
        <v>0.2171274672432961</v>
      </c>
      <c r="T3556">
        <v>0.17044360871652339</v>
      </c>
      <c r="U3556">
        <v>4.2558177004489526</v>
      </c>
      <c r="V3556">
        <v>0.20544021673558341</v>
      </c>
      <c r="W3556">
        <v>6.6112308563352187</v>
      </c>
      <c r="X3556">
        <v>0.3063548441638842</v>
      </c>
      <c r="Z3556" t="s">
        <v>392</v>
      </c>
      <c r="AA3556">
        <v>114</v>
      </c>
      <c r="AB3556" t="s">
        <v>3947</v>
      </c>
      <c r="AC3556" t="str">
        <f>HYPERLINK("plots/3FT6Y578R04_015_S21P_20251218081014_M5358ACSC201811_RBGEUFRF04/dpll_52084/txpa_54208.png","plot")</f>
        <v>plot</v>
      </c>
    </row>
    <row r="3557" spans="1:29" hidden="1" x14ac:dyDescent="0.35">
      <c r="A3557" t="s">
        <v>49</v>
      </c>
      <c r="B3557">
        <v>52084</v>
      </c>
      <c r="C3557" t="s">
        <v>52</v>
      </c>
      <c r="D3557">
        <v>54209</v>
      </c>
      <c r="E3557" t="s">
        <v>229</v>
      </c>
      <c r="F3557">
        <v>12028</v>
      </c>
      <c r="G3557">
        <v>0.70238345536195779</v>
      </c>
      <c r="H3557">
        <v>0</v>
      </c>
      <c r="I3557">
        <v>0</v>
      </c>
      <c r="J3557">
        <v>0.63274941251057926</v>
      </c>
      <c r="K3557">
        <v>0</v>
      </c>
      <c r="L3557">
        <v>0</v>
      </c>
      <c r="M3557">
        <v>0.45334446165797709</v>
      </c>
      <c r="N3557">
        <v>0</v>
      </c>
      <c r="O3557">
        <v>0</v>
      </c>
      <c r="P3557">
        <v>0.49334251836620341</v>
      </c>
      <c r="Q3557">
        <v>1.0309767514542729</v>
      </c>
      <c r="R3557">
        <v>2.2286069979133689</v>
      </c>
      <c r="S3557">
        <v>0.21463435578278989</v>
      </c>
      <c r="T3557">
        <v>0.1694872256534718</v>
      </c>
      <c r="U3557">
        <v>4.2558177004489526</v>
      </c>
      <c r="V3557">
        <v>0.20544021673558341</v>
      </c>
      <c r="W3557">
        <v>6.6162561055038234</v>
      </c>
      <c r="X3557">
        <v>0.30155050727805821</v>
      </c>
      <c r="Z3557" t="s">
        <v>392</v>
      </c>
      <c r="AA3557">
        <v>114</v>
      </c>
      <c r="AB3557" t="s">
        <v>3948</v>
      </c>
      <c r="AC3557" t="str">
        <f>HYPERLINK("plots/3FT6Y578R04_015_S21P_20251218081014_M5358ACSC201811_RBGEUFRF04/dpll_52084/txpa_54209.png","plot")</f>
        <v>plot</v>
      </c>
    </row>
    <row r="3558" spans="1:29" hidden="1" x14ac:dyDescent="0.35">
      <c r="A3558" t="s">
        <v>49</v>
      </c>
      <c r="B3558">
        <v>52084</v>
      </c>
      <c r="C3558" t="s">
        <v>52</v>
      </c>
      <c r="D3558">
        <v>54210</v>
      </c>
      <c r="E3558" t="s">
        <v>230</v>
      </c>
      <c r="F3558">
        <v>12027</v>
      </c>
      <c r="G3558">
        <v>0.69589735682233445</v>
      </c>
      <c r="H3558">
        <v>0</v>
      </c>
      <c r="I3558">
        <v>0</v>
      </c>
      <c r="J3558">
        <v>0.62684281600987413</v>
      </c>
      <c r="K3558">
        <v>0</v>
      </c>
      <c r="L3558">
        <v>0</v>
      </c>
      <c r="M3558">
        <v>0.44969064597965058</v>
      </c>
      <c r="N3558">
        <v>0</v>
      </c>
      <c r="O3558">
        <v>0</v>
      </c>
      <c r="P3558">
        <v>0.48427313123231153</v>
      </c>
      <c r="Q3558">
        <v>1.030929494161527</v>
      </c>
      <c r="R3558">
        <v>2.1918458345310952</v>
      </c>
      <c r="S3558">
        <v>0.2185485067220603</v>
      </c>
      <c r="T3558">
        <v>0.17105762667089469</v>
      </c>
      <c r="U3558">
        <v>4.2558401814251274</v>
      </c>
      <c r="V3558">
        <v>0.20543396214013371</v>
      </c>
      <c r="W3558">
        <v>6.5793169999999996</v>
      </c>
      <c r="X3558">
        <v>0.30433788632250358</v>
      </c>
      <c r="Z3558" t="s">
        <v>392</v>
      </c>
      <c r="AA3558">
        <v>114</v>
      </c>
      <c r="AB3558" t="s">
        <v>3949</v>
      </c>
      <c r="AC3558" t="str">
        <f>HYPERLINK("plots/3FT6Y578R04_015_S21P_20251218081014_M5358ACSC201811_RBGEUFRF04/dpll_52084/txpa_54210.png","plot")</f>
        <v>plot</v>
      </c>
    </row>
    <row r="3559" spans="1:29" hidden="1" x14ac:dyDescent="0.35">
      <c r="A3559" t="s">
        <v>49</v>
      </c>
      <c r="B3559">
        <v>52084</v>
      </c>
      <c r="C3559" t="s">
        <v>52</v>
      </c>
      <c r="D3559">
        <v>54211</v>
      </c>
      <c r="E3559" t="s">
        <v>231</v>
      </c>
      <c r="F3559">
        <v>12028</v>
      </c>
      <c r="G3559">
        <v>0.68922723559079091</v>
      </c>
      <c r="H3559">
        <v>0</v>
      </c>
      <c r="I3559">
        <v>0</v>
      </c>
      <c r="J3559">
        <v>0.62965435229198619</v>
      </c>
      <c r="K3559">
        <v>0</v>
      </c>
      <c r="L3559">
        <v>0</v>
      </c>
      <c r="M3559">
        <v>0.4497746203812118</v>
      </c>
      <c r="N3559">
        <v>0</v>
      </c>
      <c r="O3559">
        <v>0</v>
      </c>
      <c r="P3559">
        <v>0.47503418228012362</v>
      </c>
      <c r="Q3559">
        <v>1.054390386070361</v>
      </c>
      <c r="R3559">
        <v>3.151435727289027</v>
      </c>
      <c r="S3559">
        <v>0.22770466594813901</v>
      </c>
      <c r="T3559">
        <v>0.175507840364548</v>
      </c>
      <c r="U3559">
        <v>4.2558177004489526</v>
      </c>
      <c r="V3559">
        <v>0.20544021673558341</v>
      </c>
      <c r="W3559">
        <v>7.6387289955104754</v>
      </c>
      <c r="X3559">
        <v>0.31428559153286162</v>
      </c>
      <c r="Z3559" t="s">
        <v>392</v>
      </c>
      <c r="AA3559">
        <v>114</v>
      </c>
      <c r="AB3559" t="s">
        <v>3950</v>
      </c>
      <c r="AC3559" t="str">
        <f>HYPERLINK("plots/3FT6Y578R04_015_S21P_20251218081014_M5358ACSC201811_RBGEUFRF04/dpll_52084/txpa_54211.png","plot")</f>
        <v>plot</v>
      </c>
    </row>
    <row r="3560" spans="1:29" hidden="1" x14ac:dyDescent="0.35">
      <c r="A3560" t="s">
        <v>49</v>
      </c>
      <c r="B3560">
        <v>52084</v>
      </c>
      <c r="C3560" t="s">
        <v>52</v>
      </c>
      <c r="D3560">
        <v>54212</v>
      </c>
      <c r="E3560" t="s">
        <v>232</v>
      </c>
      <c r="F3560">
        <v>12028</v>
      </c>
      <c r="G3560">
        <v>0.7095167439071538</v>
      </c>
      <c r="H3560">
        <v>0</v>
      </c>
      <c r="I3560">
        <v>0</v>
      </c>
      <c r="J3560">
        <v>0.64272216435134333</v>
      </c>
      <c r="K3560">
        <v>0</v>
      </c>
      <c r="L3560">
        <v>0</v>
      </c>
      <c r="M3560">
        <v>0.46270813219976592</v>
      </c>
      <c r="N3560">
        <v>0</v>
      </c>
      <c r="O3560">
        <v>0</v>
      </c>
      <c r="P3560">
        <v>0.50341400988460971</v>
      </c>
      <c r="Q3560">
        <v>1.0872032785486541</v>
      </c>
      <c r="R3560">
        <v>3.0404828324082751</v>
      </c>
      <c r="S3560">
        <v>0.2218261523658599</v>
      </c>
      <c r="T3560">
        <v>0.17358072344176839</v>
      </c>
      <c r="U3560">
        <v>4.2558177004489526</v>
      </c>
      <c r="V3560">
        <v>0.20544021673558341</v>
      </c>
      <c r="W3560">
        <v>7.6674217892417689</v>
      </c>
      <c r="X3560">
        <v>0.31479916309050521</v>
      </c>
      <c r="Z3560" t="s">
        <v>392</v>
      </c>
      <c r="AA3560">
        <v>114</v>
      </c>
      <c r="AB3560" t="s">
        <v>3951</v>
      </c>
      <c r="AC3560" t="str">
        <f>HYPERLINK("plots/3FT6Y578R04_015_S21P_20251218081014_M5358ACSC201811_RBGEUFRF04/dpll_52084/txpa_54212.png","plot")</f>
        <v>plot</v>
      </c>
    </row>
    <row r="3561" spans="1:29" hidden="1" x14ac:dyDescent="0.35">
      <c r="A3561" t="s">
        <v>49</v>
      </c>
      <c r="B3561">
        <v>52084</v>
      </c>
      <c r="C3561" t="s">
        <v>52</v>
      </c>
      <c r="D3561">
        <v>54213</v>
      </c>
      <c r="E3561" t="s">
        <v>233</v>
      </c>
      <c r="F3561">
        <v>12028</v>
      </c>
      <c r="G3561">
        <v>0.69849170869719501</v>
      </c>
      <c r="H3561">
        <v>0</v>
      </c>
      <c r="I3561">
        <v>0</v>
      </c>
      <c r="J3561">
        <v>0.63160813170691288</v>
      </c>
      <c r="K3561">
        <v>0</v>
      </c>
      <c r="L3561">
        <v>0</v>
      </c>
      <c r="M3561">
        <v>0.45260456549172451</v>
      </c>
      <c r="N3561">
        <v>0</v>
      </c>
      <c r="O3561">
        <v>0</v>
      </c>
      <c r="P3561">
        <v>0.48789066711872708</v>
      </c>
      <c r="Q3561">
        <v>1.0534593615496091</v>
      </c>
      <c r="R3561">
        <v>3.1977826171458141</v>
      </c>
      <c r="S3561">
        <v>0.22172021304629219</v>
      </c>
      <c r="T3561">
        <v>0.17245520769784661</v>
      </c>
      <c r="U3561">
        <v>4.2558177004489526</v>
      </c>
      <c r="V3561">
        <v>0.20544021673558341</v>
      </c>
      <c r="W3561">
        <v>7.6811136147322916</v>
      </c>
      <c r="X3561">
        <v>0.30984321913075591</v>
      </c>
      <c r="Z3561" t="s">
        <v>392</v>
      </c>
      <c r="AA3561">
        <v>114</v>
      </c>
      <c r="AB3561" t="s">
        <v>3952</v>
      </c>
      <c r="AC3561" t="str">
        <f>HYPERLINK("plots/3FT6Y578R04_015_S21P_20251218081014_M5358ACSC201811_RBGEUFRF04/dpll_52084/txpa_54213.png","plot")</f>
        <v>plot</v>
      </c>
    </row>
    <row r="3562" spans="1:29" hidden="1" x14ac:dyDescent="0.35">
      <c r="A3562" t="s">
        <v>49</v>
      </c>
      <c r="B3562">
        <v>52084</v>
      </c>
      <c r="C3562" t="s">
        <v>52</v>
      </c>
      <c r="D3562">
        <v>54214</v>
      </c>
      <c r="E3562" t="s">
        <v>234</v>
      </c>
      <c r="F3562">
        <v>12027</v>
      </c>
      <c r="G3562">
        <v>0.71603491445085266</v>
      </c>
      <c r="H3562">
        <v>0</v>
      </c>
      <c r="I3562">
        <v>0</v>
      </c>
      <c r="J3562">
        <v>0.64498700341673265</v>
      </c>
      <c r="K3562">
        <v>0</v>
      </c>
      <c r="L3562">
        <v>0</v>
      </c>
      <c r="M3562">
        <v>0.46479639625849373</v>
      </c>
      <c r="N3562">
        <v>0</v>
      </c>
      <c r="O3562">
        <v>0</v>
      </c>
      <c r="P3562">
        <v>0.51270599871263989</v>
      </c>
      <c r="Q3562">
        <v>1.0901249195737091</v>
      </c>
      <c r="R3562">
        <v>3.0429781813612058</v>
      </c>
      <c r="S3562">
        <v>0.2183332881190648</v>
      </c>
      <c r="T3562">
        <v>0.17102329315416609</v>
      </c>
      <c r="U3562">
        <v>4.2558247893905383</v>
      </c>
      <c r="V3562">
        <v>0.20544728689892131</v>
      </c>
      <c r="W3562">
        <v>7.6823588376153653</v>
      </c>
      <c r="X3562">
        <v>0.31278252301298343</v>
      </c>
      <c r="Z3562" t="s">
        <v>392</v>
      </c>
      <c r="AA3562">
        <v>114</v>
      </c>
      <c r="AB3562" t="s">
        <v>3953</v>
      </c>
      <c r="AC3562" t="str">
        <f>HYPERLINK("plots/3FT6Y578R04_015_S21P_20251218081014_M5358ACSC201811_RBGEUFRF04/dpll_52084/txpa_54214.png","plot")</f>
        <v>plot</v>
      </c>
    </row>
    <row r="3563" spans="1:29" hidden="1" x14ac:dyDescent="0.35">
      <c r="A3563" t="s">
        <v>49</v>
      </c>
      <c r="B3563">
        <v>52084</v>
      </c>
      <c r="C3563" t="s">
        <v>52</v>
      </c>
      <c r="D3563">
        <v>54215</v>
      </c>
      <c r="E3563" t="s">
        <v>235</v>
      </c>
      <c r="F3563">
        <v>12027</v>
      </c>
      <c r="G3563">
        <v>0.71442034734553406</v>
      </c>
      <c r="H3563">
        <v>0</v>
      </c>
      <c r="I3563">
        <v>0</v>
      </c>
      <c r="J3563">
        <v>0.63841956043579895</v>
      </c>
      <c r="K3563">
        <v>0</v>
      </c>
      <c r="L3563">
        <v>0</v>
      </c>
      <c r="M3563">
        <v>0.45747395538717422</v>
      </c>
      <c r="N3563">
        <v>0</v>
      </c>
      <c r="O3563">
        <v>0</v>
      </c>
      <c r="P3563">
        <v>0.51039643270131352</v>
      </c>
      <c r="Q3563">
        <v>1.0803050648356001</v>
      </c>
      <c r="R3563">
        <v>3.0673194515688631</v>
      </c>
      <c r="S3563">
        <v>0.21735017288071479</v>
      </c>
      <c r="T3563">
        <v>0.17101097354146449</v>
      </c>
      <c r="U3563">
        <v>4.2557921641307059</v>
      </c>
      <c r="V3563">
        <v>0.20542966688110781</v>
      </c>
      <c r="W3563">
        <v>7.6648732813669236</v>
      </c>
      <c r="X3563">
        <v>0.31063884227784272</v>
      </c>
      <c r="Z3563" t="s">
        <v>392</v>
      </c>
      <c r="AA3563">
        <v>114</v>
      </c>
      <c r="AB3563" t="s">
        <v>3954</v>
      </c>
      <c r="AC3563" t="str">
        <f>HYPERLINK("plots/3FT6Y578R04_015_S21P_20251218081014_M5358ACSC201811_RBGEUFRF04/dpll_52084/txpa_54215.png","plot")</f>
        <v>plot</v>
      </c>
    </row>
    <row r="3564" spans="1:29" hidden="1" x14ac:dyDescent="0.35">
      <c r="A3564" t="s">
        <v>49</v>
      </c>
      <c r="B3564">
        <v>52084</v>
      </c>
      <c r="C3564" t="s">
        <v>52</v>
      </c>
      <c r="D3564">
        <v>54216</v>
      </c>
      <c r="E3564" t="s">
        <v>236</v>
      </c>
      <c r="F3564">
        <v>12028</v>
      </c>
      <c r="G3564">
        <v>0.71918595760832005</v>
      </c>
      <c r="H3564">
        <v>0</v>
      </c>
      <c r="I3564">
        <v>0</v>
      </c>
      <c r="J3564">
        <v>0.65228383312004801</v>
      </c>
      <c r="K3564">
        <v>0</v>
      </c>
      <c r="L3564">
        <v>0</v>
      </c>
      <c r="M3564">
        <v>0.47058863786278649</v>
      </c>
      <c r="N3564">
        <v>0</v>
      </c>
      <c r="O3564">
        <v>0</v>
      </c>
      <c r="P3564">
        <v>0.51722844162099635</v>
      </c>
      <c r="Q3564">
        <v>1.099966363373827</v>
      </c>
      <c r="R3564">
        <v>2.9989457634957062</v>
      </c>
      <c r="S3564">
        <v>0.2183114199057937</v>
      </c>
      <c r="T3564">
        <v>0.17105784155457501</v>
      </c>
      <c r="U3564">
        <v>4.2558177004489526</v>
      </c>
      <c r="V3564">
        <v>0.20544021673558341</v>
      </c>
      <c r="W3564">
        <v>7.6802020826405064</v>
      </c>
      <c r="X3564">
        <v>0.31421265349071431</v>
      </c>
      <c r="Z3564" t="s">
        <v>392</v>
      </c>
      <c r="AA3564">
        <v>114</v>
      </c>
      <c r="AB3564" t="s">
        <v>3955</v>
      </c>
      <c r="AC3564" t="str">
        <f>HYPERLINK("plots/3FT6Y578R04_015_S21P_20251218081014_M5358ACSC201811_RBGEUFRF04/dpll_52084/txpa_54216.png","plot")</f>
        <v>plot</v>
      </c>
    </row>
    <row r="3565" spans="1:29" hidden="1" x14ac:dyDescent="0.35">
      <c r="A3565" t="s">
        <v>49</v>
      </c>
      <c r="B3565">
        <v>52084</v>
      </c>
      <c r="C3565" t="s">
        <v>52</v>
      </c>
      <c r="D3565">
        <v>54217</v>
      </c>
      <c r="E3565" t="s">
        <v>237</v>
      </c>
      <c r="F3565">
        <v>12028</v>
      </c>
      <c r="G3565">
        <v>0.71695715656166892</v>
      </c>
      <c r="H3565">
        <v>0</v>
      </c>
      <c r="I3565">
        <v>0</v>
      </c>
      <c r="J3565">
        <v>0.64439891680206296</v>
      </c>
      <c r="K3565">
        <v>0</v>
      </c>
      <c r="L3565">
        <v>0</v>
      </c>
      <c r="M3565">
        <v>0.46325453929779431</v>
      </c>
      <c r="N3565">
        <v>0</v>
      </c>
      <c r="O3565">
        <v>0</v>
      </c>
      <c r="P3565">
        <v>0.51402756434499342</v>
      </c>
      <c r="Q3565">
        <v>1.0800273014764961</v>
      </c>
      <c r="R3565">
        <v>3.0894535651242059</v>
      </c>
      <c r="S3565">
        <v>0.21573209376821131</v>
      </c>
      <c r="T3565">
        <v>0.1700432584845839</v>
      </c>
      <c r="U3565">
        <v>4.2558177004489526</v>
      </c>
      <c r="V3565">
        <v>0.20544021673558341</v>
      </c>
      <c r="W3565">
        <v>7.685852871715996</v>
      </c>
      <c r="X3565">
        <v>0.30947601382453582</v>
      </c>
      <c r="Z3565" t="s">
        <v>392</v>
      </c>
      <c r="AA3565">
        <v>114</v>
      </c>
      <c r="AB3565" t="s">
        <v>3956</v>
      </c>
      <c r="AC3565" t="str">
        <f>HYPERLINK("plots/3FT6Y578R04_015_S21P_20251218081014_M5358ACSC201811_RBGEUFRF04/dpll_52084/txpa_54217.png","plot")</f>
        <v>plot</v>
      </c>
    </row>
    <row r="3566" spans="1:29" hidden="1" x14ac:dyDescent="0.35">
      <c r="A3566" t="s">
        <v>49</v>
      </c>
      <c r="B3566">
        <v>52084</v>
      </c>
      <c r="C3566" t="s">
        <v>52</v>
      </c>
      <c r="D3566">
        <v>54218</v>
      </c>
      <c r="E3566" t="s">
        <v>238</v>
      </c>
      <c r="F3566">
        <v>12027</v>
      </c>
      <c r="G3566">
        <v>0.71036124761690045</v>
      </c>
      <c r="H3566">
        <v>0</v>
      </c>
      <c r="I3566">
        <v>0</v>
      </c>
      <c r="J3566">
        <v>0.63848432527899268</v>
      </c>
      <c r="K3566">
        <v>0</v>
      </c>
      <c r="L3566">
        <v>0</v>
      </c>
      <c r="M3566">
        <v>0.45947546879457057</v>
      </c>
      <c r="N3566">
        <v>0</v>
      </c>
      <c r="O3566">
        <v>0</v>
      </c>
      <c r="P3566">
        <v>0.50461310211583932</v>
      </c>
      <c r="Q3566">
        <v>1.078980346408007</v>
      </c>
      <c r="R3566">
        <v>3.0576459603233501</v>
      </c>
      <c r="S3566">
        <v>0.21961435157641779</v>
      </c>
      <c r="T3566">
        <v>0.1715819402330602</v>
      </c>
      <c r="U3566">
        <v>4.2558401814251274</v>
      </c>
      <c r="V3566">
        <v>0.20543396214013371</v>
      </c>
      <c r="W3566">
        <v>7.6496138735345474</v>
      </c>
      <c r="X3566">
        <v>0.31203730267880858</v>
      </c>
      <c r="Z3566" t="s">
        <v>392</v>
      </c>
      <c r="AA3566">
        <v>114</v>
      </c>
      <c r="AB3566" t="s">
        <v>3957</v>
      </c>
      <c r="AC3566" t="str">
        <f>HYPERLINK("plots/3FT6Y578R04_015_S21P_20251218081014_M5358ACSC201811_RBGEUFRF04/dpll_52084/txpa_54218.png","plot")</f>
        <v>plot</v>
      </c>
    </row>
    <row r="3567" spans="1:29" hidden="1" x14ac:dyDescent="0.35">
      <c r="A3567" t="s">
        <v>49</v>
      </c>
      <c r="B3567">
        <v>52084</v>
      </c>
      <c r="C3567" t="s">
        <v>52</v>
      </c>
      <c r="D3567">
        <v>54219</v>
      </c>
      <c r="E3567" t="s">
        <v>239</v>
      </c>
      <c r="F3567">
        <v>12028</v>
      </c>
      <c r="G3567">
        <v>0.70624886935587883</v>
      </c>
      <c r="H3567">
        <v>0</v>
      </c>
      <c r="I3567">
        <v>0</v>
      </c>
      <c r="J3567">
        <v>0.64270655611106275</v>
      </c>
      <c r="K3567">
        <v>0</v>
      </c>
      <c r="L3567">
        <v>0</v>
      </c>
      <c r="M3567">
        <v>0.46079261808954669</v>
      </c>
      <c r="N3567">
        <v>0</v>
      </c>
      <c r="O3567">
        <v>0</v>
      </c>
      <c r="P3567">
        <v>0.49878746546645719</v>
      </c>
      <c r="Q3567">
        <v>1.113509095353387</v>
      </c>
      <c r="R3567">
        <v>3.9694427969335422</v>
      </c>
      <c r="S3567">
        <v>0.2293054491453401</v>
      </c>
      <c r="T3567">
        <v>0.17617687622991851</v>
      </c>
      <c r="U3567">
        <v>4.2558177004489526</v>
      </c>
      <c r="V3567">
        <v>0.20544021673558341</v>
      </c>
      <c r="W3567">
        <v>8.7083345145493851</v>
      </c>
      <c r="X3567">
        <v>0.32390784582080678</v>
      </c>
      <c r="Z3567" t="s">
        <v>392</v>
      </c>
      <c r="AA3567">
        <v>114</v>
      </c>
      <c r="AB3567" t="s">
        <v>3958</v>
      </c>
      <c r="AC3567" t="str">
        <f>HYPERLINK("plots/3FT6Y578R04_015_S21P_20251218081014_M5358ACSC201811_RBGEUFRF04/dpll_52084/txpa_54219.png","plot")</f>
        <v>plot</v>
      </c>
    </row>
    <row r="3568" spans="1:29" hidden="1" x14ac:dyDescent="0.35">
      <c r="A3568" t="s">
        <v>49</v>
      </c>
      <c r="B3568">
        <v>52084</v>
      </c>
      <c r="C3568" t="s">
        <v>52</v>
      </c>
      <c r="D3568">
        <v>54220</v>
      </c>
      <c r="E3568" t="s">
        <v>240</v>
      </c>
      <c r="F3568">
        <v>12028</v>
      </c>
      <c r="G3568">
        <v>0.72593293346384002</v>
      </c>
      <c r="H3568">
        <v>0</v>
      </c>
      <c r="I3568">
        <v>0</v>
      </c>
      <c r="J3568">
        <v>0.65546896955419676</v>
      </c>
      <c r="K3568">
        <v>0</v>
      </c>
      <c r="L3568">
        <v>0</v>
      </c>
      <c r="M3568">
        <v>0.47370859158033102</v>
      </c>
      <c r="N3568">
        <v>0</v>
      </c>
      <c r="O3568">
        <v>0</v>
      </c>
      <c r="P3568">
        <v>0.52697862388741601</v>
      </c>
      <c r="Q3568">
        <v>1.1467814837476991</v>
      </c>
      <c r="R3568">
        <v>3.8548882533916609</v>
      </c>
      <c r="S3568">
        <v>0.22319885712705309</v>
      </c>
      <c r="T3568">
        <v>0.17421659093743291</v>
      </c>
      <c r="U3568">
        <v>4.2558177004489526</v>
      </c>
      <c r="V3568">
        <v>0.20544021673558341</v>
      </c>
      <c r="W3568">
        <v>8.735381190472232</v>
      </c>
      <c r="X3568">
        <v>0.32454105015641471</v>
      </c>
      <c r="Z3568" t="s">
        <v>392</v>
      </c>
      <c r="AA3568">
        <v>114</v>
      </c>
      <c r="AB3568" t="s">
        <v>3959</v>
      </c>
      <c r="AC3568" t="str">
        <f>HYPERLINK("plots/3FT6Y578R04_015_S21P_20251218081014_M5358ACSC201811_RBGEUFRF04/dpll_52084/txpa_54220.png","plot")</f>
        <v>plot</v>
      </c>
    </row>
    <row r="3569" spans="1:29" hidden="1" x14ac:dyDescent="0.35">
      <c r="A3569" t="s">
        <v>49</v>
      </c>
      <c r="B3569">
        <v>52084</v>
      </c>
      <c r="C3569" t="s">
        <v>52</v>
      </c>
      <c r="D3569">
        <v>54221</v>
      </c>
      <c r="E3569" t="s">
        <v>241</v>
      </c>
      <c r="F3569">
        <v>12028</v>
      </c>
      <c r="G3569">
        <v>0.71562010126025566</v>
      </c>
      <c r="H3569">
        <v>0</v>
      </c>
      <c r="I3569">
        <v>0</v>
      </c>
      <c r="J3569">
        <v>0.64480395904215304</v>
      </c>
      <c r="K3569">
        <v>0</v>
      </c>
      <c r="L3569">
        <v>0</v>
      </c>
      <c r="M3569">
        <v>0.46382964580132879</v>
      </c>
      <c r="N3569">
        <v>0</v>
      </c>
      <c r="O3569">
        <v>0</v>
      </c>
      <c r="P3569">
        <v>0.51211212932773853</v>
      </c>
      <c r="Q3569">
        <v>1.112745785164446</v>
      </c>
      <c r="R3569">
        <v>4.0135177785105833</v>
      </c>
      <c r="S3569">
        <v>0.22312120556493961</v>
      </c>
      <c r="T3569">
        <v>0.17293386063631599</v>
      </c>
      <c r="U3569">
        <v>4.2558177004489526</v>
      </c>
      <c r="V3569">
        <v>0.20544021673558341</v>
      </c>
      <c r="W3569">
        <v>8.7491609871134024</v>
      </c>
      <c r="X3569">
        <v>0.31944705699742931</v>
      </c>
      <c r="Z3569" t="s">
        <v>392</v>
      </c>
      <c r="AA3569">
        <v>114</v>
      </c>
      <c r="AB3569" t="s">
        <v>3960</v>
      </c>
      <c r="AC3569" t="str">
        <f>HYPERLINK("plots/3FT6Y578R04_015_S21P_20251218081014_M5358ACSC201811_RBGEUFRF04/dpll_52084/txpa_54221.png","plot")</f>
        <v>plot</v>
      </c>
    </row>
    <row r="3570" spans="1:29" hidden="1" x14ac:dyDescent="0.35">
      <c r="A3570" t="s">
        <v>49</v>
      </c>
      <c r="B3570">
        <v>52084</v>
      </c>
      <c r="C3570" t="s">
        <v>52</v>
      </c>
      <c r="D3570">
        <v>54222</v>
      </c>
      <c r="E3570" t="s">
        <v>242</v>
      </c>
      <c r="F3570">
        <v>12027</v>
      </c>
      <c r="G3570">
        <v>0.73206384202964125</v>
      </c>
      <c r="H3570">
        <v>0</v>
      </c>
      <c r="I3570">
        <v>0</v>
      </c>
      <c r="J3570">
        <v>0.65747173695095384</v>
      </c>
      <c r="K3570">
        <v>0</v>
      </c>
      <c r="L3570">
        <v>0</v>
      </c>
      <c r="M3570">
        <v>0.47551672466027839</v>
      </c>
      <c r="N3570">
        <v>0</v>
      </c>
      <c r="O3570">
        <v>0</v>
      </c>
      <c r="P3570">
        <v>0.53591746880719959</v>
      </c>
      <c r="Q3570">
        <v>1.148663159558946</v>
      </c>
      <c r="R3570">
        <v>3.8612324169490799</v>
      </c>
      <c r="S3570">
        <v>0.21959563383742819</v>
      </c>
      <c r="T3570">
        <v>0.17163013455925419</v>
      </c>
      <c r="U3570">
        <v>4.2558247893905383</v>
      </c>
      <c r="V3570">
        <v>0.20544728689892131</v>
      </c>
      <c r="W3570">
        <v>8.7497415660597007</v>
      </c>
      <c r="X3570">
        <v>0.32236222600183118</v>
      </c>
      <c r="Z3570" t="s">
        <v>392</v>
      </c>
      <c r="AA3570">
        <v>114</v>
      </c>
      <c r="AB3570" t="s">
        <v>3961</v>
      </c>
      <c r="AC3570" t="str">
        <f>HYPERLINK("plots/3FT6Y578R04_015_S21P_20251218081014_M5358ACSC201811_RBGEUFRF04/dpll_52084/txpa_54222.png","plot")</f>
        <v>plot</v>
      </c>
    </row>
    <row r="3571" spans="1:29" hidden="1" x14ac:dyDescent="0.35">
      <c r="A3571" t="s">
        <v>49</v>
      </c>
      <c r="B3571">
        <v>52084</v>
      </c>
      <c r="C3571" t="s">
        <v>52</v>
      </c>
      <c r="D3571">
        <v>54223</v>
      </c>
      <c r="E3571" t="s">
        <v>243</v>
      </c>
      <c r="F3571">
        <v>12027</v>
      </c>
      <c r="G3571">
        <v>0.73079180995471404</v>
      </c>
      <c r="H3571">
        <v>0</v>
      </c>
      <c r="I3571">
        <v>0</v>
      </c>
      <c r="J3571">
        <v>0.6509140708710599</v>
      </c>
      <c r="K3571">
        <v>0</v>
      </c>
      <c r="L3571">
        <v>0</v>
      </c>
      <c r="M3571">
        <v>0.46808098302594547</v>
      </c>
      <c r="N3571">
        <v>0</v>
      </c>
      <c r="O3571">
        <v>0</v>
      </c>
      <c r="P3571">
        <v>0.5340566694968869</v>
      </c>
      <c r="Q3571">
        <v>1.13937082029435</v>
      </c>
      <c r="R3571">
        <v>3.882830747932259</v>
      </c>
      <c r="S3571">
        <v>0.2186165705852631</v>
      </c>
      <c r="T3571">
        <v>0.1715383243269131</v>
      </c>
      <c r="U3571">
        <v>4.2557921641307059</v>
      </c>
      <c r="V3571">
        <v>0.20542966688110781</v>
      </c>
      <c r="W3571">
        <v>8.7317561569801292</v>
      </c>
      <c r="X3571">
        <v>0.32028351286753942</v>
      </c>
      <c r="Z3571" t="s">
        <v>392</v>
      </c>
      <c r="AA3571">
        <v>114</v>
      </c>
      <c r="AB3571" t="s">
        <v>3962</v>
      </c>
      <c r="AC3571" t="str">
        <f>HYPERLINK("plots/3FT6Y578R04_015_S21P_20251218081014_M5358ACSC201811_RBGEUFRF04/dpll_52084/txpa_54223.png","plot")</f>
        <v>plot</v>
      </c>
    </row>
    <row r="3572" spans="1:29" hidden="1" x14ac:dyDescent="0.35">
      <c r="A3572" t="s">
        <v>49</v>
      </c>
      <c r="B3572">
        <v>52084</v>
      </c>
      <c r="C3572" t="s">
        <v>52</v>
      </c>
      <c r="D3572">
        <v>54224</v>
      </c>
      <c r="E3572" t="s">
        <v>244</v>
      </c>
      <c r="F3572">
        <v>12028</v>
      </c>
      <c r="G3572">
        <v>0.73495721014194737</v>
      </c>
      <c r="H3572">
        <v>0</v>
      </c>
      <c r="I3572">
        <v>0</v>
      </c>
      <c r="J3572">
        <v>0.66457770089681933</v>
      </c>
      <c r="K3572">
        <v>0</v>
      </c>
      <c r="L3572">
        <v>0</v>
      </c>
      <c r="M3572">
        <v>0.48121911650375637</v>
      </c>
      <c r="N3572">
        <v>0</v>
      </c>
      <c r="O3572">
        <v>0</v>
      </c>
      <c r="P3572">
        <v>0.54016210073963455</v>
      </c>
      <c r="Q3572">
        <v>1.1589845163777821</v>
      </c>
      <c r="R3572">
        <v>3.815410233612925</v>
      </c>
      <c r="S3572">
        <v>0.2196773953940471</v>
      </c>
      <c r="T3572">
        <v>0.1716746120687411</v>
      </c>
      <c r="U3572">
        <v>4.2558177004489526</v>
      </c>
      <c r="V3572">
        <v>0.20544021673558341</v>
      </c>
      <c r="W3572">
        <v>8.7478370529597598</v>
      </c>
      <c r="X3572">
        <v>0.32396720101820742</v>
      </c>
      <c r="Z3572" t="s">
        <v>392</v>
      </c>
      <c r="AA3572">
        <v>114</v>
      </c>
      <c r="AB3572" t="s">
        <v>3963</v>
      </c>
      <c r="AC3572" t="str">
        <f>HYPERLINK("plots/3FT6Y578R04_015_S21P_20251218081014_M5358ACSC201811_RBGEUFRF04/dpll_52084/txpa_54224.png","plot")</f>
        <v>plot</v>
      </c>
    </row>
    <row r="3573" spans="1:29" hidden="1" x14ac:dyDescent="0.35">
      <c r="A3573" t="s">
        <v>49</v>
      </c>
      <c r="B3573">
        <v>52084</v>
      </c>
      <c r="C3573" t="s">
        <v>52</v>
      </c>
      <c r="D3573">
        <v>54225</v>
      </c>
      <c r="E3573" t="s">
        <v>245</v>
      </c>
      <c r="F3573">
        <v>12028</v>
      </c>
      <c r="G3573">
        <v>0.73348125206742665</v>
      </c>
      <c r="H3573">
        <v>0</v>
      </c>
      <c r="I3573">
        <v>0</v>
      </c>
      <c r="J3573">
        <v>0.65698086560510427</v>
      </c>
      <c r="K3573">
        <v>0</v>
      </c>
      <c r="L3573">
        <v>0</v>
      </c>
      <c r="M3573">
        <v>0.47411492324041421</v>
      </c>
      <c r="N3573">
        <v>0</v>
      </c>
      <c r="O3573">
        <v>0</v>
      </c>
      <c r="P3573">
        <v>0.53799474713439988</v>
      </c>
      <c r="Q3573">
        <v>1.139559349804063</v>
      </c>
      <c r="R3573">
        <v>3.904184335954124</v>
      </c>
      <c r="S3573">
        <v>0.21693958154735199</v>
      </c>
      <c r="T3573">
        <v>0.1705741534052673</v>
      </c>
      <c r="U3573">
        <v>4.2558177004489526</v>
      </c>
      <c r="V3573">
        <v>0.20544021673558341</v>
      </c>
      <c r="W3573">
        <v>8.7539411875623561</v>
      </c>
      <c r="X3573">
        <v>0.31917832820802122</v>
      </c>
      <c r="Z3573" t="s">
        <v>392</v>
      </c>
      <c r="AA3573">
        <v>114</v>
      </c>
      <c r="AB3573" t="s">
        <v>3964</v>
      </c>
      <c r="AC3573" t="str">
        <f>HYPERLINK("plots/3FT6Y578R04_015_S21P_20251218081014_M5358ACSC201811_RBGEUFRF04/dpll_52084/txpa_54225.png","plot")</f>
        <v>plot</v>
      </c>
    </row>
    <row r="3574" spans="1:29" hidden="1" x14ac:dyDescent="0.35">
      <c r="A3574" t="s">
        <v>49</v>
      </c>
      <c r="B3574">
        <v>52084</v>
      </c>
      <c r="C3574" t="s">
        <v>52</v>
      </c>
      <c r="D3574">
        <v>54226</v>
      </c>
      <c r="E3574" t="s">
        <v>246</v>
      </c>
      <c r="F3574">
        <v>12027</v>
      </c>
      <c r="G3574">
        <v>0.72659326788750889</v>
      </c>
      <c r="H3574">
        <v>0</v>
      </c>
      <c r="I3574">
        <v>0</v>
      </c>
      <c r="J3574">
        <v>0.65057964555855241</v>
      </c>
      <c r="K3574">
        <v>0</v>
      </c>
      <c r="L3574">
        <v>0</v>
      </c>
      <c r="M3574">
        <v>0.46970182957039042</v>
      </c>
      <c r="N3574">
        <v>0</v>
      </c>
      <c r="O3574">
        <v>0</v>
      </c>
      <c r="P3574">
        <v>0.52793777693944921</v>
      </c>
      <c r="Q3574">
        <v>1.1369148242675711</v>
      </c>
      <c r="R3574">
        <v>3.8808974971237111</v>
      </c>
      <c r="S3574">
        <v>0.2208464231922124</v>
      </c>
      <c r="T3574">
        <v>0.17210998511430209</v>
      </c>
      <c r="U3574">
        <v>4.2558401814251274</v>
      </c>
      <c r="V3574">
        <v>0.20543396214013371</v>
      </c>
      <c r="W3574">
        <v>8.7194252890995259</v>
      </c>
      <c r="X3574">
        <v>0.32144657442835101</v>
      </c>
      <c r="Z3574" t="s">
        <v>392</v>
      </c>
      <c r="AA3574">
        <v>114</v>
      </c>
      <c r="AB3574" t="s">
        <v>3965</v>
      </c>
      <c r="AC3574" t="str">
        <f>HYPERLINK("plots/3FT6Y578R04_015_S21P_20251218081014_M5358ACSC201811_RBGEUFRF04/dpll_52084/txpa_54226.png","plot")</f>
        <v>plot</v>
      </c>
    </row>
    <row r="3575" spans="1:29" hidden="1" x14ac:dyDescent="0.35">
      <c r="A3575" t="s">
        <v>49</v>
      </c>
      <c r="B3575">
        <v>52084</v>
      </c>
      <c r="C3575" t="s">
        <v>52</v>
      </c>
      <c r="D3575">
        <v>54227</v>
      </c>
      <c r="E3575" t="s">
        <v>247</v>
      </c>
      <c r="F3575">
        <v>12028</v>
      </c>
      <c r="G3575">
        <v>0.71201835074855702</v>
      </c>
      <c r="H3575">
        <v>0</v>
      </c>
      <c r="I3575">
        <v>0</v>
      </c>
      <c r="J3575">
        <v>0.64679716716650015</v>
      </c>
      <c r="K3575">
        <v>0</v>
      </c>
      <c r="L3575">
        <v>0</v>
      </c>
      <c r="M3575">
        <v>0.46427686221156589</v>
      </c>
      <c r="N3575">
        <v>0</v>
      </c>
      <c r="O3575">
        <v>0</v>
      </c>
      <c r="P3575">
        <v>0.50697013180269512</v>
      </c>
      <c r="Q3575">
        <v>1.139158220308313</v>
      </c>
      <c r="R3575">
        <v>4.3898823689480064</v>
      </c>
      <c r="S3575">
        <v>0.2307793187414996</v>
      </c>
      <c r="T3575">
        <v>0.1769995034757931</v>
      </c>
      <c r="U3575">
        <v>4.2558177004489526</v>
      </c>
      <c r="V3575">
        <v>0.20544021673558341</v>
      </c>
      <c r="W3575">
        <v>9.2379320865480548</v>
      </c>
      <c r="X3575">
        <v>0.32868382034005578</v>
      </c>
      <c r="Z3575" t="s">
        <v>392</v>
      </c>
      <c r="AA3575">
        <v>114</v>
      </c>
      <c r="AB3575" t="s">
        <v>3966</v>
      </c>
      <c r="AC3575" t="str">
        <f>HYPERLINK("plots/3FT6Y578R04_015_S21P_20251218081014_M5358ACSC201811_RBGEUFRF04/dpll_52084/txpa_54227.png","plot")</f>
        <v>plot</v>
      </c>
    </row>
    <row r="3576" spans="1:29" hidden="1" x14ac:dyDescent="0.35">
      <c r="A3576" t="s">
        <v>49</v>
      </c>
      <c r="B3576">
        <v>52084</v>
      </c>
      <c r="C3576" t="s">
        <v>52</v>
      </c>
      <c r="D3576">
        <v>54228</v>
      </c>
      <c r="E3576" t="s">
        <v>248</v>
      </c>
      <c r="F3576">
        <v>12028</v>
      </c>
      <c r="G3576">
        <v>0.73112652791299715</v>
      </c>
      <c r="H3576">
        <v>0</v>
      </c>
      <c r="I3576">
        <v>0</v>
      </c>
      <c r="J3576">
        <v>0.65928586818434343</v>
      </c>
      <c r="K3576">
        <v>0</v>
      </c>
      <c r="L3576">
        <v>0</v>
      </c>
      <c r="M3576">
        <v>0.47703253944379981</v>
      </c>
      <c r="N3576">
        <v>0</v>
      </c>
      <c r="O3576">
        <v>0</v>
      </c>
      <c r="P3576">
        <v>0.53454599981811457</v>
      </c>
      <c r="Q3576">
        <v>1.172185593911435</v>
      </c>
      <c r="R3576">
        <v>4.2758277624775154</v>
      </c>
      <c r="S3576">
        <v>0.22470339364388781</v>
      </c>
      <c r="T3576">
        <v>0.17508785402287089</v>
      </c>
      <c r="U3576">
        <v>4.2558177004489526</v>
      </c>
      <c r="V3576">
        <v>0.20544021673558341</v>
      </c>
      <c r="W3576">
        <v>9.2644359612570675</v>
      </c>
      <c r="X3576">
        <v>0.32937399105856319</v>
      </c>
      <c r="Z3576" t="s">
        <v>392</v>
      </c>
      <c r="AA3576">
        <v>114</v>
      </c>
      <c r="AB3576" t="s">
        <v>3967</v>
      </c>
      <c r="AC3576" t="str">
        <f>HYPERLINK("plots/3FT6Y578R04_015_S21P_20251218081014_M5358ACSC201811_RBGEUFRF04/dpll_52084/txpa_54228.png","plot")</f>
        <v>plot</v>
      </c>
    </row>
    <row r="3577" spans="1:29" hidden="1" x14ac:dyDescent="0.35">
      <c r="A3577" t="s">
        <v>49</v>
      </c>
      <c r="B3577">
        <v>52084</v>
      </c>
      <c r="C3577" t="s">
        <v>52</v>
      </c>
      <c r="D3577">
        <v>54229</v>
      </c>
      <c r="E3577" t="s">
        <v>249</v>
      </c>
      <c r="F3577">
        <v>12028</v>
      </c>
      <c r="G3577">
        <v>0.72124375394873297</v>
      </c>
      <c r="H3577">
        <v>0</v>
      </c>
      <c r="I3577">
        <v>0</v>
      </c>
      <c r="J3577">
        <v>0.64872798136892662</v>
      </c>
      <c r="K3577">
        <v>0</v>
      </c>
      <c r="L3577">
        <v>0</v>
      </c>
      <c r="M3577">
        <v>0.46719430012262347</v>
      </c>
      <c r="N3577">
        <v>0</v>
      </c>
      <c r="O3577">
        <v>0</v>
      </c>
      <c r="P3577">
        <v>0.52019255261006048</v>
      </c>
      <c r="Q3577">
        <v>1.1382512063307459</v>
      </c>
      <c r="R3577">
        <v>4.4339999134354846</v>
      </c>
      <c r="S3577">
        <v>0.22457269807987951</v>
      </c>
      <c r="T3577">
        <v>0.17374455790537491</v>
      </c>
      <c r="U3577">
        <v>4.2558177004489526</v>
      </c>
      <c r="V3577">
        <v>0.20544021673558341</v>
      </c>
      <c r="W3577">
        <v>9.2781895448952447</v>
      </c>
      <c r="X3577">
        <v>0.32422128198388472</v>
      </c>
      <c r="Z3577" t="s">
        <v>392</v>
      </c>
      <c r="AA3577">
        <v>114</v>
      </c>
      <c r="AB3577" t="s">
        <v>3968</v>
      </c>
      <c r="AC3577" t="str">
        <f>HYPERLINK("plots/3FT6Y578R04_015_S21P_20251218081014_M5358ACSC201811_RBGEUFRF04/dpll_52084/txpa_54229.png","plot")</f>
        <v>plot</v>
      </c>
    </row>
    <row r="3578" spans="1:29" hidden="1" x14ac:dyDescent="0.35">
      <c r="A3578" t="s">
        <v>49</v>
      </c>
      <c r="B3578">
        <v>52084</v>
      </c>
      <c r="C3578" t="s">
        <v>52</v>
      </c>
      <c r="D3578">
        <v>54230</v>
      </c>
      <c r="E3578" t="s">
        <v>250</v>
      </c>
      <c r="F3578">
        <v>12027</v>
      </c>
      <c r="G3578">
        <v>0.737307851917129</v>
      </c>
      <c r="H3578">
        <v>0</v>
      </c>
      <c r="I3578">
        <v>0</v>
      </c>
      <c r="J3578">
        <v>0.6612809634879111</v>
      </c>
      <c r="K3578">
        <v>0</v>
      </c>
      <c r="L3578">
        <v>0</v>
      </c>
      <c r="M3578">
        <v>0.47881442831056642</v>
      </c>
      <c r="N3578">
        <v>0</v>
      </c>
      <c r="O3578">
        <v>0</v>
      </c>
      <c r="P3578">
        <v>0.54362286849865105</v>
      </c>
      <c r="Q3578">
        <v>1.17426485417116</v>
      </c>
      <c r="R3578">
        <v>4.2809821288647232</v>
      </c>
      <c r="S3578">
        <v>0.2210352278241513</v>
      </c>
      <c r="T3578">
        <v>0.17251422562806709</v>
      </c>
      <c r="U3578">
        <v>4.2558247893905383</v>
      </c>
      <c r="V3578">
        <v>0.20544728689892131</v>
      </c>
      <c r="W3578">
        <v>9.2784476045564137</v>
      </c>
      <c r="X3578">
        <v>0.32720325405857459</v>
      </c>
      <c r="Z3578" t="s">
        <v>392</v>
      </c>
      <c r="AA3578">
        <v>114</v>
      </c>
      <c r="AB3578" t="s">
        <v>3969</v>
      </c>
      <c r="AC3578" t="str">
        <f>HYPERLINK("plots/3FT6Y578R04_015_S21P_20251218081014_M5358ACSC201811_RBGEUFRF04/dpll_52084/txpa_54230.png","plot")</f>
        <v>plot</v>
      </c>
    </row>
    <row r="3579" spans="1:29" hidden="1" x14ac:dyDescent="0.35">
      <c r="A3579" t="s">
        <v>49</v>
      </c>
      <c r="B3579">
        <v>52084</v>
      </c>
      <c r="C3579" t="s">
        <v>52</v>
      </c>
      <c r="D3579">
        <v>54231</v>
      </c>
      <c r="E3579" t="s">
        <v>251</v>
      </c>
      <c r="F3579">
        <v>12027</v>
      </c>
      <c r="G3579">
        <v>0.73616712688107311</v>
      </c>
      <c r="H3579">
        <v>0</v>
      </c>
      <c r="I3579">
        <v>0</v>
      </c>
      <c r="J3579">
        <v>0.65479392591976149</v>
      </c>
      <c r="K3579">
        <v>0</v>
      </c>
      <c r="L3579">
        <v>0</v>
      </c>
      <c r="M3579">
        <v>0.47136853266128131</v>
      </c>
      <c r="N3579">
        <v>0</v>
      </c>
      <c r="O3579">
        <v>0</v>
      </c>
      <c r="P3579">
        <v>0.54194203870033397</v>
      </c>
      <c r="Q3579">
        <v>1.165075543237015</v>
      </c>
      <c r="R3579">
        <v>4.3018818767552833</v>
      </c>
      <c r="S3579">
        <v>0.22003055263615401</v>
      </c>
      <c r="T3579">
        <v>0.17240115456592189</v>
      </c>
      <c r="U3579">
        <v>4.2557921641307059</v>
      </c>
      <c r="V3579">
        <v>0.20542966688110781</v>
      </c>
      <c r="W3579">
        <v>9.2602012442836958</v>
      </c>
      <c r="X3579">
        <v>0.3251178597888833</v>
      </c>
      <c r="Z3579" t="s">
        <v>392</v>
      </c>
      <c r="AA3579">
        <v>114</v>
      </c>
      <c r="AB3579" t="s">
        <v>3970</v>
      </c>
      <c r="AC3579" t="str">
        <f>HYPERLINK("plots/3FT6Y578R04_015_S21P_20251218081014_M5358ACSC201811_RBGEUFRF04/dpll_52084/txpa_54231.png","plot")</f>
        <v>plot</v>
      </c>
    </row>
    <row r="3580" spans="1:29" hidden="1" x14ac:dyDescent="0.35">
      <c r="A3580" t="s">
        <v>49</v>
      </c>
      <c r="B3580">
        <v>52084</v>
      </c>
      <c r="C3580" t="s">
        <v>52</v>
      </c>
      <c r="D3580">
        <v>54232</v>
      </c>
      <c r="E3580" t="s">
        <v>252</v>
      </c>
      <c r="F3580">
        <v>12027</v>
      </c>
      <c r="G3580">
        <v>0.74206551782916663</v>
      </c>
      <c r="H3580">
        <v>0</v>
      </c>
      <c r="I3580">
        <v>0</v>
      </c>
      <c r="J3580">
        <v>0.66835277270036697</v>
      </c>
      <c r="K3580">
        <v>0</v>
      </c>
      <c r="L3580">
        <v>0</v>
      </c>
      <c r="M3580">
        <v>0.48448727263590352</v>
      </c>
      <c r="N3580">
        <v>0</v>
      </c>
      <c r="O3580">
        <v>0</v>
      </c>
      <c r="P3580">
        <v>0.55066123275106926</v>
      </c>
      <c r="Q3580">
        <v>1.185907585158015</v>
      </c>
      <c r="R3580">
        <v>4.2296567933892364</v>
      </c>
      <c r="S3580">
        <v>0.22005289020754629</v>
      </c>
      <c r="T3580">
        <v>0.17232209686361</v>
      </c>
      <c r="U3580">
        <v>4.2557881821734433</v>
      </c>
      <c r="V3580">
        <v>0.20542324838451659</v>
      </c>
      <c r="W3580">
        <v>9.2766282794545614</v>
      </c>
      <c r="X3580">
        <v>0.32829040370944729</v>
      </c>
      <c r="Z3580" t="s">
        <v>392</v>
      </c>
      <c r="AA3580">
        <v>114</v>
      </c>
      <c r="AB3580" t="s">
        <v>3971</v>
      </c>
      <c r="AC3580" t="str">
        <f>HYPERLINK("plots/3FT6Y578R04_015_S21P_20251218081014_M5358ACSC201811_RBGEUFRF04/dpll_52084/txpa_54232.png","plot")</f>
        <v>plot</v>
      </c>
    </row>
    <row r="3581" spans="1:29" hidden="1" x14ac:dyDescent="0.35">
      <c r="A3581" t="s">
        <v>49</v>
      </c>
      <c r="B3581">
        <v>52084</v>
      </c>
      <c r="C3581" t="s">
        <v>52</v>
      </c>
      <c r="D3581">
        <v>54233</v>
      </c>
      <c r="E3581" t="s">
        <v>253</v>
      </c>
      <c r="F3581">
        <v>12028</v>
      </c>
      <c r="G3581">
        <v>0.7389256714400092</v>
      </c>
      <c r="H3581">
        <v>0</v>
      </c>
      <c r="I3581">
        <v>0</v>
      </c>
      <c r="J3581">
        <v>0.66092238751652199</v>
      </c>
      <c r="K3581">
        <v>0</v>
      </c>
      <c r="L3581">
        <v>0</v>
      </c>
      <c r="M3581">
        <v>0.47752293554849468</v>
      </c>
      <c r="N3581">
        <v>0</v>
      </c>
      <c r="O3581">
        <v>0</v>
      </c>
      <c r="P3581">
        <v>0.54601114791306848</v>
      </c>
      <c r="Q3581">
        <v>1.165097415815848</v>
      </c>
      <c r="R3581">
        <v>4.324324471528401</v>
      </c>
      <c r="S3581">
        <v>0.21824861118483599</v>
      </c>
      <c r="T3581">
        <v>0.1713294048286105</v>
      </c>
      <c r="U3581">
        <v>4.2558177004489526</v>
      </c>
      <c r="V3581">
        <v>0.20544021673558341</v>
      </c>
      <c r="W3581">
        <v>9.2827666765048225</v>
      </c>
      <c r="X3581">
        <v>0.32392685066255522</v>
      </c>
      <c r="Z3581" t="s">
        <v>392</v>
      </c>
      <c r="AA3581">
        <v>114</v>
      </c>
      <c r="AB3581" t="s">
        <v>3972</v>
      </c>
      <c r="AC3581" t="str">
        <f>HYPERLINK("plots/3FT6Y578R04_015_S21P_20251218081014_M5358ACSC201811_RBGEUFRF04/dpll_52084/txpa_54233.png","plot")</f>
        <v>plot</v>
      </c>
    </row>
    <row r="3582" spans="1:29" hidden="1" x14ac:dyDescent="0.35">
      <c r="A3582" t="s">
        <v>49</v>
      </c>
      <c r="B3582">
        <v>52084</v>
      </c>
      <c r="C3582" t="s">
        <v>52</v>
      </c>
      <c r="D3582">
        <v>54234</v>
      </c>
      <c r="E3582" t="s">
        <v>254</v>
      </c>
      <c r="F3582">
        <v>12027</v>
      </c>
      <c r="G3582">
        <v>0.73182710187808853</v>
      </c>
      <c r="H3582">
        <v>0</v>
      </c>
      <c r="I3582">
        <v>0</v>
      </c>
      <c r="J3582">
        <v>0.65414049656002649</v>
      </c>
      <c r="K3582">
        <v>0</v>
      </c>
      <c r="L3582">
        <v>0</v>
      </c>
      <c r="M3582">
        <v>0.47276568128098823</v>
      </c>
      <c r="N3582">
        <v>0</v>
      </c>
      <c r="O3582">
        <v>0</v>
      </c>
      <c r="P3582">
        <v>0.53557090704328214</v>
      </c>
      <c r="Q3582">
        <v>1.162132134611138</v>
      </c>
      <c r="R3582">
        <v>4.3031344235989462</v>
      </c>
      <c r="S3582">
        <v>0.22231098179153189</v>
      </c>
      <c r="T3582">
        <v>0.1729905616692077</v>
      </c>
      <c r="U3582">
        <v>4.2558401814251274</v>
      </c>
      <c r="V3582">
        <v>0.20543396214013371</v>
      </c>
      <c r="W3582">
        <v>9.2489830582023789</v>
      </c>
      <c r="X3582">
        <v>0.32622652035003241</v>
      </c>
      <c r="Z3582" t="s">
        <v>392</v>
      </c>
      <c r="AA3582">
        <v>114</v>
      </c>
      <c r="AB3582" t="s">
        <v>3973</v>
      </c>
      <c r="AC3582" t="str">
        <f>HYPERLINK("plots/3FT6Y578R04_015_S21P_20251218081014_M5358ACSC201811_RBGEUFRF04/dpll_52084/txpa_54234.png","plot")</f>
        <v>plot</v>
      </c>
    </row>
    <row r="3583" spans="1:29" hidden="1" x14ac:dyDescent="0.35">
      <c r="A3583" t="s">
        <v>49</v>
      </c>
      <c r="B3583">
        <v>52084</v>
      </c>
      <c r="C3583" t="s">
        <v>52</v>
      </c>
      <c r="D3583">
        <v>54235</v>
      </c>
      <c r="E3583" t="s">
        <v>255</v>
      </c>
      <c r="F3583">
        <v>12028</v>
      </c>
      <c r="G3583">
        <v>0.71708089919321627</v>
      </c>
      <c r="H3583">
        <v>0</v>
      </c>
      <c r="I3583">
        <v>0</v>
      </c>
      <c r="J3583">
        <v>0.65025043922194115</v>
      </c>
      <c r="K3583">
        <v>0</v>
      </c>
      <c r="L3583">
        <v>0</v>
      </c>
      <c r="M3583">
        <v>0.46719601013851358</v>
      </c>
      <c r="N3583">
        <v>0</v>
      </c>
      <c r="O3583">
        <v>0</v>
      </c>
      <c r="P3583">
        <v>0.51420501598775159</v>
      </c>
      <c r="Q3583">
        <v>1.163091772983373</v>
      </c>
      <c r="R3583">
        <v>4.783061241433141</v>
      </c>
      <c r="S3583">
        <v>0.23224145989891859</v>
      </c>
      <c r="T3583">
        <v>0.17779656904283439</v>
      </c>
      <c r="U3583">
        <v>4.2558177004489526</v>
      </c>
      <c r="V3583">
        <v>0.20544021673558341</v>
      </c>
      <c r="W3583">
        <v>9.7329677961423346</v>
      </c>
      <c r="X3583">
        <v>0.3332201794719602</v>
      </c>
      <c r="Z3583" t="s">
        <v>392</v>
      </c>
      <c r="AA3583">
        <v>114</v>
      </c>
      <c r="AB3583" t="s">
        <v>3974</v>
      </c>
      <c r="AC3583" t="str">
        <f>HYPERLINK("plots/3FT6Y578R04_015_S21P_20251218081014_M5358ACSC201811_RBGEUFRF04/dpll_52084/txpa_54235.png","plot")</f>
        <v>plot</v>
      </c>
    </row>
    <row r="3584" spans="1:29" hidden="1" x14ac:dyDescent="0.35">
      <c r="A3584" t="s">
        <v>49</v>
      </c>
      <c r="B3584">
        <v>52084</v>
      </c>
      <c r="C3584" t="s">
        <v>52</v>
      </c>
      <c r="D3584">
        <v>54236</v>
      </c>
      <c r="E3584" t="s">
        <v>256</v>
      </c>
      <c r="F3584">
        <v>12028</v>
      </c>
      <c r="G3584">
        <v>0.73591034017332702</v>
      </c>
      <c r="H3584">
        <v>0</v>
      </c>
      <c r="I3584">
        <v>0</v>
      </c>
      <c r="J3584">
        <v>0.66261207486959051</v>
      </c>
      <c r="K3584">
        <v>0</v>
      </c>
      <c r="L3584">
        <v>0</v>
      </c>
      <c r="M3584">
        <v>0.47993120559458602</v>
      </c>
      <c r="N3584">
        <v>0</v>
      </c>
      <c r="O3584">
        <v>0</v>
      </c>
      <c r="P3584">
        <v>0.54156402877402188</v>
      </c>
      <c r="Q3584">
        <v>1.1965962198683091</v>
      </c>
      <c r="R3584">
        <v>4.6670435186141637</v>
      </c>
      <c r="S3584">
        <v>0.22616712392570029</v>
      </c>
      <c r="T3584">
        <v>0.17591506145611929</v>
      </c>
      <c r="U3584">
        <v>4.2558177004489526</v>
      </c>
      <c r="V3584">
        <v>0.20544021673558341</v>
      </c>
      <c r="W3584">
        <v>9.7595388914200196</v>
      </c>
      <c r="X3584">
        <v>0.33404746928386131</v>
      </c>
      <c r="Z3584" t="s">
        <v>392</v>
      </c>
      <c r="AA3584">
        <v>114</v>
      </c>
      <c r="AB3584" t="s">
        <v>3975</v>
      </c>
      <c r="AC3584" t="str">
        <f>HYPERLINK("plots/3FT6Y578R04_015_S21P_20251218081014_M5358ACSC201811_RBGEUFRF04/dpll_52084/txpa_54236.png","plot")</f>
        <v>plot</v>
      </c>
    </row>
    <row r="3585" spans="1:29" hidden="1" x14ac:dyDescent="0.35">
      <c r="A3585" t="s">
        <v>49</v>
      </c>
      <c r="B3585">
        <v>52084</v>
      </c>
      <c r="C3585" t="s">
        <v>52</v>
      </c>
      <c r="D3585">
        <v>54237</v>
      </c>
      <c r="E3585" t="s">
        <v>257</v>
      </c>
      <c r="F3585">
        <v>12028</v>
      </c>
      <c r="G3585">
        <v>0.72645491295546949</v>
      </c>
      <c r="H3585">
        <v>0</v>
      </c>
      <c r="I3585">
        <v>0</v>
      </c>
      <c r="J3585">
        <v>0.65214812454795212</v>
      </c>
      <c r="K3585">
        <v>0</v>
      </c>
      <c r="L3585">
        <v>0</v>
      </c>
      <c r="M3585">
        <v>0.47011918712429551</v>
      </c>
      <c r="N3585">
        <v>0</v>
      </c>
      <c r="O3585">
        <v>0</v>
      </c>
      <c r="P3585">
        <v>0.52773674055713871</v>
      </c>
      <c r="Q3585">
        <v>1.162741018490471</v>
      </c>
      <c r="R3585">
        <v>4.8252024020644892</v>
      </c>
      <c r="S3585">
        <v>0.22596117204883731</v>
      </c>
      <c r="T3585">
        <v>0.17449606839055701</v>
      </c>
      <c r="U3585">
        <v>4.2558177004489526</v>
      </c>
      <c r="V3585">
        <v>0.20544021673558341</v>
      </c>
      <c r="W3585">
        <v>9.7736162095942802</v>
      </c>
      <c r="X3585">
        <v>0.3288211870909023</v>
      </c>
      <c r="Z3585" t="s">
        <v>392</v>
      </c>
      <c r="AA3585">
        <v>114</v>
      </c>
      <c r="AB3585" t="s">
        <v>3976</v>
      </c>
      <c r="AC3585" t="str">
        <f>HYPERLINK("plots/3FT6Y578R04_015_S21P_20251218081014_M5358ACSC201811_RBGEUFRF04/dpll_52084/txpa_54237.png","plot")</f>
        <v>plot</v>
      </c>
    </row>
    <row r="3586" spans="1:29" hidden="1" x14ac:dyDescent="0.35">
      <c r="A3586" t="s">
        <v>49</v>
      </c>
      <c r="B3586">
        <v>52084</v>
      </c>
      <c r="C3586" t="s">
        <v>52</v>
      </c>
      <c r="D3586">
        <v>54238</v>
      </c>
      <c r="E3586" t="s">
        <v>258</v>
      </c>
      <c r="F3586">
        <v>12027</v>
      </c>
      <c r="G3586">
        <v>0.74208585021749307</v>
      </c>
      <c r="H3586">
        <v>0</v>
      </c>
      <c r="I3586">
        <v>0</v>
      </c>
      <c r="J3586">
        <v>0.6645759868280291</v>
      </c>
      <c r="K3586">
        <v>0</v>
      </c>
      <c r="L3586">
        <v>0</v>
      </c>
      <c r="M3586">
        <v>0.48166468084592817</v>
      </c>
      <c r="N3586">
        <v>0</v>
      </c>
      <c r="O3586">
        <v>0</v>
      </c>
      <c r="P3586">
        <v>0.55069140909301961</v>
      </c>
      <c r="Q3586">
        <v>1.198494277994242</v>
      </c>
      <c r="R3586">
        <v>4.6726697330556624</v>
      </c>
      <c r="S3586">
        <v>0.22240089474346941</v>
      </c>
      <c r="T3586">
        <v>0.17330396506170631</v>
      </c>
      <c r="U3586">
        <v>4.2558247893905383</v>
      </c>
      <c r="V3586">
        <v>0.20544728689892131</v>
      </c>
      <c r="W3586">
        <v>9.7732513912862728</v>
      </c>
      <c r="X3586">
        <v>0.331804464005928</v>
      </c>
      <c r="Z3586" t="s">
        <v>392</v>
      </c>
      <c r="AA3586">
        <v>114</v>
      </c>
      <c r="AB3586" t="s">
        <v>3977</v>
      </c>
      <c r="AC3586" t="str">
        <f>HYPERLINK("plots/3FT6Y578R04_015_S21P_20251218081014_M5358ACSC201811_RBGEUFRF04/dpll_52084/txpa_54238.png","plot")</f>
        <v>plot</v>
      </c>
    </row>
    <row r="3587" spans="1:29" hidden="1" x14ac:dyDescent="0.35">
      <c r="A3587" t="s">
        <v>49</v>
      </c>
      <c r="B3587">
        <v>52084</v>
      </c>
      <c r="C3587" t="s">
        <v>52</v>
      </c>
      <c r="D3587">
        <v>54239</v>
      </c>
      <c r="E3587" t="s">
        <v>259</v>
      </c>
      <c r="F3587">
        <v>12027</v>
      </c>
      <c r="G3587">
        <v>0.74114939228354926</v>
      </c>
      <c r="H3587">
        <v>0</v>
      </c>
      <c r="I3587">
        <v>0</v>
      </c>
      <c r="J3587">
        <v>0.6582170124778004</v>
      </c>
      <c r="K3587">
        <v>0</v>
      </c>
      <c r="L3587">
        <v>0</v>
      </c>
      <c r="M3587">
        <v>0.47427430202165688</v>
      </c>
      <c r="N3587">
        <v>0</v>
      </c>
      <c r="O3587">
        <v>0</v>
      </c>
      <c r="P3587">
        <v>0.54930242168227439</v>
      </c>
      <c r="Q3587">
        <v>1.1898257957737359</v>
      </c>
      <c r="R3587">
        <v>4.69111507482594</v>
      </c>
      <c r="S3587">
        <v>0.22139374258567071</v>
      </c>
      <c r="T3587">
        <v>0.1732644727322038</v>
      </c>
      <c r="U3587">
        <v>4.2557921641307059</v>
      </c>
      <c r="V3587">
        <v>0.20542966688110781</v>
      </c>
      <c r="W3587">
        <v>9.754766373160388</v>
      </c>
      <c r="X3587">
        <v>0.32979250798445681</v>
      </c>
      <c r="Z3587" t="s">
        <v>392</v>
      </c>
      <c r="AA3587">
        <v>114</v>
      </c>
      <c r="AB3587" t="s">
        <v>3978</v>
      </c>
      <c r="AC3587" t="str">
        <f>HYPERLINK("plots/3FT6Y578R04_015_S21P_20251218081014_M5358ACSC201811_RBGEUFRF04/dpll_52084/txpa_54239.png","plot")</f>
        <v>plot</v>
      </c>
    </row>
    <row r="3588" spans="1:29" hidden="1" x14ac:dyDescent="0.35">
      <c r="A3588" t="s">
        <v>49</v>
      </c>
      <c r="B3588">
        <v>52084</v>
      </c>
      <c r="C3588" t="s">
        <v>52</v>
      </c>
      <c r="D3588">
        <v>54240</v>
      </c>
      <c r="E3588" t="s">
        <v>260</v>
      </c>
      <c r="F3588">
        <v>12027</v>
      </c>
      <c r="G3588">
        <v>0.74658548894889942</v>
      </c>
      <c r="H3588">
        <v>0</v>
      </c>
      <c r="I3588">
        <v>0</v>
      </c>
      <c r="J3588">
        <v>0.6711256509356468</v>
      </c>
      <c r="K3588">
        <v>0</v>
      </c>
      <c r="L3588">
        <v>0</v>
      </c>
      <c r="M3588">
        <v>0.48691072899452048</v>
      </c>
      <c r="N3588">
        <v>0</v>
      </c>
      <c r="O3588">
        <v>0</v>
      </c>
      <c r="P3588">
        <v>0.55738989230906721</v>
      </c>
      <c r="Q3588">
        <v>1.209944044918017</v>
      </c>
      <c r="R3588">
        <v>4.6224102780610279</v>
      </c>
      <c r="S3588">
        <v>0.22147664824623631</v>
      </c>
      <c r="T3588">
        <v>0.1732155966353634</v>
      </c>
      <c r="U3588">
        <v>4.2557881821734433</v>
      </c>
      <c r="V3588">
        <v>0.20542324838451659</v>
      </c>
      <c r="W3588">
        <v>9.7716758455142596</v>
      </c>
      <c r="X3588">
        <v>0.33291651090150359</v>
      </c>
      <c r="Z3588" t="s">
        <v>392</v>
      </c>
      <c r="AA3588">
        <v>114</v>
      </c>
      <c r="AB3588" t="s">
        <v>3979</v>
      </c>
      <c r="AC3588" t="str">
        <f>HYPERLINK("plots/3FT6Y578R04_015_S21P_20251218081014_M5358ACSC201811_RBGEUFRF04/dpll_52084/txpa_54240.png","plot")</f>
        <v>plot</v>
      </c>
    </row>
    <row r="3589" spans="1:29" hidden="1" x14ac:dyDescent="0.35">
      <c r="A3589" t="s">
        <v>49</v>
      </c>
      <c r="B3589">
        <v>52084</v>
      </c>
      <c r="C3589" t="s">
        <v>52</v>
      </c>
      <c r="D3589">
        <v>54241</v>
      </c>
      <c r="E3589" t="s">
        <v>261</v>
      </c>
      <c r="F3589">
        <v>12028</v>
      </c>
      <c r="G3589">
        <v>0.74373613796480964</v>
      </c>
      <c r="H3589">
        <v>0</v>
      </c>
      <c r="I3589">
        <v>0</v>
      </c>
      <c r="J3589">
        <v>0.66396222848315078</v>
      </c>
      <c r="K3589">
        <v>0</v>
      </c>
      <c r="L3589">
        <v>0</v>
      </c>
      <c r="M3589">
        <v>0.48017596475576191</v>
      </c>
      <c r="N3589">
        <v>0</v>
      </c>
      <c r="O3589">
        <v>0</v>
      </c>
      <c r="P3589">
        <v>0.55314344291481032</v>
      </c>
      <c r="Q3589">
        <v>1.189522499873481</v>
      </c>
      <c r="R3589">
        <v>4.715475653890306</v>
      </c>
      <c r="S3589">
        <v>0.2196368744055183</v>
      </c>
      <c r="T3589">
        <v>0.17213047816267391</v>
      </c>
      <c r="U3589">
        <v>4.2558177004489526</v>
      </c>
      <c r="V3589">
        <v>0.20544021673558341</v>
      </c>
      <c r="W3589">
        <v>9.777866563934154</v>
      </c>
      <c r="X3589">
        <v>0.32857857472756541</v>
      </c>
      <c r="Z3589" t="s">
        <v>392</v>
      </c>
      <c r="AA3589">
        <v>114</v>
      </c>
      <c r="AB3589" t="s">
        <v>3980</v>
      </c>
      <c r="AC3589" t="str">
        <f>HYPERLINK("plots/3FT6Y578R04_015_S21P_20251218081014_M5358ACSC201811_RBGEUFRF04/dpll_52084/txpa_54241.png","plot")</f>
        <v>plot</v>
      </c>
    </row>
    <row r="3590" spans="1:29" hidden="1" x14ac:dyDescent="0.35">
      <c r="A3590" t="s">
        <v>49</v>
      </c>
      <c r="B3590">
        <v>52084</v>
      </c>
      <c r="C3590" t="s">
        <v>52</v>
      </c>
      <c r="D3590">
        <v>54242</v>
      </c>
      <c r="E3590" t="s">
        <v>262</v>
      </c>
      <c r="F3590">
        <v>12027</v>
      </c>
      <c r="G3590">
        <v>0.73661955659753287</v>
      </c>
      <c r="H3590">
        <v>0</v>
      </c>
      <c r="I3590">
        <v>0</v>
      </c>
      <c r="J3590">
        <v>0.65732593155829544</v>
      </c>
      <c r="K3590">
        <v>0</v>
      </c>
      <c r="L3590">
        <v>0</v>
      </c>
      <c r="M3590">
        <v>0.47550943031358378</v>
      </c>
      <c r="N3590">
        <v>0</v>
      </c>
      <c r="O3590">
        <v>0</v>
      </c>
      <c r="P3590">
        <v>0.54260837116194593</v>
      </c>
      <c r="Q3590">
        <v>1.1859660626180339</v>
      </c>
      <c r="R3590">
        <v>4.697150175373733</v>
      </c>
      <c r="S3590">
        <v>0.2236800799341481</v>
      </c>
      <c r="T3590">
        <v>0.17375166095795119</v>
      </c>
      <c r="U3590">
        <v>4.2558401814251274</v>
      </c>
      <c r="V3590">
        <v>0.20543396214013371</v>
      </c>
      <c r="W3590">
        <v>9.7444321984701077</v>
      </c>
      <c r="X3590">
        <v>0.33075107092286049</v>
      </c>
      <c r="Z3590" t="s">
        <v>392</v>
      </c>
      <c r="AA3590">
        <v>114</v>
      </c>
      <c r="AB3590" t="s">
        <v>3981</v>
      </c>
      <c r="AC3590" t="str">
        <f>HYPERLINK("plots/3FT6Y578R04_015_S21P_20251218081014_M5358ACSC201811_RBGEUFRF04/dpll_52084/txpa_54242.png","plot")</f>
        <v>plot</v>
      </c>
    </row>
    <row r="3591" spans="1:29" hidden="1" x14ac:dyDescent="0.35">
      <c r="A3591" t="s">
        <v>49</v>
      </c>
      <c r="B3591">
        <v>52084</v>
      </c>
      <c r="C3591" t="s">
        <v>52</v>
      </c>
      <c r="D3591">
        <v>54243</v>
      </c>
      <c r="E3591" t="s">
        <v>263</v>
      </c>
      <c r="F3591">
        <v>12028</v>
      </c>
      <c r="G3591">
        <v>0.7301296039892109</v>
      </c>
      <c r="H3591">
        <v>0</v>
      </c>
      <c r="I3591">
        <v>0</v>
      </c>
      <c r="J3591">
        <v>0.65925087461280807</v>
      </c>
      <c r="K3591">
        <v>0</v>
      </c>
      <c r="L3591">
        <v>0</v>
      </c>
      <c r="M3591">
        <v>0.47502192962856449</v>
      </c>
      <c r="N3591">
        <v>0</v>
      </c>
      <c r="O3591">
        <v>0</v>
      </c>
      <c r="P3591">
        <v>0.53308923862144197</v>
      </c>
      <c r="Q3591">
        <v>1.2325626276197841</v>
      </c>
      <c r="R3591">
        <v>6.124915693534688</v>
      </c>
      <c r="S3591">
        <v>0.2369700115892785</v>
      </c>
      <c r="T3591">
        <v>0.18046687577623141</v>
      </c>
      <c r="U3591">
        <v>4.2558177004489526</v>
      </c>
      <c r="V3591">
        <v>0.20544021673558341</v>
      </c>
      <c r="W3591">
        <v>11.370477541070841</v>
      </c>
      <c r="X3591">
        <v>0.34681230835577842</v>
      </c>
      <c r="Z3591" t="s">
        <v>392</v>
      </c>
      <c r="AA3591">
        <v>114</v>
      </c>
      <c r="AB3591" t="s">
        <v>3982</v>
      </c>
      <c r="AC3591" t="str">
        <f>HYPERLINK("plots/3FT6Y578R04_015_S21P_20251218081014_M5358ACSC201811_RBGEUFRF04/dpll_52084/txpa_54243.png","plot")</f>
        <v>plot</v>
      </c>
    </row>
    <row r="3592" spans="1:29" hidden="1" x14ac:dyDescent="0.35">
      <c r="A3592" t="s">
        <v>49</v>
      </c>
      <c r="B3592">
        <v>52084</v>
      </c>
      <c r="C3592" t="s">
        <v>52</v>
      </c>
      <c r="D3592">
        <v>54244</v>
      </c>
      <c r="E3592" t="s">
        <v>264</v>
      </c>
      <c r="F3592">
        <v>12028</v>
      </c>
      <c r="G3592">
        <v>0.74842594690461506</v>
      </c>
      <c r="H3592">
        <v>0</v>
      </c>
      <c r="I3592">
        <v>0</v>
      </c>
      <c r="J3592">
        <v>0.67131110090816404</v>
      </c>
      <c r="K3592">
        <v>0</v>
      </c>
      <c r="L3592">
        <v>0</v>
      </c>
      <c r="M3592">
        <v>0.48769158413578612</v>
      </c>
      <c r="N3592">
        <v>0</v>
      </c>
      <c r="O3592">
        <v>0</v>
      </c>
      <c r="P3592">
        <v>0.56014139800006968</v>
      </c>
      <c r="Q3592">
        <v>1.2666299035571931</v>
      </c>
      <c r="R3592">
        <v>6.0054578287581339</v>
      </c>
      <c r="S3592">
        <v>0.23058171053166501</v>
      </c>
      <c r="T3592">
        <v>0.17839067554704471</v>
      </c>
      <c r="U3592">
        <v>4.2558177004489526</v>
      </c>
      <c r="V3592">
        <v>0.20544021673558341</v>
      </c>
      <c r="W3592">
        <v>11.39600379223479</v>
      </c>
      <c r="X3592">
        <v>0.34768532943944669</v>
      </c>
      <c r="Z3592" t="s">
        <v>392</v>
      </c>
      <c r="AA3592">
        <v>114</v>
      </c>
      <c r="AB3592" t="s">
        <v>3983</v>
      </c>
      <c r="AC3592" t="str">
        <f>HYPERLINK("plots/3FT6Y578R04_015_S21P_20251218081014_M5358ACSC201811_RBGEUFRF04/dpll_52084/txpa_54244.png","plot")</f>
        <v>plot</v>
      </c>
    </row>
    <row r="3593" spans="1:29" hidden="1" x14ac:dyDescent="0.35">
      <c r="A3593" t="s">
        <v>49</v>
      </c>
      <c r="B3593">
        <v>52084</v>
      </c>
      <c r="C3593" t="s">
        <v>52</v>
      </c>
      <c r="D3593">
        <v>54245</v>
      </c>
      <c r="E3593" t="s">
        <v>265</v>
      </c>
      <c r="F3593">
        <v>12028</v>
      </c>
      <c r="G3593">
        <v>0.73962903491365695</v>
      </c>
      <c r="H3593">
        <v>0</v>
      </c>
      <c r="I3593">
        <v>0</v>
      </c>
      <c r="J3593">
        <v>0.66138035872600354</v>
      </c>
      <c r="K3593">
        <v>0</v>
      </c>
      <c r="L3593">
        <v>0</v>
      </c>
      <c r="M3593">
        <v>0.47823001474521798</v>
      </c>
      <c r="N3593">
        <v>0</v>
      </c>
      <c r="O3593">
        <v>0</v>
      </c>
      <c r="P3593">
        <v>0.5470511092873076</v>
      </c>
      <c r="Q3593">
        <v>1.232733436060482</v>
      </c>
      <c r="R3593">
        <v>6.1639725506138277</v>
      </c>
      <c r="S3593">
        <v>0.2304343587541505</v>
      </c>
      <c r="T3593">
        <v>0.1770275610433763</v>
      </c>
      <c r="U3593">
        <v>4.2558177004489526</v>
      </c>
      <c r="V3593">
        <v>0.20544021673558341</v>
      </c>
      <c r="W3593">
        <v>11.410261327735279</v>
      </c>
      <c r="X3593">
        <v>0.34240546588470561</v>
      </c>
      <c r="Z3593" t="s">
        <v>392</v>
      </c>
      <c r="AA3593">
        <v>114</v>
      </c>
      <c r="AB3593" t="s">
        <v>3984</v>
      </c>
      <c r="AC3593" t="str">
        <f>HYPERLINK("plots/3FT6Y578R04_015_S21P_20251218081014_M5358ACSC201811_RBGEUFRF04/dpll_52084/txpa_54245.png","plot")</f>
        <v>plot</v>
      </c>
    </row>
    <row r="3594" spans="1:29" hidden="1" x14ac:dyDescent="0.35">
      <c r="A3594" t="s">
        <v>49</v>
      </c>
      <c r="B3594">
        <v>52084</v>
      </c>
      <c r="C3594" t="s">
        <v>52</v>
      </c>
      <c r="D3594">
        <v>54246</v>
      </c>
      <c r="E3594" t="s">
        <v>266</v>
      </c>
      <c r="F3594">
        <v>12027</v>
      </c>
      <c r="G3594">
        <v>0.7541981806417698</v>
      </c>
      <c r="H3594">
        <v>0</v>
      </c>
      <c r="I3594">
        <v>0</v>
      </c>
      <c r="J3594">
        <v>0.67302018433798971</v>
      </c>
      <c r="K3594">
        <v>0</v>
      </c>
      <c r="L3594">
        <v>0</v>
      </c>
      <c r="M3594">
        <v>0.48918562219157358</v>
      </c>
      <c r="N3594">
        <v>0</v>
      </c>
      <c r="O3594">
        <v>0</v>
      </c>
      <c r="P3594">
        <v>0.56881489568335564</v>
      </c>
      <c r="Q3594">
        <v>1.267495822090289</v>
      </c>
      <c r="R3594">
        <v>6.0146294725208076</v>
      </c>
      <c r="S3594">
        <v>0.2267124057327409</v>
      </c>
      <c r="T3594">
        <v>0.1758739944865452</v>
      </c>
      <c r="U3594">
        <v>4.2558247893905383</v>
      </c>
      <c r="V3594">
        <v>0.20544728689892131</v>
      </c>
      <c r="W3594">
        <v>11.408869612621601</v>
      </c>
      <c r="X3594">
        <v>0.34527208429829748</v>
      </c>
      <c r="Z3594" t="s">
        <v>392</v>
      </c>
      <c r="AA3594">
        <v>114</v>
      </c>
      <c r="AB3594" t="s">
        <v>3985</v>
      </c>
      <c r="AC3594" t="str">
        <f>HYPERLINK("plots/3FT6Y578R04_015_S21P_20251218081014_M5358ACSC201811_RBGEUFRF04/dpll_52084/txpa_54246.png","plot")</f>
        <v>plot</v>
      </c>
    </row>
    <row r="3595" spans="1:29" hidden="1" x14ac:dyDescent="0.35">
      <c r="A3595" t="s">
        <v>49</v>
      </c>
      <c r="B3595">
        <v>52084</v>
      </c>
      <c r="C3595" t="s">
        <v>52</v>
      </c>
      <c r="D3595">
        <v>54247</v>
      </c>
      <c r="E3595" t="s">
        <v>267</v>
      </c>
      <c r="F3595">
        <v>12027</v>
      </c>
      <c r="G3595">
        <v>0.75343046129195235</v>
      </c>
      <c r="H3595">
        <v>0</v>
      </c>
      <c r="I3595">
        <v>0</v>
      </c>
      <c r="J3595">
        <v>0.66633278431148224</v>
      </c>
      <c r="K3595">
        <v>0</v>
      </c>
      <c r="L3595">
        <v>0</v>
      </c>
      <c r="M3595">
        <v>0.48134446991673863</v>
      </c>
      <c r="N3595">
        <v>0</v>
      </c>
      <c r="O3595">
        <v>0</v>
      </c>
      <c r="P3595">
        <v>0.56765746000260409</v>
      </c>
      <c r="Q3595">
        <v>1.2601600638932631</v>
      </c>
      <c r="R3595">
        <v>6.026609915324153</v>
      </c>
      <c r="S3595">
        <v>0.22591321096795411</v>
      </c>
      <c r="T3595">
        <v>0.1760512170808127</v>
      </c>
      <c r="U3595">
        <v>4.2557921641307059</v>
      </c>
      <c r="V3595">
        <v>0.20542966688110781</v>
      </c>
      <c r="W3595">
        <v>11.389589240791549</v>
      </c>
      <c r="X3595">
        <v>0.34359410117101119</v>
      </c>
      <c r="Z3595" t="s">
        <v>392</v>
      </c>
      <c r="AA3595">
        <v>114</v>
      </c>
      <c r="AB3595" t="s">
        <v>3986</v>
      </c>
      <c r="AC3595" t="str">
        <f>HYPERLINK("plots/3FT6Y578R04_015_S21P_20251218081014_M5358ACSC201811_RBGEUFRF04/dpll_52084/txpa_54247.png","plot")</f>
        <v>plot</v>
      </c>
    </row>
    <row r="3596" spans="1:29" hidden="1" x14ac:dyDescent="0.35">
      <c r="A3596" t="s">
        <v>49</v>
      </c>
      <c r="B3596">
        <v>52084</v>
      </c>
      <c r="C3596" t="s">
        <v>52</v>
      </c>
      <c r="D3596">
        <v>54248</v>
      </c>
      <c r="E3596" t="s">
        <v>268</v>
      </c>
      <c r="F3596">
        <v>12027</v>
      </c>
      <c r="G3596">
        <v>0.75852840119817622</v>
      </c>
      <c r="H3596">
        <v>0</v>
      </c>
      <c r="I3596">
        <v>0</v>
      </c>
      <c r="J3596">
        <v>0.67896625293299795</v>
      </c>
      <c r="K3596">
        <v>0</v>
      </c>
      <c r="L3596">
        <v>0</v>
      </c>
      <c r="M3596">
        <v>0.49407862948171732</v>
      </c>
      <c r="N3596">
        <v>0</v>
      </c>
      <c r="O3596">
        <v>0</v>
      </c>
      <c r="P3596">
        <v>0.57536533542426138</v>
      </c>
      <c r="Q3596">
        <v>1.2793805892291961</v>
      </c>
      <c r="R3596">
        <v>5.9633109659838359</v>
      </c>
      <c r="S3596">
        <v>0.22577048700317781</v>
      </c>
      <c r="T3596">
        <v>0.17575764015009679</v>
      </c>
      <c r="U3596">
        <v>4.2557881821734433</v>
      </c>
      <c r="V3596">
        <v>0.20542324838451659</v>
      </c>
      <c r="W3596">
        <v>11.408083758127541</v>
      </c>
      <c r="X3596">
        <v>0.34647946753795261</v>
      </c>
      <c r="Z3596" t="s">
        <v>392</v>
      </c>
      <c r="AA3596">
        <v>114</v>
      </c>
      <c r="AB3596" t="s">
        <v>3987</v>
      </c>
      <c r="AC3596" t="str">
        <f>HYPERLINK("plots/3FT6Y578R04_015_S21P_20251218081014_M5358ACSC201811_RBGEUFRF04/dpll_52084/txpa_54248.png","plot")</f>
        <v>plot</v>
      </c>
    </row>
    <row r="3597" spans="1:29" hidden="1" x14ac:dyDescent="0.35">
      <c r="A3597" t="s">
        <v>49</v>
      </c>
      <c r="B3597">
        <v>52084</v>
      </c>
      <c r="C3597" t="s">
        <v>52</v>
      </c>
      <c r="D3597">
        <v>54249</v>
      </c>
      <c r="E3597" t="s">
        <v>269</v>
      </c>
      <c r="F3597">
        <v>12028</v>
      </c>
      <c r="G3597">
        <v>0.75609204602773972</v>
      </c>
      <c r="H3597">
        <v>0</v>
      </c>
      <c r="I3597">
        <v>0</v>
      </c>
      <c r="J3597">
        <v>0.67206610600162675</v>
      </c>
      <c r="K3597">
        <v>0</v>
      </c>
      <c r="L3597">
        <v>0</v>
      </c>
      <c r="M3597">
        <v>0.48736342727105703</v>
      </c>
      <c r="N3597">
        <v>0</v>
      </c>
      <c r="O3597">
        <v>0</v>
      </c>
      <c r="P3597">
        <v>0.57167518206641366</v>
      </c>
      <c r="Q3597">
        <v>1.259126997300942</v>
      </c>
      <c r="R3597">
        <v>6.0565266905836186</v>
      </c>
      <c r="S3597">
        <v>0.223897320563262</v>
      </c>
      <c r="T3597">
        <v>0.1745201548740255</v>
      </c>
      <c r="U3597">
        <v>4.2558177004489526</v>
      </c>
      <c r="V3597">
        <v>0.20544021673558341</v>
      </c>
      <c r="W3597">
        <v>11.41514165281011</v>
      </c>
      <c r="X3597">
        <v>0.34212147129721249</v>
      </c>
      <c r="Z3597" t="s">
        <v>392</v>
      </c>
      <c r="AA3597">
        <v>114</v>
      </c>
      <c r="AB3597" t="s">
        <v>3988</v>
      </c>
      <c r="AC3597" t="str">
        <f>HYPERLINK("plots/3FT6Y578R04_015_S21P_20251218081014_M5358ACSC201811_RBGEUFRF04/dpll_52084/txpa_54249.png","plot")</f>
        <v>plot</v>
      </c>
    </row>
    <row r="3598" spans="1:29" hidden="1" x14ac:dyDescent="0.35">
      <c r="A3598" t="s">
        <v>49</v>
      </c>
      <c r="B3598">
        <v>52084</v>
      </c>
      <c r="C3598" t="s">
        <v>52</v>
      </c>
      <c r="D3598">
        <v>54250</v>
      </c>
      <c r="E3598" t="s">
        <v>270</v>
      </c>
      <c r="F3598">
        <v>12027</v>
      </c>
      <c r="G3598">
        <v>0.74858455316930861</v>
      </c>
      <c r="H3598">
        <v>0</v>
      </c>
      <c r="I3598">
        <v>0</v>
      </c>
      <c r="J3598">
        <v>0.66507705461668787</v>
      </c>
      <c r="K3598">
        <v>0</v>
      </c>
      <c r="L3598">
        <v>0</v>
      </c>
      <c r="M3598">
        <v>0.48231047459564691</v>
      </c>
      <c r="N3598">
        <v>0</v>
      </c>
      <c r="O3598">
        <v>0</v>
      </c>
      <c r="P3598">
        <v>0.56037883324369342</v>
      </c>
      <c r="Q3598">
        <v>1.25403947731263</v>
      </c>
      <c r="R3598">
        <v>6.0466555189328393</v>
      </c>
      <c r="S3598">
        <v>0.22817277849255371</v>
      </c>
      <c r="T3598">
        <v>0.17637673270784091</v>
      </c>
      <c r="U3598">
        <v>4.2558401814251274</v>
      </c>
      <c r="V3598">
        <v>0.20543396214013371</v>
      </c>
      <c r="W3598">
        <v>11.383647115573289</v>
      </c>
      <c r="X3598">
        <v>0.34414589162142267</v>
      </c>
      <c r="Z3598" t="s">
        <v>392</v>
      </c>
      <c r="AA3598">
        <v>114</v>
      </c>
      <c r="AB3598" t="s">
        <v>3989</v>
      </c>
      <c r="AC3598" t="str">
        <f>HYPERLINK("plots/3FT6Y578R04_015_S21P_20251218081014_M5358ACSC201811_RBGEUFRF04/dpll_52084/txpa_54250.png","plot")</f>
        <v>plot</v>
      </c>
    </row>
    <row r="3599" spans="1:29" hidden="1" x14ac:dyDescent="0.35">
      <c r="A3599" t="s">
        <v>49</v>
      </c>
      <c r="B3599">
        <v>52084</v>
      </c>
      <c r="C3599" t="s">
        <v>52</v>
      </c>
      <c r="D3599">
        <v>54251</v>
      </c>
      <c r="E3599" t="s">
        <v>271</v>
      </c>
      <c r="F3599">
        <v>12028</v>
      </c>
      <c r="G3599">
        <v>0.73318157261103234</v>
      </c>
      <c r="H3599">
        <v>0</v>
      </c>
      <c r="I3599">
        <v>0</v>
      </c>
      <c r="J3599">
        <v>0.66098878154267948</v>
      </c>
      <c r="K3599">
        <v>0</v>
      </c>
      <c r="L3599">
        <v>0</v>
      </c>
      <c r="M3599">
        <v>0.47660507524564483</v>
      </c>
      <c r="N3599">
        <v>0</v>
      </c>
      <c r="O3599">
        <v>0</v>
      </c>
      <c r="P3599">
        <v>0.53755521841638654</v>
      </c>
      <c r="Q3599">
        <v>1.24968830052411</v>
      </c>
      <c r="R3599">
        <v>6.6307724551482128</v>
      </c>
      <c r="S3599">
        <v>0.2381154168135311</v>
      </c>
      <c r="T3599">
        <v>0.1810284984791716</v>
      </c>
      <c r="U3599">
        <v>4.2558177004489526</v>
      </c>
      <c r="V3599">
        <v>0.20544021673558341</v>
      </c>
      <c r="W3599">
        <v>11.94921804456269</v>
      </c>
      <c r="X3599">
        <v>0.3501673322166266</v>
      </c>
      <c r="Z3599" t="s">
        <v>392</v>
      </c>
      <c r="AA3599">
        <v>114</v>
      </c>
      <c r="AB3599" t="s">
        <v>3990</v>
      </c>
      <c r="AC3599" t="str">
        <f>HYPERLINK("plots/3FT6Y578R04_015_S21P_20251218081014_M5358ACSC201811_RBGEUFRF04/dpll_52084/txpa_54251.png","plot")</f>
        <v>plot</v>
      </c>
    </row>
    <row r="3600" spans="1:29" hidden="1" x14ac:dyDescent="0.35">
      <c r="A3600" t="s">
        <v>49</v>
      </c>
      <c r="B3600">
        <v>52084</v>
      </c>
      <c r="C3600" t="s">
        <v>52</v>
      </c>
      <c r="D3600">
        <v>54252</v>
      </c>
      <c r="E3600" t="s">
        <v>272</v>
      </c>
      <c r="F3600">
        <v>12028</v>
      </c>
      <c r="G3600">
        <v>0.75133877415658779</v>
      </c>
      <c r="H3600">
        <v>0</v>
      </c>
      <c r="I3600">
        <v>0</v>
      </c>
      <c r="J3600">
        <v>0.67305709606504049</v>
      </c>
      <c r="K3600">
        <v>0</v>
      </c>
      <c r="L3600">
        <v>0</v>
      </c>
      <c r="M3600">
        <v>0.48935171563776703</v>
      </c>
      <c r="N3600">
        <v>0</v>
      </c>
      <c r="O3600">
        <v>0</v>
      </c>
      <c r="P3600">
        <v>0.56450995355112399</v>
      </c>
      <c r="Q3600">
        <v>1.2840495930340821</v>
      </c>
      <c r="R3600">
        <v>6.5099584724741657</v>
      </c>
      <c r="S3600">
        <v>0.23168745687600559</v>
      </c>
      <c r="T3600">
        <v>0.1789394970224884</v>
      </c>
      <c r="U3600">
        <v>4.2558177004489526</v>
      </c>
      <c r="V3600">
        <v>0.20544021673558341</v>
      </c>
      <c r="W3600">
        <v>11.974639458762891</v>
      </c>
      <c r="X3600">
        <v>0.35110050987090607</v>
      </c>
      <c r="Z3600" t="s">
        <v>392</v>
      </c>
      <c r="AA3600">
        <v>114</v>
      </c>
      <c r="AB3600" t="s">
        <v>3991</v>
      </c>
      <c r="AC3600" t="str">
        <f>HYPERLINK("plots/3FT6Y578R04_015_S21P_20251218081014_M5358ACSC201811_RBGEUFRF04/dpll_52084/txpa_54252.png","plot")</f>
        <v>plot</v>
      </c>
    </row>
    <row r="3601" spans="1:29" hidden="1" x14ac:dyDescent="0.35">
      <c r="A3601" t="s">
        <v>49</v>
      </c>
      <c r="B3601">
        <v>52084</v>
      </c>
      <c r="C3601" t="s">
        <v>52</v>
      </c>
      <c r="D3601">
        <v>54253</v>
      </c>
      <c r="E3601" t="s">
        <v>273</v>
      </c>
      <c r="F3601">
        <v>12028</v>
      </c>
      <c r="G3601">
        <v>0.74263653050127232</v>
      </c>
      <c r="H3601">
        <v>0</v>
      </c>
      <c r="I3601">
        <v>0</v>
      </c>
      <c r="J3601">
        <v>0.66299907950234238</v>
      </c>
      <c r="K3601">
        <v>0</v>
      </c>
      <c r="L3601">
        <v>0</v>
      </c>
      <c r="M3601">
        <v>0.47971358634691058</v>
      </c>
      <c r="N3601">
        <v>0</v>
      </c>
      <c r="O3601">
        <v>0</v>
      </c>
      <c r="P3601">
        <v>0.55150901643496719</v>
      </c>
      <c r="Q3601">
        <v>1.2496916734615751</v>
      </c>
      <c r="R3601">
        <v>6.6707665300390859</v>
      </c>
      <c r="S3601">
        <v>0.23151057640063261</v>
      </c>
      <c r="T3601">
        <v>0.17755395476364799</v>
      </c>
      <c r="U3601">
        <v>4.2558177004489526</v>
      </c>
      <c r="V3601">
        <v>0.20544021673558341</v>
      </c>
      <c r="W3601">
        <v>11.98922647406053</v>
      </c>
      <c r="X3601">
        <v>0.34571007175650942</v>
      </c>
      <c r="Z3601" t="s">
        <v>392</v>
      </c>
      <c r="AA3601">
        <v>114</v>
      </c>
      <c r="AB3601" t="s">
        <v>3992</v>
      </c>
      <c r="AC3601" t="str">
        <f>HYPERLINK("plots/3FT6Y578R04_015_S21P_20251218081014_M5358ACSC201811_RBGEUFRF04/dpll_52084/txpa_54253.png","plot")</f>
        <v>plot</v>
      </c>
    </row>
    <row r="3602" spans="1:29" hidden="1" x14ac:dyDescent="0.35">
      <c r="A3602" t="s">
        <v>49</v>
      </c>
      <c r="B3602">
        <v>52084</v>
      </c>
      <c r="C3602" t="s">
        <v>52</v>
      </c>
      <c r="D3602">
        <v>54254</v>
      </c>
      <c r="E3602" t="s">
        <v>274</v>
      </c>
      <c r="F3602">
        <v>12027</v>
      </c>
      <c r="G3602">
        <v>0.75697295864913383</v>
      </c>
      <c r="H3602">
        <v>0</v>
      </c>
      <c r="I3602">
        <v>0</v>
      </c>
      <c r="J3602">
        <v>0.67464259478450583</v>
      </c>
      <c r="K3602">
        <v>0</v>
      </c>
      <c r="L3602">
        <v>0</v>
      </c>
      <c r="M3602">
        <v>0.49067022773480762</v>
      </c>
      <c r="N3602">
        <v>0</v>
      </c>
      <c r="O3602">
        <v>0</v>
      </c>
      <c r="P3602">
        <v>0.57300806012602323</v>
      </c>
      <c r="Q3602">
        <v>1.284404745166817</v>
      </c>
      <c r="R3602">
        <v>6.5210887801561661</v>
      </c>
      <c r="S3602">
        <v>0.2277790247481698</v>
      </c>
      <c r="T3602">
        <v>0.17645088528422881</v>
      </c>
      <c r="U3602">
        <v>4.2558247893905383</v>
      </c>
      <c r="V3602">
        <v>0.20544728689892131</v>
      </c>
      <c r="W3602">
        <v>11.987290334247939</v>
      </c>
      <c r="X3602">
        <v>0.3485956362900054</v>
      </c>
      <c r="Z3602" t="s">
        <v>392</v>
      </c>
      <c r="AA3602">
        <v>114</v>
      </c>
      <c r="AB3602" t="s">
        <v>3993</v>
      </c>
      <c r="AC3602" t="str">
        <f>HYPERLINK("plots/3FT6Y578R04_015_S21P_20251218081014_M5358ACSC201811_RBGEUFRF04/dpll_52084/txpa_54254.png","plot")</f>
        <v>plot</v>
      </c>
    </row>
    <row r="3603" spans="1:29" hidden="1" x14ac:dyDescent="0.35">
      <c r="A3603" t="s">
        <v>49</v>
      </c>
      <c r="B3603">
        <v>52084</v>
      </c>
      <c r="C3603" t="s">
        <v>52</v>
      </c>
      <c r="D3603">
        <v>54255</v>
      </c>
      <c r="E3603" t="s">
        <v>275</v>
      </c>
      <c r="F3603">
        <v>12027</v>
      </c>
      <c r="G3603">
        <v>0.75614008886404804</v>
      </c>
      <c r="H3603">
        <v>0</v>
      </c>
      <c r="I3603">
        <v>0</v>
      </c>
      <c r="J3603">
        <v>0.66777569285164273</v>
      </c>
      <c r="K3603">
        <v>0</v>
      </c>
      <c r="L3603">
        <v>0</v>
      </c>
      <c r="M3603">
        <v>0.48270529131598983</v>
      </c>
      <c r="N3603">
        <v>0</v>
      </c>
      <c r="O3603">
        <v>0</v>
      </c>
      <c r="P3603">
        <v>0.57174783398733042</v>
      </c>
      <c r="Q3603">
        <v>1.277270046367917</v>
      </c>
      <c r="R3603">
        <v>6.5316398664823128</v>
      </c>
      <c r="S3603">
        <v>0.22707815336598011</v>
      </c>
      <c r="T3603">
        <v>0.17669472524924421</v>
      </c>
      <c r="U3603">
        <v>4.2557921641307059</v>
      </c>
      <c r="V3603">
        <v>0.20542966688110781</v>
      </c>
      <c r="W3603">
        <v>11.967435721293761</v>
      </c>
      <c r="X3603">
        <v>0.34701130651168949</v>
      </c>
      <c r="Z3603" t="s">
        <v>392</v>
      </c>
      <c r="AA3603">
        <v>114</v>
      </c>
      <c r="AB3603" t="s">
        <v>3994</v>
      </c>
      <c r="AC3603" t="str">
        <f>HYPERLINK("plots/3FT6Y578R04_015_S21P_20251218081014_M5358ACSC201811_RBGEUFRF04/dpll_52084/txpa_54255.png","plot")</f>
        <v>plot</v>
      </c>
    </row>
    <row r="3604" spans="1:29" hidden="1" x14ac:dyDescent="0.35">
      <c r="A3604" t="s">
        <v>49</v>
      </c>
      <c r="B3604">
        <v>52084</v>
      </c>
      <c r="C3604" t="s">
        <v>52</v>
      </c>
      <c r="D3604">
        <v>54256</v>
      </c>
      <c r="E3604" t="s">
        <v>276</v>
      </c>
      <c r="F3604">
        <v>12027</v>
      </c>
      <c r="G3604">
        <v>0.76115110568235522</v>
      </c>
      <c r="H3604">
        <v>0</v>
      </c>
      <c r="I3604">
        <v>0</v>
      </c>
      <c r="J3604">
        <v>0.68036621217799875</v>
      </c>
      <c r="K3604">
        <v>0</v>
      </c>
      <c r="L3604">
        <v>0</v>
      </c>
      <c r="M3604">
        <v>0.49549588049627041</v>
      </c>
      <c r="N3604">
        <v>0</v>
      </c>
      <c r="O3604">
        <v>0</v>
      </c>
      <c r="P3604">
        <v>0.57935100568147191</v>
      </c>
      <c r="Q3604">
        <v>1.2965580384094939</v>
      </c>
      <c r="R3604">
        <v>6.4685745114683506</v>
      </c>
      <c r="S3604">
        <v>0.22694078025929951</v>
      </c>
      <c r="T3604">
        <v>0.17639057397750371</v>
      </c>
      <c r="U3604">
        <v>4.2557881821734433</v>
      </c>
      <c r="V3604">
        <v>0.20542324838451659</v>
      </c>
      <c r="W3604">
        <v>11.98645088883346</v>
      </c>
      <c r="X3604">
        <v>0.34992153592204839</v>
      </c>
      <c r="Z3604" t="s">
        <v>392</v>
      </c>
      <c r="AA3604">
        <v>114</v>
      </c>
      <c r="AB3604" t="s">
        <v>3995</v>
      </c>
      <c r="AC3604" t="str">
        <f>HYPERLINK("plots/3FT6Y578R04_015_S21P_20251218081014_M5358ACSC201811_RBGEUFRF04/dpll_52084/txpa_54256.png","plot")</f>
        <v>plot</v>
      </c>
    </row>
    <row r="3605" spans="1:29" hidden="1" x14ac:dyDescent="0.35">
      <c r="A3605" t="s">
        <v>49</v>
      </c>
      <c r="B3605">
        <v>52084</v>
      </c>
      <c r="C3605" t="s">
        <v>52</v>
      </c>
      <c r="D3605">
        <v>54257</v>
      </c>
      <c r="E3605" t="s">
        <v>277</v>
      </c>
      <c r="F3605">
        <v>12028</v>
      </c>
      <c r="G3605">
        <v>0.75891827093055819</v>
      </c>
      <c r="H3605">
        <v>0</v>
      </c>
      <c r="I3605">
        <v>0</v>
      </c>
      <c r="J3605">
        <v>0.6735799650471066</v>
      </c>
      <c r="K3605">
        <v>0</v>
      </c>
      <c r="L3605">
        <v>0</v>
      </c>
      <c r="M3605">
        <v>0.48879516063001399</v>
      </c>
      <c r="N3605">
        <v>0</v>
      </c>
      <c r="O3605">
        <v>0</v>
      </c>
      <c r="P3605">
        <v>0.57595694195222813</v>
      </c>
      <c r="Q3605">
        <v>1.2762252076357881</v>
      </c>
      <c r="R3605">
        <v>6.5625781374973444</v>
      </c>
      <c r="S3605">
        <v>0.22495968701071589</v>
      </c>
      <c r="T3605">
        <v>0.17500610060333041</v>
      </c>
      <c r="U3605">
        <v>4.2558177004489526</v>
      </c>
      <c r="V3605">
        <v>0.20544021673558341</v>
      </c>
      <c r="W3605">
        <v>11.99395996591287</v>
      </c>
      <c r="X3605">
        <v>0.34547591394607752</v>
      </c>
      <c r="Z3605" t="s">
        <v>392</v>
      </c>
      <c r="AA3605">
        <v>114</v>
      </c>
      <c r="AB3605" t="s">
        <v>3996</v>
      </c>
      <c r="AC3605" t="str">
        <f>HYPERLINK("plots/3FT6Y578R04_015_S21P_20251218081014_M5358ACSC201811_RBGEUFRF04/dpll_52084/txpa_54257.png","plot")</f>
        <v>plot</v>
      </c>
    </row>
    <row r="3606" spans="1:29" hidden="1" x14ac:dyDescent="0.35">
      <c r="A3606" t="s">
        <v>49</v>
      </c>
      <c r="B3606">
        <v>52084</v>
      </c>
      <c r="C3606" t="s">
        <v>52</v>
      </c>
      <c r="D3606">
        <v>54258</v>
      </c>
      <c r="E3606" t="s">
        <v>278</v>
      </c>
      <c r="F3606">
        <v>12027</v>
      </c>
      <c r="G3606">
        <v>0.75118141772963298</v>
      </c>
      <c r="H3606">
        <v>0</v>
      </c>
      <c r="I3606">
        <v>0</v>
      </c>
      <c r="J3606">
        <v>0.66622410190819914</v>
      </c>
      <c r="K3606">
        <v>0</v>
      </c>
      <c r="L3606">
        <v>0</v>
      </c>
      <c r="M3606">
        <v>0.48342441682765303</v>
      </c>
      <c r="N3606">
        <v>0</v>
      </c>
      <c r="O3606">
        <v>0</v>
      </c>
      <c r="P3606">
        <v>0.56427352234230133</v>
      </c>
      <c r="Q3606">
        <v>1.270685328571622</v>
      </c>
      <c r="R3606">
        <v>6.5549521434496896</v>
      </c>
      <c r="S3606">
        <v>0.2293793626960913</v>
      </c>
      <c r="T3606">
        <v>0.17702589939637881</v>
      </c>
      <c r="U3606">
        <v>4.2558401814251274</v>
      </c>
      <c r="V3606">
        <v>0.20543396214013371</v>
      </c>
      <c r="W3606">
        <v>11.96278582273219</v>
      </c>
      <c r="X3606">
        <v>0.34750849198423722</v>
      </c>
      <c r="Z3606" t="s">
        <v>392</v>
      </c>
      <c r="AA3606">
        <v>114</v>
      </c>
      <c r="AB3606" t="s">
        <v>3997</v>
      </c>
      <c r="AC3606" t="str">
        <f>HYPERLINK("plots/3FT6Y578R04_015_S21P_20251218081014_M5358ACSC201811_RBGEUFRF04/dpll_52084/txpa_54258.png","plot")</f>
        <v>plot</v>
      </c>
    </row>
    <row r="3607" spans="1:29" hidden="1" x14ac:dyDescent="0.35">
      <c r="A3607" t="s">
        <v>49</v>
      </c>
      <c r="B3607">
        <v>52084</v>
      </c>
      <c r="C3607" t="s">
        <v>52</v>
      </c>
      <c r="D3607">
        <v>55146</v>
      </c>
      <c r="E3607" t="s">
        <v>279</v>
      </c>
      <c r="F3607">
        <v>12027</v>
      </c>
      <c r="G3607">
        <v>-9.1655697317588377E-3</v>
      </c>
      <c r="H3607">
        <v>0.31485669197204552</v>
      </c>
      <c r="I3607">
        <v>0.31641693326031128</v>
      </c>
      <c r="J3607">
        <v>-1.036983645684748E-2</v>
      </c>
      <c r="K3607">
        <v>0.25547630617921252</v>
      </c>
      <c r="L3607">
        <v>0.25648809353041729</v>
      </c>
      <c r="M3607">
        <v>-6.8355189065153633E-3</v>
      </c>
      <c r="N3607">
        <v>0.26089831773996353</v>
      </c>
      <c r="O3607">
        <v>0.26193157840428022</v>
      </c>
      <c r="P3607">
        <v>8.4007668507733773E-5</v>
      </c>
      <c r="Q3607">
        <v>-0.19423923218758229</v>
      </c>
      <c r="R3607">
        <v>-11.049291817940681</v>
      </c>
      <c r="S3607">
        <v>4.3535463584745813</v>
      </c>
      <c r="T3607">
        <v>3.3642898207777838</v>
      </c>
      <c r="U3607">
        <v>4.2558226811341147</v>
      </c>
      <c r="V3607">
        <v>0.2054480318291696</v>
      </c>
      <c r="W3607">
        <v>-11.87593954785067</v>
      </c>
      <c r="X3607">
        <v>4.3539102450634077</v>
      </c>
      <c r="Z3607" t="s">
        <v>392</v>
      </c>
      <c r="AA3607">
        <v>114</v>
      </c>
      <c r="AB3607" t="s">
        <v>3998</v>
      </c>
      <c r="AC3607" t="str">
        <f>HYPERLINK("plots/3FT6Y578R04_015_S21P_20251218081014_M5358ACSC201811_RBGEUFRF04/dpll_52084/txpa_55146.png","plot")</f>
        <v>plot</v>
      </c>
    </row>
    <row r="3608" spans="1:29" hidden="1" x14ac:dyDescent="0.35">
      <c r="A3608" t="s">
        <v>49</v>
      </c>
      <c r="B3608">
        <v>52084</v>
      </c>
      <c r="C3608" t="s">
        <v>52</v>
      </c>
      <c r="D3608">
        <v>55147</v>
      </c>
      <c r="E3608" t="s">
        <v>280</v>
      </c>
      <c r="F3608">
        <v>12028</v>
      </c>
      <c r="G3608">
        <v>0.23403926435392261</v>
      </c>
      <c r="H3608">
        <v>2.436894924114809E-149</v>
      </c>
      <c r="I3608">
        <v>2.4562738101912692E-149</v>
      </c>
      <c r="J3608">
        <v>0.22188891033647989</v>
      </c>
      <c r="K3608">
        <v>4.6769494591277073E-134</v>
      </c>
      <c r="L3608">
        <v>4.7235326210712104E-134</v>
      </c>
      <c r="M3608">
        <v>0.14928327361653279</v>
      </c>
      <c r="N3608">
        <v>1.07150027375623E-132</v>
      </c>
      <c r="O3608">
        <v>1.082172587239858E-132</v>
      </c>
      <c r="P3608">
        <v>5.4774377259325269E-2</v>
      </c>
      <c r="Q3608">
        <v>1.3625107053570651</v>
      </c>
      <c r="R3608">
        <v>-27.189093474714909</v>
      </c>
      <c r="S3608">
        <v>1.1627500105607429</v>
      </c>
      <c r="T3608">
        <v>0.90569797805338736</v>
      </c>
      <c r="U3608">
        <v>4.2558177004489526</v>
      </c>
      <c r="V3608">
        <v>0.20544021673558341</v>
      </c>
      <c r="W3608">
        <v>-21.390496297805122</v>
      </c>
      <c r="X3608">
        <v>1.1960151019352521</v>
      </c>
      <c r="Z3608" t="s">
        <v>392</v>
      </c>
      <c r="AA3608">
        <v>114</v>
      </c>
      <c r="AB3608" t="s">
        <v>3999</v>
      </c>
      <c r="AC3608" t="str">
        <f>HYPERLINK("plots/3FT6Y578R04_015_S21P_20251218081014_M5358ACSC201811_RBGEUFRF04/dpll_52084/txpa_55147.png","plot")</f>
        <v>plot</v>
      </c>
    </row>
    <row r="3609" spans="1:29" hidden="1" x14ac:dyDescent="0.35">
      <c r="A3609" t="s">
        <v>49</v>
      </c>
      <c r="B3609">
        <v>52084</v>
      </c>
      <c r="C3609" t="s">
        <v>52</v>
      </c>
      <c r="D3609">
        <v>55148</v>
      </c>
      <c r="E3609" t="s">
        <v>281</v>
      </c>
      <c r="F3609">
        <v>12028</v>
      </c>
      <c r="G3609">
        <v>0.27435373869904278</v>
      </c>
      <c r="H3609">
        <v>1.177790846192814E-206</v>
      </c>
      <c r="I3609">
        <v>1.2299484222858021E-206</v>
      </c>
      <c r="J3609">
        <v>0.26318771930211349</v>
      </c>
      <c r="K3609">
        <v>9.6459794328261883E-190</v>
      </c>
      <c r="L3609">
        <v>1.012528275868091E-189</v>
      </c>
      <c r="M3609">
        <v>0.17746434164515809</v>
      </c>
      <c r="N3609">
        <v>7.7123308116134231E-187</v>
      </c>
      <c r="O3609">
        <v>8.0955522184016688E-187</v>
      </c>
      <c r="P3609">
        <v>7.5269973938142679E-2</v>
      </c>
      <c r="Q3609">
        <v>1.5687787089686249</v>
      </c>
      <c r="R3609">
        <v>-27.96451206236528</v>
      </c>
      <c r="S3609">
        <v>1.1296026272387309</v>
      </c>
      <c r="T3609">
        <v>0.87301873769927052</v>
      </c>
      <c r="U3609">
        <v>4.2558177004489526</v>
      </c>
      <c r="V3609">
        <v>0.20544021673558341</v>
      </c>
      <c r="W3609">
        <v>-21.288075864649151</v>
      </c>
      <c r="X3609">
        <v>1.1747251541347681</v>
      </c>
      <c r="Z3609" t="s">
        <v>392</v>
      </c>
      <c r="AA3609">
        <v>114</v>
      </c>
      <c r="AB3609" t="s">
        <v>4000</v>
      </c>
      <c r="AC3609" t="str">
        <f>HYPERLINK("plots/3FT6Y578R04_015_S21P_20251218081014_M5358ACSC201811_RBGEUFRF04/dpll_52084/txpa_55148.png","plot")</f>
        <v>plot</v>
      </c>
    </row>
    <row r="3610" spans="1:29" hidden="1" x14ac:dyDescent="0.35">
      <c r="A3610" t="s">
        <v>49</v>
      </c>
      <c r="B3610">
        <v>52084</v>
      </c>
      <c r="C3610" t="s">
        <v>52</v>
      </c>
      <c r="D3610">
        <v>55149</v>
      </c>
      <c r="E3610" t="s">
        <v>282</v>
      </c>
      <c r="F3610">
        <v>12028</v>
      </c>
      <c r="G3610">
        <v>0.24522769511397521</v>
      </c>
      <c r="H3610">
        <v>3.2355185558658762E-164</v>
      </c>
      <c r="I3610">
        <v>3.2840999155635621E-164</v>
      </c>
      <c r="J3610">
        <v>0.229373230968553</v>
      </c>
      <c r="K3610">
        <v>2.304630153920137E-143</v>
      </c>
      <c r="L3610">
        <v>2.341578132339699E-143</v>
      </c>
      <c r="M3610">
        <v>0.15451713647385171</v>
      </c>
      <c r="N3610">
        <v>4.0590911455474164E-142</v>
      </c>
      <c r="O3610">
        <v>4.1241667550952709E-142</v>
      </c>
      <c r="P3610">
        <v>6.0136622450912787E-2</v>
      </c>
      <c r="Q3610">
        <v>1.4037016649274661</v>
      </c>
      <c r="R3610">
        <v>-27.255774302123761</v>
      </c>
      <c r="S3610">
        <v>1.140000581303982</v>
      </c>
      <c r="T3610">
        <v>0.88415914264746109</v>
      </c>
      <c r="U3610">
        <v>4.2558177004489526</v>
      </c>
      <c r="V3610">
        <v>0.20544021673558341</v>
      </c>
      <c r="W3610">
        <v>-21.281875910375788</v>
      </c>
      <c r="X3610">
        <v>1.175955163387105</v>
      </c>
      <c r="Z3610" t="s">
        <v>392</v>
      </c>
      <c r="AA3610">
        <v>114</v>
      </c>
      <c r="AB3610" t="s">
        <v>4001</v>
      </c>
      <c r="AC3610" t="str">
        <f>HYPERLINK("plots/3FT6Y578R04_015_S21P_20251218081014_M5358ACSC201811_RBGEUFRF04/dpll_52084/txpa_55149.png","plot")</f>
        <v>plot</v>
      </c>
    </row>
    <row r="3611" spans="1:29" hidden="1" x14ac:dyDescent="0.35">
      <c r="A3611" t="s">
        <v>49</v>
      </c>
      <c r="B3611">
        <v>52084</v>
      </c>
      <c r="C3611" t="s">
        <v>52</v>
      </c>
      <c r="D3611">
        <v>55150</v>
      </c>
      <c r="E3611" t="s">
        <v>283</v>
      </c>
      <c r="F3611">
        <v>12028</v>
      </c>
      <c r="G3611">
        <v>0.26789479730477378</v>
      </c>
      <c r="H3611">
        <v>8.9795637004211776E-197</v>
      </c>
      <c r="I3611">
        <v>9.3100997875532457E-197</v>
      </c>
      <c r="J3611">
        <v>0.25380224209206748</v>
      </c>
      <c r="K3611">
        <v>3.7915986351245392E-176</v>
      </c>
      <c r="L3611">
        <v>3.9392223524756988E-176</v>
      </c>
      <c r="M3611">
        <v>0.17134148093113971</v>
      </c>
      <c r="N3611">
        <v>2.4359656341781439E-174</v>
      </c>
      <c r="O3611">
        <v>2.53080855845967E-174</v>
      </c>
      <c r="P3611">
        <v>7.1767622422965832E-2</v>
      </c>
      <c r="Q3611">
        <v>1.530892694346585</v>
      </c>
      <c r="R3611">
        <v>-27.722398313883321</v>
      </c>
      <c r="S3611">
        <v>1.1310355039549751</v>
      </c>
      <c r="T3611">
        <v>0.87228687094095558</v>
      </c>
      <c r="U3611">
        <v>4.2558177004489526</v>
      </c>
      <c r="V3611">
        <v>0.20544021673558341</v>
      </c>
      <c r="W3611">
        <v>-21.207198087795138</v>
      </c>
      <c r="X3611">
        <v>1.173994157742754</v>
      </c>
      <c r="Z3611" t="s">
        <v>392</v>
      </c>
      <c r="AA3611">
        <v>114</v>
      </c>
      <c r="AB3611" t="s">
        <v>4002</v>
      </c>
      <c r="AC3611" t="str">
        <f>HYPERLINK("plots/3FT6Y578R04_015_S21P_20251218081014_M5358ACSC201811_RBGEUFRF04/dpll_52084/txpa_55150.png","plot")</f>
        <v>plot</v>
      </c>
    </row>
    <row r="3612" spans="1:29" hidden="1" x14ac:dyDescent="0.35">
      <c r="A3612" t="s">
        <v>49</v>
      </c>
      <c r="B3612">
        <v>52084</v>
      </c>
      <c r="C3612" t="s">
        <v>52</v>
      </c>
      <c r="D3612">
        <v>55151</v>
      </c>
      <c r="E3612" t="s">
        <v>284</v>
      </c>
      <c r="F3612">
        <v>12028</v>
      </c>
      <c r="G3612">
        <v>0.25959026556272952</v>
      </c>
      <c r="H3612">
        <v>1.8268196049787539E-184</v>
      </c>
      <c r="I3612">
        <v>1.871106140857027E-184</v>
      </c>
      <c r="J3612">
        <v>0.24839505848425891</v>
      </c>
      <c r="K3612">
        <v>1.434260140501952E-168</v>
      </c>
      <c r="L3612">
        <v>1.4690300833019989E-168</v>
      </c>
      <c r="M3612">
        <v>0.16749814624120499</v>
      </c>
      <c r="N3612">
        <v>1.170585632420142E-166</v>
      </c>
      <c r="O3612">
        <v>1.1989634659333569E-166</v>
      </c>
      <c r="P3612">
        <v>6.7387105974928432E-2</v>
      </c>
      <c r="Q3612">
        <v>1.4856333698199491</v>
      </c>
      <c r="R3612">
        <v>-27.57772579514921</v>
      </c>
      <c r="S3612">
        <v>1.135380317576131</v>
      </c>
      <c r="T3612">
        <v>0.87884295048089911</v>
      </c>
      <c r="U3612">
        <v>4.2558177004489526</v>
      </c>
      <c r="V3612">
        <v>0.20544021673558341</v>
      </c>
      <c r="W3612">
        <v>-21.25514100349185</v>
      </c>
      <c r="X3612">
        <v>1.1757329991700809</v>
      </c>
      <c r="Z3612" t="s">
        <v>392</v>
      </c>
      <c r="AA3612">
        <v>114</v>
      </c>
      <c r="AB3612" t="s">
        <v>4003</v>
      </c>
      <c r="AC3612" t="str">
        <f>HYPERLINK("plots/3FT6Y578R04_015_S21P_20251218081014_M5358ACSC201811_RBGEUFRF04/dpll_52084/txpa_55151.png","plot")</f>
        <v>plot</v>
      </c>
    </row>
    <row r="3613" spans="1:29" hidden="1" x14ac:dyDescent="0.35">
      <c r="A3613" t="s">
        <v>49</v>
      </c>
      <c r="B3613">
        <v>52084</v>
      </c>
      <c r="C3613" t="s">
        <v>52</v>
      </c>
      <c r="D3613">
        <v>55152</v>
      </c>
      <c r="E3613" t="s">
        <v>285</v>
      </c>
      <c r="F3613">
        <v>12028</v>
      </c>
      <c r="G3613">
        <v>0.26132878045273739</v>
      </c>
      <c r="H3613">
        <v>5.2689804718240442E-187</v>
      </c>
      <c r="I3613">
        <v>5.4241078156645496E-187</v>
      </c>
      <c r="J3613">
        <v>0.25308090788324988</v>
      </c>
      <c r="K3613">
        <v>3.9848507459488518E-175</v>
      </c>
      <c r="L3613">
        <v>4.1231006697878942E-175</v>
      </c>
      <c r="M3613">
        <v>0.1710068378874231</v>
      </c>
      <c r="N3613">
        <v>1.423567788349668E-173</v>
      </c>
      <c r="O3613">
        <v>1.474461427361147E-173</v>
      </c>
      <c r="P3613">
        <v>6.8292731492915024E-2</v>
      </c>
      <c r="Q3613">
        <v>1.5051099089090241</v>
      </c>
      <c r="R3613">
        <v>-27.71023777456222</v>
      </c>
      <c r="S3613">
        <v>1.1420579079006601</v>
      </c>
      <c r="T3613">
        <v>0.88713489373438281</v>
      </c>
      <c r="U3613">
        <v>4.2558177004489526</v>
      </c>
      <c r="V3613">
        <v>0.20544021673558341</v>
      </c>
      <c r="W3613">
        <v>-21.304764383106079</v>
      </c>
      <c r="X3613">
        <v>1.1832225496229509</v>
      </c>
      <c r="Z3613" t="s">
        <v>392</v>
      </c>
      <c r="AA3613">
        <v>114</v>
      </c>
      <c r="AB3613" t="s">
        <v>4004</v>
      </c>
      <c r="AC3613" t="str">
        <f>HYPERLINK("plots/3FT6Y578R04_015_S21P_20251218081014_M5358ACSC201811_RBGEUFRF04/dpll_52084/txpa_55152.png","plot")</f>
        <v>plot</v>
      </c>
    </row>
    <row r="3614" spans="1:29" hidden="1" x14ac:dyDescent="0.35">
      <c r="A3614" t="s">
        <v>49</v>
      </c>
      <c r="B3614">
        <v>52084</v>
      </c>
      <c r="C3614" t="s">
        <v>52</v>
      </c>
      <c r="D3614">
        <v>55153</v>
      </c>
      <c r="E3614" t="s">
        <v>286</v>
      </c>
      <c r="F3614">
        <v>12028</v>
      </c>
      <c r="G3614">
        <v>0.2393497333165997</v>
      </c>
      <c r="H3614">
        <v>2.6458680343986497E-156</v>
      </c>
      <c r="I3614">
        <v>2.6775550767267781E-156</v>
      </c>
      <c r="J3614">
        <v>0.22617282248972109</v>
      </c>
      <c r="K3614">
        <v>2.4226637767034039E-139</v>
      </c>
      <c r="L3614">
        <v>2.451677714148954E-139</v>
      </c>
      <c r="M3614">
        <v>0.1530390073244417</v>
      </c>
      <c r="N3614">
        <v>2.0492967414043591E-139</v>
      </c>
      <c r="O3614">
        <v>2.073839217349321E-139</v>
      </c>
      <c r="P3614">
        <v>5.728829483872741E-2</v>
      </c>
      <c r="Q3614">
        <v>1.3888597941990111</v>
      </c>
      <c r="R3614">
        <v>-27.206574532906981</v>
      </c>
      <c r="S3614">
        <v>1.1573969084174951</v>
      </c>
      <c r="T3614">
        <v>0.89958917350904222</v>
      </c>
      <c r="U3614">
        <v>4.2558177004489526</v>
      </c>
      <c r="V3614">
        <v>0.20544021673558341</v>
      </c>
      <c r="W3614">
        <v>-21.29584043731294</v>
      </c>
      <c r="X3614">
        <v>1.1920951537395941</v>
      </c>
      <c r="Z3614" t="s">
        <v>392</v>
      </c>
      <c r="AA3614">
        <v>114</v>
      </c>
      <c r="AB3614" t="s">
        <v>4005</v>
      </c>
      <c r="AC3614" t="str">
        <f>HYPERLINK("plots/3FT6Y578R04_015_S21P_20251218081014_M5358ACSC201811_RBGEUFRF04/dpll_52084/txpa_55153.png","plot")</f>
        <v>plot</v>
      </c>
    </row>
    <row r="3615" spans="1:29" hidden="1" x14ac:dyDescent="0.35">
      <c r="A3615" t="s">
        <v>49</v>
      </c>
      <c r="B3615">
        <v>52084</v>
      </c>
      <c r="C3615" t="s">
        <v>52</v>
      </c>
      <c r="D3615">
        <v>55154</v>
      </c>
      <c r="E3615" t="s">
        <v>287</v>
      </c>
      <c r="F3615">
        <v>12028</v>
      </c>
      <c r="G3615">
        <v>0.25501694320599427</v>
      </c>
      <c r="H3615">
        <v>7.0964253209094355E-178</v>
      </c>
      <c r="I3615">
        <v>7.2246739712873171E-178</v>
      </c>
      <c r="J3615">
        <v>0.23837640588768361</v>
      </c>
      <c r="K3615">
        <v>5.1531252628997818E-155</v>
      </c>
      <c r="L3615">
        <v>5.2462540327112239E-155</v>
      </c>
      <c r="M3615">
        <v>0.1608643912350978</v>
      </c>
      <c r="N3615">
        <v>8.4339053086063207E-154</v>
      </c>
      <c r="O3615">
        <v>8.5863252840630611E-154</v>
      </c>
      <c r="P3615">
        <v>6.503364132212934E-2</v>
      </c>
      <c r="Q3615">
        <v>1.4796964060244551</v>
      </c>
      <c r="R3615">
        <v>-27.678696803372489</v>
      </c>
      <c r="S3615">
        <v>1.152574444438363</v>
      </c>
      <c r="T3615">
        <v>0.89989838278407464</v>
      </c>
      <c r="U3615">
        <v>4.2558177004489526</v>
      </c>
      <c r="V3615">
        <v>0.20544021673558341</v>
      </c>
      <c r="W3615">
        <v>-21.381378647322911</v>
      </c>
      <c r="X3615">
        <v>1.192035111608156</v>
      </c>
      <c r="Z3615" t="s">
        <v>392</v>
      </c>
      <c r="AA3615">
        <v>114</v>
      </c>
      <c r="AB3615" t="s">
        <v>4006</v>
      </c>
      <c r="AC3615" t="str">
        <f>HYPERLINK("plots/3FT6Y578R04_015_S21P_20251218081014_M5358ACSC201811_RBGEUFRF04/dpll_52084/txpa_55154.png","plot")</f>
        <v>plot</v>
      </c>
    </row>
    <row r="3616" spans="1:29" hidden="1" x14ac:dyDescent="0.35">
      <c r="A3616" t="s">
        <v>49</v>
      </c>
      <c r="B3616">
        <v>52084</v>
      </c>
      <c r="C3616" t="s">
        <v>52</v>
      </c>
      <c r="D3616">
        <v>55155</v>
      </c>
      <c r="E3616" t="s">
        <v>288</v>
      </c>
      <c r="F3616">
        <v>12028</v>
      </c>
      <c r="G3616">
        <v>0.50737551274844672</v>
      </c>
      <c r="H3616">
        <v>0</v>
      </c>
      <c r="I3616">
        <v>0</v>
      </c>
      <c r="J3616">
        <v>0.44979201262570179</v>
      </c>
      <c r="K3616">
        <v>0</v>
      </c>
      <c r="L3616">
        <v>0</v>
      </c>
      <c r="M3616">
        <v>0.31030649782047098</v>
      </c>
      <c r="N3616">
        <v>0</v>
      </c>
      <c r="O3616">
        <v>0</v>
      </c>
      <c r="P3616">
        <v>0.25742991093674922</v>
      </c>
      <c r="Q3616">
        <v>0.81293503154837421</v>
      </c>
      <c r="R3616">
        <v>-15.065933044666391</v>
      </c>
      <c r="S3616">
        <v>0.28363673132362111</v>
      </c>
      <c r="T3616">
        <v>0.219911321128755</v>
      </c>
      <c r="U3616">
        <v>4.2558177004489526</v>
      </c>
      <c r="V3616">
        <v>0.20544021673558341</v>
      </c>
      <c r="W3616">
        <v>-11.60622974808779</v>
      </c>
      <c r="X3616">
        <v>0.32916359752672691</v>
      </c>
      <c r="Z3616" t="s">
        <v>392</v>
      </c>
      <c r="AA3616">
        <v>114</v>
      </c>
      <c r="AB3616" t="s">
        <v>4007</v>
      </c>
      <c r="AC3616" t="str">
        <f>HYPERLINK("plots/3FT6Y578R04_015_S21P_20251218081014_M5358ACSC201811_RBGEUFRF04/dpll_52084/txpa_55155.png","plot")</f>
        <v>plot</v>
      </c>
    </row>
    <row r="3617" spans="1:29" hidden="1" x14ac:dyDescent="0.35">
      <c r="A3617" t="s">
        <v>49</v>
      </c>
      <c r="B3617">
        <v>52084</v>
      </c>
      <c r="C3617" t="s">
        <v>52</v>
      </c>
      <c r="D3617">
        <v>55156</v>
      </c>
      <c r="E3617" t="s">
        <v>289</v>
      </c>
      <c r="F3617">
        <v>12028</v>
      </c>
      <c r="G3617">
        <v>0.54596159237984321</v>
      </c>
      <c r="H3617">
        <v>0</v>
      </c>
      <c r="I3617">
        <v>0</v>
      </c>
      <c r="J3617">
        <v>0.48064249144851762</v>
      </c>
      <c r="K3617">
        <v>0</v>
      </c>
      <c r="L3617">
        <v>0</v>
      </c>
      <c r="M3617">
        <v>0.33423376784454928</v>
      </c>
      <c r="N3617">
        <v>0</v>
      </c>
      <c r="O3617">
        <v>0</v>
      </c>
      <c r="P3617">
        <v>0.29807406035393408</v>
      </c>
      <c r="Q3617">
        <v>0.87445474534245438</v>
      </c>
      <c r="R3617">
        <v>-15.264477341301721</v>
      </c>
      <c r="S3617">
        <v>0.27566923650513392</v>
      </c>
      <c r="T3617">
        <v>0.2157334946336297</v>
      </c>
      <c r="U3617">
        <v>4.2558177004489526</v>
      </c>
      <c r="V3617">
        <v>0.20544021673558341</v>
      </c>
      <c r="W3617">
        <v>-11.54295735783173</v>
      </c>
      <c r="X3617">
        <v>0.32904910329960768</v>
      </c>
      <c r="Z3617" t="s">
        <v>392</v>
      </c>
      <c r="AA3617">
        <v>114</v>
      </c>
      <c r="AB3617" t="s">
        <v>4008</v>
      </c>
      <c r="AC3617" t="str">
        <f>HYPERLINK("plots/3FT6Y578R04_015_S21P_20251218081014_M5358ACSC201811_RBGEUFRF04/dpll_52084/txpa_55156.png","plot")</f>
        <v>plot</v>
      </c>
    </row>
    <row r="3618" spans="1:29" hidden="1" x14ac:dyDescent="0.35">
      <c r="A3618" t="s">
        <v>49</v>
      </c>
      <c r="B3618">
        <v>52084</v>
      </c>
      <c r="C3618" t="s">
        <v>52</v>
      </c>
      <c r="D3618">
        <v>55157</v>
      </c>
      <c r="E3618" t="s">
        <v>290</v>
      </c>
      <c r="F3618">
        <v>12028</v>
      </c>
      <c r="G3618">
        <v>0.53524169750804185</v>
      </c>
      <c r="H3618">
        <v>0</v>
      </c>
      <c r="I3618">
        <v>0</v>
      </c>
      <c r="J3618">
        <v>0.46600108024414771</v>
      </c>
      <c r="K3618">
        <v>0</v>
      </c>
      <c r="L3618">
        <v>0</v>
      </c>
      <c r="M3618">
        <v>0.32360798481083769</v>
      </c>
      <c r="N3618">
        <v>0</v>
      </c>
      <c r="O3618">
        <v>0</v>
      </c>
      <c r="P3618">
        <v>0.28648367475129022</v>
      </c>
      <c r="Q3618">
        <v>0.84121935055921881</v>
      </c>
      <c r="R3618">
        <v>-15.10009108234944</v>
      </c>
      <c r="S3618">
        <v>0.27272734349676342</v>
      </c>
      <c r="T3618">
        <v>0.21384399015561659</v>
      </c>
      <c r="U3618">
        <v>4.2558177004489526</v>
      </c>
      <c r="V3618">
        <v>0.20544021673558341</v>
      </c>
      <c r="W3618">
        <v>-11.52001488027935</v>
      </c>
      <c r="X3618">
        <v>0.32288270234860789</v>
      </c>
      <c r="Z3618" t="s">
        <v>392</v>
      </c>
      <c r="AA3618">
        <v>114</v>
      </c>
      <c r="AB3618" t="s">
        <v>4009</v>
      </c>
      <c r="AC3618" t="str">
        <f>HYPERLINK("plots/3FT6Y578R04_015_S21P_20251218081014_M5358ACSC201811_RBGEUFRF04/dpll_52084/txpa_55157.png","plot")</f>
        <v>plot</v>
      </c>
    </row>
    <row r="3619" spans="1:29" hidden="1" x14ac:dyDescent="0.35">
      <c r="A3619" t="s">
        <v>49</v>
      </c>
      <c r="B3619">
        <v>52084</v>
      </c>
      <c r="C3619" t="s">
        <v>52</v>
      </c>
      <c r="D3619">
        <v>55158</v>
      </c>
      <c r="E3619" t="s">
        <v>291</v>
      </c>
      <c r="F3619">
        <v>12028</v>
      </c>
      <c r="G3619">
        <v>0.5574374186173483</v>
      </c>
      <c r="H3619">
        <v>0</v>
      </c>
      <c r="I3619">
        <v>0</v>
      </c>
      <c r="J3619">
        <v>0.48862223375032759</v>
      </c>
      <c r="K3619">
        <v>0</v>
      </c>
      <c r="L3619">
        <v>0</v>
      </c>
      <c r="M3619">
        <v>0.34017271013906641</v>
      </c>
      <c r="N3619">
        <v>0</v>
      </c>
      <c r="O3619">
        <v>0</v>
      </c>
      <c r="P3619">
        <v>0.31073647567477281</v>
      </c>
      <c r="Q3619">
        <v>0.89656663531649861</v>
      </c>
      <c r="R3619">
        <v>-15.308763994921589</v>
      </c>
      <c r="S3619">
        <v>0.27431307826403861</v>
      </c>
      <c r="T3619">
        <v>0.2140153544410057</v>
      </c>
      <c r="U3619">
        <v>4.2558177004489526</v>
      </c>
      <c r="V3619">
        <v>0.20544021673558341</v>
      </c>
      <c r="W3619">
        <v>-11.493139838709681</v>
      </c>
      <c r="X3619">
        <v>0.33042425521805852</v>
      </c>
      <c r="Z3619" t="s">
        <v>392</v>
      </c>
      <c r="AA3619">
        <v>114</v>
      </c>
      <c r="AB3619" t="s">
        <v>4010</v>
      </c>
      <c r="AC3619" t="str">
        <f>HYPERLINK("plots/3FT6Y578R04_015_S21P_20251218081014_M5358ACSC201811_RBGEUFRF04/dpll_52084/txpa_55158.png","plot")</f>
        <v>plot</v>
      </c>
    </row>
    <row r="3620" spans="1:29" hidden="1" x14ac:dyDescent="0.35">
      <c r="A3620" t="s">
        <v>49</v>
      </c>
      <c r="B3620">
        <v>52084</v>
      </c>
      <c r="C3620" t="s">
        <v>52</v>
      </c>
      <c r="D3620">
        <v>55159</v>
      </c>
      <c r="E3620" t="s">
        <v>292</v>
      </c>
      <c r="F3620">
        <v>12027</v>
      </c>
      <c r="G3620">
        <v>0.54511394786148981</v>
      </c>
      <c r="H3620">
        <v>0</v>
      </c>
      <c r="I3620">
        <v>0</v>
      </c>
      <c r="J3620">
        <v>0.47432917094645088</v>
      </c>
      <c r="K3620">
        <v>0</v>
      </c>
      <c r="L3620">
        <v>0</v>
      </c>
      <c r="M3620">
        <v>0.32911210143801378</v>
      </c>
      <c r="N3620">
        <v>0</v>
      </c>
      <c r="O3620">
        <v>0</v>
      </c>
      <c r="P3620">
        <v>0.29714921615313911</v>
      </c>
      <c r="Q3620">
        <v>0.8807561020044834</v>
      </c>
      <c r="R3620">
        <v>-15.2577080403943</v>
      </c>
      <c r="S3620">
        <v>0.278256321264927</v>
      </c>
      <c r="T3620">
        <v>0.217414820431721</v>
      </c>
      <c r="U3620">
        <v>4.2557921641307059</v>
      </c>
      <c r="V3620">
        <v>0.20542966688110781</v>
      </c>
      <c r="W3620">
        <v>-11.509393122973311</v>
      </c>
      <c r="X3620">
        <v>0.3319185527137864</v>
      </c>
      <c r="Z3620" t="s">
        <v>392</v>
      </c>
      <c r="AA3620">
        <v>114</v>
      </c>
      <c r="AB3620" t="s">
        <v>4011</v>
      </c>
      <c r="AC3620" t="str">
        <f>HYPERLINK("plots/3FT6Y578R04_015_S21P_20251218081014_M5358ACSC201811_RBGEUFRF04/dpll_52084/txpa_55159.png","plot")</f>
        <v>plot</v>
      </c>
    </row>
    <row r="3621" spans="1:29" hidden="1" x14ac:dyDescent="0.35">
      <c r="A3621" t="s">
        <v>49</v>
      </c>
      <c r="B3621">
        <v>52084</v>
      </c>
      <c r="C3621" t="s">
        <v>52</v>
      </c>
      <c r="D3621">
        <v>55160</v>
      </c>
      <c r="E3621" t="s">
        <v>293</v>
      </c>
      <c r="F3621">
        <v>12028</v>
      </c>
      <c r="G3621">
        <v>0.55450296345793026</v>
      </c>
      <c r="H3621">
        <v>0</v>
      </c>
      <c r="I3621">
        <v>0</v>
      </c>
      <c r="J3621">
        <v>0.48888153515611749</v>
      </c>
      <c r="K3621">
        <v>0</v>
      </c>
      <c r="L3621">
        <v>0</v>
      </c>
      <c r="M3621">
        <v>0.34054736148621773</v>
      </c>
      <c r="N3621">
        <v>0</v>
      </c>
      <c r="O3621">
        <v>0</v>
      </c>
      <c r="P3621">
        <v>0.30747353648362669</v>
      </c>
      <c r="Q3621">
        <v>0.8819158319522159</v>
      </c>
      <c r="R3621">
        <v>-15.27214663097463</v>
      </c>
      <c r="S3621">
        <v>0.27189978534199538</v>
      </c>
      <c r="T3621">
        <v>0.21341757266031139</v>
      </c>
      <c r="U3621">
        <v>4.2558177004489526</v>
      </c>
      <c r="V3621">
        <v>0.20544021673558341</v>
      </c>
      <c r="W3621">
        <v>-11.518873623046231</v>
      </c>
      <c r="X3621">
        <v>0.32674483564333878</v>
      </c>
      <c r="Z3621" t="s">
        <v>392</v>
      </c>
      <c r="AA3621">
        <v>114</v>
      </c>
      <c r="AB3621" t="s">
        <v>4012</v>
      </c>
      <c r="AC3621" t="str">
        <f>HYPERLINK("plots/3FT6Y578R04_015_S21P_20251218081014_M5358ACSC201811_RBGEUFRF04/dpll_52084/txpa_55160.png","plot")</f>
        <v>plot</v>
      </c>
    </row>
    <row r="3622" spans="1:29" hidden="1" x14ac:dyDescent="0.35">
      <c r="A3622" t="s">
        <v>49</v>
      </c>
      <c r="B3622">
        <v>52084</v>
      </c>
      <c r="C3622" t="s">
        <v>52</v>
      </c>
      <c r="D3622">
        <v>55161</v>
      </c>
      <c r="E3622" t="s">
        <v>294</v>
      </c>
      <c r="F3622">
        <v>12028</v>
      </c>
      <c r="G3622">
        <v>0.54596678369418661</v>
      </c>
      <c r="H3622">
        <v>0</v>
      </c>
      <c r="I3622">
        <v>0</v>
      </c>
      <c r="J3622">
        <v>0.47629410498846142</v>
      </c>
      <c r="K3622">
        <v>0</v>
      </c>
      <c r="L3622">
        <v>0</v>
      </c>
      <c r="M3622">
        <v>0.33055005241700491</v>
      </c>
      <c r="N3622">
        <v>0</v>
      </c>
      <c r="O3622">
        <v>0</v>
      </c>
      <c r="P3622">
        <v>0.29807972889737477</v>
      </c>
      <c r="Q3622">
        <v>0.85871226514564802</v>
      </c>
      <c r="R3622">
        <v>-15.170647498437511</v>
      </c>
      <c r="S3622">
        <v>0.270702799754304</v>
      </c>
      <c r="T3622">
        <v>0.21302603790396271</v>
      </c>
      <c r="U3622">
        <v>4.2558177004489526</v>
      </c>
      <c r="V3622">
        <v>0.20544021673558341</v>
      </c>
      <c r="W3622">
        <v>-11.516124640838051</v>
      </c>
      <c r="X3622">
        <v>0.32312228350477989</v>
      </c>
      <c r="Z3622" t="s">
        <v>392</v>
      </c>
      <c r="AA3622">
        <v>114</v>
      </c>
      <c r="AB3622" t="s">
        <v>4013</v>
      </c>
      <c r="AC3622" t="str">
        <f>HYPERLINK("plots/3FT6Y578R04_015_S21P_20251218081014_M5358ACSC201811_RBGEUFRF04/dpll_52084/txpa_55161.png","plot")</f>
        <v>plot</v>
      </c>
    </row>
    <row r="3623" spans="1:29" hidden="1" x14ac:dyDescent="0.35">
      <c r="A3623" t="s">
        <v>49</v>
      </c>
      <c r="B3623">
        <v>52084</v>
      </c>
      <c r="C3623" t="s">
        <v>52</v>
      </c>
      <c r="D3623">
        <v>55162</v>
      </c>
      <c r="E3623" t="s">
        <v>295</v>
      </c>
      <c r="F3623">
        <v>12028</v>
      </c>
      <c r="G3623">
        <v>0.52834783770038252</v>
      </c>
      <c r="H3623">
        <v>0</v>
      </c>
      <c r="I3623">
        <v>0</v>
      </c>
      <c r="J3623">
        <v>0.46246098510628991</v>
      </c>
      <c r="K3623">
        <v>0</v>
      </c>
      <c r="L3623">
        <v>0</v>
      </c>
      <c r="M3623">
        <v>0.32066724470115282</v>
      </c>
      <c r="N3623">
        <v>0</v>
      </c>
      <c r="O3623">
        <v>0</v>
      </c>
      <c r="P3623">
        <v>0.27915143760266969</v>
      </c>
      <c r="Q3623">
        <v>0.83939635383990552</v>
      </c>
      <c r="R3623">
        <v>-15.16142461044732</v>
      </c>
      <c r="S3623">
        <v>0.27710002992347349</v>
      </c>
      <c r="T3623">
        <v>0.21623307519022369</v>
      </c>
      <c r="U3623">
        <v>4.2558177004489526</v>
      </c>
      <c r="V3623">
        <v>0.20544021673558341</v>
      </c>
      <c r="W3623">
        <v>-11.58910675008314</v>
      </c>
      <c r="X3623">
        <v>0.32638681670486919</v>
      </c>
      <c r="Z3623" t="s">
        <v>392</v>
      </c>
      <c r="AA3623">
        <v>114</v>
      </c>
      <c r="AB3623" t="s">
        <v>4014</v>
      </c>
      <c r="AC3623" t="str">
        <f>HYPERLINK("plots/3FT6Y578R04_015_S21P_20251218081014_M5358ACSC201811_RBGEUFRF04/dpll_52084/txpa_55162.png","plot")</f>
        <v>plot</v>
      </c>
    </row>
    <row r="3624" spans="1:29" hidden="1" x14ac:dyDescent="0.35">
      <c r="A3624" t="s">
        <v>49</v>
      </c>
      <c r="B3624">
        <v>52084</v>
      </c>
      <c r="C3624" t="s">
        <v>52</v>
      </c>
      <c r="D3624">
        <v>55163</v>
      </c>
      <c r="E3624" t="s">
        <v>296</v>
      </c>
      <c r="F3624">
        <v>12028</v>
      </c>
      <c r="G3624">
        <v>0.50520688942349123</v>
      </c>
      <c r="H3624">
        <v>0</v>
      </c>
      <c r="I3624">
        <v>0</v>
      </c>
      <c r="J3624">
        <v>0.44927851758818932</v>
      </c>
      <c r="K3624">
        <v>0</v>
      </c>
      <c r="L3624">
        <v>0</v>
      </c>
      <c r="M3624">
        <v>0.30924001387743549</v>
      </c>
      <c r="N3624">
        <v>0</v>
      </c>
      <c r="O3624">
        <v>0</v>
      </c>
      <c r="P3624">
        <v>0.25523400112095967</v>
      </c>
      <c r="Q3624">
        <v>0.72093806384798875</v>
      </c>
      <c r="R3624">
        <v>-8.8192426041624099</v>
      </c>
      <c r="S3624">
        <v>0.25299155391831712</v>
      </c>
      <c r="T3624">
        <v>0.19628251365077709</v>
      </c>
      <c r="U3624">
        <v>4.2558177004489526</v>
      </c>
      <c r="V3624">
        <v>0.20544021673558341</v>
      </c>
      <c r="W3624">
        <v>-5.7510616311107423</v>
      </c>
      <c r="X3624">
        <v>0.29316637439144139</v>
      </c>
      <c r="Z3624" t="s">
        <v>392</v>
      </c>
      <c r="AA3624">
        <v>114</v>
      </c>
      <c r="AB3624" t="s">
        <v>4015</v>
      </c>
      <c r="AC3624" t="str">
        <f>HYPERLINK("plots/3FT6Y578R04_015_S21P_20251218081014_M5358ACSC201811_RBGEUFRF04/dpll_52084/txpa_55163.png","plot")</f>
        <v>plot</v>
      </c>
    </row>
    <row r="3625" spans="1:29" hidden="1" x14ac:dyDescent="0.35">
      <c r="A3625" t="s">
        <v>49</v>
      </c>
      <c r="B3625">
        <v>52084</v>
      </c>
      <c r="C3625" t="s">
        <v>52</v>
      </c>
      <c r="D3625">
        <v>55164</v>
      </c>
      <c r="E3625" t="s">
        <v>297</v>
      </c>
      <c r="F3625">
        <v>12028</v>
      </c>
      <c r="G3625">
        <v>0.53621272630698147</v>
      </c>
      <c r="H3625">
        <v>0</v>
      </c>
      <c r="I3625">
        <v>0</v>
      </c>
      <c r="J3625">
        <v>0.47380781456604931</v>
      </c>
      <c r="K3625">
        <v>0</v>
      </c>
      <c r="L3625">
        <v>0</v>
      </c>
      <c r="M3625">
        <v>0.32910700878135768</v>
      </c>
      <c r="N3625">
        <v>0</v>
      </c>
      <c r="O3625">
        <v>0</v>
      </c>
      <c r="P3625">
        <v>0.28752408785356581</v>
      </c>
      <c r="Q3625">
        <v>0.76568177131464177</v>
      </c>
      <c r="R3625">
        <v>-8.9670949995220415</v>
      </c>
      <c r="S3625">
        <v>0.2476074423018581</v>
      </c>
      <c r="T3625">
        <v>0.19376467669540601</v>
      </c>
      <c r="U3625">
        <v>4.2558177004489526</v>
      </c>
      <c r="V3625">
        <v>0.20544021673558341</v>
      </c>
      <c r="W3625">
        <v>-5.7084929642500821</v>
      </c>
      <c r="X3625">
        <v>0.29335713483105641</v>
      </c>
      <c r="Z3625" t="s">
        <v>392</v>
      </c>
      <c r="AA3625">
        <v>114</v>
      </c>
      <c r="AB3625" t="s">
        <v>4016</v>
      </c>
      <c r="AC3625" t="str">
        <f>HYPERLINK("plots/3FT6Y578R04_015_S21P_20251218081014_M5358ACSC201811_RBGEUFRF04/dpll_52084/txpa_55164.png","plot")</f>
        <v>plot</v>
      </c>
    </row>
    <row r="3626" spans="1:29" hidden="1" x14ac:dyDescent="0.35">
      <c r="A3626" t="s">
        <v>49</v>
      </c>
      <c r="B3626">
        <v>52084</v>
      </c>
      <c r="C3626" t="s">
        <v>52</v>
      </c>
      <c r="D3626">
        <v>55165</v>
      </c>
      <c r="E3626" t="s">
        <v>298</v>
      </c>
      <c r="F3626">
        <v>12028</v>
      </c>
      <c r="G3626">
        <v>0.52226404211876687</v>
      </c>
      <c r="H3626">
        <v>0</v>
      </c>
      <c r="I3626">
        <v>0</v>
      </c>
      <c r="J3626">
        <v>0.45753187138693918</v>
      </c>
      <c r="K3626">
        <v>0</v>
      </c>
      <c r="L3626">
        <v>0</v>
      </c>
      <c r="M3626">
        <v>0.31665540103009648</v>
      </c>
      <c r="N3626">
        <v>0</v>
      </c>
      <c r="O3626">
        <v>0</v>
      </c>
      <c r="P3626">
        <v>0.2727597296902331</v>
      </c>
      <c r="Q3626">
        <v>0.73222346717182663</v>
      </c>
      <c r="R3626">
        <v>-8.8040717538137017</v>
      </c>
      <c r="S3626">
        <v>0.2456178287946241</v>
      </c>
      <c r="T3626">
        <v>0.19271304813563689</v>
      </c>
      <c r="U3626">
        <v>4.2558177004489526</v>
      </c>
      <c r="V3626">
        <v>0.20544021673558341</v>
      </c>
      <c r="W3626">
        <v>-5.6878621615397398</v>
      </c>
      <c r="X3626">
        <v>0.28803083433504312</v>
      </c>
      <c r="Z3626" t="s">
        <v>392</v>
      </c>
      <c r="AA3626">
        <v>114</v>
      </c>
      <c r="AB3626" t="s">
        <v>4017</v>
      </c>
      <c r="AC3626" t="str">
        <f>HYPERLINK("plots/3FT6Y578R04_015_S21P_20251218081014_M5358ACSC201811_RBGEUFRF04/dpll_52084/txpa_55165.png","plot")</f>
        <v>plot</v>
      </c>
    </row>
    <row r="3627" spans="1:29" hidden="1" x14ac:dyDescent="0.35">
      <c r="A3627" t="s">
        <v>49</v>
      </c>
      <c r="B3627">
        <v>52084</v>
      </c>
      <c r="C3627" t="s">
        <v>52</v>
      </c>
      <c r="D3627">
        <v>55166</v>
      </c>
      <c r="E3627" t="s">
        <v>299</v>
      </c>
      <c r="F3627">
        <v>12028</v>
      </c>
      <c r="G3627">
        <v>0.54881729118552514</v>
      </c>
      <c r="H3627">
        <v>0</v>
      </c>
      <c r="I3627">
        <v>0</v>
      </c>
      <c r="J3627">
        <v>0.48026515407860632</v>
      </c>
      <c r="K3627">
        <v>0</v>
      </c>
      <c r="L3627">
        <v>0</v>
      </c>
      <c r="M3627">
        <v>0.33402619286946278</v>
      </c>
      <c r="N3627">
        <v>0</v>
      </c>
      <c r="O3627">
        <v>0</v>
      </c>
      <c r="P3627">
        <v>0.30120041910421752</v>
      </c>
      <c r="Q3627">
        <v>0.78408790361229952</v>
      </c>
      <c r="R3627">
        <v>-9.0113680719008027</v>
      </c>
      <c r="S3627">
        <v>0.24534696851222559</v>
      </c>
      <c r="T3627">
        <v>0.19235785971982039</v>
      </c>
      <c r="U3627">
        <v>4.2558177004489526</v>
      </c>
      <c r="V3627">
        <v>0.20544021673558341</v>
      </c>
      <c r="W3627">
        <v>-5.6744328929996666</v>
      </c>
      <c r="X3627">
        <v>0.29350968244804559</v>
      </c>
      <c r="Z3627" t="s">
        <v>392</v>
      </c>
      <c r="AA3627">
        <v>114</v>
      </c>
      <c r="AB3627" t="s">
        <v>4018</v>
      </c>
      <c r="AC3627" t="str">
        <f>HYPERLINK("plots/3FT6Y578R04_015_S21P_20251218081014_M5358ACSC201811_RBGEUFRF04/dpll_52084/txpa_55166.png","plot")</f>
        <v>plot</v>
      </c>
    </row>
    <row r="3628" spans="1:29" hidden="1" x14ac:dyDescent="0.35">
      <c r="A3628" t="s">
        <v>49</v>
      </c>
      <c r="B3628">
        <v>52084</v>
      </c>
      <c r="C3628" t="s">
        <v>52</v>
      </c>
      <c r="D3628">
        <v>55167</v>
      </c>
      <c r="E3628" t="s">
        <v>300</v>
      </c>
      <c r="F3628">
        <v>12027</v>
      </c>
      <c r="G3628">
        <v>0.54234124077312384</v>
      </c>
      <c r="H3628">
        <v>0</v>
      </c>
      <c r="I3628">
        <v>0</v>
      </c>
      <c r="J3628">
        <v>0.46856262296128892</v>
      </c>
      <c r="K3628">
        <v>0</v>
      </c>
      <c r="L3628">
        <v>0</v>
      </c>
      <c r="M3628">
        <v>0.32402537703268858</v>
      </c>
      <c r="N3628">
        <v>0</v>
      </c>
      <c r="O3628">
        <v>0</v>
      </c>
      <c r="P3628">
        <v>0.29413402144333151</v>
      </c>
      <c r="Q3628">
        <v>0.7731175319234328</v>
      </c>
      <c r="R3628">
        <v>-8.9757981279760717</v>
      </c>
      <c r="S3628">
        <v>0.24602493331616651</v>
      </c>
      <c r="T3628">
        <v>0.19422000076850771</v>
      </c>
      <c r="U3628">
        <v>4.2557921641307059</v>
      </c>
      <c r="V3628">
        <v>0.20542966688110781</v>
      </c>
      <c r="W3628">
        <v>-5.6855705936642549</v>
      </c>
      <c r="X3628">
        <v>0.29284381327256348</v>
      </c>
      <c r="Z3628" t="s">
        <v>392</v>
      </c>
      <c r="AA3628">
        <v>114</v>
      </c>
      <c r="AB3628" t="s">
        <v>4019</v>
      </c>
      <c r="AC3628" t="str">
        <f>HYPERLINK("plots/3FT6Y578R04_015_S21P_20251218081014_M5358ACSC201811_RBGEUFRF04/dpll_52084/txpa_55167.png","plot")</f>
        <v>plot</v>
      </c>
    </row>
    <row r="3629" spans="1:29" hidden="1" x14ac:dyDescent="0.35">
      <c r="A3629" t="s">
        <v>49</v>
      </c>
      <c r="B3629">
        <v>52084</v>
      </c>
      <c r="C3629" t="s">
        <v>52</v>
      </c>
      <c r="D3629">
        <v>55168</v>
      </c>
      <c r="E3629" t="s">
        <v>301</v>
      </c>
      <c r="F3629">
        <v>12028</v>
      </c>
      <c r="G3629">
        <v>0.5500969478668557</v>
      </c>
      <c r="H3629">
        <v>0</v>
      </c>
      <c r="I3629">
        <v>0</v>
      </c>
      <c r="J3629">
        <v>0.48334954977879241</v>
      </c>
      <c r="K3629">
        <v>0</v>
      </c>
      <c r="L3629">
        <v>0</v>
      </c>
      <c r="M3629">
        <v>0.33597359256568449</v>
      </c>
      <c r="N3629">
        <v>0</v>
      </c>
      <c r="O3629">
        <v>0</v>
      </c>
      <c r="P3629">
        <v>0.30260665205243009</v>
      </c>
      <c r="Q3629">
        <v>0.78050550784072736</v>
      </c>
      <c r="R3629">
        <v>-9.0071631960553269</v>
      </c>
      <c r="S3629">
        <v>0.24341259558399889</v>
      </c>
      <c r="T3629">
        <v>0.191934516370871</v>
      </c>
      <c r="U3629">
        <v>4.2558177004489526</v>
      </c>
      <c r="V3629">
        <v>0.20544021673558341</v>
      </c>
      <c r="W3629">
        <v>-5.6854740404888604</v>
      </c>
      <c r="X3629">
        <v>0.29148902082788108</v>
      </c>
      <c r="Z3629" t="s">
        <v>392</v>
      </c>
      <c r="AA3629">
        <v>114</v>
      </c>
      <c r="AB3629" t="s">
        <v>4020</v>
      </c>
      <c r="AC3629" t="str">
        <f>HYPERLINK("plots/3FT6Y578R04_015_S21P_20251218081014_M5358ACSC201811_RBGEUFRF04/dpll_52084/txpa_55168.png","plot")</f>
        <v>plot</v>
      </c>
    </row>
    <row r="3630" spans="1:29" hidden="1" x14ac:dyDescent="0.35">
      <c r="A3630" t="s">
        <v>49</v>
      </c>
      <c r="B3630">
        <v>52084</v>
      </c>
      <c r="C3630" t="s">
        <v>52</v>
      </c>
      <c r="D3630">
        <v>55169</v>
      </c>
      <c r="E3630" t="s">
        <v>302</v>
      </c>
      <c r="F3630">
        <v>12028</v>
      </c>
      <c r="G3630">
        <v>0.54365783715603788</v>
      </c>
      <c r="H3630">
        <v>0</v>
      </c>
      <c r="I3630">
        <v>0</v>
      </c>
      <c r="J3630">
        <v>0.47265377614236842</v>
      </c>
      <c r="K3630">
        <v>0</v>
      </c>
      <c r="L3630">
        <v>0</v>
      </c>
      <c r="M3630">
        <v>0.32706717358460791</v>
      </c>
      <c r="N3630">
        <v>0</v>
      </c>
      <c r="O3630">
        <v>0</v>
      </c>
      <c r="P3630">
        <v>0.29556384390118101</v>
      </c>
      <c r="Q3630">
        <v>0.75844819279848996</v>
      </c>
      <c r="R3630">
        <v>-8.9094482892625528</v>
      </c>
      <c r="S3630">
        <v>0.24054065955093759</v>
      </c>
      <c r="T3630">
        <v>0.19002759154796009</v>
      </c>
      <c r="U3630">
        <v>4.2558177004489526</v>
      </c>
      <c r="V3630">
        <v>0.20544021673558341</v>
      </c>
      <c r="W3630">
        <v>-5.6816310454772196</v>
      </c>
      <c r="X3630">
        <v>0.28660629988584529</v>
      </c>
      <c r="Z3630" t="s">
        <v>392</v>
      </c>
      <c r="AA3630">
        <v>114</v>
      </c>
      <c r="AB3630" t="s">
        <v>4021</v>
      </c>
      <c r="AC3630" t="str">
        <f>HYPERLINK("plots/3FT6Y578R04_015_S21P_20251218081014_M5358ACSC201811_RBGEUFRF04/dpll_52084/txpa_55169.png","plot")</f>
        <v>plot</v>
      </c>
    </row>
    <row r="3631" spans="1:29" hidden="1" x14ac:dyDescent="0.35">
      <c r="A3631" t="s">
        <v>49</v>
      </c>
      <c r="B3631">
        <v>52084</v>
      </c>
      <c r="C3631" t="s">
        <v>52</v>
      </c>
      <c r="D3631">
        <v>55170</v>
      </c>
      <c r="E3631" t="s">
        <v>303</v>
      </c>
      <c r="F3631">
        <v>12028</v>
      </c>
      <c r="G3631">
        <v>0.52918601873531013</v>
      </c>
      <c r="H3631">
        <v>0</v>
      </c>
      <c r="I3631">
        <v>0</v>
      </c>
      <c r="J3631">
        <v>0.4614789248864048</v>
      </c>
      <c r="K3631">
        <v>0</v>
      </c>
      <c r="L3631">
        <v>0</v>
      </c>
      <c r="M3631">
        <v>0.31964682020804258</v>
      </c>
      <c r="N3631">
        <v>0</v>
      </c>
      <c r="O3631">
        <v>0</v>
      </c>
      <c r="P3631">
        <v>0.28003784242492802</v>
      </c>
      <c r="Q3631">
        <v>0.74836058061266097</v>
      </c>
      <c r="R3631">
        <v>-8.9188695696062119</v>
      </c>
      <c r="S3631">
        <v>0.24650446320850311</v>
      </c>
      <c r="T3631">
        <v>0.19363708156306961</v>
      </c>
      <c r="U3631">
        <v>4.2558177004489526</v>
      </c>
      <c r="V3631">
        <v>0.20544021673558341</v>
      </c>
      <c r="W3631">
        <v>-5.7339833643165941</v>
      </c>
      <c r="X3631">
        <v>0.29052800798641659</v>
      </c>
      <c r="Z3631" t="s">
        <v>392</v>
      </c>
      <c r="AA3631">
        <v>114</v>
      </c>
      <c r="AB3631" t="s">
        <v>4022</v>
      </c>
      <c r="AC3631" t="str">
        <f>HYPERLINK("plots/3FT6Y578R04_015_S21P_20251218081014_M5358ACSC201811_RBGEUFRF04/dpll_52084/txpa_55170.png","plot")</f>
        <v>plot</v>
      </c>
    </row>
    <row r="3632" spans="1:29" hidden="1" x14ac:dyDescent="0.35">
      <c r="A3632" t="s">
        <v>49</v>
      </c>
      <c r="B3632">
        <v>52084</v>
      </c>
      <c r="C3632" t="s">
        <v>52</v>
      </c>
      <c r="D3632">
        <v>55171</v>
      </c>
      <c r="E3632" t="s">
        <v>304</v>
      </c>
      <c r="F3632">
        <v>12028</v>
      </c>
      <c r="G3632">
        <v>0.51442107686738148</v>
      </c>
      <c r="H3632">
        <v>0</v>
      </c>
      <c r="I3632">
        <v>0</v>
      </c>
      <c r="J3632">
        <v>0.46215971734146821</v>
      </c>
      <c r="K3632">
        <v>0</v>
      </c>
      <c r="L3632">
        <v>0</v>
      </c>
      <c r="M3632">
        <v>0.31836586205143691</v>
      </c>
      <c r="N3632">
        <v>0</v>
      </c>
      <c r="O3632">
        <v>0</v>
      </c>
      <c r="P3632">
        <v>0.26462904432539641</v>
      </c>
      <c r="Q3632">
        <v>0.73059954481337086</v>
      </c>
      <c r="R3632">
        <v>-5.7824018500476786</v>
      </c>
      <c r="S3632">
        <v>0.25019653446875412</v>
      </c>
      <c r="T3632">
        <v>0.19405537128560479</v>
      </c>
      <c r="U3632">
        <v>4.2558177004489526</v>
      </c>
      <c r="V3632">
        <v>0.20544021673558341</v>
      </c>
      <c r="W3632">
        <v>-2.6731033752909878</v>
      </c>
      <c r="X3632">
        <v>0.29177367643525248</v>
      </c>
      <c r="Z3632" t="s">
        <v>392</v>
      </c>
      <c r="AA3632">
        <v>114</v>
      </c>
      <c r="AB3632" t="s">
        <v>4023</v>
      </c>
      <c r="AC3632" t="str">
        <f>HYPERLINK("plots/3FT6Y578R04_015_S21P_20251218081014_M5358ACSC201811_RBGEUFRF04/dpll_52084/txpa_55171.png","plot")</f>
        <v>plot</v>
      </c>
    </row>
    <row r="3633" spans="1:29" hidden="1" x14ac:dyDescent="0.35">
      <c r="A3633" t="s">
        <v>49</v>
      </c>
      <c r="B3633">
        <v>52084</v>
      </c>
      <c r="C3633" t="s">
        <v>52</v>
      </c>
      <c r="D3633">
        <v>55172</v>
      </c>
      <c r="E3633" t="s">
        <v>305</v>
      </c>
      <c r="F3633">
        <v>12028</v>
      </c>
      <c r="G3633">
        <v>0.5441284066685933</v>
      </c>
      <c r="H3633">
        <v>0</v>
      </c>
      <c r="I3633">
        <v>0</v>
      </c>
      <c r="J3633">
        <v>0.48494743224084591</v>
      </c>
      <c r="K3633">
        <v>0</v>
      </c>
      <c r="L3633">
        <v>0</v>
      </c>
      <c r="M3633">
        <v>0.33708581169492879</v>
      </c>
      <c r="N3633">
        <v>0</v>
      </c>
      <c r="O3633">
        <v>0</v>
      </c>
      <c r="P3633">
        <v>0.29607572294370199</v>
      </c>
      <c r="Q3633">
        <v>0.77268951643863248</v>
      </c>
      <c r="R3633">
        <v>-5.9251000179014621</v>
      </c>
      <c r="S3633">
        <v>0.24475636960464081</v>
      </c>
      <c r="T3633">
        <v>0.19161531338824589</v>
      </c>
      <c r="U3633">
        <v>4.2558177004489526</v>
      </c>
      <c r="V3633">
        <v>0.20544021673558341</v>
      </c>
      <c r="W3633">
        <v>-2.6366742968905879</v>
      </c>
      <c r="X3633">
        <v>0.29173536941097239</v>
      </c>
      <c r="Z3633" t="s">
        <v>392</v>
      </c>
      <c r="AA3633">
        <v>114</v>
      </c>
      <c r="AB3633" t="s">
        <v>4024</v>
      </c>
      <c r="AC3633" t="str">
        <f>HYPERLINK("plots/3FT6Y578R04_015_S21P_20251218081014_M5358ACSC201811_RBGEUFRF04/dpll_52084/txpa_55172.png","plot")</f>
        <v>plot</v>
      </c>
    </row>
    <row r="3634" spans="1:29" hidden="1" x14ac:dyDescent="0.35">
      <c r="A3634" t="s">
        <v>49</v>
      </c>
      <c r="B3634">
        <v>52084</v>
      </c>
      <c r="C3634" t="s">
        <v>52</v>
      </c>
      <c r="D3634">
        <v>55173</v>
      </c>
      <c r="E3634" t="s">
        <v>306</v>
      </c>
      <c r="F3634">
        <v>12028</v>
      </c>
      <c r="G3634">
        <v>0.52921841076121645</v>
      </c>
      <c r="H3634">
        <v>0</v>
      </c>
      <c r="I3634">
        <v>0</v>
      </c>
      <c r="J3634">
        <v>0.46869545733197421</v>
      </c>
      <c r="K3634">
        <v>0</v>
      </c>
      <c r="L3634">
        <v>0</v>
      </c>
      <c r="M3634">
        <v>0.3245362712919625</v>
      </c>
      <c r="N3634">
        <v>0</v>
      </c>
      <c r="O3634">
        <v>0</v>
      </c>
      <c r="P3634">
        <v>0.2800721262886276</v>
      </c>
      <c r="Q3634">
        <v>0.7380877996155879</v>
      </c>
      <c r="R3634">
        <v>-5.7586760092693527</v>
      </c>
      <c r="S3634">
        <v>0.24310001575923809</v>
      </c>
      <c r="T3634">
        <v>0.190629586135484</v>
      </c>
      <c r="U3634">
        <v>4.2558177004489526</v>
      </c>
      <c r="V3634">
        <v>0.20544021673558341</v>
      </c>
      <c r="W3634">
        <v>-2.617508887179913</v>
      </c>
      <c r="X3634">
        <v>0.28652237798154218</v>
      </c>
      <c r="Z3634" t="s">
        <v>392</v>
      </c>
      <c r="AA3634">
        <v>114</v>
      </c>
      <c r="AB3634" t="s">
        <v>4025</v>
      </c>
      <c r="AC3634" t="str">
        <f>HYPERLINK("plots/3FT6Y578R04_015_S21P_20251218081014_M5358ACSC201811_RBGEUFRF04/dpll_52084/txpa_55173.png","plot")</f>
        <v>plot</v>
      </c>
    </row>
    <row r="3635" spans="1:29" hidden="1" x14ac:dyDescent="0.35">
      <c r="A3635" t="s">
        <v>49</v>
      </c>
      <c r="B3635">
        <v>52084</v>
      </c>
      <c r="C3635" t="s">
        <v>52</v>
      </c>
      <c r="D3635">
        <v>55174</v>
      </c>
      <c r="E3635" t="s">
        <v>307</v>
      </c>
      <c r="F3635">
        <v>12028</v>
      </c>
      <c r="G3635">
        <v>0.5529027820394008</v>
      </c>
      <c r="H3635">
        <v>0</v>
      </c>
      <c r="I3635">
        <v>0</v>
      </c>
      <c r="J3635">
        <v>0.48743035412136432</v>
      </c>
      <c r="K3635">
        <v>0</v>
      </c>
      <c r="L3635">
        <v>0</v>
      </c>
      <c r="M3635">
        <v>0.33927647065073158</v>
      </c>
      <c r="N3635">
        <v>0</v>
      </c>
      <c r="O3635">
        <v>0</v>
      </c>
      <c r="P3635">
        <v>0.30570148638690908</v>
      </c>
      <c r="Q3635">
        <v>0.78286538820198626</v>
      </c>
      <c r="R3635">
        <v>-5.9408389926570706</v>
      </c>
      <c r="S3635">
        <v>0.24236999031569079</v>
      </c>
      <c r="T3635">
        <v>0.19011649459158539</v>
      </c>
      <c r="U3635">
        <v>4.2558177004489526</v>
      </c>
      <c r="V3635">
        <v>0.20544021673558341</v>
      </c>
      <c r="W3635">
        <v>-2.609106616478218</v>
      </c>
      <c r="X3635">
        <v>0.29088664454493829</v>
      </c>
      <c r="Z3635" t="s">
        <v>392</v>
      </c>
      <c r="AA3635">
        <v>114</v>
      </c>
      <c r="AB3635" t="s">
        <v>4026</v>
      </c>
      <c r="AC3635" t="str">
        <f>HYPERLINK("plots/3FT6Y578R04_015_S21P_20251218081014_M5358ACSC201811_RBGEUFRF04/dpll_52084/txpa_55174.png","plot")</f>
        <v>plot</v>
      </c>
    </row>
    <row r="3636" spans="1:29" hidden="1" x14ac:dyDescent="0.35">
      <c r="A3636" t="s">
        <v>49</v>
      </c>
      <c r="B3636">
        <v>52084</v>
      </c>
      <c r="C3636" t="s">
        <v>52</v>
      </c>
      <c r="D3636">
        <v>55175</v>
      </c>
      <c r="E3636" t="s">
        <v>308</v>
      </c>
      <c r="F3636">
        <v>12027</v>
      </c>
      <c r="G3636">
        <v>0.54698216959813351</v>
      </c>
      <c r="H3636">
        <v>0</v>
      </c>
      <c r="I3636">
        <v>0</v>
      </c>
      <c r="J3636">
        <v>0.47622659173729343</v>
      </c>
      <c r="K3636">
        <v>0</v>
      </c>
      <c r="L3636">
        <v>0</v>
      </c>
      <c r="M3636">
        <v>0.32948074166383912</v>
      </c>
      <c r="N3636">
        <v>0</v>
      </c>
      <c r="O3636">
        <v>0</v>
      </c>
      <c r="P3636">
        <v>0.29918949385828131</v>
      </c>
      <c r="Q3636">
        <v>0.77165119501677526</v>
      </c>
      <c r="R3636">
        <v>-5.9037097825960014</v>
      </c>
      <c r="S3636">
        <v>0.2426013826472892</v>
      </c>
      <c r="T3636">
        <v>0.1915065627156787</v>
      </c>
      <c r="U3636">
        <v>4.2557921641307059</v>
      </c>
      <c r="V3636">
        <v>0.20542966688110781</v>
      </c>
      <c r="W3636">
        <v>-2.6197226734015131</v>
      </c>
      <c r="X3636">
        <v>0.28980843755321889</v>
      </c>
      <c r="Z3636" t="s">
        <v>392</v>
      </c>
      <c r="AA3636">
        <v>114</v>
      </c>
      <c r="AB3636" t="s">
        <v>4027</v>
      </c>
      <c r="AC3636" t="str">
        <f>HYPERLINK("plots/3FT6Y578R04_015_S21P_20251218081014_M5358ACSC201811_RBGEUFRF04/dpll_52084/txpa_55175.png","plot")</f>
        <v>plot</v>
      </c>
    </row>
    <row r="3637" spans="1:29" hidden="1" x14ac:dyDescent="0.35">
      <c r="A3637" t="s">
        <v>49</v>
      </c>
      <c r="B3637">
        <v>52084</v>
      </c>
      <c r="C3637" t="s">
        <v>52</v>
      </c>
      <c r="D3637">
        <v>55176</v>
      </c>
      <c r="E3637" t="s">
        <v>309</v>
      </c>
      <c r="F3637">
        <v>12028</v>
      </c>
      <c r="G3637">
        <v>0.55770958762619838</v>
      </c>
      <c r="H3637">
        <v>0</v>
      </c>
      <c r="I3637">
        <v>0</v>
      </c>
      <c r="J3637">
        <v>0.49479347124108058</v>
      </c>
      <c r="K3637">
        <v>0</v>
      </c>
      <c r="L3637">
        <v>0</v>
      </c>
      <c r="M3637">
        <v>0.3444600535443243</v>
      </c>
      <c r="N3637">
        <v>0</v>
      </c>
      <c r="O3637">
        <v>0</v>
      </c>
      <c r="P3637">
        <v>0.31103998413018419</v>
      </c>
      <c r="Q3637">
        <v>0.78774287105213048</v>
      </c>
      <c r="R3637">
        <v>-5.9684617045914816</v>
      </c>
      <c r="S3637">
        <v>0.24084675007473649</v>
      </c>
      <c r="T3637">
        <v>0.18970359447751689</v>
      </c>
      <c r="U3637">
        <v>4.2558177004489526</v>
      </c>
      <c r="V3637">
        <v>0.20544021673558341</v>
      </c>
      <c r="W3637">
        <v>-2.615971650565347</v>
      </c>
      <c r="X3637">
        <v>0.29017623105545198</v>
      </c>
      <c r="Z3637" t="s">
        <v>392</v>
      </c>
      <c r="AA3637">
        <v>114</v>
      </c>
      <c r="AB3637" t="s">
        <v>4028</v>
      </c>
      <c r="AC3637" t="str">
        <f>HYPERLINK("plots/3FT6Y578R04_015_S21P_20251218081014_M5358ACSC201811_RBGEUFRF04/dpll_52084/txpa_55176.png","plot")</f>
        <v>plot</v>
      </c>
    </row>
    <row r="3638" spans="1:29" hidden="1" x14ac:dyDescent="0.35">
      <c r="A3638" t="s">
        <v>49</v>
      </c>
      <c r="B3638">
        <v>52084</v>
      </c>
      <c r="C3638" t="s">
        <v>52</v>
      </c>
      <c r="D3638">
        <v>55177</v>
      </c>
      <c r="E3638" t="s">
        <v>310</v>
      </c>
      <c r="F3638">
        <v>12028</v>
      </c>
      <c r="G3638">
        <v>0.55147780545990366</v>
      </c>
      <c r="H3638">
        <v>0</v>
      </c>
      <c r="I3638">
        <v>0</v>
      </c>
      <c r="J3638">
        <v>0.48423363850664403</v>
      </c>
      <c r="K3638">
        <v>0</v>
      </c>
      <c r="L3638">
        <v>0</v>
      </c>
      <c r="M3638">
        <v>0.33549513958584481</v>
      </c>
      <c r="N3638">
        <v>0</v>
      </c>
      <c r="O3638">
        <v>0</v>
      </c>
      <c r="P3638">
        <v>0.30412776991487128</v>
      </c>
      <c r="Q3638">
        <v>0.76616920347711892</v>
      </c>
      <c r="R3638">
        <v>-5.8712578806266276</v>
      </c>
      <c r="S3638">
        <v>0.2380832354440344</v>
      </c>
      <c r="T3638">
        <v>0.18836308380103589</v>
      </c>
      <c r="U3638">
        <v>4.2558177004489526</v>
      </c>
      <c r="V3638">
        <v>0.20544021673558341</v>
      </c>
      <c r="W3638">
        <v>-2.610581422929831</v>
      </c>
      <c r="X3638">
        <v>0.28541849855082341</v>
      </c>
      <c r="Z3638" t="s">
        <v>392</v>
      </c>
      <c r="AA3638">
        <v>114</v>
      </c>
      <c r="AB3638" t="s">
        <v>4029</v>
      </c>
      <c r="AC3638" t="str">
        <f>HYPERLINK("plots/3FT6Y578R04_015_S21P_20251218081014_M5358ACSC201811_RBGEUFRF04/dpll_52084/txpa_55177.png","plot")</f>
        <v>plot</v>
      </c>
    </row>
    <row r="3639" spans="1:29" hidden="1" x14ac:dyDescent="0.35">
      <c r="A3639" t="s">
        <v>49</v>
      </c>
      <c r="B3639">
        <v>52084</v>
      </c>
      <c r="C3639" t="s">
        <v>52</v>
      </c>
      <c r="D3639">
        <v>55178</v>
      </c>
      <c r="E3639" t="s">
        <v>311</v>
      </c>
      <c r="F3639">
        <v>12027</v>
      </c>
      <c r="G3639">
        <v>0.53700940600656533</v>
      </c>
      <c r="H3639">
        <v>0</v>
      </c>
      <c r="I3639">
        <v>0</v>
      </c>
      <c r="J3639">
        <v>0.47279239904360182</v>
      </c>
      <c r="K3639">
        <v>0</v>
      </c>
      <c r="L3639">
        <v>0</v>
      </c>
      <c r="M3639">
        <v>0.32805328786683308</v>
      </c>
      <c r="N3639">
        <v>0</v>
      </c>
      <c r="O3639">
        <v>0</v>
      </c>
      <c r="P3639">
        <v>0.28837910213952411</v>
      </c>
      <c r="Q3639">
        <v>0.75705741083841738</v>
      </c>
      <c r="R3639">
        <v>-5.8785587635084688</v>
      </c>
      <c r="S3639">
        <v>0.24430111871796731</v>
      </c>
      <c r="T3639">
        <v>0.19194156243922139</v>
      </c>
      <c r="U3639">
        <v>4.2558401814251274</v>
      </c>
      <c r="V3639">
        <v>0.20543396214013371</v>
      </c>
      <c r="W3639">
        <v>-2.6566434148166622</v>
      </c>
      <c r="X3639">
        <v>0.28961374183860328</v>
      </c>
      <c r="Z3639" t="s">
        <v>392</v>
      </c>
      <c r="AA3639">
        <v>114</v>
      </c>
      <c r="AB3639" t="s">
        <v>4030</v>
      </c>
      <c r="AC3639" t="str">
        <f>HYPERLINK("plots/3FT6Y578R04_015_S21P_20251218081014_M5358ACSC201811_RBGEUFRF04/dpll_52084/txpa_55178.png","plot")</f>
        <v>plot</v>
      </c>
    </row>
    <row r="3640" spans="1:29" hidden="1" x14ac:dyDescent="0.35">
      <c r="A3640" t="s">
        <v>49</v>
      </c>
      <c r="B3640">
        <v>52084</v>
      </c>
      <c r="C3640" t="s">
        <v>52</v>
      </c>
      <c r="D3640">
        <v>55179</v>
      </c>
      <c r="E3640" t="s">
        <v>312</v>
      </c>
      <c r="F3640">
        <v>12028</v>
      </c>
      <c r="G3640">
        <v>0.55922045699046985</v>
      </c>
      <c r="H3640">
        <v>0</v>
      </c>
      <c r="I3640">
        <v>0</v>
      </c>
      <c r="J3640">
        <v>0.51245278267566152</v>
      </c>
      <c r="K3640">
        <v>0</v>
      </c>
      <c r="L3640">
        <v>0</v>
      </c>
      <c r="M3640">
        <v>0.35603261198113612</v>
      </c>
      <c r="N3640">
        <v>0</v>
      </c>
      <c r="O3640">
        <v>0</v>
      </c>
      <c r="P3640">
        <v>0.31272751951662991</v>
      </c>
      <c r="Q3640">
        <v>0.79764290109393876</v>
      </c>
      <c r="R3640">
        <v>-2.4409458832594462</v>
      </c>
      <c r="S3640">
        <v>0.24291668277743561</v>
      </c>
      <c r="T3640">
        <v>0.1878741963310179</v>
      </c>
      <c r="U3640">
        <v>4.2558177004489526</v>
      </c>
      <c r="V3640">
        <v>0.20544021673558341</v>
      </c>
      <c r="W3640">
        <v>0.95367689385359156</v>
      </c>
      <c r="X3640">
        <v>0.29302921313039698</v>
      </c>
      <c r="Z3640" t="s">
        <v>392</v>
      </c>
      <c r="AA3640">
        <v>114</v>
      </c>
      <c r="AB3640" t="s">
        <v>4031</v>
      </c>
      <c r="AC3640" t="str">
        <f>HYPERLINK("plots/3FT6Y578R04_015_S21P_20251218081014_M5358ACSC201811_RBGEUFRF04/dpll_52084/txpa_55179.png","plot")</f>
        <v>plot</v>
      </c>
    </row>
    <row r="3641" spans="1:29" hidden="1" x14ac:dyDescent="0.35">
      <c r="A3641" t="s">
        <v>49</v>
      </c>
      <c r="B3641">
        <v>52084</v>
      </c>
      <c r="C3641" t="s">
        <v>52</v>
      </c>
      <c r="D3641">
        <v>55180</v>
      </c>
      <c r="E3641" t="s">
        <v>313</v>
      </c>
      <c r="F3641">
        <v>12028</v>
      </c>
      <c r="G3641">
        <v>0.58712633451792473</v>
      </c>
      <c r="H3641">
        <v>0</v>
      </c>
      <c r="I3641">
        <v>0</v>
      </c>
      <c r="J3641">
        <v>0.53246268298746602</v>
      </c>
      <c r="K3641">
        <v>0</v>
      </c>
      <c r="L3641">
        <v>0</v>
      </c>
      <c r="M3641">
        <v>0.37303803318602019</v>
      </c>
      <c r="N3641">
        <v>0</v>
      </c>
      <c r="O3641">
        <v>0</v>
      </c>
      <c r="P3641">
        <v>0.34471733268445398</v>
      </c>
      <c r="Q3641">
        <v>0.83669974368907374</v>
      </c>
      <c r="R3641">
        <v>-2.5754916435939501</v>
      </c>
      <c r="S3641">
        <v>0.23698443694788721</v>
      </c>
      <c r="T3641">
        <v>0.18553426981378751</v>
      </c>
      <c r="U3641">
        <v>4.2558177004489526</v>
      </c>
      <c r="V3641">
        <v>0.20544021673558341</v>
      </c>
      <c r="W3641">
        <v>0.9853499355591121</v>
      </c>
      <c r="X3641">
        <v>0.29276795568576691</v>
      </c>
      <c r="Z3641" t="s">
        <v>392</v>
      </c>
      <c r="AA3641">
        <v>114</v>
      </c>
      <c r="AB3641" t="s">
        <v>4032</v>
      </c>
      <c r="AC3641" t="str">
        <f>HYPERLINK("plots/3FT6Y578R04_015_S21P_20251218081014_M5358ACSC201811_RBGEUFRF04/dpll_52084/txpa_55180.png","plot")</f>
        <v>plot</v>
      </c>
    </row>
    <row r="3642" spans="1:29" hidden="1" x14ac:dyDescent="0.35">
      <c r="A3642" t="s">
        <v>49</v>
      </c>
      <c r="B3642">
        <v>52084</v>
      </c>
      <c r="C3642" t="s">
        <v>52</v>
      </c>
      <c r="D3642">
        <v>55181</v>
      </c>
      <c r="E3642" t="s">
        <v>314</v>
      </c>
      <c r="F3642">
        <v>12028</v>
      </c>
      <c r="G3642">
        <v>0.57160305828898306</v>
      </c>
      <c r="H3642">
        <v>0</v>
      </c>
      <c r="I3642">
        <v>0</v>
      </c>
      <c r="J3642">
        <v>0.51606361344339624</v>
      </c>
      <c r="K3642">
        <v>0</v>
      </c>
      <c r="L3642">
        <v>0</v>
      </c>
      <c r="M3642">
        <v>0.35994898092462008</v>
      </c>
      <c r="N3642">
        <v>0</v>
      </c>
      <c r="O3642">
        <v>0</v>
      </c>
      <c r="P3642">
        <v>0.32673005624531859</v>
      </c>
      <c r="Q3642">
        <v>0.80249642507821195</v>
      </c>
      <c r="R3642">
        <v>-2.4123746810430982</v>
      </c>
      <c r="S3642">
        <v>0.23665222197423599</v>
      </c>
      <c r="T3642">
        <v>0.18510065127737979</v>
      </c>
      <c r="U3642">
        <v>4.2558177004489526</v>
      </c>
      <c r="V3642">
        <v>0.20544021673558341</v>
      </c>
      <c r="W3642">
        <v>1.002903809351763</v>
      </c>
      <c r="X3642">
        <v>0.28842574774022411</v>
      </c>
      <c r="Z3642" t="s">
        <v>392</v>
      </c>
      <c r="AA3642">
        <v>114</v>
      </c>
      <c r="AB3642" t="s">
        <v>4033</v>
      </c>
      <c r="AC3642" t="str">
        <f>HYPERLINK("plots/3FT6Y578R04_015_S21P_20251218081014_M5358ACSC201811_RBGEUFRF04/dpll_52084/txpa_55181.png","plot")</f>
        <v>plot</v>
      </c>
    </row>
    <row r="3643" spans="1:29" hidden="1" x14ac:dyDescent="0.35">
      <c r="A3643" t="s">
        <v>49</v>
      </c>
      <c r="B3643">
        <v>52084</v>
      </c>
      <c r="C3643" t="s">
        <v>52</v>
      </c>
      <c r="D3643">
        <v>55182</v>
      </c>
      <c r="E3643" t="s">
        <v>315</v>
      </c>
      <c r="F3643">
        <v>12028</v>
      </c>
      <c r="G3643">
        <v>0.59264294650820437</v>
      </c>
      <c r="H3643">
        <v>0</v>
      </c>
      <c r="I3643">
        <v>0</v>
      </c>
      <c r="J3643">
        <v>0.53209012378847198</v>
      </c>
      <c r="K3643">
        <v>0</v>
      </c>
      <c r="L3643">
        <v>0</v>
      </c>
      <c r="M3643">
        <v>0.3731196677472568</v>
      </c>
      <c r="N3643">
        <v>0</v>
      </c>
      <c r="O3643">
        <v>0</v>
      </c>
      <c r="P3643">
        <v>0.35122566204592642</v>
      </c>
      <c r="Q3643">
        <v>0.84209662748856928</v>
      </c>
      <c r="R3643">
        <v>-2.5768468631594419</v>
      </c>
      <c r="S3643">
        <v>0.23511646858330831</v>
      </c>
      <c r="T3643">
        <v>0.1841431756117487</v>
      </c>
      <c r="U3643">
        <v>4.2558177004489526</v>
      </c>
      <c r="V3643">
        <v>0.20544021673558341</v>
      </c>
      <c r="W3643">
        <v>1.006962869594779</v>
      </c>
      <c r="X3643">
        <v>0.29191356226014031</v>
      </c>
      <c r="Z3643" t="s">
        <v>392</v>
      </c>
      <c r="AA3643">
        <v>114</v>
      </c>
      <c r="AB3643" t="s">
        <v>4034</v>
      </c>
      <c r="AC3643" t="str">
        <f>HYPERLINK("plots/3FT6Y578R04_015_S21P_20251218081014_M5358ACSC201811_RBGEUFRF04/dpll_52084/txpa_55182.png","plot")</f>
        <v>plot</v>
      </c>
    </row>
    <row r="3644" spans="1:29" hidden="1" x14ac:dyDescent="0.35">
      <c r="A3644" t="s">
        <v>49</v>
      </c>
      <c r="B3644">
        <v>52084</v>
      </c>
      <c r="C3644" t="s">
        <v>52</v>
      </c>
      <c r="D3644">
        <v>55183</v>
      </c>
      <c r="E3644" t="s">
        <v>316</v>
      </c>
      <c r="F3644">
        <v>12027</v>
      </c>
      <c r="G3644">
        <v>0.58920994720449305</v>
      </c>
      <c r="H3644">
        <v>0</v>
      </c>
      <c r="I3644">
        <v>0</v>
      </c>
      <c r="J3644">
        <v>0.52321750643361942</v>
      </c>
      <c r="K3644">
        <v>0</v>
      </c>
      <c r="L3644">
        <v>0</v>
      </c>
      <c r="M3644">
        <v>0.36474549108803211</v>
      </c>
      <c r="N3644">
        <v>0</v>
      </c>
      <c r="O3644">
        <v>0</v>
      </c>
      <c r="P3644">
        <v>0.3471683618847215</v>
      </c>
      <c r="Q3644">
        <v>0.83233022554931069</v>
      </c>
      <c r="R3644">
        <v>-2.546072462683219</v>
      </c>
      <c r="S3644">
        <v>0.2344613702782343</v>
      </c>
      <c r="T3644">
        <v>0.18487245588683629</v>
      </c>
      <c r="U3644">
        <v>4.2557921641307059</v>
      </c>
      <c r="V3644">
        <v>0.20542966688110781</v>
      </c>
      <c r="W3644">
        <v>0.9961519891786812</v>
      </c>
      <c r="X3644">
        <v>0.290194219871732</v>
      </c>
      <c r="Z3644" t="s">
        <v>392</v>
      </c>
      <c r="AA3644">
        <v>114</v>
      </c>
      <c r="AB3644" t="s">
        <v>4035</v>
      </c>
      <c r="AC3644" t="str">
        <f>HYPERLINK("plots/3FT6Y578R04_015_S21P_20251218081014_M5358ACSC201811_RBGEUFRF04/dpll_52084/txpa_55183.png","plot")</f>
        <v>plot</v>
      </c>
    </row>
    <row r="3645" spans="1:29" hidden="1" x14ac:dyDescent="0.35">
      <c r="A3645" t="s">
        <v>49</v>
      </c>
      <c r="B3645">
        <v>52084</v>
      </c>
      <c r="C3645" t="s">
        <v>52</v>
      </c>
      <c r="D3645">
        <v>55184</v>
      </c>
      <c r="E3645" t="s">
        <v>317</v>
      </c>
      <c r="F3645">
        <v>12028</v>
      </c>
      <c r="G3645">
        <v>0.59880330963903261</v>
      </c>
      <c r="H3645">
        <v>0</v>
      </c>
      <c r="I3645">
        <v>0</v>
      </c>
      <c r="J3645">
        <v>0.54035626180041296</v>
      </c>
      <c r="K3645">
        <v>0</v>
      </c>
      <c r="L3645">
        <v>0</v>
      </c>
      <c r="M3645">
        <v>0.37904316634029211</v>
      </c>
      <c r="N3645">
        <v>0</v>
      </c>
      <c r="O3645">
        <v>0</v>
      </c>
      <c r="P3645">
        <v>0.35856540363465922</v>
      </c>
      <c r="Q3645">
        <v>0.8506143809632698</v>
      </c>
      <c r="R3645">
        <v>-2.6168375156264738</v>
      </c>
      <c r="S3645">
        <v>0.23371798279416281</v>
      </c>
      <c r="T3645">
        <v>0.18391633101646271</v>
      </c>
      <c r="U3645">
        <v>4.2558177004489526</v>
      </c>
      <c r="V3645">
        <v>0.20544021673558341</v>
      </c>
      <c r="W3645">
        <v>1.003222223133438</v>
      </c>
      <c r="X3645">
        <v>0.29183272699150659</v>
      </c>
      <c r="Z3645" t="s">
        <v>392</v>
      </c>
      <c r="AA3645">
        <v>114</v>
      </c>
      <c r="AB3645" t="s">
        <v>4036</v>
      </c>
      <c r="AC3645" t="str">
        <f>HYPERLINK("plots/3FT6Y578R04_015_S21P_20251218081014_M5358ACSC201811_RBGEUFRF04/dpll_52084/txpa_55184.png","plot")</f>
        <v>plot</v>
      </c>
    </row>
    <row r="3646" spans="1:29" hidden="1" x14ac:dyDescent="0.35">
      <c r="A3646" t="s">
        <v>49</v>
      </c>
      <c r="B3646">
        <v>52084</v>
      </c>
      <c r="C3646" t="s">
        <v>52</v>
      </c>
      <c r="D3646">
        <v>55185</v>
      </c>
      <c r="E3646" t="s">
        <v>318</v>
      </c>
      <c r="F3646">
        <v>12028</v>
      </c>
      <c r="G3646">
        <v>0.59267653270243925</v>
      </c>
      <c r="H3646">
        <v>0</v>
      </c>
      <c r="I3646">
        <v>0</v>
      </c>
      <c r="J3646">
        <v>0.5305405692227263</v>
      </c>
      <c r="K3646">
        <v>0</v>
      </c>
      <c r="L3646">
        <v>0</v>
      </c>
      <c r="M3646">
        <v>0.37064421898546979</v>
      </c>
      <c r="N3646">
        <v>0</v>
      </c>
      <c r="O3646">
        <v>0</v>
      </c>
      <c r="P3646">
        <v>0.35126547241618561</v>
      </c>
      <c r="Q3646">
        <v>0.82780515739545479</v>
      </c>
      <c r="R3646">
        <v>-2.5130592027176051</v>
      </c>
      <c r="S3646">
        <v>0.23110604913021299</v>
      </c>
      <c r="T3646">
        <v>0.18269941502719389</v>
      </c>
      <c r="U3646">
        <v>4.2558177004489526</v>
      </c>
      <c r="V3646">
        <v>0.20544021673558341</v>
      </c>
      <c r="W3646">
        <v>1.009928638648903</v>
      </c>
      <c r="X3646">
        <v>0.28694314953674582</v>
      </c>
      <c r="Z3646" t="s">
        <v>392</v>
      </c>
      <c r="AA3646">
        <v>114</v>
      </c>
      <c r="AB3646" t="s">
        <v>4037</v>
      </c>
      <c r="AC3646" t="str">
        <f>HYPERLINK("plots/3FT6Y578R04_015_S21P_20251218081014_M5358ACSC201811_RBGEUFRF04/dpll_52084/txpa_55185.png","plot")</f>
        <v>plot</v>
      </c>
    </row>
    <row r="3647" spans="1:29" hidden="1" x14ac:dyDescent="0.35">
      <c r="A3647" t="s">
        <v>49</v>
      </c>
      <c r="B3647">
        <v>52084</v>
      </c>
      <c r="C3647" t="s">
        <v>52</v>
      </c>
      <c r="D3647">
        <v>55186</v>
      </c>
      <c r="E3647" t="s">
        <v>319</v>
      </c>
      <c r="F3647">
        <v>12027</v>
      </c>
      <c r="G3647">
        <v>0.58135507319402269</v>
      </c>
      <c r="H3647">
        <v>0</v>
      </c>
      <c r="I3647">
        <v>0</v>
      </c>
      <c r="J3647">
        <v>0.52110264606926304</v>
      </c>
      <c r="K3647">
        <v>0</v>
      </c>
      <c r="L3647">
        <v>0</v>
      </c>
      <c r="M3647">
        <v>0.36448990182537538</v>
      </c>
      <c r="N3647">
        <v>0</v>
      </c>
      <c r="O3647">
        <v>0</v>
      </c>
      <c r="P3647">
        <v>0.3379737211284275</v>
      </c>
      <c r="Q3647">
        <v>0.82387531201210884</v>
      </c>
      <c r="R3647">
        <v>-2.5371577399750449</v>
      </c>
      <c r="S3647">
        <v>0.23687096181118239</v>
      </c>
      <c r="T3647">
        <v>0.18585360884882651</v>
      </c>
      <c r="U3647">
        <v>4.2558401814251274</v>
      </c>
      <c r="V3647">
        <v>0.20543396214013371</v>
      </c>
      <c r="W3647">
        <v>0.96912391737025039</v>
      </c>
      <c r="X3647">
        <v>0.29113355582535688</v>
      </c>
      <c r="Z3647" t="s">
        <v>392</v>
      </c>
      <c r="AA3647">
        <v>114</v>
      </c>
      <c r="AB3647" t="s">
        <v>4038</v>
      </c>
      <c r="AC3647" t="str">
        <f>HYPERLINK("plots/3FT6Y578R04_015_S21P_20251218081014_M5358ACSC201811_RBGEUFRF04/dpll_52084/txpa_55186.png","plot")</f>
        <v>plot</v>
      </c>
    </row>
    <row r="3648" spans="1:29" hidden="1" x14ac:dyDescent="0.35">
      <c r="A3648" t="s">
        <v>49</v>
      </c>
      <c r="B3648">
        <v>52084</v>
      </c>
      <c r="C3648" t="s">
        <v>52</v>
      </c>
      <c r="D3648">
        <v>55187</v>
      </c>
      <c r="E3648" t="s">
        <v>320</v>
      </c>
      <c r="F3648">
        <v>12028</v>
      </c>
      <c r="G3648">
        <v>0.59731931044207875</v>
      </c>
      <c r="H3648">
        <v>0</v>
      </c>
      <c r="I3648">
        <v>0</v>
      </c>
      <c r="J3648">
        <v>0.55127134899876906</v>
      </c>
      <c r="K3648">
        <v>0</v>
      </c>
      <c r="L3648">
        <v>0</v>
      </c>
      <c r="M3648">
        <v>0.38597800736550247</v>
      </c>
      <c r="N3648">
        <v>0</v>
      </c>
      <c r="O3648">
        <v>0</v>
      </c>
      <c r="P3648">
        <v>0.35679035862700048</v>
      </c>
      <c r="Q3648">
        <v>0.8616724484706032</v>
      </c>
      <c r="R3648">
        <v>-0.67599184073111918</v>
      </c>
      <c r="S3648">
        <v>0.23767271918182489</v>
      </c>
      <c r="T3648">
        <v>0.18372897308525099</v>
      </c>
      <c r="U3648">
        <v>4.2558177004489526</v>
      </c>
      <c r="V3648">
        <v>0.20544021673558341</v>
      </c>
      <c r="W3648">
        <v>2.991129017459262</v>
      </c>
      <c r="X3648">
        <v>0.29636104420911291</v>
      </c>
      <c r="Z3648" t="s">
        <v>392</v>
      </c>
      <c r="AA3648">
        <v>114</v>
      </c>
      <c r="AB3648" t="s">
        <v>4039</v>
      </c>
      <c r="AC3648" t="str">
        <f>HYPERLINK("plots/3FT6Y578R04_015_S21P_20251218081014_M5358ACSC201811_RBGEUFRF04/dpll_52084/txpa_55187.png","plot")</f>
        <v>plot</v>
      </c>
    </row>
    <row r="3649" spans="1:29" hidden="1" x14ac:dyDescent="0.35">
      <c r="A3649" t="s">
        <v>49</v>
      </c>
      <c r="B3649">
        <v>52084</v>
      </c>
      <c r="C3649" t="s">
        <v>52</v>
      </c>
      <c r="D3649">
        <v>55188</v>
      </c>
      <c r="E3649" t="s">
        <v>321</v>
      </c>
      <c r="F3649">
        <v>12028</v>
      </c>
      <c r="G3649">
        <v>0.62370516759602945</v>
      </c>
      <c r="H3649">
        <v>0</v>
      </c>
      <c r="I3649">
        <v>0</v>
      </c>
      <c r="J3649">
        <v>0.56968854123909218</v>
      </c>
      <c r="K3649">
        <v>0</v>
      </c>
      <c r="L3649">
        <v>0</v>
      </c>
      <c r="M3649">
        <v>0.40233811888281579</v>
      </c>
      <c r="N3649">
        <v>0</v>
      </c>
      <c r="O3649">
        <v>0</v>
      </c>
      <c r="P3649">
        <v>0.38900813608599122</v>
      </c>
      <c r="Q3649">
        <v>0.90019514494507291</v>
      </c>
      <c r="R3649">
        <v>-0.8097454681304832</v>
      </c>
      <c r="S3649">
        <v>0.23176211628391821</v>
      </c>
      <c r="T3649">
        <v>0.18143365245966789</v>
      </c>
      <c r="U3649">
        <v>4.2558177004489526</v>
      </c>
      <c r="V3649">
        <v>0.20544021673558341</v>
      </c>
      <c r="W3649">
        <v>3.021320963584968</v>
      </c>
      <c r="X3649">
        <v>0.29651235117169672</v>
      </c>
      <c r="Z3649" t="s">
        <v>392</v>
      </c>
      <c r="AA3649">
        <v>114</v>
      </c>
      <c r="AB3649" t="s">
        <v>4040</v>
      </c>
      <c r="AC3649" t="str">
        <f>HYPERLINK("plots/3FT6Y578R04_015_S21P_20251218081014_M5358ACSC201811_RBGEUFRF04/dpll_52084/txpa_55188.png","plot")</f>
        <v>plot</v>
      </c>
    </row>
    <row r="3650" spans="1:29" hidden="1" x14ac:dyDescent="0.35">
      <c r="A3650" t="s">
        <v>49</v>
      </c>
      <c r="B3650">
        <v>52084</v>
      </c>
      <c r="C3650" t="s">
        <v>52</v>
      </c>
      <c r="D3650">
        <v>55189</v>
      </c>
      <c r="E3650" t="s">
        <v>322</v>
      </c>
      <c r="F3650">
        <v>12028</v>
      </c>
      <c r="G3650">
        <v>0.60914593392990346</v>
      </c>
      <c r="H3650">
        <v>0</v>
      </c>
      <c r="I3650">
        <v>0</v>
      </c>
      <c r="J3650">
        <v>0.55490855686566021</v>
      </c>
      <c r="K3650">
        <v>0</v>
      </c>
      <c r="L3650">
        <v>0</v>
      </c>
      <c r="M3650">
        <v>0.3899410861043211</v>
      </c>
      <c r="N3650">
        <v>0</v>
      </c>
      <c r="O3650">
        <v>0</v>
      </c>
      <c r="P3650">
        <v>0.37105876882333427</v>
      </c>
      <c r="Q3650">
        <v>0.86558472038528378</v>
      </c>
      <c r="R3650">
        <v>-0.64523431116771635</v>
      </c>
      <c r="S3650">
        <v>0.23150516002049989</v>
      </c>
      <c r="T3650">
        <v>0.18097633340189831</v>
      </c>
      <c r="U3650">
        <v>4.2558177004489526</v>
      </c>
      <c r="V3650">
        <v>0.20544021673558341</v>
      </c>
      <c r="W3650">
        <v>3.0385364630861318</v>
      </c>
      <c r="X3650">
        <v>0.29192661832562627</v>
      </c>
      <c r="Z3650" t="s">
        <v>392</v>
      </c>
      <c r="AA3650">
        <v>114</v>
      </c>
      <c r="AB3650" t="s">
        <v>4041</v>
      </c>
      <c r="AC3650" t="str">
        <f>HYPERLINK("plots/3FT6Y578R04_015_S21P_20251218081014_M5358ACSC201811_RBGEUFRF04/dpll_52084/txpa_55189.png","plot")</f>
        <v>plot</v>
      </c>
    </row>
    <row r="3651" spans="1:29" hidden="1" x14ac:dyDescent="0.35">
      <c r="A3651" t="s">
        <v>49</v>
      </c>
      <c r="B3651">
        <v>52084</v>
      </c>
      <c r="C3651" t="s">
        <v>52</v>
      </c>
      <c r="D3651">
        <v>55190</v>
      </c>
      <c r="E3651" t="s">
        <v>323</v>
      </c>
      <c r="F3651">
        <v>12028</v>
      </c>
      <c r="G3651">
        <v>0.62818833818423658</v>
      </c>
      <c r="H3651">
        <v>0</v>
      </c>
      <c r="I3651">
        <v>0</v>
      </c>
      <c r="J3651">
        <v>0.56962246423720864</v>
      </c>
      <c r="K3651">
        <v>0</v>
      </c>
      <c r="L3651">
        <v>0</v>
      </c>
      <c r="M3651">
        <v>0.40251934446685611</v>
      </c>
      <c r="N3651">
        <v>0</v>
      </c>
      <c r="O3651">
        <v>0</v>
      </c>
      <c r="P3651">
        <v>0.39462058823067281</v>
      </c>
      <c r="Q3651">
        <v>0.90244493611974863</v>
      </c>
      <c r="R3651">
        <v>-0.80022387142886098</v>
      </c>
      <c r="S3651">
        <v>0.22962124977225429</v>
      </c>
      <c r="T3651">
        <v>0.17983266878863641</v>
      </c>
      <c r="U3651">
        <v>4.2558177004489526</v>
      </c>
      <c r="V3651">
        <v>0.20544021673558341</v>
      </c>
      <c r="W3651">
        <v>3.0404172613900902</v>
      </c>
      <c r="X3651">
        <v>0.29513200420794328</v>
      </c>
      <c r="Z3651" t="s">
        <v>392</v>
      </c>
      <c r="AA3651">
        <v>114</v>
      </c>
      <c r="AB3651" t="s">
        <v>4042</v>
      </c>
      <c r="AC3651" t="str">
        <f>HYPERLINK("plots/3FT6Y578R04_015_S21P_20251218081014_M5358ACSC201811_RBGEUFRF04/dpll_52084/txpa_55190.png","plot")</f>
        <v>plot</v>
      </c>
    </row>
    <row r="3652" spans="1:29" hidden="1" x14ac:dyDescent="0.35">
      <c r="A3652" t="s">
        <v>49</v>
      </c>
      <c r="B3652">
        <v>52084</v>
      </c>
      <c r="C3652" t="s">
        <v>52</v>
      </c>
      <c r="D3652">
        <v>55191</v>
      </c>
      <c r="E3652" t="s">
        <v>324</v>
      </c>
      <c r="F3652">
        <v>12027</v>
      </c>
      <c r="G3652">
        <v>0.62581240218169454</v>
      </c>
      <c r="H3652">
        <v>0</v>
      </c>
      <c r="I3652">
        <v>0</v>
      </c>
      <c r="J3652">
        <v>0.56084794284324135</v>
      </c>
      <c r="K3652">
        <v>0</v>
      </c>
      <c r="L3652">
        <v>0</v>
      </c>
      <c r="M3652">
        <v>0.39392574344018721</v>
      </c>
      <c r="N3652">
        <v>0</v>
      </c>
      <c r="O3652">
        <v>0</v>
      </c>
      <c r="P3652">
        <v>0.39164116272442301</v>
      </c>
      <c r="Q3652">
        <v>0.89324585978760629</v>
      </c>
      <c r="R3652">
        <v>-0.77325993285483419</v>
      </c>
      <c r="S3652">
        <v>0.2286924689118853</v>
      </c>
      <c r="T3652">
        <v>0.18032050127706761</v>
      </c>
      <c r="U3652">
        <v>4.2557921641307059</v>
      </c>
      <c r="V3652">
        <v>0.20542966688110781</v>
      </c>
      <c r="W3652">
        <v>3.0282087978714558</v>
      </c>
      <c r="X3652">
        <v>0.29321758210509319</v>
      </c>
      <c r="Z3652" t="s">
        <v>392</v>
      </c>
      <c r="AA3652">
        <v>114</v>
      </c>
      <c r="AB3652" t="s">
        <v>4043</v>
      </c>
      <c r="AC3652" t="str">
        <f>HYPERLINK("plots/3FT6Y578R04_015_S21P_20251218081014_M5358ACSC201811_RBGEUFRF04/dpll_52084/txpa_55191.png","plot")</f>
        <v>plot</v>
      </c>
    </row>
    <row r="3653" spans="1:29" hidden="1" x14ac:dyDescent="0.35">
      <c r="A3653" t="s">
        <v>49</v>
      </c>
      <c r="B3653">
        <v>52084</v>
      </c>
      <c r="C3653" t="s">
        <v>52</v>
      </c>
      <c r="D3653">
        <v>55192</v>
      </c>
      <c r="E3653" t="s">
        <v>325</v>
      </c>
      <c r="F3653">
        <v>12028</v>
      </c>
      <c r="G3653">
        <v>0.63421788738234031</v>
      </c>
      <c r="H3653">
        <v>0</v>
      </c>
      <c r="I3653">
        <v>0</v>
      </c>
      <c r="J3653">
        <v>0.57737103084039643</v>
      </c>
      <c r="K3653">
        <v>0</v>
      </c>
      <c r="L3653">
        <v>0</v>
      </c>
      <c r="M3653">
        <v>0.40819575702203198</v>
      </c>
      <c r="N3653">
        <v>0</v>
      </c>
      <c r="O3653">
        <v>0</v>
      </c>
      <c r="P3653">
        <v>0.4022323286757189</v>
      </c>
      <c r="Q3653">
        <v>0.9128728840876762</v>
      </c>
      <c r="R3653">
        <v>-0.84724119234425421</v>
      </c>
      <c r="S3653">
        <v>0.22861537922887509</v>
      </c>
      <c r="T3653">
        <v>0.17992512743986869</v>
      </c>
      <c r="U3653">
        <v>4.2558177004489526</v>
      </c>
      <c r="V3653">
        <v>0.20544021673558341</v>
      </c>
      <c r="W3653">
        <v>3.0377793860159632</v>
      </c>
      <c r="X3653">
        <v>0.29570405832144231</v>
      </c>
      <c r="Z3653" t="s">
        <v>392</v>
      </c>
      <c r="AA3653">
        <v>114</v>
      </c>
      <c r="AB3653" t="s">
        <v>4044</v>
      </c>
      <c r="AC3653" t="str">
        <f>HYPERLINK("plots/3FT6Y578R04_015_S21P_20251218081014_M5358ACSC201811_RBGEUFRF04/dpll_52084/txpa_55192.png","plot")</f>
        <v>plot</v>
      </c>
    </row>
    <row r="3654" spans="1:29" hidden="1" x14ac:dyDescent="0.35">
      <c r="A3654" t="s">
        <v>49</v>
      </c>
      <c r="B3654">
        <v>52084</v>
      </c>
      <c r="C3654" t="s">
        <v>52</v>
      </c>
      <c r="D3654">
        <v>55193</v>
      </c>
      <c r="E3654" t="s">
        <v>326</v>
      </c>
      <c r="F3654">
        <v>12028</v>
      </c>
      <c r="G3654">
        <v>0.62934644121955952</v>
      </c>
      <c r="H3654">
        <v>0</v>
      </c>
      <c r="I3654">
        <v>0</v>
      </c>
      <c r="J3654">
        <v>0.56835023874388524</v>
      </c>
      <c r="K3654">
        <v>0</v>
      </c>
      <c r="L3654">
        <v>0</v>
      </c>
      <c r="M3654">
        <v>0.40025359026981239</v>
      </c>
      <c r="N3654">
        <v>0</v>
      </c>
      <c r="O3654">
        <v>0</v>
      </c>
      <c r="P3654">
        <v>0.3960769430757245</v>
      </c>
      <c r="Q3654">
        <v>0.89121863747187069</v>
      </c>
      <c r="R3654">
        <v>-0.74833273838863157</v>
      </c>
      <c r="S3654">
        <v>0.22607508093155609</v>
      </c>
      <c r="T3654">
        <v>0.17878674442931569</v>
      </c>
      <c r="U3654">
        <v>4.2558177004489526</v>
      </c>
      <c r="V3654">
        <v>0.20544021673558341</v>
      </c>
      <c r="W3654">
        <v>3.0445313139341539</v>
      </c>
      <c r="X3654">
        <v>0.29092426372700719</v>
      </c>
      <c r="Z3654" t="s">
        <v>392</v>
      </c>
      <c r="AA3654">
        <v>114</v>
      </c>
      <c r="AB3654" t="s">
        <v>4045</v>
      </c>
      <c r="AC3654" t="str">
        <f>HYPERLINK("plots/3FT6Y578R04_015_S21P_20251218081014_M5358ACSC201811_RBGEUFRF04/dpll_52084/txpa_55193.png","plot")</f>
        <v>plot</v>
      </c>
    </row>
    <row r="3655" spans="1:29" hidden="1" x14ac:dyDescent="0.35">
      <c r="A3655" t="s">
        <v>49</v>
      </c>
      <c r="B3655">
        <v>52084</v>
      </c>
      <c r="C3655" t="s">
        <v>52</v>
      </c>
      <c r="D3655">
        <v>55194</v>
      </c>
      <c r="E3655" t="s">
        <v>327</v>
      </c>
      <c r="F3655">
        <v>12027</v>
      </c>
      <c r="G3655">
        <v>0.61973002677346634</v>
      </c>
      <c r="H3655">
        <v>0</v>
      </c>
      <c r="I3655">
        <v>0</v>
      </c>
      <c r="J3655">
        <v>0.5600595260897463</v>
      </c>
      <c r="K3655">
        <v>0</v>
      </c>
      <c r="L3655">
        <v>0</v>
      </c>
      <c r="M3655">
        <v>0.39483604766665281</v>
      </c>
      <c r="N3655">
        <v>0</v>
      </c>
      <c r="O3655">
        <v>0</v>
      </c>
      <c r="P3655">
        <v>0.38406530608464129</v>
      </c>
      <c r="Q3655">
        <v>0.88870510997619778</v>
      </c>
      <c r="R3655">
        <v>-0.77651772016623211</v>
      </c>
      <c r="S3655">
        <v>0.23119405313977001</v>
      </c>
      <c r="T3655">
        <v>0.18127871084353259</v>
      </c>
      <c r="U3655">
        <v>4.2558401814251274</v>
      </c>
      <c r="V3655">
        <v>0.20543396214013371</v>
      </c>
      <c r="W3655">
        <v>3.0056691963083071</v>
      </c>
      <c r="X3655">
        <v>0.29459636297940689</v>
      </c>
      <c r="Z3655" t="s">
        <v>392</v>
      </c>
      <c r="AA3655">
        <v>114</v>
      </c>
      <c r="AB3655" t="s">
        <v>4046</v>
      </c>
      <c r="AC3655" t="str">
        <f>HYPERLINK("plots/3FT6Y578R04_015_S21P_20251218081014_M5358ACSC201811_RBGEUFRF04/dpll_52084/txpa_55194.png","plot")</f>
        <v>plot</v>
      </c>
    </row>
    <row r="3656" spans="1:29" hidden="1" x14ac:dyDescent="0.35">
      <c r="A3656" t="s">
        <v>49</v>
      </c>
      <c r="B3656">
        <v>52084</v>
      </c>
      <c r="C3656" t="s">
        <v>52</v>
      </c>
      <c r="D3656">
        <v>55195</v>
      </c>
      <c r="E3656" t="s">
        <v>328</v>
      </c>
      <c r="F3656">
        <v>12028</v>
      </c>
      <c r="G3656">
        <v>0.64416574687208972</v>
      </c>
      <c r="H3656">
        <v>0</v>
      </c>
      <c r="I3656">
        <v>0</v>
      </c>
      <c r="J3656">
        <v>0.59476129782340093</v>
      </c>
      <c r="K3656">
        <v>0</v>
      </c>
      <c r="L3656">
        <v>0</v>
      </c>
      <c r="M3656">
        <v>0.42096086145911421</v>
      </c>
      <c r="N3656">
        <v>0</v>
      </c>
      <c r="O3656">
        <v>0</v>
      </c>
      <c r="P3656">
        <v>0.41494950944327719</v>
      </c>
      <c r="Q3656">
        <v>0.95539103907675837</v>
      </c>
      <c r="R3656">
        <v>1.387240017451205</v>
      </c>
      <c r="S3656">
        <v>0.23304920194857309</v>
      </c>
      <c r="T3656">
        <v>0.1797863875587456</v>
      </c>
      <c r="U3656">
        <v>4.2558177004489526</v>
      </c>
      <c r="V3656">
        <v>0.20544021673558341</v>
      </c>
      <c r="W3656">
        <v>5.4532101124043901</v>
      </c>
      <c r="X3656">
        <v>0.30469757680881088</v>
      </c>
      <c r="Z3656" t="s">
        <v>392</v>
      </c>
      <c r="AA3656">
        <v>114</v>
      </c>
      <c r="AB3656" t="s">
        <v>4047</v>
      </c>
      <c r="AC3656" t="str">
        <f>HYPERLINK("plots/3FT6Y578R04_015_S21P_20251218081014_M5358ACSC201811_RBGEUFRF04/dpll_52084/txpa_55195.png","plot")</f>
        <v>plot</v>
      </c>
    </row>
    <row r="3657" spans="1:29" hidden="1" x14ac:dyDescent="0.35">
      <c r="A3657" t="s">
        <v>49</v>
      </c>
      <c r="B3657">
        <v>52084</v>
      </c>
      <c r="C3657" t="s">
        <v>52</v>
      </c>
      <c r="D3657">
        <v>55196</v>
      </c>
      <c r="E3657" t="s">
        <v>329</v>
      </c>
      <c r="F3657">
        <v>12028</v>
      </c>
      <c r="G3657">
        <v>0.6676149500678179</v>
      </c>
      <c r="H3657">
        <v>0</v>
      </c>
      <c r="I3657">
        <v>0</v>
      </c>
      <c r="J3657">
        <v>0.60981749352643766</v>
      </c>
      <c r="K3657">
        <v>0</v>
      </c>
      <c r="L3657">
        <v>0</v>
      </c>
      <c r="M3657">
        <v>0.43519569169506489</v>
      </c>
      <c r="N3657">
        <v>0</v>
      </c>
      <c r="O3657">
        <v>0</v>
      </c>
      <c r="P3657">
        <v>0.44570972155405503</v>
      </c>
      <c r="Q3657">
        <v>0.99072643489416956</v>
      </c>
      <c r="R3657">
        <v>1.2665797318884739</v>
      </c>
      <c r="S3657">
        <v>0.22696753392466951</v>
      </c>
      <c r="T3657">
        <v>0.1775414726294213</v>
      </c>
      <c r="U3657">
        <v>4.2558177004489526</v>
      </c>
      <c r="V3657">
        <v>0.20544021673558341</v>
      </c>
      <c r="W3657">
        <v>5.4829308298137676</v>
      </c>
      <c r="X3657">
        <v>0.30486892705092139</v>
      </c>
      <c r="Z3657" t="s">
        <v>392</v>
      </c>
      <c r="AA3657">
        <v>114</v>
      </c>
      <c r="AB3657" t="s">
        <v>4048</v>
      </c>
      <c r="AC3657" t="str">
        <f>HYPERLINK("plots/3FT6Y578R04_015_S21P_20251218081014_M5358ACSC201811_RBGEUFRF04/dpll_52084/txpa_55196.png","plot")</f>
        <v>plot</v>
      </c>
    </row>
    <row r="3658" spans="1:29" hidden="1" x14ac:dyDescent="0.35">
      <c r="A3658" t="s">
        <v>49</v>
      </c>
      <c r="B3658">
        <v>52084</v>
      </c>
      <c r="C3658" t="s">
        <v>52</v>
      </c>
      <c r="D3658">
        <v>55197</v>
      </c>
      <c r="E3658" t="s">
        <v>330</v>
      </c>
      <c r="F3658">
        <v>12028</v>
      </c>
      <c r="G3658">
        <v>0.65380286251016451</v>
      </c>
      <c r="H3658">
        <v>0</v>
      </c>
      <c r="I3658">
        <v>0</v>
      </c>
      <c r="J3658">
        <v>0.59649577236844842</v>
      </c>
      <c r="K3658">
        <v>0</v>
      </c>
      <c r="L3658">
        <v>0</v>
      </c>
      <c r="M3658">
        <v>0.4235602064496069</v>
      </c>
      <c r="N3658">
        <v>0</v>
      </c>
      <c r="O3658">
        <v>0</v>
      </c>
      <c r="P3658">
        <v>0.42745818302648508</v>
      </c>
      <c r="Q3658">
        <v>0.95565367903055121</v>
      </c>
      <c r="R3658">
        <v>1.432534376770479</v>
      </c>
      <c r="S3658">
        <v>0.22720858376583539</v>
      </c>
      <c r="T3658">
        <v>0.1770144530883071</v>
      </c>
      <c r="U3658">
        <v>4.2558177004489526</v>
      </c>
      <c r="V3658">
        <v>0.20544021673558341</v>
      </c>
      <c r="W3658">
        <v>5.4996222194878612</v>
      </c>
      <c r="X3658">
        <v>0.30028883353373498</v>
      </c>
      <c r="Z3658" t="s">
        <v>392</v>
      </c>
      <c r="AA3658">
        <v>114</v>
      </c>
      <c r="AB3658" t="s">
        <v>4049</v>
      </c>
      <c r="AC3658" t="str">
        <f>HYPERLINK("plots/3FT6Y578R04_015_S21P_20251218081014_M5358ACSC201811_RBGEUFRF04/dpll_52084/txpa_55197.png","plot")</f>
        <v>plot</v>
      </c>
    </row>
    <row r="3659" spans="1:29" hidden="1" x14ac:dyDescent="0.35">
      <c r="A3659" t="s">
        <v>49</v>
      </c>
      <c r="B3659">
        <v>52084</v>
      </c>
      <c r="C3659" t="s">
        <v>52</v>
      </c>
      <c r="D3659">
        <v>55198</v>
      </c>
      <c r="E3659" t="s">
        <v>331</v>
      </c>
      <c r="F3659">
        <v>12028</v>
      </c>
      <c r="G3659">
        <v>0.67144001071635495</v>
      </c>
      <c r="H3659">
        <v>0</v>
      </c>
      <c r="I3659">
        <v>0</v>
      </c>
      <c r="J3659">
        <v>0.61022009722318304</v>
      </c>
      <c r="K3659">
        <v>0</v>
      </c>
      <c r="L3659">
        <v>0</v>
      </c>
      <c r="M3659">
        <v>0.43564811763979921</v>
      </c>
      <c r="N3659">
        <v>0</v>
      </c>
      <c r="O3659">
        <v>0</v>
      </c>
      <c r="P3659">
        <v>0.45083168799077877</v>
      </c>
      <c r="Q3659">
        <v>0.99103363143794609</v>
      </c>
      <c r="R3659">
        <v>1.2816216963637039</v>
      </c>
      <c r="S3659">
        <v>0.22469909382695191</v>
      </c>
      <c r="T3659">
        <v>0.17566225556258441</v>
      </c>
      <c r="U3659">
        <v>4.2558177004489526</v>
      </c>
      <c r="V3659">
        <v>0.20544021673558341</v>
      </c>
      <c r="W3659">
        <v>5.4992801667775186</v>
      </c>
      <c r="X3659">
        <v>0.30322614200134801</v>
      </c>
      <c r="Z3659" t="s">
        <v>392</v>
      </c>
      <c r="AA3659">
        <v>114</v>
      </c>
      <c r="AB3659" t="s">
        <v>4050</v>
      </c>
      <c r="AC3659" t="str">
        <f>HYPERLINK("plots/3FT6Y578R04_015_S21P_20251218081014_M5358ACSC201811_RBGEUFRF04/dpll_52084/txpa_55198.png","plot")</f>
        <v>plot</v>
      </c>
    </row>
    <row r="3660" spans="1:29" hidden="1" x14ac:dyDescent="0.35">
      <c r="A3660" t="s">
        <v>49</v>
      </c>
      <c r="B3660">
        <v>52084</v>
      </c>
      <c r="C3660" t="s">
        <v>52</v>
      </c>
      <c r="D3660">
        <v>55199</v>
      </c>
      <c r="E3660" t="s">
        <v>332</v>
      </c>
      <c r="F3660">
        <v>12027</v>
      </c>
      <c r="G3660">
        <v>0.6707311886642835</v>
      </c>
      <c r="H3660">
        <v>0</v>
      </c>
      <c r="I3660">
        <v>0</v>
      </c>
      <c r="J3660">
        <v>0.603051760135909</v>
      </c>
      <c r="K3660">
        <v>0</v>
      </c>
      <c r="L3660">
        <v>0</v>
      </c>
      <c r="M3660">
        <v>0.42804870349098878</v>
      </c>
      <c r="N3660">
        <v>0</v>
      </c>
      <c r="O3660">
        <v>0</v>
      </c>
      <c r="P3660">
        <v>0.44988032744700268</v>
      </c>
      <c r="Q3660">
        <v>0.98343685238330592</v>
      </c>
      <c r="R3660">
        <v>1.3008130803657849</v>
      </c>
      <c r="S3660">
        <v>0.22339408585608361</v>
      </c>
      <c r="T3660">
        <v>0.1758339869920158</v>
      </c>
      <c r="U3660">
        <v>4.2557921641307059</v>
      </c>
      <c r="V3660">
        <v>0.20542966688110781</v>
      </c>
      <c r="W3660">
        <v>5.4861159306560241</v>
      </c>
      <c r="X3660">
        <v>0.30120428034072982</v>
      </c>
      <c r="Z3660" t="s">
        <v>392</v>
      </c>
      <c r="AA3660">
        <v>114</v>
      </c>
      <c r="AB3660" t="s">
        <v>4051</v>
      </c>
      <c r="AC3660" t="str">
        <f>HYPERLINK("plots/3FT6Y578R04_015_S21P_20251218081014_M5358ACSC201811_RBGEUFRF04/dpll_52084/txpa_55199.png","plot")</f>
        <v>plot</v>
      </c>
    </row>
    <row r="3661" spans="1:29" hidden="1" x14ac:dyDescent="0.35">
      <c r="A3661" t="s">
        <v>49</v>
      </c>
      <c r="B3661">
        <v>52084</v>
      </c>
      <c r="C3661" t="s">
        <v>52</v>
      </c>
      <c r="D3661">
        <v>55200</v>
      </c>
      <c r="E3661" t="s">
        <v>333</v>
      </c>
      <c r="F3661">
        <v>12028</v>
      </c>
      <c r="G3661">
        <v>0.6769245769672112</v>
      </c>
      <c r="H3661">
        <v>0</v>
      </c>
      <c r="I3661">
        <v>0</v>
      </c>
      <c r="J3661">
        <v>0.61766864247555309</v>
      </c>
      <c r="K3661">
        <v>0</v>
      </c>
      <c r="L3661">
        <v>0</v>
      </c>
      <c r="M3661">
        <v>0.44140038640039131</v>
      </c>
      <c r="N3661">
        <v>0</v>
      </c>
      <c r="O3661">
        <v>0</v>
      </c>
      <c r="P3661">
        <v>0.45822688290223779</v>
      </c>
      <c r="Q3661">
        <v>1.002431571935593</v>
      </c>
      <c r="R3661">
        <v>1.2315334874664381</v>
      </c>
      <c r="S3661">
        <v>0.22391881662399679</v>
      </c>
      <c r="T3661">
        <v>0.17576417482042009</v>
      </c>
      <c r="U3661">
        <v>4.2558177004489526</v>
      </c>
      <c r="V3661">
        <v>0.20544021673558341</v>
      </c>
      <c r="W3661">
        <v>5.4976995147988026</v>
      </c>
      <c r="X3661">
        <v>0.3042285158616943</v>
      </c>
      <c r="Z3661" t="s">
        <v>392</v>
      </c>
      <c r="AA3661">
        <v>114</v>
      </c>
      <c r="AB3661" t="s">
        <v>4052</v>
      </c>
      <c r="AC3661" t="str">
        <f>HYPERLINK("plots/3FT6Y578R04_015_S21P_20251218081014_M5358ACSC201811_RBGEUFRF04/dpll_52084/txpa_55200.png","plot")</f>
        <v>plot</v>
      </c>
    </row>
    <row r="3662" spans="1:29" hidden="1" x14ac:dyDescent="0.35">
      <c r="A3662" t="s">
        <v>49</v>
      </c>
      <c r="B3662">
        <v>52084</v>
      </c>
      <c r="C3662" t="s">
        <v>52</v>
      </c>
      <c r="D3662">
        <v>55201</v>
      </c>
      <c r="E3662" t="s">
        <v>334</v>
      </c>
      <c r="F3662">
        <v>12028</v>
      </c>
      <c r="G3662">
        <v>0.6736546536568262</v>
      </c>
      <c r="H3662">
        <v>0</v>
      </c>
      <c r="I3662">
        <v>0</v>
      </c>
      <c r="J3662">
        <v>0.60980577434821004</v>
      </c>
      <c r="K3662">
        <v>0</v>
      </c>
      <c r="L3662">
        <v>0</v>
      </c>
      <c r="M3662">
        <v>0.43410712142088742</v>
      </c>
      <c r="N3662">
        <v>0</v>
      </c>
      <c r="O3662">
        <v>0</v>
      </c>
      <c r="P3662">
        <v>0.45381059239349852</v>
      </c>
      <c r="Q3662">
        <v>0.98174274236998293</v>
      </c>
      <c r="R3662">
        <v>1.326783093023524</v>
      </c>
      <c r="S3662">
        <v>0.22125822916516541</v>
      </c>
      <c r="T3662">
        <v>0.17464362218972659</v>
      </c>
      <c r="U3662">
        <v>4.2558177004489526</v>
      </c>
      <c r="V3662">
        <v>0.20544021673558341</v>
      </c>
      <c r="W3662">
        <v>5.5049012332889928</v>
      </c>
      <c r="X3662">
        <v>0.29939590066844579</v>
      </c>
      <c r="Z3662" t="s">
        <v>392</v>
      </c>
      <c r="AA3662">
        <v>114</v>
      </c>
      <c r="AB3662" t="s">
        <v>4053</v>
      </c>
      <c r="AC3662" t="str">
        <f>HYPERLINK("plots/3FT6Y578R04_015_S21P_20251218081014_M5358ACSC201811_RBGEUFRF04/dpll_52084/txpa_55201.png","plot")</f>
        <v>plot</v>
      </c>
    </row>
    <row r="3663" spans="1:29" hidden="1" x14ac:dyDescent="0.35">
      <c r="A3663" t="s">
        <v>49</v>
      </c>
      <c r="B3663">
        <v>52084</v>
      </c>
      <c r="C3663" t="s">
        <v>52</v>
      </c>
      <c r="D3663">
        <v>55202</v>
      </c>
      <c r="E3663" t="s">
        <v>335</v>
      </c>
      <c r="F3663">
        <v>12027</v>
      </c>
      <c r="G3663">
        <v>0.6656441703300271</v>
      </c>
      <c r="H3663">
        <v>0</v>
      </c>
      <c r="I3663">
        <v>0</v>
      </c>
      <c r="J3663">
        <v>0.60286126018233865</v>
      </c>
      <c r="K3663">
        <v>0</v>
      </c>
      <c r="L3663">
        <v>0</v>
      </c>
      <c r="M3663">
        <v>0.42962967726005358</v>
      </c>
      <c r="N3663">
        <v>0</v>
      </c>
      <c r="O3663">
        <v>0</v>
      </c>
      <c r="P3663">
        <v>0.44308216149435009</v>
      </c>
      <c r="Q3663">
        <v>0.98207483138521079</v>
      </c>
      <c r="R3663">
        <v>1.2886520766460989</v>
      </c>
      <c r="S3663">
        <v>0.22617895818018771</v>
      </c>
      <c r="T3663">
        <v>0.1769583712212649</v>
      </c>
      <c r="U3663">
        <v>4.2558401814251274</v>
      </c>
      <c r="V3663">
        <v>0.20543396214013371</v>
      </c>
      <c r="W3663">
        <v>5.4682056052215851</v>
      </c>
      <c r="X3663">
        <v>0.30309215151623581</v>
      </c>
      <c r="Z3663" t="s">
        <v>392</v>
      </c>
      <c r="AA3663">
        <v>114</v>
      </c>
      <c r="AB3663" t="s">
        <v>4054</v>
      </c>
      <c r="AC3663" t="str">
        <f>HYPERLINK("plots/3FT6Y578R04_015_S21P_20251218081014_M5358ACSC201811_RBGEUFRF04/dpll_52084/txpa_55202.png","plot")</f>
        <v>plot</v>
      </c>
    </row>
    <row r="3664" spans="1:29" hidden="1" x14ac:dyDescent="0.35">
      <c r="A3664" t="s">
        <v>49</v>
      </c>
      <c r="B3664">
        <v>52084</v>
      </c>
      <c r="C3664" t="s">
        <v>52</v>
      </c>
      <c r="D3664">
        <v>55203</v>
      </c>
      <c r="E3664" t="s">
        <v>336</v>
      </c>
      <c r="F3664">
        <v>12028</v>
      </c>
      <c r="G3664">
        <v>0.66078260018886192</v>
      </c>
      <c r="H3664">
        <v>0</v>
      </c>
      <c r="I3664">
        <v>0</v>
      </c>
      <c r="J3664">
        <v>0.60875940169337661</v>
      </c>
      <c r="K3664">
        <v>0</v>
      </c>
      <c r="L3664">
        <v>0</v>
      </c>
      <c r="M3664">
        <v>0.43250649208967901</v>
      </c>
      <c r="N3664">
        <v>0</v>
      </c>
      <c r="O3664">
        <v>0</v>
      </c>
      <c r="P3664">
        <v>0.43663364471235327</v>
      </c>
      <c r="Q3664">
        <v>0.99839576036389932</v>
      </c>
      <c r="R3664">
        <v>2.2950182610666152</v>
      </c>
      <c r="S3664">
        <v>0.23297375169140819</v>
      </c>
      <c r="T3664">
        <v>0.17941075171184931</v>
      </c>
      <c r="U3664">
        <v>4.2558177004489526</v>
      </c>
      <c r="V3664">
        <v>0.20544021673558341</v>
      </c>
      <c r="W3664">
        <v>6.5440086100764887</v>
      </c>
      <c r="X3664">
        <v>0.31040563316652597</v>
      </c>
      <c r="Z3664" t="s">
        <v>392</v>
      </c>
      <c r="AA3664">
        <v>114</v>
      </c>
      <c r="AB3664" t="s">
        <v>4055</v>
      </c>
      <c r="AC3664" t="str">
        <f>HYPERLINK("plots/3FT6Y578R04_015_S21P_20251218081014_M5358ACSC201811_RBGEUFRF04/dpll_52084/txpa_55203.png","plot")</f>
        <v>plot</v>
      </c>
    </row>
    <row r="3665" spans="1:29" hidden="1" x14ac:dyDescent="0.35">
      <c r="A3665" t="s">
        <v>49</v>
      </c>
      <c r="B3665">
        <v>52084</v>
      </c>
      <c r="C3665" t="s">
        <v>52</v>
      </c>
      <c r="D3665">
        <v>55204</v>
      </c>
      <c r="E3665" t="s">
        <v>337</v>
      </c>
      <c r="F3665">
        <v>12028</v>
      </c>
      <c r="G3665">
        <v>0.68312997928885066</v>
      </c>
      <c r="H3665">
        <v>0</v>
      </c>
      <c r="I3665">
        <v>0</v>
      </c>
      <c r="J3665">
        <v>0.62294257371996009</v>
      </c>
      <c r="K3665">
        <v>0</v>
      </c>
      <c r="L3665">
        <v>0</v>
      </c>
      <c r="M3665">
        <v>0.44620197146824719</v>
      </c>
      <c r="N3665">
        <v>0</v>
      </c>
      <c r="O3665">
        <v>0</v>
      </c>
      <c r="P3665">
        <v>0.46666656860318562</v>
      </c>
      <c r="Q3665">
        <v>1.032215796645966</v>
      </c>
      <c r="R3665">
        <v>2.1801194846348189</v>
      </c>
      <c r="S3665">
        <v>0.22669083932034989</v>
      </c>
      <c r="T3665">
        <v>0.17703672400110709</v>
      </c>
      <c r="U3665">
        <v>4.2558177004489526</v>
      </c>
      <c r="V3665">
        <v>0.20544021673558341</v>
      </c>
      <c r="W3665">
        <v>6.5730417426837384</v>
      </c>
      <c r="X3665">
        <v>0.31042209156388773</v>
      </c>
      <c r="Z3665" t="s">
        <v>392</v>
      </c>
      <c r="AA3665">
        <v>114</v>
      </c>
      <c r="AB3665" t="s">
        <v>4056</v>
      </c>
      <c r="AC3665" t="str">
        <f>HYPERLINK("plots/3FT6Y578R04_015_S21P_20251218081014_M5358ACSC201811_RBGEUFRF04/dpll_52084/txpa_55204.png","plot")</f>
        <v>plot</v>
      </c>
    </row>
    <row r="3666" spans="1:29" hidden="1" x14ac:dyDescent="0.35">
      <c r="A3666" t="s">
        <v>49</v>
      </c>
      <c r="B3666">
        <v>52084</v>
      </c>
      <c r="C3666" t="s">
        <v>52</v>
      </c>
      <c r="D3666">
        <v>55205</v>
      </c>
      <c r="E3666" t="s">
        <v>338</v>
      </c>
      <c r="F3666">
        <v>12028</v>
      </c>
      <c r="G3666">
        <v>0.67008761259602145</v>
      </c>
      <c r="H3666">
        <v>0</v>
      </c>
      <c r="I3666">
        <v>0</v>
      </c>
      <c r="J3666">
        <v>0.61019932155070589</v>
      </c>
      <c r="K3666">
        <v>0</v>
      </c>
      <c r="L3666">
        <v>0</v>
      </c>
      <c r="M3666">
        <v>0.43484969410661789</v>
      </c>
      <c r="N3666">
        <v>0</v>
      </c>
      <c r="O3666">
        <v>0</v>
      </c>
      <c r="P3666">
        <v>0.44901740855463568</v>
      </c>
      <c r="Q3666">
        <v>0.99773626349579858</v>
      </c>
      <c r="R3666">
        <v>2.3435283979050161</v>
      </c>
      <c r="S3666">
        <v>0.22704948268719849</v>
      </c>
      <c r="T3666">
        <v>0.17650755840717791</v>
      </c>
      <c r="U3666">
        <v>4.2558177004489526</v>
      </c>
      <c r="V3666">
        <v>0.20544021673558341</v>
      </c>
      <c r="W3666">
        <v>6.5897120484702354</v>
      </c>
      <c r="X3666">
        <v>0.30589306586854093</v>
      </c>
      <c r="Z3666" t="s">
        <v>392</v>
      </c>
      <c r="AA3666">
        <v>114</v>
      </c>
      <c r="AB3666" t="s">
        <v>4057</v>
      </c>
      <c r="AC3666" t="str">
        <f>HYPERLINK("plots/3FT6Y578R04_015_S21P_20251218081014_M5358ACSC201811_RBGEUFRF04/dpll_52084/txpa_55205.png","plot")</f>
        <v>plot</v>
      </c>
    </row>
    <row r="3667" spans="1:29" hidden="1" x14ac:dyDescent="0.35">
      <c r="A3667" t="s">
        <v>49</v>
      </c>
      <c r="B3667">
        <v>52084</v>
      </c>
      <c r="C3667" t="s">
        <v>52</v>
      </c>
      <c r="D3667">
        <v>55206</v>
      </c>
      <c r="E3667" t="s">
        <v>339</v>
      </c>
      <c r="F3667">
        <v>12027</v>
      </c>
      <c r="G3667">
        <v>0.68799076131331638</v>
      </c>
      <c r="H3667">
        <v>0</v>
      </c>
      <c r="I3667">
        <v>0</v>
      </c>
      <c r="J3667">
        <v>0.62368325458370777</v>
      </c>
      <c r="K3667">
        <v>0</v>
      </c>
      <c r="L3667">
        <v>0</v>
      </c>
      <c r="M3667">
        <v>0.44691457916773619</v>
      </c>
      <c r="N3667">
        <v>0</v>
      </c>
      <c r="O3667">
        <v>0</v>
      </c>
      <c r="P3667">
        <v>0.47333128765247667</v>
      </c>
      <c r="Q3667">
        <v>1.0326424685201741</v>
      </c>
      <c r="R3667">
        <v>2.193999802901637</v>
      </c>
      <c r="S3667">
        <v>0.22377856769511159</v>
      </c>
      <c r="T3667">
        <v>0.1750874541512972</v>
      </c>
      <c r="U3667">
        <v>4.2558247893905383</v>
      </c>
      <c r="V3667">
        <v>0.20544728689892131</v>
      </c>
      <c r="W3667">
        <v>6.588745219007234</v>
      </c>
      <c r="X3667">
        <v>0.30836692209222583</v>
      </c>
      <c r="Z3667" t="s">
        <v>392</v>
      </c>
      <c r="AA3667">
        <v>114</v>
      </c>
      <c r="AB3667" t="s">
        <v>4058</v>
      </c>
      <c r="AC3667" t="str">
        <f>HYPERLINK("plots/3FT6Y578R04_015_S21P_20251218081014_M5358ACSC201811_RBGEUFRF04/dpll_52084/txpa_55206.png","plot")</f>
        <v>plot</v>
      </c>
    </row>
    <row r="3668" spans="1:29" hidden="1" x14ac:dyDescent="0.35">
      <c r="A3668" t="s">
        <v>49</v>
      </c>
      <c r="B3668">
        <v>52084</v>
      </c>
      <c r="C3668" t="s">
        <v>52</v>
      </c>
      <c r="D3668">
        <v>55207</v>
      </c>
      <c r="E3668" t="s">
        <v>340</v>
      </c>
      <c r="F3668">
        <v>12027</v>
      </c>
      <c r="G3668">
        <v>0.68692754398653244</v>
      </c>
      <c r="H3668">
        <v>0</v>
      </c>
      <c r="I3668">
        <v>0</v>
      </c>
      <c r="J3668">
        <v>0.61700821636637104</v>
      </c>
      <c r="K3668">
        <v>0</v>
      </c>
      <c r="L3668">
        <v>0</v>
      </c>
      <c r="M3668">
        <v>0.43968558891064458</v>
      </c>
      <c r="N3668">
        <v>0</v>
      </c>
      <c r="O3668">
        <v>0</v>
      </c>
      <c r="P3668">
        <v>0.47186945068736952</v>
      </c>
      <c r="Q3668">
        <v>1.025241237240647</v>
      </c>
      <c r="R3668">
        <v>2.21156959272043</v>
      </c>
      <c r="S3668">
        <v>0.22280805437553891</v>
      </c>
      <c r="T3668">
        <v>0.17512097121715259</v>
      </c>
      <c r="U3668">
        <v>4.2557921641307059</v>
      </c>
      <c r="V3668">
        <v>0.20542966688110781</v>
      </c>
      <c r="W3668">
        <v>6.5747832165128468</v>
      </c>
      <c r="X3668">
        <v>0.30660433939922238</v>
      </c>
      <c r="Z3668" t="s">
        <v>392</v>
      </c>
      <c r="AA3668">
        <v>114</v>
      </c>
      <c r="AB3668" t="s">
        <v>4059</v>
      </c>
      <c r="AC3668" t="str">
        <f>HYPERLINK("plots/3FT6Y578R04_015_S21P_20251218081014_M5358ACSC201811_RBGEUFRF04/dpll_52084/txpa_55207.png","plot")</f>
        <v>plot</v>
      </c>
    </row>
    <row r="3669" spans="1:29" hidden="1" x14ac:dyDescent="0.35">
      <c r="A3669" t="s">
        <v>49</v>
      </c>
      <c r="B3669">
        <v>52084</v>
      </c>
      <c r="C3669" t="s">
        <v>52</v>
      </c>
      <c r="D3669">
        <v>55208</v>
      </c>
      <c r="E3669" t="s">
        <v>341</v>
      </c>
      <c r="F3669">
        <v>12028</v>
      </c>
      <c r="G3669">
        <v>0.69226476039567864</v>
      </c>
      <c r="H3669">
        <v>0</v>
      </c>
      <c r="I3669">
        <v>0</v>
      </c>
      <c r="J3669">
        <v>0.6308866578815514</v>
      </c>
      <c r="K3669">
        <v>0</v>
      </c>
      <c r="L3669">
        <v>0</v>
      </c>
      <c r="M3669">
        <v>0.45258681385213378</v>
      </c>
      <c r="N3669">
        <v>0</v>
      </c>
      <c r="O3669">
        <v>0</v>
      </c>
      <c r="P3669">
        <v>0.47923049848568627</v>
      </c>
      <c r="Q3669">
        <v>1.044336111617576</v>
      </c>
      <c r="R3669">
        <v>2.1424513761610831</v>
      </c>
      <c r="S3669">
        <v>0.22364451557321821</v>
      </c>
      <c r="T3669">
        <v>0.17519187123627231</v>
      </c>
      <c r="U3669">
        <v>4.2558177004489526</v>
      </c>
      <c r="V3669">
        <v>0.20544021673558341</v>
      </c>
      <c r="W3669">
        <v>6.5869554852011962</v>
      </c>
      <c r="X3669">
        <v>0.30992280611377859</v>
      </c>
      <c r="Z3669" t="s">
        <v>392</v>
      </c>
      <c r="AA3669">
        <v>114</v>
      </c>
      <c r="AB3669" t="s">
        <v>4060</v>
      </c>
      <c r="AC3669" t="str">
        <f>HYPERLINK("plots/3FT6Y578R04_015_S21P_20251218081014_M5358ACSC201811_RBGEUFRF04/dpll_52084/txpa_55208.png","plot")</f>
        <v>plot</v>
      </c>
    </row>
    <row r="3670" spans="1:29" hidden="1" x14ac:dyDescent="0.35">
      <c r="A3670" t="s">
        <v>49</v>
      </c>
      <c r="B3670">
        <v>52084</v>
      </c>
      <c r="C3670" t="s">
        <v>52</v>
      </c>
      <c r="D3670">
        <v>55209</v>
      </c>
      <c r="E3670" t="s">
        <v>342</v>
      </c>
      <c r="F3670">
        <v>12028</v>
      </c>
      <c r="G3670">
        <v>0.6898629707150632</v>
      </c>
      <c r="H3670">
        <v>0</v>
      </c>
      <c r="I3670">
        <v>0</v>
      </c>
      <c r="J3670">
        <v>0.62359878611639652</v>
      </c>
      <c r="K3670">
        <v>0</v>
      </c>
      <c r="L3670">
        <v>0</v>
      </c>
      <c r="M3670">
        <v>0.44567184362261231</v>
      </c>
      <c r="N3670">
        <v>0</v>
      </c>
      <c r="O3670">
        <v>0</v>
      </c>
      <c r="P3670">
        <v>0.47591091836381222</v>
      </c>
      <c r="Q3670">
        <v>1.024592148992056</v>
      </c>
      <c r="R3670">
        <v>2.2337447449823018</v>
      </c>
      <c r="S3670">
        <v>0.22088089627365029</v>
      </c>
      <c r="T3670">
        <v>0.1740215034798597</v>
      </c>
      <c r="U3670">
        <v>4.2558177004489526</v>
      </c>
      <c r="V3670">
        <v>0.20544021673558341</v>
      </c>
      <c r="W3670">
        <v>6.5942221484037242</v>
      </c>
      <c r="X3670">
        <v>0.30512209248790889</v>
      </c>
      <c r="Z3670" t="s">
        <v>392</v>
      </c>
      <c r="AA3670">
        <v>114</v>
      </c>
      <c r="AB3670" t="s">
        <v>4061</v>
      </c>
      <c r="AC3670" t="str">
        <f>HYPERLINK("plots/3FT6Y578R04_015_S21P_20251218081014_M5358ACSC201811_RBGEUFRF04/dpll_52084/txpa_55209.png","plot")</f>
        <v>plot</v>
      </c>
    </row>
    <row r="3671" spans="1:29" hidden="1" x14ac:dyDescent="0.35">
      <c r="A3671" t="s">
        <v>49</v>
      </c>
      <c r="B3671">
        <v>52084</v>
      </c>
      <c r="C3671" t="s">
        <v>52</v>
      </c>
      <c r="D3671">
        <v>55210</v>
      </c>
      <c r="E3671" t="s">
        <v>343</v>
      </c>
      <c r="F3671">
        <v>12027</v>
      </c>
      <c r="G3671">
        <v>0.68188382768969324</v>
      </c>
      <c r="H3671">
        <v>0</v>
      </c>
      <c r="I3671">
        <v>0</v>
      </c>
      <c r="J3671">
        <v>0.61644484603047467</v>
      </c>
      <c r="K3671">
        <v>0</v>
      </c>
      <c r="L3671">
        <v>0</v>
      </c>
      <c r="M3671">
        <v>0.44097156321236769</v>
      </c>
      <c r="N3671">
        <v>0</v>
      </c>
      <c r="O3671">
        <v>0</v>
      </c>
      <c r="P3671">
        <v>0.46496555446474719</v>
      </c>
      <c r="Q3671">
        <v>1.024475208937734</v>
      </c>
      <c r="R3671">
        <v>2.1987991228612098</v>
      </c>
      <c r="S3671">
        <v>0.22575434674738429</v>
      </c>
      <c r="T3671">
        <v>0.1762590266033085</v>
      </c>
      <c r="U3671">
        <v>4.2558401814251274</v>
      </c>
      <c r="V3671">
        <v>0.20543396214013371</v>
      </c>
      <c r="W3671">
        <v>6.5588018819323191</v>
      </c>
      <c r="X3671">
        <v>0.30864788507962021</v>
      </c>
      <c r="Z3671" t="s">
        <v>392</v>
      </c>
      <c r="AA3671">
        <v>114</v>
      </c>
      <c r="AB3671" t="s">
        <v>4062</v>
      </c>
      <c r="AC3671" t="str">
        <f>HYPERLINK("plots/3FT6Y578R04_015_S21P_20251218081014_M5358ACSC201811_RBGEUFRF04/dpll_52084/txpa_55210.png","plot")</f>
        <v>plot</v>
      </c>
    </row>
    <row r="3672" spans="1:29" hidden="1" x14ac:dyDescent="0.35">
      <c r="A3672" t="s">
        <v>49</v>
      </c>
      <c r="B3672">
        <v>52084</v>
      </c>
      <c r="C3672" t="s">
        <v>52</v>
      </c>
      <c r="D3672">
        <v>55211</v>
      </c>
      <c r="E3672" t="s">
        <v>344</v>
      </c>
      <c r="F3672">
        <v>12028</v>
      </c>
      <c r="G3672">
        <v>0.67542493132582238</v>
      </c>
      <c r="H3672">
        <v>0</v>
      </c>
      <c r="I3672">
        <v>0</v>
      </c>
      <c r="J3672">
        <v>0.62077982122658848</v>
      </c>
      <c r="K3672">
        <v>0</v>
      </c>
      <c r="L3672">
        <v>0</v>
      </c>
      <c r="M3672">
        <v>0.44250055203871602</v>
      </c>
      <c r="N3672">
        <v>0</v>
      </c>
      <c r="O3672">
        <v>0</v>
      </c>
      <c r="P3672">
        <v>0.45619883785649179</v>
      </c>
      <c r="Q3672">
        <v>1.0448941397079869</v>
      </c>
      <c r="R3672">
        <v>3.166935210037265</v>
      </c>
      <c r="S3672">
        <v>0.23435956442218919</v>
      </c>
      <c r="T3672">
        <v>0.1800824520636124</v>
      </c>
      <c r="U3672">
        <v>4.2558177004489526</v>
      </c>
      <c r="V3672">
        <v>0.20544021673558341</v>
      </c>
      <c r="W3672">
        <v>7.6138141849018952</v>
      </c>
      <c r="X3672">
        <v>0.31781959559292172</v>
      </c>
      <c r="Z3672" t="s">
        <v>392</v>
      </c>
      <c r="AA3672">
        <v>114</v>
      </c>
      <c r="AB3672" t="s">
        <v>4063</v>
      </c>
      <c r="AC3672" t="str">
        <f>HYPERLINK("plots/3FT6Y578R04_015_S21P_20251218081014_M5358ACSC201811_RBGEUFRF04/dpll_52084/txpa_55211.png","plot")</f>
        <v>plot</v>
      </c>
    </row>
    <row r="3673" spans="1:29" hidden="1" x14ac:dyDescent="0.35">
      <c r="A3673" t="s">
        <v>49</v>
      </c>
      <c r="B3673">
        <v>52084</v>
      </c>
      <c r="C3673" t="s">
        <v>52</v>
      </c>
      <c r="D3673">
        <v>55212</v>
      </c>
      <c r="E3673" t="s">
        <v>345</v>
      </c>
      <c r="F3673">
        <v>12028</v>
      </c>
      <c r="G3673">
        <v>0.69703266935205999</v>
      </c>
      <c r="H3673">
        <v>0</v>
      </c>
      <c r="I3673">
        <v>0</v>
      </c>
      <c r="J3673">
        <v>0.63456408479530158</v>
      </c>
      <c r="K3673">
        <v>0</v>
      </c>
      <c r="L3673">
        <v>0</v>
      </c>
      <c r="M3673">
        <v>0.45602730216956078</v>
      </c>
      <c r="N3673">
        <v>0</v>
      </c>
      <c r="O3673">
        <v>0</v>
      </c>
      <c r="P3673">
        <v>0.48585454214405821</v>
      </c>
      <c r="Q3673">
        <v>1.078467601483494</v>
      </c>
      <c r="R3673">
        <v>3.052222492079542</v>
      </c>
      <c r="S3673">
        <v>0.2279105248946095</v>
      </c>
      <c r="T3673">
        <v>0.1777319963622056</v>
      </c>
      <c r="U3673">
        <v>4.2558177004489526</v>
      </c>
      <c r="V3673">
        <v>0.20544021673558341</v>
      </c>
      <c r="W3673">
        <v>7.6419839998337196</v>
      </c>
      <c r="X3673">
        <v>0.31786260175872338</v>
      </c>
      <c r="Z3673" t="s">
        <v>392</v>
      </c>
      <c r="AA3673">
        <v>114</v>
      </c>
      <c r="AB3673" t="s">
        <v>4064</v>
      </c>
      <c r="AC3673" t="str">
        <f>HYPERLINK("plots/3FT6Y578R04_015_S21P_20251218081014_M5358ACSC201811_RBGEUFRF04/dpll_52084/txpa_55212.png","plot")</f>
        <v>plot</v>
      </c>
    </row>
    <row r="3674" spans="1:29" hidden="1" x14ac:dyDescent="0.35">
      <c r="A3674" t="s">
        <v>49</v>
      </c>
      <c r="B3674">
        <v>52084</v>
      </c>
      <c r="C3674" t="s">
        <v>52</v>
      </c>
      <c r="D3674">
        <v>55213</v>
      </c>
      <c r="E3674" t="s">
        <v>346</v>
      </c>
      <c r="F3674">
        <v>12028</v>
      </c>
      <c r="G3674">
        <v>0.68478264596440686</v>
      </c>
      <c r="H3674">
        <v>0</v>
      </c>
      <c r="I3674">
        <v>0</v>
      </c>
      <c r="J3674">
        <v>0.62234662995053591</v>
      </c>
      <c r="K3674">
        <v>0</v>
      </c>
      <c r="L3674">
        <v>0</v>
      </c>
      <c r="M3674">
        <v>0.44500417823282262</v>
      </c>
      <c r="N3674">
        <v>0</v>
      </c>
      <c r="O3674">
        <v>0</v>
      </c>
      <c r="P3674">
        <v>0.4689272722140142</v>
      </c>
      <c r="Q3674">
        <v>1.043789340857282</v>
      </c>
      <c r="R3674">
        <v>3.216372030629326</v>
      </c>
      <c r="S3674">
        <v>0.228194158052098</v>
      </c>
      <c r="T3674">
        <v>0.17695723953720921</v>
      </c>
      <c r="U3674">
        <v>4.2558177004489526</v>
      </c>
      <c r="V3674">
        <v>0.20544021673558341</v>
      </c>
      <c r="W3674">
        <v>7.6585491829896917</v>
      </c>
      <c r="X3674">
        <v>0.31314506825740679</v>
      </c>
      <c r="Z3674" t="s">
        <v>392</v>
      </c>
      <c r="AA3674">
        <v>114</v>
      </c>
      <c r="AB3674" t="s">
        <v>4065</v>
      </c>
      <c r="AC3674" t="str">
        <f>HYPERLINK("plots/3FT6Y578R04_015_S21P_20251218081014_M5358ACSC201811_RBGEUFRF04/dpll_52084/txpa_55213.png","plot")</f>
        <v>plot</v>
      </c>
    </row>
    <row r="3675" spans="1:29" hidden="1" x14ac:dyDescent="0.35">
      <c r="A3675" t="s">
        <v>49</v>
      </c>
      <c r="B3675">
        <v>52084</v>
      </c>
      <c r="C3675" t="s">
        <v>52</v>
      </c>
      <c r="D3675">
        <v>55214</v>
      </c>
      <c r="E3675" t="s">
        <v>347</v>
      </c>
      <c r="F3675">
        <v>12027</v>
      </c>
      <c r="G3675">
        <v>0.70196100039799847</v>
      </c>
      <c r="H3675">
        <v>0</v>
      </c>
      <c r="I3675">
        <v>0</v>
      </c>
      <c r="J3675">
        <v>0.63542392491719557</v>
      </c>
      <c r="K3675">
        <v>0</v>
      </c>
      <c r="L3675">
        <v>0</v>
      </c>
      <c r="M3675">
        <v>0.45676173761829381</v>
      </c>
      <c r="N3675">
        <v>0</v>
      </c>
      <c r="O3675">
        <v>0</v>
      </c>
      <c r="P3675">
        <v>0.49274924607975878</v>
      </c>
      <c r="Q3675">
        <v>1.078205577286159</v>
      </c>
      <c r="R3675">
        <v>3.0681107008291808</v>
      </c>
      <c r="S3675">
        <v>0.2247409928016767</v>
      </c>
      <c r="T3675">
        <v>0.17558477385735941</v>
      </c>
      <c r="U3675">
        <v>4.2558247893905383</v>
      </c>
      <c r="V3675">
        <v>0.20544728689892131</v>
      </c>
      <c r="W3675">
        <v>7.6567647247027537</v>
      </c>
      <c r="X3675">
        <v>0.31556512462534558</v>
      </c>
      <c r="Z3675" t="s">
        <v>392</v>
      </c>
      <c r="AA3675">
        <v>114</v>
      </c>
      <c r="AB3675" t="s">
        <v>4066</v>
      </c>
      <c r="AC3675" t="str">
        <f>HYPERLINK("plots/3FT6Y578R04_015_S21P_20251218081014_M5358ACSC201811_RBGEUFRF04/dpll_52084/txpa_55214.png","plot")</f>
        <v>plot</v>
      </c>
    </row>
    <row r="3676" spans="1:29" hidden="1" x14ac:dyDescent="0.35">
      <c r="A3676" t="s">
        <v>49</v>
      </c>
      <c r="B3676">
        <v>52084</v>
      </c>
      <c r="C3676" t="s">
        <v>52</v>
      </c>
      <c r="D3676">
        <v>55215</v>
      </c>
      <c r="E3676" t="s">
        <v>348</v>
      </c>
      <c r="F3676">
        <v>12027</v>
      </c>
      <c r="G3676">
        <v>0.70115593554608602</v>
      </c>
      <c r="H3676">
        <v>0</v>
      </c>
      <c r="I3676">
        <v>0</v>
      </c>
      <c r="J3676">
        <v>0.62875265340452458</v>
      </c>
      <c r="K3676">
        <v>0</v>
      </c>
      <c r="L3676">
        <v>0</v>
      </c>
      <c r="M3676">
        <v>0.44946369932889502</v>
      </c>
      <c r="N3676">
        <v>0</v>
      </c>
      <c r="O3676">
        <v>0</v>
      </c>
      <c r="P3676">
        <v>0.49161964595150709</v>
      </c>
      <c r="Q3676">
        <v>1.0719368501471209</v>
      </c>
      <c r="R3676">
        <v>3.08053521529343</v>
      </c>
      <c r="S3676">
        <v>0.22392061174620681</v>
      </c>
      <c r="T3676">
        <v>0.17568285400768879</v>
      </c>
      <c r="U3676">
        <v>4.2557921641307059</v>
      </c>
      <c r="V3676">
        <v>0.20542966688110781</v>
      </c>
      <c r="W3676">
        <v>7.6424756625925001</v>
      </c>
      <c r="X3676">
        <v>0.31406370377767873</v>
      </c>
      <c r="Z3676" t="s">
        <v>392</v>
      </c>
      <c r="AA3676">
        <v>114</v>
      </c>
      <c r="AB3676" t="s">
        <v>4067</v>
      </c>
      <c r="AC3676" t="str">
        <f>HYPERLINK("plots/3FT6Y578R04_015_S21P_20251218081014_M5358ACSC201811_RBGEUFRF04/dpll_52084/txpa_55215.png","plot")</f>
        <v>plot</v>
      </c>
    </row>
    <row r="3677" spans="1:29" hidden="1" x14ac:dyDescent="0.35">
      <c r="A3677" t="s">
        <v>49</v>
      </c>
      <c r="B3677">
        <v>52084</v>
      </c>
      <c r="C3677" t="s">
        <v>52</v>
      </c>
      <c r="D3677">
        <v>55216</v>
      </c>
      <c r="E3677" t="s">
        <v>349</v>
      </c>
      <c r="F3677">
        <v>12028</v>
      </c>
      <c r="G3677">
        <v>0.70586657315872747</v>
      </c>
      <c r="H3677">
        <v>0</v>
      </c>
      <c r="I3677">
        <v>0</v>
      </c>
      <c r="J3677">
        <v>0.64217033328588136</v>
      </c>
      <c r="K3677">
        <v>0</v>
      </c>
      <c r="L3677">
        <v>0</v>
      </c>
      <c r="M3677">
        <v>0.46219650876790719</v>
      </c>
      <c r="N3677">
        <v>0</v>
      </c>
      <c r="O3677">
        <v>0</v>
      </c>
      <c r="P3677">
        <v>0.49824761910284521</v>
      </c>
      <c r="Q3677">
        <v>1.0903122492377939</v>
      </c>
      <c r="R3677">
        <v>3.014970312386831</v>
      </c>
      <c r="S3677">
        <v>0.22477106664409069</v>
      </c>
      <c r="T3677">
        <v>0.1757278809978699</v>
      </c>
      <c r="U3677">
        <v>4.2558177004489526</v>
      </c>
      <c r="V3677">
        <v>0.20544021673558341</v>
      </c>
      <c r="W3677">
        <v>7.6551404817093456</v>
      </c>
      <c r="X3677">
        <v>0.31733190564685471</v>
      </c>
      <c r="Z3677" t="s">
        <v>392</v>
      </c>
      <c r="AA3677">
        <v>114</v>
      </c>
      <c r="AB3677" t="s">
        <v>4068</v>
      </c>
      <c r="AC3677" t="str">
        <f>HYPERLINK("plots/3FT6Y578R04_015_S21P_20251218081014_M5358ACSC201811_RBGEUFRF04/dpll_52084/txpa_55216.png","plot")</f>
        <v>plot</v>
      </c>
    </row>
    <row r="3678" spans="1:29" hidden="1" x14ac:dyDescent="0.35">
      <c r="A3678" t="s">
        <v>49</v>
      </c>
      <c r="B3678">
        <v>52084</v>
      </c>
      <c r="C3678" t="s">
        <v>52</v>
      </c>
      <c r="D3678">
        <v>55217</v>
      </c>
      <c r="E3678" t="s">
        <v>350</v>
      </c>
      <c r="F3678">
        <v>12028</v>
      </c>
      <c r="G3678">
        <v>0.70426147585411525</v>
      </c>
      <c r="H3678">
        <v>0</v>
      </c>
      <c r="I3678">
        <v>0</v>
      </c>
      <c r="J3678">
        <v>0.63530025428876424</v>
      </c>
      <c r="K3678">
        <v>0</v>
      </c>
      <c r="L3678">
        <v>0</v>
      </c>
      <c r="M3678">
        <v>0.45551137188694252</v>
      </c>
      <c r="N3678">
        <v>0</v>
      </c>
      <c r="O3678">
        <v>0</v>
      </c>
      <c r="P3678">
        <v>0.49598422637221662</v>
      </c>
      <c r="Q3678">
        <v>1.0713892047012681</v>
      </c>
      <c r="R3678">
        <v>3.103251676570399</v>
      </c>
      <c r="S3678">
        <v>0.22187215831949819</v>
      </c>
      <c r="T3678">
        <v>0.17456716395160751</v>
      </c>
      <c r="U3678">
        <v>4.2558177004489526</v>
      </c>
      <c r="V3678">
        <v>0.20544021673558341</v>
      </c>
      <c r="W3678">
        <v>7.6628888180079811</v>
      </c>
      <c r="X3678">
        <v>0.31253509948851299</v>
      </c>
      <c r="Z3678" t="s">
        <v>392</v>
      </c>
      <c r="AA3678">
        <v>114</v>
      </c>
      <c r="AB3678" t="s">
        <v>4069</v>
      </c>
      <c r="AC3678" t="str">
        <f>HYPERLINK("plots/3FT6Y578R04_015_S21P_20251218081014_M5358ACSC201811_RBGEUFRF04/dpll_52084/txpa_55217.png","plot")</f>
        <v>plot</v>
      </c>
    </row>
    <row r="3679" spans="1:29" hidden="1" x14ac:dyDescent="0.35">
      <c r="A3679" t="s">
        <v>49</v>
      </c>
      <c r="B3679">
        <v>52084</v>
      </c>
      <c r="C3679" t="s">
        <v>52</v>
      </c>
      <c r="D3679">
        <v>55218</v>
      </c>
      <c r="E3679" t="s">
        <v>351</v>
      </c>
      <c r="F3679">
        <v>12027</v>
      </c>
      <c r="G3679">
        <v>0.6961231354960129</v>
      </c>
      <c r="H3679">
        <v>0</v>
      </c>
      <c r="I3679">
        <v>0</v>
      </c>
      <c r="J3679">
        <v>0.62804958005270362</v>
      </c>
      <c r="K3679">
        <v>0</v>
      </c>
      <c r="L3679">
        <v>0</v>
      </c>
      <c r="M3679">
        <v>0.45061839794969277</v>
      </c>
      <c r="N3679">
        <v>0</v>
      </c>
      <c r="O3679">
        <v>0</v>
      </c>
      <c r="P3679">
        <v>0.48458741977280029</v>
      </c>
      <c r="Q3679">
        <v>1.070565348126876</v>
      </c>
      <c r="R3679">
        <v>3.0719672839043271</v>
      </c>
      <c r="S3679">
        <v>0.22680822945663001</v>
      </c>
      <c r="T3679">
        <v>0.1768054062863765</v>
      </c>
      <c r="U3679">
        <v>4.2558401814251274</v>
      </c>
      <c r="V3679">
        <v>0.20543396214013371</v>
      </c>
      <c r="W3679">
        <v>7.6281223093040662</v>
      </c>
      <c r="X3679">
        <v>0.31593617562922599</v>
      </c>
      <c r="Z3679" t="s">
        <v>392</v>
      </c>
      <c r="AA3679">
        <v>114</v>
      </c>
      <c r="AB3679" t="s">
        <v>4070</v>
      </c>
      <c r="AC3679" t="str">
        <f>HYPERLINK("plots/3FT6Y578R04_015_S21P_20251218081014_M5358ACSC201811_RBGEUFRF04/dpll_52084/txpa_55218.png","plot")</f>
        <v>plot</v>
      </c>
    </row>
    <row r="3680" spans="1:29" hidden="1" x14ac:dyDescent="0.35">
      <c r="A3680" t="s">
        <v>49</v>
      </c>
      <c r="B3680">
        <v>52084</v>
      </c>
      <c r="C3680" t="s">
        <v>52</v>
      </c>
      <c r="D3680">
        <v>55219</v>
      </c>
      <c r="E3680" t="s">
        <v>352</v>
      </c>
      <c r="F3680">
        <v>12028</v>
      </c>
      <c r="G3680">
        <v>0.69235017593649595</v>
      </c>
      <c r="H3680">
        <v>0</v>
      </c>
      <c r="I3680">
        <v>0</v>
      </c>
      <c r="J3680">
        <v>0.63406149895142916</v>
      </c>
      <c r="K3680">
        <v>0</v>
      </c>
      <c r="L3680">
        <v>0</v>
      </c>
      <c r="M3680">
        <v>0.4536812771382151</v>
      </c>
      <c r="N3680">
        <v>0</v>
      </c>
      <c r="O3680">
        <v>0</v>
      </c>
      <c r="P3680">
        <v>0.47934876611929689</v>
      </c>
      <c r="Q3680">
        <v>1.1016089862385849</v>
      </c>
      <c r="R3680">
        <v>3.9949693165175768</v>
      </c>
      <c r="S3680">
        <v>0.23585360803737629</v>
      </c>
      <c r="T3680">
        <v>0.18063921186187321</v>
      </c>
      <c r="U3680">
        <v>4.2558177004489526</v>
      </c>
      <c r="V3680">
        <v>0.20544021673558341</v>
      </c>
      <c r="W3680">
        <v>8.6832163391253747</v>
      </c>
      <c r="X3680">
        <v>0.32687908049506942</v>
      </c>
      <c r="Z3680" t="s">
        <v>392</v>
      </c>
      <c r="AA3680">
        <v>114</v>
      </c>
      <c r="AB3680" t="s">
        <v>4071</v>
      </c>
      <c r="AC3680" t="str">
        <f>HYPERLINK("plots/3FT6Y578R04_015_S21P_20251218081014_M5358ACSC201811_RBGEUFRF04/dpll_52084/txpa_55219.png","plot")</f>
        <v>plot</v>
      </c>
    </row>
    <row r="3681" spans="1:29" hidden="1" x14ac:dyDescent="0.35">
      <c r="A3681" t="s">
        <v>49</v>
      </c>
      <c r="B3681">
        <v>52084</v>
      </c>
      <c r="C3681" t="s">
        <v>52</v>
      </c>
      <c r="D3681">
        <v>55220</v>
      </c>
      <c r="E3681" t="s">
        <v>353</v>
      </c>
      <c r="F3681">
        <v>12028</v>
      </c>
      <c r="G3681">
        <v>0.71292883146901087</v>
      </c>
      <c r="H3681">
        <v>0</v>
      </c>
      <c r="I3681">
        <v>0</v>
      </c>
      <c r="J3681">
        <v>0.6469970818584343</v>
      </c>
      <c r="K3681">
        <v>0</v>
      </c>
      <c r="L3681">
        <v>0</v>
      </c>
      <c r="M3681">
        <v>0.46668295319920872</v>
      </c>
      <c r="N3681">
        <v>0</v>
      </c>
      <c r="O3681">
        <v>0</v>
      </c>
      <c r="P3681">
        <v>0.50826751873976928</v>
      </c>
      <c r="Q3681">
        <v>1.1345188352243549</v>
      </c>
      <c r="R3681">
        <v>3.8811874572814422</v>
      </c>
      <c r="S3681">
        <v>0.22924369012088261</v>
      </c>
      <c r="T3681">
        <v>0.17834528985564629</v>
      </c>
      <c r="U3681">
        <v>4.2558177004489526</v>
      </c>
      <c r="V3681">
        <v>0.20544021673558341</v>
      </c>
      <c r="W3681">
        <v>8.7094927977219818</v>
      </c>
      <c r="X3681">
        <v>0.32692715613539408</v>
      </c>
      <c r="Z3681" t="s">
        <v>392</v>
      </c>
      <c r="AA3681">
        <v>114</v>
      </c>
      <c r="AB3681" t="s">
        <v>4072</v>
      </c>
      <c r="AC3681" t="str">
        <f>HYPERLINK("plots/3FT6Y578R04_015_S21P_20251218081014_M5358ACSC201811_RBGEUFRF04/dpll_52084/txpa_55220.png","plot")</f>
        <v>plot</v>
      </c>
    </row>
    <row r="3682" spans="1:29" hidden="1" x14ac:dyDescent="0.35">
      <c r="A3682" t="s">
        <v>49</v>
      </c>
      <c r="B3682">
        <v>52084</v>
      </c>
      <c r="C3682" t="s">
        <v>52</v>
      </c>
      <c r="D3682">
        <v>55221</v>
      </c>
      <c r="E3682" t="s">
        <v>354</v>
      </c>
      <c r="F3682">
        <v>12028</v>
      </c>
      <c r="G3682">
        <v>0.70167317556966191</v>
      </c>
      <c r="H3682">
        <v>0</v>
      </c>
      <c r="I3682">
        <v>0</v>
      </c>
      <c r="J3682">
        <v>0.63566429642453415</v>
      </c>
      <c r="K3682">
        <v>0</v>
      </c>
      <c r="L3682">
        <v>0</v>
      </c>
      <c r="M3682">
        <v>0.45628146394950919</v>
      </c>
      <c r="N3682">
        <v>0</v>
      </c>
      <c r="O3682">
        <v>0</v>
      </c>
      <c r="P3682">
        <v>0.49234524531401358</v>
      </c>
      <c r="Q3682">
        <v>1.100127881804519</v>
      </c>
      <c r="R3682">
        <v>4.0439132940943638</v>
      </c>
      <c r="S3682">
        <v>0.22948797668226251</v>
      </c>
      <c r="T3682">
        <v>0.17731964551626581</v>
      </c>
      <c r="U3682">
        <v>4.2558177004489526</v>
      </c>
      <c r="V3682">
        <v>0.20544021673558341</v>
      </c>
      <c r="W3682">
        <v>8.7258570062354508</v>
      </c>
      <c r="X3682">
        <v>0.32210225264958919</v>
      </c>
      <c r="Z3682" t="s">
        <v>392</v>
      </c>
      <c r="AA3682">
        <v>114</v>
      </c>
      <c r="AB3682" t="s">
        <v>4073</v>
      </c>
      <c r="AC3682" t="str">
        <f>HYPERLINK("plots/3FT6Y578R04_015_S21P_20251218081014_M5358ACSC201811_RBGEUFRF04/dpll_52084/txpa_55221.png","plot")</f>
        <v>plot</v>
      </c>
    </row>
    <row r="3683" spans="1:29" hidden="1" x14ac:dyDescent="0.35">
      <c r="A3683" t="s">
        <v>49</v>
      </c>
      <c r="B3683">
        <v>52084</v>
      </c>
      <c r="C3683" t="s">
        <v>52</v>
      </c>
      <c r="D3683">
        <v>55222</v>
      </c>
      <c r="E3683" t="s">
        <v>355</v>
      </c>
      <c r="F3683">
        <v>12027</v>
      </c>
      <c r="G3683">
        <v>0.71789015961861236</v>
      </c>
      <c r="H3683">
        <v>0</v>
      </c>
      <c r="I3683">
        <v>0</v>
      </c>
      <c r="J3683">
        <v>0.64788259115706293</v>
      </c>
      <c r="K3683">
        <v>0</v>
      </c>
      <c r="L3683">
        <v>0</v>
      </c>
      <c r="M3683">
        <v>0.46741985582960888</v>
      </c>
      <c r="N3683">
        <v>0</v>
      </c>
      <c r="O3683">
        <v>0</v>
      </c>
      <c r="P3683">
        <v>0.51536628127723672</v>
      </c>
      <c r="Q3683">
        <v>1.134284494645273</v>
      </c>
      <c r="R3683">
        <v>3.896529596217142</v>
      </c>
      <c r="S3683">
        <v>0.22597123719193291</v>
      </c>
      <c r="T3683">
        <v>0.17612061981120941</v>
      </c>
      <c r="U3683">
        <v>4.2558247893905383</v>
      </c>
      <c r="V3683">
        <v>0.20544728689892131</v>
      </c>
      <c r="W3683">
        <v>8.7238456667498134</v>
      </c>
      <c r="X3683">
        <v>0.32461187672524761</v>
      </c>
      <c r="Z3683" t="s">
        <v>392</v>
      </c>
      <c r="AA3683">
        <v>114</v>
      </c>
      <c r="AB3683" t="s">
        <v>4074</v>
      </c>
      <c r="AC3683" t="str">
        <f>HYPERLINK("plots/3FT6Y578R04_015_S21P_20251218081014_M5358ACSC201811_RBGEUFRF04/dpll_52084/txpa_55222.png","plot")</f>
        <v>plot</v>
      </c>
    </row>
    <row r="3684" spans="1:29" hidden="1" x14ac:dyDescent="0.35">
      <c r="A3684" t="s">
        <v>49</v>
      </c>
      <c r="B3684">
        <v>52084</v>
      </c>
      <c r="C3684" t="s">
        <v>52</v>
      </c>
      <c r="D3684">
        <v>55223</v>
      </c>
      <c r="E3684" t="s">
        <v>356</v>
      </c>
      <c r="F3684">
        <v>12027</v>
      </c>
      <c r="G3684">
        <v>0.71732562313469628</v>
      </c>
      <c r="H3684">
        <v>0</v>
      </c>
      <c r="I3684">
        <v>0</v>
      </c>
      <c r="J3684">
        <v>0.64138175910612749</v>
      </c>
      <c r="K3684">
        <v>0</v>
      </c>
      <c r="L3684">
        <v>0</v>
      </c>
      <c r="M3684">
        <v>0.46013157378846242</v>
      </c>
      <c r="N3684">
        <v>0</v>
      </c>
      <c r="O3684">
        <v>0</v>
      </c>
      <c r="P3684">
        <v>0.51455604960558032</v>
      </c>
      <c r="Q3684">
        <v>1.1282582216221471</v>
      </c>
      <c r="R3684">
        <v>3.9073832730679552</v>
      </c>
      <c r="S3684">
        <v>0.22511623435139291</v>
      </c>
      <c r="T3684">
        <v>0.1761864279146316</v>
      </c>
      <c r="U3684">
        <v>4.2557921641307059</v>
      </c>
      <c r="V3684">
        <v>0.20542966688110781</v>
      </c>
      <c r="W3684">
        <v>8.7090157717635321</v>
      </c>
      <c r="X3684">
        <v>0.32311366435071071</v>
      </c>
      <c r="Z3684" t="s">
        <v>392</v>
      </c>
      <c r="AA3684">
        <v>114</v>
      </c>
      <c r="AB3684" t="s">
        <v>4075</v>
      </c>
      <c r="AC3684" t="str">
        <f>HYPERLINK("plots/3FT6Y578R04_015_S21P_20251218081014_M5358ACSC201811_RBGEUFRF04/dpll_52084/txpa_55223.png","plot")</f>
        <v>plot</v>
      </c>
    </row>
    <row r="3685" spans="1:29" hidden="1" x14ac:dyDescent="0.35">
      <c r="A3685" t="s">
        <v>49</v>
      </c>
      <c r="B3685">
        <v>52084</v>
      </c>
      <c r="C3685" t="s">
        <v>52</v>
      </c>
      <c r="D3685">
        <v>55224</v>
      </c>
      <c r="E3685" t="s">
        <v>357</v>
      </c>
      <c r="F3685">
        <v>12028</v>
      </c>
      <c r="G3685">
        <v>0.72147113480018277</v>
      </c>
      <c r="H3685">
        <v>0</v>
      </c>
      <c r="I3685">
        <v>0</v>
      </c>
      <c r="J3685">
        <v>0.65420446468085025</v>
      </c>
      <c r="K3685">
        <v>0</v>
      </c>
      <c r="L3685">
        <v>0</v>
      </c>
      <c r="M3685">
        <v>0.47252322374428618</v>
      </c>
      <c r="N3685">
        <v>0</v>
      </c>
      <c r="O3685">
        <v>0</v>
      </c>
      <c r="P3685">
        <v>0.52052059834986353</v>
      </c>
      <c r="Q3685">
        <v>1.1461672366692981</v>
      </c>
      <c r="R3685">
        <v>3.8444247402992908</v>
      </c>
      <c r="S3685">
        <v>0.2259859387695054</v>
      </c>
      <c r="T3685">
        <v>0.17625838086793169</v>
      </c>
      <c r="U3685">
        <v>4.2558177004489526</v>
      </c>
      <c r="V3685">
        <v>0.20544021673558341</v>
      </c>
      <c r="W3685">
        <v>8.7223035537911535</v>
      </c>
      <c r="X3685">
        <v>0.32637320352640342</v>
      </c>
      <c r="Z3685" t="s">
        <v>392</v>
      </c>
      <c r="AA3685">
        <v>114</v>
      </c>
      <c r="AB3685" t="s">
        <v>4076</v>
      </c>
      <c r="AC3685" t="str">
        <f>HYPERLINK("plots/3FT6Y578R04_015_S21P_20251218081014_M5358ACSC201811_RBGEUFRF04/dpll_52084/txpa_55224.png","plot")</f>
        <v>plot</v>
      </c>
    </row>
    <row r="3686" spans="1:29" hidden="1" x14ac:dyDescent="0.35">
      <c r="A3686" t="s">
        <v>49</v>
      </c>
      <c r="B3686">
        <v>52084</v>
      </c>
      <c r="C3686" t="s">
        <v>52</v>
      </c>
      <c r="D3686">
        <v>55225</v>
      </c>
      <c r="E3686" t="s">
        <v>358</v>
      </c>
      <c r="F3686">
        <v>12028</v>
      </c>
      <c r="G3686">
        <v>0.72044586747512318</v>
      </c>
      <c r="H3686">
        <v>0</v>
      </c>
      <c r="I3686">
        <v>0</v>
      </c>
      <c r="J3686">
        <v>0.64780387613236745</v>
      </c>
      <c r="K3686">
        <v>0</v>
      </c>
      <c r="L3686">
        <v>0</v>
      </c>
      <c r="M3686">
        <v>0.46623233184764268</v>
      </c>
      <c r="N3686">
        <v>0</v>
      </c>
      <c r="O3686">
        <v>0</v>
      </c>
      <c r="P3686">
        <v>0.51904224796198273</v>
      </c>
      <c r="Q3686">
        <v>1.127554500591504</v>
      </c>
      <c r="R3686">
        <v>3.9315554229872069</v>
      </c>
      <c r="S3686">
        <v>0.22297545718780759</v>
      </c>
      <c r="T3686">
        <v>0.1749441618007159</v>
      </c>
      <c r="U3686">
        <v>4.2558177004489526</v>
      </c>
      <c r="V3686">
        <v>0.20544021673558341</v>
      </c>
      <c r="W3686">
        <v>8.7302218248254082</v>
      </c>
      <c r="X3686">
        <v>0.32153011272661652</v>
      </c>
      <c r="Z3686" t="s">
        <v>392</v>
      </c>
      <c r="AA3686">
        <v>114</v>
      </c>
      <c r="AB3686" t="s">
        <v>4077</v>
      </c>
      <c r="AC3686" t="str">
        <f>HYPERLINK("plots/3FT6Y578R04_015_S21P_20251218081014_M5358ACSC201811_RBGEUFRF04/dpll_52084/txpa_55225.png","plot")</f>
        <v>plot</v>
      </c>
    </row>
    <row r="3687" spans="1:29" hidden="1" x14ac:dyDescent="0.35">
      <c r="A3687" t="s">
        <v>49</v>
      </c>
      <c r="B3687">
        <v>52084</v>
      </c>
      <c r="C3687" t="s">
        <v>52</v>
      </c>
      <c r="D3687">
        <v>55226</v>
      </c>
      <c r="E3687" t="s">
        <v>359</v>
      </c>
      <c r="F3687">
        <v>12027</v>
      </c>
      <c r="G3687">
        <v>0.71244305662869434</v>
      </c>
      <c r="H3687">
        <v>0</v>
      </c>
      <c r="I3687">
        <v>0</v>
      </c>
      <c r="J3687">
        <v>0.64047014457523532</v>
      </c>
      <c r="K3687">
        <v>0</v>
      </c>
      <c r="L3687">
        <v>0</v>
      </c>
      <c r="M3687">
        <v>0.46112979134632892</v>
      </c>
      <c r="N3687">
        <v>0</v>
      </c>
      <c r="O3687">
        <v>0</v>
      </c>
      <c r="P3687">
        <v>0.50757510893843694</v>
      </c>
      <c r="Q3687">
        <v>1.1259470426584861</v>
      </c>
      <c r="R3687">
        <v>3.9054503780141778</v>
      </c>
      <c r="S3687">
        <v>0.22782007561295109</v>
      </c>
      <c r="T3687">
        <v>0.17712757763042211</v>
      </c>
      <c r="U3687">
        <v>4.2558401814251274</v>
      </c>
      <c r="V3687">
        <v>0.20543396214013371</v>
      </c>
      <c r="W3687">
        <v>8.6973010443169532</v>
      </c>
      <c r="X3687">
        <v>0.32466842083893038</v>
      </c>
      <c r="Z3687" t="s">
        <v>392</v>
      </c>
      <c r="AA3687">
        <v>114</v>
      </c>
      <c r="AB3687" t="s">
        <v>4078</v>
      </c>
      <c r="AC3687" t="str">
        <f>HYPERLINK("plots/3FT6Y578R04_015_S21P_20251218081014_M5358ACSC201811_RBGEUFRF04/dpll_52084/txpa_55226.png","plot")</f>
        <v>plot</v>
      </c>
    </row>
    <row r="3688" spans="1:29" hidden="1" x14ac:dyDescent="0.35">
      <c r="A3688" t="s">
        <v>49</v>
      </c>
      <c r="B3688">
        <v>52084</v>
      </c>
      <c r="C3688" t="s">
        <v>52</v>
      </c>
      <c r="D3688">
        <v>55227</v>
      </c>
      <c r="E3688" t="s">
        <v>360</v>
      </c>
      <c r="F3688">
        <v>12028</v>
      </c>
      <c r="G3688">
        <v>0.69777581099740438</v>
      </c>
      <c r="H3688">
        <v>0</v>
      </c>
      <c r="I3688">
        <v>0</v>
      </c>
      <c r="J3688">
        <v>0.63814717027924217</v>
      </c>
      <c r="K3688">
        <v>0</v>
      </c>
      <c r="L3688">
        <v>0</v>
      </c>
      <c r="M3688">
        <v>0.45719259486225772</v>
      </c>
      <c r="N3688">
        <v>0</v>
      </c>
      <c r="O3688">
        <v>0</v>
      </c>
      <c r="P3688">
        <v>0.48689108241308537</v>
      </c>
      <c r="Q3688">
        <v>1.125427415432932</v>
      </c>
      <c r="R3688">
        <v>4.4231932931772011</v>
      </c>
      <c r="S3688">
        <v>0.2373415486468981</v>
      </c>
      <c r="T3688">
        <v>0.18140472975725849</v>
      </c>
      <c r="U3688">
        <v>4.2558177004489526</v>
      </c>
      <c r="V3688">
        <v>0.20544021673558341</v>
      </c>
      <c r="W3688">
        <v>9.2128072083471899</v>
      </c>
      <c r="X3688">
        <v>0.33135005327315531</v>
      </c>
      <c r="Z3688" t="s">
        <v>392</v>
      </c>
      <c r="AA3688">
        <v>114</v>
      </c>
      <c r="AB3688" t="s">
        <v>4079</v>
      </c>
      <c r="AC3688" t="str">
        <f>HYPERLINK("plots/3FT6Y578R04_015_S21P_20251218081014_M5358ACSC201811_RBGEUFRF04/dpll_52084/txpa_55227.png","plot")</f>
        <v>plot</v>
      </c>
    </row>
    <row r="3689" spans="1:29" hidden="1" x14ac:dyDescent="0.35">
      <c r="A3689" t="s">
        <v>49</v>
      </c>
      <c r="B3689">
        <v>52084</v>
      </c>
      <c r="C3689" t="s">
        <v>52</v>
      </c>
      <c r="D3689">
        <v>55228</v>
      </c>
      <c r="E3689" t="s">
        <v>361</v>
      </c>
      <c r="F3689">
        <v>12028</v>
      </c>
      <c r="G3689">
        <v>0.71804045329592669</v>
      </c>
      <c r="H3689">
        <v>0</v>
      </c>
      <c r="I3689">
        <v>0</v>
      </c>
      <c r="J3689">
        <v>0.65082875013694497</v>
      </c>
      <c r="K3689">
        <v>0</v>
      </c>
      <c r="L3689">
        <v>0</v>
      </c>
      <c r="M3689">
        <v>0.47003901992718228</v>
      </c>
      <c r="N3689">
        <v>0</v>
      </c>
      <c r="O3689">
        <v>0</v>
      </c>
      <c r="P3689">
        <v>0.51558209256941989</v>
      </c>
      <c r="Q3689">
        <v>1.158562645289869</v>
      </c>
      <c r="R3689">
        <v>4.307732874176561</v>
      </c>
      <c r="S3689">
        <v>0.23070027611182231</v>
      </c>
      <c r="T3689">
        <v>0.17914920595223849</v>
      </c>
      <c r="U3689">
        <v>4.2558177004489526</v>
      </c>
      <c r="V3689">
        <v>0.20544021673558341</v>
      </c>
      <c r="W3689">
        <v>9.238364287080147</v>
      </c>
      <c r="X3689">
        <v>0.33147904112863119</v>
      </c>
      <c r="Z3689" t="s">
        <v>392</v>
      </c>
      <c r="AA3689">
        <v>114</v>
      </c>
      <c r="AB3689" t="s">
        <v>4080</v>
      </c>
      <c r="AC3689" t="str">
        <f>HYPERLINK("plots/3FT6Y578R04_015_S21P_20251218081014_M5358ACSC201811_RBGEUFRF04/dpll_52084/txpa_55228.png","plot")</f>
        <v>plot</v>
      </c>
    </row>
    <row r="3690" spans="1:29" hidden="1" x14ac:dyDescent="0.35">
      <c r="A3690" t="s">
        <v>49</v>
      </c>
      <c r="B3690">
        <v>52084</v>
      </c>
      <c r="C3690" t="s">
        <v>52</v>
      </c>
      <c r="D3690">
        <v>55229</v>
      </c>
      <c r="E3690" t="s">
        <v>362</v>
      </c>
      <c r="F3690">
        <v>12028</v>
      </c>
      <c r="G3690">
        <v>0.70710048132053094</v>
      </c>
      <c r="H3690">
        <v>0</v>
      </c>
      <c r="I3690">
        <v>0</v>
      </c>
      <c r="J3690">
        <v>0.63957015007126283</v>
      </c>
      <c r="K3690">
        <v>0</v>
      </c>
      <c r="L3690">
        <v>0</v>
      </c>
      <c r="M3690">
        <v>0.45957996019256908</v>
      </c>
      <c r="N3690">
        <v>0</v>
      </c>
      <c r="O3690">
        <v>0</v>
      </c>
      <c r="P3690">
        <v>0.49999109068372649</v>
      </c>
      <c r="Q3690">
        <v>1.124302292825347</v>
      </c>
      <c r="R3690">
        <v>4.4699110473649499</v>
      </c>
      <c r="S3690">
        <v>0.2309714204390122</v>
      </c>
      <c r="T3690">
        <v>0.17817549823303239</v>
      </c>
      <c r="U3690">
        <v>4.2558177004489526</v>
      </c>
      <c r="V3690">
        <v>0.20544021673558341</v>
      </c>
      <c r="W3690">
        <v>9.2547366458264051</v>
      </c>
      <c r="X3690">
        <v>0.32665358434348218</v>
      </c>
      <c r="Z3690" t="s">
        <v>392</v>
      </c>
      <c r="AA3690">
        <v>114</v>
      </c>
      <c r="AB3690" t="s">
        <v>4081</v>
      </c>
      <c r="AC3690" t="str">
        <f>HYPERLINK("plots/3FT6Y578R04_015_S21P_20251218081014_M5358ACSC201811_RBGEUFRF04/dpll_52084/txpa_55229.png","plot")</f>
        <v>plot</v>
      </c>
    </row>
    <row r="3691" spans="1:29" hidden="1" x14ac:dyDescent="0.35">
      <c r="A3691" t="s">
        <v>49</v>
      </c>
      <c r="B3691">
        <v>52084</v>
      </c>
      <c r="C3691" t="s">
        <v>52</v>
      </c>
      <c r="D3691">
        <v>55230</v>
      </c>
      <c r="E3691" t="s">
        <v>363</v>
      </c>
      <c r="F3691">
        <v>12027</v>
      </c>
      <c r="G3691">
        <v>0.72300624969102423</v>
      </c>
      <c r="H3691">
        <v>0</v>
      </c>
      <c r="I3691">
        <v>0</v>
      </c>
      <c r="J3691">
        <v>0.65178541397198508</v>
      </c>
      <c r="K3691">
        <v>0</v>
      </c>
      <c r="L3691">
        <v>0</v>
      </c>
      <c r="M3691">
        <v>0.47078918443802098</v>
      </c>
      <c r="N3691">
        <v>0</v>
      </c>
      <c r="O3691">
        <v>0</v>
      </c>
      <c r="P3691">
        <v>0.52273803709227962</v>
      </c>
      <c r="Q3691">
        <v>1.158104012745325</v>
      </c>
      <c r="R3691">
        <v>4.3237965624597887</v>
      </c>
      <c r="S3691">
        <v>0.2273349881609073</v>
      </c>
      <c r="T3691">
        <v>0.17690213339027461</v>
      </c>
      <c r="U3691">
        <v>4.2558247893905383</v>
      </c>
      <c r="V3691">
        <v>0.20544728689892131</v>
      </c>
      <c r="W3691">
        <v>9.2524843285939973</v>
      </c>
      <c r="X3691">
        <v>0.3290833619584333</v>
      </c>
      <c r="Z3691" t="s">
        <v>392</v>
      </c>
      <c r="AA3691">
        <v>114</v>
      </c>
      <c r="AB3691" t="s">
        <v>4082</v>
      </c>
      <c r="AC3691" t="str">
        <f>HYPERLINK("plots/3FT6Y578R04_015_S21P_20251218081014_M5358ACSC201811_RBGEUFRF04/dpll_52084/txpa_55230.png","plot")</f>
        <v>plot</v>
      </c>
    </row>
    <row r="3692" spans="1:29" hidden="1" x14ac:dyDescent="0.35">
      <c r="A3692" t="s">
        <v>49</v>
      </c>
      <c r="B3692">
        <v>52084</v>
      </c>
      <c r="C3692" t="s">
        <v>52</v>
      </c>
      <c r="D3692">
        <v>55231</v>
      </c>
      <c r="E3692" t="s">
        <v>364</v>
      </c>
      <c r="F3692">
        <v>12027</v>
      </c>
      <c r="G3692">
        <v>0.72252157157885233</v>
      </c>
      <c r="H3692">
        <v>0</v>
      </c>
      <c r="I3692">
        <v>0</v>
      </c>
      <c r="J3692">
        <v>0.64519172018460524</v>
      </c>
      <c r="K3692">
        <v>0</v>
      </c>
      <c r="L3692">
        <v>0</v>
      </c>
      <c r="M3692">
        <v>0.46335011899597328</v>
      </c>
      <c r="N3692">
        <v>0</v>
      </c>
      <c r="O3692">
        <v>0</v>
      </c>
      <c r="P3692">
        <v>0.52203742139677467</v>
      </c>
      <c r="Q3692">
        <v>1.152091578878174</v>
      </c>
      <c r="R3692">
        <v>4.3342168801463563</v>
      </c>
      <c r="S3692">
        <v>0.22645308328065711</v>
      </c>
      <c r="T3692">
        <v>0.17700463905960931</v>
      </c>
      <c r="U3692">
        <v>4.2557921641307059</v>
      </c>
      <c r="V3692">
        <v>0.20542966688110781</v>
      </c>
      <c r="W3692">
        <v>9.2372791938970646</v>
      </c>
      <c r="X3692">
        <v>0.32756639881117189</v>
      </c>
      <c r="Z3692" t="s">
        <v>392</v>
      </c>
      <c r="AA3692">
        <v>114</v>
      </c>
      <c r="AB3692" t="s">
        <v>4083</v>
      </c>
      <c r="AC3692" t="str">
        <f>HYPERLINK("plots/3FT6Y578R04_015_S21P_20251218081014_M5358ACSC201811_RBGEUFRF04/dpll_52084/txpa_55231.png","plot")</f>
        <v>plot</v>
      </c>
    </row>
    <row r="3693" spans="1:29" hidden="1" x14ac:dyDescent="0.35">
      <c r="A3693" t="s">
        <v>49</v>
      </c>
      <c r="B3693">
        <v>52084</v>
      </c>
      <c r="C3693" t="s">
        <v>52</v>
      </c>
      <c r="D3693">
        <v>55232</v>
      </c>
      <c r="E3693" t="s">
        <v>365</v>
      </c>
      <c r="F3693">
        <v>12028</v>
      </c>
      <c r="G3693">
        <v>0.72626336043587114</v>
      </c>
      <c r="H3693">
        <v>0</v>
      </c>
      <c r="I3693">
        <v>0</v>
      </c>
      <c r="J3693">
        <v>0.65770531977348334</v>
      </c>
      <c r="K3693">
        <v>0</v>
      </c>
      <c r="L3693">
        <v>0</v>
      </c>
      <c r="M3693">
        <v>0.4756382564231918</v>
      </c>
      <c r="N3693">
        <v>0</v>
      </c>
      <c r="O3693">
        <v>0</v>
      </c>
      <c r="P3693">
        <v>0.52745846871160407</v>
      </c>
      <c r="Q3693">
        <v>1.1698752510878481</v>
      </c>
      <c r="R3693">
        <v>4.2719812431670263</v>
      </c>
      <c r="S3693">
        <v>0.22747455346215589</v>
      </c>
      <c r="T3693">
        <v>0.1771232382067971</v>
      </c>
      <c r="U3693">
        <v>4.2558177004489526</v>
      </c>
      <c r="V3693">
        <v>0.20544021673558341</v>
      </c>
      <c r="W3693">
        <v>9.2507570440638514</v>
      </c>
      <c r="X3693">
        <v>0.33092599493500757</v>
      </c>
      <c r="Z3693" t="s">
        <v>392</v>
      </c>
      <c r="AA3693">
        <v>114</v>
      </c>
      <c r="AB3693" t="s">
        <v>4084</v>
      </c>
      <c r="AC3693" t="str">
        <f>HYPERLINK("plots/3FT6Y578R04_015_S21P_20251218081014_M5358ACSC201811_RBGEUFRF04/dpll_52084/txpa_55232.png","plot")</f>
        <v>plot</v>
      </c>
    </row>
    <row r="3694" spans="1:29" hidden="1" x14ac:dyDescent="0.35">
      <c r="A3694" t="s">
        <v>49</v>
      </c>
      <c r="B3694">
        <v>52084</v>
      </c>
      <c r="C3694" t="s">
        <v>52</v>
      </c>
      <c r="D3694">
        <v>55233</v>
      </c>
      <c r="E3694" t="s">
        <v>366</v>
      </c>
      <c r="F3694">
        <v>12028</v>
      </c>
      <c r="G3694">
        <v>0.72554537659996143</v>
      </c>
      <c r="H3694">
        <v>0</v>
      </c>
      <c r="I3694">
        <v>0</v>
      </c>
      <c r="J3694">
        <v>0.65147676302770985</v>
      </c>
      <c r="K3694">
        <v>0</v>
      </c>
      <c r="L3694">
        <v>0</v>
      </c>
      <c r="M3694">
        <v>0.46941253971111763</v>
      </c>
      <c r="N3694">
        <v>0</v>
      </c>
      <c r="O3694">
        <v>0</v>
      </c>
      <c r="P3694">
        <v>0.52641609350557983</v>
      </c>
      <c r="Q3694">
        <v>1.1512383885030499</v>
      </c>
      <c r="R3694">
        <v>4.3594296323041526</v>
      </c>
      <c r="S3694">
        <v>0.22431925918757711</v>
      </c>
      <c r="T3694">
        <v>0.17568501251712321</v>
      </c>
      <c r="U3694">
        <v>4.2558177004489526</v>
      </c>
      <c r="V3694">
        <v>0.20544021673558341</v>
      </c>
      <c r="W3694">
        <v>9.2588903435317604</v>
      </c>
      <c r="X3694">
        <v>0.3259763919339172</v>
      </c>
      <c r="Z3694" t="s">
        <v>392</v>
      </c>
      <c r="AA3694">
        <v>114</v>
      </c>
      <c r="AB3694" t="s">
        <v>4085</v>
      </c>
      <c r="AC3694" t="str">
        <f>HYPERLINK("plots/3FT6Y578R04_015_S21P_20251218081014_M5358ACSC201811_RBGEUFRF04/dpll_52084/txpa_55233.png","plot")</f>
        <v>plot</v>
      </c>
    </row>
    <row r="3695" spans="1:29" hidden="1" x14ac:dyDescent="0.35">
      <c r="A3695" t="s">
        <v>49</v>
      </c>
      <c r="B3695">
        <v>52084</v>
      </c>
      <c r="C3695" t="s">
        <v>52</v>
      </c>
      <c r="D3695">
        <v>55234</v>
      </c>
      <c r="E3695" t="s">
        <v>367</v>
      </c>
      <c r="F3695">
        <v>12027</v>
      </c>
      <c r="G3695">
        <v>0.71764628260001762</v>
      </c>
      <c r="H3695">
        <v>0</v>
      </c>
      <c r="I3695">
        <v>0</v>
      </c>
      <c r="J3695">
        <v>0.64415402358806773</v>
      </c>
      <c r="K3695">
        <v>0</v>
      </c>
      <c r="L3695">
        <v>0</v>
      </c>
      <c r="M3695">
        <v>0.4643161358687648</v>
      </c>
      <c r="N3695">
        <v>0</v>
      </c>
      <c r="O3695">
        <v>0</v>
      </c>
      <c r="P3695">
        <v>0.51501618692962436</v>
      </c>
      <c r="Q3695">
        <v>1.1494959852743629</v>
      </c>
      <c r="R3695">
        <v>4.3346156015067807</v>
      </c>
      <c r="S3695">
        <v>0.22914734395582781</v>
      </c>
      <c r="T3695">
        <v>0.1778368281291606</v>
      </c>
      <c r="U3695">
        <v>4.2558401814251274</v>
      </c>
      <c r="V3695">
        <v>0.20543396214013371</v>
      </c>
      <c r="W3695">
        <v>9.2266868040242791</v>
      </c>
      <c r="X3695">
        <v>0.3290555813422999</v>
      </c>
      <c r="Z3695" t="s">
        <v>392</v>
      </c>
      <c r="AA3695">
        <v>114</v>
      </c>
      <c r="AB3695" t="s">
        <v>4086</v>
      </c>
      <c r="AC3695" t="str">
        <f>HYPERLINK("plots/3FT6Y578R04_015_S21P_20251218081014_M5358ACSC201811_RBGEUFRF04/dpll_52084/txpa_55234.png","plot")</f>
        <v>plot</v>
      </c>
    </row>
    <row r="3696" spans="1:29" hidden="1" x14ac:dyDescent="0.35">
      <c r="A3696" t="s">
        <v>49</v>
      </c>
      <c r="B3696">
        <v>52084</v>
      </c>
      <c r="C3696" t="s">
        <v>52</v>
      </c>
      <c r="D3696">
        <v>55235</v>
      </c>
      <c r="E3696" t="s">
        <v>368</v>
      </c>
      <c r="F3696">
        <v>12028</v>
      </c>
      <c r="G3696">
        <v>0.70269219200382116</v>
      </c>
      <c r="H3696">
        <v>0</v>
      </c>
      <c r="I3696">
        <v>0</v>
      </c>
      <c r="J3696">
        <v>0.64165590579548648</v>
      </c>
      <c r="K3696">
        <v>0</v>
      </c>
      <c r="L3696">
        <v>0</v>
      </c>
      <c r="M3696">
        <v>0.46015797376856671</v>
      </c>
      <c r="N3696">
        <v>0</v>
      </c>
      <c r="O3696">
        <v>0</v>
      </c>
      <c r="P3696">
        <v>0.49377631670313499</v>
      </c>
      <c r="Q3696">
        <v>1.1477754103621001</v>
      </c>
      <c r="R3696">
        <v>4.8232252415097534</v>
      </c>
      <c r="S3696">
        <v>0.2387428799639113</v>
      </c>
      <c r="T3696">
        <v>0.1821647514094768</v>
      </c>
      <c r="U3696">
        <v>4.2558177004489526</v>
      </c>
      <c r="V3696">
        <v>0.20544021673558341</v>
      </c>
      <c r="W3696">
        <v>9.7079481490688391</v>
      </c>
      <c r="X3696">
        <v>0.33556546059825992</v>
      </c>
      <c r="Z3696" t="s">
        <v>392</v>
      </c>
      <c r="AA3696">
        <v>114</v>
      </c>
      <c r="AB3696" t="s">
        <v>4087</v>
      </c>
      <c r="AC3696" t="str">
        <f>HYPERLINK("plots/3FT6Y578R04_015_S21P_20251218081014_M5358ACSC201811_RBGEUFRF04/dpll_52084/txpa_55235.png","plot")</f>
        <v>plot</v>
      </c>
    </row>
    <row r="3697" spans="1:29" hidden="1" x14ac:dyDescent="0.35">
      <c r="A3697" t="s">
        <v>49</v>
      </c>
      <c r="B3697">
        <v>52084</v>
      </c>
      <c r="C3697" t="s">
        <v>52</v>
      </c>
      <c r="D3697">
        <v>55236</v>
      </c>
      <c r="E3697" t="s">
        <v>369</v>
      </c>
      <c r="F3697">
        <v>12028</v>
      </c>
      <c r="G3697">
        <v>0.72260108673568291</v>
      </c>
      <c r="H3697">
        <v>0</v>
      </c>
      <c r="I3697">
        <v>0</v>
      </c>
      <c r="J3697">
        <v>0.6541067690943313</v>
      </c>
      <c r="K3697">
        <v>0</v>
      </c>
      <c r="L3697">
        <v>0</v>
      </c>
      <c r="M3697">
        <v>0.47286667727115872</v>
      </c>
      <c r="N3697">
        <v>0</v>
      </c>
      <c r="O3697">
        <v>0</v>
      </c>
      <c r="P3697">
        <v>0.52215233055158994</v>
      </c>
      <c r="Q3697">
        <v>1.18111528112424</v>
      </c>
      <c r="R3697">
        <v>4.706890400307417</v>
      </c>
      <c r="S3697">
        <v>0.23211639903020559</v>
      </c>
      <c r="T3697">
        <v>0.17992989760593231</v>
      </c>
      <c r="U3697">
        <v>4.2558177004489526</v>
      </c>
      <c r="V3697">
        <v>0.20544021673558341</v>
      </c>
      <c r="W3697">
        <v>9.7335017199866982</v>
      </c>
      <c r="X3697">
        <v>0.33579880213026991</v>
      </c>
      <c r="Z3697" t="s">
        <v>392</v>
      </c>
      <c r="AA3697">
        <v>114</v>
      </c>
      <c r="AB3697" t="s">
        <v>4088</v>
      </c>
      <c r="AC3697" t="str">
        <f>HYPERLINK("plots/3FT6Y578R04_015_S21P_20251218081014_M5358ACSC201811_RBGEUFRF04/dpll_52084/txpa_55236.png","plot")</f>
        <v>plot</v>
      </c>
    </row>
    <row r="3698" spans="1:29" hidden="1" x14ac:dyDescent="0.35">
      <c r="A3698" t="s">
        <v>49</v>
      </c>
      <c r="B3698">
        <v>52084</v>
      </c>
      <c r="C3698" t="s">
        <v>52</v>
      </c>
      <c r="D3698">
        <v>55237</v>
      </c>
      <c r="E3698" t="s">
        <v>370</v>
      </c>
      <c r="F3698">
        <v>12028</v>
      </c>
      <c r="G3698">
        <v>0.71206533529603266</v>
      </c>
      <c r="H3698">
        <v>0</v>
      </c>
      <c r="I3698">
        <v>0</v>
      </c>
      <c r="J3698">
        <v>0.64309206596686241</v>
      </c>
      <c r="K3698">
        <v>0</v>
      </c>
      <c r="L3698">
        <v>0</v>
      </c>
      <c r="M3698">
        <v>0.46256200935088981</v>
      </c>
      <c r="N3698">
        <v>0</v>
      </c>
      <c r="O3698">
        <v>0</v>
      </c>
      <c r="P3698">
        <v>0.50703704173025144</v>
      </c>
      <c r="Q3698">
        <v>1.1470566205469079</v>
      </c>
      <c r="R3698">
        <v>4.8683717886577806</v>
      </c>
      <c r="S3698">
        <v>0.23234833560888041</v>
      </c>
      <c r="T3698">
        <v>0.17889336863045391</v>
      </c>
      <c r="U3698">
        <v>4.2558177004489526</v>
      </c>
      <c r="V3698">
        <v>0.20544021673558341</v>
      </c>
      <c r="W3698">
        <v>9.7500356577984704</v>
      </c>
      <c r="X3698">
        <v>0.330940925013817</v>
      </c>
      <c r="Z3698" t="s">
        <v>392</v>
      </c>
      <c r="AA3698">
        <v>114</v>
      </c>
      <c r="AB3698" t="s">
        <v>4089</v>
      </c>
      <c r="AC3698" t="str">
        <f>HYPERLINK("plots/3FT6Y578R04_015_S21P_20251218081014_M5358ACSC201811_RBGEUFRF04/dpll_52084/txpa_55237.png","plot")</f>
        <v>plot</v>
      </c>
    </row>
    <row r="3699" spans="1:29" hidden="1" x14ac:dyDescent="0.35">
      <c r="A3699" t="s">
        <v>49</v>
      </c>
      <c r="B3699">
        <v>52084</v>
      </c>
      <c r="C3699" t="s">
        <v>52</v>
      </c>
      <c r="D3699">
        <v>55238</v>
      </c>
      <c r="E3699" t="s">
        <v>371</v>
      </c>
      <c r="F3699">
        <v>12027</v>
      </c>
      <c r="G3699">
        <v>0.72763594735779202</v>
      </c>
      <c r="H3699">
        <v>0</v>
      </c>
      <c r="I3699">
        <v>0</v>
      </c>
      <c r="J3699">
        <v>0.65510333937391207</v>
      </c>
      <c r="K3699">
        <v>0</v>
      </c>
      <c r="L3699">
        <v>0</v>
      </c>
      <c r="M3699">
        <v>0.4736266079559272</v>
      </c>
      <c r="N3699">
        <v>0</v>
      </c>
      <c r="O3699">
        <v>0</v>
      </c>
      <c r="P3699">
        <v>0.52945407188727145</v>
      </c>
      <c r="Q3699">
        <v>1.1809658451416949</v>
      </c>
      <c r="R3699">
        <v>4.7213300820197324</v>
      </c>
      <c r="S3699">
        <v>0.22872127095863831</v>
      </c>
      <c r="T3699">
        <v>0.17772705432934721</v>
      </c>
      <c r="U3699">
        <v>4.2558247893905383</v>
      </c>
      <c r="V3699">
        <v>0.20544728689892131</v>
      </c>
      <c r="W3699">
        <v>9.7473138011973059</v>
      </c>
      <c r="X3699">
        <v>0.33344453319779299</v>
      </c>
      <c r="Z3699" t="s">
        <v>392</v>
      </c>
      <c r="AA3699">
        <v>114</v>
      </c>
      <c r="AB3699" t="s">
        <v>4090</v>
      </c>
      <c r="AC3699" t="str">
        <f>HYPERLINK("plots/3FT6Y578R04_015_S21P_20251218081014_M5358ACSC201811_RBGEUFRF04/dpll_52084/txpa_55238.png","plot")</f>
        <v>plot</v>
      </c>
    </row>
    <row r="3700" spans="1:29" hidden="1" x14ac:dyDescent="0.35">
      <c r="A3700" t="s">
        <v>49</v>
      </c>
      <c r="B3700">
        <v>52084</v>
      </c>
      <c r="C3700" t="s">
        <v>52</v>
      </c>
      <c r="D3700">
        <v>55239</v>
      </c>
      <c r="E3700" t="s">
        <v>372</v>
      </c>
      <c r="F3700">
        <v>12027</v>
      </c>
      <c r="G3700">
        <v>0.72721600164301381</v>
      </c>
      <c r="H3700">
        <v>0</v>
      </c>
      <c r="I3700">
        <v>0</v>
      </c>
      <c r="J3700">
        <v>0.64853128121666381</v>
      </c>
      <c r="K3700">
        <v>0</v>
      </c>
      <c r="L3700">
        <v>0</v>
      </c>
      <c r="M3700">
        <v>0.46615416793948927</v>
      </c>
      <c r="N3700">
        <v>0</v>
      </c>
      <c r="O3700">
        <v>0</v>
      </c>
      <c r="P3700">
        <v>0.5288431130456519</v>
      </c>
      <c r="Q3700">
        <v>1.1747612442827231</v>
      </c>
      <c r="R3700">
        <v>4.7322145651813363</v>
      </c>
      <c r="S3700">
        <v>0.22777919934874991</v>
      </c>
      <c r="T3700">
        <v>0.1777733871863412</v>
      </c>
      <c r="U3700">
        <v>4.2557921641307059</v>
      </c>
      <c r="V3700">
        <v>0.20542966688110781</v>
      </c>
      <c r="W3700">
        <v>9.7317542633241878</v>
      </c>
      <c r="X3700">
        <v>0.33185574923075389</v>
      </c>
      <c r="Z3700" t="s">
        <v>392</v>
      </c>
      <c r="AA3700">
        <v>114</v>
      </c>
      <c r="AB3700" t="s">
        <v>4091</v>
      </c>
      <c r="AC3700" t="str">
        <f>HYPERLINK("plots/3FT6Y578R04_015_S21P_20251218081014_M5358ACSC201811_RBGEUFRF04/dpll_52084/txpa_55239.png","plot")</f>
        <v>plot</v>
      </c>
    </row>
    <row r="3701" spans="1:29" hidden="1" x14ac:dyDescent="0.35">
      <c r="A3701" t="s">
        <v>49</v>
      </c>
      <c r="B3701">
        <v>52084</v>
      </c>
      <c r="C3701" t="s">
        <v>52</v>
      </c>
      <c r="D3701">
        <v>55240</v>
      </c>
      <c r="E3701" t="s">
        <v>373</v>
      </c>
      <c r="F3701">
        <v>12028</v>
      </c>
      <c r="G3701">
        <v>0.73063529251659853</v>
      </c>
      <c r="H3701">
        <v>0</v>
      </c>
      <c r="I3701">
        <v>0</v>
      </c>
      <c r="J3701">
        <v>0.66090928233792512</v>
      </c>
      <c r="K3701">
        <v>0</v>
      </c>
      <c r="L3701">
        <v>0</v>
      </c>
      <c r="M3701">
        <v>0.4784241920314542</v>
      </c>
      <c r="N3701">
        <v>0</v>
      </c>
      <c r="O3701">
        <v>0</v>
      </c>
      <c r="P3701">
        <v>0.53382793067081546</v>
      </c>
      <c r="Q3701">
        <v>1.1924580813893619</v>
      </c>
      <c r="R3701">
        <v>4.670890563126215</v>
      </c>
      <c r="S3701">
        <v>0.22891961647865569</v>
      </c>
      <c r="T3701">
        <v>0.17794981723177961</v>
      </c>
      <c r="U3701">
        <v>4.2558177004489526</v>
      </c>
      <c r="V3701">
        <v>0.20544021673558341</v>
      </c>
      <c r="W3701">
        <v>9.7457747729464579</v>
      </c>
      <c r="X3701">
        <v>0.33529566556376439</v>
      </c>
      <c r="Z3701" t="s">
        <v>392</v>
      </c>
      <c r="AA3701">
        <v>114</v>
      </c>
      <c r="AB3701" t="s">
        <v>4092</v>
      </c>
      <c r="AC3701" t="str">
        <f>HYPERLINK("plots/3FT6Y578R04_015_S21P_20251218081014_M5358ACSC201811_RBGEUFRF04/dpll_52084/txpa_55240.png","plot")</f>
        <v>plot</v>
      </c>
    </row>
    <row r="3702" spans="1:29" hidden="1" x14ac:dyDescent="0.35">
      <c r="A3702" t="s">
        <v>49</v>
      </c>
      <c r="B3702">
        <v>52084</v>
      </c>
      <c r="C3702" t="s">
        <v>52</v>
      </c>
      <c r="D3702">
        <v>55241</v>
      </c>
      <c r="E3702" t="s">
        <v>374</v>
      </c>
      <c r="F3702">
        <v>12028</v>
      </c>
      <c r="G3702">
        <v>0.73027984651040601</v>
      </c>
      <c r="H3702">
        <v>0</v>
      </c>
      <c r="I3702">
        <v>0</v>
      </c>
      <c r="J3702">
        <v>0.65461071803318238</v>
      </c>
      <c r="K3702">
        <v>0</v>
      </c>
      <c r="L3702">
        <v>0</v>
      </c>
      <c r="M3702">
        <v>0.47215177321912788</v>
      </c>
      <c r="N3702">
        <v>0</v>
      </c>
      <c r="O3702">
        <v>0</v>
      </c>
      <c r="P3702">
        <v>0.5333086542192621</v>
      </c>
      <c r="Q3702">
        <v>1.1743608920026349</v>
      </c>
      <c r="R3702">
        <v>4.7560298375304928</v>
      </c>
      <c r="S3702">
        <v>0.2256807667286212</v>
      </c>
      <c r="T3702">
        <v>0.17645909808229801</v>
      </c>
      <c r="U3702">
        <v>4.2558177004489526</v>
      </c>
      <c r="V3702">
        <v>0.20544021673558341</v>
      </c>
      <c r="W3702">
        <v>9.7538957084303277</v>
      </c>
      <c r="X3702">
        <v>0.33036781356032752</v>
      </c>
      <c r="Z3702" t="s">
        <v>392</v>
      </c>
      <c r="AA3702">
        <v>114</v>
      </c>
      <c r="AB3702" t="s">
        <v>4093</v>
      </c>
      <c r="AC3702" t="str">
        <f>HYPERLINK("plots/3FT6Y578R04_015_S21P_20251218081014_M5358ACSC201811_RBGEUFRF04/dpll_52084/txpa_55241.png","plot")</f>
        <v>plot</v>
      </c>
    </row>
    <row r="3703" spans="1:29" hidden="1" x14ac:dyDescent="0.35">
      <c r="A3703" t="s">
        <v>49</v>
      </c>
      <c r="B3703">
        <v>52084</v>
      </c>
      <c r="C3703" t="s">
        <v>52</v>
      </c>
      <c r="D3703">
        <v>55242</v>
      </c>
      <c r="E3703" t="s">
        <v>375</v>
      </c>
      <c r="F3703">
        <v>12027</v>
      </c>
      <c r="G3703">
        <v>0.72218730724955027</v>
      </c>
      <c r="H3703">
        <v>0</v>
      </c>
      <c r="I3703">
        <v>0</v>
      </c>
      <c r="J3703">
        <v>0.64734916744027515</v>
      </c>
      <c r="K3703">
        <v>0</v>
      </c>
      <c r="L3703">
        <v>0</v>
      </c>
      <c r="M3703">
        <v>0.46703392298002888</v>
      </c>
      <c r="N3703">
        <v>0</v>
      </c>
      <c r="O3703">
        <v>0</v>
      </c>
      <c r="P3703">
        <v>0.52155450675235637</v>
      </c>
      <c r="Q3703">
        <v>1.171963527515731</v>
      </c>
      <c r="R3703">
        <v>4.7344280892553039</v>
      </c>
      <c r="S3703">
        <v>0.23058691856152949</v>
      </c>
      <c r="T3703">
        <v>0.17870451407016319</v>
      </c>
      <c r="U3703">
        <v>4.2558401814251274</v>
      </c>
      <c r="V3703">
        <v>0.20543396214013371</v>
      </c>
      <c r="W3703">
        <v>9.7221175608214843</v>
      </c>
      <c r="X3703">
        <v>0.3333776549718423</v>
      </c>
      <c r="Z3703" t="s">
        <v>392</v>
      </c>
      <c r="AA3703">
        <v>114</v>
      </c>
      <c r="AB3703" t="s">
        <v>4094</v>
      </c>
      <c r="AC3703" t="str">
        <f>HYPERLINK("plots/3FT6Y578R04_015_S21P_20251218081014_M5358ACSC201811_RBGEUFRF04/dpll_52084/txpa_55242.png","plot")</f>
        <v>plot</v>
      </c>
    </row>
    <row r="3704" spans="1:29" hidden="1" x14ac:dyDescent="0.35">
      <c r="A3704" t="s">
        <v>49</v>
      </c>
      <c r="B3704">
        <v>52084</v>
      </c>
      <c r="C3704" t="s">
        <v>52</v>
      </c>
      <c r="D3704">
        <v>55243</v>
      </c>
      <c r="E3704" t="s">
        <v>376</v>
      </c>
      <c r="F3704">
        <v>12028</v>
      </c>
      <c r="G3704">
        <v>0.71506772947049924</v>
      </c>
      <c r="H3704">
        <v>0</v>
      </c>
      <c r="I3704">
        <v>0</v>
      </c>
      <c r="J3704">
        <v>0.65046928507994317</v>
      </c>
      <c r="K3704">
        <v>0</v>
      </c>
      <c r="L3704">
        <v>0</v>
      </c>
      <c r="M3704">
        <v>0.46787629468091341</v>
      </c>
      <c r="N3704">
        <v>0</v>
      </c>
      <c r="O3704">
        <v>0</v>
      </c>
      <c r="P3704">
        <v>0.51132185773009509</v>
      </c>
      <c r="Q3704">
        <v>1.2125479093361731</v>
      </c>
      <c r="R3704">
        <v>6.1870255391346403</v>
      </c>
      <c r="S3704">
        <v>0.24351773492551801</v>
      </c>
      <c r="T3704">
        <v>0.18472254544412231</v>
      </c>
      <c r="U3704">
        <v>4.2558177004489526</v>
      </c>
      <c r="V3704">
        <v>0.20544021673558341</v>
      </c>
      <c r="W3704">
        <v>11.3474083943299</v>
      </c>
      <c r="X3704">
        <v>0.34836714765573717</v>
      </c>
      <c r="Z3704" t="s">
        <v>392</v>
      </c>
      <c r="AA3704">
        <v>114</v>
      </c>
      <c r="AB3704" t="s">
        <v>4095</v>
      </c>
      <c r="AC3704" t="str">
        <f>HYPERLINK("plots/3FT6Y578R04_015_S21P_20251218081014_M5358ACSC201811_RBGEUFRF04/dpll_52084/txpa_55243.png","plot")</f>
        <v>plot</v>
      </c>
    </row>
    <row r="3705" spans="1:29" hidden="1" x14ac:dyDescent="0.35">
      <c r="A3705" t="s">
        <v>49</v>
      </c>
      <c r="B3705">
        <v>52084</v>
      </c>
      <c r="C3705" t="s">
        <v>52</v>
      </c>
      <c r="D3705">
        <v>55244</v>
      </c>
      <c r="E3705" t="s">
        <v>377</v>
      </c>
      <c r="F3705">
        <v>12028</v>
      </c>
      <c r="G3705">
        <v>0.73440842597210554</v>
      </c>
      <c r="H3705">
        <v>0</v>
      </c>
      <c r="I3705">
        <v>0</v>
      </c>
      <c r="J3705">
        <v>0.66262616582318101</v>
      </c>
      <c r="K3705">
        <v>0</v>
      </c>
      <c r="L3705">
        <v>0</v>
      </c>
      <c r="M3705">
        <v>0.48046906669235362</v>
      </c>
      <c r="N3705">
        <v>0</v>
      </c>
      <c r="O3705">
        <v>0</v>
      </c>
      <c r="P3705">
        <v>0.53935573613882559</v>
      </c>
      <c r="Q3705">
        <v>1.2462045179771031</v>
      </c>
      <c r="R3705">
        <v>6.0680015540634731</v>
      </c>
      <c r="S3705">
        <v>0.23659301274789021</v>
      </c>
      <c r="T3705">
        <v>0.18244627204887481</v>
      </c>
      <c r="U3705">
        <v>4.2558177004489526</v>
      </c>
      <c r="V3705">
        <v>0.20544021673558341</v>
      </c>
      <c r="W3705">
        <v>11.371620800049881</v>
      </c>
      <c r="X3705">
        <v>0.34860782803682561</v>
      </c>
      <c r="Z3705" t="s">
        <v>392</v>
      </c>
      <c r="AA3705">
        <v>114</v>
      </c>
      <c r="AB3705" t="s">
        <v>4096</v>
      </c>
      <c r="AC3705" t="str">
        <f>HYPERLINK("plots/3FT6Y578R04_015_S21P_20251218081014_M5358ACSC201811_RBGEUFRF04/dpll_52084/txpa_55244.png","plot")</f>
        <v>plot</v>
      </c>
    </row>
    <row r="3706" spans="1:29" hidden="1" x14ac:dyDescent="0.35">
      <c r="A3706" t="s">
        <v>49</v>
      </c>
      <c r="B3706">
        <v>52084</v>
      </c>
      <c r="C3706" t="s">
        <v>52</v>
      </c>
      <c r="D3706">
        <v>55245</v>
      </c>
      <c r="E3706" t="s">
        <v>378</v>
      </c>
      <c r="F3706">
        <v>12028</v>
      </c>
      <c r="G3706">
        <v>0.72459648780884089</v>
      </c>
      <c r="H3706">
        <v>0</v>
      </c>
      <c r="I3706">
        <v>0</v>
      </c>
      <c r="J3706">
        <v>0.65209043111216802</v>
      </c>
      <c r="K3706">
        <v>0</v>
      </c>
      <c r="L3706">
        <v>0</v>
      </c>
      <c r="M3706">
        <v>0.4705131818746936</v>
      </c>
      <c r="N3706">
        <v>0</v>
      </c>
      <c r="O3706">
        <v>0</v>
      </c>
      <c r="P3706">
        <v>0.52504007014490772</v>
      </c>
      <c r="Q3706">
        <v>1.2120536864324749</v>
      </c>
      <c r="R3706">
        <v>6.2297142626140714</v>
      </c>
      <c r="S3706">
        <v>0.23682171857111101</v>
      </c>
      <c r="T3706">
        <v>0.1813630506964117</v>
      </c>
      <c r="U3706">
        <v>4.2558177004489526</v>
      </c>
      <c r="V3706">
        <v>0.20544021673558341</v>
      </c>
      <c r="W3706">
        <v>11.3879937952278</v>
      </c>
      <c r="X3706">
        <v>0.34364584458425029</v>
      </c>
      <c r="Z3706" t="s">
        <v>392</v>
      </c>
      <c r="AA3706">
        <v>114</v>
      </c>
      <c r="AB3706" t="s">
        <v>4097</v>
      </c>
      <c r="AC3706" t="str">
        <f>HYPERLINK("plots/3FT6Y578R04_015_S21P_20251218081014_M5358ACSC201811_RBGEUFRF04/dpll_52084/txpa_55245.png","plot")</f>
        <v>plot</v>
      </c>
    </row>
    <row r="3707" spans="1:29" hidden="1" x14ac:dyDescent="0.35">
      <c r="A3707" t="s">
        <v>49</v>
      </c>
      <c r="B3707">
        <v>52084</v>
      </c>
      <c r="C3707" t="s">
        <v>52</v>
      </c>
      <c r="D3707">
        <v>55246</v>
      </c>
      <c r="E3707" t="s">
        <v>379</v>
      </c>
      <c r="F3707">
        <v>12027</v>
      </c>
      <c r="G3707">
        <v>0.73932375328898892</v>
      </c>
      <c r="H3707">
        <v>0</v>
      </c>
      <c r="I3707">
        <v>0</v>
      </c>
      <c r="J3707">
        <v>0.66341191888418449</v>
      </c>
      <c r="K3707">
        <v>0</v>
      </c>
      <c r="L3707">
        <v>0</v>
      </c>
      <c r="M3707">
        <v>0.48101208848391891</v>
      </c>
      <c r="N3707">
        <v>0</v>
      </c>
      <c r="O3707">
        <v>0</v>
      </c>
      <c r="P3707">
        <v>0.54659961217731778</v>
      </c>
      <c r="Q3707">
        <v>1.2448499709158409</v>
      </c>
      <c r="R3707">
        <v>6.0866969909028246</v>
      </c>
      <c r="S3707">
        <v>0.23291939437727799</v>
      </c>
      <c r="T3707">
        <v>0.18014453468311331</v>
      </c>
      <c r="U3707">
        <v>4.2558247893905383</v>
      </c>
      <c r="V3707">
        <v>0.20544728689892131</v>
      </c>
      <c r="W3707">
        <v>11.38456035619855</v>
      </c>
      <c r="X3707">
        <v>0.34592564892324251</v>
      </c>
      <c r="Z3707" t="s">
        <v>392</v>
      </c>
      <c r="AA3707">
        <v>114</v>
      </c>
      <c r="AB3707" t="s">
        <v>4098</v>
      </c>
      <c r="AC3707" t="str">
        <f>HYPERLINK("plots/3FT6Y578R04_015_S21P_20251218081014_M5358ACSC201811_RBGEUFRF04/dpll_52084/txpa_55246.png","plot")</f>
        <v>plot</v>
      </c>
    </row>
    <row r="3708" spans="1:29" hidden="1" x14ac:dyDescent="0.35">
      <c r="A3708" t="s">
        <v>49</v>
      </c>
      <c r="B3708">
        <v>52084</v>
      </c>
      <c r="C3708" t="s">
        <v>52</v>
      </c>
      <c r="D3708">
        <v>55247</v>
      </c>
      <c r="E3708" t="s">
        <v>380</v>
      </c>
      <c r="F3708">
        <v>12027</v>
      </c>
      <c r="G3708">
        <v>0.73883269371656768</v>
      </c>
      <c r="H3708">
        <v>0</v>
      </c>
      <c r="I3708">
        <v>0</v>
      </c>
      <c r="J3708">
        <v>0.65650730486748154</v>
      </c>
      <c r="K3708">
        <v>0</v>
      </c>
      <c r="L3708">
        <v>0</v>
      </c>
      <c r="M3708">
        <v>0.47315335349061838</v>
      </c>
      <c r="N3708">
        <v>0</v>
      </c>
      <c r="O3708">
        <v>0</v>
      </c>
      <c r="P3708">
        <v>0.54587374930447952</v>
      </c>
      <c r="Q3708">
        <v>1.2396562715582951</v>
      </c>
      <c r="R3708">
        <v>6.0924269587910036</v>
      </c>
      <c r="S3708">
        <v>0.23226757548982491</v>
      </c>
      <c r="T3708">
        <v>0.1804346302759694</v>
      </c>
      <c r="U3708">
        <v>4.2557921641307059</v>
      </c>
      <c r="V3708">
        <v>0.20542966688110781</v>
      </c>
      <c r="W3708">
        <v>11.36814640550428</v>
      </c>
      <c r="X3708">
        <v>0.3446817893673107</v>
      </c>
      <c r="Z3708" t="s">
        <v>392</v>
      </c>
      <c r="AA3708">
        <v>114</v>
      </c>
      <c r="AB3708" t="s">
        <v>4099</v>
      </c>
      <c r="AC3708" t="str">
        <f>HYPERLINK("plots/3FT6Y578R04_015_S21P_20251218081014_M5358ACSC201811_RBGEUFRF04/dpll_52084/txpa_55247.png","plot")</f>
        <v>plot</v>
      </c>
    </row>
    <row r="3709" spans="1:29" hidden="1" x14ac:dyDescent="0.35">
      <c r="A3709" t="s">
        <v>49</v>
      </c>
      <c r="B3709">
        <v>52084</v>
      </c>
      <c r="C3709" t="s">
        <v>52</v>
      </c>
      <c r="D3709">
        <v>55248</v>
      </c>
      <c r="E3709" t="s">
        <v>381</v>
      </c>
      <c r="F3709">
        <v>12027</v>
      </c>
      <c r="G3709">
        <v>0.74384224745979466</v>
      </c>
      <c r="H3709">
        <v>0</v>
      </c>
      <c r="I3709">
        <v>0</v>
      </c>
      <c r="J3709">
        <v>0.66880860690937904</v>
      </c>
      <c r="K3709">
        <v>0</v>
      </c>
      <c r="L3709">
        <v>0</v>
      </c>
      <c r="M3709">
        <v>0.48554465071398378</v>
      </c>
      <c r="N3709">
        <v>0</v>
      </c>
      <c r="O3709">
        <v>0</v>
      </c>
      <c r="P3709">
        <v>0.55330128910603837</v>
      </c>
      <c r="Q3709">
        <v>1.258549423594483</v>
      </c>
      <c r="R3709">
        <v>6.0277662251606587</v>
      </c>
      <c r="S3709">
        <v>0.23228882672925799</v>
      </c>
      <c r="T3709">
        <v>0.18029521112013419</v>
      </c>
      <c r="U3709">
        <v>4.2557881821734433</v>
      </c>
      <c r="V3709">
        <v>0.20542324838451659</v>
      </c>
      <c r="W3709">
        <v>11.38388598877526</v>
      </c>
      <c r="X3709">
        <v>0.34756739312687901</v>
      </c>
      <c r="Z3709" t="s">
        <v>392</v>
      </c>
      <c r="AA3709">
        <v>114</v>
      </c>
      <c r="AB3709" t="s">
        <v>4100</v>
      </c>
      <c r="AC3709" t="str">
        <f>HYPERLINK("plots/3FT6Y578R04_015_S21P_20251218081014_M5358ACSC201811_RBGEUFRF04/dpll_52084/txpa_55248.png","plot")</f>
        <v>plot</v>
      </c>
    </row>
    <row r="3710" spans="1:29" hidden="1" x14ac:dyDescent="0.35">
      <c r="A3710" t="s">
        <v>49</v>
      </c>
      <c r="B3710">
        <v>52084</v>
      </c>
      <c r="C3710" t="s">
        <v>52</v>
      </c>
      <c r="D3710">
        <v>55249</v>
      </c>
      <c r="E3710" t="s">
        <v>382</v>
      </c>
      <c r="F3710">
        <v>12028</v>
      </c>
      <c r="G3710">
        <v>0.74194513079689961</v>
      </c>
      <c r="H3710">
        <v>0</v>
      </c>
      <c r="I3710">
        <v>0</v>
      </c>
      <c r="J3710">
        <v>0.66257964884128373</v>
      </c>
      <c r="K3710">
        <v>0</v>
      </c>
      <c r="L3710">
        <v>0</v>
      </c>
      <c r="M3710">
        <v>0.47920691899830559</v>
      </c>
      <c r="N3710">
        <v>0</v>
      </c>
      <c r="O3710">
        <v>0</v>
      </c>
      <c r="P3710">
        <v>0.55048257711322846</v>
      </c>
      <c r="Q3710">
        <v>1.2386267471474339</v>
      </c>
      <c r="R3710">
        <v>6.1210404196135686</v>
      </c>
      <c r="S3710">
        <v>0.22993725369510221</v>
      </c>
      <c r="T3710">
        <v>0.17878561806413079</v>
      </c>
      <c r="U3710">
        <v>4.2558177004489526</v>
      </c>
      <c r="V3710">
        <v>0.20544021673558341</v>
      </c>
      <c r="W3710">
        <v>11.39241005437313</v>
      </c>
      <c r="X3710">
        <v>0.34296841750972668</v>
      </c>
      <c r="Z3710" t="s">
        <v>392</v>
      </c>
      <c r="AA3710">
        <v>114</v>
      </c>
      <c r="AB3710" t="s">
        <v>4101</v>
      </c>
      <c r="AC3710" t="str">
        <f>HYPERLINK("plots/3FT6Y578R04_015_S21P_20251218081014_M5358ACSC201811_RBGEUFRF04/dpll_52084/txpa_55249.png","plot")</f>
        <v>plot</v>
      </c>
    </row>
    <row r="3711" spans="1:29" hidden="1" x14ac:dyDescent="0.35">
      <c r="A3711" t="s">
        <v>49</v>
      </c>
      <c r="B3711">
        <v>52084</v>
      </c>
      <c r="C3711" t="s">
        <v>52</v>
      </c>
      <c r="D3711">
        <v>55250</v>
      </c>
      <c r="E3711" t="s">
        <v>383</v>
      </c>
      <c r="F3711">
        <v>12027</v>
      </c>
      <c r="G3711">
        <v>0.73373745822239544</v>
      </c>
      <c r="H3711">
        <v>0</v>
      </c>
      <c r="I3711">
        <v>0</v>
      </c>
      <c r="J3711">
        <v>0.65501508923961915</v>
      </c>
      <c r="K3711">
        <v>0</v>
      </c>
      <c r="L3711">
        <v>0</v>
      </c>
      <c r="M3711">
        <v>0.47383230540603721</v>
      </c>
      <c r="N3711">
        <v>0</v>
      </c>
      <c r="O3711">
        <v>0</v>
      </c>
      <c r="P3711">
        <v>0.53837065759866154</v>
      </c>
      <c r="Q3711">
        <v>1.235391531598979</v>
      </c>
      <c r="R3711">
        <v>6.1050701980964188</v>
      </c>
      <c r="S3711">
        <v>0.23499835307990091</v>
      </c>
      <c r="T3711">
        <v>0.18118808241389109</v>
      </c>
      <c r="U3711">
        <v>4.2558401814251274</v>
      </c>
      <c r="V3711">
        <v>0.20543396214013371</v>
      </c>
      <c r="W3711">
        <v>11.362699118067679</v>
      </c>
      <c r="X3711">
        <v>0.34588853858653978</v>
      </c>
      <c r="Z3711" t="s">
        <v>392</v>
      </c>
      <c r="AA3711">
        <v>114</v>
      </c>
      <c r="AB3711" t="s">
        <v>4102</v>
      </c>
      <c r="AC3711" t="str">
        <f>HYPERLINK("plots/3FT6Y578R04_015_S21P_20251218081014_M5358ACSC201811_RBGEUFRF04/dpll_52084/txpa_55250.png","plot")</f>
        <v>plot</v>
      </c>
    </row>
    <row r="3712" spans="1:29" hidden="1" x14ac:dyDescent="0.35">
      <c r="A3712" t="s">
        <v>49</v>
      </c>
      <c r="B3712">
        <v>52084</v>
      </c>
      <c r="C3712" t="s">
        <v>52</v>
      </c>
      <c r="D3712">
        <v>55251</v>
      </c>
      <c r="E3712" t="s">
        <v>384</v>
      </c>
      <c r="F3712">
        <v>12028</v>
      </c>
      <c r="G3712">
        <v>0.71789982592792634</v>
      </c>
      <c r="H3712">
        <v>0</v>
      </c>
      <c r="I3712">
        <v>0</v>
      </c>
      <c r="J3712">
        <v>0.65205863494376759</v>
      </c>
      <c r="K3712">
        <v>0</v>
      </c>
      <c r="L3712">
        <v>0</v>
      </c>
      <c r="M3712">
        <v>0.46936953608604881</v>
      </c>
      <c r="N3712">
        <v>0</v>
      </c>
      <c r="O3712">
        <v>0</v>
      </c>
      <c r="P3712">
        <v>0.51538016006734699</v>
      </c>
      <c r="Q3712">
        <v>1.2281458229103901</v>
      </c>
      <c r="R3712">
        <v>6.7005911967919598</v>
      </c>
      <c r="S3712">
        <v>0.24465499822588749</v>
      </c>
      <c r="T3712">
        <v>0.1852406685238378</v>
      </c>
      <c r="U3712">
        <v>4.2558177004489526</v>
      </c>
      <c r="V3712">
        <v>0.20544021673558341</v>
      </c>
      <c r="W3712">
        <v>11.92735592866644</v>
      </c>
      <c r="X3712">
        <v>0.3514564775322051</v>
      </c>
      <c r="Z3712" t="s">
        <v>392</v>
      </c>
      <c r="AA3712">
        <v>114</v>
      </c>
      <c r="AB3712" t="s">
        <v>4103</v>
      </c>
      <c r="AC3712" t="str">
        <f>HYPERLINK("plots/3FT6Y578R04_015_S21P_20251218081014_M5358ACSC201811_RBGEUFRF04/dpll_52084/txpa_55251.png","plot")</f>
        <v>plot</v>
      </c>
    </row>
    <row r="3713" spans="1:29" hidden="1" x14ac:dyDescent="0.35">
      <c r="A3713" t="s">
        <v>49</v>
      </c>
      <c r="B3713">
        <v>52084</v>
      </c>
      <c r="C3713" t="s">
        <v>52</v>
      </c>
      <c r="D3713">
        <v>55252</v>
      </c>
      <c r="E3713" t="s">
        <v>385</v>
      </c>
      <c r="F3713">
        <v>12028</v>
      </c>
      <c r="G3713">
        <v>0.7370059277190435</v>
      </c>
      <c r="H3713">
        <v>0</v>
      </c>
      <c r="I3713">
        <v>0</v>
      </c>
      <c r="J3713">
        <v>0.66415802243545485</v>
      </c>
      <c r="K3713">
        <v>0</v>
      </c>
      <c r="L3713">
        <v>0</v>
      </c>
      <c r="M3713">
        <v>0.48196748271371009</v>
      </c>
      <c r="N3713">
        <v>0</v>
      </c>
      <c r="O3713">
        <v>0</v>
      </c>
      <c r="P3713">
        <v>0.54317773749300802</v>
      </c>
      <c r="Q3713">
        <v>1.261783617924142</v>
      </c>
      <c r="R3713">
        <v>6.5814445923573919</v>
      </c>
      <c r="S3713">
        <v>0.23771410084273531</v>
      </c>
      <c r="T3713">
        <v>0.1829666951499429</v>
      </c>
      <c r="U3713">
        <v>4.2558177004489526</v>
      </c>
      <c r="V3713">
        <v>0.20544021673558341</v>
      </c>
      <c r="W3713">
        <v>11.95136564765547</v>
      </c>
      <c r="X3713">
        <v>0.35172186571416952</v>
      </c>
      <c r="Z3713" t="s">
        <v>392</v>
      </c>
      <c r="AA3713">
        <v>114</v>
      </c>
      <c r="AB3713" t="s">
        <v>4104</v>
      </c>
      <c r="AC3713" t="str">
        <f>HYPERLINK("plots/3FT6Y578R04_015_S21P_20251218081014_M5358ACSC201811_RBGEUFRF04/dpll_52084/txpa_55252.png","plot")</f>
        <v>plot</v>
      </c>
    </row>
    <row r="3714" spans="1:29" hidden="1" x14ac:dyDescent="0.35">
      <c r="A3714" t="s">
        <v>49</v>
      </c>
      <c r="B3714">
        <v>52084</v>
      </c>
      <c r="C3714" t="s">
        <v>52</v>
      </c>
      <c r="D3714">
        <v>55253</v>
      </c>
      <c r="E3714" t="s">
        <v>386</v>
      </c>
      <c r="F3714">
        <v>12028</v>
      </c>
      <c r="G3714">
        <v>0.72725579303341625</v>
      </c>
      <c r="H3714">
        <v>0</v>
      </c>
      <c r="I3714">
        <v>0</v>
      </c>
      <c r="J3714">
        <v>0.65352389324352778</v>
      </c>
      <c r="K3714">
        <v>0</v>
      </c>
      <c r="L3714">
        <v>0</v>
      </c>
      <c r="M3714">
        <v>0.47185514462032901</v>
      </c>
      <c r="N3714">
        <v>0</v>
      </c>
      <c r="O3714">
        <v>0</v>
      </c>
      <c r="P3714">
        <v>0.52890098850066314</v>
      </c>
      <c r="Q3714">
        <v>1.2274129028705201</v>
      </c>
      <c r="R3714">
        <v>6.7442793482567538</v>
      </c>
      <c r="S3714">
        <v>0.23797262535764099</v>
      </c>
      <c r="T3714">
        <v>0.18192015277019499</v>
      </c>
      <c r="U3714">
        <v>4.2558177004489526</v>
      </c>
      <c r="V3714">
        <v>0.20544021673558341</v>
      </c>
      <c r="W3714">
        <v>11.96792490605254</v>
      </c>
      <c r="X3714">
        <v>0.34672803600229962</v>
      </c>
      <c r="Z3714" t="s">
        <v>392</v>
      </c>
      <c r="AA3714">
        <v>114</v>
      </c>
      <c r="AB3714" t="s">
        <v>4105</v>
      </c>
      <c r="AC3714" t="str">
        <f>HYPERLINK("plots/3FT6Y578R04_015_S21P_20251218081014_M5358ACSC201811_RBGEUFRF04/dpll_52084/txpa_55253.png","plot")</f>
        <v>plot</v>
      </c>
    </row>
    <row r="3715" spans="1:29" hidden="1" x14ac:dyDescent="0.35">
      <c r="A3715" t="s">
        <v>49</v>
      </c>
      <c r="B3715">
        <v>52084</v>
      </c>
      <c r="C3715" t="s">
        <v>52</v>
      </c>
      <c r="D3715">
        <v>55254</v>
      </c>
      <c r="E3715" t="s">
        <v>387</v>
      </c>
      <c r="F3715">
        <v>12027</v>
      </c>
      <c r="G3715">
        <v>0.74178925571725707</v>
      </c>
      <c r="H3715">
        <v>0</v>
      </c>
      <c r="I3715">
        <v>0</v>
      </c>
      <c r="J3715">
        <v>0.66479659626740228</v>
      </c>
      <c r="K3715">
        <v>0</v>
      </c>
      <c r="L3715">
        <v>0</v>
      </c>
      <c r="M3715">
        <v>0.48233040391613108</v>
      </c>
      <c r="N3715">
        <v>0</v>
      </c>
      <c r="O3715">
        <v>0</v>
      </c>
      <c r="P3715">
        <v>0.55025129989756216</v>
      </c>
      <c r="Q3715">
        <v>1.260326753781768</v>
      </c>
      <c r="R3715">
        <v>6.6004050550063571</v>
      </c>
      <c r="S3715">
        <v>0.23408302973928369</v>
      </c>
      <c r="T3715">
        <v>0.180764794798211</v>
      </c>
      <c r="U3715">
        <v>4.2558247893905383</v>
      </c>
      <c r="V3715">
        <v>0.20544728689892131</v>
      </c>
      <c r="W3715">
        <v>11.964134896482911</v>
      </c>
      <c r="X3715">
        <v>0.34906236532129542</v>
      </c>
      <c r="Z3715" t="s">
        <v>392</v>
      </c>
      <c r="AA3715">
        <v>114</v>
      </c>
      <c r="AB3715" t="s">
        <v>4106</v>
      </c>
      <c r="AC3715" t="str">
        <f>HYPERLINK("plots/3FT6Y578R04_015_S21P_20251218081014_M5358ACSC201811_RBGEUFRF04/dpll_52084/txpa_55254.png","plot")</f>
        <v>plot</v>
      </c>
    </row>
    <row r="3716" spans="1:29" hidden="1" x14ac:dyDescent="0.35">
      <c r="A3716" t="s">
        <v>49</v>
      </c>
      <c r="B3716">
        <v>52084</v>
      </c>
      <c r="C3716" t="s">
        <v>52</v>
      </c>
      <c r="D3716">
        <v>55255</v>
      </c>
      <c r="E3716" t="s">
        <v>388</v>
      </c>
      <c r="F3716">
        <v>12027</v>
      </c>
      <c r="G3716">
        <v>0.74137135153113642</v>
      </c>
      <c r="H3716">
        <v>0</v>
      </c>
      <c r="I3716">
        <v>0</v>
      </c>
      <c r="J3716">
        <v>0.65790401360770057</v>
      </c>
      <c r="K3716">
        <v>0</v>
      </c>
      <c r="L3716">
        <v>0</v>
      </c>
      <c r="M3716">
        <v>0.47444791442932421</v>
      </c>
      <c r="N3716">
        <v>0</v>
      </c>
      <c r="O3716">
        <v>0</v>
      </c>
      <c r="P3716">
        <v>0.54963148087110381</v>
      </c>
      <c r="Q3716">
        <v>1.255384793386658</v>
      </c>
      <c r="R3716">
        <v>6.6044767803554221</v>
      </c>
      <c r="S3716">
        <v>0.23343726317556909</v>
      </c>
      <c r="T3716">
        <v>0.18107101034743661</v>
      </c>
      <c r="U3716">
        <v>4.2557921641307059</v>
      </c>
      <c r="V3716">
        <v>0.20542966688110781</v>
      </c>
      <c r="W3716">
        <v>11.947133547019209</v>
      </c>
      <c r="X3716">
        <v>0.34785978630062903</v>
      </c>
      <c r="Z3716" t="s">
        <v>392</v>
      </c>
      <c r="AA3716">
        <v>114</v>
      </c>
      <c r="AB3716" t="s">
        <v>4107</v>
      </c>
      <c r="AC3716" t="str">
        <f>HYPERLINK("plots/3FT6Y578R04_015_S21P_20251218081014_M5358ACSC201811_RBGEUFRF04/dpll_52084/txpa_55255.png","plot")</f>
        <v>plot</v>
      </c>
    </row>
    <row r="3717" spans="1:29" hidden="1" x14ac:dyDescent="0.35">
      <c r="A3717" t="s">
        <v>49</v>
      </c>
      <c r="B3717">
        <v>52084</v>
      </c>
      <c r="C3717" t="s">
        <v>52</v>
      </c>
      <c r="D3717">
        <v>55256</v>
      </c>
      <c r="E3717" t="s">
        <v>389</v>
      </c>
      <c r="F3717">
        <v>12027</v>
      </c>
      <c r="G3717">
        <v>0.7462822896232929</v>
      </c>
      <c r="H3717">
        <v>0</v>
      </c>
      <c r="I3717">
        <v>0</v>
      </c>
      <c r="J3717">
        <v>0.67016032361970235</v>
      </c>
      <c r="K3717">
        <v>0</v>
      </c>
      <c r="L3717">
        <v>0</v>
      </c>
      <c r="M3717">
        <v>0.48689842405803019</v>
      </c>
      <c r="N3717">
        <v>0</v>
      </c>
      <c r="O3717">
        <v>0</v>
      </c>
      <c r="P3717">
        <v>0.55693725580538445</v>
      </c>
      <c r="Q3717">
        <v>1.274201842235376</v>
      </c>
      <c r="R3717">
        <v>6.5406768672571429</v>
      </c>
      <c r="S3717">
        <v>0.23345288572683981</v>
      </c>
      <c r="T3717">
        <v>0.18091859630899251</v>
      </c>
      <c r="U3717">
        <v>4.2557881821734433</v>
      </c>
      <c r="V3717">
        <v>0.20542324838451659</v>
      </c>
      <c r="W3717">
        <v>11.96341000914609</v>
      </c>
      <c r="X3717">
        <v>0.35073950590687669</v>
      </c>
      <c r="Z3717" t="s">
        <v>392</v>
      </c>
      <c r="AA3717">
        <v>114</v>
      </c>
      <c r="AB3717" t="s">
        <v>4108</v>
      </c>
      <c r="AC3717" t="str">
        <f>HYPERLINK("plots/3FT6Y578R04_015_S21P_20251218081014_M5358ACSC201811_RBGEUFRF04/dpll_52084/txpa_55256.png","plot")</f>
        <v>plot</v>
      </c>
    </row>
    <row r="3718" spans="1:29" hidden="1" x14ac:dyDescent="0.35">
      <c r="A3718" t="s">
        <v>49</v>
      </c>
      <c r="B3718">
        <v>52084</v>
      </c>
      <c r="C3718" t="s">
        <v>52</v>
      </c>
      <c r="D3718">
        <v>55257</v>
      </c>
      <c r="E3718" t="s">
        <v>390</v>
      </c>
      <c r="F3718">
        <v>12028</v>
      </c>
      <c r="G3718">
        <v>0.74454134518023707</v>
      </c>
      <c r="H3718">
        <v>0</v>
      </c>
      <c r="I3718">
        <v>0</v>
      </c>
      <c r="J3718">
        <v>0.66396247307657574</v>
      </c>
      <c r="K3718">
        <v>0</v>
      </c>
      <c r="L3718">
        <v>0</v>
      </c>
      <c r="M3718">
        <v>0.48052336434282372</v>
      </c>
      <c r="N3718">
        <v>0</v>
      </c>
      <c r="O3718">
        <v>0</v>
      </c>
      <c r="P3718">
        <v>0.55434181468279697</v>
      </c>
      <c r="Q3718">
        <v>1.2543789356799799</v>
      </c>
      <c r="R3718">
        <v>6.6338122924328928</v>
      </c>
      <c r="S3718">
        <v>0.23105123113501169</v>
      </c>
      <c r="T3718">
        <v>0.17930641489126861</v>
      </c>
      <c r="U3718">
        <v>4.2558177004489526</v>
      </c>
      <c r="V3718">
        <v>0.20544021673558341</v>
      </c>
      <c r="W3718">
        <v>11.972220369970071</v>
      </c>
      <c r="X3718">
        <v>0.3461189658342777</v>
      </c>
      <c r="Z3718" t="s">
        <v>392</v>
      </c>
      <c r="AA3718">
        <v>114</v>
      </c>
      <c r="AB3718" t="s">
        <v>4109</v>
      </c>
      <c r="AC3718" t="str">
        <f>HYPERLINK("plots/3FT6Y578R04_015_S21P_20251218081014_M5358ACSC201811_RBGEUFRF04/dpll_52084/txpa_55257.png","plot")</f>
        <v>plot</v>
      </c>
    </row>
    <row r="3719" spans="1:29" hidden="1" x14ac:dyDescent="0.35">
      <c r="A3719" t="s">
        <v>49</v>
      </c>
      <c r="B3719">
        <v>52084</v>
      </c>
      <c r="C3719" t="s">
        <v>52</v>
      </c>
      <c r="D3719">
        <v>55258</v>
      </c>
      <c r="E3719" t="s">
        <v>391</v>
      </c>
      <c r="F3719">
        <v>12027</v>
      </c>
      <c r="G3719">
        <v>0.73610991074699561</v>
      </c>
      <c r="H3719">
        <v>0</v>
      </c>
      <c r="I3719">
        <v>0</v>
      </c>
      <c r="J3719">
        <v>0.65619282123753642</v>
      </c>
      <c r="K3719">
        <v>0</v>
      </c>
      <c r="L3719">
        <v>0</v>
      </c>
      <c r="M3719">
        <v>0.47499625212516228</v>
      </c>
      <c r="N3719">
        <v>0</v>
      </c>
      <c r="O3719">
        <v>0</v>
      </c>
      <c r="P3719">
        <v>0.54185780069994982</v>
      </c>
      <c r="Q3719">
        <v>1.2506225909138049</v>
      </c>
      <c r="R3719">
        <v>6.6204751927237648</v>
      </c>
      <c r="S3719">
        <v>0.23623157157097571</v>
      </c>
      <c r="T3719">
        <v>0.18181156235195231</v>
      </c>
      <c r="U3719">
        <v>4.2558401814251274</v>
      </c>
      <c r="V3719">
        <v>0.20543396214013371</v>
      </c>
      <c r="W3719">
        <v>11.942925066932739</v>
      </c>
      <c r="X3719">
        <v>0.34902444627143109</v>
      </c>
      <c r="Z3719" t="s">
        <v>392</v>
      </c>
      <c r="AA3719">
        <v>114</v>
      </c>
      <c r="AB3719" t="s">
        <v>4110</v>
      </c>
      <c r="AC3719" t="str">
        <f>HYPERLINK("plots/3FT6Y578R04_015_S21P_20251218081014_M5358ACSC201811_RBGEUFRF04/dpll_52084/txpa_55258.png","plot")</f>
        <v>plot</v>
      </c>
    </row>
    <row r="3720" spans="1:29" hidden="1" x14ac:dyDescent="0.35">
      <c r="A3720" t="s">
        <v>49</v>
      </c>
      <c r="B3720">
        <v>52094</v>
      </c>
      <c r="C3720" t="s">
        <v>53</v>
      </c>
      <c r="D3720">
        <v>53179</v>
      </c>
      <c r="E3720" t="s">
        <v>54</v>
      </c>
      <c r="F3720">
        <v>12028</v>
      </c>
      <c r="G3720">
        <v>0.30408323034190582</v>
      </c>
      <c r="H3720">
        <v>1.0148712267703021E-255</v>
      </c>
      <c r="I3720">
        <v>1.0809657814549229E-255</v>
      </c>
      <c r="J3720">
        <v>0.28126085359821679</v>
      </c>
      <c r="K3720">
        <v>1.5856162445078589E-217</v>
      </c>
      <c r="L3720">
        <v>1.694220096871411E-217</v>
      </c>
      <c r="M3720">
        <v>0.19001590833834561</v>
      </c>
      <c r="N3720">
        <v>3.8103618457678377E-214</v>
      </c>
      <c r="O3720">
        <v>4.0713455338341276E-214</v>
      </c>
      <c r="P3720">
        <v>9.246661097516852E-2</v>
      </c>
      <c r="Q3720">
        <v>1.467487138717557</v>
      </c>
      <c r="R3720">
        <v>-27.072146504087939</v>
      </c>
      <c r="S3720">
        <v>1.094611265731207</v>
      </c>
      <c r="T3720">
        <v>0.82699772273563177</v>
      </c>
      <c r="U3720">
        <v>4.2436712643831056</v>
      </c>
      <c r="V3720">
        <v>0.23810297856178911</v>
      </c>
      <c r="W3720">
        <v>-20.844613502660462</v>
      </c>
      <c r="X3720">
        <v>1.149070464480707</v>
      </c>
      <c r="Z3720" t="s">
        <v>392</v>
      </c>
      <c r="AA3720">
        <v>114</v>
      </c>
      <c r="AB3720" t="s">
        <v>4111</v>
      </c>
      <c r="AC3720" t="str">
        <f>HYPERLINK("plots/3FT6Y578R04_015_S21P_20251218081014_M5358ACSC201811_RBGEUFRF04/dpll_52094/txpa_53179.png","plot")</f>
        <v>plot</v>
      </c>
    </row>
    <row r="3721" spans="1:29" hidden="1" x14ac:dyDescent="0.35">
      <c r="A3721" t="s">
        <v>49</v>
      </c>
      <c r="B3721">
        <v>52094</v>
      </c>
      <c r="C3721" t="s">
        <v>53</v>
      </c>
      <c r="D3721">
        <v>53180</v>
      </c>
      <c r="E3721" t="s">
        <v>55</v>
      </c>
      <c r="F3721">
        <v>12028</v>
      </c>
      <c r="G3721">
        <v>0.32072508576928038</v>
      </c>
      <c r="H3721">
        <v>7.7731362578201024E-286</v>
      </c>
      <c r="I3721">
        <v>8.4029426070677866E-286</v>
      </c>
      <c r="J3721">
        <v>0.29391774195540948</v>
      </c>
      <c r="K3721">
        <v>2.8508229764005189E-238</v>
      </c>
      <c r="L3721">
        <v>3.0850955155497609E-238</v>
      </c>
      <c r="M3721">
        <v>0.1989204388123724</v>
      </c>
      <c r="N3721">
        <v>1.6243366526708739E-234</v>
      </c>
      <c r="O3721">
        <v>1.7578200275435069E-234</v>
      </c>
      <c r="P3721">
        <v>0.10286458064171231</v>
      </c>
      <c r="Q3721">
        <v>1.520085123312322</v>
      </c>
      <c r="R3721">
        <v>-27.22952101930521</v>
      </c>
      <c r="S3721">
        <v>1.068835215689677</v>
      </c>
      <c r="T3721">
        <v>0.81023863148560871</v>
      </c>
      <c r="U3721">
        <v>4.2436712643831056</v>
      </c>
      <c r="V3721">
        <v>0.23810297856178911</v>
      </c>
      <c r="W3721">
        <v>-20.778779462088458</v>
      </c>
      <c r="X3721">
        <v>1.128495436083518</v>
      </c>
      <c r="Z3721" t="s">
        <v>392</v>
      </c>
      <c r="AA3721">
        <v>114</v>
      </c>
      <c r="AB3721" t="s">
        <v>4112</v>
      </c>
      <c r="AC3721" t="str">
        <f>HYPERLINK("plots/3FT6Y578R04_015_S21P_20251218081014_M5358ACSC201811_RBGEUFRF04/dpll_52094/txpa_53180.png","plot")</f>
        <v>plot</v>
      </c>
    </row>
    <row r="3722" spans="1:29" hidden="1" x14ac:dyDescent="0.35">
      <c r="A3722" t="s">
        <v>49</v>
      </c>
      <c r="B3722">
        <v>52094</v>
      </c>
      <c r="C3722" t="s">
        <v>53</v>
      </c>
      <c r="D3722">
        <v>53181</v>
      </c>
      <c r="E3722" t="s">
        <v>56</v>
      </c>
      <c r="F3722">
        <v>12028</v>
      </c>
      <c r="G3722">
        <v>0.29880910886078049</v>
      </c>
      <c r="H3722">
        <v>1.404813996505971E-246</v>
      </c>
      <c r="I3722">
        <v>1.491603552311052E-246</v>
      </c>
      <c r="J3722">
        <v>0.26879780289610122</v>
      </c>
      <c r="K3722">
        <v>3.8726193782951532E-198</v>
      </c>
      <c r="L3722">
        <v>4.1032769588205703E-198</v>
      </c>
      <c r="M3722">
        <v>0.18206966731779661</v>
      </c>
      <c r="N3722">
        <v>8.3281207395228864E-197</v>
      </c>
      <c r="O3722">
        <v>8.824153009275033E-197</v>
      </c>
      <c r="P3722">
        <v>8.9286883538173767E-2</v>
      </c>
      <c r="Q3722">
        <v>1.405221586243246</v>
      </c>
      <c r="R3722">
        <v>-26.68104327357943</v>
      </c>
      <c r="S3722">
        <v>1.0685345028238999</v>
      </c>
      <c r="T3722">
        <v>0.80495541187839514</v>
      </c>
      <c r="U3722">
        <v>4.2436712643831056</v>
      </c>
      <c r="V3722">
        <v>0.23810297856178911</v>
      </c>
      <c r="W3722">
        <v>-20.717744807948119</v>
      </c>
      <c r="X3722">
        <v>1.119736431394158</v>
      </c>
      <c r="Z3722" t="s">
        <v>392</v>
      </c>
      <c r="AA3722">
        <v>114</v>
      </c>
      <c r="AB3722" t="s">
        <v>4113</v>
      </c>
      <c r="AC3722" t="str">
        <f>HYPERLINK("plots/3FT6Y578R04_015_S21P_20251218081014_M5358ACSC201811_RBGEUFRF04/dpll_52094/txpa_53181.png","plot")</f>
        <v>plot</v>
      </c>
    </row>
    <row r="3723" spans="1:29" hidden="1" x14ac:dyDescent="0.35">
      <c r="A3723" t="s">
        <v>49</v>
      </c>
      <c r="B3723">
        <v>52094</v>
      </c>
      <c r="C3723" t="s">
        <v>53</v>
      </c>
      <c r="D3723">
        <v>53182</v>
      </c>
      <c r="E3723" t="s">
        <v>57</v>
      </c>
      <c r="F3723">
        <v>12028</v>
      </c>
      <c r="G3723">
        <v>0.31015951690059229</v>
      </c>
      <c r="H3723">
        <v>1.7219181570609099E-266</v>
      </c>
      <c r="I3723">
        <v>1.8456924009088401E-266</v>
      </c>
      <c r="J3723">
        <v>0.28044721101792242</v>
      </c>
      <c r="K3723">
        <v>3.1415934049189578E-216</v>
      </c>
      <c r="L3723">
        <v>3.3497115800082269E-216</v>
      </c>
      <c r="M3723">
        <v>0.18971373640830719</v>
      </c>
      <c r="N3723">
        <v>1.575476242313051E-213</v>
      </c>
      <c r="O3723">
        <v>1.6798453309205399E-213</v>
      </c>
      <c r="P3723">
        <v>9.6198925924008791E-2</v>
      </c>
      <c r="Q3723">
        <v>1.4554209123188899</v>
      </c>
      <c r="R3723">
        <v>-26.77989792646893</v>
      </c>
      <c r="S3723">
        <v>1.062152070093549</v>
      </c>
      <c r="T3723">
        <v>0.79191978342082425</v>
      </c>
      <c r="U3723">
        <v>4.2436712643831056</v>
      </c>
      <c r="V3723">
        <v>0.23810297856178911</v>
      </c>
      <c r="W3723">
        <v>-20.603570023279019</v>
      </c>
      <c r="X3723">
        <v>1.1172962150160679</v>
      </c>
      <c r="Z3723" t="s">
        <v>392</v>
      </c>
      <c r="AA3723">
        <v>114</v>
      </c>
      <c r="AB3723" t="s">
        <v>4114</v>
      </c>
      <c r="AC3723" t="str">
        <f>HYPERLINK("plots/3FT6Y578R04_015_S21P_20251218081014_M5358ACSC201811_RBGEUFRF04/dpll_52094/txpa_53182.png","plot")</f>
        <v>plot</v>
      </c>
    </row>
    <row r="3724" spans="1:29" hidden="1" x14ac:dyDescent="0.35">
      <c r="A3724" t="s">
        <v>49</v>
      </c>
      <c r="B3724">
        <v>52094</v>
      </c>
      <c r="C3724" t="s">
        <v>53</v>
      </c>
      <c r="D3724">
        <v>53183</v>
      </c>
      <c r="E3724" t="s">
        <v>58</v>
      </c>
      <c r="F3724">
        <v>12028</v>
      </c>
      <c r="G3724">
        <v>0.32201527590048512</v>
      </c>
      <c r="H3724">
        <v>2.9778895129932849E-288</v>
      </c>
      <c r="I3724">
        <v>3.222604019397216E-288</v>
      </c>
      <c r="J3724">
        <v>0.28822039638231223</v>
      </c>
      <c r="K3724">
        <v>8.4405789769754536E-229</v>
      </c>
      <c r="L3724">
        <v>9.0857187713939587E-229</v>
      </c>
      <c r="M3724">
        <v>0.19523991450105091</v>
      </c>
      <c r="N3724">
        <v>5.0793859931114492E-226</v>
      </c>
      <c r="O3724">
        <v>5.4676193174257E-226</v>
      </c>
      <c r="P3724">
        <v>0.1036938379132656</v>
      </c>
      <c r="Q3724">
        <v>1.5071032329493099</v>
      </c>
      <c r="R3724">
        <v>-27.03066393869387</v>
      </c>
      <c r="S3724">
        <v>1.0549733578648119</v>
      </c>
      <c r="T3724">
        <v>0.79182548170008882</v>
      </c>
      <c r="U3724">
        <v>4.2436712643831056</v>
      </c>
      <c r="V3724">
        <v>0.23810297856178911</v>
      </c>
      <c r="W3724">
        <v>-20.635013256568008</v>
      </c>
      <c r="X3724">
        <v>1.114374986596069</v>
      </c>
      <c r="Z3724" t="s">
        <v>392</v>
      </c>
      <c r="AA3724">
        <v>114</v>
      </c>
      <c r="AB3724" t="s">
        <v>4115</v>
      </c>
      <c r="AC3724" t="str">
        <f>HYPERLINK("plots/3FT6Y578R04_015_S21P_20251218081014_M5358ACSC201811_RBGEUFRF04/dpll_52094/txpa_53183.png","plot")</f>
        <v>plot</v>
      </c>
    </row>
    <row r="3725" spans="1:29" hidden="1" x14ac:dyDescent="0.35">
      <c r="A3725" t="s">
        <v>49</v>
      </c>
      <c r="B3725">
        <v>52094</v>
      </c>
      <c r="C3725" t="s">
        <v>53</v>
      </c>
      <c r="D3725">
        <v>53184</v>
      </c>
      <c r="E3725" t="s">
        <v>59</v>
      </c>
      <c r="F3725">
        <v>12028</v>
      </c>
      <c r="G3725">
        <v>0.31383383240215712</v>
      </c>
      <c r="H3725">
        <v>3.961856844443599E-273</v>
      </c>
      <c r="I3725">
        <v>4.2601514743009636E-273</v>
      </c>
      <c r="J3725">
        <v>0.28553545153644888</v>
      </c>
      <c r="K3725">
        <v>2.0610926472508419E-224</v>
      </c>
      <c r="L3725">
        <v>2.2139279071105438E-224</v>
      </c>
      <c r="M3725">
        <v>0.19307802752842651</v>
      </c>
      <c r="N3725">
        <v>4.6703225598108337E-221</v>
      </c>
      <c r="O3725">
        <v>5.011330238781148E-221</v>
      </c>
      <c r="P3725">
        <v>9.849167436022524E-2</v>
      </c>
      <c r="Q3725">
        <v>1.4942469670741629</v>
      </c>
      <c r="R3725">
        <v>-27.086799706054261</v>
      </c>
      <c r="S3725">
        <v>1.0763518651667729</v>
      </c>
      <c r="T3725">
        <v>0.80935673374832684</v>
      </c>
      <c r="U3725">
        <v>4.2436712643831056</v>
      </c>
      <c r="V3725">
        <v>0.23810297856178911</v>
      </c>
      <c r="W3725">
        <v>-20.74570678999002</v>
      </c>
      <c r="X3725">
        <v>1.1336720800431841</v>
      </c>
      <c r="Z3725" t="s">
        <v>392</v>
      </c>
      <c r="AA3725">
        <v>114</v>
      </c>
      <c r="AB3725" t="s">
        <v>4116</v>
      </c>
      <c r="AC3725" t="str">
        <f>HYPERLINK("plots/3FT6Y578R04_015_S21P_20251218081014_M5358ACSC201811_RBGEUFRF04/dpll_52094/txpa_53184.png","plot")</f>
        <v>plot</v>
      </c>
    </row>
    <row r="3726" spans="1:29" hidden="1" x14ac:dyDescent="0.35">
      <c r="A3726" t="s">
        <v>49</v>
      </c>
      <c r="B3726">
        <v>52094</v>
      </c>
      <c r="C3726" t="s">
        <v>53</v>
      </c>
      <c r="D3726">
        <v>53185</v>
      </c>
      <c r="E3726" t="s">
        <v>60</v>
      </c>
      <c r="F3726">
        <v>12028</v>
      </c>
      <c r="G3726">
        <v>0.30938903310528992</v>
      </c>
      <c r="H3726">
        <v>4.1302091524488428E-265</v>
      </c>
      <c r="I3726">
        <v>4.4224203596442737E-265</v>
      </c>
      <c r="J3726">
        <v>0.27830479322197899</v>
      </c>
      <c r="K3726">
        <v>7.7839042477929057E-213</v>
      </c>
      <c r="L3726">
        <v>8.2821394619748232E-213</v>
      </c>
      <c r="M3726">
        <v>0.18869014576388721</v>
      </c>
      <c r="N3726">
        <v>3.13920979832931E-211</v>
      </c>
      <c r="O3726">
        <v>3.3401455776557402E-211</v>
      </c>
      <c r="P3726">
        <v>9.5721573805826146E-2</v>
      </c>
      <c r="Q3726">
        <v>1.457543367259355</v>
      </c>
      <c r="R3726">
        <v>-26.912418173269629</v>
      </c>
      <c r="S3726">
        <v>1.066631558867204</v>
      </c>
      <c r="T3726">
        <v>0.79969151672275429</v>
      </c>
      <c r="U3726">
        <v>4.2436712643831056</v>
      </c>
      <c r="V3726">
        <v>0.23810297856178911</v>
      </c>
      <c r="W3726">
        <v>-20.727083269038911</v>
      </c>
      <c r="X3726">
        <v>1.12171208411685</v>
      </c>
      <c r="Z3726" t="s">
        <v>392</v>
      </c>
      <c r="AA3726">
        <v>114</v>
      </c>
      <c r="AB3726" t="s">
        <v>4117</v>
      </c>
      <c r="AC3726" t="str">
        <f>HYPERLINK("plots/3FT6Y578R04_015_S21P_20251218081014_M5358ACSC201811_RBGEUFRF04/dpll_52094/txpa_53185.png","plot")</f>
        <v>plot</v>
      </c>
    </row>
    <row r="3727" spans="1:29" hidden="1" x14ac:dyDescent="0.35">
      <c r="A3727" t="s">
        <v>49</v>
      </c>
      <c r="B3727">
        <v>52094</v>
      </c>
      <c r="C3727" t="s">
        <v>53</v>
      </c>
      <c r="D3727">
        <v>53186</v>
      </c>
      <c r="E3727" t="s">
        <v>61</v>
      </c>
      <c r="F3727">
        <v>12028</v>
      </c>
      <c r="G3727">
        <v>0.28871996444862891</v>
      </c>
      <c r="H3727">
        <v>1.272446640205609E-229</v>
      </c>
      <c r="I3727">
        <v>1.3468276546643921E-229</v>
      </c>
      <c r="J3727">
        <v>0.26347070621991148</v>
      </c>
      <c r="K3727">
        <v>3.6786096814291071E-190</v>
      </c>
      <c r="L3727">
        <v>3.873427016582673E-190</v>
      </c>
      <c r="M3727">
        <v>0.1786113837788087</v>
      </c>
      <c r="N3727">
        <v>2.0187566823680038E-189</v>
      </c>
      <c r="O3727">
        <v>2.1256690300323531E-189</v>
      </c>
      <c r="P3727">
        <v>8.3359217871217514E-2</v>
      </c>
      <c r="Q3727">
        <v>1.394335045105106</v>
      </c>
      <c r="R3727">
        <v>-26.814534344346999</v>
      </c>
      <c r="S3727">
        <v>1.1008716536784651</v>
      </c>
      <c r="T3727">
        <v>0.83546196188574839</v>
      </c>
      <c r="U3727">
        <v>4.2436712643831056</v>
      </c>
      <c r="V3727">
        <v>0.23810297856178911</v>
      </c>
      <c r="W3727">
        <v>-20.897434780512139</v>
      </c>
      <c r="X3727">
        <v>1.14988697780781</v>
      </c>
      <c r="Z3727" t="s">
        <v>392</v>
      </c>
      <c r="AA3727">
        <v>114</v>
      </c>
      <c r="AB3727" t="s">
        <v>4118</v>
      </c>
      <c r="AC3727" t="str">
        <f>HYPERLINK("plots/3FT6Y578R04_015_S21P_20251218081014_M5358ACSC201811_RBGEUFRF04/dpll_52094/txpa_53186.png","plot")</f>
        <v>plot</v>
      </c>
    </row>
    <row r="3728" spans="1:29" hidden="1" x14ac:dyDescent="0.35">
      <c r="A3728" t="s">
        <v>49</v>
      </c>
      <c r="B3728">
        <v>52094</v>
      </c>
      <c r="C3728" t="s">
        <v>53</v>
      </c>
      <c r="D3728">
        <v>53187</v>
      </c>
      <c r="E3728" t="s">
        <v>62</v>
      </c>
      <c r="F3728">
        <v>12028</v>
      </c>
      <c r="G3728">
        <v>0.59761709851695577</v>
      </c>
      <c r="H3728">
        <v>0</v>
      </c>
      <c r="I3728">
        <v>0</v>
      </c>
      <c r="J3728">
        <v>0.50223130521118498</v>
      </c>
      <c r="K3728">
        <v>0</v>
      </c>
      <c r="L3728">
        <v>0</v>
      </c>
      <c r="M3728">
        <v>0.34859568989690171</v>
      </c>
      <c r="N3728">
        <v>0</v>
      </c>
      <c r="O3728">
        <v>0</v>
      </c>
      <c r="P3728">
        <v>0.35714619643982481</v>
      </c>
      <c r="Q3728">
        <v>0.79534876380608177</v>
      </c>
      <c r="R3728">
        <v>-14.76575848794093</v>
      </c>
      <c r="S3728">
        <v>0.25406069318676278</v>
      </c>
      <c r="T3728">
        <v>0.19867214518731599</v>
      </c>
      <c r="U3728">
        <v>4.2436712643831056</v>
      </c>
      <c r="V3728">
        <v>0.23810297856178911</v>
      </c>
      <c r="W3728">
        <v>-11.390559793814431</v>
      </c>
      <c r="X3728">
        <v>0.31688335244693783</v>
      </c>
      <c r="Z3728" t="s">
        <v>392</v>
      </c>
      <c r="AA3728">
        <v>114</v>
      </c>
      <c r="AB3728" t="s">
        <v>4119</v>
      </c>
      <c r="AC3728" t="str">
        <f>HYPERLINK("plots/3FT6Y578R04_015_S21P_20251218081014_M5358ACSC201811_RBGEUFRF04/dpll_52094/txpa_53187.png","plot")</f>
        <v>plot</v>
      </c>
    </row>
    <row r="3729" spans="1:29" hidden="1" x14ac:dyDescent="0.35">
      <c r="A3729" t="s">
        <v>49</v>
      </c>
      <c r="B3729">
        <v>52094</v>
      </c>
      <c r="C3729" t="s">
        <v>53</v>
      </c>
      <c r="D3729">
        <v>53188</v>
      </c>
      <c r="E3729" t="s">
        <v>63</v>
      </c>
      <c r="F3729">
        <v>12028</v>
      </c>
      <c r="G3729">
        <v>0.62182571752084681</v>
      </c>
      <c r="H3729">
        <v>0</v>
      </c>
      <c r="I3729">
        <v>0</v>
      </c>
      <c r="J3729">
        <v>0.52040979783543828</v>
      </c>
      <c r="K3729">
        <v>0</v>
      </c>
      <c r="L3729">
        <v>0</v>
      </c>
      <c r="M3729">
        <v>0.36451901144165533</v>
      </c>
      <c r="N3729">
        <v>0</v>
      </c>
      <c r="O3729">
        <v>0</v>
      </c>
      <c r="P3729">
        <v>0.38666722297031603</v>
      </c>
      <c r="Q3729">
        <v>0.82296052300856082</v>
      </c>
      <c r="R3729">
        <v>-14.81976112058592</v>
      </c>
      <c r="S3729">
        <v>0.2467772864223661</v>
      </c>
      <c r="T3729">
        <v>0.19311344084536691</v>
      </c>
      <c r="U3729">
        <v>4.2436712643831056</v>
      </c>
      <c r="V3729">
        <v>0.23810297856178911</v>
      </c>
      <c r="W3729">
        <v>-11.327387197372801</v>
      </c>
      <c r="X3729">
        <v>0.31511940765064428</v>
      </c>
      <c r="Z3729" t="s">
        <v>392</v>
      </c>
      <c r="AA3729">
        <v>114</v>
      </c>
      <c r="AB3729" t="s">
        <v>4120</v>
      </c>
      <c r="AC3729" t="str">
        <f>HYPERLINK("plots/3FT6Y578R04_015_S21P_20251218081014_M5358ACSC201811_RBGEUFRF04/dpll_52094/txpa_53188.png","plot")</f>
        <v>plot</v>
      </c>
    </row>
    <row r="3730" spans="1:29" hidden="1" x14ac:dyDescent="0.35">
      <c r="A3730" t="s">
        <v>49</v>
      </c>
      <c r="B3730">
        <v>52094</v>
      </c>
      <c r="C3730" t="s">
        <v>53</v>
      </c>
      <c r="D3730">
        <v>53189</v>
      </c>
      <c r="E3730" t="s">
        <v>64</v>
      </c>
      <c r="F3730">
        <v>12028</v>
      </c>
      <c r="G3730">
        <v>0.60229511543074443</v>
      </c>
      <c r="H3730">
        <v>0</v>
      </c>
      <c r="I3730">
        <v>0</v>
      </c>
      <c r="J3730">
        <v>0.49856423469618921</v>
      </c>
      <c r="K3730">
        <v>0</v>
      </c>
      <c r="L3730">
        <v>0</v>
      </c>
      <c r="M3730">
        <v>0.34699335602753462</v>
      </c>
      <c r="N3730">
        <v>0</v>
      </c>
      <c r="O3730">
        <v>0</v>
      </c>
      <c r="P3730">
        <v>0.36275940607173368</v>
      </c>
      <c r="Q3730">
        <v>0.78129147539939137</v>
      </c>
      <c r="R3730">
        <v>-14.617759872485021</v>
      </c>
      <c r="S3730">
        <v>0.2465484267519456</v>
      </c>
      <c r="T3730">
        <v>0.19340208739167769</v>
      </c>
      <c r="U3730">
        <v>4.2436712643831056</v>
      </c>
      <c r="V3730">
        <v>0.23810297856178911</v>
      </c>
      <c r="W3730">
        <v>-11.30221568922514</v>
      </c>
      <c r="X3730">
        <v>0.308864911322563</v>
      </c>
      <c r="Z3730" t="s">
        <v>392</v>
      </c>
      <c r="AA3730">
        <v>114</v>
      </c>
      <c r="AB3730" t="s">
        <v>4121</v>
      </c>
      <c r="AC3730" t="str">
        <f>HYPERLINK("plots/3FT6Y578R04_015_S21P_20251218081014_M5358ACSC201811_RBGEUFRF04/dpll_52094/txpa_53189.png","plot")</f>
        <v>plot</v>
      </c>
    </row>
    <row r="3731" spans="1:29" hidden="1" x14ac:dyDescent="0.35">
      <c r="A3731" t="s">
        <v>49</v>
      </c>
      <c r="B3731">
        <v>52094</v>
      </c>
      <c r="C3731" t="s">
        <v>53</v>
      </c>
      <c r="D3731">
        <v>53190</v>
      </c>
      <c r="E3731" t="s">
        <v>65</v>
      </c>
      <c r="F3731">
        <v>12028</v>
      </c>
      <c r="G3731">
        <v>0.62665457717125006</v>
      </c>
      <c r="H3731">
        <v>0</v>
      </c>
      <c r="I3731">
        <v>0</v>
      </c>
      <c r="J3731">
        <v>0.51804805273135313</v>
      </c>
      <c r="K3731">
        <v>0</v>
      </c>
      <c r="L3731">
        <v>0</v>
      </c>
      <c r="M3731">
        <v>0.36276308761397152</v>
      </c>
      <c r="N3731">
        <v>0</v>
      </c>
      <c r="O3731">
        <v>0</v>
      </c>
      <c r="P3731">
        <v>0.39269595908967819</v>
      </c>
      <c r="Q3731">
        <v>0.82564664133335608</v>
      </c>
      <c r="R3731">
        <v>-14.761238559882569</v>
      </c>
      <c r="S3731">
        <v>0.24446453380839181</v>
      </c>
      <c r="T3731">
        <v>0.1916726620405704</v>
      </c>
      <c r="U3731">
        <v>4.2436712643831056</v>
      </c>
      <c r="V3731">
        <v>0.23810297856178911</v>
      </c>
      <c r="W3731">
        <v>-11.257465633521781</v>
      </c>
      <c r="X3731">
        <v>0.31371178269920458</v>
      </c>
      <c r="Z3731" t="s">
        <v>392</v>
      </c>
      <c r="AA3731">
        <v>114</v>
      </c>
      <c r="AB3731" t="s">
        <v>4122</v>
      </c>
      <c r="AC3731" t="str">
        <f>HYPERLINK("plots/3FT6Y578R04_015_S21P_20251218081014_M5358ACSC201811_RBGEUFRF04/dpll_52094/txpa_53190.png","plot")</f>
        <v>plot</v>
      </c>
    </row>
    <row r="3732" spans="1:29" hidden="1" x14ac:dyDescent="0.35">
      <c r="A3732" t="s">
        <v>49</v>
      </c>
      <c r="B3732">
        <v>52094</v>
      </c>
      <c r="C3732" t="s">
        <v>53</v>
      </c>
      <c r="D3732">
        <v>53191</v>
      </c>
      <c r="E3732" t="s">
        <v>66</v>
      </c>
      <c r="F3732">
        <v>12027</v>
      </c>
      <c r="G3732">
        <v>0.63388135777916466</v>
      </c>
      <c r="H3732">
        <v>0</v>
      </c>
      <c r="I3732">
        <v>0</v>
      </c>
      <c r="J3732">
        <v>0.52297545028567016</v>
      </c>
      <c r="K3732">
        <v>0</v>
      </c>
      <c r="L3732">
        <v>0</v>
      </c>
      <c r="M3732">
        <v>0.36622132606114421</v>
      </c>
      <c r="N3732">
        <v>0</v>
      </c>
      <c r="O3732">
        <v>0</v>
      </c>
      <c r="P3732">
        <v>0.40180557573995729</v>
      </c>
      <c r="Q3732">
        <v>0.83270186120565515</v>
      </c>
      <c r="R3732">
        <v>-14.797640069928139</v>
      </c>
      <c r="S3732">
        <v>0.241895459026154</v>
      </c>
      <c r="T3732">
        <v>0.18991660901062979</v>
      </c>
      <c r="U3732">
        <v>4.2436418554918101</v>
      </c>
      <c r="V3732">
        <v>0.23809103076034549</v>
      </c>
      <c r="W3732">
        <v>-11.263951598569889</v>
      </c>
      <c r="X3732">
        <v>0.31276964059192802</v>
      </c>
      <c r="Z3732" t="s">
        <v>392</v>
      </c>
      <c r="AA3732">
        <v>114</v>
      </c>
      <c r="AB3732" t="s">
        <v>4123</v>
      </c>
      <c r="AC3732" t="str">
        <f>HYPERLINK("plots/3FT6Y578R04_015_S21P_20251218081014_M5358ACSC201811_RBGEUFRF04/dpll_52094/txpa_53191.png","plot")</f>
        <v>plot</v>
      </c>
    </row>
    <row r="3733" spans="1:29" hidden="1" x14ac:dyDescent="0.35">
      <c r="A3733" t="s">
        <v>49</v>
      </c>
      <c r="B3733">
        <v>52094</v>
      </c>
      <c r="C3733" t="s">
        <v>53</v>
      </c>
      <c r="D3733">
        <v>53192</v>
      </c>
      <c r="E3733" t="s">
        <v>67</v>
      </c>
      <c r="F3733">
        <v>12027</v>
      </c>
      <c r="G3733">
        <v>0.63432689911997719</v>
      </c>
      <c r="H3733">
        <v>0</v>
      </c>
      <c r="I3733">
        <v>0</v>
      </c>
      <c r="J3733">
        <v>0.53080178344196638</v>
      </c>
      <c r="K3733">
        <v>0</v>
      </c>
      <c r="L3733">
        <v>0</v>
      </c>
      <c r="M3733">
        <v>0.37245769501253179</v>
      </c>
      <c r="N3733">
        <v>0</v>
      </c>
      <c r="O3733">
        <v>0</v>
      </c>
      <c r="P3733">
        <v>0.40237061494716581</v>
      </c>
      <c r="Q3733">
        <v>0.82529330950609103</v>
      </c>
      <c r="R3733">
        <v>-14.80943191997649</v>
      </c>
      <c r="S3733">
        <v>0.23948348359760821</v>
      </c>
      <c r="T3733">
        <v>0.18747089105056389</v>
      </c>
      <c r="U3733">
        <v>4.2436743160389128</v>
      </c>
      <c r="V3733">
        <v>0.2381126426370794</v>
      </c>
      <c r="W3733">
        <v>-11.307155899226739</v>
      </c>
      <c r="X3733">
        <v>0.30979731609967232</v>
      </c>
      <c r="Z3733" t="s">
        <v>392</v>
      </c>
      <c r="AA3733">
        <v>114</v>
      </c>
      <c r="AB3733" t="s">
        <v>4124</v>
      </c>
      <c r="AC3733" t="str">
        <f>HYPERLINK("plots/3FT6Y578R04_015_S21P_20251218081014_M5358ACSC201811_RBGEUFRF04/dpll_52094/txpa_53192.png","plot")</f>
        <v>plot</v>
      </c>
    </row>
    <row r="3734" spans="1:29" hidden="1" x14ac:dyDescent="0.35">
      <c r="A3734" t="s">
        <v>49</v>
      </c>
      <c r="B3734">
        <v>52094</v>
      </c>
      <c r="C3734" t="s">
        <v>53</v>
      </c>
      <c r="D3734">
        <v>53193</v>
      </c>
      <c r="E3734" t="s">
        <v>68</v>
      </c>
      <c r="F3734">
        <v>12028</v>
      </c>
      <c r="G3734">
        <v>0.63366688967010276</v>
      </c>
      <c r="H3734">
        <v>0</v>
      </c>
      <c r="I3734">
        <v>0</v>
      </c>
      <c r="J3734">
        <v>0.53041352661265739</v>
      </c>
      <c r="K3734">
        <v>0</v>
      </c>
      <c r="L3734">
        <v>0</v>
      </c>
      <c r="M3734">
        <v>0.3719685762560595</v>
      </c>
      <c r="N3734">
        <v>0</v>
      </c>
      <c r="O3734">
        <v>0</v>
      </c>
      <c r="P3734">
        <v>0.40153372706418222</v>
      </c>
      <c r="Q3734">
        <v>0.82024242634416034</v>
      </c>
      <c r="R3734">
        <v>-14.77567270968251</v>
      </c>
      <c r="S3734">
        <v>0.23842282434571241</v>
      </c>
      <c r="T3734">
        <v>0.1867836055383994</v>
      </c>
      <c r="U3734">
        <v>4.2436712643831056</v>
      </c>
      <c r="V3734">
        <v>0.23810297856178911</v>
      </c>
      <c r="W3734">
        <v>-11.294833495177921</v>
      </c>
      <c r="X3734">
        <v>0.30820951518702661</v>
      </c>
      <c r="Z3734" t="s">
        <v>392</v>
      </c>
      <c r="AA3734">
        <v>114</v>
      </c>
      <c r="AB3734" t="s">
        <v>4125</v>
      </c>
      <c r="AC3734" t="str">
        <f>HYPERLINK("plots/3FT6Y578R04_015_S21P_20251218081014_M5358ACSC201811_RBGEUFRF04/dpll_52094/txpa_53193.png","plot")</f>
        <v>plot</v>
      </c>
    </row>
    <row r="3735" spans="1:29" hidden="1" x14ac:dyDescent="0.35">
      <c r="A3735" t="s">
        <v>49</v>
      </c>
      <c r="B3735">
        <v>52094</v>
      </c>
      <c r="C3735" t="s">
        <v>53</v>
      </c>
      <c r="D3735">
        <v>53194</v>
      </c>
      <c r="E3735" t="s">
        <v>69</v>
      </c>
      <c r="F3735">
        <v>12027</v>
      </c>
      <c r="G3735">
        <v>0.61699713846380677</v>
      </c>
      <c r="H3735">
        <v>0</v>
      </c>
      <c r="I3735">
        <v>0</v>
      </c>
      <c r="J3735">
        <v>0.51294908755597435</v>
      </c>
      <c r="K3735">
        <v>0</v>
      </c>
      <c r="L3735">
        <v>0</v>
      </c>
      <c r="M3735">
        <v>0.35827217532998429</v>
      </c>
      <c r="N3735">
        <v>0</v>
      </c>
      <c r="O3735">
        <v>0</v>
      </c>
      <c r="P3735">
        <v>0.38068546887252602</v>
      </c>
      <c r="Q3735">
        <v>0.8050928397207906</v>
      </c>
      <c r="R3735">
        <v>-14.797382410338139</v>
      </c>
      <c r="S3735">
        <v>0.2444876939095568</v>
      </c>
      <c r="T3735">
        <v>0.19200303458373871</v>
      </c>
      <c r="U3735">
        <v>4.2436951445081901</v>
      </c>
      <c r="V3735">
        <v>0.2380984732054881</v>
      </c>
      <c r="W3735">
        <v>-11.38081383553671</v>
      </c>
      <c r="X3735">
        <v>0.31068438405316168</v>
      </c>
      <c r="Z3735" t="s">
        <v>392</v>
      </c>
      <c r="AA3735">
        <v>114</v>
      </c>
      <c r="AB3735" t="s">
        <v>4126</v>
      </c>
      <c r="AC3735" t="str">
        <f>HYPERLINK("plots/3FT6Y578R04_015_S21P_20251218081014_M5358ACSC201811_RBGEUFRF04/dpll_52094/txpa_53194.png","plot")</f>
        <v>plot</v>
      </c>
    </row>
    <row r="3736" spans="1:29" hidden="1" x14ac:dyDescent="0.35">
      <c r="A3736" t="s">
        <v>49</v>
      </c>
      <c r="B3736">
        <v>52094</v>
      </c>
      <c r="C3736" t="s">
        <v>53</v>
      </c>
      <c r="D3736">
        <v>53195</v>
      </c>
      <c r="E3736" t="s">
        <v>70</v>
      </c>
      <c r="F3736">
        <v>12028</v>
      </c>
      <c r="G3736">
        <v>0.61090229049823586</v>
      </c>
      <c r="H3736">
        <v>0</v>
      </c>
      <c r="I3736">
        <v>0</v>
      </c>
      <c r="J3736">
        <v>0.51797380544623695</v>
      </c>
      <c r="K3736">
        <v>0</v>
      </c>
      <c r="L3736">
        <v>0</v>
      </c>
      <c r="M3736">
        <v>0.36077527374210522</v>
      </c>
      <c r="N3736">
        <v>0</v>
      </c>
      <c r="O3736">
        <v>0</v>
      </c>
      <c r="P3736">
        <v>0.37320160853599088</v>
      </c>
      <c r="Q3736">
        <v>0.69382043700999441</v>
      </c>
      <c r="R3736">
        <v>-8.4756754148657762</v>
      </c>
      <c r="S3736">
        <v>0.21408490443630049</v>
      </c>
      <c r="T3736">
        <v>0.16861194632317661</v>
      </c>
      <c r="U3736">
        <v>4.2436712643831056</v>
      </c>
      <c r="V3736">
        <v>0.23810297856178911</v>
      </c>
      <c r="W3736">
        <v>-5.5313295636847348</v>
      </c>
      <c r="X3736">
        <v>0.27042084341243572</v>
      </c>
      <c r="Z3736" t="s">
        <v>392</v>
      </c>
      <c r="AA3736">
        <v>114</v>
      </c>
      <c r="AB3736" t="s">
        <v>4127</v>
      </c>
      <c r="AC3736" t="str">
        <f>HYPERLINK("plots/3FT6Y578R04_015_S21P_20251218081014_M5358ACSC201811_RBGEUFRF04/dpll_52094/txpa_53195.png","plot")</f>
        <v>plot</v>
      </c>
    </row>
    <row r="3737" spans="1:29" hidden="1" x14ac:dyDescent="0.35">
      <c r="A3737" t="s">
        <v>49</v>
      </c>
      <c r="B3737">
        <v>52094</v>
      </c>
      <c r="C3737" t="s">
        <v>53</v>
      </c>
      <c r="D3737">
        <v>53196</v>
      </c>
      <c r="E3737" t="s">
        <v>71</v>
      </c>
      <c r="F3737">
        <v>12028</v>
      </c>
      <c r="G3737">
        <v>0.63361011938959322</v>
      </c>
      <c r="H3737">
        <v>0</v>
      </c>
      <c r="I3737">
        <v>0</v>
      </c>
      <c r="J3737">
        <v>0.53766218291818868</v>
      </c>
      <c r="K3737">
        <v>0</v>
      </c>
      <c r="L3737">
        <v>0</v>
      </c>
      <c r="M3737">
        <v>0.37793827296842691</v>
      </c>
      <c r="N3737">
        <v>0</v>
      </c>
      <c r="O3737">
        <v>0</v>
      </c>
      <c r="P3737">
        <v>0.40146178339289462</v>
      </c>
      <c r="Q3737">
        <v>0.72378543782438143</v>
      </c>
      <c r="R3737">
        <v>-8.5565659831131811</v>
      </c>
      <c r="S3737">
        <v>0.21041682006426179</v>
      </c>
      <c r="T3737">
        <v>0.1661387001758094</v>
      </c>
      <c r="U3737">
        <v>4.2436712643831056</v>
      </c>
      <c r="V3737">
        <v>0.23810297856178911</v>
      </c>
      <c r="W3737">
        <v>-5.4850585190389083</v>
      </c>
      <c r="X3737">
        <v>0.27198976675381731</v>
      </c>
      <c r="Z3737" t="s">
        <v>392</v>
      </c>
      <c r="AA3737">
        <v>114</v>
      </c>
      <c r="AB3737" t="s">
        <v>4128</v>
      </c>
      <c r="AC3737" t="str">
        <f>HYPERLINK("plots/3FT6Y578R04_015_S21P_20251218081014_M5358ACSC201811_RBGEUFRF04/dpll_52094/txpa_53196.png","plot")</f>
        <v>plot</v>
      </c>
    </row>
    <row r="3738" spans="1:29" hidden="1" x14ac:dyDescent="0.35">
      <c r="A3738" t="s">
        <v>49</v>
      </c>
      <c r="B3738">
        <v>52094</v>
      </c>
      <c r="C3738" t="s">
        <v>53</v>
      </c>
      <c r="D3738">
        <v>53197</v>
      </c>
      <c r="E3738" t="s">
        <v>72</v>
      </c>
      <c r="F3738">
        <v>12028</v>
      </c>
      <c r="G3738">
        <v>0.61853624186275857</v>
      </c>
      <c r="H3738">
        <v>0</v>
      </c>
      <c r="I3738">
        <v>0</v>
      </c>
      <c r="J3738">
        <v>0.51881247254310758</v>
      </c>
      <c r="K3738">
        <v>0</v>
      </c>
      <c r="L3738">
        <v>0</v>
      </c>
      <c r="M3738">
        <v>0.36229644915158782</v>
      </c>
      <c r="N3738">
        <v>0</v>
      </c>
      <c r="O3738">
        <v>0</v>
      </c>
      <c r="P3738">
        <v>0.38258708249770501</v>
      </c>
      <c r="Q3738">
        <v>0.68989756372683031</v>
      </c>
      <c r="R3738">
        <v>-8.3926132656908141</v>
      </c>
      <c r="S3738">
        <v>0.20866715257707111</v>
      </c>
      <c r="T3738">
        <v>0.16500740064267169</v>
      </c>
      <c r="U3738">
        <v>4.2436712643831056</v>
      </c>
      <c r="V3738">
        <v>0.23810297856178911</v>
      </c>
      <c r="W3738">
        <v>-5.4649147991353511</v>
      </c>
      <c r="X3738">
        <v>0.26557322547694401</v>
      </c>
      <c r="Z3738" t="s">
        <v>392</v>
      </c>
      <c r="AA3738">
        <v>114</v>
      </c>
      <c r="AB3738" t="s">
        <v>4129</v>
      </c>
      <c r="AC3738" t="str">
        <f>HYPERLINK("plots/3FT6Y578R04_015_S21P_20251218081014_M5358ACSC201811_RBGEUFRF04/dpll_52094/txpa_53197.png","plot")</f>
        <v>plot</v>
      </c>
    </row>
    <row r="3739" spans="1:29" hidden="1" x14ac:dyDescent="0.35">
      <c r="A3739" t="s">
        <v>49</v>
      </c>
      <c r="B3739">
        <v>52094</v>
      </c>
      <c r="C3739" t="s">
        <v>53</v>
      </c>
      <c r="D3739">
        <v>53198</v>
      </c>
      <c r="E3739" t="s">
        <v>73</v>
      </c>
      <c r="F3739">
        <v>12027</v>
      </c>
      <c r="G3739">
        <v>0.63913615132953572</v>
      </c>
      <c r="H3739">
        <v>0</v>
      </c>
      <c r="I3739">
        <v>0</v>
      </c>
      <c r="J3739">
        <v>0.53520151103628877</v>
      </c>
      <c r="K3739">
        <v>0</v>
      </c>
      <c r="L3739">
        <v>0</v>
      </c>
      <c r="M3739">
        <v>0.37602421768848371</v>
      </c>
      <c r="N3739">
        <v>0</v>
      </c>
      <c r="O3739">
        <v>0</v>
      </c>
      <c r="P3739">
        <v>0.40849501993633119</v>
      </c>
      <c r="Q3739">
        <v>0.72815407796187148</v>
      </c>
      <c r="R3739">
        <v>-8.5302385102353302</v>
      </c>
      <c r="S3739">
        <v>0.2086274281755213</v>
      </c>
      <c r="T3739">
        <v>0.16537283829078159</v>
      </c>
      <c r="U3739">
        <v>4.2436786742329762</v>
      </c>
      <c r="V3739">
        <v>0.2381114909913796</v>
      </c>
      <c r="W3739">
        <v>-5.4401865780327601</v>
      </c>
      <c r="X3739">
        <v>0.27127530310135689</v>
      </c>
      <c r="Z3739" t="s">
        <v>392</v>
      </c>
      <c r="AA3739">
        <v>114</v>
      </c>
      <c r="AB3739" t="s">
        <v>4130</v>
      </c>
      <c r="AC3739" t="str">
        <f>HYPERLINK("plots/3FT6Y578R04_015_S21P_20251218081014_M5358ACSC201811_RBGEUFRF04/dpll_52094/txpa_53198.png","plot")</f>
        <v>plot</v>
      </c>
    </row>
    <row r="3740" spans="1:29" hidden="1" x14ac:dyDescent="0.35">
      <c r="A3740" t="s">
        <v>49</v>
      </c>
      <c r="B3740">
        <v>52094</v>
      </c>
      <c r="C3740" t="s">
        <v>53</v>
      </c>
      <c r="D3740">
        <v>53199</v>
      </c>
      <c r="E3740" t="s">
        <v>74</v>
      </c>
      <c r="F3740">
        <v>12027</v>
      </c>
      <c r="G3740">
        <v>0.64260171691719237</v>
      </c>
      <c r="H3740">
        <v>0</v>
      </c>
      <c r="I3740">
        <v>0</v>
      </c>
      <c r="J3740">
        <v>0.53335159157081047</v>
      </c>
      <c r="K3740">
        <v>0</v>
      </c>
      <c r="L3740">
        <v>0</v>
      </c>
      <c r="M3740">
        <v>0.37345921444927871</v>
      </c>
      <c r="N3740">
        <v>0</v>
      </c>
      <c r="O3740">
        <v>0</v>
      </c>
      <c r="P3740">
        <v>0.41293696658492351</v>
      </c>
      <c r="Q3740">
        <v>0.73026066310566284</v>
      </c>
      <c r="R3740">
        <v>-8.5473365728617168</v>
      </c>
      <c r="S3740">
        <v>0.2073019427780935</v>
      </c>
      <c r="T3740">
        <v>0.16490971687303069</v>
      </c>
      <c r="U3740">
        <v>4.2436418554918101</v>
      </c>
      <c r="V3740">
        <v>0.23809103076034549</v>
      </c>
      <c r="W3740">
        <v>-5.448371857487321</v>
      </c>
      <c r="X3740">
        <v>0.27056963812153328</v>
      </c>
      <c r="Z3740" t="s">
        <v>392</v>
      </c>
      <c r="AA3740">
        <v>114</v>
      </c>
      <c r="AB3740" t="s">
        <v>4131</v>
      </c>
      <c r="AC3740" t="str">
        <f>HYPERLINK("plots/3FT6Y578R04_015_S21P_20251218081014_M5358ACSC201811_RBGEUFRF04/dpll_52094/txpa_53199.png","plot")</f>
        <v>plot</v>
      </c>
    </row>
    <row r="3741" spans="1:29" hidden="1" x14ac:dyDescent="0.35">
      <c r="A3741" t="s">
        <v>49</v>
      </c>
      <c r="B3741">
        <v>52094</v>
      </c>
      <c r="C3741" t="s">
        <v>53</v>
      </c>
      <c r="D3741">
        <v>53200</v>
      </c>
      <c r="E3741" t="s">
        <v>75</v>
      </c>
      <c r="F3741">
        <v>12028</v>
      </c>
      <c r="G3741">
        <v>0.64710471292483374</v>
      </c>
      <c r="H3741">
        <v>0</v>
      </c>
      <c r="I3741">
        <v>0</v>
      </c>
      <c r="J3741">
        <v>0.55187466484240899</v>
      </c>
      <c r="K3741">
        <v>0</v>
      </c>
      <c r="L3741">
        <v>0</v>
      </c>
      <c r="M3741">
        <v>0.38864555259013173</v>
      </c>
      <c r="N3741">
        <v>0</v>
      </c>
      <c r="O3741">
        <v>0</v>
      </c>
      <c r="P3741">
        <v>0.41874450948953151</v>
      </c>
      <c r="Q3741">
        <v>0.73320488890088142</v>
      </c>
      <c r="R3741">
        <v>-8.5764777473984619</v>
      </c>
      <c r="S3741">
        <v>0.20567480651781619</v>
      </c>
      <c r="T3741">
        <v>0.16267955609759949</v>
      </c>
      <c r="U3741">
        <v>4.2436712643831056</v>
      </c>
      <c r="V3741">
        <v>0.23810297856178911</v>
      </c>
      <c r="W3741">
        <v>-5.4649972294645828</v>
      </c>
      <c r="X3741">
        <v>0.26978364468138882</v>
      </c>
      <c r="Z3741" t="s">
        <v>392</v>
      </c>
      <c r="AA3741">
        <v>114</v>
      </c>
      <c r="AB3741" t="s">
        <v>4132</v>
      </c>
      <c r="AC3741" t="str">
        <f>HYPERLINK("plots/3FT6Y578R04_015_S21P_20251218081014_M5358ACSC201811_RBGEUFRF04/dpll_52094/txpa_53200.png","plot")</f>
        <v>plot</v>
      </c>
    </row>
    <row r="3742" spans="1:29" hidden="1" x14ac:dyDescent="0.35">
      <c r="A3742" t="s">
        <v>49</v>
      </c>
      <c r="B3742">
        <v>52094</v>
      </c>
      <c r="C3742" t="s">
        <v>53</v>
      </c>
      <c r="D3742">
        <v>53201</v>
      </c>
      <c r="E3742" t="s">
        <v>76</v>
      </c>
      <c r="F3742">
        <v>12028</v>
      </c>
      <c r="G3742">
        <v>0.64376723471451658</v>
      </c>
      <c r="H3742">
        <v>0</v>
      </c>
      <c r="I3742">
        <v>0</v>
      </c>
      <c r="J3742">
        <v>0.54320630537632753</v>
      </c>
      <c r="K3742">
        <v>0</v>
      </c>
      <c r="L3742">
        <v>0</v>
      </c>
      <c r="M3742">
        <v>0.38136988552532902</v>
      </c>
      <c r="N3742">
        <v>0</v>
      </c>
      <c r="O3742">
        <v>0</v>
      </c>
      <c r="P3742">
        <v>0.41443625249197552</v>
      </c>
      <c r="Q3742">
        <v>0.72050331278322877</v>
      </c>
      <c r="R3742">
        <v>-8.5141439778794563</v>
      </c>
      <c r="S3742">
        <v>0.2039111518125335</v>
      </c>
      <c r="T3742">
        <v>0.16209879876195721</v>
      </c>
      <c r="U3742">
        <v>4.2436712643831056</v>
      </c>
      <c r="V3742">
        <v>0.23810297856178911</v>
      </c>
      <c r="W3742">
        <v>-5.4565647735284344</v>
      </c>
      <c r="X3742">
        <v>0.2664844925097809</v>
      </c>
      <c r="Z3742" t="s">
        <v>392</v>
      </c>
      <c r="AA3742">
        <v>114</v>
      </c>
      <c r="AB3742" t="s">
        <v>4133</v>
      </c>
      <c r="AC3742" t="str">
        <f>HYPERLINK("plots/3FT6Y578R04_015_S21P_20251218081014_M5358ACSC201811_RBGEUFRF04/dpll_52094/txpa_53201.png","plot")</f>
        <v>plot</v>
      </c>
    </row>
    <row r="3743" spans="1:29" hidden="1" x14ac:dyDescent="0.35">
      <c r="A3743" t="s">
        <v>49</v>
      </c>
      <c r="B3743">
        <v>52094</v>
      </c>
      <c r="C3743" t="s">
        <v>53</v>
      </c>
      <c r="D3743">
        <v>53202</v>
      </c>
      <c r="E3743" t="s">
        <v>77</v>
      </c>
      <c r="F3743">
        <v>12027</v>
      </c>
      <c r="G3743">
        <v>0.62992862844021857</v>
      </c>
      <c r="H3743">
        <v>0</v>
      </c>
      <c r="I3743">
        <v>0</v>
      </c>
      <c r="J3743">
        <v>0.53147571462879706</v>
      </c>
      <c r="K3743">
        <v>0</v>
      </c>
      <c r="L3743">
        <v>0</v>
      </c>
      <c r="M3743">
        <v>0.37272601478944711</v>
      </c>
      <c r="N3743">
        <v>0</v>
      </c>
      <c r="O3743">
        <v>0</v>
      </c>
      <c r="P3743">
        <v>0.39681007692857501</v>
      </c>
      <c r="Q3743">
        <v>0.7097540370968608</v>
      </c>
      <c r="R3743">
        <v>-8.5298649185851865</v>
      </c>
      <c r="S3743">
        <v>0.20834453772791101</v>
      </c>
      <c r="T3743">
        <v>0.1649636287613353</v>
      </c>
      <c r="U3743">
        <v>4.2436951445081901</v>
      </c>
      <c r="V3743">
        <v>0.2380984732054881</v>
      </c>
      <c r="W3743">
        <v>-5.5178851575621506</v>
      </c>
      <c r="X3743">
        <v>0.26827063409173441</v>
      </c>
      <c r="Z3743" t="s">
        <v>392</v>
      </c>
      <c r="AA3743">
        <v>114</v>
      </c>
      <c r="AB3743" t="s">
        <v>4134</v>
      </c>
      <c r="AC3743" t="str">
        <f>HYPERLINK("plots/3FT6Y578R04_015_S21P_20251218081014_M5358ACSC201811_RBGEUFRF04/dpll_52094/txpa_53202.png","plot")</f>
        <v>plot</v>
      </c>
    </row>
    <row r="3744" spans="1:29" hidden="1" x14ac:dyDescent="0.35">
      <c r="A3744" t="s">
        <v>49</v>
      </c>
      <c r="B3744">
        <v>52094</v>
      </c>
      <c r="C3744" t="s">
        <v>53</v>
      </c>
      <c r="D3744">
        <v>53203</v>
      </c>
      <c r="E3744" t="s">
        <v>78</v>
      </c>
      <c r="F3744">
        <v>12028</v>
      </c>
      <c r="G3744">
        <v>0.62473968980733885</v>
      </c>
      <c r="H3744">
        <v>0</v>
      </c>
      <c r="I3744">
        <v>0</v>
      </c>
      <c r="J3744">
        <v>0.53784016285093428</v>
      </c>
      <c r="K3744">
        <v>0</v>
      </c>
      <c r="L3744">
        <v>0</v>
      </c>
      <c r="M3744">
        <v>0.37604113126278199</v>
      </c>
      <c r="N3744">
        <v>0</v>
      </c>
      <c r="O3744">
        <v>0</v>
      </c>
      <c r="P3744">
        <v>0.39029968002056997</v>
      </c>
      <c r="Q3744">
        <v>0.70192013699384348</v>
      </c>
      <c r="R3744">
        <v>-5.4407242875672264</v>
      </c>
      <c r="S3744">
        <v>0.20887842768797901</v>
      </c>
      <c r="T3744">
        <v>0.16472928510960591</v>
      </c>
      <c r="U3744">
        <v>4.2436712643831056</v>
      </c>
      <c r="V3744">
        <v>0.23810297856178911</v>
      </c>
      <c r="W3744">
        <v>-2.4620059723145999</v>
      </c>
      <c r="X3744">
        <v>0.26751826089722819</v>
      </c>
      <c r="Z3744" t="s">
        <v>392</v>
      </c>
      <c r="AA3744">
        <v>114</v>
      </c>
      <c r="AB3744" t="s">
        <v>4135</v>
      </c>
      <c r="AC3744" t="str">
        <f>HYPERLINK("plots/3FT6Y578R04_015_S21P_20251218081014_M5358ACSC201811_RBGEUFRF04/dpll_52094/txpa_53203.png","plot")</f>
        <v>plot</v>
      </c>
    </row>
    <row r="3745" spans="1:29" hidden="1" x14ac:dyDescent="0.35">
      <c r="A3745" t="s">
        <v>49</v>
      </c>
      <c r="B3745">
        <v>52094</v>
      </c>
      <c r="C3745" t="s">
        <v>53</v>
      </c>
      <c r="D3745">
        <v>53204</v>
      </c>
      <c r="E3745" t="s">
        <v>79</v>
      </c>
      <c r="F3745">
        <v>12028</v>
      </c>
      <c r="G3745">
        <v>0.65083262085433446</v>
      </c>
      <c r="H3745">
        <v>0</v>
      </c>
      <c r="I3745">
        <v>0</v>
      </c>
      <c r="J3745">
        <v>0.56171960858385028</v>
      </c>
      <c r="K3745">
        <v>0</v>
      </c>
      <c r="L3745">
        <v>0</v>
      </c>
      <c r="M3745">
        <v>0.39661500503975472</v>
      </c>
      <c r="N3745">
        <v>0</v>
      </c>
      <c r="O3745">
        <v>0</v>
      </c>
      <c r="P3745">
        <v>0.42358310036812191</v>
      </c>
      <c r="Q3745">
        <v>0.73790386281759135</v>
      </c>
      <c r="R3745">
        <v>-5.5527468736210617</v>
      </c>
      <c r="S3745">
        <v>0.20494890298212259</v>
      </c>
      <c r="T3745">
        <v>0.1618934753651462</v>
      </c>
      <c r="U3745">
        <v>4.2436712643831056</v>
      </c>
      <c r="V3745">
        <v>0.23810297856178911</v>
      </c>
      <c r="W3745">
        <v>-2.4213254551047561</v>
      </c>
      <c r="X3745">
        <v>0.26995743913156078</v>
      </c>
      <c r="Z3745" t="s">
        <v>392</v>
      </c>
      <c r="AA3745">
        <v>114</v>
      </c>
      <c r="AB3745" t="s">
        <v>4136</v>
      </c>
      <c r="AC3745" t="str">
        <f>HYPERLINK("plots/3FT6Y578R04_015_S21P_20251218081014_M5358ACSC201811_RBGEUFRF04/dpll_52094/txpa_53204.png","plot")</f>
        <v>plot</v>
      </c>
    </row>
    <row r="3746" spans="1:29" hidden="1" x14ac:dyDescent="0.35">
      <c r="A3746" t="s">
        <v>49</v>
      </c>
      <c r="B3746">
        <v>52094</v>
      </c>
      <c r="C3746" t="s">
        <v>53</v>
      </c>
      <c r="D3746">
        <v>53205</v>
      </c>
      <c r="E3746" t="s">
        <v>80</v>
      </c>
      <c r="F3746">
        <v>12028</v>
      </c>
      <c r="G3746">
        <v>0.63539979417849157</v>
      </c>
      <c r="H3746">
        <v>0</v>
      </c>
      <c r="I3746">
        <v>0</v>
      </c>
      <c r="J3746">
        <v>0.54290911508363282</v>
      </c>
      <c r="K3746">
        <v>0</v>
      </c>
      <c r="L3746">
        <v>0</v>
      </c>
      <c r="M3746">
        <v>0.38110931068645981</v>
      </c>
      <c r="N3746">
        <v>0</v>
      </c>
      <c r="O3746">
        <v>0</v>
      </c>
      <c r="P3746">
        <v>0.40373289844206939</v>
      </c>
      <c r="Q3746">
        <v>0.70116531332196252</v>
      </c>
      <c r="R3746">
        <v>-5.3775640616301477</v>
      </c>
      <c r="S3746">
        <v>0.20288061455013989</v>
      </c>
      <c r="T3746">
        <v>0.1604235001733933</v>
      </c>
      <c r="U3746">
        <v>4.2436712643831056</v>
      </c>
      <c r="V3746">
        <v>0.23810297856178911</v>
      </c>
      <c r="W3746">
        <v>-2.402048969903559</v>
      </c>
      <c r="X3746">
        <v>0.26274725156626522</v>
      </c>
      <c r="Z3746" t="s">
        <v>392</v>
      </c>
      <c r="AA3746">
        <v>114</v>
      </c>
      <c r="AB3746" t="s">
        <v>4137</v>
      </c>
      <c r="AC3746" t="str">
        <f>HYPERLINK("plots/3FT6Y578R04_015_S21P_20251218081014_M5358ACSC201811_RBGEUFRF04/dpll_52094/txpa_53205.png","plot")</f>
        <v>plot</v>
      </c>
    </row>
    <row r="3747" spans="1:29" hidden="1" x14ac:dyDescent="0.35">
      <c r="A3747" t="s">
        <v>49</v>
      </c>
      <c r="B3747">
        <v>52094</v>
      </c>
      <c r="C3747" t="s">
        <v>53</v>
      </c>
      <c r="D3747">
        <v>53206</v>
      </c>
      <c r="E3747" t="s">
        <v>81</v>
      </c>
      <c r="F3747">
        <v>12027</v>
      </c>
      <c r="G3747">
        <v>0.65466077227751551</v>
      </c>
      <c r="H3747">
        <v>0</v>
      </c>
      <c r="I3747">
        <v>0</v>
      </c>
      <c r="J3747">
        <v>0.55743510275664787</v>
      </c>
      <c r="K3747">
        <v>0</v>
      </c>
      <c r="L3747">
        <v>0</v>
      </c>
      <c r="M3747">
        <v>0.39337393035883989</v>
      </c>
      <c r="N3747">
        <v>0</v>
      </c>
      <c r="O3747">
        <v>0</v>
      </c>
      <c r="P3747">
        <v>0.428580726758993</v>
      </c>
      <c r="Q3747">
        <v>0.73833515639041136</v>
      </c>
      <c r="R3747">
        <v>-5.5188301482149313</v>
      </c>
      <c r="S3747">
        <v>0.20299108770090191</v>
      </c>
      <c r="T3747">
        <v>0.1609476895709287</v>
      </c>
      <c r="U3747">
        <v>4.2436786742329762</v>
      </c>
      <c r="V3747">
        <v>0.2381114909913796</v>
      </c>
      <c r="W3747">
        <v>-2.3855729906044729</v>
      </c>
      <c r="X3747">
        <v>0.26854531748993937</v>
      </c>
      <c r="Z3747" t="s">
        <v>392</v>
      </c>
      <c r="AA3747">
        <v>114</v>
      </c>
      <c r="AB3747" t="s">
        <v>4138</v>
      </c>
      <c r="AC3747" t="str">
        <f>HYPERLINK("plots/3FT6Y578R04_015_S21P_20251218081014_M5358ACSC201811_RBGEUFRF04/dpll_52094/txpa_53206.png","plot")</f>
        <v>plot</v>
      </c>
    </row>
    <row r="3748" spans="1:29" hidden="1" x14ac:dyDescent="0.35">
      <c r="A3748" t="s">
        <v>49</v>
      </c>
      <c r="B3748">
        <v>52094</v>
      </c>
      <c r="C3748" t="s">
        <v>53</v>
      </c>
      <c r="D3748">
        <v>53207</v>
      </c>
      <c r="E3748" t="s">
        <v>82</v>
      </c>
      <c r="F3748">
        <v>12027</v>
      </c>
      <c r="G3748">
        <v>0.65715186687325244</v>
      </c>
      <c r="H3748">
        <v>0</v>
      </c>
      <c r="I3748">
        <v>0</v>
      </c>
      <c r="J3748">
        <v>0.55479750189241217</v>
      </c>
      <c r="K3748">
        <v>0</v>
      </c>
      <c r="L3748">
        <v>0</v>
      </c>
      <c r="M3748">
        <v>0.38992676536637783</v>
      </c>
      <c r="N3748">
        <v>0</v>
      </c>
      <c r="O3748">
        <v>0</v>
      </c>
      <c r="P3748">
        <v>0.43184857613500088</v>
      </c>
      <c r="Q3748">
        <v>0.73784136380009446</v>
      </c>
      <c r="R3748">
        <v>-5.524756397519293</v>
      </c>
      <c r="S3748">
        <v>0.20149036404814111</v>
      </c>
      <c r="T3748">
        <v>0.16050883621437259</v>
      </c>
      <c r="U3748">
        <v>4.2436418554918101</v>
      </c>
      <c r="V3748">
        <v>0.23809103076034549</v>
      </c>
      <c r="W3748">
        <v>-2.393621903384052</v>
      </c>
      <c r="X3748">
        <v>0.26732543830491229</v>
      </c>
      <c r="Z3748" t="s">
        <v>392</v>
      </c>
      <c r="AA3748">
        <v>114</v>
      </c>
      <c r="AB3748" t="s">
        <v>4139</v>
      </c>
      <c r="AC3748" t="str">
        <f>HYPERLINK("plots/3FT6Y578R04_015_S21P_20251218081014_M5358ACSC201811_RBGEUFRF04/dpll_52094/txpa_53207.png","plot")</f>
        <v>plot</v>
      </c>
    </row>
    <row r="3749" spans="1:29" hidden="1" x14ac:dyDescent="0.35">
      <c r="A3749" t="s">
        <v>49</v>
      </c>
      <c r="B3749">
        <v>52094</v>
      </c>
      <c r="C3749" t="s">
        <v>53</v>
      </c>
      <c r="D3749">
        <v>53208</v>
      </c>
      <c r="E3749" t="s">
        <v>83</v>
      </c>
      <c r="F3749">
        <v>12028</v>
      </c>
      <c r="G3749">
        <v>0.66241806011331472</v>
      </c>
      <c r="H3749">
        <v>0</v>
      </c>
      <c r="I3749">
        <v>0</v>
      </c>
      <c r="J3749">
        <v>0.57379094431670064</v>
      </c>
      <c r="K3749">
        <v>0</v>
      </c>
      <c r="L3749">
        <v>0</v>
      </c>
      <c r="M3749">
        <v>0.40580673938394202</v>
      </c>
      <c r="N3749">
        <v>0</v>
      </c>
      <c r="O3749">
        <v>0</v>
      </c>
      <c r="P3749">
        <v>0.43879768636428701</v>
      </c>
      <c r="Q3749">
        <v>0.74483295449972531</v>
      </c>
      <c r="R3749">
        <v>-5.5624510168003312</v>
      </c>
      <c r="S3749">
        <v>0.20055487326047899</v>
      </c>
      <c r="T3749">
        <v>0.15877841628531811</v>
      </c>
      <c r="U3749">
        <v>4.2436712643831056</v>
      </c>
      <c r="V3749">
        <v>0.23810297856178911</v>
      </c>
      <c r="W3749">
        <v>-2.4016248110242771</v>
      </c>
      <c r="X3749">
        <v>0.26772661507300177</v>
      </c>
      <c r="Z3749" t="s">
        <v>392</v>
      </c>
      <c r="AA3749">
        <v>114</v>
      </c>
      <c r="AB3749" t="s">
        <v>4140</v>
      </c>
      <c r="AC3749" t="str">
        <f>HYPERLINK("plots/3FT6Y578R04_015_S21P_20251218081014_M5358ACSC201811_RBGEUFRF04/dpll_52094/txpa_53208.png","plot")</f>
        <v>plot</v>
      </c>
    </row>
    <row r="3750" spans="1:29" hidden="1" x14ac:dyDescent="0.35">
      <c r="A3750" t="s">
        <v>49</v>
      </c>
      <c r="B3750">
        <v>52094</v>
      </c>
      <c r="C3750" t="s">
        <v>53</v>
      </c>
      <c r="D3750">
        <v>53209</v>
      </c>
      <c r="E3750" t="s">
        <v>84</v>
      </c>
      <c r="F3750">
        <v>12028</v>
      </c>
      <c r="G3750">
        <v>0.65867415693147435</v>
      </c>
      <c r="H3750">
        <v>0</v>
      </c>
      <c r="I3750">
        <v>0</v>
      </c>
      <c r="J3750">
        <v>0.56463373641828851</v>
      </c>
      <c r="K3750">
        <v>0</v>
      </c>
      <c r="L3750">
        <v>0</v>
      </c>
      <c r="M3750">
        <v>0.39811940871885509</v>
      </c>
      <c r="N3750">
        <v>0</v>
      </c>
      <c r="O3750">
        <v>0</v>
      </c>
      <c r="P3750">
        <v>0.4338516450093885</v>
      </c>
      <c r="Q3750">
        <v>0.73092651229215344</v>
      </c>
      <c r="R3750">
        <v>-5.4959476307369677</v>
      </c>
      <c r="S3750">
        <v>0.19879936353635241</v>
      </c>
      <c r="T3750">
        <v>0.1582936844565048</v>
      </c>
      <c r="U3750">
        <v>4.2436712643831056</v>
      </c>
      <c r="V3750">
        <v>0.23810297856178911</v>
      </c>
      <c r="W3750">
        <v>-2.3941357941469898</v>
      </c>
      <c r="X3750">
        <v>0.26422135718412232</v>
      </c>
      <c r="Z3750" t="s">
        <v>392</v>
      </c>
      <c r="AA3750">
        <v>114</v>
      </c>
      <c r="AB3750" t="s">
        <v>4141</v>
      </c>
      <c r="AC3750" t="str">
        <f>HYPERLINK("plots/3FT6Y578R04_015_S21P_20251218081014_M5358ACSC201811_RBGEUFRF04/dpll_52094/txpa_53209.png","plot")</f>
        <v>plot</v>
      </c>
    </row>
    <row r="3751" spans="1:29" hidden="1" x14ac:dyDescent="0.35">
      <c r="A3751" t="s">
        <v>49</v>
      </c>
      <c r="B3751">
        <v>52094</v>
      </c>
      <c r="C3751" t="s">
        <v>53</v>
      </c>
      <c r="D3751">
        <v>53210</v>
      </c>
      <c r="E3751" t="s">
        <v>85</v>
      </c>
      <c r="F3751">
        <v>12027</v>
      </c>
      <c r="G3751">
        <v>0.64612467543037244</v>
      </c>
      <c r="H3751">
        <v>0</v>
      </c>
      <c r="I3751">
        <v>0</v>
      </c>
      <c r="J3751">
        <v>0.55382580738692211</v>
      </c>
      <c r="K3751">
        <v>0</v>
      </c>
      <c r="L3751">
        <v>0</v>
      </c>
      <c r="M3751">
        <v>0.39034912430576341</v>
      </c>
      <c r="N3751">
        <v>0</v>
      </c>
      <c r="O3751">
        <v>0</v>
      </c>
      <c r="P3751">
        <v>0.41747709620000412</v>
      </c>
      <c r="Q3751">
        <v>0.72087102733050101</v>
      </c>
      <c r="R3751">
        <v>-5.5070610283286294</v>
      </c>
      <c r="S3751">
        <v>0.20273853396152239</v>
      </c>
      <c r="T3751">
        <v>0.16035503387372879</v>
      </c>
      <c r="U3751">
        <v>4.2436951445081901</v>
      </c>
      <c r="V3751">
        <v>0.2380984732054881</v>
      </c>
      <c r="W3751">
        <v>-2.44790414982955</v>
      </c>
      <c r="X3751">
        <v>0.26564268091315152</v>
      </c>
      <c r="Z3751" t="s">
        <v>392</v>
      </c>
      <c r="AA3751">
        <v>114</v>
      </c>
      <c r="AB3751" t="s">
        <v>4142</v>
      </c>
      <c r="AC3751" t="str">
        <f>HYPERLINK("plots/3FT6Y578R04_015_S21P_20251218081014_M5358ACSC201811_RBGEUFRF04/dpll_52094/txpa_53210.png","plot")</f>
        <v>plot</v>
      </c>
    </row>
    <row r="3752" spans="1:29" hidden="1" x14ac:dyDescent="0.35">
      <c r="A3752" t="s">
        <v>49</v>
      </c>
      <c r="B3752">
        <v>52094</v>
      </c>
      <c r="C3752" t="s">
        <v>53</v>
      </c>
      <c r="D3752">
        <v>53211</v>
      </c>
      <c r="E3752" t="s">
        <v>86</v>
      </c>
      <c r="F3752">
        <v>12028</v>
      </c>
      <c r="G3752">
        <v>0.67113383794819148</v>
      </c>
      <c r="H3752">
        <v>0</v>
      </c>
      <c r="I3752">
        <v>0</v>
      </c>
      <c r="J3752">
        <v>0.59153088889555572</v>
      </c>
      <c r="K3752">
        <v>0</v>
      </c>
      <c r="L3752">
        <v>0</v>
      </c>
      <c r="M3752">
        <v>0.41859858780763842</v>
      </c>
      <c r="N3752">
        <v>0</v>
      </c>
      <c r="O3752">
        <v>0</v>
      </c>
      <c r="P3752">
        <v>0.45042062843906933</v>
      </c>
      <c r="Q3752">
        <v>0.76164709836732003</v>
      </c>
      <c r="R3752">
        <v>-2.0899605664832399</v>
      </c>
      <c r="S3752">
        <v>0.20031184975521599</v>
      </c>
      <c r="T3752">
        <v>0.15787418965586589</v>
      </c>
      <c r="U3752">
        <v>4.2436712643831056</v>
      </c>
      <c r="V3752">
        <v>0.23810297856178911</v>
      </c>
      <c r="W3752">
        <v>1.142219338458929</v>
      </c>
      <c r="X3752">
        <v>0.27021501894261851</v>
      </c>
      <c r="Z3752" t="s">
        <v>392</v>
      </c>
      <c r="AA3752">
        <v>114</v>
      </c>
      <c r="AB3752" t="s">
        <v>4143</v>
      </c>
      <c r="AC3752" t="str">
        <f>HYPERLINK("plots/3FT6Y578R04_015_S21P_20251218081014_M5358ACSC201811_RBGEUFRF04/dpll_52094/txpa_53211.png","plot")</f>
        <v>plot</v>
      </c>
    </row>
    <row r="3753" spans="1:29" hidden="1" x14ac:dyDescent="0.35">
      <c r="A3753" t="s">
        <v>49</v>
      </c>
      <c r="B3753">
        <v>52094</v>
      </c>
      <c r="C3753" t="s">
        <v>53</v>
      </c>
      <c r="D3753">
        <v>53212</v>
      </c>
      <c r="E3753" t="s">
        <v>87</v>
      </c>
      <c r="F3753">
        <v>12028</v>
      </c>
      <c r="G3753">
        <v>0.69506344163156553</v>
      </c>
      <c r="H3753">
        <v>0</v>
      </c>
      <c r="I3753">
        <v>0</v>
      </c>
      <c r="J3753">
        <v>0.61215547201635201</v>
      </c>
      <c r="K3753">
        <v>0</v>
      </c>
      <c r="L3753">
        <v>0</v>
      </c>
      <c r="M3753">
        <v>0.43740517726674438</v>
      </c>
      <c r="N3753">
        <v>0</v>
      </c>
      <c r="O3753">
        <v>0</v>
      </c>
      <c r="P3753">
        <v>0.48311318789271668</v>
      </c>
      <c r="Q3753">
        <v>0.79654902326989385</v>
      </c>
      <c r="R3753">
        <v>-2.201435845766111</v>
      </c>
      <c r="S3753">
        <v>0.19616998679988121</v>
      </c>
      <c r="T3753">
        <v>0.1551933643194694</v>
      </c>
      <c r="U3753">
        <v>4.2436712643831056</v>
      </c>
      <c r="V3753">
        <v>0.23810297856178911</v>
      </c>
      <c r="W3753">
        <v>1.1788563549567681</v>
      </c>
      <c r="X3753">
        <v>0.27286817814190201</v>
      </c>
      <c r="Z3753" t="s">
        <v>392</v>
      </c>
      <c r="AA3753">
        <v>114</v>
      </c>
      <c r="AB3753" t="s">
        <v>4144</v>
      </c>
      <c r="AC3753" t="str">
        <f>HYPERLINK("plots/3FT6Y578R04_015_S21P_20251218081014_M5358ACSC201811_RBGEUFRF04/dpll_52094/txpa_53212.png","plot")</f>
        <v>plot</v>
      </c>
    </row>
    <row r="3754" spans="1:29" hidden="1" x14ac:dyDescent="0.35">
      <c r="A3754" t="s">
        <v>49</v>
      </c>
      <c r="B3754">
        <v>52094</v>
      </c>
      <c r="C3754" t="s">
        <v>53</v>
      </c>
      <c r="D3754">
        <v>53213</v>
      </c>
      <c r="E3754" t="s">
        <v>88</v>
      </c>
      <c r="F3754">
        <v>12028</v>
      </c>
      <c r="G3754">
        <v>0.68133651762444103</v>
      </c>
      <c r="H3754">
        <v>0</v>
      </c>
      <c r="I3754">
        <v>0</v>
      </c>
      <c r="J3754">
        <v>0.59567633596947078</v>
      </c>
      <c r="K3754">
        <v>0</v>
      </c>
      <c r="L3754">
        <v>0</v>
      </c>
      <c r="M3754">
        <v>0.42313150277803557</v>
      </c>
      <c r="N3754">
        <v>0</v>
      </c>
      <c r="O3754">
        <v>0</v>
      </c>
      <c r="P3754">
        <v>0.46421945024860017</v>
      </c>
      <c r="Q3754">
        <v>0.76180590554412575</v>
      </c>
      <c r="R3754">
        <v>-2.0362250149310399</v>
      </c>
      <c r="S3754">
        <v>0.19486009697145151</v>
      </c>
      <c r="T3754">
        <v>0.15427826385212839</v>
      </c>
      <c r="U3754">
        <v>4.2436712643831056</v>
      </c>
      <c r="V3754">
        <v>0.23810297856178911</v>
      </c>
      <c r="W3754">
        <v>1.196628815463918</v>
      </c>
      <c r="X3754">
        <v>0.26622417924764769</v>
      </c>
      <c r="Z3754" t="s">
        <v>392</v>
      </c>
      <c r="AA3754">
        <v>114</v>
      </c>
      <c r="AB3754" t="s">
        <v>4145</v>
      </c>
      <c r="AC3754" t="str">
        <f>HYPERLINK("plots/3FT6Y578R04_015_S21P_20251218081014_M5358ACSC201811_RBGEUFRF04/dpll_52094/txpa_53213.png","plot")</f>
        <v>plot</v>
      </c>
    </row>
    <row r="3755" spans="1:29" hidden="1" x14ac:dyDescent="0.35">
      <c r="A3755" t="s">
        <v>49</v>
      </c>
      <c r="B3755">
        <v>52094</v>
      </c>
      <c r="C3755" t="s">
        <v>53</v>
      </c>
      <c r="D3755">
        <v>53214</v>
      </c>
      <c r="E3755" t="s">
        <v>89</v>
      </c>
      <c r="F3755">
        <v>12027</v>
      </c>
      <c r="G3755">
        <v>0.69900819774748768</v>
      </c>
      <c r="H3755">
        <v>0</v>
      </c>
      <c r="I3755">
        <v>0</v>
      </c>
      <c r="J3755">
        <v>0.60992508118051769</v>
      </c>
      <c r="K3755">
        <v>0</v>
      </c>
      <c r="L3755">
        <v>0</v>
      </c>
      <c r="M3755">
        <v>0.43571678366675559</v>
      </c>
      <c r="N3755">
        <v>0</v>
      </c>
      <c r="O3755">
        <v>0</v>
      </c>
      <c r="P3755">
        <v>0.48861246051819079</v>
      </c>
      <c r="Q3755">
        <v>0.79574269430336819</v>
      </c>
      <c r="R3755">
        <v>-2.1707893500920021</v>
      </c>
      <c r="S3755">
        <v>0.19383301925713081</v>
      </c>
      <c r="T3755">
        <v>0.15367367854188291</v>
      </c>
      <c r="U3755">
        <v>4.2436786742329762</v>
      </c>
      <c r="V3755">
        <v>0.2381114909913796</v>
      </c>
      <c r="W3755">
        <v>1.206086951899892</v>
      </c>
      <c r="X3755">
        <v>0.27106331513227738</v>
      </c>
      <c r="Z3755" t="s">
        <v>392</v>
      </c>
      <c r="AA3755">
        <v>114</v>
      </c>
      <c r="AB3755" t="s">
        <v>4146</v>
      </c>
      <c r="AC3755" t="str">
        <f>HYPERLINK("plots/3FT6Y578R04_015_S21P_20251218081014_M5358ACSC201811_RBGEUFRF04/dpll_52094/txpa_53214.png","plot")</f>
        <v>plot</v>
      </c>
    </row>
    <row r="3756" spans="1:29" hidden="1" x14ac:dyDescent="0.35">
      <c r="A3756" t="s">
        <v>49</v>
      </c>
      <c r="B3756">
        <v>52094</v>
      </c>
      <c r="C3756" t="s">
        <v>53</v>
      </c>
      <c r="D3756">
        <v>53215</v>
      </c>
      <c r="E3756" t="s">
        <v>90</v>
      </c>
      <c r="F3756">
        <v>12027</v>
      </c>
      <c r="G3756">
        <v>0.70015435043863683</v>
      </c>
      <c r="H3756">
        <v>0</v>
      </c>
      <c r="I3756">
        <v>0</v>
      </c>
      <c r="J3756">
        <v>0.6058699661940774</v>
      </c>
      <c r="K3756">
        <v>0</v>
      </c>
      <c r="L3756">
        <v>0</v>
      </c>
      <c r="M3756">
        <v>0.43092920780160537</v>
      </c>
      <c r="N3756">
        <v>0</v>
      </c>
      <c r="O3756">
        <v>0</v>
      </c>
      <c r="P3756">
        <v>0.49021611443814939</v>
      </c>
      <c r="Q3756">
        <v>0.79320997566343854</v>
      </c>
      <c r="R3756">
        <v>-2.1690859074014219</v>
      </c>
      <c r="S3756">
        <v>0.1925805429431966</v>
      </c>
      <c r="T3756">
        <v>0.15344455912472971</v>
      </c>
      <c r="U3756">
        <v>4.2436418554918101</v>
      </c>
      <c r="V3756">
        <v>0.23809103076034549</v>
      </c>
      <c r="W3756">
        <v>1.197013145517585</v>
      </c>
      <c r="X3756">
        <v>0.26973506712738549</v>
      </c>
      <c r="Z3756" t="s">
        <v>392</v>
      </c>
      <c r="AA3756">
        <v>114</v>
      </c>
      <c r="AB3756" t="s">
        <v>4147</v>
      </c>
      <c r="AC3756" t="str">
        <f>HYPERLINK("plots/3FT6Y578R04_015_S21P_20251218081014_M5358ACSC201811_RBGEUFRF04/dpll_52094/txpa_53215.png","plot")</f>
        <v>plot</v>
      </c>
    </row>
    <row r="3757" spans="1:29" hidden="1" x14ac:dyDescent="0.35">
      <c r="A3757" t="s">
        <v>49</v>
      </c>
      <c r="B3757">
        <v>52094</v>
      </c>
      <c r="C3757" t="s">
        <v>53</v>
      </c>
      <c r="D3757">
        <v>53216</v>
      </c>
      <c r="E3757" t="s">
        <v>91</v>
      </c>
      <c r="F3757">
        <v>12028</v>
      </c>
      <c r="G3757">
        <v>0.70546356650597541</v>
      </c>
      <c r="H3757">
        <v>0</v>
      </c>
      <c r="I3757">
        <v>0</v>
      </c>
      <c r="J3757">
        <v>0.62464643507243334</v>
      </c>
      <c r="K3757">
        <v>0</v>
      </c>
      <c r="L3757">
        <v>0</v>
      </c>
      <c r="M3757">
        <v>0.44715413784101871</v>
      </c>
      <c r="N3757">
        <v>0</v>
      </c>
      <c r="O3757">
        <v>0</v>
      </c>
      <c r="P3757">
        <v>0.49767884366733078</v>
      </c>
      <c r="Q3757">
        <v>0.80352283463033591</v>
      </c>
      <c r="R3757">
        <v>-2.213512683061829</v>
      </c>
      <c r="S3757">
        <v>0.19220343386628519</v>
      </c>
      <c r="T3757">
        <v>0.15220708373522909</v>
      </c>
      <c r="U3757">
        <v>4.2436712643831056</v>
      </c>
      <c r="V3757">
        <v>0.23810297856178911</v>
      </c>
      <c r="W3757">
        <v>1.1963740805345859</v>
      </c>
      <c r="X3757">
        <v>0.27119923600799328</v>
      </c>
      <c r="Z3757" t="s">
        <v>392</v>
      </c>
      <c r="AA3757">
        <v>114</v>
      </c>
      <c r="AB3757" t="s">
        <v>4148</v>
      </c>
      <c r="AC3757" t="str">
        <f>HYPERLINK("plots/3FT6Y578R04_015_S21P_20251218081014_M5358ACSC201811_RBGEUFRF04/dpll_52094/txpa_53216.png","plot")</f>
        <v>plot</v>
      </c>
    </row>
    <row r="3758" spans="1:29" hidden="1" x14ac:dyDescent="0.35">
      <c r="A3758" t="s">
        <v>49</v>
      </c>
      <c r="B3758">
        <v>52094</v>
      </c>
      <c r="C3758" t="s">
        <v>53</v>
      </c>
      <c r="D3758">
        <v>53217</v>
      </c>
      <c r="E3758" t="s">
        <v>92</v>
      </c>
      <c r="F3758">
        <v>12028</v>
      </c>
      <c r="G3758">
        <v>0.70194479792226372</v>
      </c>
      <c r="H3758">
        <v>0</v>
      </c>
      <c r="I3758">
        <v>0</v>
      </c>
      <c r="J3758">
        <v>0.61492223975922977</v>
      </c>
      <c r="K3758">
        <v>0</v>
      </c>
      <c r="L3758">
        <v>0</v>
      </c>
      <c r="M3758">
        <v>0.43912940298895231</v>
      </c>
      <c r="N3758">
        <v>0</v>
      </c>
      <c r="O3758">
        <v>0</v>
      </c>
      <c r="P3758">
        <v>0.49272649933012758</v>
      </c>
      <c r="Q3758">
        <v>0.78838997707462033</v>
      </c>
      <c r="R3758">
        <v>-2.141345055513316</v>
      </c>
      <c r="S3758">
        <v>0.19046097206690221</v>
      </c>
      <c r="T3758">
        <v>0.1516215226876278</v>
      </c>
      <c r="U3758">
        <v>4.2436712643831056</v>
      </c>
      <c r="V3758">
        <v>0.23810297856178911</v>
      </c>
      <c r="W3758">
        <v>1.2043228353259059</v>
      </c>
      <c r="X3758">
        <v>0.2674255901110279</v>
      </c>
      <c r="Z3758" t="s">
        <v>392</v>
      </c>
      <c r="AA3758">
        <v>114</v>
      </c>
      <c r="AB3758" t="s">
        <v>4149</v>
      </c>
      <c r="AC3758" t="str">
        <f>HYPERLINK("plots/3FT6Y578R04_015_S21P_20251218081014_M5358ACSC201811_RBGEUFRF04/dpll_52094/txpa_53217.png","plot")</f>
        <v>plot</v>
      </c>
    </row>
    <row r="3759" spans="1:29" hidden="1" x14ac:dyDescent="0.35">
      <c r="A3759" t="s">
        <v>49</v>
      </c>
      <c r="B3759">
        <v>52094</v>
      </c>
      <c r="C3759" t="s">
        <v>53</v>
      </c>
      <c r="D3759">
        <v>53218</v>
      </c>
      <c r="E3759" t="s">
        <v>93</v>
      </c>
      <c r="F3759">
        <v>12027</v>
      </c>
      <c r="G3759">
        <v>0.6927559341176891</v>
      </c>
      <c r="H3759">
        <v>0</v>
      </c>
      <c r="I3759">
        <v>0</v>
      </c>
      <c r="J3759">
        <v>0.6063901807112555</v>
      </c>
      <c r="K3759">
        <v>0</v>
      </c>
      <c r="L3759">
        <v>0</v>
      </c>
      <c r="M3759">
        <v>0.43270132830348251</v>
      </c>
      <c r="N3759">
        <v>0</v>
      </c>
      <c r="O3759">
        <v>0</v>
      </c>
      <c r="P3759">
        <v>0.479910784255272</v>
      </c>
      <c r="Q3759">
        <v>0.78183076021072206</v>
      </c>
      <c r="R3759">
        <v>-2.1615167231949659</v>
      </c>
      <c r="S3759">
        <v>0.1937804578596756</v>
      </c>
      <c r="T3759">
        <v>0.1533676114060035</v>
      </c>
      <c r="U3759">
        <v>4.2436951445081901</v>
      </c>
      <c r="V3759">
        <v>0.2380984732054881</v>
      </c>
      <c r="W3759">
        <v>1.156334677738422</v>
      </c>
      <c r="X3759">
        <v>0.26871326703010878</v>
      </c>
      <c r="Z3759" t="s">
        <v>392</v>
      </c>
      <c r="AA3759">
        <v>114</v>
      </c>
      <c r="AB3759" t="s">
        <v>4150</v>
      </c>
      <c r="AC3759" t="str">
        <f>HYPERLINK("plots/3FT6Y578R04_015_S21P_20251218081014_M5358ACSC201811_RBGEUFRF04/dpll_52094/txpa_53218.png","plot")</f>
        <v>plot</v>
      </c>
    </row>
    <row r="3760" spans="1:29" hidden="1" x14ac:dyDescent="0.35">
      <c r="A3760" t="s">
        <v>49</v>
      </c>
      <c r="B3760">
        <v>52094</v>
      </c>
      <c r="C3760" t="s">
        <v>53</v>
      </c>
      <c r="D3760">
        <v>53219</v>
      </c>
      <c r="E3760" t="s">
        <v>94</v>
      </c>
      <c r="F3760">
        <v>12028</v>
      </c>
      <c r="G3760">
        <v>0.70220201817997929</v>
      </c>
      <c r="H3760">
        <v>0</v>
      </c>
      <c r="I3760">
        <v>0</v>
      </c>
      <c r="J3760">
        <v>0.62337961274353837</v>
      </c>
      <c r="K3760">
        <v>0</v>
      </c>
      <c r="L3760">
        <v>0</v>
      </c>
      <c r="M3760">
        <v>0.44479693562454181</v>
      </c>
      <c r="N3760">
        <v>0</v>
      </c>
      <c r="O3760">
        <v>0</v>
      </c>
      <c r="P3760">
        <v>0.49308767433603601</v>
      </c>
      <c r="Q3760">
        <v>0.81429357411071535</v>
      </c>
      <c r="R3760">
        <v>-0.28622061926004427</v>
      </c>
      <c r="S3760">
        <v>0.1965767424797018</v>
      </c>
      <c r="T3760">
        <v>0.15494489957622021</v>
      </c>
      <c r="U3760">
        <v>4.2436712643831056</v>
      </c>
      <c r="V3760">
        <v>0.23810297856178911</v>
      </c>
      <c r="W3760">
        <v>3.1693736219654141</v>
      </c>
      <c r="X3760">
        <v>0.27611103414657512</v>
      </c>
      <c r="Z3760" t="s">
        <v>392</v>
      </c>
      <c r="AA3760">
        <v>114</v>
      </c>
      <c r="AB3760" t="s">
        <v>4151</v>
      </c>
      <c r="AC3760" t="str">
        <f>HYPERLINK("plots/3FT6Y578R04_015_S21P_20251218081014_M5358ACSC201811_RBGEUFRF04/dpll_52094/txpa_53219.png","plot")</f>
        <v>plot</v>
      </c>
    </row>
    <row r="3761" spans="1:29" hidden="1" x14ac:dyDescent="0.35">
      <c r="A3761" t="s">
        <v>49</v>
      </c>
      <c r="B3761">
        <v>52094</v>
      </c>
      <c r="C3761" t="s">
        <v>53</v>
      </c>
      <c r="D3761">
        <v>53220</v>
      </c>
      <c r="E3761" t="s">
        <v>95</v>
      </c>
      <c r="F3761">
        <v>12028</v>
      </c>
      <c r="G3761">
        <v>0.72476316886451919</v>
      </c>
      <c r="H3761">
        <v>0</v>
      </c>
      <c r="I3761">
        <v>0</v>
      </c>
      <c r="J3761">
        <v>0.6428404554491508</v>
      </c>
      <c r="K3761">
        <v>0</v>
      </c>
      <c r="L3761">
        <v>0</v>
      </c>
      <c r="M3761">
        <v>0.46317706817313692</v>
      </c>
      <c r="N3761">
        <v>0</v>
      </c>
      <c r="O3761">
        <v>0</v>
      </c>
      <c r="P3761">
        <v>0.52528165094253954</v>
      </c>
      <c r="Q3761">
        <v>0.84861283161351797</v>
      </c>
      <c r="R3761">
        <v>-0.39687721775255552</v>
      </c>
      <c r="S3761">
        <v>0.1920782819387894</v>
      </c>
      <c r="T3761">
        <v>0.15223828525224739</v>
      </c>
      <c r="U3761">
        <v>4.2436712643831056</v>
      </c>
      <c r="V3761">
        <v>0.23810297856178911</v>
      </c>
      <c r="W3761">
        <v>3.204356670352511</v>
      </c>
      <c r="X3761">
        <v>0.27879071610315692</v>
      </c>
      <c r="Z3761" t="s">
        <v>392</v>
      </c>
      <c r="AA3761">
        <v>114</v>
      </c>
      <c r="AB3761" t="s">
        <v>4152</v>
      </c>
      <c r="AC3761" t="str">
        <f>HYPERLINK("plots/3FT6Y578R04_015_S21P_20251218081014_M5358ACSC201811_RBGEUFRF04/dpll_52094/txpa_53220.png","plot")</f>
        <v>plot</v>
      </c>
    </row>
    <row r="3762" spans="1:29" hidden="1" x14ac:dyDescent="0.35">
      <c r="A3762" t="s">
        <v>49</v>
      </c>
      <c r="B3762">
        <v>52094</v>
      </c>
      <c r="C3762" t="s">
        <v>53</v>
      </c>
      <c r="D3762">
        <v>53221</v>
      </c>
      <c r="E3762" t="s">
        <v>96</v>
      </c>
      <c r="F3762">
        <v>12028</v>
      </c>
      <c r="G3762">
        <v>0.7124586527291501</v>
      </c>
      <c r="H3762">
        <v>0</v>
      </c>
      <c r="I3762">
        <v>0</v>
      </c>
      <c r="J3762">
        <v>0.62862404486717349</v>
      </c>
      <c r="K3762">
        <v>0</v>
      </c>
      <c r="L3762">
        <v>0</v>
      </c>
      <c r="M3762">
        <v>0.45042033293996198</v>
      </c>
      <c r="N3762">
        <v>0</v>
      </c>
      <c r="O3762">
        <v>0</v>
      </c>
      <c r="P3762">
        <v>0.50759733184863565</v>
      </c>
      <c r="Q3762">
        <v>0.81480060475167337</v>
      </c>
      <c r="R3762">
        <v>-0.23550635979317169</v>
      </c>
      <c r="S3762">
        <v>0.19107270423725761</v>
      </c>
      <c r="T3762">
        <v>0.1511853724075414</v>
      </c>
      <c r="U3762">
        <v>4.2436712643831056</v>
      </c>
      <c r="V3762">
        <v>0.23810297856178911</v>
      </c>
      <c r="W3762">
        <v>3.2222395527934822</v>
      </c>
      <c r="X3762">
        <v>0.27230555791856498</v>
      </c>
      <c r="Z3762" t="s">
        <v>392</v>
      </c>
      <c r="AA3762">
        <v>114</v>
      </c>
      <c r="AB3762" t="s">
        <v>4153</v>
      </c>
      <c r="AC3762" t="str">
        <f>HYPERLINK("plots/3FT6Y578R04_015_S21P_20251218081014_M5358ACSC201811_RBGEUFRF04/dpll_52094/txpa_53221.png","plot")</f>
        <v>plot</v>
      </c>
    </row>
    <row r="3763" spans="1:29" hidden="1" x14ac:dyDescent="0.35">
      <c r="A3763" t="s">
        <v>49</v>
      </c>
      <c r="B3763">
        <v>52094</v>
      </c>
      <c r="C3763" t="s">
        <v>53</v>
      </c>
      <c r="D3763">
        <v>53222</v>
      </c>
      <c r="E3763" t="s">
        <v>97</v>
      </c>
      <c r="F3763">
        <v>12027</v>
      </c>
      <c r="G3763">
        <v>0.72832160534992074</v>
      </c>
      <c r="H3763">
        <v>0</v>
      </c>
      <c r="I3763">
        <v>0</v>
      </c>
      <c r="J3763">
        <v>0.64159854529391547</v>
      </c>
      <c r="K3763">
        <v>0</v>
      </c>
      <c r="L3763">
        <v>0</v>
      </c>
      <c r="M3763">
        <v>0.46222763301863218</v>
      </c>
      <c r="N3763">
        <v>0</v>
      </c>
      <c r="O3763">
        <v>0</v>
      </c>
      <c r="P3763">
        <v>0.53045236081948566</v>
      </c>
      <c r="Q3763">
        <v>0.84603003671615939</v>
      </c>
      <c r="R3763">
        <v>-0.36211596389277112</v>
      </c>
      <c r="S3763">
        <v>0.18952422011965889</v>
      </c>
      <c r="T3763">
        <v>0.1502713574257577</v>
      </c>
      <c r="U3763">
        <v>4.2436786742329762</v>
      </c>
      <c r="V3763">
        <v>0.2381114909913796</v>
      </c>
      <c r="W3763">
        <v>3.2281636606801358</v>
      </c>
      <c r="X3763">
        <v>0.27659411994127281</v>
      </c>
      <c r="Z3763" t="s">
        <v>392</v>
      </c>
      <c r="AA3763">
        <v>114</v>
      </c>
      <c r="AB3763" t="s">
        <v>4154</v>
      </c>
      <c r="AC3763" t="str">
        <f>HYPERLINK("plots/3FT6Y578R04_015_S21P_20251218081014_M5358ACSC201811_RBGEUFRF04/dpll_52094/txpa_53222.png","plot")</f>
        <v>plot</v>
      </c>
    </row>
    <row r="3764" spans="1:29" hidden="1" x14ac:dyDescent="0.35">
      <c r="A3764" t="s">
        <v>49</v>
      </c>
      <c r="B3764">
        <v>52094</v>
      </c>
      <c r="C3764" t="s">
        <v>53</v>
      </c>
      <c r="D3764">
        <v>53223</v>
      </c>
      <c r="E3764" t="s">
        <v>98</v>
      </c>
      <c r="F3764">
        <v>12027</v>
      </c>
      <c r="G3764">
        <v>0.73006625898347155</v>
      </c>
      <c r="H3764">
        <v>0</v>
      </c>
      <c r="I3764">
        <v>0</v>
      </c>
      <c r="J3764">
        <v>0.63782402649619041</v>
      </c>
      <c r="K3764">
        <v>0</v>
      </c>
      <c r="L3764">
        <v>0</v>
      </c>
      <c r="M3764">
        <v>0.45750265046857869</v>
      </c>
      <c r="N3764">
        <v>0</v>
      </c>
      <c r="O3764">
        <v>0</v>
      </c>
      <c r="P3764">
        <v>0.53299674250612139</v>
      </c>
      <c r="Q3764">
        <v>0.84368321184172035</v>
      </c>
      <c r="R3764">
        <v>-0.36324548641491861</v>
      </c>
      <c r="S3764">
        <v>0.18801914107018111</v>
      </c>
      <c r="T3764">
        <v>0.14976482625935761</v>
      </c>
      <c r="U3764">
        <v>4.2436418554918101</v>
      </c>
      <c r="V3764">
        <v>0.23809103076034549</v>
      </c>
      <c r="W3764">
        <v>3.2170439041323688</v>
      </c>
      <c r="X3764">
        <v>0.27514407503544408</v>
      </c>
      <c r="Z3764" t="s">
        <v>392</v>
      </c>
      <c r="AA3764">
        <v>114</v>
      </c>
      <c r="AB3764" t="s">
        <v>4155</v>
      </c>
      <c r="AC3764" t="str">
        <f>HYPERLINK("plots/3FT6Y578R04_015_S21P_20251218081014_M5358ACSC201811_RBGEUFRF04/dpll_52094/txpa_53223.png","plot")</f>
        <v>plot</v>
      </c>
    </row>
    <row r="3765" spans="1:29" hidden="1" x14ac:dyDescent="0.35">
      <c r="A3765" t="s">
        <v>49</v>
      </c>
      <c r="B3765">
        <v>52094</v>
      </c>
      <c r="C3765" t="s">
        <v>53</v>
      </c>
      <c r="D3765">
        <v>53224</v>
      </c>
      <c r="E3765" t="s">
        <v>99</v>
      </c>
      <c r="F3765">
        <v>12028</v>
      </c>
      <c r="G3765">
        <v>0.73410477556555254</v>
      </c>
      <c r="H3765">
        <v>0</v>
      </c>
      <c r="I3765">
        <v>0</v>
      </c>
      <c r="J3765">
        <v>0.65595027191392197</v>
      </c>
      <c r="K3765">
        <v>0</v>
      </c>
      <c r="L3765">
        <v>0</v>
      </c>
      <c r="M3765">
        <v>0.47367857403414548</v>
      </c>
      <c r="N3765">
        <v>0</v>
      </c>
      <c r="O3765">
        <v>0</v>
      </c>
      <c r="P3765">
        <v>0.53890982150815026</v>
      </c>
      <c r="Q3765">
        <v>0.85577038002999273</v>
      </c>
      <c r="R3765">
        <v>-0.41079249912702931</v>
      </c>
      <c r="S3765">
        <v>0.18846855947512031</v>
      </c>
      <c r="T3765">
        <v>0.1492683050174492</v>
      </c>
      <c r="U3765">
        <v>4.2436712643831056</v>
      </c>
      <c r="V3765">
        <v>0.23810297856178911</v>
      </c>
      <c r="W3765">
        <v>3.220815671516462</v>
      </c>
      <c r="X3765">
        <v>0.27756457011619101</v>
      </c>
      <c r="Z3765" t="s">
        <v>392</v>
      </c>
      <c r="AA3765">
        <v>114</v>
      </c>
      <c r="AB3765" t="s">
        <v>4156</v>
      </c>
      <c r="AC3765" t="str">
        <f>HYPERLINK("plots/3FT6Y578R04_015_S21P_20251218081014_M5358ACSC201811_RBGEUFRF04/dpll_52094/txpa_53224.png","plot")</f>
        <v>plot</v>
      </c>
    </row>
    <row r="3766" spans="1:29" hidden="1" x14ac:dyDescent="0.35">
      <c r="A3766" t="s">
        <v>49</v>
      </c>
      <c r="B3766">
        <v>52094</v>
      </c>
      <c r="C3766" t="s">
        <v>53</v>
      </c>
      <c r="D3766">
        <v>53225</v>
      </c>
      <c r="E3766" t="s">
        <v>100</v>
      </c>
      <c r="F3766">
        <v>12028</v>
      </c>
      <c r="G3766">
        <v>0.73119595233122581</v>
      </c>
      <c r="H3766">
        <v>0</v>
      </c>
      <c r="I3766">
        <v>0</v>
      </c>
      <c r="J3766">
        <v>0.64607015351617902</v>
      </c>
      <c r="K3766">
        <v>0</v>
      </c>
      <c r="L3766">
        <v>0</v>
      </c>
      <c r="M3766">
        <v>0.46531337917545212</v>
      </c>
      <c r="N3766">
        <v>0</v>
      </c>
      <c r="O3766">
        <v>0</v>
      </c>
      <c r="P3766">
        <v>0.5346475207055682</v>
      </c>
      <c r="Q3766">
        <v>0.84099310811044592</v>
      </c>
      <c r="R3766">
        <v>-0.34075384371554129</v>
      </c>
      <c r="S3766">
        <v>0.18680842043197579</v>
      </c>
      <c r="T3766">
        <v>0.14881385623404739</v>
      </c>
      <c r="U3766">
        <v>4.2436712643831056</v>
      </c>
      <c r="V3766">
        <v>0.23810297856178911</v>
      </c>
      <c r="W3766">
        <v>3.2281444427169932</v>
      </c>
      <c r="X3766">
        <v>0.27385677307514072</v>
      </c>
      <c r="Z3766" t="s">
        <v>392</v>
      </c>
      <c r="AA3766">
        <v>114</v>
      </c>
      <c r="AB3766" t="s">
        <v>4157</v>
      </c>
      <c r="AC3766" t="str">
        <f>HYPERLINK("plots/3FT6Y578R04_015_S21P_20251218081014_M5358ACSC201811_RBGEUFRF04/dpll_52094/txpa_53225.png","plot")</f>
        <v>plot</v>
      </c>
    </row>
    <row r="3767" spans="1:29" hidden="1" x14ac:dyDescent="0.35">
      <c r="A3767" t="s">
        <v>49</v>
      </c>
      <c r="B3767">
        <v>52094</v>
      </c>
      <c r="C3767" t="s">
        <v>53</v>
      </c>
      <c r="D3767">
        <v>53226</v>
      </c>
      <c r="E3767" t="s">
        <v>101</v>
      </c>
      <c r="F3767">
        <v>12027</v>
      </c>
      <c r="G3767">
        <v>0.72405095708752976</v>
      </c>
      <c r="H3767">
        <v>0</v>
      </c>
      <c r="I3767">
        <v>0</v>
      </c>
      <c r="J3767">
        <v>0.63944825370308112</v>
      </c>
      <c r="K3767">
        <v>0</v>
      </c>
      <c r="L3767">
        <v>0</v>
      </c>
      <c r="M3767">
        <v>0.46039594613730528</v>
      </c>
      <c r="N3767">
        <v>0</v>
      </c>
      <c r="O3767">
        <v>0</v>
      </c>
      <c r="P3767">
        <v>0.52424978845936787</v>
      </c>
      <c r="Q3767">
        <v>0.83494420183709994</v>
      </c>
      <c r="R3767">
        <v>-0.36015202136432428</v>
      </c>
      <c r="S3767">
        <v>0.18937226387465439</v>
      </c>
      <c r="T3767">
        <v>0.14970643886683471</v>
      </c>
      <c r="U3767">
        <v>4.2436951445081901</v>
      </c>
      <c r="V3767">
        <v>0.2380984732054881</v>
      </c>
      <c r="W3767">
        <v>3.1830966339070428</v>
      </c>
      <c r="X3767">
        <v>0.27456484619376842</v>
      </c>
      <c r="Z3767" t="s">
        <v>392</v>
      </c>
      <c r="AA3767">
        <v>114</v>
      </c>
      <c r="AB3767" t="s">
        <v>4158</v>
      </c>
      <c r="AC3767" t="str">
        <f>HYPERLINK("plots/3FT6Y578R04_015_S21P_20251218081014_M5358ACSC201811_RBGEUFRF04/dpll_52094/txpa_53226.png","plot")</f>
        <v>plot</v>
      </c>
    </row>
    <row r="3768" spans="1:29" hidden="1" x14ac:dyDescent="0.35">
      <c r="A3768" t="s">
        <v>49</v>
      </c>
      <c r="B3768">
        <v>52094</v>
      </c>
      <c r="C3768" t="s">
        <v>53</v>
      </c>
      <c r="D3768">
        <v>53227</v>
      </c>
      <c r="E3768" t="s">
        <v>102</v>
      </c>
      <c r="F3768">
        <v>12028</v>
      </c>
      <c r="G3768">
        <v>0.73875131513747527</v>
      </c>
      <c r="H3768">
        <v>0</v>
      </c>
      <c r="I3768">
        <v>0</v>
      </c>
      <c r="J3768">
        <v>0.65583660108878383</v>
      </c>
      <c r="K3768">
        <v>0</v>
      </c>
      <c r="L3768">
        <v>0</v>
      </c>
      <c r="M3768">
        <v>0.47223598043460507</v>
      </c>
      <c r="N3768">
        <v>0</v>
      </c>
      <c r="O3768">
        <v>0</v>
      </c>
      <c r="P3768">
        <v>0.54575350561734925</v>
      </c>
      <c r="Q3768">
        <v>0.89336694648268877</v>
      </c>
      <c r="R3768">
        <v>1.836278768460204</v>
      </c>
      <c r="S3768">
        <v>0.19405470600339769</v>
      </c>
      <c r="T3768">
        <v>0.15277075608361071</v>
      </c>
      <c r="U3768">
        <v>4.2436712643831056</v>
      </c>
      <c r="V3768">
        <v>0.23810297856178911</v>
      </c>
      <c r="W3768">
        <v>5.6274344077984706</v>
      </c>
      <c r="X3768">
        <v>0.28793631435579159</v>
      </c>
      <c r="Z3768" t="s">
        <v>392</v>
      </c>
      <c r="AA3768">
        <v>114</v>
      </c>
      <c r="AB3768" t="s">
        <v>4159</v>
      </c>
      <c r="AC3768" t="str">
        <f>HYPERLINK("plots/3FT6Y578R04_015_S21P_20251218081014_M5358ACSC201811_RBGEUFRF04/dpll_52094/txpa_53227.png","plot")</f>
        <v>plot</v>
      </c>
    </row>
    <row r="3769" spans="1:29" hidden="1" x14ac:dyDescent="0.35">
      <c r="A3769" t="s">
        <v>49</v>
      </c>
      <c r="B3769">
        <v>52094</v>
      </c>
      <c r="C3769" t="s">
        <v>53</v>
      </c>
      <c r="D3769">
        <v>53228</v>
      </c>
      <c r="E3769" t="s">
        <v>103</v>
      </c>
      <c r="F3769">
        <v>12028</v>
      </c>
      <c r="G3769">
        <v>0.75853756460122201</v>
      </c>
      <c r="H3769">
        <v>0</v>
      </c>
      <c r="I3769">
        <v>0</v>
      </c>
      <c r="J3769">
        <v>0.6731677375703119</v>
      </c>
      <c r="K3769">
        <v>0</v>
      </c>
      <c r="L3769">
        <v>0</v>
      </c>
      <c r="M3769">
        <v>0.48943289902498321</v>
      </c>
      <c r="N3769">
        <v>0</v>
      </c>
      <c r="O3769">
        <v>0</v>
      </c>
      <c r="P3769">
        <v>0.57537923691115311</v>
      </c>
      <c r="Q3769">
        <v>0.9263809821590856</v>
      </c>
      <c r="R3769">
        <v>1.7304455930975879</v>
      </c>
      <c r="S3769">
        <v>0.18947849436482281</v>
      </c>
      <c r="T3769">
        <v>0.15014544317822651</v>
      </c>
      <c r="U3769">
        <v>4.2436712643831056</v>
      </c>
      <c r="V3769">
        <v>0.23810297856178911</v>
      </c>
      <c r="W3769">
        <v>5.6617019469570993</v>
      </c>
      <c r="X3769">
        <v>0.29078859298291171</v>
      </c>
      <c r="Z3769" t="s">
        <v>392</v>
      </c>
      <c r="AA3769">
        <v>114</v>
      </c>
      <c r="AB3769" t="s">
        <v>4160</v>
      </c>
      <c r="AC3769" t="str">
        <f>HYPERLINK("plots/3FT6Y578R04_015_S21P_20251218081014_M5358ACSC201811_RBGEUFRF04/dpll_52094/txpa_53228.png","plot")</f>
        <v>plot</v>
      </c>
    </row>
    <row r="3770" spans="1:29" hidden="1" x14ac:dyDescent="0.35">
      <c r="A3770" t="s">
        <v>49</v>
      </c>
      <c r="B3770">
        <v>52094</v>
      </c>
      <c r="C3770" t="s">
        <v>53</v>
      </c>
      <c r="D3770">
        <v>53229</v>
      </c>
      <c r="E3770" t="s">
        <v>104</v>
      </c>
      <c r="F3770">
        <v>12028</v>
      </c>
      <c r="G3770">
        <v>0.74806687120903426</v>
      </c>
      <c r="H3770">
        <v>0</v>
      </c>
      <c r="I3770">
        <v>0</v>
      </c>
      <c r="J3770">
        <v>0.66021561429510467</v>
      </c>
      <c r="K3770">
        <v>0</v>
      </c>
      <c r="L3770">
        <v>0</v>
      </c>
      <c r="M3770">
        <v>0.47738409132415971</v>
      </c>
      <c r="N3770">
        <v>0</v>
      </c>
      <c r="O3770">
        <v>0</v>
      </c>
      <c r="P3770">
        <v>0.55960404380047379</v>
      </c>
      <c r="Q3770">
        <v>0.89332257789987846</v>
      </c>
      <c r="R3770">
        <v>1.88854687181554</v>
      </c>
      <c r="S3770">
        <v>0.18868454276649971</v>
      </c>
      <c r="T3770">
        <v>0.14905561883724761</v>
      </c>
      <c r="U3770">
        <v>4.2436712643831056</v>
      </c>
      <c r="V3770">
        <v>0.23810297856178911</v>
      </c>
      <c r="W3770">
        <v>5.679514225473894</v>
      </c>
      <c r="X3770">
        <v>0.28433656775989041</v>
      </c>
      <c r="Z3770" t="s">
        <v>392</v>
      </c>
      <c r="AA3770">
        <v>114</v>
      </c>
      <c r="AB3770" t="s">
        <v>4161</v>
      </c>
      <c r="AC3770" t="str">
        <f>HYPERLINK("plots/3FT6Y578R04_015_S21P_20251218081014_M5358ACSC201811_RBGEUFRF04/dpll_52094/txpa_53229.png","plot")</f>
        <v>plot</v>
      </c>
    </row>
    <row r="3771" spans="1:29" hidden="1" x14ac:dyDescent="0.35">
      <c r="A3771" t="s">
        <v>49</v>
      </c>
      <c r="B3771">
        <v>52094</v>
      </c>
      <c r="C3771" t="s">
        <v>53</v>
      </c>
      <c r="D3771">
        <v>53230</v>
      </c>
      <c r="E3771" t="s">
        <v>105</v>
      </c>
      <c r="F3771">
        <v>12027</v>
      </c>
      <c r="G3771">
        <v>0.76273626239877834</v>
      </c>
      <c r="H3771">
        <v>0</v>
      </c>
      <c r="I3771">
        <v>0</v>
      </c>
      <c r="J3771">
        <v>0.67315438734334865</v>
      </c>
      <c r="K3771">
        <v>0</v>
      </c>
      <c r="L3771">
        <v>0</v>
      </c>
      <c r="M3771">
        <v>0.48956822159576502</v>
      </c>
      <c r="N3771">
        <v>0</v>
      </c>
      <c r="O3771">
        <v>0</v>
      </c>
      <c r="P3771">
        <v>0.58176660597805807</v>
      </c>
      <c r="Q3771">
        <v>0.9242205038523218</v>
      </c>
      <c r="R3771">
        <v>1.760640573992633</v>
      </c>
      <c r="S3771">
        <v>0.18658333726327031</v>
      </c>
      <c r="T3771">
        <v>0.14786826035806289</v>
      </c>
      <c r="U3771">
        <v>4.2436786742329762</v>
      </c>
      <c r="V3771">
        <v>0.2381114909913796</v>
      </c>
      <c r="W3771">
        <v>5.6827354164795878</v>
      </c>
      <c r="X3771">
        <v>0.28852374408550591</v>
      </c>
      <c r="Z3771" t="s">
        <v>392</v>
      </c>
      <c r="AA3771">
        <v>114</v>
      </c>
      <c r="AB3771" t="s">
        <v>4162</v>
      </c>
      <c r="AC3771" t="str">
        <f>HYPERLINK("plots/3FT6Y578R04_015_S21P_20251218081014_M5358ACSC201811_RBGEUFRF04/dpll_52094/txpa_53230.png","plot")</f>
        <v>plot</v>
      </c>
    </row>
    <row r="3772" spans="1:29" hidden="1" x14ac:dyDescent="0.35">
      <c r="A3772" t="s">
        <v>49</v>
      </c>
      <c r="B3772">
        <v>52094</v>
      </c>
      <c r="C3772" t="s">
        <v>53</v>
      </c>
      <c r="D3772">
        <v>53231</v>
      </c>
      <c r="E3772" t="s">
        <v>106</v>
      </c>
      <c r="F3772">
        <v>12027</v>
      </c>
      <c r="G3772">
        <v>0.7644638160197611</v>
      </c>
      <c r="H3772">
        <v>0</v>
      </c>
      <c r="I3772">
        <v>0</v>
      </c>
      <c r="J3772">
        <v>0.67016951515171319</v>
      </c>
      <c r="K3772">
        <v>0</v>
      </c>
      <c r="L3772">
        <v>0</v>
      </c>
      <c r="M3772">
        <v>0.48540318090086348</v>
      </c>
      <c r="N3772">
        <v>0</v>
      </c>
      <c r="O3772">
        <v>0</v>
      </c>
      <c r="P3772">
        <v>0.58440492600349514</v>
      </c>
      <c r="Q3772">
        <v>0.92195654572787655</v>
      </c>
      <c r="R3772">
        <v>1.7574840472122499</v>
      </c>
      <c r="S3772">
        <v>0.1851031004530149</v>
      </c>
      <c r="T3772">
        <v>0.14726087815308839</v>
      </c>
      <c r="U3772">
        <v>4.2436418554918101</v>
      </c>
      <c r="V3772">
        <v>0.23809103076034549</v>
      </c>
      <c r="W3772">
        <v>5.669937433607716</v>
      </c>
      <c r="X3772">
        <v>0.28714188911058097</v>
      </c>
      <c r="Z3772" t="s">
        <v>392</v>
      </c>
      <c r="AA3772">
        <v>114</v>
      </c>
      <c r="AB3772" t="s">
        <v>4163</v>
      </c>
      <c r="AC3772" t="str">
        <f>HYPERLINK("plots/3FT6Y578R04_015_S21P_20251218081014_M5358ACSC201811_RBGEUFRF04/dpll_52094/txpa_53231.png","plot")</f>
        <v>plot</v>
      </c>
    </row>
    <row r="3773" spans="1:29" hidden="1" x14ac:dyDescent="0.35">
      <c r="A3773" t="s">
        <v>49</v>
      </c>
      <c r="B3773">
        <v>52094</v>
      </c>
      <c r="C3773" t="s">
        <v>53</v>
      </c>
      <c r="D3773">
        <v>53232</v>
      </c>
      <c r="E3773" t="s">
        <v>107</v>
      </c>
      <c r="F3773">
        <v>12027</v>
      </c>
      <c r="G3773">
        <v>0.76881319246283275</v>
      </c>
      <c r="H3773">
        <v>0</v>
      </c>
      <c r="I3773">
        <v>0</v>
      </c>
      <c r="J3773">
        <v>0.68618793352933505</v>
      </c>
      <c r="K3773">
        <v>0</v>
      </c>
      <c r="L3773">
        <v>0</v>
      </c>
      <c r="M3773">
        <v>0.50020167999281828</v>
      </c>
      <c r="N3773">
        <v>0</v>
      </c>
      <c r="O3773">
        <v>0</v>
      </c>
      <c r="P3773">
        <v>0.59107372490489274</v>
      </c>
      <c r="Q3773">
        <v>0.93502483555474192</v>
      </c>
      <c r="R3773">
        <v>1.7095558047896531</v>
      </c>
      <c r="S3773">
        <v>0.18515609003220951</v>
      </c>
      <c r="T3773">
        <v>0.14707663127012999</v>
      </c>
      <c r="U3773">
        <v>4.2436377816579363</v>
      </c>
      <c r="V3773">
        <v>0.2380845584627882</v>
      </c>
      <c r="W3773">
        <v>5.6774625237382548</v>
      </c>
      <c r="X3773">
        <v>0.28955665343314713</v>
      </c>
      <c r="Z3773" t="s">
        <v>392</v>
      </c>
      <c r="AA3773">
        <v>114</v>
      </c>
      <c r="AB3773" t="s">
        <v>4164</v>
      </c>
      <c r="AC3773" t="str">
        <f>HYPERLINK("plots/3FT6Y578R04_015_S21P_20251218081014_M5358ACSC201811_RBGEUFRF04/dpll_52094/txpa_53232.png","plot")</f>
        <v>plot</v>
      </c>
    </row>
    <row r="3774" spans="1:29" hidden="1" x14ac:dyDescent="0.35">
      <c r="A3774" t="s">
        <v>49</v>
      </c>
      <c r="B3774">
        <v>52094</v>
      </c>
      <c r="C3774" t="s">
        <v>53</v>
      </c>
      <c r="D3774">
        <v>53233</v>
      </c>
      <c r="E3774" t="s">
        <v>108</v>
      </c>
      <c r="F3774">
        <v>12028</v>
      </c>
      <c r="G3774">
        <v>0.76516455197814326</v>
      </c>
      <c r="H3774">
        <v>0</v>
      </c>
      <c r="I3774">
        <v>0</v>
      </c>
      <c r="J3774">
        <v>0.67651436424126421</v>
      </c>
      <c r="K3774">
        <v>0</v>
      </c>
      <c r="L3774">
        <v>0</v>
      </c>
      <c r="M3774">
        <v>0.49196669468741261</v>
      </c>
      <c r="N3774">
        <v>0</v>
      </c>
      <c r="O3774">
        <v>0</v>
      </c>
      <c r="P3774">
        <v>0.58547679160391275</v>
      </c>
      <c r="Q3774">
        <v>0.91957347067293127</v>
      </c>
      <c r="R3774">
        <v>1.782226749071445</v>
      </c>
      <c r="S3774">
        <v>0.18422679254038049</v>
      </c>
      <c r="T3774">
        <v>0.14660541363870111</v>
      </c>
      <c r="U3774">
        <v>4.2436712643831056</v>
      </c>
      <c r="V3774">
        <v>0.23810297856178911</v>
      </c>
      <c r="W3774">
        <v>5.6845942620552048</v>
      </c>
      <c r="X3774">
        <v>0.28615175887013827</v>
      </c>
      <c r="Z3774" t="s">
        <v>392</v>
      </c>
      <c r="AA3774">
        <v>114</v>
      </c>
      <c r="AB3774" t="s">
        <v>4165</v>
      </c>
      <c r="AC3774" t="str">
        <f>HYPERLINK("plots/3FT6Y578R04_015_S21P_20251218081014_M5358ACSC201811_RBGEUFRF04/dpll_52094/txpa_53233.png","plot")</f>
        <v>plot</v>
      </c>
    </row>
    <row r="3775" spans="1:29" hidden="1" x14ac:dyDescent="0.35">
      <c r="A3775" t="s">
        <v>49</v>
      </c>
      <c r="B3775">
        <v>52094</v>
      </c>
      <c r="C3775" t="s">
        <v>53</v>
      </c>
      <c r="D3775">
        <v>53234</v>
      </c>
      <c r="E3775" t="s">
        <v>109</v>
      </c>
      <c r="F3775">
        <v>12027</v>
      </c>
      <c r="G3775">
        <v>0.75950135073466962</v>
      </c>
      <c r="H3775">
        <v>0</v>
      </c>
      <c r="I3775">
        <v>0</v>
      </c>
      <c r="J3775">
        <v>0.67114620504393552</v>
      </c>
      <c r="K3775">
        <v>0</v>
      </c>
      <c r="L3775">
        <v>0</v>
      </c>
      <c r="M3775">
        <v>0.48786589622675303</v>
      </c>
      <c r="N3775">
        <v>0</v>
      </c>
      <c r="O3775">
        <v>0</v>
      </c>
      <c r="P3775">
        <v>0.57684230176778761</v>
      </c>
      <c r="Q3775">
        <v>0.91448575093740181</v>
      </c>
      <c r="R3775">
        <v>1.7612786069089481</v>
      </c>
      <c r="S3775">
        <v>0.18648249460939689</v>
      </c>
      <c r="T3775">
        <v>0.14732318644970849</v>
      </c>
      <c r="U3775">
        <v>4.2436951445081901</v>
      </c>
      <c r="V3775">
        <v>0.2380984732054881</v>
      </c>
      <c r="W3775">
        <v>5.6420773478839266</v>
      </c>
      <c r="X3775">
        <v>0.28668502150226721</v>
      </c>
      <c r="Z3775" t="s">
        <v>392</v>
      </c>
      <c r="AA3775">
        <v>114</v>
      </c>
      <c r="AB3775" t="s">
        <v>4166</v>
      </c>
      <c r="AC3775" t="str">
        <f>HYPERLINK("plots/3FT6Y578R04_015_S21P_20251218081014_M5358ACSC201811_RBGEUFRF04/dpll_52094/txpa_53234.png","plot")</f>
        <v>plot</v>
      </c>
    </row>
    <row r="3776" spans="1:29" hidden="1" x14ac:dyDescent="0.35">
      <c r="A3776" t="s">
        <v>49</v>
      </c>
      <c r="B3776">
        <v>52094</v>
      </c>
      <c r="C3776" t="s">
        <v>53</v>
      </c>
      <c r="D3776">
        <v>53235</v>
      </c>
      <c r="E3776" t="s">
        <v>110</v>
      </c>
      <c r="F3776">
        <v>12028</v>
      </c>
      <c r="G3776">
        <v>0.75229056207132705</v>
      </c>
      <c r="H3776">
        <v>0</v>
      </c>
      <c r="I3776">
        <v>0</v>
      </c>
      <c r="J3776">
        <v>0.66615494054432667</v>
      </c>
      <c r="K3776">
        <v>0</v>
      </c>
      <c r="L3776">
        <v>0</v>
      </c>
      <c r="M3776">
        <v>0.48111707547747162</v>
      </c>
      <c r="N3776">
        <v>0</v>
      </c>
      <c r="O3776">
        <v>0</v>
      </c>
      <c r="P3776">
        <v>0.56594108978159319</v>
      </c>
      <c r="Q3776">
        <v>0.9337463844736521</v>
      </c>
      <c r="R3776">
        <v>2.7564975153184381</v>
      </c>
      <c r="S3776">
        <v>0.19469931865828949</v>
      </c>
      <c r="T3776">
        <v>0.15295031166814371</v>
      </c>
      <c r="U3776">
        <v>4.2436712643831056</v>
      </c>
      <c r="V3776">
        <v>0.23810297856178911</v>
      </c>
      <c r="W3776">
        <v>6.7190102153308953</v>
      </c>
      <c r="X3776">
        <v>0.29553447374419989</v>
      </c>
      <c r="Z3776" t="s">
        <v>392</v>
      </c>
      <c r="AA3776">
        <v>114</v>
      </c>
      <c r="AB3776" t="s">
        <v>4167</v>
      </c>
      <c r="AC3776" t="str">
        <f>HYPERLINK("plots/3FT6Y578R04_015_S21P_20251218081014_M5358ACSC201811_RBGEUFRF04/dpll_52094/txpa_53235.png","plot")</f>
        <v>plot</v>
      </c>
    </row>
    <row r="3777" spans="1:29" hidden="1" x14ac:dyDescent="0.35">
      <c r="A3777" t="s">
        <v>49</v>
      </c>
      <c r="B3777">
        <v>52094</v>
      </c>
      <c r="C3777" t="s">
        <v>53</v>
      </c>
      <c r="D3777">
        <v>53236</v>
      </c>
      <c r="E3777" t="s">
        <v>111</v>
      </c>
      <c r="F3777">
        <v>12028</v>
      </c>
      <c r="G3777">
        <v>0.77120439552490638</v>
      </c>
      <c r="H3777">
        <v>0</v>
      </c>
      <c r="I3777">
        <v>0</v>
      </c>
      <c r="J3777">
        <v>0.68292298267997187</v>
      </c>
      <c r="K3777">
        <v>0</v>
      </c>
      <c r="L3777">
        <v>0</v>
      </c>
      <c r="M3777">
        <v>0.49801087717674319</v>
      </c>
      <c r="N3777">
        <v>0</v>
      </c>
      <c r="O3777">
        <v>0</v>
      </c>
      <c r="P3777">
        <v>0.59475621967693626</v>
      </c>
      <c r="Q3777">
        <v>0.96690152489935377</v>
      </c>
      <c r="R3777">
        <v>2.649621444087892</v>
      </c>
      <c r="S3777">
        <v>0.19002804572086679</v>
      </c>
      <c r="T3777">
        <v>0.150385721257323</v>
      </c>
      <c r="U3777">
        <v>4.2436712643831056</v>
      </c>
      <c r="V3777">
        <v>0.23810297856178911</v>
      </c>
      <c r="W3777">
        <v>6.7528336607914872</v>
      </c>
      <c r="X3777">
        <v>0.29852284866423168</v>
      </c>
      <c r="Z3777" t="s">
        <v>392</v>
      </c>
      <c r="AA3777">
        <v>114</v>
      </c>
      <c r="AB3777" t="s">
        <v>4168</v>
      </c>
      <c r="AC3777" t="str">
        <f>HYPERLINK("plots/3FT6Y578R04_015_S21P_20251218081014_M5358ACSC201811_RBGEUFRF04/dpll_52094/txpa_53236.png","plot")</f>
        <v>plot</v>
      </c>
    </row>
    <row r="3778" spans="1:29" hidden="1" x14ac:dyDescent="0.35">
      <c r="A3778" t="s">
        <v>49</v>
      </c>
      <c r="B3778">
        <v>52094</v>
      </c>
      <c r="C3778" t="s">
        <v>53</v>
      </c>
      <c r="D3778">
        <v>53237</v>
      </c>
      <c r="E3778" t="s">
        <v>112</v>
      </c>
      <c r="F3778">
        <v>12028</v>
      </c>
      <c r="G3778">
        <v>0.76165765806611296</v>
      </c>
      <c r="H3778">
        <v>0</v>
      </c>
      <c r="I3778">
        <v>0</v>
      </c>
      <c r="J3778">
        <v>0.67034782997490172</v>
      </c>
      <c r="K3778">
        <v>0</v>
      </c>
      <c r="L3778">
        <v>0</v>
      </c>
      <c r="M3778">
        <v>0.48618114187744549</v>
      </c>
      <c r="N3778">
        <v>0</v>
      </c>
      <c r="O3778">
        <v>0</v>
      </c>
      <c r="P3778">
        <v>0.58012238809075589</v>
      </c>
      <c r="Q3778">
        <v>0.93401942809178107</v>
      </c>
      <c r="R3778">
        <v>2.8072059389067232</v>
      </c>
      <c r="S3778">
        <v>0.18919263681521209</v>
      </c>
      <c r="T3778">
        <v>0.14926509819363151</v>
      </c>
      <c r="U3778">
        <v>4.2436712643831056</v>
      </c>
      <c r="V3778">
        <v>0.23810297856178911</v>
      </c>
      <c r="W3778">
        <v>6.7708773462753573</v>
      </c>
      <c r="X3778">
        <v>0.2919852580855003</v>
      </c>
      <c r="Z3778" t="s">
        <v>392</v>
      </c>
      <c r="AA3778">
        <v>114</v>
      </c>
      <c r="AB3778" t="s">
        <v>4169</v>
      </c>
      <c r="AC3778" t="str">
        <f>HYPERLINK("plots/3FT6Y578R04_015_S21P_20251218081014_M5358ACSC201811_RBGEUFRF04/dpll_52094/txpa_53237.png","plot")</f>
        <v>plot</v>
      </c>
    </row>
    <row r="3779" spans="1:29" hidden="1" x14ac:dyDescent="0.35">
      <c r="A3779" t="s">
        <v>49</v>
      </c>
      <c r="B3779">
        <v>52094</v>
      </c>
      <c r="C3779" t="s">
        <v>53</v>
      </c>
      <c r="D3779">
        <v>53238</v>
      </c>
      <c r="E3779" t="s">
        <v>113</v>
      </c>
      <c r="F3779">
        <v>12027</v>
      </c>
      <c r="G3779">
        <v>0.77544487747443114</v>
      </c>
      <c r="H3779">
        <v>0</v>
      </c>
      <c r="I3779">
        <v>0</v>
      </c>
      <c r="J3779">
        <v>0.68314732294363956</v>
      </c>
      <c r="K3779">
        <v>0</v>
      </c>
      <c r="L3779">
        <v>0</v>
      </c>
      <c r="M3779">
        <v>0.49836464814469361</v>
      </c>
      <c r="N3779">
        <v>0</v>
      </c>
      <c r="O3779">
        <v>0</v>
      </c>
      <c r="P3779">
        <v>0.60131475800133549</v>
      </c>
      <c r="Q3779">
        <v>0.96515710783000375</v>
      </c>
      <c r="R3779">
        <v>2.6775493987231331</v>
      </c>
      <c r="S3779">
        <v>0.187121831936963</v>
      </c>
      <c r="T3779">
        <v>0.14820866521784229</v>
      </c>
      <c r="U3779">
        <v>4.2436786742329762</v>
      </c>
      <c r="V3779">
        <v>0.2381114909913796</v>
      </c>
      <c r="W3779">
        <v>6.7733660345056963</v>
      </c>
      <c r="X3779">
        <v>0.29636535705132389</v>
      </c>
      <c r="Z3779" t="s">
        <v>392</v>
      </c>
      <c r="AA3779">
        <v>114</v>
      </c>
      <c r="AB3779" t="s">
        <v>4170</v>
      </c>
      <c r="AC3779" t="str">
        <f>HYPERLINK("plots/3FT6Y578R04_015_S21P_20251218081014_M5358ACSC201811_RBGEUFRF04/dpll_52094/txpa_53238.png","plot")</f>
        <v>plot</v>
      </c>
    </row>
    <row r="3780" spans="1:29" hidden="1" x14ac:dyDescent="0.35">
      <c r="A3780" t="s">
        <v>49</v>
      </c>
      <c r="B3780">
        <v>52094</v>
      </c>
      <c r="C3780" t="s">
        <v>53</v>
      </c>
      <c r="D3780">
        <v>53239</v>
      </c>
      <c r="E3780" t="s">
        <v>114</v>
      </c>
      <c r="F3780">
        <v>12027</v>
      </c>
      <c r="G3780">
        <v>0.77734113911861635</v>
      </c>
      <c r="H3780">
        <v>0</v>
      </c>
      <c r="I3780">
        <v>0</v>
      </c>
      <c r="J3780">
        <v>0.68019782606541723</v>
      </c>
      <c r="K3780">
        <v>0</v>
      </c>
      <c r="L3780">
        <v>0</v>
      </c>
      <c r="M3780">
        <v>0.49420466500456778</v>
      </c>
      <c r="N3780">
        <v>0</v>
      </c>
      <c r="O3780">
        <v>0</v>
      </c>
      <c r="P3780">
        <v>0.60425924656622809</v>
      </c>
      <c r="Q3780">
        <v>0.96254728443129522</v>
      </c>
      <c r="R3780">
        <v>2.6749690460029698</v>
      </c>
      <c r="S3780">
        <v>0.18545595721273189</v>
      </c>
      <c r="T3780">
        <v>0.14741647722812409</v>
      </c>
      <c r="U3780">
        <v>4.2436418554918101</v>
      </c>
      <c r="V3780">
        <v>0.23809103076034549</v>
      </c>
      <c r="W3780">
        <v>6.7596749901055952</v>
      </c>
      <c r="X3780">
        <v>0.29481763356261581</v>
      </c>
      <c r="Z3780" t="s">
        <v>392</v>
      </c>
      <c r="AA3780">
        <v>114</v>
      </c>
      <c r="AB3780" t="s">
        <v>4171</v>
      </c>
      <c r="AC3780" t="str">
        <f>HYPERLINK("plots/3FT6Y578R04_015_S21P_20251218081014_M5358ACSC201811_RBGEUFRF04/dpll_52094/txpa_53239.png","plot")</f>
        <v>plot</v>
      </c>
    </row>
    <row r="3781" spans="1:29" hidden="1" x14ac:dyDescent="0.35">
      <c r="A3781" t="s">
        <v>49</v>
      </c>
      <c r="B3781">
        <v>52094</v>
      </c>
      <c r="C3781" t="s">
        <v>53</v>
      </c>
      <c r="D3781">
        <v>53240</v>
      </c>
      <c r="E3781" t="s">
        <v>115</v>
      </c>
      <c r="F3781">
        <v>12027</v>
      </c>
      <c r="G3781">
        <v>0.78141187806222134</v>
      </c>
      <c r="H3781">
        <v>0</v>
      </c>
      <c r="I3781">
        <v>0</v>
      </c>
      <c r="J3781">
        <v>0.69579249227807505</v>
      </c>
      <c r="K3781">
        <v>0</v>
      </c>
      <c r="L3781">
        <v>0</v>
      </c>
      <c r="M3781">
        <v>0.50883654443256376</v>
      </c>
      <c r="N3781">
        <v>0</v>
      </c>
      <c r="O3781">
        <v>0</v>
      </c>
      <c r="P3781">
        <v>0.61060452317672786</v>
      </c>
      <c r="Q3781">
        <v>0.97576777924780111</v>
      </c>
      <c r="R3781">
        <v>2.627315420215603</v>
      </c>
      <c r="S3781">
        <v>0.18551331638953411</v>
      </c>
      <c r="T3781">
        <v>0.1471944012547492</v>
      </c>
      <c r="U3781">
        <v>4.2436377816579363</v>
      </c>
      <c r="V3781">
        <v>0.2380845584627882</v>
      </c>
      <c r="W3781">
        <v>6.7681204343560326</v>
      </c>
      <c r="X3781">
        <v>0.29730190621178337</v>
      </c>
      <c r="Z3781" t="s">
        <v>392</v>
      </c>
      <c r="AA3781">
        <v>114</v>
      </c>
      <c r="AB3781" t="s">
        <v>4172</v>
      </c>
      <c r="AC3781" t="str">
        <f>HYPERLINK("plots/3FT6Y578R04_015_S21P_20251218081014_M5358ACSC201811_RBGEUFRF04/dpll_52094/txpa_53240.png","plot")</f>
        <v>plot</v>
      </c>
    </row>
    <row r="3782" spans="1:29" hidden="1" x14ac:dyDescent="0.35">
      <c r="A3782" t="s">
        <v>49</v>
      </c>
      <c r="B3782">
        <v>52094</v>
      </c>
      <c r="C3782" t="s">
        <v>53</v>
      </c>
      <c r="D3782">
        <v>53241</v>
      </c>
      <c r="E3782" t="s">
        <v>116</v>
      </c>
      <c r="F3782">
        <v>12028</v>
      </c>
      <c r="G3782">
        <v>0.77778576829333557</v>
      </c>
      <c r="H3782">
        <v>0</v>
      </c>
      <c r="I3782">
        <v>0</v>
      </c>
      <c r="J3782">
        <v>0.68601486666688027</v>
      </c>
      <c r="K3782">
        <v>0</v>
      </c>
      <c r="L3782">
        <v>0</v>
      </c>
      <c r="M3782">
        <v>0.50038477677052284</v>
      </c>
      <c r="N3782">
        <v>0</v>
      </c>
      <c r="O3782">
        <v>0</v>
      </c>
      <c r="P3782">
        <v>0.60495070135965423</v>
      </c>
      <c r="Q3782">
        <v>0.96023037022542668</v>
      </c>
      <c r="R3782">
        <v>2.7001765287176651</v>
      </c>
      <c r="S3782">
        <v>0.18475145487407049</v>
      </c>
      <c r="T3782">
        <v>0.1468643977387441</v>
      </c>
      <c r="U3782">
        <v>4.2436712643831056</v>
      </c>
      <c r="V3782">
        <v>0.23810297856178911</v>
      </c>
      <c r="W3782">
        <v>6.77507855803126</v>
      </c>
      <c r="X3782">
        <v>0.29395460880937091</v>
      </c>
      <c r="Z3782" t="s">
        <v>392</v>
      </c>
      <c r="AA3782">
        <v>114</v>
      </c>
      <c r="AB3782" t="s">
        <v>4173</v>
      </c>
      <c r="AC3782" t="str">
        <f>HYPERLINK("plots/3FT6Y578R04_015_S21P_20251218081014_M5358ACSC201811_RBGEUFRF04/dpll_52094/txpa_53241.png","plot")</f>
        <v>plot</v>
      </c>
    </row>
    <row r="3783" spans="1:29" hidden="1" x14ac:dyDescent="0.35">
      <c r="A3783" t="s">
        <v>49</v>
      </c>
      <c r="B3783">
        <v>52094</v>
      </c>
      <c r="C3783" t="s">
        <v>53</v>
      </c>
      <c r="D3783">
        <v>53242</v>
      </c>
      <c r="E3783" t="s">
        <v>117</v>
      </c>
      <c r="F3783">
        <v>12027</v>
      </c>
      <c r="G3783">
        <v>0.77264161906383322</v>
      </c>
      <c r="H3783">
        <v>0</v>
      </c>
      <c r="I3783">
        <v>0</v>
      </c>
      <c r="J3783">
        <v>0.6811054565048088</v>
      </c>
      <c r="K3783">
        <v>0</v>
      </c>
      <c r="L3783">
        <v>0</v>
      </c>
      <c r="M3783">
        <v>0.49660776784481658</v>
      </c>
      <c r="N3783">
        <v>0</v>
      </c>
      <c r="O3783">
        <v>0</v>
      </c>
      <c r="P3783">
        <v>0.59697507150958151</v>
      </c>
      <c r="Q3783">
        <v>0.95484037287192558</v>
      </c>
      <c r="R3783">
        <v>2.6815715293169151</v>
      </c>
      <c r="S3783">
        <v>0.1867915324830946</v>
      </c>
      <c r="T3783">
        <v>0.1474222366319359</v>
      </c>
      <c r="U3783">
        <v>4.2436951445081901</v>
      </c>
      <c r="V3783">
        <v>0.2380984732054881</v>
      </c>
      <c r="W3783">
        <v>6.7336229834538948</v>
      </c>
      <c r="X3783">
        <v>0.29424513167078298</v>
      </c>
      <c r="Z3783" t="s">
        <v>392</v>
      </c>
      <c r="AA3783">
        <v>114</v>
      </c>
      <c r="AB3783" t="s">
        <v>4174</v>
      </c>
      <c r="AC3783" t="str">
        <f>HYPERLINK("plots/3FT6Y578R04_015_S21P_20251218081014_M5358ACSC201811_RBGEUFRF04/dpll_52094/txpa_53242.png","plot")</f>
        <v>plot</v>
      </c>
    </row>
    <row r="3784" spans="1:29" hidden="1" x14ac:dyDescent="0.35">
      <c r="A3784" t="s">
        <v>49</v>
      </c>
      <c r="B3784">
        <v>52094</v>
      </c>
      <c r="C3784" t="s">
        <v>53</v>
      </c>
      <c r="D3784">
        <v>53243</v>
      </c>
      <c r="E3784" t="s">
        <v>118</v>
      </c>
      <c r="F3784">
        <v>12028</v>
      </c>
      <c r="G3784">
        <v>0.76525707977919855</v>
      </c>
      <c r="H3784">
        <v>0</v>
      </c>
      <c r="I3784">
        <v>0</v>
      </c>
      <c r="J3784">
        <v>0.67562321969008621</v>
      </c>
      <c r="K3784">
        <v>0</v>
      </c>
      <c r="L3784">
        <v>0</v>
      </c>
      <c r="M3784">
        <v>0.48921591917479501</v>
      </c>
      <c r="N3784">
        <v>0</v>
      </c>
      <c r="O3784">
        <v>0</v>
      </c>
      <c r="P3784">
        <v>0.58561839815218664</v>
      </c>
      <c r="Q3784">
        <v>0.98118062265990258</v>
      </c>
      <c r="R3784">
        <v>3.6261309331563298</v>
      </c>
      <c r="S3784">
        <v>0.1965117906611262</v>
      </c>
      <c r="T3784">
        <v>0.1540353993220879</v>
      </c>
      <c r="U3784">
        <v>4.2436712643831056</v>
      </c>
      <c r="V3784">
        <v>0.23810297856178911</v>
      </c>
      <c r="W3784">
        <v>7.7899389467076823</v>
      </c>
      <c r="X3784">
        <v>0.30528568102870901</v>
      </c>
      <c r="Z3784" t="s">
        <v>392</v>
      </c>
      <c r="AA3784">
        <v>114</v>
      </c>
      <c r="AB3784" t="s">
        <v>4175</v>
      </c>
      <c r="AC3784" t="str">
        <f>HYPERLINK("plots/3FT6Y578R04_015_S21P_20251218081014_M5358ACSC201811_RBGEUFRF04/dpll_52094/txpa_53243.png","plot")</f>
        <v>plot</v>
      </c>
    </row>
    <row r="3785" spans="1:29" hidden="1" x14ac:dyDescent="0.35">
      <c r="A3785" t="s">
        <v>49</v>
      </c>
      <c r="B3785">
        <v>52094</v>
      </c>
      <c r="C3785" t="s">
        <v>53</v>
      </c>
      <c r="D3785">
        <v>53244</v>
      </c>
      <c r="E3785" t="s">
        <v>119</v>
      </c>
      <c r="F3785">
        <v>12028</v>
      </c>
      <c r="G3785">
        <v>0.78308515184081218</v>
      </c>
      <c r="H3785">
        <v>0</v>
      </c>
      <c r="I3785">
        <v>0</v>
      </c>
      <c r="J3785">
        <v>0.69172937667342616</v>
      </c>
      <c r="K3785">
        <v>0</v>
      </c>
      <c r="L3785">
        <v>0</v>
      </c>
      <c r="M3785">
        <v>0.50577536351818475</v>
      </c>
      <c r="N3785">
        <v>0</v>
      </c>
      <c r="O3785">
        <v>0</v>
      </c>
      <c r="P3785">
        <v>0.61322235503354783</v>
      </c>
      <c r="Q3785">
        <v>1.0145103111676981</v>
      </c>
      <c r="R3785">
        <v>3.5181079207507051</v>
      </c>
      <c r="S3785">
        <v>0.19183371286880929</v>
      </c>
      <c r="T3785">
        <v>0.15159976378972231</v>
      </c>
      <c r="U3785">
        <v>4.2436712643831056</v>
      </c>
      <c r="V3785">
        <v>0.23810297856178911</v>
      </c>
      <c r="W3785">
        <v>7.8233561756734282</v>
      </c>
      <c r="X3785">
        <v>0.30846955315503272</v>
      </c>
      <c r="Z3785" t="s">
        <v>392</v>
      </c>
      <c r="AA3785">
        <v>114</v>
      </c>
      <c r="AB3785" t="s">
        <v>4176</v>
      </c>
      <c r="AC3785" t="str">
        <f>HYPERLINK("plots/3FT6Y578R04_015_S21P_20251218081014_M5358ACSC201811_RBGEUFRF04/dpll_52094/txpa_53244.png","plot")</f>
        <v>plot</v>
      </c>
    </row>
    <row r="3786" spans="1:29" hidden="1" x14ac:dyDescent="0.35">
      <c r="A3786" t="s">
        <v>49</v>
      </c>
      <c r="B3786">
        <v>52094</v>
      </c>
      <c r="C3786" t="s">
        <v>53</v>
      </c>
      <c r="D3786">
        <v>53245</v>
      </c>
      <c r="E3786" t="s">
        <v>120</v>
      </c>
      <c r="F3786">
        <v>12028</v>
      </c>
      <c r="G3786">
        <v>0.7744281456938058</v>
      </c>
      <c r="H3786">
        <v>0</v>
      </c>
      <c r="I3786">
        <v>0</v>
      </c>
      <c r="J3786">
        <v>0.67984954515040941</v>
      </c>
      <c r="K3786">
        <v>0</v>
      </c>
      <c r="L3786">
        <v>0</v>
      </c>
      <c r="M3786">
        <v>0.49443154725251792</v>
      </c>
      <c r="N3786">
        <v>0</v>
      </c>
      <c r="O3786">
        <v>0</v>
      </c>
      <c r="P3786">
        <v>0.59973895284274648</v>
      </c>
      <c r="Q3786">
        <v>0.98160279149996477</v>
      </c>
      <c r="R3786">
        <v>3.676058304740534</v>
      </c>
      <c r="S3786">
        <v>0.19092952579396349</v>
      </c>
      <c r="T3786">
        <v>0.15037094022666281</v>
      </c>
      <c r="U3786">
        <v>4.2436712643831056</v>
      </c>
      <c r="V3786">
        <v>0.23810297856178911</v>
      </c>
      <c r="W3786">
        <v>7.8416578640671766</v>
      </c>
      <c r="X3786">
        <v>0.30180017309587542</v>
      </c>
      <c r="Z3786" t="s">
        <v>392</v>
      </c>
      <c r="AA3786">
        <v>114</v>
      </c>
      <c r="AB3786" t="s">
        <v>4177</v>
      </c>
      <c r="AC3786" t="str">
        <f>HYPERLINK("plots/3FT6Y578R04_015_S21P_20251218081014_M5358ACSC201811_RBGEUFRF04/dpll_52094/txpa_53245.png","plot")</f>
        <v>plot</v>
      </c>
    </row>
    <row r="3787" spans="1:29" hidden="1" x14ac:dyDescent="0.35">
      <c r="A3787" t="s">
        <v>49</v>
      </c>
      <c r="B3787">
        <v>52094</v>
      </c>
      <c r="C3787" t="s">
        <v>53</v>
      </c>
      <c r="D3787">
        <v>53246</v>
      </c>
      <c r="E3787" t="s">
        <v>121</v>
      </c>
      <c r="F3787">
        <v>12027</v>
      </c>
      <c r="G3787">
        <v>0.7873886529293147</v>
      </c>
      <c r="H3787">
        <v>0</v>
      </c>
      <c r="I3787">
        <v>0</v>
      </c>
      <c r="J3787">
        <v>0.69211689794495879</v>
      </c>
      <c r="K3787">
        <v>0</v>
      </c>
      <c r="L3787">
        <v>0</v>
      </c>
      <c r="M3787">
        <v>0.5062472955690257</v>
      </c>
      <c r="N3787">
        <v>0</v>
      </c>
      <c r="O3787">
        <v>0</v>
      </c>
      <c r="P3787">
        <v>0.61998089076184082</v>
      </c>
      <c r="Q3787">
        <v>1.0127025172773401</v>
      </c>
      <c r="R3787">
        <v>3.5458365471029851</v>
      </c>
      <c r="S3787">
        <v>0.18878077044912309</v>
      </c>
      <c r="T3787">
        <v>0.14940444792784069</v>
      </c>
      <c r="U3787">
        <v>4.2436786742329762</v>
      </c>
      <c r="V3787">
        <v>0.2381114909913796</v>
      </c>
      <c r="W3787">
        <v>7.8434206230148833</v>
      </c>
      <c r="X3787">
        <v>0.30624788079245768</v>
      </c>
      <c r="Z3787" t="s">
        <v>392</v>
      </c>
      <c r="AA3787">
        <v>114</v>
      </c>
      <c r="AB3787" t="s">
        <v>4178</v>
      </c>
      <c r="AC3787" t="str">
        <f>HYPERLINK("plots/3FT6Y578R04_015_S21P_20251218081014_M5358ACSC201811_RBGEUFRF04/dpll_52094/txpa_53246.png","plot")</f>
        <v>plot</v>
      </c>
    </row>
    <row r="3788" spans="1:29" hidden="1" x14ac:dyDescent="0.35">
      <c r="A3788" t="s">
        <v>49</v>
      </c>
      <c r="B3788">
        <v>52094</v>
      </c>
      <c r="C3788" t="s">
        <v>53</v>
      </c>
      <c r="D3788">
        <v>53247</v>
      </c>
      <c r="E3788" t="s">
        <v>122</v>
      </c>
      <c r="F3788">
        <v>12027</v>
      </c>
      <c r="G3788">
        <v>0.78924975455000512</v>
      </c>
      <c r="H3788">
        <v>0</v>
      </c>
      <c r="I3788">
        <v>0</v>
      </c>
      <c r="J3788">
        <v>0.68891632477789899</v>
      </c>
      <c r="K3788">
        <v>0</v>
      </c>
      <c r="L3788">
        <v>0</v>
      </c>
      <c r="M3788">
        <v>0.50185765871865207</v>
      </c>
      <c r="N3788">
        <v>0</v>
      </c>
      <c r="O3788">
        <v>0</v>
      </c>
      <c r="P3788">
        <v>0.62291517505724336</v>
      </c>
      <c r="Q3788">
        <v>1.010821564677316</v>
      </c>
      <c r="R3788">
        <v>3.5395840948292498</v>
      </c>
      <c r="S3788">
        <v>0.18724255135944909</v>
      </c>
      <c r="T3788">
        <v>0.14865824272194281</v>
      </c>
      <c r="U3788">
        <v>4.2436418554918101</v>
      </c>
      <c r="V3788">
        <v>0.23809103076034549</v>
      </c>
      <c r="W3788">
        <v>7.8291487951276304</v>
      </c>
      <c r="X3788">
        <v>0.30493205333465739</v>
      </c>
      <c r="Z3788" t="s">
        <v>392</v>
      </c>
      <c r="AA3788">
        <v>114</v>
      </c>
      <c r="AB3788" t="s">
        <v>4179</v>
      </c>
      <c r="AC3788" t="str">
        <f>HYPERLINK("plots/3FT6Y578R04_015_S21P_20251218081014_M5358ACSC201811_RBGEUFRF04/dpll_52094/txpa_53247.png","plot")</f>
        <v>plot</v>
      </c>
    </row>
    <row r="3789" spans="1:29" hidden="1" x14ac:dyDescent="0.35">
      <c r="A3789" t="s">
        <v>49</v>
      </c>
      <c r="B3789">
        <v>52094</v>
      </c>
      <c r="C3789" t="s">
        <v>53</v>
      </c>
      <c r="D3789">
        <v>53248</v>
      </c>
      <c r="E3789" t="s">
        <v>123</v>
      </c>
      <c r="F3789">
        <v>12027</v>
      </c>
      <c r="G3789">
        <v>0.7929250312314764</v>
      </c>
      <c r="H3789">
        <v>0</v>
      </c>
      <c r="I3789">
        <v>0</v>
      </c>
      <c r="J3789">
        <v>0.7039426521180886</v>
      </c>
      <c r="K3789">
        <v>0</v>
      </c>
      <c r="L3789">
        <v>0</v>
      </c>
      <c r="M3789">
        <v>0.51619847721322365</v>
      </c>
      <c r="N3789">
        <v>0</v>
      </c>
      <c r="O3789">
        <v>0</v>
      </c>
      <c r="P3789">
        <v>0.62873010515343786</v>
      </c>
      <c r="Q3789">
        <v>1.0232581324188059</v>
      </c>
      <c r="R3789">
        <v>3.495936894738962</v>
      </c>
      <c r="S3789">
        <v>0.1872022731025498</v>
      </c>
      <c r="T3789">
        <v>0.14833082460324079</v>
      </c>
      <c r="U3789">
        <v>4.2436377816579363</v>
      </c>
      <c r="V3789">
        <v>0.2380845584627882</v>
      </c>
      <c r="W3789">
        <v>7.8382737658601487</v>
      </c>
      <c r="X3789">
        <v>0.3072446335462814</v>
      </c>
      <c r="Z3789" t="s">
        <v>392</v>
      </c>
      <c r="AA3789">
        <v>114</v>
      </c>
      <c r="AB3789" t="s">
        <v>4180</v>
      </c>
      <c r="AC3789" t="str">
        <f>HYPERLINK("plots/3FT6Y578R04_015_S21P_20251218081014_M5358ACSC201811_RBGEUFRF04/dpll_52094/txpa_53248.png","plot")</f>
        <v>plot</v>
      </c>
    </row>
    <row r="3790" spans="1:29" hidden="1" x14ac:dyDescent="0.35">
      <c r="A3790" t="s">
        <v>49</v>
      </c>
      <c r="B3790">
        <v>52094</v>
      </c>
      <c r="C3790" t="s">
        <v>53</v>
      </c>
      <c r="D3790">
        <v>53249</v>
      </c>
      <c r="E3790" t="s">
        <v>124</v>
      </c>
      <c r="F3790">
        <v>12028</v>
      </c>
      <c r="G3790">
        <v>0.78998801872539881</v>
      </c>
      <c r="H3790">
        <v>0</v>
      </c>
      <c r="I3790">
        <v>0</v>
      </c>
      <c r="J3790">
        <v>0.6945446241890525</v>
      </c>
      <c r="K3790">
        <v>0</v>
      </c>
      <c r="L3790">
        <v>0</v>
      </c>
      <c r="M3790">
        <v>0.50800938167753629</v>
      </c>
      <c r="N3790">
        <v>0</v>
      </c>
      <c r="O3790">
        <v>0</v>
      </c>
      <c r="P3790">
        <v>0.62408106972968103</v>
      </c>
      <c r="Q3790">
        <v>1.0084924319462401</v>
      </c>
      <c r="R3790">
        <v>3.5658584233884678</v>
      </c>
      <c r="S3790">
        <v>0.18635712892043391</v>
      </c>
      <c r="T3790">
        <v>0.1479283674945876</v>
      </c>
      <c r="U3790">
        <v>4.2436712643831056</v>
      </c>
      <c r="V3790">
        <v>0.23810297856178911</v>
      </c>
      <c r="W3790">
        <v>7.8455687771865632</v>
      </c>
      <c r="X3790">
        <v>0.30396037181785401</v>
      </c>
      <c r="Z3790" t="s">
        <v>392</v>
      </c>
      <c r="AA3790">
        <v>114</v>
      </c>
      <c r="AB3790" t="s">
        <v>4181</v>
      </c>
      <c r="AC3790" t="str">
        <f>HYPERLINK("plots/3FT6Y578R04_015_S21P_20251218081014_M5358ACSC201811_RBGEUFRF04/dpll_52094/txpa_53249.png","plot")</f>
        <v>plot</v>
      </c>
    </row>
    <row r="3791" spans="1:29" hidden="1" x14ac:dyDescent="0.35">
      <c r="A3791" t="s">
        <v>49</v>
      </c>
      <c r="B3791">
        <v>52094</v>
      </c>
      <c r="C3791" t="s">
        <v>53</v>
      </c>
      <c r="D3791">
        <v>53250</v>
      </c>
      <c r="E3791" t="s">
        <v>125</v>
      </c>
      <c r="F3791">
        <v>12027</v>
      </c>
      <c r="G3791">
        <v>0.78460598284401117</v>
      </c>
      <c r="H3791">
        <v>0</v>
      </c>
      <c r="I3791">
        <v>0</v>
      </c>
      <c r="J3791">
        <v>0.68967498045058084</v>
      </c>
      <c r="K3791">
        <v>0</v>
      </c>
      <c r="L3791">
        <v>0</v>
      </c>
      <c r="M3791">
        <v>0.50415378656685328</v>
      </c>
      <c r="N3791">
        <v>0</v>
      </c>
      <c r="O3791">
        <v>0</v>
      </c>
      <c r="P3791">
        <v>0.61560654831461681</v>
      </c>
      <c r="Q3791">
        <v>1.0014561175850141</v>
      </c>
      <c r="R3791">
        <v>3.5544563151974158</v>
      </c>
      <c r="S3791">
        <v>0.18841125984355009</v>
      </c>
      <c r="T3791">
        <v>0.148528601792322</v>
      </c>
      <c r="U3791">
        <v>4.2436951445081901</v>
      </c>
      <c r="V3791">
        <v>0.2380984732054881</v>
      </c>
      <c r="W3791">
        <v>7.8043307788309626</v>
      </c>
      <c r="X3791">
        <v>0.30390435172948888</v>
      </c>
      <c r="Z3791" t="s">
        <v>392</v>
      </c>
      <c r="AA3791">
        <v>114</v>
      </c>
      <c r="AB3791" t="s">
        <v>4182</v>
      </c>
      <c r="AC3791" t="str">
        <f>HYPERLINK("plots/3FT6Y578R04_015_S21P_20251218081014_M5358ACSC201811_RBGEUFRF04/dpll_52094/txpa_53250.png","plot")</f>
        <v>plot</v>
      </c>
    </row>
    <row r="3792" spans="1:29" hidden="1" x14ac:dyDescent="0.35">
      <c r="A3792" t="s">
        <v>49</v>
      </c>
      <c r="B3792">
        <v>52094</v>
      </c>
      <c r="C3792" t="s">
        <v>53</v>
      </c>
      <c r="D3792">
        <v>53251</v>
      </c>
      <c r="E3792" t="s">
        <v>126</v>
      </c>
      <c r="F3792">
        <v>12028</v>
      </c>
      <c r="G3792">
        <v>0.77987865735809458</v>
      </c>
      <c r="H3792">
        <v>0</v>
      </c>
      <c r="I3792">
        <v>0</v>
      </c>
      <c r="J3792">
        <v>0.68562087218141654</v>
      </c>
      <c r="K3792">
        <v>0</v>
      </c>
      <c r="L3792">
        <v>0</v>
      </c>
      <c r="M3792">
        <v>0.49791057578191178</v>
      </c>
      <c r="N3792">
        <v>0</v>
      </c>
      <c r="O3792">
        <v>0</v>
      </c>
      <c r="P3792">
        <v>0.60821072020266431</v>
      </c>
      <c r="Q3792">
        <v>1.0399516326443059</v>
      </c>
      <c r="R3792">
        <v>4.4457066029526358</v>
      </c>
      <c r="S3792">
        <v>0.1987280422097113</v>
      </c>
      <c r="T3792">
        <v>0.15530903659886439</v>
      </c>
      <c r="U3792">
        <v>4.2436712643831056</v>
      </c>
      <c r="V3792">
        <v>0.23810297856178911</v>
      </c>
      <c r="W3792">
        <v>8.8589194627535743</v>
      </c>
      <c r="X3792">
        <v>0.31750526694963471</v>
      </c>
      <c r="Z3792" t="s">
        <v>392</v>
      </c>
      <c r="AA3792">
        <v>114</v>
      </c>
      <c r="AB3792" t="s">
        <v>4183</v>
      </c>
      <c r="AC3792" t="str">
        <f>HYPERLINK("plots/3FT6Y578R04_015_S21P_20251218081014_M5358ACSC201811_RBGEUFRF04/dpll_52094/txpa_53251.png","plot")</f>
        <v>plot</v>
      </c>
    </row>
    <row r="3793" spans="1:29" hidden="1" x14ac:dyDescent="0.35">
      <c r="A3793" t="s">
        <v>49</v>
      </c>
      <c r="B3793">
        <v>52094</v>
      </c>
      <c r="C3793" t="s">
        <v>53</v>
      </c>
      <c r="D3793">
        <v>53252</v>
      </c>
      <c r="E3793" t="s">
        <v>127</v>
      </c>
      <c r="F3793">
        <v>12028</v>
      </c>
      <c r="G3793">
        <v>0.79645970415761469</v>
      </c>
      <c r="H3793">
        <v>0</v>
      </c>
      <c r="I3793">
        <v>0</v>
      </c>
      <c r="J3793">
        <v>0.70090540163852633</v>
      </c>
      <c r="K3793">
        <v>0</v>
      </c>
      <c r="L3793">
        <v>0</v>
      </c>
      <c r="M3793">
        <v>0.5139652240963819</v>
      </c>
      <c r="N3793">
        <v>0</v>
      </c>
      <c r="O3793">
        <v>0</v>
      </c>
      <c r="P3793">
        <v>0.63434806034683511</v>
      </c>
      <c r="Q3793">
        <v>1.0735025770660129</v>
      </c>
      <c r="R3793">
        <v>4.3355704657038547</v>
      </c>
      <c r="S3793">
        <v>0.19405283773255999</v>
      </c>
      <c r="T3793">
        <v>0.15312966398322969</v>
      </c>
      <c r="U3793">
        <v>4.2436712643831056</v>
      </c>
      <c r="V3793">
        <v>0.23810297856178911</v>
      </c>
      <c r="W3793">
        <v>8.891162504240107</v>
      </c>
      <c r="X3793">
        <v>0.32092541500704919</v>
      </c>
      <c r="Z3793" t="s">
        <v>392</v>
      </c>
      <c r="AA3793">
        <v>114</v>
      </c>
      <c r="AB3793" t="s">
        <v>4184</v>
      </c>
      <c r="AC3793" t="str">
        <f>HYPERLINK("plots/3FT6Y578R04_015_S21P_20251218081014_M5358ACSC201811_RBGEUFRF04/dpll_52094/txpa_53252.png","plot")</f>
        <v>plot</v>
      </c>
    </row>
    <row r="3794" spans="1:29" hidden="1" x14ac:dyDescent="0.35">
      <c r="A3794" t="s">
        <v>49</v>
      </c>
      <c r="B3794">
        <v>52094</v>
      </c>
      <c r="C3794" t="s">
        <v>53</v>
      </c>
      <c r="D3794">
        <v>53253</v>
      </c>
      <c r="E3794" t="s">
        <v>128</v>
      </c>
      <c r="F3794">
        <v>12028</v>
      </c>
      <c r="G3794">
        <v>0.78910212376032762</v>
      </c>
      <c r="H3794">
        <v>0</v>
      </c>
      <c r="I3794">
        <v>0</v>
      </c>
      <c r="J3794">
        <v>0.69010180781976038</v>
      </c>
      <c r="K3794">
        <v>0</v>
      </c>
      <c r="L3794">
        <v>0</v>
      </c>
      <c r="M3794">
        <v>0.50342707930573316</v>
      </c>
      <c r="N3794">
        <v>0</v>
      </c>
      <c r="O3794">
        <v>0</v>
      </c>
      <c r="P3794">
        <v>0.62268216172305946</v>
      </c>
      <c r="Q3794">
        <v>1.0410497591164249</v>
      </c>
      <c r="R3794">
        <v>4.491591683472274</v>
      </c>
      <c r="S3794">
        <v>0.19294730575761501</v>
      </c>
      <c r="T3794">
        <v>0.15156561725245171</v>
      </c>
      <c r="U3794">
        <v>4.2436712643831056</v>
      </c>
      <c r="V3794">
        <v>0.23810297856178911</v>
      </c>
      <c r="W3794">
        <v>8.9094646310276016</v>
      </c>
      <c r="X3794">
        <v>0.314125435748974</v>
      </c>
      <c r="Z3794" t="s">
        <v>392</v>
      </c>
      <c r="AA3794">
        <v>114</v>
      </c>
      <c r="AB3794" t="s">
        <v>4185</v>
      </c>
      <c r="AC3794" t="str">
        <f>HYPERLINK("plots/3FT6Y578R04_015_S21P_20251218081014_M5358ACSC201811_RBGEUFRF04/dpll_52094/txpa_53253.png","plot")</f>
        <v>plot</v>
      </c>
    </row>
    <row r="3795" spans="1:29" hidden="1" x14ac:dyDescent="0.35">
      <c r="A3795" t="s">
        <v>49</v>
      </c>
      <c r="B3795">
        <v>52094</v>
      </c>
      <c r="C3795" t="s">
        <v>53</v>
      </c>
      <c r="D3795">
        <v>53254</v>
      </c>
      <c r="E3795" t="s">
        <v>129</v>
      </c>
      <c r="F3795">
        <v>12027</v>
      </c>
      <c r="G3795">
        <v>0.80095155402632567</v>
      </c>
      <c r="H3795">
        <v>0</v>
      </c>
      <c r="I3795">
        <v>0</v>
      </c>
      <c r="J3795">
        <v>0.70164552752416698</v>
      </c>
      <c r="K3795">
        <v>0</v>
      </c>
      <c r="L3795">
        <v>0</v>
      </c>
      <c r="M3795">
        <v>0.514680906572486</v>
      </c>
      <c r="N3795">
        <v>0</v>
      </c>
      <c r="O3795">
        <v>0</v>
      </c>
      <c r="P3795">
        <v>0.6415233918971861</v>
      </c>
      <c r="Q3795">
        <v>1.072457802510423</v>
      </c>
      <c r="R3795">
        <v>4.36018747355216</v>
      </c>
      <c r="S3795">
        <v>0.1908827461680907</v>
      </c>
      <c r="T3795">
        <v>0.15086855962581319</v>
      </c>
      <c r="U3795">
        <v>4.2436786742329762</v>
      </c>
      <c r="V3795">
        <v>0.2381114909913796</v>
      </c>
      <c r="W3795">
        <v>8.911353779080402</v>
      </c>
      <c r="X3795">
        <v>0.31882643225722718</v>
      </c>
      <c r="Z3795" t="s">
        <v>392</v>
      </c>
      <c r="AA3795">
        <v>114</v>
      </c>
      <c r="AB3795" t="s">
        <v>4186</v>
      </c>
      <c r="AC3795" t="str">
        <f>HYPERLINK("plots/3FT6Y578R04_015_S21P_20251218081014_M5358ACSC201811_RBGEUFRF04/dpll_52094/txpa_53254.png","plot")</f>
        <v>plot</v>
      </c>
    </row>
    <row r="3796" spans="1:29" hidden="1" x14ac:dyDescent="0.35">
      <c r="A3796" t="s">
        <v>49</v>
      </c>
      <c r="B3796">
        <v>52094</v>
      </c>
      <c r="C3796" t="s">
        <v>53</v>
      </c>
      <c r="D3796">
        <v>53255</v>
      </c>
      <c r="E3796" t="s">
        <v>130</v>
      </c>
      <c r="F3796">
        <v>12027</v>
      </c>
      <c r="G3796">
        <v>0.80261087261774255</v>
      </c>
      <c r="H3796">
        <v>0</v>
      </c>
      <c r="I3796">
        <v>0</v>
      </c>
      <c r="J3796">
        <v>0.6982041212265202</v>
      </c>
      <c r="K3796">
        <v>0</v>
      </c>
      <c r="L3796">
        <v>0</v>
      </c>
      <c r="M3796">
        <v>0.51008870766053593</v>
      </c>
      <c r="N3796">
        <v>0</v>
      </c>
      <c r="O3796">
        <v>0</v>
      </c>
      <c r="P3796">
        <v>0.64418421284421412</v>
      </c>
      <c r="Q3796">
        <v>1.0703734375750631</v>
      </c>
      <c r="R3796">
        <v>4.3539195265268864</v>
      </c>
      <c r="S3796">
        <v>0.18939472137261859</v>
      </c>
      <c r="T3796">
        <v>0.15011613265259949</v>
      </c>
      <c r="U3796">
        <v>4.2436418554918101</v>
      </c>
      <c r="V3796">
        <v>0.23809103076034549</v>
      </c>
      <c r="W3796">
        <v>8.8962010472270734</v>
      </c>
      <c r="X3796">
        <v>0.31752163314153869</v>
      </c>
      <c r="Z3796" t="s">
        <v>392</v>
      </c>
      <c r="AA3796">
        <v>114</v>
      </c>
      <c r="AB3796" t="s">
        <v>4187</v>
      </c>
      <c r="AC3796" t="str">
        <f>HYPERLINK("plots/3FT6Y578R04_015_S21P_20251218081014_M5358ACSC201811_RBGEUFRF04/dpll_52094/txpa_53255.png","plot")</f>
        <v>plot</v>
      </c>
    </row>
    <row r="3797" spans="1:29" hidden="1" x14ac:dyDescent="0.35">
      <c r="A3797" t="s">
        <v>49</v>
      </c>
      <c r="B3797">
        <v>52094</v>
      </c>
      <c r="C3797" t="s">
        <v>53</v>
      </c>
      <c r="D3797">
        <v>53256</v>
      </c>
      <c r="E3797" t="s">
        <v>131</v>
      </c>
      <c r="F3797">
        <v>12027</v>
      </c>
      <c r="G3797">
        <v>0.80607678243603331</v>
      </c>
      <c r="H3797">
        <v>0</v>
      </c>
      <c r="I3797">
        <v>0</v>
      </c>
      <c r="J3797">
        <v>0.71298065533114796</v>
      </c>
      <c r="K3797">
        <v>0</v>
      </c>
      <c r="L3797">
        <v>0</v>
      </c>
      <c r="M3797">
        <v>0.52432950379655063</v>
      </c>
      <c r="N3797">
        <v>0</v>
      </c>
      <c r="O3797">
        <v>0</v>
      </c>
      <c r="P3797">
        <v>0.64975977918242822</v>
      </c>
      <c r="Q3797">
        <v>1.0823700474340201</v>
      </c>
      <c r="R3797">
        <v>4.3128517916487477</v>
      </c>
      <c r="S3797">
        <v>0.18918884925212651</v>
      </c>
      <c r="T3797">
        <v>0.1496720718449111</v>
      </c>
      <c r="U3797">
        <v>4.2436377816579363</v>
      </c>
      <c r="V3797">
        <v>0.2380845584627882</v>
      </c>
      <c r="W3797">
        <v>8.9060382186746487</v>
      </c>
      <c r="X3797">
        <v>0.31969112676573769</v>
      </c>
      <c r="Z3797" t="s">
        <v>392</v>
      </c>
      <c r="AA3797">
        <v>114</v>
      </c>
      <c r="AB3797" t="s">
        <v>4188</v>
      </c>
      <c r="AC3797" t="str">
        <f>HYPERLINK("plots/3FT6Y578R04_015_S21P_20251218081014_M5358ACSC201811_RBGEUFRF04/dpll_52094/txpa_53256.png","plot")</f>
        <v>plot</v>
      </c>
    </row>
    <row r="3798" spans="1:29" hidden="1" x14ac:dyDescent="0.35">
      <c r="A3798" t="s">
        <v>49</v>
      </c>
      <c r="B3798">
        <v>52094</v>
      </c>
      <c r="C3798" t="s">
        <v>53</v>
      </c>
      <c r="D3798">
        <v>53257</v>
      </c>
      <c r="E3798" t="s">
        <v>132</v>
      </c>
      <c r="F3798">
        <v>12028</v>
      </c>
      <c r="G3798">
        <v>0.80353234711018018</v>
      </c>
      <c r="H3798">
        <v>0</v>
      </c>
      <c r="I3798">
        <v>0</v>
      </c>
      <c r="J3798">
        <v>0.70371948957441288</v>
      </c>
      <c r="K3798">
        <v>0</v>
      </c>
      <c r="L3798">
        <v>0</v>
      </c>
      <c r="M3798">
        <v>0.51624554436393977</v>
      </c>
      <c r="N3798">
        <v>0</v>
      </c>
      <c r="O3798">
        <v>0</v>
      </c>
      <c r="P3798">
        <v>0.64566423285239505</v>
      </c>
      <c r="Q3798">
        <v>1.067432809084909</v>
      </c>
      <c r="R3798">
        <v>4.3836065184435924</v>
      </c>
      <c r="S3798">
        <v>0.1882744785004152</v>
      </c>
      <c r="T3798">
        <v>0.14918246844153299</v>
      </c>
      <c r="U3798">
        <v>4.2436712643831056</v>
      </c>
      <c r="V3798">
        <v>0.23810297856178911</v>
      </c>
      <c r="W3798">
        <v>8.9134404570169607</v>
      </c>
      <c r="X3798">
        <v>0.31630205326736421</v>
      </c>
      <c r="Z3798" t="s">
        <v>392</v>
      </c>
      <c r="AA3798">
        <v>114</v>
      </c>
      <c r="AB3798" t="s">
        <v>4189</v>
      </c>
      <c r="AC3798" t="str">
        <f>HYPERLINK("plots/3FT6Y578R04_015_S21P_20251218081014_M5358ACSC201811_RBGEUFRF04/dpll_52094/txpa_53257.png","plot")</f>
        <v>plot</v>
      </c>
    </row>
    <row r="3799" spans="1:29" hidden="1" x14ac:dyDescent="0.35">
      <c r="A3799" t="s">
        <v>49</v>
      </c>
      <c r="B3799">
        <v>52094</v>
      </c>
      <c r="C3799" t="s">
        <v>53</v>
      </c>
      <c r="D3799">
        <v>53258</v>
      </c>
      <c r="E3799" t="s">
        <v>133</v>
      </c>
      <c r="F3799">
        <v>12027</v>
      </c>
      <c r="G3799">
        <v>0.79845377925476468</v>
      </c>
      <c r="H3799">
        <v>0</v>
      </c>
      <c r="I3799">
        <v>0</v>
      </c>
      <c r="J3799">
        <v>0.69926780206271677</v>
      </c>
      <c r="K3799">
        <v>0</v>
      </c>
      <c r="L3799">
        <v>0</v>
      </c>
      <c r="M3799">
        <v>0.51258753976520799</v>
      </c>
      <c r="N3799">
        <v>0</v>
      </c>
      <c r="O3799">
        <v>0</v>
      </c>
      <c r="P3799">
        <v>0.63752843760621647</v>
      </c>
      <c r="Q3799">
        <v>1.0603066982934699</v>
      </c>
      <c r="R3799">
        <v>4.3737867666662069</v>
      </c>
      <c r="S3799">
        <v>0.1903519143532191</v>
      </c>
      <c r="T3799">
        <v>0.1497824789505357</v>
      </c>
      <c r="U3799">
        <v>4.2436951445081901</v>
      </c>
      <c r="V3799">
        <v>0.2380984732054881</v>
      </c>
      <c r="W3799">
        <v>8.8734051539037164</v>
      </c>
      <c r="X3799">
        <v>0.31618286812902069</v>
      </c>
      <c r="Z3799" t="s">
        <v>392</v>
      </c>
      <c r="AA3799">
        <v>114</v>
      </c>
      <c r="AB3799" t="s">
        <v>4190</v>
      </c>
      <c r="AC3799" t="str">
        <f>HYPERLINK("plots/3FT6Y578R04_015_S21P_20251218081014_M5358ACSC201811_RBGEUFRF04/dpll_52094/txpa_53258.png","plot")</f>
        <v>plot</v>
      </c>
    </row>
    <row r="3800" spans="1:29" hidden="1" x14ac:dyDescent="0.35">
      <c r="A3800" t="s">
        <v>49</v>
      </c>
      <c r="B3800">
        <v>52094</v>
      </c>
      <c r="C3800" t="s">
        <v>53</v>
      </c>
      <c r="D3800">
        <v>53259</v>
      </c>
      <c r="E3800" t="s">
        <v>134</v>
      </c>
      <c r="F3800">
        <v>12028</v>
      </c>
      <c r="G3800">
        <v>0.78510759973965349</v>
      </c>
      <c r="H3800">
        <v>0</v>
      </c>
      <c r="I3800">
        <v>0</v>
      </c>
      <c r="J3800">
        <v>0.68891752895412373</v>
      </c>
      <c r="K3800">
        <v>0</v>
      </c>
      <c r="L3800">
        <v>0</v>
      </c>
      <c r="M3800">
        <v>0.50069866808778751</v>
      </c>
      <c r="N3800">
        <v>0</v>
      </c>
      <c r="O3800">
        <v>0</v>
      </c>
      <c r="P3800">
        <v>0.61639394316896001</v>
      </c>
      <c r="Q3800">
        <v>1.0665540999000771</v>
      </c>
      <c r="R3800">
        <v>4.8618257900341106</v>
      </c>
      <c r="S3800">
        <v>0.20032871722922449</v>
      </c>
      <c r="T3800">
        <v>0.15630329686403041</v>
      </c>
      <c r="U3800">
        <v>4.2436712643831056</v>
      </c>
      <c r="V3800">
        <v>0.23810297856178911</v>
      </c>
      <c r="W3800">
        <v>9.387930775690057</v>
      </c>
      <c r="X3800">
        <v>0.32345847635114922</v>
      </c>
      <c r="Z3800" t="s">
        <v>392</v>
      </c>
      <c r="AA3800">
        <v>114</v>
      </c>
      <c r="AB3800" t="s">
        <v>4191</v>
      </c>
      <c r="AC3800" t="str">
        <f>HYPERLINK("plots/3FT6Y578R04_015_S21P_20251218081014_M5358ACSC201811_RBGEUFRF04/dpll_52094/txpa_53259.png","plot")</f>
        <v>plot</v>
      </c>
    </row>
    <row r="3801" spans="1:29" hidden="1" x14ac:dyDescent="0.35">
      <c r="A3801" t="s">
        <v>49</v>
      </c>
      <c r="B3801">
        <v>52094</v>
      </c>
      <c r="C3801" t="s">
        <v>53</v>
      </c>
      <c r="D3801">
        <v>53260</v>
      </c>
      <c r="E3801" t="s">
        <v>135</v>
      </c>
      <c r="F3801">
        <v>12028</v>
      </c>
      <c r="G3801">
        <v>0.8012399410786647</v>
      </c>
      <c r="H3801">
        <v>0</v>
      </c>
      <c r="I3801">
        <v>0</v>
      </c>
      <c r="J3801">
        <v>0.703884296825806</v>
      </c>
      <c r="K3801">
        <v>0</v>
      </c>
      <c r="L3801">
        <v>0</v>
      </c>
      <c r="M3801">
        <v>0.51659931691887051</v>
      </c>
      <c r="N3801">
        <v>0</v>
      </c>
      <c r="O3801">
        <v>0</v>
      </c>
      <c r="P3801">
        <v>0.64198544317974204</v>
      </c>
      <c r="Q3801">
        <v>1.099903790514225</v>
      </c>
      <c r="R3801">
        <v>4.7522861048588094</v>
      </c>
      <c r="S3801">
        <v>0.1955641411710537</v>
      </c>
      <c r="T3801">
        <v>0.15413274682682529</v>
      </c>
      <c r="U3801">
        <v>4.2436712643831056</v>
      </c>
      <c r="V3801">
        <v>0.23810297856178911</v>
      </c>
      <c r="W3801">
        <v>9.4199162142500832</v>
      </c>
      <c r="X3801">
        <v>0.32685635753538528</v>
      </c>
      <c r="Z3801" t="s">
        <v>392</v>
      </c>
      <c r="AA3801">
        <v>114</v>
      </c>
      <c r="AB3801" t="s">
        <v>4192</v>
      </c>
      <c r="AC3801" t="str">
        <f>HYPERLINK("plots/3FT6Y578R04_015_S21P_20251218081014_M5358ACSC201811_RBGEUFRF04/dpll_52094/txpa_53260.png","plot")</f>
        <v>plot</v>
      </c>
    </row>
    <row r="3802" spans="1:29" hidden="1" x14ac:dyDescent="0.35">
      <c r="A3802" t="s">
        <v>49</v>
      </c>
      <c r="B3802">
        <v>52094</v>
      </c>
      <c r="C3802" t="s">
        <v>53</v>
      </c>
      <c r="D3802">
        <v>53261</v>
      </c>
      <c r="E3802" t="s">
        <v>136</v>
      </c>
      <c r="F3802">
        <v>12028</v>
      </c>
      <c r="G3802">
        <v>0.79425212803603484</v>
      </c>
      <c r="H3802">
        <v>0</v>
      </c>
      <c r="I3802">
        <v>0</v>
      </c>
      <c r="J3802">
        <v>0.69341725386259589</v>
      </c>
      <c r="K3802">
        <v>0</v>
      </c>
      <c r="L3802">
        <v>0</v>
      </c>
      <c r="M3802">
        <v>0.50625993129591762</v>
      </c>
      <c r="N3802">
        <v>0</v>
      </c>
      <c r="O3802">
        <v>0</v>
      </c>
      <c r="P3802">
        <v>0.63083644288976992</v>
      </c>
      <c r="Q3802">
        <v>1.067465688274795</v>
      </c>
      <c r="R3802">
        <v>4.9083174884737684</v>
      </c>
      <c r="S3802">
        <v>0.194424827482539</v>
      </c>
      <c r="T3802">
        <v>0.15249861279164981</v>
      </c>
      <c r="U3802">
        <v>4.2436712643831056</v>
      </c>
      <c r="V3802">
        <v>0.23810297856178911</v>
      </c>
      <c r="W3802">
        <v>9.4382909555204524</v>
      </c>
      <c r="X3802">
        <v>0.32000765363918232</v>
      </c>
      <c r="Z3802" t="s">
        <v>392</v>
      </c>
      <c r="AA3802">
        <v>114</v>
      </c>
      <c r="AB3802" t="s">
        <v>4193</v>
      </c>
      <c r="AC3802" t="str">
        <f>HYPERLINK("plots/3FT6Y578R04_015_S21P_20251218081014_M5358ACSC201811_RBGEUFRF04/dpll_52094/txpa_53261.png","plot")</f>
        <v>plot</v>
      </c>
    </row>
    <row r="3803" spans="1:29" hidden="1" x14ac:dyDescent="0.35">
      <c r="A3803" t="s">
        <v>49</v>
      </c>
      <c r="B3803">
        <v>52094</v>
      </c>
      <c r="C3803" t="s">
        <v>53</v>
      </c>
      <c r="D3803">
        <v>53262</v>
      </c>
      <c r="E3803" t="s">
        <v>137</v>
      </c>
      <c r="F3803">
        <v>12027</v>
      </c>
      <c r="G3803">
        <v>0.80567955585771134</v>
      </c>
      <c r="H3803">
        <v>0</v>
      </c>
      <c r="I3803">
        <v>0</v>
      </c>
      <c r="J3803">
        <v>0.70465783049662289</v>
      </c>
      <c r="K3803">
        <v>0</v>
      </c>
      <c r="L3803">
        <v>0</v>
      </c>
      <c r="M3803">
        <v>0.51735732933288969</v>
      </c>
      <c r="N3803">
        <v>0</v>
      </c>
      <c r="O3803">
        <v>0</v>
      </c>
      <c r="P3803">
        <v>0.64911954672707906</v>
      </c>
      <c r="Q3803">
        <v>1.098982028465997</v>
      </c>
      <c r="R3803">
        <v>4.7764442085364847</v>
      </c>
      <c r="S3803">
        <v>0.19238452411297521</v>
      </c>
      <c r="T3803">
        <v>0.15192001773104649</v>
      </c>
      <c r="U3803">
        <v>4.2436786742329762</v>
      </c>
      <c r="V3803">
        <v>0.2381114909913796</v>
      </c>
      <c r="W3803">
        <v>9.4401708061029339</v>
      </c>
      <c r="X3803">
        <v>0.32479445142701863</v>
      </c>
      <c r="Z3803" t="s">
        <v>392</v>
      </c>
      <c r="AA3803">
        <v>114</v>
      </c>
      <c r="AB3803" t="s">
        <v>4194</v>
      </c>
      <c r="AC3803" t="str">
        <f>HYPERLINK("plots/3FT6Y578R04_015_S21P_20251218081014_M5358ACSC201811_RBGEUFRF04/dpll_52094/txpa_53262.png","plot")</f>
        <v>plot</v>
      </c>
    </row>
    <row r="3804" spans="1:29" hidden="1" x14ac:dyDescent="0.35">
      <c r="A3804" t="s">
        <v>49</v>
      </c>
      <c r="B3804">
        <v>52094</v>
      </c>
      <c r="C3804" t="s">
        <v>53</v>
      </c>
      <c r="D3804">
        <v>53263</v>
      </c>
      <c r="E3804" t="s">
        <v>138</v>
      </c>
      <c r="F3804">
        <v>12027</v>
      </c>
      <c r="G3804">
        <v>0.80727501215965269</v>
      </c>
      <c r="H3804">
        <v>0</v>
      </c>
      <c r="I3804">
        <v>0</v>
      </c>
      <c r="J3804">
        <v>0.70115732005591014</v>
      </c>
      <c r="K3804">
        <v>0</v>
      </c>
      <c r="L3804">
        <v>0</v>
      </c>
      <c r="M3804">
        <v>0.51263044490956677</v>
      </c>
      <c r="N3804">
        <v>0</v>
      </c>
      <c r="O3804">
        <v>0</v>
      </c>
      <c r="P3804">
        <v>0.65169294525736743</v>
      </c>
      <c r="Q3804">
        <v>1.0969413741768479</v>
      </c>
      <c r="R3804">
        <v>4.7696132557080073</v>
      </c>
      <c r="S3804">
        <v>0.19092729625315891</v>
      </c>
      <c r="T3804">
        <v>0.1511793756706393</v>
      </c>
      <c r="U3804">
        <v>4.2436418554918101</v>
      </c>
      <c r="V3804">
        <v>0.23809103076034549</v>
      </c>
      <c r="W3804">
        <v>9.4246395841855826</v>
      </c>
      <c r="X3804">
        <v>0.32352283735717108</v>
      </c>
      <c r="Z3804" t="s">
        <v>392</v>
      </c>
      <c r="AA3804">
        <v>114</v>
      </c>
      <c r="AB3804" t="s">
        <v>4195</v>
      </c>
      <c r="AC3804" t="str">
        <f>HYPERLINK("plots/3FT6Y578R04_015_S21P_20251218081014_M5358ACSC201811_RBGEUFRF04/dpll_52094/txpa_53263.png","plot")</f>
        <v>plot</v>
      </c>
    </row>
    <row r="3805" spans="1:29" hidden="1" x14ac:dyDescent="0.35">
      <c r="A3805" t="s">
        <v>49</v>
      </c>
      <c r="B3805">
        <v>52094</v>
      </c>
      <c r="C3805" t="s">
        <v>53</v>
      </c>
      <c r="D3805">
        <v>53264</v>
      </c>
      <c r="E3805" t="s">
        <v>139</v>
      </c>
      <c r="F3805">
        <v>12027</v>
      </c>
      <c r="G3805">
        <v>0.81070626277289271</v>
      </c>
      <c r="H3805">
        <v>0</v>
      </c>
      <c r="I3805">
        <v>0</v>
      </c>
      <c r="J3805">
        <v>0.71556627230018466</v>
      </c>
      <c r="K3805">
        <v>0</v>
      </c>
      <c r="L3805">
        <v>0</v>
      </c>
      <c r="M3805">
        <v>0.52672549238833799</v>
      </c>
      <c r="N3805">
        <v>0</v>
      </c>
      <c r="O3805">
        <v>0</v>
      </c>
      <c r="P3805">
        <v>0.65724464449919051</v>
      </c>
      <c r="Q3805">
        <v>1.108803093698288</v>
      </c>
      <c r="R3805">
        <v>4.729190638898336</v>
      </c>
      <c r="S3805">
        <v>0.19063217329399129</v>
      </c>
      <c r="T3805">
        <v>0.15067008569384641</v>
      </c>
      <c r="U3805">
        <v>4.2436377816579363</v>
      </c>
      <c r="V3805">
        <v>0.2380845584627882</v>
      </c>
      <c r="W3805">
        <v>9.4345493397355948</v>
      </c>
      <c r="X3805">
        <v>0.32562829116725722</v>
      </c>
      <c r="Z3805" t="s">
        <v>392</v>
      </c>
      <c r="AA3805">
        <v>114</v>
      </c>
      <c r="AB3805" t="s">
        <v>4196</v>
      </c>
      <c r="AC3805" t="str">
        <f>HYPERLINK("plots/3FT6Y578R04_015_S21P_20251218081014_M5358ACSC201811_RBGEUFRF04/dpll_52094/txpa_53264.png","plot")</f>
        <v>plot</v>
      </c>
    </row>
    <row r="3806" spans="1:29" hidden="1" x14ac:dyDescent="0.35">
      <c r="A3806" t="s">
        <v>49</v>
      </c>
      <c r="B3806">
        <v>52094</v>
      </c>
      <c r="C3806" t="s">
        <v>53</v>
      </c>
      <c r="D3806">
        <v>53265</v>
      </c>
      <c r="E3806" t="s">
        <v>140</v>
      </c>
      <c r="F3806">
        <v>12028</v>
      </c>
      <c r="G3806">
        <v>0.80826185373643733</v>
      </c>
      <c r="H3806">
        <v>0</v>
      </c>
      <c r="I3806">
        <v>0</v>
      </c>
      <c r="J3806">
        <v>0.70651081355592937</v>
      </c>
      <c r="K3806">
        <v>0</v>
      </c>
      <c r="L3806">
        <v>0</v>
      </c>
      <c r="M3806">
        <v>0.51872757955058091</v>
      </c>
      <c r="N3806">
        <v>0</v>
      </c>
      <c r="O3806">
        <v>0</v>
      </c>
      <c r="P3806">
        <v>0.65328722420546204</v>
      </c>
      <c r="Q3806">
        <v>1.09365521040874</v>
      </c>
      <c r="R3806">
        <v>4.8009255673461366</v>
      </c>
      <c r="S3806">
        <v>0.1896968155091156</v>
      </c>
      <c r="T3806">
        <v>0.15012086634803029</v>
      </c>
      <c r="U3806">
        <v>4.2436712643831056</v>
      </c>
      <c r="V3806">
        <v>0.23810297856178911</v>
      </c>
      <c r="W3806">
        <v>9.4420387569005655</v>
      </c>
      <c r="X3806">
        <v>0.32217599026126331</v>
      </c>
      <c r="Z3806" t="s">
        <v>392</v>
      </c>
      <c r="AA3806">
        <v>114</v>
      </c>
      <c r="AB3806" t="s">
        <v>4197</v>
      </c>
      <c r="AC3806" t="str">
        <f>HYPERLINK("plots/3FT6Y578R04_015_S21P_20251218081014_M5358ACSC201811_RBGEUFRF04/dpll_52094/txpa_53265.png","plot")</f>
        <v>plot</v>
      </c>
    </row>
    <row r="3807" spans="1:29" hidden="1" x14ac:dyDescent="0.35">
      <c r="A3807" t="s">
        <v>49</v>
      </c>
      <c r="B3807">
        <v>52094</v>
      </c>
      <c r="C3807" t="s">
        <v>53</v>
      </c>
      <c r="D3807">
        <v>53266</v>
      </c>
      <c r="E3807" t="s">
        <v>141</v>
      </c>
      <c r="F3807">
        <v>12027</v>
      </c>
      <c r="G3807">
        <v>0.80303161789631683</v>
      </c>
      <c r="H3807">
        <v>0</v>
      </c>
      <c r="I3807">
        <v>0</v>
      </c>
      <c r="J3807">
        <v>0.70171349973785702</v>
      </c>
      <c r="K3807">
        <v>0</v>
      </c>
      <c r="L3807">
        <v>0</v>
      </c>
      <c r="M3807">
        <v>0.51471593999267484</v>
      </c>
      <c r="N3807">
        <v>0</v>
      </c>
      <c r="O3807">
        <v>0</v>
      </c>
      <c r="P3807">
        <v>0.64485977934117622</v>
      </c>
      <c r="Q3807">
        <v>1.085880021065502</v>
      </c>
      <c r="R3807">
        <v>4.7941996954487269</v>
      </c>
      <c r="S3807">
        <v>0.1918614323593241</v>
      </c>
      <c r="T3807">
        <v>0.15078473662108041</v>
      </c>
      <c r="U3807">
        <v>4.2436951445081901</v>
      </c>
      <c r="V3807">
        <v>0.2380984732054881</v>
      </c>
      <c r="W3807">
        <v>9.4023434683628491</v>
      </c>
      <c r="X3807">
        <v>0.32196288332624712</v>
      </c>
      <c r="Z3807" t="s">
        <v>392</v>
      </c>
      <c r="AA3807">
        <v>114</v>
      </c>
      <c r="AB3807" t="s">
        <v>4198</v>
      </c>
      <c r="AC3807" t="str">
        <f>HYPERLINK("plots/3FT6Y578R04_015_S21P_20251218081014_M5358ACSC201811_RBGEUFRF04/dpll_52094/txpa_53266.png","plot")</f>
        <v>plot</v>
      </c>
    </row>
    <row r="3808" spans="1:29" hidden="1" x14ac:dyDescent="0.35">
      <c r="A3808" t="s">
        <v>49</v>
      </c>
      <c r="B3808">
        <v>52094</v>
      </c>
      <c r="C3808" t="s">
        <v>53</v>
      </c>
      <c r="D3808">
        <v>53267</v>
      </c>
      <c r="E3808" t="s">
        <v>142</v>
      </c>
      <c r="F3808">
        <v>12028</v>
      </c>
      <c r="G3808">
        <v>0.789758119246875</v>
      </c>
      <c r="H3808">
        <v>0</v>
      </c>
      <c r="I3808">
        <v>0</v>
      </c>
      <c r="J3808">
        <v>0.69173255928466126</v>
      </c>
      <c r="K3808">
        <v>0</v>
      </c>
      <c r="L3808">
        <v>0</v>
      </c>
      <c r="M3808">
        <v>0.50315591436227514</v>
      </c>
      <c r="N3808">
        <v>0</v>
      </c>
      <c r="O3808">
        <v>0</v>
      </c>
      <c r="P3808">
        <v>0.62371788691636121</v>
      </c>
      <c r="Q3808">
        <v>1.0912899868181101</v>
      </c>
      <c r="R3808">
        <v>5.2515606850800509</v>
      </c>
      <c r="S3808">
        <v>0.20181322941716359</v>
      </c>
      <c r="T3808">
        <v>0.1572393575992547</v>
      </c>
      <c r="U3808">
        <v>4.2436712643831056</v>
      </c>
      <c r="V3808">
        <v>0.23810297856178911</v>
      </c>
      <c r="W3808">
        <v>9.882636643249084</v>
      </c>
      <c r="X3808">
        <v>0.32901136437044037</v>
      </c>
      <c r="Z3808" t="s">
        <v>392</v>
      </c>
      <c r="AA3808">
        <v>114</v>
      </c>
      <c r="AB3808" t="s">
        <v>4199</v>
      </c>
      <c r="AC3808" t="str">
        <f>HYPERLINK("plots/3FT6Y578R04_015_S21P_20251218081014_M5358ACSC201811_RBGEUFRF04/dpll_52094/txpa_53267.png","plot")</f>
        <v>plot</v>
      </c>
    </row>
    <row r="3809" spans="1:29" hidden="1" x14ac:dyDescent="0.35">
      <c r="A3809" t="s">
        <v>49</v>
      </c>
      <c r="B3809">
        <v>52094</v>
      </c>
      <c r="C3809" t="s">
        <v>53</v>
      </c>
      <c r="D3809">
        <v>53268</v>
      </c>
      <c r="E3809" t="s">
        <v>143</v>
      </c>
      <c r="F3809">
        <v>12028</v>
      </c>
      <c r="G3809">
        <v>0.80544201239254753</v>
      </c>
      <c r="H3809">
        <v>0</v>
      </c>
      <c r="I3809">
        <v>0</v>
      </c>
      <c r="J3809">
        <v>0.70648755866641388</v>
      </c>
      <c r="K3809">
        <v>0</v>
      </c>
      <c r="L3809">
        <v>0</v>
      </c>
      <c r="M3809">
        <v>0.51894732225096762</v>
      </c>
      <c r="N3809">
        <v>0</v>
      </c>
      <c r="O3809">
        <v>0</v>
      </c>
      <c r="P3809">
        <v>0.6487368353269567</v>
      </c>
      <c r="Q3809">
        <v>1.125180065471963</v>
      </c>
      <c r="R3809">
        <v>5.1400085306026213</v>
      </c>
      <c r="S3809">
        <v>0.1971291409014693</v>
      </c>
      <c r="T3809">
        <v>0.1551379730107284</v>
      </c>
      <c r="U3809">
        <v>4.2436712643831056</v>
      </c>
      <c r="V3809">
        <v>0.23810297856178911</v>
      </c>
      <c r="W3809">
        <v>9.9149028417026948</v>
      </c>
      <c r="X3809">
        <v>0.33262323157368762</v>
      </c>
      <c r="Z3809" t="s">
        <v>392</v>
      </c>
      <c r="AA3809">
        <v>114</v>
      </c>
      <c r="AB3809" t="s">
        <v>4200</v>
      </c>
      <c r="AC3809" t="str">
        <f>HYPERLINK("plots/3FT6Y578R04_015_S21P_20251218081014_M5358ACSC201811_RBGEUFRF04/dpll_52094/txpa_53268.png","plot")</f>
        <v>plot</v>
      </c>
    </row>
    <row r="3810" spans="1:29" hidden="1" x14ac:dyDescent="0.35">
      <c r="A3810" t="s">
        <v>49</v>
      </c>
      <c r="B3810">
        <v>52094</v>
      </c>
      <c r="C3810" t="s">
        <v>53</v>
      </c>
      <c r="D3810">
        <v>53269</v>
      </c>
      <c r="E3810" t="s">
        <v>144</v>
      </c>
      <c r="F3810">
        <v>12028</v>
      </c>
      <c r="G3810">
        <v>0.79892659767389362</v>
      </c>
      <c r="H3810">
        <v>0</v>
      </c>
      <c r="I3810">
        <v>0</v>
      </c>
      <c r="J3810">
        <v>0.69617473409047703</v>
      </c>
      <c r="K3810">
        <v>0</v>
      </c>
      <c r="L3810">
        <v>0</v>
      </c>
      <c r="M3810">
        <v>0.50863740959400738</v>
      </c>
      <c r="N3810">
        <v>0</v>
      </c>
      <c r="O3810">
        <v>0</v>
      </c>
      <c r="P3810">
        <v>0.63828370847078353</v>
      </c>
      <c r="Q3810">
        <v>1.0927479235448021</v>
      </c>
      <c r="R3810">
        <v>5.2963451085564746</v>
      </c>
      <c r="S3810">
        <v>0.19585917414160431</v>
      </c>
      <c r="T3810">
        <v>0.1534423412970935</v>
      </c>
      <c r="U3810">
        <v>4.2436712643831056</v>
      </c>
      <c r="V3810">
        <v>0.23810297856178911</v>
      </c>
      <c r="W3810">
        <v>9.9336080709178578</v>
      </c>
      <c r="X3810">
        <v>0.32567013812128781</v>
      </c>
      <c r="Z3810" t="s">
        <v>392</v>
      </c>
      <c r="AA3810">
        <v>114</v>
      </c>
      <c r="AB3810" t="s">
        <v>4201</v>
      </c>
      <c r="AC3810" t="str">
        <f>HYPERLINK("plots/3FT6Y578R04_015_S21P_20251218081014_M5358ACSC201811_RBGEUFRF04/dpll_52094/txpa_53269.png","plot")</f>
        <v>plot</v>
      </c>
    </row>
    <row r="3811" spans="1:29" hidden="1" x14ac:dyDescent="0.35">
      <c r="A3811" t="s">
        <v>49</v>
      </c>
      <c r="B3811">
        <v>52094</v>
      </c>
      <c r="C3811" t="s">
        <v>53</v>
      </c>
      <c r="D3811">
        <v>53270</v>
      </c>
      <c r="E3811" t="s">
        <v>145</v>
      </c>
      <c r="F3811">
        <v>12027</v>
      </c>
      <c r="G3811">
        <v>0.80999691017197917</v>
      </c>
      <c r="H3811">
        <v>0</v>
      </c>
      <c r="I3811">
        <v>0</v>
      </c>
      <c r="J3811">
        <v>0.70720579022483987</v>
      </c>
      <c r="K3811">
        <v>0</v>
      </c>
      <c r="L3811">
        <v>0</v>
      </c>
      <c r="M3811">
        <v>0.51961462076106735</v>
      </c>
      <c r="N3811">
        <v>0</v>
      </c>
      <c r="O3811">
        <v>0</v>
      </c>
      <c r="P3811">
        <v>0.65609499448815334</v>
      </c>
      <c r="Q3811">
        <v>1.124515925167527</v>
      </c>
      <c r="R3811">
        <v>5.1631986513354784</v>
      </c>
      <c r="S3811">
        <v>0.1938491027749788</v>
      </c>
      <c r="T3811">
        <v>0.1529674614245031</v>
      </c>
      <c r="U3811">
        <v>4.2436786742329762</v>
      </c>
      <c r="V3811">
        <v>0.2381114909913796</v>
      </c>
      <c r="W3811">
        <v>9.9352829018042748</v>
      </c>
      <c r="X3811">
        <v>0.33056936418231442</v>
      </c>
      <c r="Z3811" t="s">
        <v>392</v>
      </c>
      <c r="AA3811">
        <v>114</v>
      </c>
      <c r="AB3811" t="s">
        <v>4202</v>
      </c>
      <c r="AC3811" t="str">
        <f>HYPERLINK("plots/3FT6Y578R04_015_S21P_20251218081014_M5358ACSC201811_RBGEUFRF04/dpll_52094/txpa_53270.png","plot")</f>
        <v>plot</v>
      </c>
    </row>
    <row r="3812" spans="1:29" hidden="1" x14ac:dyDescent="0.35">
      <c r="A3812" t="s">
        <v>49</v>
      </c>
      <c r="B3812">
        <v>52094</v>
      </c>
      <c r="C3812" t="s">
        <v>53</v>
      </c>
      <c r="D3812">
        <v>53271</v>
      </c>
      <c r="E3812" t="s">
        <v>146</v>
      </c>
      <c r="F3812">
        <v>12027</v>
      </c>
      <c r="G3812">
        <v>0.81142238828000612</v>
      </c>
      <c r="H3812">
        <v>0</v>
      </c>
      <c r="I3812">
        <v>0</v>
      </c>
      <c r="J3812">
        <v>0.70353691077199332</v>
      </c>
      <c r="K3812">
        <v>0</v>
      </c>
      <c r="L3812">
        <v>0</v>
      </c>
      <c r="M3812">
        <v>0.51471392753096301</v>
      </c>
      <c r="N3812">
        <v>0</v>
      </c>
      <c r="O3812">
        <v>0</v>
      </c>
      <c r="P3812">
        <v>0.65840629220202906</v>
      </c>
      <c r="Q3812">
        <v>1.1223277296883489</v>
      </c>
      <c r="R3812">
        <v>5.1565631856235488</v>
      </c>
      <c r="S3812">
        <v>0.19246537827448121</v>
      </c>
      <c r="T3812">
        <v>0.15227065882783711</v>
      </c>
      <c r="U3812">
        <v>4.2436418554918101</v>
      </c>
      <c r="V3812">
        <v>0.23809103076034549</v>
      </c>
      <c r="W3812">
        <v>9.9193201149081247</v>
      </c>
      <c r="X3812">
        <v>0.32931820698075981</v>
      </c>
      <c r="Z3812" t="s">
        <v>392</v>
      </c>
      <c r="AA3812">
        <v>114</v>
      </c>
      <c r="AB3812" t="s">
        <v>4203</v>
      </c>
      <c r="AC3812" t="str">
        <f>HYPERLINK("plots/3FT6Y578R04_015_S21P_20251218081014_M5358ACSC201811_RBGEUFRF04/dpll_52094/txpa_53271.png","plot")</f>
        <v>plot</v>
      </c>
    </row>
    <row r="3813" spans="1:29" hidden="1" x14ac:dyDescent="0.35">
      <c r="A3813" t="s">
        <v>49</v>
      </c>
      <c r="B3813">
        <v>52094</v>
      </c>
      <c r="C3813" t="s">
        <v>53</v>
      </c>
      <c r="D3813">
        <v>53272</v>
      </c>
      <c r="E3813" t="s">
        <v>147</v>
      </c>
      <c r="F3813">
        <v>12027</v>
      </c>
      <c r="G3813">
        <v>0.81471661773945547</v>
      </c>
      <c r="H3813">
        <v>0</v>
      </c>
      <c r="I3813">
        <v>0</v>
      </c>
      <c r="J3813">
        <v>0.71779261041124631</v>
      </c>
      <c r="K3813">
        <v>0</v>
      </c>
      <c r="L3813">
        <v>0</v>
      </c>
      <c r="M3813">
        <v>0.52874565230220227</v>
      </c>
      <c r="N3813">
        <v>0</v>
      </c>
      <c r="O3813">
        <v>0</v>
      </c>
      <c r="P3813">
        <v>0.66376316722081796</v>
      </c>
      <c r="Q3813">
        <v>1.1338062935752109</v>
      </c>
      <c r="R3813">
        <v>5.1182047598711913</v>
      </c>
      <c r="S3813">
        <v>0.19211802134978881</v>
      </c>
      <c r="T3813">
        <v>0.15168833459199499</v>
      </c>
      <c r="U3813">
        <v>4.2436377816579363</v>
      </c>
      <c r="V3813">
        <v>0.2380845584627882</v>
      </c>
      <c r="W3813">
        <v>9.9296679843685052</v>
      </c>
      <c r="X3813">
        <v>0.33133210359348692</v>
      </c>
      <c r="Z3813" t="s">
        <v>392</v>
      </c>
      <c r="AA3813">
        <v>114</v>
      </c>
      <c r="AB3813" t="s">
        <v>4204</v>
      </c>
      <c r="AC3813" t="str">
        <f>HYPERLINK("plots/3FT6Y578R04_015_S21P_20251218081014_M5358ACSC201811_RBGEUFRF04/dpll_52094/txpa_53272.png","plot")</f>
        <v>plot</v>
      </c>
    </row>
    <row r="3814" spans="1:29" hidden="1" x14ac:dyDescent="0.35">
      <c r="A3814" t="s">
        <v>49</v>
      </c>
      <c r="B3814">
        <v>52094</v>
      </c>
      <c r="C3814" t="s">
        <v>53</v>
      </c>
      <c r="D3814">
        <v>53273</v>
      </c>
      <c r="E3814" t="s">
        <v>148</v>
      </c>
      <c r="F3814">
        <v>12028</v>
      </c>
      <c r="G3814">
        <v>0.8125075015010722</v>
      </c>
      <c r="H3814">
        <v>0</v>
      </c>
      <c r="I3814">
        <v>0</v>
      </c>
      <c r="J3814">
        <v>0.70877614697398617</v>
      </c>
      <c r="K3814">
        <v>0</v>
      </c>
      <c r="L3814">
        <v>0</v>
      </c>
      <c r="M3814">
        <v>0.52076054125223548</v>
      </c>
      <c r="N3814">
        <v>0</v>
      </c>
      <c r="O3814">
        <v>0</v>
      </c>
      <c r="P3814">
        <v>0.66016843999551489</v>
      </c>
      <c r="Q3814">
        <v>1.1189354631498829</v>
      </c>
      <c r="R3814">
        <v>5.1887628176232896</v>
      </c>
      <c r="S3814">
        <v>0.19114207123017221</v>
      </c>
      <c r="T3814">
        <v>0.1510721869662392</v>
      </c>
      <c r="U3814">
        <v>4.2436712643831056</v>
      </c>
      <c r="V3814">
        <v>0.23810297856178911</v>
      </c>
      <c r="W3814">
        <v>9.9371570892916523</v>
      </c>
      <c r="X3814">
        <v>0.32790080842601382</v>
      </c>
      <c r="Z3814" t="s">
        <v>392</v>
      </c>
      <c r="AA3814">
        <v>114</v>
      </c>
      <c r="AB3814" t="s">
        <v>4205</v>
      </c>
      <c r="AC3814" t="str">
        <f>HYPERLINK("plots/3FT6Y578R04_015_S21P_20251218081014_M5358ACSC201811_RBGEUFRF04/dpll_52094/txpa_53273.png","plot")</f>
        <v>plot</v>
      </c>
    </row>
    <row r="3815" spans="1:29" hidden="1" x14ac:dyDescent="0.35">
      <c r="A3815" t="s">
        <v>49</v>
      </c>
      <c r="B3815">
        <v>52094</v>
      </c>
      <c r="C3815" t="s">
        <v>53</v>
      </c>
      <c r="D3815">
        <v>53274</v>
      </c>
      <c r="E3815" t="s">
        <v>149</v>
      </c>
      <c r="F3815">
        <v>12027</v>
      </c>
      <c r="G3815">
        <v>0.80720007771894675</v>
      </c>
      <c r="H3815">
        <v>0</v>
      </c>
      <c r="I3815">
        <v>0</v>
      </c>
      <c r="J3815">
        <v>0.70419750166774586</v>
      </c>
      <c r="K3815">
        <v>0</v>
      </c>
      <c r="L3815">
        <v>0</v>
      </c>
      <c r="M3815">
        <v>0.51690607655510201</v>
      </c>
      <c r="N3815">
        <v>0</v>
      </c>
      <c r="O3815">
        <v>0</v>
      </c>
      <c r="P3815">
        <v>0.65157196546947371</v>
      </c>
      <c r="Q3815">
        <v>1.1105682540195529</v>
      </c>
      <c r="R3815">
        <v>5.1843906333559726</v>
      </c>
      <c r="S3815">
        <v>0.1933566709478281</v>
      </c>
      <c r="T3815">
        <v>0.15181030113414479</v>
      </c>
      <c r="U3815">
        <v>4.2436951445081901</v>
      </c>
      <c r="V3815">
        <v>0.2380984732054881</v>
      </c>
      <c r="W3815">
        <v>9.8973037405836877</v>
      </c>
      <c r="X3815">
        <v>0.32758248292018688</v>
      </c>
      <c r="Z3815" t="s">
        <v>392</v>
      </c>
      <c r="AA3815">
        <v>114</v>
      </c>
      <c r="AB3815" t="s">
        <v>4206</v>
      </c>
      <c r="AC3815" t="str">
        <f>HYPERLINK("plots/3FT6Y578R04_015_S21P_20251218081014_M5358ACSC201811_RBGEUFRF04/dpll_52094/txpa_53274.png","plot")</f>
        <v>plot</v>
      </c>
    </row>
    <row r="3816" spans="1:29" hidden="1" x14ac:dyDescent="0.35">
      <c r="A3816" t="s">
        <v>49</v>
      </c>
      <c r="B3816">
        <v>52094</v>
      </c>
      <c r="C3816" t="s">
        <v>53</v>
      </c>
      <c r="D3816">
        <v>53275</v>
      </c>
      <c r="E3816" t="s">
        <v>150</v>
      </c>
      <c r="F3816">
        <v>12028</v>
      </c>
      <c r="G3816">
        <v>0.80176101050688819</v>
      </c>
      <c r="H3816">
        <v>0</v>
      </c>
      <c r="I3816">
        <v>0</v>
      </c>
      <c r="J3816">
        <v>0.69962413074258123</v>
      </c>
      <c r="K3816">
        <v>0</v>
      </c>
      <c r="L3816">
        <v>0</v>
      </c>
      <c r="M3816">
        <v>0.50997283653807701</v>
      </c>
      <c r="N3816">
        <v>0</v>
      </c>
      <c r="O3816">
        <v>0</v>
      </c>
      <c r="P3816">
        <v>0.64282071796902651</v>
      </c>
      <c r="Q3816">
        <v>1.162475088283716</v>
      </c>
      <c r="R3816">
        <v>6.5819249058774716</v>
      </c>
      <c r="S3816">
        <v>0.2063139652347547</v>
      </c>
      <c r="T3816">
        <v>0.16008727450900939</v>
      </c>
      <c r="U3816">
        <v>4.2436712643831056</v>
      </c>
      <c r="V3816">
        <v>0.23810297856178911</v>
      </c>
      <c r="W3816">
        <v>11.515087033588291</v>
      </c>
      <c r="X3816">
        <v>0.34522604291924891</v>
      </c>
      <c r="Z3816" t="s">
        <v>392</v>
      </c>
      <c r="AA3816">
        <v>114</v>
      </c>
      <c r="AB3816" t="s">
        <v>4207</v>
      </c>
      <c r="AC3816" t="str">
        <f>HYPERLINK("plots/3FT6Y578R04_015_S21P_20251218081014_M5358ACSC201811_RBGEUFRF04/dpll_52094/txpa_53275.png","plot")</f>
        <v>plot</v>
      </c>
    </row>
    <row r="3817" spans="1:29" hidden="1" x14ac:dyDescent="0.35">
      <c r="A3817" t="s">
        <v>49</v>
      </c>
      <c r="B3817">
        <v>52094</v>
      </c>
      <c r="C3817" t="s">
        <v>53</v>
      </c>
      <c r="D3817">
        <v>53276</v>
      </c>
      <c r="E3817" t="s">
        <v>151</v>
      </c>
      <c r="F3817">
        <v>12028</v>
      </c>
      <c r="G3817">
        <v>0.81646030707850736</v>
      </c>
      <c r="H3817">
        <v>0</v>
      </c>
      <c r="I3817">
        <v>0</v>
      </c>
      <c r="J3817">
        <v>0.71361679777471376</v>
      </c>
      <c r="K3817">
        <v>0</v>
      </c>
      <c r="L3817">
        <v>0</v>
      </c>
      <c r="M3817">
        <v>0.52536433214039002</v>
      </c>
      <c r="N3817">
        <v>0</v>
      </c>
      <c r="O3817">
        <v>0</v>
      </c>
      <c r="P3817">
        <v>0.66660743303473058</v>
      </c>
      <c r="Q3817">
        <v>1.1969069556009131</v>
      </c>
      <c r="R3817">
        <v>6.468233336066862</v>
      </c>
      <c r="S3817">
        <v>0.20153479843498751</v>
      </c>
      <c r="T3817">
        <v>0.15806406854674079</v>
      </c>
      <c r="U3817">
        <v>4.2436712643831056</v>
      </c>
      <c r="V3817">
        <v>0.23810297856178911</v>
      </c>
      <c r="W3817">
        <v>11.54751298969072</v>
      </c>
      <c r="X3817">
        <v>0.34905200990070551</v>
      </c>
      <c r="Z3817" t="s">
        <v>392</v>
      </c>
      <c r="AA3817">
        <v>114</v>
      </c>
      <c r="AB3817" t="s">
        <v>4208</v>
      </c>
      <c r="AC3817" t="str">
        <f>HYPERLINK("plots/3FT6Y578R04_015_S21P_20251218081014_M5358ACSC201811_RBGEUFRF04/dpll_52094/txpa_53276.png","plot")</f>
        <v>plot</v>
      </c>
    </row>
    <row r="3818" spans="1:29" hidden="1" x14ac:dyDescent="0.35">
      <c r="A3818" t="s">
        <v>49</v>
      </c>
      <c r="B3818">
        <v>52094</v>
      </c>
      <c r="C3818" t="s">
        <v>53</v>
      </c>
      <c r="D3818">
        <v>53277</v>
      </c>
      <c r="E3818" t="s">
        <v>152</v>
      </c>
      <c r="F3818">
        <v>12028</v>
      </c>
      <c r="G3818">
        <v>0.81108059077628303</v>
      </c>
      <c r="H3818">
        <v>0</v>
      </c>
      <c r="I3818">
        <v>0</v>
      </c>
      <c r="J3818">
        <v>0.70429797014281037</v>
      </c>
      <c r="K3818">
        <v>0</v>
      </c>
      <c r="L3818">
        <v>0</v>
      </c>
      <c r="M3818">
        <v>0.51579759330488484</v>
      </c>
      <c r="N3818">
        <v>0</v>
      </c>
      <c r="O3818">
        <v>0</v>
      </c>
      <c r="P3818">
        <v>0.65785172473400433</v>
      </c>
      <c r="Q3818">
        <v>1.164929109848758</v>
      </c>
      <c r="R3818">
        <v>6.6228993643680569</v>
      </c>
      <c r="S3818">
        <v>0.20002737725244979</v>
      </c>
      <c r="T3818">
        <v>0.1561216445659083</v>
      </c>
      <c r="U3818">
        <v>4.2436712643831056</v>
      </c>
      <c r="V3818">
        <v>0.23810297856178911</v>
      </c>
      <c r="W3818">
        <v>11.56647555287662</v>
      </c>
      <c r="X3818">
        <v>0.34197969230511299</v>
      </c>
      <c r="Z3818" t="s">
        <v>392</v>
      </c>
      <c r="AA3818">
        <v>114</v>
      </c>
      <c r="AB3818" t="s">
        <v>4209</v>
      </c>
      <c r="AC3818" t="str">
        <f>HYPERLINK("plots/3FT6Y578R04_015_S21P_20251218081014_M5358ACSC201811_RBGEUFRF04/dpll_52094/txpa_53277.png","plot")</f>
        <v>plot</v>
      </c>
    </row>
    <row r="3819" spans="1:29" hidden="1" x14ac:dyDescent="0.35">
      <c r="A3819" t="s">
        <v>49</v>
      </c>
      <c r="B3819">
        <v>52094</v>
      </c>
      <c r="C3819" t="s">
        <v>53</v>
      </c>
      <c r="D3819">
        <v>53278</v>
      </c>
      <c r="E3819" t="s">
        <v>153</v>
      </c>
      <c r="F3819">
        <v>12027</v>
      </c>
      <c r="G3819">
        <v>0.82114618028342112</v>
      </c>
      <c r="H3819">
        <v>0</v>
      </c>
      <c r="I3819">
        <v>0</v>
      </c>
      <c r="J3819">
        <v>0.71446152283562891</v>
      </c>
      <c r="K3819">
        <v>0</v>
      </c>
      <c r="L3819">
        <v>0</v>
      </c>
      <c r="M3819">
        <v>0.52610381615823165</v>
      </c>
      <c r="N3819">
        <v>0</v>
      </c>
      <c r="O3819">
        <v>0</v>
      </c>
      <c r="P3819">
        <v>0.67428104939405276</v>
      </c>
      <c r="Q3819">
        <v>1.1973837628362209</v>
      </c>
      <c r="R3819">
        <v>6.487229218174952</v>
      </c>
      <c r="S3819">
        <v>0.198151196809849</v>
      </c>
      <c r="T3819">
        <v>0.15597545677220989</v>
      </c>
      <c r="U3819">
        <v>4.2436786742329762</v>
      </c>
      <c r="V3819">
        <v>0.2381114909913796</v>
      </c>
      <c r="W3819">
        <v>11.56854115739586</v>
      </c>
      <c r="X3819">
        <v>0.3472108132554354</v>
      </c>
      <c r="Z3819" t="s">
        <v>392</v>
      </c>
      <c r="AA3819">
        <v>114</v>
      </c>
      <c r="AB3819" t="s">
        <v>4210</v>
      </c>
      <c r="AC3819" t="str">
        <f>HYPERLINK("plots/3FT6Y578R04_015_S21P_20251218081014_M5358ACSC201811_RBGEUFRF04/dpll_52094/txpa_53278.png","plot")</f>
        <v>plot</v>
      </c>
    </row>
    <row r="3820" spans="1:29" hidden="1" x14ac:dyDescent="0.35">
      <c r="A3820" t="s">
        <v>49</v>
      </c>
      <c r="B3820">
        <v>52094</v>
      </c>
      <c r="C3820" t="s">
        <v>53</v>
      </c>
      <c r="D3820">
        <v>53279</v>
      </c>
      <c r="E3820" t="s">
        <v>154</v>
      </c>
      <c r="F3820">
        <v>12027</v>
      </c>
      <c r="G3820">
        <v>0.82213984942426777</v>
      </c>
      <c r="H3820">
        <v>0</v>
      </c>
      <c r="I3820">
        <v>0</v>
      </c>
      <c r="J3820">
        <v>0.71057691363794839</v>
      </c>
      <c r="K3820">
        <v>0</v>
      </c>
      <c r="L3820">
        <v>0</v>
      </c>
      <c r="M3820">
        <v>0.52091708044429852</v>
      </c>
      <c r="N3820">
        <v>0</v>
      </c>
      <c r="O3820">
        <v>0</v>
      </c>
      <c r="P3820">
        <v>0.67591393201135763</v>
      </c>
      <c r="Q3820">
        <v>1.195320125246021</v>
      </c>
      <c r="R3820">
        <v>6.4784226312170698</v>
      </c>
      <c r="S3820">
        <v>0.1970578285561666</v>
      </c>
      <c r="T3820">
        <v>0.15548887728051591</v>
      </c>
      <c r="U3820">
        <v>4.2436418554918101</v>
      </c>
      <c r="V3820">
        <v>0.23809103076034549</v>
      </c>
      <c r="W3820">
        <v>11.5509331454228</v>
      </c>
      <c r="X3820">
        <v>0.34616373468298423</v>
      </c>
      <c r="Z3820" t="s">
        <v>392</v>
      </c>
      <c r="AA3820">
        <v>114</v>
      </c>
      <c r="AB3820" t="s">
        <v>4211</v>
      </c>
      <c r="AC3820" t="str">
        <f>HYPERLINK("plots/3FT6Y578R04_015_S21P_20251218081014_M5358ACSC201811_RBGEUFRF04/dpll_52094/txpa_53279.png","plot")</f>
        <v>plot</v>
      </c>
    </row>
    <row r="3821" spans="1:29" hidden="1" x14ac:dyDescent="0.35">
      <c r="A3821" t="s">
        <v>49</v>
      </c>
      <c r="B3821">
        <v>52094</v>
      </c>
      <c r="C3821" t="s">
        <v>53</v>
      </c>
      <c r="D3821">
        <v>53280</v>
      </c>
      <c r="E3821" t="s">
        <v>155</v>
      </c>
      <c r="F3821">
        <v>12027</v>
      </c>
      <c r="G3821">
        <v>0.82537147282417123</v>
      </c>
      <c r="H3821">
        <v>0</v>
      </c>
      <c r="I3821">
        <v>0</v>
      </c>
      <c r="J3821">
        <v>0.72415198402315872</v>
      </c>
      <c r="K3821">
        <v>0</v>
      </c>
      <c r="L3821">
        <v>0</v>
      </c>
      <c r="M3821">
        <v>0.53458540465231419</v>
      </c>
      <c r="N3821">
        <v>0</v>
      </c>
      <c r="O3821">
        <v>0</v>
      </c>
      <c r="P3821">
        <v>0.68123806815194166</v>
      </c>
      <c r="Q3821">
        <v>1.2056488487997301</v>
      </c>
      <c r="R3821">
        <v>6.4461252221406866</v>
      </c>
      <c r="S3821">
        <v>0.19634406580878541</v>
      </c>
      <c r="T3821">
        <v>0.15459103900798149</v>
      </c>
      <c r="U3821">
        <v>4.2436377816579363</v>
      </c>
      <c r="V3821">
        <v>0.2380845584627882</v>
      </c>
      <c r="W3821">
        <v>11.562462228319619</v>
      </c>
      <c r="X3821">
        <v>0.34777840436557222</v>
      </c>
      <c r="Z3821" t="s">
        <v>392</v>
      </c>
      <c r="AA3821">
        <v>114</v>
      </c>
      <c r="AB3821" t="s">
        <v>4212</v>
      </c>
      <c r="AC3821" t="str">
        <f>HYPERLINK("plots/3FT6Y578R04_015_S21P_20251218081014_M5358ACSC201811_RBGEUFRF04/dpll_52094/txpa_53280.png","plot")</f>
        <v>plot</v>
      </c>
    </row>
    <row r="3822" spans="1:29" hidden="1" x14ac:dyDescent="0.35">
      <c r="A3822" t="s">
        <v>49</v>
      </c>
      <c r="B3822">
        <v>52094</v>
      </c>
      <c r="C3822" t="s">
        <v>53</v>
      </c>
      <c r="D3822">
        <v>53281</v>
      </c>
      <c r="E3822" t="s">
        <v>156</v>
      </c>
      <c r="F3822">
        <v>12028</v>
      </c>
      <c r="G3822">
        <v>0.82362474568855726</v>
      </c>
      <c r="H3822">
        <v>0</v>
      </c>
      <c r="I3822">
        <v>0</v>
      </c>
      <c r="J3822">
        <v>0.71571449844581925</v>
      </c>
      <c r="K3822">
        <v>0</v>
      </c>
      <c r="L3822">
        <v>0</v>
      </c>
      <c r="M3822">
        <v>0.52696982106096357</v>
      </c>
      <c r="N3822">
        <v>0</v>
      </c>
      <c r="O3822">
        <v>0</v>
      </c>
      <c r="P3822">
        <v>0.67835772171054065</v>
      </c>
      <c r="Q3822">
        <v>1.190775791111788</v>
      </c>
      <c r="R3822">
        <v>6.5173643321443588</v>
      </c>
      <c r="S3822">
        <v>0.19522433364440589</v>
      </c>
      <c r="T3822">
        <v>0.15373615803615359</v>
      </c>
      <c r="U3822">
        <v>4.2436712643831056</v>
      </c>
      <c r="V3822">
        <v>0.23810297856178911</v>
      </c>
      <c r="W3822">
        <v>11.57062533920851</v>
      </c>
      <c r="X3822">
        <v>0.34424325416055362</v>
      </c>
      <c r="Z3822" t="s">
        <v>392</v>
      </c>
      <c r="AA3822">
        <v>114</v>
      </c>
      <c r="AB3822" t="s">
        <v>4213</v>
      </c>
      <c r="AC3822" t="str">
        <f>HYPERLINK("plots/3FT6Y578R04_015_S21P_20251218081014_M5358ACSC201811_RBGEUFRF04/dpll_52094/txpa_53281.png","plot")</f>
        <v>plot</v>
      </c>
    </row>
    <row r="3823" spans="1:29" hidden="1" x14ac:dyDescent="0.35">
      <c r="A3823" t="s">
        <v>49</v>
      </c>
      <c r="B3823">
        <v>52094</v>
      </c>
      <c r="C3823" t="s">
        <v>53</v>
      </c>
      <c r="D3823">
        <v>53282</v>
      </c>
      <c r="E3823" t="s">
        <v>157</v>
      </c>
      <c r="F3823">
        <v>12027</v>
      </c>
      <c r="G3823">
        <v>0.81793663084794543</v>
      </c>
      <c r="H3823">
        <v>0</v>
      </c>
      <c r="I3823">
        <v>0</v>
      </c>
      <c r="J3823">
        <v>0.71047737249034837</v>
      </c>
      <c r="K3823">
        <v>0</v>
      </c>
      <c r="L3823">
        <v>0</v>
      </c>
      <c r="M3823">
        <v>0.52247206408382885</v>
      </c>
      <c r="N3823">
        <v>0</v>
      </c>
      <c r="O3823">
        <v>0</v>
      </c>
      <c r="P3823">
        <v>0.66902033208288814</v>
      </c>
      <c r="Q3823">
        <v>1.1803865359603001</v>
      </c>
      <c r="R3823">
        <v>6.5221710417331114</v>
      </c>
      <c r="S3823">
        <v>0.19767138334267759</v>
      </c>
      <c r="T3823">
        <v>0.15463998610944149</v>
      </c>
      <c r="U3823">
        <v>4.2436951445081901</v>
      </c>
      <c r="V3823">
        <v>0.2380984732054881</v>
      </c>
      <c r="W3823">
        <v>11.53137165303068</v>
      </c>
      <c r="X3823">
        <v>0.34360636436236258</v>
      </c>
      <c r="Z3823" t="s">
        <v>392</v>
      </c>
      <c r="AA3823">
        <v>114</v>
      </c>
      <c r="AB3823" t="s">
        <v>4214</v>
      </c>
      <c r="AC3823" t="str">
        <f>HYPERLINK("plots/3FT6Y578R04_015_S21P_20251218081014_M5358ACSC201811_RBGEUFRF04/dpll_52094/txpa_53282.png","plot")</f>
        <v>plot</v>
      </c>
    </row>
    <row r="3824" spans="1:29" hidden="1" x14ac:dyDescent="0.35">
      <c r="A3824" t="s">
        <v>49</v>
      </c>
      <c r="B3824">
        <v>52094</v>
      </c>
      <c r="C3824" t="s">
        <v>53</v>
      </c>
      <c r="D3824">
        <v>53283</v>
      </c>
      <c r="E3824" t="s">
        <v>158</v>
      </c>
      <c r="F3824">
        <v>12028</v>
      </c>
      <c r="G3824">
        <v>0.80467042421264967</v>
      </c>
      <c r="H3824">
        <v>0</v>
      </c>
      <c r="I3824">
        <v>0</v>
      </c>
      <c r="J3824">
        <v>0.70118105231487304</v>
      </c>
      <c r="K3824">
        <v>0</v>
      </c>
      <c r="L3824">
        <v>0</v>
      </c>
      <c r="M3824">
        <v>0.51137087727430852</v>
      </c>
      <c r="N3824">
        <v>0</v>
      </c>
      <c r="O3824">
        <v>0</v>
      </c>
      <c r="P3824">
        <v>0.64749449160256556</v>
      </c>
      <c r="Q3824">
        <v>1.180222709326149</v>
      </c>
      <c r="R3824">
        <v>7.0823756495513024</v>
      </c>
      <c r="S3824">
        <v>0.20733644880024399</v>
      </c>
      <c r="T3824">
        <v>0.16070931086708831</v>
      </c>
      <c r="U3824">
        <v>4.2436712643831056</v>
      </c>
      <c r="V3824">
        <v>0.23810297856178911</v>
      </c>
      <c r="W3824">
        <v>12.09085284669105</v>
      </c>
      <c r="X3824">
        <v>0.34922936645992209</v>
      </c>
      <c r="Z3824" t="s">
        <v>392</v>
      </c>
      <c r="AA3824">
        <v>114</v>
      </c>
      <c r="AB3824" t="s">
        <v>4215</v>
      </c>
      <c r="AC3824" t="str">
        <f>HYPERLINK("plots/3FT6Y578R04_015_S21P_20251218081014_M5358ACSC201811_RBGEUFRF04/dpll_52094/txpa_53283.png","plot")</f>
        <v>plot</v>
      </c>
    </row>
    <row r="3825" spans="1:29" hidden="1" x14ac:dyDescent="0.35">
      <c r="A3825" t="s">
        <v>49</v>
      </c>
      <c r="B3825">
        <v>52094</v>
      </c>
      <c r="C3825" t="s">
        <v>53</v>
      </c>
      <c r="D3825">
        <v>53284</v>
      </c>
      <c r="E3825" t="s">
        <v>159</v>
      </c>
      <c r="F3825">
        <v>12028</v>
      </c>
      <c r="G3825">
        <v>0.81912621478483583</v>
      </c>
      <c r="H3825">
        <v>0</v>
      </c>
      <c r="I3825">
        <v>0</v>
      </c>
      <c r="J3825">
        <v>0.71519974611287962</v>
      </c>
      <c r="K3825">
        <v>0</v>
      </c>
      <c r="L3825">
        <v>0</v>
      </c>
      <c r="M3825">
        <v>0.52688514567996114</v>
      </c>
      <c r="N3825">
        <v>0</v>
      </c>
      <c r="O3825">
        <v>0</v>
      </c>
      <c r="P3825">
        <v>0.67096775574773304</v>
      </c>
      <c r="Q3825">
        <v>1.215575374396705</v>
      </c>
      <c r="R3825">
        <v>6.9651797750052431</v>
      </c>
      <c r="S3825">
        <v>0.20267354889956141</v>
      </c>
      <c r="T3825">
        <v>0.15876276839452391</v>
      </c>
      <c r="U3825">
        <v>4.2436712643831056</v>
      </c>
      <c r="V3825">
        <v>0.23810297856178911</v>
      </c>
      <c r="W3825">
        <v>12.123682061024279</v>
      </c>
      <c r="X3825">
        <v>0.35334251558075702</v>
      </c>
      <c r="Z3825" t="s">
        <v>392</v>
      </c>
      <c r="AA3825">
        <v>114</v>
      </c>
      <c r="AB3825" t="s">
        <v>4216</v>
      </c>
      <c r="AC3825" t="str">
        <f>HYPERLINK("plots/3FT6Y578R04_015_S21P_20251218081014_M5358ACSC201811_RBGEUFRF04/dpll_52094/txpa_53284.png","plot")</f>
        <v>plot</v>
      </c>
    </row>
    <row r="3826" spans="1:29" hidden="1" x14ac:dyDescent="0.35">
      <c r="A3826" t="s">
        <v>49</v>
      </c>
      <c r="B3826">
        <v>52094</v>
      </c>
      <c r="C3826" t="s">
        <v>53</v>
      </c>
      <c r="D3826">
        <v>53285</v>
      </c>
      <c r="E3826" t="s">
        <v>160</v>
      </c>
      <c r="F3826">
        <v>12028</v>
      </c>
      <c r="G3826">
        <v>0.81382123625042735</v>
      </c>
      <c r="H3826">
        <v>0</v>
      </c>
      <c r="I3826">
        <v>0</v>
      </c>
      <c r="J3826">
        <v>0.70576168763544889</v>
      </c>
      <c r="K3826">
        <v>0</v>
      </c>
      <c r="L3826">
        <v>0</v>
      </c>
      <c r="M3826">
        <v>0.51712400920564727</v>
      </c>
      <c r="N3826">
        <v>0</v>
      </c>
      <c r="O3826">
        <v>0</v>
      </c>
      <c r="P3826">
        <v>0.66230500457217389</v>
      </c>
      <c r="Q3826">
        <v>1.183139096077791</v>
      </c>
      <c r="R3826">
        <v>7.1220960442078072</v>
      </c>
      <c r="S3826">
        <v>0.20114807167654761</v>
      </c>
      <c r="T3826">
        <v>0.1568289740962252</v>
      </c>
      <c r="U3826">
        <v>4.2436712643831056</v>
      </c>
      <c r="V3826">
        <v>0.23810297856178911</v>
      </c>
      <c r="W3826">
        <v>12.14294942800133</v>
      </c>
      <c r="X3826">
        <v>0.34615580213531999</v>
      </c>
      <c r="Z3826" t="s">
        <v>392</v>
      </c>
      <c r="AA3826">
        <v>114</v>
      </c>
      <c r="AB3826" t="s">
        <v>4217</v>
      </c>
      <c r="AC3826" t="str">
        <f>HYPERLINK("plots/3FT6Y578R04_015_S21P_20251218081014_M5358ACSC201811_RBGEUFRF04/dpll_52094/txpa_53285.png","plot")</f>
        <v>plot</v>
      </c>
    </row>
    <row r="3827" spans="1:29" hidden="1" x14ac:dyDescent="0.35">
      <c r="A3827" t="s">
        <v>49</v>
      </c>
      <c r="B3827">
        <v>52094</v>
      </c>
      <c r="C3827" t="s">
        <v>53</v>
      </c>
      <c r="D3827">
        <v>53286</v>
      </c>
      <c r="E3827" t="s">
        <v>161</v>
      </c>
      <c r="F3827">
        <v>12027</v>
      </c>
      <c r="G3827">
        <v>0.82367713315175883</v>
      </c>
      <c r="H3827">
        <v>0</v>
      </c>
      <c r="I3827">
        <v>0</v>
      </c>
      <c r="J3827">
        <v>0.7158182215838188</v>
      </c>
      <c r="K3827">
        <v>0</v>
      </c>
      <c r="L3827">
        <v>0</v>
      </c>
      <c r="M3827">
        <v>0.52733983649391014</v>
      </c>
      <c r="N3827">
        <v>0</v>
      </c>
      <c r="O3827">
        <v>0</v>
      </c>
      <c r="P3827">
        <v>0.67844401967710022</v>
      </c>
      <c r="Q3827">
        <v>1.2158857427743239</v>
      </c>
      <c r="R3827">
        <v>6.9851187453479229</v>
      </c>
      <c r="S3827">
        <v>0.1993087433888871</v>
      </c>
      <c r="T3827">
        <v>0.15675652428142181</v>
      </c>
      <c r="U3827">
        <v>4.2436786742329762</v>
      </c>
      <c r="V3827">
        <v>0.2381114909913796</v>
      </c>
      <c r="W3827">
        <v>12.14494714226324</v>
      </c>
      <c r="X3827">
        <v>0.35149253929065088</v>
      </c>
      <c r="Z3827" t="s">
        <v>392</v>
      </c>
      <c r="AA3827">
        <v>114</v>
      </c>
      <c r="AB3827" t="s">
        <v>4218</v>
      </c>
      <c r="AC3827" t="str">
        <f>HYPERLINK("plots/3FT6Y578R04_015_S21P_20251218081014_M5358ACSC201811_RBGEUFRF04/dpll_52094/txpa_53286.png","plot")</f>
        <v>plot</v>
      </c>
    </row>
    <row r="3828" spans="1:29" hidden="1" x14ac:dyDescent="0.35">
      <c r="A3828" t="s">
        <v>49</v>
      </c>
      <c r="B3828">
        <v>52094</v>
      </c>
      <c r="C3828" t="s">
        <v>53</v>
      </c>
      <c r="D3828">
        <v>53287</v>
      </c>
      <c r="E3828" t="s">
        <v>162</v>
      </c>
      <c r="F3828">
        <v>12027</v>
      </c>
      <c r="G3828">
        <v>0.8246149207337321</v>
      </c>
      <c r="H3828">
        <v>0</v>
      </c>
      <c r="I3828">
        <v>0</v>
      </c>
      <c r="J3828">
        <v>0.71197420369413134</v>
      </c>
      <c r="K3828">
        <v>0</v>
      </c>
      <c r="L3828">
        <v>0</v>
      </c>
      <c r="M3828">
        <v>0.52217601989559115</v>
      </c>
      <c r="N3828">
        <v>0</v>
      </c>
      <c r="O3828">
        <v>0</v>
      </c>
      <c r="P3828">
        <v>0.67998976749669926</v>
      </c>
      <c r="Q3828">
        <v>1.214193509733726</v>
      </c>
      <c r="R3828">
        <v>6.9740566369309098</v>
      </c>
      <c r="S3828">
        <v>0.1983095506643501</v>
      </c>
      <c r="T3828">
        <v>0.15637143738881271</v>
      </c>
      <c r="U3828">
        <v>4.2436418554918101</v>
      </c>
      <c r="V3828">
        <v>0.23809103076034549</v>
      </c>
      <c r="W3828">
        <v>12.126659035503449</v>
      </c>
      <c r="X3828">
        <v>0.35057404008382143</v>
      </c>
      <c r="Z3828" t="s">
        <v>392</v>
      </c>
      <c r="AA3828">
        <v>114</v>
      </c>
      <c r="AB3828" t="s">
        <v>4219</v>
      </c>
      <c r="AC3828" t="str">
        <f>HYPERLINK("plots/3FT6Y578R04_015_S21P_20251218081014_M5358ACSC201811_RBGEUFRF04/dpll_52094/txpa_53287.png","plot")</f>
        <v>plot</v>
      </c>
    </row>
    <row r="3829" spans="1:29" hidden="1" x14ac:dyDescent="0.35">
      <c r="A3829" t="s">
        <v>49</v>
      </c>
      <c r="B3829">
        <v>52094</v>
      </c>
      <c r="C3829" t="s">
        <v>53</v>
      </c>
      <c r="D3829">
        <v>53288</v>
      </c>
      <c r="E3829" t="s">
        <v>163</v>
      </c>
      <c r="F3829">
        <v>12027</v>
      </c>
      <c r="G3829">
        <v>0.82780516032190776</v>
      </c>
      <c r="H3829">
        <v>0</v>
      </c>
      <c r="I3829">
        <v>0</v>
      </c>
      <c r="J3829">
        <v>0.72529234526094133</v>
      </c>
      <c r="K3829">
        <v>0</v>
      </c>
      <c r="L3829">
        <v>0</v>
      </c>
      <c r="M3829">
        <v>0.53567516638766566</v>
      </c>
      <c r="N3829">
        <v>0</v>
      </c>
      <c r="O3829">
        <v>0</v>
      </c>
      <c r="P3829">
        <v>0.68526138345557941</v>
      </c>
      <c r="Q3829">
        <v>1.2239575652151371</v>
      </c>
      <c r="R3829">
        <v>6.944554739168348</v>
      </c>
      <c r="S3829">
        <v>0.1974815015952727</v>
      </c>
      <c r="T3829">
        <v>0.1553501461740012</v>
      </c>
      <c r="U3829">
        <v>4.2436377816579363</v>
      </c>
      <c r="V3829">
        <v>0.2380845584627882</v>
      </c>
      <c r="W3829">
        <v>12.13858730606136</v>
      </c>
      <c r="X3829">
        <v>0.35202172015709188</v>
      </c>
      <c r="Z3829" t="s">
        <v>392</v>
      </c>
      <c r="AA3829">
        <v>114</v>
      </c>
      <c r="AB3829" t="s">
        <v>4220</v>
      </c>
      <c r="AC3829" t="str">
        <f>HYPERLINK("plots/3FT6Y578R04_015_S21P_20251218081014_M5358ACSC201811_RBGEUFRF04/dpll_52094/txpa_53288.png","plot")</f>
        <v>plot</v>
      </c>
    </row>
    <row r="3830" spans="1:29" hidden="1" x14ac:dyDescent="0.35">
      <c r="A3830" t="s">
        <v>49</v>
      </c>
      <c r="B3830">
        <v>52094</v>
      </c>
      <c r="C3830" t="s">
        <v>53</v>
      </c>
      <c r="D3830">
        <v>53289</v>
      </c>
      <c r="E3830" t="s">
        <v>164</v>
      </c>
      <c r="F3830">
        <v>12028</v>
      </c>
      <c r="G3830">
        <v>0.82621498333266374</v>
      </c>
      <c r="H3830">
        <v>0</v>
      </c>
      <c r="I3830">
        <v>0</v>
      </c>
      <c r="J3830">
        <v>0.71709858862467657</v>
      </c>
      <c r="K3830">
        <v>0</v>
      </c>
      <c r="L3830">
        <v>0</v>
      </c>
      <c r="M3830">
        <v>0.52823075626108928</v>
      </c>
      <c r="N3830">
        <v>0</v>
      </c>
      <c r="O3830">
        <v>0</v>
      </c>
      <c r="P3830">
        <v>0.68263119868339384</v>
      </c>
      <c r="Q3830">
        <v>1.2090858065872681</v>
      </c>
      <c r="R3830">
        <v>7.0160940614836429</v>
      </c>
      <c r="S3830">
        <v>0.19628763674192759</v>
      </c>
      <c r="T3830">
        <v>0.15440979632599999</v>
      </c>
      <c r="U3830">
        <v>4.2436712643831056</v>
      </c>
      <c r="V3830">
        <v>0.23810297856178911</v>
      </c>
      <c r="W3830">
        <v>12.1470567550715</v>
      </c>
      <c r="X3830">
        <v>0.34844070573977698</v>
      </c>
      <c r="Z3830" t="s">
        <v>392</v>
      </c>
      <c r="AA3830">
        <v>114</v>
      </c>
      <c r="AB3830" t="s">
        <v>4221</v>
      </c>
      <c r="AC3830" t="str">
        <f>HYPERLINK("plots/3FT6Y578R04_015_S21P_20251218081014_M5358ACSC201811_RBGEUFRF04/dpll_52094/txpa_53289.png","plot")</f>
        <v>plot</v>
      </c>
    </row>
    <row r="3831" spans="1:29" hidden="1" x14ac:dyDescent="0.35">
      <c r="A3831" t="s">
        <v>49</v>
      </c>
      <c r="B3831">
        <v>52094</v>
      </c>
      <c r="C3831" t="s">
        <v>53</v>
      </c>
      <c r="D3831">
        <v>53290</v>
      </c>
      <c r="E3831" t="s">
        <v>165</v>
      </c>
      <c r="F3831">
        <v>12027</v>
      </c>
      <c r="G3831">
        <v>0.82022955491751059</v>
      </c>
      <c r="H3831">
        <v>0</v>
      </c>
      <c r="I3831">
        <v>0</v>
      </c>
      <c r="J3831">
        <v>0.71134700089150971</v>
      </c>
      <c r="K3831">
        <v>0</v>
      </c>
      <c r="L3831">
        <v>0</v>
      </c>
      <c r="M3831">
        <v>0.52328977701221191</v>
      </c>
      <c r="N3831">
        <v>0</v>
      </c>
      <c r="O3831">
        <v>0</v>
      </c>
      <c r="P3831">
        <v>0.67277652276017752</v>
      </c>
      <c r="Q3831">
        <v>1.19783161510572</v>
      </c>
      <c r="R3831">
        <v>7.0244143995017421</v>
      </c>
      <c r="S3831">
        <v>0.19889375177451771</v>
      </c>
      <c r="T3831">
        <v>0.1554041637362979</v>
      </c>
      <c r="U3831">
        <v>4.2436951445081901</v>
      </c>
      <c r="V3831">
        <v>0.2380984732054881</v>
      </c>
      <c r="W3831">
        <v>12.10764660846429</v>
      </c>
      <c r="X3831">
        <v>0.3477098295276842</v>
      </c>
      <c r="Z3831" t="s">
        <v>392</v>
      </c>
      <c r="AA3831">
        <v>114</v>
      </c>
      <c r="AB3831" t="s">
        <v>4222</v>
      </c>
      <c r="AC3831" t="str">
        <f>HYPERLINK("plots/3FT6Y578R04_015_S21P_20251218081014_M5358ACSC201811_RBGEUFRF04/dpll_52094/txpa_53290.png","plot")</f>
        <v>plot</v>
      </c>
    </row>
    <row r="3832" spans="1:29" hidden="1" x14ac:dyDescent="0.35">
      <c r="A3832" t="s">
        <v>49</v>
      </c>
      <c r="B3832">
        <v>52094</v>
      </c>
      <c r="C3832" t="s">
        <v>53</v>
      </c>
      <c r="D3832">
        <v>54146</v>
      </c>
      <c r="E3832" t="s">
        <v>166</v>
      </c>
      <c r="F3832">
        <v>12028</v>
      </c>
      <c r="G3832">
        <v>-5.2818410671634491E-3</v>
      </c>
      <c r="H3832">
        <v>0.56244399453768112</v>
      </c>
      <c r="I3832">
        <v>0.56244399453768112</v>
      </c>
      <c r="J3832">
        <v>-9.5357648218440949E-3</v>
      </c>
      <c r="K3832">
        <v>0.29568858907391032</v>
      </c>
      <c r="L3832">
        <v>0.29598048304140667</v>
      </c>
      <c r="M3832">
        <v>-6.2848325279844736E-3</v>
      </c>
      <c r="N3832">
        <v>0.30125751606692153</v>
      </c>
      <c r="O3832">
        <v>0.30155490749443081</v>
      </c>
      <c r="P3832">
        <v>2.7897845058774321E-5</v>
      </c>
      <c r="Q3832">
        <v>-9.7155221975843115E-2</v>
      </c>
      <c r="R3832">
        <v>-11.47307022827844</v>
      </c>
      <c r="S3832">
        <v>4.3794697953986121</v>
      </c>
      <c r="T3832">
        <v>3.3760048589553309</v>
      </c>
      <c r="U3832">
        <v>4.2436712643831056</v>
      </c>
      <c r="V3832">
        <v>0.23810297856178911</v>
      </c>
      <c r="W3832">
        <v>-11.88536505196209</v>
      </c>
      <c r="X3832">
        <v>4.3797129525715333</v>
      </c>
      <c r="Z3832" t="s">
        <v>392</v>
      </c>
      <c r="AA3832">
        <v>114</v>
      </c>
      <c r="AB3832" t="s">
        <v>4223</v>
      </c>
      <c r="AC3832" t="str">
        <f>HYPERLINK("plots/3FT6Y578R04_015_S21P_20251218081014_M5358ACSC201811_RBGEUFRF04/dpll_52094/txpa_54146.png","plot")</f>
        <v>plot</v>
      </c>
    </row>
    <row r="3833" spans="1:29" hidden="1" x14ac:dyDescent="0.35">
      <c r="A3833" t="s">
        <v>49</v>
      </c>
      <c r="B3833">
        <v>52094</v>
      </c>
      <c r="C3833" t="s">
        <v>53</v>
      </c>
      <c r="D3833">
        <v>54147</v>
      </c>
      <c r="E3833" t="s">
        <v>167</v>
      </c>
      <c r="F3833">
        <v>12028</v>
      </c>
      <c r="G3833">
        <v>0.25832215174818313</v>
      </c>
      <c r="H3833">
        <v>1.265316771904202E-182</v>
      </c>
      <c r="I3833">
        <v>1.294683356923169E-182</v>
      </c>
      <c r="J3833">
        <v>0.2430032744082718</v>
      </c>
      <c r="K3833">
        <v>3.3860103298216199E-161</v>
      </c>
      <c r="L3833">
        <v>3.457617799032349E-161</v>
      </c>
      <c r="M3833">
        <v>0.1643353924392148</v>
      </c>
      <c r="N3833">
        <v>1.6532501485228209E-160</v>
      </c>
      <c r="O3833">
        <v>1.688213142600343E-160</v>
      </c>
      <c r="P3833">
        <v>6.6730334083811349E-2</v>
      </c>
      <c r="Q3833">
        <v>1.2822840320546309</v>
      </c>
      <c r="R3833">
        <v>-26.704559930036542</v>
      </c>
      <c r="S3833">
        <v>1.1417550303572319</v>
      </c>
      <c r="T3833">
        <v>0.88123174394960901</v>
      </c>
      <c r="U3833">
        <v>4.2436712643831056</v>
      </c>
      <c r="V3833">
        <v>0.23810297856178911</v>
      </c>
      <c r="W3833">
        <v>-21.262968030429001</v>
      </c>
      <c r="X3833">
        <v>1.1819181797930169</v>
      </c>
      <c r="Z3833" t="s">
        <v>392</v>
      </c>
      <c r="AA3833">
        <v>114</v>
      </c>
      <c r="AB3833" t="s">
        <v>4224</v>
      </c>
      <c r="AC3833" t="str">
        <f>HYPERLINK("plots/3FT6Y578R04_015_S21P_20251218081014_M5358ACSC201811_RBGEUFRF04/dpll_52094/txpa_54147.png","plot")</f>
        <v>plot</v>
      </c>
    </row>
    <row r="3834" spans="1:29" hidden="1" x14ac:dyDescent="0.35">
      <c r="A3834" t="s">
        <v>49</v>
      </c>
      <c r="B3834">
        <v>52094</v>
      </c>
      <c r="C3834" t="s">
        <v>53</v>
      </c>
      <c r="D3834">
        <v>54148</v>
      </c>
      <c r="E3834" t="s">
        <v>168</v>
      </c>
      <c r="F3834">
        <v>12028</v>
      </c>
      <c r="G3834">
        <v>0.28508562318665531</v>
      </c>
      <c r="H3834">
        <v>1.107851318697052E-223</v>
      </c>
      <c r="I3834">
        <v>1.168950298812498E-223</v>
      </c>
      <c r="J3834">
        <v>0.26184739700346887</v>
      </c>
      <c r="K3834">
        <v>9.1258305492630941E-188</v>
      </c>
      <c r="L3834">
        <v>9.5496307295694299E-188</v>
      </c>
      <c r="M3834">
        <v>0.176714075708228</v>
      </c>
      <c r="N3834">
        <v>2.2987204487889531E-185</v>
      </c>
      <c r="O3834">
        <v>2.4054721724169239E-185</v>
      </c>
      <c r="P3834">
        <v>8.1273812547723617E-2</v>
      </c>
      <c r="Q3834">
        <v>1.3962756221604871</v>
      </c>
      <c r="R3834">
        <v>-27.087582619024861</v>
      </c>
      <c r="S3834">
        <v>1.117726791878896</v>
      </c>
      <c r="T3834">
        <v>0.86226910612993657</v>
      </c>
      <c r="U3834">
        <v>4.2436712643831056</v>
      </c>
      <c r="V3834">
        <v>0.23810297856178911</v>
      </c>
      <c r="W3834">
        <v>-21.16224788410376</v>
      </c>
      <c r="X3834">
        <v>1.1661667846082711</v>
      </c>
      <c r="Z3834" t="s">
        <v>392</v>
      </c>
      <c r="AA3834">
        <v>114</v>
      </c>
      <c r="AB3834" t="s">
        <v>4225</v>
      </c>
      <c r="AC3834" t="str">
        <f>HYPERLINK("plots/3FT6Y578R04_015_S21P_20251218081014_M5358ACSC201811_RBGEUFRF04/dpll_52094/txpa_54148.png","plot")</f>
        <v>plot</v>
      </c>
    </row>
    <row r="3835" spans="1:29" hidden="1" x14ac:dyDescent="0.35">
      <c r="A3835" t="s">
        <v>49</v>
      </c>
      <c r="B3835">
        <v>52094</v>
      </c>
      <c r="C3835" t="s">
        <v>53</v>
      </c>
      <c r="D3835">
        <v>54149</v>
      </c>
      <c r="E3835" t="s">
        <v>169</v>
      </c>
      <c r="F3835">
        <v>12028</v>
      </c>
      <c r="G3835">
        <v>0.26502138844051892</v>
      </c>
      <c r="H3835">
        <v>1.8296696288956482E-192</v>
      </c>
      <c r="I3835">
        <v>1.8950817198163301E-192</v>
      </c>
      <c r="J3835">
        <v>0.24896730102952391</v>
      </c>
      <c r="K3835">
        <v>2.3088648367693059E-169</v>
      </c>
      <c r="L3835">
        <v>2.3720252730335119E-169</v>
      </c>
      <c r="M3835">
        <v>0.16804710923012711</v>
      </c>
      <c r="N3835">
        <v>9.4215709870515736E-168</v>
      </c>
      <c r="O3835">
        <v>9.6695070656581948E-168</v>
      </c>
      <c r="P3835">
        <v>7.023633633094041E-2</v>
      </c>
      <c r="Q3835">
        <v>1.3185557600054361</v>
      </c>
      <c r="R3835">
        <v>-26.791139103089531</v>
      </c>
      <c r="S3835">
        <v>1.142222298183192</v>
      </c>
      <c r="T3835">
        <v>0.87883897950701184</v>
      </c>
      <c r="U3835">
        <v>4.2436712643831056</v>
      </c>
      <c r="V3835">
        <v>0.23810297856178911</v>
      </c>
      <c r="W3835">
        <v>-21.19562191386764</v>
      </c>
      <c r="X3835">
        <v>1.1846291188213309</v>
      </c>
      <c r="Z3835" t="s">
        <v>392</v>
      </c>
      <c r="AA3835">
        <v>114</v>
      </c>
      <c r="AB3835" t="s">
        <v>4226</v>
      </c>
      <c r="AC3835" t="str">
        <f>HYPERLINK("plots/3FT6Y578R04_015_S21P_20251218081014_M5358ACSC201811_RBGEUFRF04/dpll_52094/txpa_54149.png","plot")</f>
        <v>plot</v>
      </c>
    </row>
    <row r="3836" spans="1:29" hidden="1" x14ac:dyDescent="0.35">
      <c r="A3836" t="s">
        <v>49</v>
      </c>
      <c r="B3836">
        <v>52094</v>
      </c>
      <c r="C3836" t="s">
        <v>53</v>
      </c>
      <c r="D3836">
        <v>54150</v>
      </c>
      <c r="E3836" t="s">
        <v>170</v>
      </c>
      <c r="F3836">
        <v>12028</v>
      </c>
      <c r="G3836">
        <v>0.27955381868070628</v>
      </c>
      <c r="H3836">
        <v>8.2445595427533855E-215</v>
      </c>
      <c r="I3836">
        <v>8.6542270976728095E-215</v>
      </c>
      <c r="J3836">
        <v>0.26115417884060382</v>
      </c>
      <c r="K3836">
        <v>9.4993787093181599E-187</v>
      </c>
      <c r="L3836">
        <v>9.9200515048904358E-187</v>
      </c>
      <c r="M3836">
        <v>0.17647110093424309</v>
      </c>
      <c r="N3836">
        <v>6.4207937974688924E-185</v>
      </c>
      <c r="O3836">
        <v>6.6913513983899857E-185</v>
      </c>
      <c r="P3836">
        <v>7.8150337538965206E-2</v>
      </c>
      <c r="Q3836">
        <v>1.3722372889504031</v>
      </c>
      <c r="R3836">
        <v>-26.886809664369348</v>
      </c>
      <c r="S3836">
        <v>1.1221233822575241</v>
      </c>
      <c r="T3836">
        <v>0.85413369514802795</v>
      </c>
      <c r="U3836">
        <v>4.2436712643831056</v>
      </c>
      <c r="V3836">
        <v>0.23810297856178911</v>
      </c>
      <c r="W3836">
        <v>-21.063485713335549</v>
      </c>
      <c r="X3836">
        <v>1.168768816446845</v>
      </c>
      <c r="Z3836" t="s">
        <v>392</v>
      </c>
      <c r="AA3836">
        <v>114</v>
      </c>
      <c r="AB3836" t="s">
        <v>4227</v>
      </c>
      <c r="AC3836" t="str">
        <f>HYPERLINK("plots/3FT6Y578R04_015_S21P_20251218081014_M5358ACSC201811_RBGEUFRF04/dpll_52094/txpa_54150.png","plot")</f>
        <v>plot</v>
      </c>
    </row>
    <row r="3837" spans="1:29" hidden="1" x14ac:dyDescent="0.35">
      <c r="A3837" t="s">
        <v>49</v>
      </c>
      <c r="B3837">
        <v>52094</v>
      </c>
      <c r="C3837" t="s">
        <v>53</v>
      </c>
      <c r="D3837">
        <v>54151</v>
      </c>
      <c r="E3837" t="s">
        <v>171</v>
      </c>
      <c r="F3837">
        <v>12028</v>
      </c>
      <c r="G3837">
        <v>0.26991938233889029</v>
      </c>
      <c r="H3837">
        <v>7.6720634135712833E-200</v>
      </c>
      <c r="I3837">
        <v>7.9953466612140597E-200</v>
      </c>
      <c r="J3837">
        <v>0.25999003087602668</v>
      </c>
      <c r="K3837">
        <v>4.7791890303029918E-185</v>
      </c>
      <c r="L3837">
        <v>4.9703565915151123E-185</v>
      </c>
      <c r="M3837">
        <v>0.17624871344876991</v>
      </c>
      <c r="N3837">
        <v>2.0266749130876001E-184</v>
      </c>
      <c r="O3837">
        <v>2.1077419096111039E-184</v>
      </c>
      <c r="P3837">
        <v>7.2856472962208069E-2</v>
      </c>
      <c r="Q3837">
        <v>1.315738271996914</v>
      </c>
      <c r="R3837">
        <v>-26.697269115843511</v>
      </c>
      <c r="S3837">
        <v>1.1175210064004</v>
      </c>
      <c r="T3837">
        <v>0.85664098570104619</v>
      </c>
      <c r="U3837">
        <v>4.2436712643831056</v>
      </c>
      <c r="V3837">
        <v>0.23810297856178911</v>
      </c>
      <c r="W3837">
        <v>-21.113708419521121</v>
      </c>
      <c r="X3837">
        <v>1.1606472971877011</v>
      </c>
      <c r="Z3837" t="s">
        <v>392</v>
      </c>
      <c r="AA3837">
        <v>114</v>
      </c>
      <c r="AB3837" t="s">
        <v>4228</v>
      </c>
      <c r="AC3837" t="str">
        <f>HYPERLINK("plots/3FT6Y578R04_015_S21P_20251218081014_M5358ACSC201811_RBGEUFRF04/dpll_52094/txpa_54151.png","plot")</f>
        <v>plot</v>
      </c>
    </row>
    <row r="3838" spans="1:29" hidden="1" x14ac:dyDescent="0.35">
      <c r="A3838" t="s">
        <v>49</v>
      </c>
      <c r="B3838">
        <v>52094</v>
      </c>
      <c r="C3838" t="s">
        <v>53</v>
      </c>
      <c r="D3838">
        <v>54152</v>
      </c>
      <c r="E3838" t="s">
        <v>172</v>
      </c>
      <c r="F3838">
        <v>12028</v>
      </c>
      <c r="G3838">
        <v>0.28070081140553849</v>
      </c>
      <c r="H3838">
        <v>1.2398820998671281E-216</v>
      </c>
      <c r="I3838">
        <v>1.3041913374121041E-216</v>
      </c>
      <c r="J3838">
        <v>0.26416613686933149</v>
      </c>
      <c r="K3838">
        <v>3.4248536455213379E-191</v>
      </c>
      <c r="L3838">
        <v>3.6137373533388518E-191</v>
      </c>
      <c r="M3838">
        <v>0.1790699703440177</v>
      </c>
      <c r="N3838">
        <v>2.7709932236721651E-190</v>
      </c>
      <c r="O3838">
        <v>2.9238159508882161E-190</v>
      </c>
      <c r="P3838">
        <v>7.8792945523727717E-2</v>
      </c>
      <c r="Q3838">
        <v>1.3726568999141839</v>
      </c>
      <c r="R3838">
        <v>-26.974246798657539</v>
      </c>
      <c r="S3838">
        <v>1.1174902201056791</v>
      </c>
      <c r="T3838">
        <v>0.85972060432185804</v>
      </c>
      <c r="U3838">
        <v>4.2436712643831056</v>
      </c>
      <c r="V3838">
        <v>0.23810297856178911</v>
      </c>
      <c r="W3838">
        <v>-21.149142156634522</v>
      </c>
      <c r="X3838">
        <v>1.164348954947517</v>
      </c>
      <c r="Z3838" t="s">
        <v>392</v>
      </c>
      <c r="AA3838">
        <v>114</v>
      </c>
      <c r="AB3838" t="s">
        <v>4229</v>
      </c>
      <c r="AC3838" t="str">
        <f>HYPERLINK("plots/3FT6Y578R04_015_S21P_20251218081014_M5358ACSC201811_RBGEUFRF04/dpll_52094/txpa_54152.png","plot")</f>
        <v>plot</v>
      </c>
    </row>
    <row r="3839" spans="1:29" hidden="1" x14ac:dyDescent="0.35">
      <c r="A3839" t="s">
        <v>49</v>
      </c>
      <c r="B3839">
        <v>52094</v>
      </c>
      <c r="C3839" t="s">
        <v>53</v>
      </c>
      <c r="D3839">
        <v>54153</v>
      </c>
      <c r="E3839" t="s">
        <v>173</v>
      </c>
      <c r="F3839">
        <v>12028</v>
      </c>
      <c r="G3839">
        <v>0.26257976066840272</v>
      </c>
      <c r="H3839">
        <v>7.6215210509945076E-189</v>
      </c>
      <c r="I3839">
        <v>7.8698801891124557E-189</v>
      </c>
      <c r="J3839">
        <v>0.25015495140144101</v>
      </c>
      <c r="K3839">
        <v>5.1347842951222066E-171</v>
      </c>
      <c r="L3839">
        <v>5.2967154376947278E-171</v>
      </c>
      <c r="M3839">
        <v>0.16841712352010349</v>
      </c>
      <c r="N3839">
        <v>1.452001864490624E-168</v>
      </c>
      <c r="O3839">
        <v>1.4977923607258321E-168</v>
      </c>
      <c r="P3839">
        <v>6.8948130712675651E-2</v>
      </c>
      <c r="Q3839">
        <v>1.2896713987353889</v>
      </c>
      <c r="R3839">
        <v>-26.643329612942331</v>
      </c>
      <c r="S3839">
        <v>1.128370004061332</v>
      </c>
      <c r="T3839">
        <v>0.86693993961272364</v>
      </c>
      <c r="U3839">
        <v>4.2436712643831056</v>
      </c>
      <c r="V3839">
        <v>0.23810297856178911</v>
      </c>
      <c r="W3839">
        <v>-21.170388157632189</v>
      </c>
      <c r="X3839">
        <v>1.16945266696557</v>
      </c>
      <c r="Z3839" t="s">
        <v>392</v>
      </c>
      <c r="AA3839">
        <v>114</v>
      </c>
      <c r="AB3839" t="s">
        <v>4230</v>
      </c>
      <c r="AC3839" t="str">
        <f>HYPERLINK("plots/3FT6Y578R04_015_S21P_20251218081014_M5358ACSC201811_RBGEUFRF04/dpll_52094/txpa_54153.png","plot")</f>
        <v>plot</v>
      </c>
    </row>
    <row r="3840" spans="1:29" hidden="1" x14ac:dyDescent="0.35">
      <c r="A3840" t="s">
        <v>49</v>
      </c>
      <c r="B3840">
        <v>52094</v>
      </c>
      <c r="C3840" t="s">
        <v>53</v>
      </c>
      <c r="D3840">
        <v>54154</v>
      </c>
      <c r="E3840" t="s">
        <v>174</v>
      </c>
      <c r="F3840">
        <v>12028</v>
      </c>
      <c r="G3840">
        <v>0.23424020607086979</v>
      </c>
      <c r="H3840">
        <v>1.3380952943935941E-149</v>
      </c>
      <c r="I3840">
        <v>1.350078237328462E-149</v>
      </c>
      <c r="J3840">
        <v>0.21634971009920231</v>
      </c>
      <c r="K3840">
        <v>2.187051748751704E-127</v>
      </c>
      <c r="L3840">
        <v>2.200069913922846E-127</v>
      </c>
      <c r="M3840">
        <v>0.14612469650602089</v>
      </c>
      <c r="N3840">
        <v>2.5825541084568139E-127</v>
      </c>
      <c r="O3840">
        <v>2.597926454340486E-127</v>
      </c>
      <c r="P3840">
        <v>5.4868474140123552E-2</v>
      </c>
      <c r="Q3840">
        <v>1.169557828229022</v>
      </c>
      <c r="R3840">
        <v>-26.262743251813529</v>
      </c>
      <c r="S3840">
        <v>1.1557214070141639</v>
      </c>
      <c r="T3840">
        <v>0.89611277818603063</v>
      </c>
      <c r="U3840">
        <v>4.2436712643831056</v>
      </c>
      <c r="V3840">
        <v>0.23810297856178911</v>
      </c>
      <c r="W3840">
        <v>-21.299524304123711</v>
      </c>
      <c r="X3840">
        <v>1.1888445932178451</v>
      </c>
      <c r="Z3840" t="s">
        <v>392</v>
      </c>
      <c r="AA3840">
        <v>114</v>
      </c>
      <c r="AB3840" t="s">
        <v>4231</v>
      </c>
      <c r="AC3840" t="str">
        <f>HYPERLINK("plots/3FT6Y578R04_015_S21P_20251218081014_M5358ACSC201811_RBGEUFRF04/dpll_52094/txpa_54154.png","plot")</f>
        <v>plot</v>
      </c>
    </row>
    <row r="3841" spans="1:29" hidden="1" x14ac:dyDescent="0.35">
      <c r="A3841" t="s">
        <v>49</v>
      </c>
      <c r="B3841">
        <v>52094</v>
      </c>
      <c r="C3841" t="s">
        <v>53</v>
      </c>
      <c r="D3841">
        <v>54155</v>
      </c>
      <c r="E3841" t="s">
        <v>175</v>
      </c>
      <c r="F3841">
        <v>12028</v>
      </c>
      <c r="G3841">
        <v>0.52835070550274787</v>
      </c>
      <c r="H3841">
        <v>0</v>
      </c>
      <c r="I3841">
        <v>0</v>
      </c>
      <c r="J3841">
        <v>0.46279621576540703</v>
      </c>
      <c r="K3841">
        <v>0</v>
      </c>
      <c r="L3841">
        <v>0</v>
      </c>
      <c r="M3841">
        <v>0.31958057294456738</v>
      </c>
      <c r="N3841">
        <v>0</v>
      </c>
      <c r="O3841">
        <v>0</v>
      </c>
      <c r="P3841">
        <v>0.2791544680052514</v>
      </c>
      <c r="Q3841">
        <v>0.72690265604329451</v>
      </c>
      <c r="R3841">
        <v>-14.66627231019562</v>
      </c>
      <c r="S3841">
        <v>0.27811335460650771</v>
      </c>
      <c r="T3841">
        <v>0.21599150714231749</v>
      </c>
      <c r="U3841">
        <v>4.2436712643831056</v>
      </c>
      <c r="V3841">
        <v>0.23810297856178911</v>
      </c>
      <c r="W3841">
        <v>-11.58153639674094</v>
      </c>
      <c r="X3841">
        <v>0.32758106637464079</v>
      </c>
      <c r="Z3841" t="s">
        <v>392</v>
      </c>
      <c r="AA3841">
        <v>114</v>
      </c>
      <c r="AB3841" t="s">
        <v>4232</v>
      </c>
      <c r="AC3841" t="str">
        <f>HYPERLINK("plots/3FT6Y578R04_015_S21P_20251218081014_M5358ACSC201811_RBGEUFRF04/dpll_52094/txpa_54155.png","plot")</f>
        <v>plot</v>
      </c>
    </row>
    <row r="3842" spans="1:29" hidden="1" x14ac:dyDescent="0.35">
      <c r="A3842" t="s">
        <v>49</v>
      </c>
      <c r="B3842">
        <v>52094</v>
      </c>
      <c r="C3842" t="s">
        <v>53</v>
      </c>
      <c r="D3842">
        <v>54156</v>
      </c>
      <c r="E3842" t="s">
        <v>176</v>
      </c>
      <c r="F3842">
        <v>12028</v>
      </c>
      <c r="G3842">
        <v>0.55746596403429116</v>
      </c>
      <c r="H3842">
        <v>0</v>
      </c>
      <c r="I3842">
        <v>0</v>
      </c>
      <c r="J3842">
        <v>0.48328169814549182</v>
      </c>
      <c r="K3842">
        <v>0</v>
      </c>
      <c r="L3842">
        <v>0</v>
      </c>
      <c r="M3842">
        <v>0.33614696133180422</v>
      </c>
      <c r="N3842">
        <v>0</v>
      </c>
      <c r="O3842">
        <v>0</v>
      </c>
      <c r="P3842">
        <v>0.31076830105668157</v>
      </c>
      <c r="Q3842">
        <v>0.76832042393878697</v>
      </c>
      <c r="R3842">
        <v>-14.779472656254541</v>
      </c>
      <c r="S3842">
        <v>0.27242905057477679</v>
      </c>
      <c r="T3842">
        <v>0.21262142104026241</v>
      </c>
      <c r="U3842">
        <v>4.2436712643831056</v>
      </c>
      <c r="V3842">
        <v>0.23810297856178911</v>
      </c>
      <c r="W3842">
        <v>-11.51897335134686</v>
      </c>
      <c r="X3842">
        <v>0.32816242287830261</v>
      </c>
      <c r="Z3842" t="s">
        <v>392</v>
      </c>
      <c r="AA3842">
        <v>114</v>
      </c>
      <c r="AB3842" t="s">
        <v>4233</v>
      </c>
      <c r="AC3842" t="str">
        <f>HYPERLINK("plots/3FT6Y578R04_015_S21P_20251218081014_M5358ACSC201811_RBGEUFRF04/dpll_52094/txpa_54156.png","plot")</f>
        <v>plot</v>
      </c>
    </row>
    <row r="3843" spans="1:29" hidden="1" x14ac:dyDescent="0.35">
      <c r="A3843" t="s">
        <v>49</v>
      </c>
      <c r="B3843">
        <v>52094</v>
      </c>
      <c r="C3843" t="s">
        <v>53</v>
      </c>
      <c r="D3843">
        <v>54157</v>
      </c>
      <c r="E3843" t="s">
        <v>177</v>
      </c>
      <c r="F3843">
        <v>12028</v>
      </c>
      <c r="G3843">
        <v>0.54995942042903556</v>
      </c>
      <c r="H3843">
        <v>0</v>
      </c>
      <c r="I3843">
        <v>0</v>
      </c>
      <c r="J3843">
        <v>0.47829188006608592</v>
      </c>
      <c r="K3843">
        <v>0</v>
      </c>
      <c r="L3843">
        <v>0</v>
      </c>
      <c r="M3843">
        <v>0.33198743691368171</v>
      </c>
      <c r="N3843">
        <v>0</v>
      </c>
      <c r="O3843">
        <v>0</v>
      </c>
      <c r="P3843">
        <v>0.30245536411864071</v>
      </c>
      <c r="Q3843">
        <v>0.74172678733964692</v>
      </c>
      <c r="R3843">
        <v>-14.66128197803245</v>
      </c>
      <c r="S3843">
        <v>0.26819216975245019</v>
      </c>
      <c r="T3843">
        <v>0.20941562318475249</v>
      </c>
      <c r="U3843">
        <v>4.2436712643831056</v>
      </c>
      <c r="V3843">
        <v>0.23810297856178911</v>
      </c>
      <c r="W3843">
        <v>-11.51363732457599</v>
      </c>
      <c r="X3843">
        <v>0.32112797923683389</v>
      </c>
      <c r="Z3843" t="s">
        <v>392</v>
      </c>
      <c r="AA3843">
        <v>114</v>
      </c>
      <c r="AB3843" t="s">
        <v>4234</v>
      </c>
      <c r="AC3843" t="str">
        <f>HYPERLINK("plots/3FT6Y578R04_015_S21P_20251218081014_M5358ACSC201811_RBGEUFRF04/dpll_52094/txpa_54157.png","plot")</f>
        <v>plot</v>
      </c>
    </row>
    <row r="3844" spans="1:29" hidden="1" x14ac:dyDescent="0.35">
      <c r="A3844" t="s">
        <v>49</v>
      </c>
      <c r="B3844">
        <v>52094</v>
      </c>
      <c r="C3844" t="s">
        <v>53</v>
      </c>
      <c r="D3844">
        <v>54158</v>
      </c>
      <c r="E3844" t="s">
        <v>178</v>
      </c>
      <c r="F3844">
        <v>12028</v>
      </c>
      <c r="G3844">
        <v>0.57714676423932076</v>
      </c>
      <c r="H3844">
        <v>0</v>
      </c>
      <c r="I3844">
        <v>0</v>
      </c>
      <c r="J3844">
        <v>0.49752688172248177</v>
      </c>
      <c r="K3844">
        <v>0</v>
      </c>
      <c r="L3844">
        <v>0</v>
      </c>
      <c r="M3844">
        <v>0.3463091815883349</v>
      </c>
      <c r="N3844">
        <v>0</v>
      </c>
      <c r="O3844">
        <v>0</v>
      </c>
      <c r="P3844">
        <v>0.33309838747191811</v>
      </c>
      <c r="Q3844">
        <v>0.79954133590662291</v>
      </c>
      <c r="R3844">
        <v>-14.85650963327681</v>
      </c>
      <c r="S3844">
        <v>0.26935951049461132</v>
      </c>
      <c r="T3844">
        <v>0.21070831888241739</v>
      </c>
      <c r="U3844">
        <v>4.2436712643831056</v>
      </c>
      <c r="V3844">
        <v>0.23810297856178911</v>
      </c>
      <c r="W3844">
        <v>-11.463519041403391</v>
      </c>
      <c r="X3844">
        <v>0.3298522756400627</v>
      </c>
      <c r="Z3844" t="s">
        <v>392</v>
      </c>
      <c r="AA3844">
        <v>114</v>
      </c>
      <c r="AB3844" t="s">
        <v>4235</v>
      </c>
      <c r="AC3844" t="str">
        <f>HYPERLINK("plots/3FT6Y578R04_015_S21P_20251218081014_M5358ACSC201811_RBGEUFRF04/dpll_52094/txpa_54158.png","plot")</f>
        <v>plot</v>
      </c>
    </row>
    <row r="3845" spans="1:29" hidden="1" x14ac:dyDescent="0.35">
      <c r="A3845" t="s">
        <v>49</v>
      </c>
      <c r="B3845">
        <v>52094</v>
      </c>
      <c r="C3845" t="s">
        <v>53</v>
      </c>
      <c r="D3845">
        <v>54159</v>
      </c>
      <c r="E3845" t="s">
        <v>179</v>
      </c>
      <c r="F3845">
        <v>12027</v>
      </c>
      <c r="G3845">
        <v>0.56615527972760171</v>
      </c>
      <c r="H3845">
        <v>0</v>
      </c>
      <c r="I3845">
        <v>0</v>
      </c>
      <c r="J3845">
        <v>0.48314420970196359</v>
      </c>
      <c r="K3845">
        <v>0</v>
      </c>
      <c r="L3845">
        <v>0</v>
      </c>
      <c r="M3845">
        <v>0.33526514244361438</v>
      </c>
      <c r="N3845">
        <v>0</v>
      </c>
      <c r="O3845">
        <v>0</v>
      </c>
      <c r="P3845">
        <v>0.32053180076343901</v>
      </c>
      <c r="Q3845">
        <v>0.77432941148095324</v>
      </c>
      <c r="R3845">
        <v>-14.767404711640509</v>
      </c>
      <c r="S3845">
        <v>0.26841064825814048</v>
      </c>
      <c r="T3845">
        <v>0.21104046523864389</v>
      </c>
      <c r="U3845">
        <v>4.2436418554918101</v>
      </c>
      <c r="V3845">
        <v>0.23809103076034549</v>
      </c>
      <c r="W3845">
        <v>-11.481428011141601</v>
      </c>
      <c r="X3845">
        <v>0.32563661300881058</v>
      </c>
      <c r="Z3845" t="s">
        <v>392</v>
      </c>
      <c r="AA3845">
        <v>114</v>
      </c>
      <c r="AB3845" t="s">
        <v>4236</v>
      </c>
      <c r="AC3845" t="str">
        <f>HYPERLINK("plots/3FT6Y578R04_015_S21P_20251218081014_M5358ACSC201811_RBGEUFRF04/dpll_52094/txpa_54159.png","plot")</f>
        <v>plot</v>
      </c>
    </row>
    <row r="3846" spans="1:29" hidden="1" x14ac:dyDescent="0.35">
      <c r="A3846" t="s">
        <v>49</v>
      </c>
      <c r="B3846">
        <v>52094</v>
      </c>
      <c r="C3846" t="s">
        <v>53</v>
      </c>
      <c r="D3846">
        <v>54160</v>
      </c>
      <c r="E3846" t="s">
        <v>180</v>
      </c>
      <c r="F3846">
        <v>12028</v>
      </c>
      <c r="G3846">
        <v>0.56877618748790892</v>
      </c>
      <c r="H3846">
        <v>0</v>
      </c>
      <c r="I3846">
        <v>0</v>
      </c>
      <c r="J3846">
        <v>0.49487483198600341</v>
      </c>
      <c r="K3846">
        <v>0</v>
      </c>
      <c r="L3846">
        <v>0</v>
      </c>
      <c r="M3846">
        <v>0.34508422247208598</v>
      </c>
      <c r="N3846">
        <v>0</v>
      </c>
      <c r="O3846">
        <v>0</v>
      </c>
      <c r="P3846">
        <v>0.32350635145328088</v>
      </c>
      <c r="Q3846">
        <v>0.77520304563303777</v>
      </c>
      <c r="R3846">
        <v>-14.786930798858419</v>
      </c>
      <c r="S3846">
        <v>0.26690253596842289</v>
      </c>
      <c r="T3846">
        <v>0.2089030797400217</v>
      </c>
      <c r="U3846">
        <v>4.2436712643831056</v>
      </c>
      <c r="V3846">
        <v>0.23810297856178911</v>
      </c>
      <c r="W3846">
        <v>-11.49722391004323</v>
      </c>
      <c r="X3846">
        <v>0.3245180762060656</v>
      </c>
      <c r="Z3846" t="s">
        <v>392</v>
      </c>
      <c r="AA3846">
        <v>114</v>
      </c>
      <c r="AB3846" t="s">
        <v>4237</v>
      </c>
      <c r="AC3846" t="str">
        <f>HYPERLINK("plots/3FT6Y578R04_015_S21P_20251218081014_M5358ACSC201811_RBGEUFRF04/dpll_52094/txpa_54160.png","plot")</f>
        <v>plot</v>
      </c>
    </row>
    <row r="3847" spans="1:29" hidden="1" x14ac:dyDescent="0.35">
      <c r="A3847" t="s">
        <v>49</v>
      </c>
      <c r="B3847">
        <v>52094</v>
      </c>
      <c r="C3847" t="s">
        <v>53</v>
      </c>
      <c r="D3847">
        <v>54161</v>
      </c>
      <c r="E3847" t="s">
        <v>181</v>
      </c>
      <c r="F3847">
        <v>12028</v>
      </c>
      <c r="G3847">
        <v>0.55725347757533195</v>
      </c>
      <c r="H3847">
        <v>0</v>
      </c>
      <c r="I3847">
        <v>0</v>
      </c>
      <c r="J3847">
        <v>0.48093849339645761</v>
      </c>
      <c r="K3847">
        <v>0</v>
      </c>
      <c r="L3847">
        <v>0</v>
      </c>
      <c r="M3847">
        <v>0.33402156080962098</v>
      </c>
      <c r="N3847">
        <v>0</v>
      </c>
      <c r="O3847">
        <v>0</v>
      </c>
      <c r="P3847">
        <v>0.31053143826980101</v>
      </c>
      <c r="Q3847">
        <v>0.75380188063376175</v>
      </c>
      <c r="R3847">
        <v>-14.698037569441141</v>
      </c>
      <c r="S3847">
        <v>0.26742896115950482</v>
      </c>
      <c r="T3847">
        <v>0.20950753645436401</v>
      </c>
      <c r="U3847">
        <v>4.2436712643831056</v>
      </c>
      <c r="V3847">
        <v>0.23810297856178911</v>
      </c>
      <c r="W3847">
        <v>-11.4991501895577</v>
      </c>
      <c r="X3847">
        <v>0.32208407887434592</v>
      </c>
      <c r="Z3847" t="s">
        <v>392</v>
      </c>
      <c r="AA3847">
        <v>114</v>
      </c>
      <c r="AB3847" t="s">
        <v>4238</v>
      </c>
      <c r="AC3847" t="str">
        <f>HYPERLINK("plots/3FT6Y578R04_015_S21P_20251218081014_M5358ACSC201811_RBGEUFRF04/dpll_52094/txpa_54161.png","plot")</f>
        <v>plot</v>
      </c>
    </row>
    <row r="3848" spans="1:29" hidden="1" x14ac:dyDescent="0.35">
      <c r="A3848" t="s">
        <v>49</v>
      </c>
      <c r="B3848">
        <v>52094</v>
      </c>
      <c r="C3848" t="s">
        <v>53</v>
      </c>
      <c r="D3848">
        <v>54162</v>
      </c>
      <c r="E3848" t="s">
        <v>182</v>
      </c>
      <c r="F3848">
        <v>12028</v>
      </c>
      <c r="G3848">
        <v>0.54532846385041966</v>
      </c>
      <c r="H3848">
        <v>0</v>
      </c>
      <c r="I3848">
        <v>0</v>
      </c>
      <c r="J3848">
        <v>0.46794727096175731</v>
      </c>
      <c r="K3848">
        <v>0</v>
      </c>
      <c r="L3848">
        <v>0</v>
      </c>
      <c r="M3848">
        <v>0.32495977565991607</v>
      </c>
      <c r="N3848">
        <v>0</v>
      </c>
      <c r="O3848">
        <v>0</v>
      </c>
      <c r="P3848">
        <v>0.29738313348545847</v>
      </c>
      <c r="Q3848">
        <v>0.73837506801905473</v>
      </c>
      <c r="R3848">
        <v>-14.709475497298831</v>
      </c>
      <c r="S3848">
        <v>0.27022462122420482</v>
      </c>
      <c r="T3848">
        <v>0.21133045925181509</v>
      </c>
      <c r="U3848">
        <v>4.2436712643831056</v>
      </c>
      <c r="V3848">
        <v>0.23810297856178911</v>
      </c>
      <c r="W3848">
        <v>-11.57605443880944</v>
      </c>
      <c r="X3848">
        <v>0.32239157616999792</v>
      </c>
      <c r="Z3848" t="s">
        <v>392</v>
      </c>
      <c r="AA3848">
        <v>114</v>
      </c>
      <c r="AB3848" t="s">
        <v>4239</v>
      </c>
      <c r="AC3848" t="str">
        <f>HYPERLINK("plots/3FT6Y578R04_015_S21P_20251218081014_M5358ACSC201811_RBGEUFRF04/dpll_52094/txpa_54162.png","plot")</f>
        <v>plot</v>
      </c>
    </row>
    <row r="3849" spans="1:29" hidden="1" x14ac:dyDescent="0.35">
      <c r="A3849" t="s">
        <v>49</v>
      </c>
      <c r="B3849">
        <v>52094</v>
      </c>
      <c r="C3849" t="s">
        <v>53</v>
      </c>
      <c r="D3849">
        <v>54163</v>
      </c>
      <c r="E3849" t="s">
        <v>183</v>
      </c>
      <c r="F3849">
        <v>12028</v>
      </c>
      <c r="G3849">
        <v>0.52290085531542441</v>
      </c>
      <c r="H3849">
        <v>0</v>
      </c>
      <c r="I3849">
        <v>0</v>
      </c>
      <c r="J3849">
        <v>0.45913435259153312</v>
      </c>
      <c r="K3849">
        <v>0</v>
      </c>
      <c r="L3849">
        <v>0</v>
      </c>
      <c r="M3849">
        <v>0.31618597682505167</v>
      </c>
      <c r="N3849">
        <v>0</v>
      </c>
      <c r="O3849">
        <v>0</v>
      </c>
      <c r="P3849">
        <v>0.27342530448960239</v>
      </c>
      <c r="Q3849">
        <v>0.63318119207042278</v>
      </c>
      <c r="R3849">
        <v>-8.4140711123614373</v>
      </c>
      <c r="S3849">
        <v>0.24575115196248509</v>
      </c>
      <c r="T3849">
        <v>0.19122716711826521</v>
      </c>
      <c r="U3849">
        <v>4.2436712643831056</v>
      </c>
      <c r="V3849">
        <v>0.23810297856178911</v>
      </c>
      <c r="W3849">
        <v>-5.727058282424343</v>
      </c>
      <c r="X3849">
        <v>0.28831914552966043</v>
      </c>
      <c r="Z3849" t="s">
        <v>392</v>
      </c>
      <c r="AA3849">
        <v>114</v>
      </c>
      <c r="AB3849" t="s">
        <v>4240</v>
      </c>
      <c r="AC3849" t="str">
        <f>HYPERLINK("plots/3FT6Y578R04_015_S21P_20251218081014_M5358ACSC201811_RBGEUFRF04/dpll_52094/txpa_54163.png","plot")</f>
        <v>plot</v>
      </c>
    </row>
    <row r="3850" spans="1:29" hidden="1" x14ac:dyDescent="0.35">
      <c r="A3850" t="s">
        <v>49</v>
      </c>
      <c r="B3850">
        <v>52094</v>
      </c>
      <c r="C3850" t="s">
        <v>53</v>
      </c>
      <c r="D3850">
        <v>54164</v>
      </c>
      <c r="E3850" t="s">
        <v>184</v>
      </c>
      <c r="F3850">
        <v>12028</v>
      </c>
      <c r="G3850">
        <v>0.55035200135537854</v>
      </c>
      <c r="H3850">
        <v>0</v>
      </c>
      <c r="I3850">
        <v>0</v>
      </c>
      <c r="J3850">
        <v>0.48073452375309411</v>
      </c>
      <c r="K3850">
        <v>0</v>
      </c>
      <c r="L3850">
        <v>0</v>
      </c>
      <c r="M3850">
        <v>0.33370205530033259</v>
      </c>
      <c r="N3850">
        <v>0</v>
      </c>
      <c r="O3850">
        <v>0</v>
      </c>
      <c r="P3850">
        <v>0.3028873253958706</v>
      </c>
      <c r="Q3850">
        <v>0.66912734083059333</v>
      </c>
      <c r="R3850">
        <v>-8.5232708699757502</v>
      </c>
      <c r="S3850">
        <v>0.2416943449425544</v>
      </c>
      <c r="T3850">
        <v>0.1895698757538965</v>
      </c>
      <c r="U3850">
        <v>4.2436712643831056</v>
      </c>
      <c r="V3850">
        <v>0.23810297856178911</v>
      </c>
      <c r="W3850">
        <v>-5.6837144014798797</v>
      </c>
      <c r="X3850">
        <v>0.28948965843046931</v>
      </c>
      <c r="Z3850" t="s">
        <v>392</v>
      </c>
      <c r="AA3850">
        <v>114</v>
      </c>
      <c r="AB3850" t="s">
        <v>4241</v>
      </c>
      <c r="AC3850" t="str">
        <f>HYPERLINK("plots/3FT6Y578R04_015_S21P_20251218081014_M5358ACSC201811_RBGEUFRF04/dpll_52094/txpa_54164.png","plot")</f>
        <v>plot</v>
      </c>
    </row>
    <row r="3851" spans="1:29" hidden="1" x14ac:dyDescent="0.35">
      <c r="A3851" t="s">
        <v>49</v>
      </c>
      <c r="B3851">
        <v>52094</v>
      </c>
      <c r="C3851" t="s">
        <v>53</v>
      </c>
      <c r="D3851">
        <v>54165</v>
      </c>
      <c r="E3851" t="s">
        <v>185</v>
      </c>
      <c r="F3851">
        <v>12028</v>
      </c>
      <c r="G3851">
        <v>0.53646394788104168</v>
      </c>
      <c r="H3851">
        <v>0</v>
      </c>
      <c r="I3851">
        <v>0</v>
      </c>
      <c r="J3851">
        <v>0.46442043304542668</v>
      </c>
      <c r="K3851">
        <v>0</v>
      </c>
      <c r="L3851">
        <v>0</v>
      </c>
      <c r="M3851">
        <v>0.3213050893602985</v>
      </c>
      <c r="N3851">
        <v>0</v>
      </c>
      <c r="O3851">
        <v>0</v>
      </c>
      <c r="P3851">
        <v>0.287793567376113</v>
      </c>
      <c r="Q3851">
        <v>0.6377934476769942</v>
      </c>
      <c r="R3851">
        <v>-8.380960674806019</v>
      </c>
      <c r="S3851">
        <v>0.2388851933051942</v>
      </c>
      <c r="T3851">
        <v>0.18763481390706499</v>
      </c>
      <c r="U3851">
        <v>4.2436712643831056</v>
      </c>
      <c r="V3851">
        <v>0.23810297856178911</v>
      </c>
      <c r="W3851">
        <v>-5.674374948287328</v>
      </c>
      <c r="X3851">
        <v>0.28307684085559298</v>
      </c>
      <c r="Z3851" t="s">
        <v>392</v>
      </c>
      <c r="AA3851">
        <v>114</v>
      </c>
      <c r="AB3851" t="s">
        <v>4242</v>
      </c>
      <c r="AC3851" t="str">
        <f>HYPERLINK("plots/3FT6Y578R04_015_S21P_20251218081014_M5358ACSC201811_RBGEUFRF04/dpll_52094/txpa_54165.png","plot")</f>
        <v>plot</v>
      </c>
    </row>
    <row r="3852" spans="1:29" hidden="1" x14ac:dyDescent="0.35">
      <c r="A3852" t="s">
        <v>49</v>
      </c>
      <c r="B3852">
        <v>52094</v>
      </c>
      <c r="C3852" t="s">
        <v>53</v>
      </c>
      <c r="D3852">
        <v>54166</v>
      </c>
      <c r="E3852" t="s">
        <v>186</v>
      </c>
      <c r="F3852">
        <v>12028</v>
      </c>
      <c r="G3852">
        <v>0.56706588109528955</v>
      </c>
      <c r="H3852">
        <v>0</v>
      </c>
      <c r="I3852">
        <v>0</v>
      </c>
      <c r="J3852">
        <v>0.48927363994002082</v>
      </c>
      <c r="K3852">
        <v>0</v>
      </c>
      <c r="L3852">
        <v>0</v>
      </c>
      <c r="M3852">
        <v>0.34072034902004278</v>
      </c>
      <c r="N3852">
        <v>0</v>
      </c>
      <c r="O3852">
        <v>0</v>
      </c>
      <c r="P3852">
        <v>0.32156371350237711</v>
      </c>
      <c r="Q3852">
        <v>0.69129304230913124</v>
      </c>
      <c r="R3852">
        <v>-8.5814277705115103</v>
      </c>
      <c r="S3852">
        <v>0.23907269450684601</v>
      </c>
      <c r="T3852">
        <v>0.18764817338574821</v>
      </c>
      <c r="U3852">
        <v>4.2436712643831056</v>
      </c>
      <c r="V3852">
        <v>0.23810297856178911</v>
      </c>
      <c r="W3852">
        <v>-5.647807351596275</v>
      </c>
      <c r="X3852">
        <v>0.29026421430067628</v>
      </c>
      <c r="Z3852" t="s">
        <v>392</v>
      </c>
      <c r="AA3852">
        <v>114</v>
      </c>
      <c r="AB3852" t="s">
        <v>4243</v>
      </c>
      <c r="AC3852" t="str">
        <f>HYPERLINK("plots/3FT6Y578R04_015_S21P_20251218081014_M5358ACSC201811_RBGEUFRF04/dpll_52094/txpa_54166.png","plot")</f>
        <v>plot</v>
      </c>
    </row>
    <row r="3853" spans="1:29" hidden="1" x14ac:dyDescent="0.35">
      <c r="A3853" t="s">
        <v>49</v>
      </c>
      <c r="B3853">
        <v>52094</v>
      </c>
      <c r="C3853" t="s">
        <v>53</v>
      </c>
      <c r="D3853">
        <v>54167</v>
      </c>
      <c r="E3853" t="s">
        <v>187</v>
      </c>
      <c r="F3853">
        <v>12027</v>
      </c>
      <c r="G3853">
        <v>0.55834216348680998</v>
      </c>
      <c r="H3853">
        <v>0</v>
      </c>
      <c r="I3853">
        <v>0</v>
      </c>
      <c r="J3853">
        <v>0.47684255978243678</v>
      </c>
      <c r="K3853">
        <v>0</v>
      </c>
      <c r="L3853">
        <v>0</v>
      </c>
      <c r="M3853">
        <v>0.32974651616004269</v>
      </c>
      <c r="N3853">
        <v>0</v>
      </c>
      <c r="O3853">
        <v>0</v>
      </c>
      <c r="P3853">
        <v>0.31174597152713163</v>
      </c>
      <c r="Q3853">
        <v>0.67223483483679247</v>
      </c>
      <c r="R3853">
        <v>-8.515557062676141</v>
      </c>
      <c r="S3853">
        <v>0.23780443457116709</v>
      </c>
      <c r="T3853">
        <v>0.18829135668009661</v>
      </c>
      <c r="U3853">
        <v>4.2436418554918101</v>
      </c>
      <c r="V3853">
        <v>0.23809103076034549</v>
      </c>
      <c r="W3853">
        <v>-5.6628331808431041</v>
      </c>
      <c r="X3853">
        <v>0.2866577077750706</v>
      </c>
      <c r="Z3853" t="s">
        <v>392</v>
      </c>
      <c r="AA3853">
        <v>114</v>
      </c>
      <c r="AB3853" t="s">
        <v>4244</v>
      </c>
      <c r="AC3853" t="str">
        <f>HYPERLINK("plots/3FT6Y578R04_015_S21P_20251218081014_M5358ACSC201811_RBGEUFRF04/dpll_52094/txpa_54167.png","plot")</f>
        <v>plot</v>
      </c>
    </row>
    <row r="3854" spans="1:29" hidden="1" x14ac:dyDescent="0.35">
      <c r="A3854" t="s">
        <v>49</v>
      </c>
      <c r="B3854">
        <v>52094</v>
      </c>
      <c r="C3854" t="s">
        <v>53</v>
      </c>
      <c r="D3854">
        <v>54168</v>
      </c>
      <c r="E3854" t="s">
        <v>188</v>
      </c>
      <c r="F3854">
        <v>12028</v>
      </c>
      <c r="G3854">
        <v>0.56724114245537216</v>
      </c>
      <c r="H3854">
        <v>0</v>
      </c>
      <c r="I3854">
        <v>0</v>
      </c>
      <c r="J3854">
        <v>0.49428279153990667</v>
      </c>
      <c r="K3854">
        <v>0</v>
      </c>
      <c r="L3854">
        <v>0</v>
      </c>
      <c r="M3854">
        <v>0.34424277944615672</v>
      </c>
      <c r="N3854">
        <v>0</v>
      </c>
      <c r="O3854">
        <v>0</v>
      </c>
      <c r="P3854">
        <v>0.32176251369407582</v>
      </c>
      <c r="Q3854">
        <v>0.68510284861129433</v>
      </c>
      <c r="R3854">
        <v>-8.5699180192214381</v>
      </c>
      <c r="S3854">
        <v>0.23682400379041249</v>
      </c>
      <c r="T3854">
        <v>0.18652323257671019</v>
      </c>
      <c r="U3854">
        <v>4.2436712643831056</v>
      </c>
      <c r="V3854">
        <v>0.23810297856178911</v>
      </c>
      <c r="W3854">
        <v>-5.6625667474226793</v>
      </c>
      <c r="X3854">
        <v>0.28757615882622539</v>
      </c>
      <c r="Z3854" t="s">
        <v>392</v>
      </c>
      <c r="AA3854">
        <v>114</v>
      </c>
      <c r="AB3854" t="s">
        <v>4245</v>
      </c>
      <c r="AC3854" t="str">
        <f>HYPERLINK("plots/3FT6Y578R04_015_S21P_20251218081014_M5358ACSC201811_RBGEUFRF04/dpll_52094/txpa_54168.png","plot")</f>
        <v>plot</v>
      </c>
    </row>
    <row r="3855" spans="1:29" hidden="1" x14ac:dyDescent="0.35">
      <c r="A3855" t="s">
        <v>49</v>
      </c>
      <c r="B3855">
        <v>52094</v>
      </c>
      <c r="C3855" t="s">
        <v>53</v>
      </c>
      <c r="D3855">
        <v>54169</v>
      </c>
      <c r="E3855" t="s">
        <v>189</v>
      </c>
      <c r="F3855">
        <v>12028</v>
      </c>
      <c r="G3855">
        <v>0.55571733404745816</v>
      </c>
      <c r="H3855">
        <v>0</v>
      </c>
      <c r="I3855">
        <v>0</v>
      </c>
      <c r="J3855">
        <v>0.47765963664847061</v>
      </c>
      <c r="K3855">
        <v>0</v>
      </c>
      <c r="L3855">
        <v>0</v>
      </c>
      <c r="M3855">
        <v>0.33060788246595862</v>
      </c>
      <c r="N3855">
        <v>0</v>
      </c>
      <c r="O3855">
        <v>0</v>
      </c>
      <c r="P3855">
        <v>0.30882175536081419</v>
      </c>
      <c r="Q3855">
        <v>0.66000150640615718</v>
      </c>
      <c r="R3855">
        <v>-8.4631857572485583</v>
      </c>
      <c r="S3855">
        <v>0.23508925906172701</v>
      </c>
      <c r="T3855">
        <v>0.1862166604366095</v>
      </c>
      <c r="U3855">
        <v>4.2436712643831056</v>
      </c>
      <c r="V3855">
        <v>0.23810297856178911</v>
      </c>
      <c r="W3855">
        <v>-5.6623563300631856</v>
      </c>
      <c r="X3855">
        <v>0.28278463690526751</v>
      </c>
      <c r="Z3855" t="s">
        <v>392</v>
      </c>
      <c r="AA3855">
        <v>114</v>
      </c>
      <c r="AB3855" t="s">
        <v>4246</v>
      </c>
      <c r="AC3855" t="str">
        <f>HYPERLINK("plots/3FT6Y578R04_015_S21P_20251218081014_M5358ACSC201811_RBGEUFRF04/dpll_52094/txpa_54169.png","plot")</f>
        <v>plot</v>
      </c>
    </row>
    <row r="3856" spans="1:29" hidden="1" x14ac:dyDescent="0.35">
      <c r="A3856" t="s">
        <v>49</v>
      </c>
      <c r="B3856">
        <v>52094</v>
      </c>
      <c r="C3856" t="s">
        <v>53</v>
      </c>
      <c r="D3856">
        <v>54170</v>
      </c>
      <c r="E3856" t="s">
        <v>190</v>
      </c>
      <c r="F3856">
        <v>12028</v>
      </c>
      <c r="G3856">
        <v>0.54699586947223899</v>
      </c>
      <c r="H3856">
        <v>0</v>
      </c>
      <c r="I3856">
        <v>0</v>
      </c>
      <c r="J3856">
        <v>0.47136190782857917</v>
      </c>
      <c r="K3856">
        <v>0</v>
      </c>
      <c r="L3856">
        <v>0</v>
      </c>
      <c r="M3856">
        <v>0.32720669016099202</v>
      </c>
      <c r="N3856">
        <v>0</v>
      </c>
      <c r="O3856">
        <v>0</v>
      </c>
      <c r="P3856">
        <v>0.29920448121969068</v>
      </c>
      <c r="Q3856">
        <v>0.65638339429267734</v>
      </c>
      <c r="R3856">
        <v>-8.5036891262140628</v>
      </c>
      <c r="S3856">
        <v>0.2391751035250779</v>
      </c>
      <c r="T3856">
        <v>0.18803191458292201</v>
      </c>
      <c r="U3856">
        <v>4.2436712643831056</v>
      </c>
      <c r="V3856">
        <v>0.23810297856178911</v>
      </c>
      <c r="W3856">
        <v>-5.7182137774359827</v>
      </c>
      <c r="X3856">
        <v>0.285718503524304</v>
      </c>
      <c r="Z3856" t="s">
        <v>392</v>
      </c>
      <c r="AA3856">
        <v>114</v>
      </c>
      <c r="AB3856" t="s">
        <v>4247</v>
      </c>
      <c r="AC3856" t="str">
        <f>HYPERLINK("plots/3FT6Y578R04_015_S21P_20251218081014_M5358ACSC201811_RBGEUFRF04/dpll_52094/txpa_54170.png","plot")</f>
        <v>plot</v>
      </c>
    </row>
    <row r="3857" spans="1:29" hidden="1" x14ac:dyDescent="0.35">
      <c r="A3857" t="s">
        <v>49</v>
      </c>
      <c r="B3857">
        <v>52094</v>
      </c>
      <c r="C3857" t="s">
        <v>53</v>
      </c>
      <c r="D3857">
        <v>54171</v>
      </c>
      <c r="E3857" t="s">
        <v>191</v>
      </c>
      <c r="F3857">
        <v>12028</v>
      </c>
      <c r="G3857">
        <v>0.5316923853429949</v>
      </c>
      <c r="H3857">
        <v>0</v>
      </c>
      <c r="I3857">
        <v>0</v>
      </c>
      <c r="J3857">
        <v>0.47206926726192122</v>
      </c>
      <c r="K3857">
        <v>0</v>
      </c>
      <c r="L3857">
        <v>0</v>
      </c>
      <c r="M3857">
        <v>0.32561100658252501</v>
      </c>
      <c r="N3857">
        <v>0</v>
      </c>
      <c r="O3857">
        <v>0</v>
      </c>
      <c r="P3857">
        <v>0.28269679263172381</v>
      </c>
      <c r="Q3857">
        <v>0.64021266585946313</v>
      </c>
      <c r="R3857">
        <v>-5.3652698950808571</v>
      </c>
      <c r="S3857">
        <v>0.24280743533671759</v>
      </c>
      <c r="T3857">
        <v>0.18890889106420569</v>
      </c>
      <c r="U3857">
        <v>4.2436712643831056</v>
      </c>
      <c r="V3857">
        <v>0.23810297856178911</v>
      </c>
      <c r="W3857">
        <v>-2.6484178018789488</v>
      </c>
      <c r="X3857">
        <v>0.28670063152359182</v>
      </c>
      <c r="Z3857" t="s">
        <v>392</v>
      </c>
      <c r="AA3857">
        <v>114</v>
      </c>
      <c r="AB3857" t="s">
        <v>4248</v>
      </c>
      <c r="AC3857" t="str">
        <f>HYPERLINK("plots/3FT6Y578R04_015_S21P_20251218081014_M5358ACSC201811_RBGEUFRF04/dpll_52094/txpa_54171.png","plot")</f>
        <v>plot</v>
      </c>
    </row>
    <row r="3858" spans="1:29" hidden="1" x14ac:dyDescent="0.35">
      <c r="A3858" t="s">
        <v>49</v>
      </c>
      <c r="B3858">
        <v>52094</v>
      </c>
      <c r="C3858" t="s">
        <v>53</v>
      </c>
      <c r="D3858">
        <v>54172</v>
      </c>
      <c r="E3858" t="s">
        <v>192</v>
      </c>
      <c r="F3858">
        <v>12028</v>
      </c>
      <c r="G3858">
        <v>0.56008069470404043</v>
      </c>
      <c r="H3858">
        <v>0</v>
      </c>
      <c r="I3858">
        <v>0</v>
      </c>
      <c r="J3858">
        <v>0.49428823463053628</v>
      </c>
      <c r="K3858">
        <v>0</v>
      </c>
      <c r="L3858">
        <v>0</v>
      </c>
      <c r="M3858">
        <v>0.34371301200820481</v>
      </c>
      <c r="N3858">
        <v>0</v>
      </c>
      <c r="O3858">
        <v>0</v>
      </c>
      <c r="P3858">
        <v>0.31369038458016052</v>
      </c>
      <c r="Q3858">
        <v>0.67600570099640045</v>
      </c>
      <c r="R3858">
        <v>-5.480980284721614</v>
      </c>
      <c r="S3858">
        <v>0.2380710410175885</v>
      </c>
      <c r="T3858">
        <v>0.18683030399759479</v>
      </c>
      <c r="U3858">
        <v>4.2436712643831056</v>
      </c>
      <c r="V3858">
        <v>0.23810297856178911</v>
      </c>
      <c r="W3858">
        <v>-2.612234316844031</v>
      </c>
      <c r="X3858">
        <v>0.2873853222472656</v>
      </c>
      <c r="Z3858" t="s">
        <v>392</v>
      </c>
      <c r="AA3858">
        <v>114</v>
      </c>
      <c r="AB3858" t="s">
        <v>4249</v>
      </c>
      <c r="AC3858" t="str">
        <f>HYPERLINK("plots/3FT6Y578R04_015_S21P_20251218081014_M5358ACSC201811_RBGEUFRF04/dpll_52094/txpa_54172.png","plot")</f>
        <v>plot</v>
      </c>
    </row>
    <row r="3859" spans="1:29" hidden="1" x14ac:dyDescent="0.35">
      <c r="A3859" t="s">
        <v>49</v>
      </c>
      <c r="B3859">
        <v>52094</v>
      </c>
      <c r="C3859" t="s">
        <v>53</v>
      </c>
      <c r="D3859">
        <v>54173</v>
      </c>
      <c r="E3859" t="s">
        <v>193</v>
      </c>
      <c r="F3859">
        <v>12028</v>
      </c>
      <c r="G3859">
        <v>0.54513722420368083</v>
      </c>
      <c r="H3859">
        <v>0</v>
      </c>
      <c r="I3859">
        <v>0</v>
      </c>
      <c r="J3859">
        <v>0.47780593577276109</v>
      </c>
      <c r="K3859">
        <v>0</v>
      </c>
      <c r="L3859">
        <v>0</v>
      </c>
      <c r="M3859">
        <v>0.33109080102239291</v>
      </c>
      <c r="N3859">
        <v>0</v>
      </c>
      <c r="O3859">
        <v>0</v>
      </c>
      <c r="P3859">
        <v>0.29717459321249418</v>
      </c>
      <c r="Q3859">
        <v>0.64534811789431346</v>
      </c>
      <c r="R3859">
        <v>-5.3399550912502427</v>
      </c>
      <c r="S3859">
        <v>0.23629727302889639</v>
      </c>
      <c r="T3859">
        <v>0.18553484886257501</v>
      </c>
      <c r="U3859">
        <v>4.2436712643831056</v>
      </c>
      <c r="V3859">
        <v>0.23810297856178911</v>
      </c>
      <c r="W3859">
        <v>-2.6013098278184241</v>
      </c>
      <c r="X3859">
        <v>0.28187271435066868</v>
      </c>
      <c r="Z3859" t="s">
        <v>392</v>
      </c>
      <c r="AA3859">
        <v>114</v>
      </c>
      <c r="AB3859" t="s">
        <v>4250</v>
      </c>
      <c r="AC3859" t="str">
        <f>HYPERLINK("plots/3FT6Y578R04_015_S21P_20251218081014_M5358ACSC201811_RBGEUFRF04/dpll_52094/txpa_54173.png","plot")</f>
        <v>plot</v>
      </c>
    </row>
    <row r="3860" spans="1:29" hidden="1" x14ac:dyDescent="0.35">
      <c r="A3860" t="s">
        <v>49</v>
      </c>
      <c r="B3860">
        <v>52094</v>
      </c>
      <c r="C3860" t="s">
        <v>53</v>
      </c>
      <c r="D3860">
        <v>54174</v>
      </c>
      <c r="E3860" t="s">
        <v>194</v>
      </c>
      <c r="F3860">
        <v>12028</v>
      </c>
      <c r="G3860">
        <v>0.57055741543698002</v>
      </c>
      <c r="H3860">
        <v>0</v>
      </c>
      <c r="I3860">
        <v>0</v>
      </c>
      <c r="J3860">
        <v>0.49765392288421151</v>
      </c>
      <c r="K3860">
        <v>0</v>
      </c>
      <c r="L3860">
        <v>0</v>
      </c>
      <c r="M3860">
        <v>0.34667774586869338</v>
      </c>
      <c r="N3860">
        <v>0</v>
      </c>
      <c r="O3860">
        <v>0</v>
      </c>
      <c r="P3860">
        <v>0.3255357643101266</v>
      </c>
      <c r="Q3860">
        <v>0.68847377360331519</v>
      </c>
      <c r="R3860">
        <v>-5.5046915786666508</v>
      </c>
      <c r="S3860">
        <v>0.23594690436399501</v>
      </c>
      <c r="T3860">
        <v>0.18540282564394209</v>
      </c>
      <c r="U3860">
        <v>4.2436712643831056</v>
      </c>
      <c r="V3860">
        <v>0.23810297856178911</v>
      </c>
      <c r="W3860">
        <v>-2.5830352093448621</v>
      </c>
      <c r="X3860">
        <v>0.28731141112428582</v>
      </c>
      <c r="Z3860" t="s">
        <v>392</v>
      </c>
      <c r="AA3860">
        <v>114</v>
      </c>
      <c r="AB3860" t="s">
        <v>4251</v>
      </c>
      <c r="AC3860" t="str">
        <f>HYPERLINK("plots/3FT6Y578R04_015_S21P_20251218081014_M5358ACSC201811_RBGEUFRF04/dpll_52094/txpa_54174.png","plot")</f>
        <v>plot</v>
      </c>
    </row>
    <row r="3861" spans="1:29" hidden="1" x14ac:dyDescent="0.35">
      <c r="A3861" t="s">
        <v>49</v>
      </c>
      <c r="B3861">
        <v>52094</v>
      </c>
      <c r="C3861" t="s">
        <v>53</v>
      </c>
      <c r="D3861">
        <v>54175</v>
      </c>
      <c r="E3861" t="s">
        <v>195</v>
      </c>
      <c r="F3861">
        <v>12027</v>
      </c>
      <c r="G3861">
        <v>0.56459660853453852</v>
      </c>
      <c r="H3861">
        <v>0</v>
      </c>
      <c r="I3861">
        <v>0</v>
      </c>
      <c r="J3861">
        <v>0.4871179872079448</v>
      </c>
      <c r="K3861">
        <v>0</v>
      </c>
      <c r="L3861">
        <v>0</v>
      </c>
      <c r="M3861">
        <v>0.33728517068961339</v>
      </c>
      <c r="N3861">
        <v>0</v>
      </c>
      <c r="O3861">
        <v>0</v>
      </c>
      <c r="P3861">
        <v>0.31876933036870292</v>
      </c>
      <c r="Q3861">
        <v>0.67384208673137369</v>
      </c>
      <c r="R3861">
        <v>-5.4570884766766454</v>
      </c>
      <c r="S3861">
        <v>0.23452651117971329</v>
      </c>
      <c r="T3861">
        <v>0.18553963310163141</v>
      </c>
      <c r="U3861">
        <v>4.2436418554918101</v>
      </c>
      <c r="V3861">
        <v>0.23809103076034549</v>
      </c>
      <c r="W3861">
        <v>-2.5975439934314459</v>
      </c>
      <c r="X3861">
        <v>0.2841599729335969</v>
      </c>
      <c r="Z3861" t="s">
        <v>392</v>
      </c>
      <c r="AA3861">
        <v>114</v>
      </c>
      <c r="AB3861" t="s">
        <v>4252</v>
      </c>
      <c r="AC3861" t="str">
        <f>HYPERLINK("plots/3FT6Y578R04_015_S21P_20251218081014_M5358ACSC201811_RBGEUFRF04/dpll_52094/txpa_54175.png","plot")</f>
        <v>plot</v>
      </c>
    </row>
    <row r="3862" spans="1:29" hidden="1" x14ac:dyDescent="0.35">
      <c r="A3862" t="s">
        <v>49</v>
      </c>
      <c r="B3862">
        <v>52094</v>
      </c>
      <c r="C3862" t="s">
        <v>53</v>
      </c>
      <c r="D3862">
        <v>54176</v>
      </c>
      <c r="E3862" t="s">
        <v>196</v>
      </c>
      <c r="F3862">
        <v>12028</v>
      </c>
      <c r="G3862">
        <v>0.57493902785394291</v>
      </c>
      <c r="H3862">
        <v>0</v>
      </c>
      <c r="I3862">
        <v>0</v>
      </c>
      <c r="J3862">
        <v>0.50600332105973744</v>
      </c>
      <c r="K3862">
        <v>0</v>
      </c>
      <c r="L3862">
        <v>0</v>
      </c>
      <c r="M3862">
        <v>0.3527049870344266</v>
      </c>
      <c r="N3862">
        <v>0</v>
      </c>
      <c r="O3862">
        <v>0</v>
      </c>
      <c r="P3862">
        <v>0.33055488574963687</v>
      </c>
      <c r="Q3862">
        <v>0.69003090041302606</v>
      </c>
      <c r="R3862">
        <v>-5.520587200110679</v>
      </c>
      <c r="S3862">
        <v>0.23380350167521019</v>
      </c>
      <c r="T3862">
        <v>0.18437617645540741</v>
      </c>
      <c r="U3862">
        <v>4.2436712643831056</v>
      </c>
      <c r="V3862">
        <v>0.23810297856178911</v>
      </c>
      <c r="W3862">
        <v>-2.5923228964915199</v>
      </c>
      <c r="X3862">
        <v>0.28576667216571872</v>
      </c>
      <c r="Z3862" t="s">
        <v>392</v>
      </c>
      <c r="AA3862">
        <v>114</v>
      </c>
      <c r="AB3862" t="s">
        <v>4253</v>
      </c>
      <c r="AC3862" t="str">
        <f>HYPERLINK("plots/3FT6Y578R04_015_S21P_20251218081014_M5358ACSC201811_RBGEUFRF04/dpll_52094/txpa_54176.png","plot")</f>
        <v>plot</v>
      </c>
    </row>
    <row r="3863" spans="1:29" hidden="1" x14ac:dyDescent="0.35">
      <c r="A3863" t="s">
        <v>49</v>
      </c>
      <c r="B3863">
        <v>52094</v>
      </c>
      <c r="C3863" t="s">
        <v>53</v>
      </c>
      <c r="D3863">
        <v>54177</v>
      </c>
      <c r="E3863" t="s">
        <v>197</v>
      </c>
      <c r="F3863">
        <v>12028</v>
      </c>
      <c r="G3863">
        <v>0.56507180118114853</v>
      </c>
      <c r="H3863">
        <v>0</v>
      </c>
      <c r="I3863">
        <v>0</v>
      </c>
      <c r="J3863">
        <v>0.49139832421689361</v>
      </c>
      <c r="K3863">
        <v>0</v>
      </c>
      <c r="L3863">
        <v>0</v>
      </c>
      <c r="M3863">
        <v>0.34060805140263523</v>
      </c>
      <c r="N3863">
        <v>0</v>
      </c>
      <c r="O3863">
        <v>0</v>
      </c>
      <c r="P3863">
        <v>0.31930614049010753</v>
      </c>
      <c r="Q3863">
        <v>0.66657481592980061</v>
      </c>
      <c r="R3863">
        <v>-5.4191723013008719</v>
      </c>
      <c r="S3863">
        <v>0.23172236732312301</v>
      </c>
      <c r="T3863">
        <v>0.18344387949279031</v>
      </c>
      <c r="U3863">
        <v>4.2436712643831056</v>
      </c>
      <c r="V3863">
        <v>0.23810297856178911</v>
      </c>
      <c r="W3863">
        <v>-2.5904479093781179</v>
      </c>
      <c r="X3863">
        <v>0.28087306564477099</v>
      </c>
      <c r="Z3863" t="s">
        <v>392</v>
      </c>
      <c r="AA3863">
        <v>114</v>
      </c>
      <c r="AB3863" t="s">
        <v>4254</v>
      </c>
      <c r="AC3863" t="str">
        <f>HYPERLINK("plots/3FT6Y578R04_015_S21P_20251218081014_M5358ACSC201811_RBGEUFRF04/dpll_52094/txpa_54177.png","plot")</f>
        <v>plot</v>
      </c>
    </row>
    <row r="3864" spans="1:29" hidden="1" x14ac:dyDescent="0.35">
      <c r="A3864" t="s">
        <v>49</v>
      </c>
      <c r="B3864">
        <v>52094</v>
      </c>
      <c r="C3864" t="s">
        <v>53</v>
      </c>
      <c r="D3864">
        <v>54178</v>
      </c>
      <c r="E3864" t="s">
        <v>198</v>
      </c>
      <c r="F3864">
        <v>12027</v>
      </c>
      <c r="G3864">
        <v>0.55578921665528169</v>
      </c>
      <c r="H3864">
        <v>0</v>
      </c>
      <c r="I3864">
        <v>0</v>
      </c>
      <c r="J3864">
        <v>0.48385574159942552</v>
      </c>
      <c r="K3864">
        <v>0</v>
      </c>
      <c r="L3864">
        <v>0</v>
      </c>
      <c r="M3864">
        <v>0.33640615736747559</v>
      </c>
      <c r="N3864">
        <v>0</v>
      </c>
      <c r="O3864">
        <v>0</v>
      </c>
      <c r="P3864">
        <v>0.30890165335029163</v>
      </c>
      <c r="Q3864">
        <v>0.6634764081779948</v>
      </c>
      <c r="R3864">
        <v>-5.4545088497621244</v>
      </c>
      <c r="S3864">
        <v>0.23627830694856339</v>
      </c>
      <c r="T3864">
        <v>0.1860237341996209</v>
      </c>
      <c r="U3864">
        <v>4.2436951445081901</v>
      </c>
      <c r="V3864">
        <v>0.2380984732054881</v>
      </c>
      <c r="W3864">
        <v>-2.638917237881433</v>
      </c>
      <c r="X3864">
        <v>0.28423135077307837</v>
      </c>
      <c r="Z3864" t="s">
        <v>392</v>
      </c>
      <c r="AA3864">
        <v>114</v>
      </c>
      <c r="AB3864" t="s">
        <v>4255</v>
      </c>
      <c r="AC3864" t="str">
        <f>HYPERLINK("plots/3FT6Y578R04_015_S21P_20251218081014_M5358ACSC201811_RBGEUFRF04/dpll_52094/txpa_54178.png","plot")</f>
        <v>plot</v>
      </c>
    </row>
    <row r="3865" spans="1:29" hidden="1" x14ac:dyDescent="0.35">
      <c r="A3865" t="s">
        <v>49</v>
      </c>
      <c r="B3865">
        <v>52094</v>
      </c>
      <c r="C3865" t="s">
        <v>53</v>
      </c>
      <c r="D3865">
        <v>54179</v>
      </c>
      <c r="E3865" t="s">
        <v>199</v>
      </c>
      <c r="F3865">
        <v>12028</v>
      </c>
      <c r="G3865">
        <v>0.57648992115366371</v>
      </c>
      <c r="H3865">
        <v>0</v>
      </c>
      <c r="I3865">
        <v>0</v>
      </c>
      <c r="J3865">
        <v>0.52250017985031072</v>
      </c>
      <c r="K3865">
        <v>0</v>
      </c>
      <c r="L3865">
        <v>0</v>
      </c>
      <c r="M3865">
        <v>0.36345748914328602</v>
      </c>
      <c r="N3865">
        <v>0</v>
      </c>
      <c r="O3865">
        <v>0</v>
      </c>
      <c r="P3865">
        <v>0.33234062919175739</v>
      </c>
      <c r="Q3865">
        <v>0.69744607506857836</v>
      </c>
      <c r="R3865">
        <v>-1.9828049872287179</v>
      </c>
      <c r="S3865">
        <v>0.23536569516743039</v>
      </c>
      <c r="T3865">
        <v>0.18266227977939059</v>
      </c>
      <c r="U3865">
        <v>4.2436712643831056</v>
      </c>
      <c r="V3865">
        <v>0.23810297856178911</v>
      </c>
      <c r="W3865">
        <v>0.97692687999659122</v>
      </c>
      <c r="X3865">
        <v>0.28806052242462921</v>
      </c>
      <c r="Z3865" t="s">
        <v>392</v>
      </c>
      <c r="AA3865">
        <v>114</v>
      </c>
      <c r="AB3865" t="s">
        <v>4256</v>
      </c>
      <c r="AC3865" t="str">
        <f>HYPERLINK("plots/3FT6Y578R04_015_S21P_20251218081014_M5358ACSC201811_RBGEUFRF04/dpll_52094/txpa_54179.png","plot")</f>
        <v>plot</v>
      </c>
    </row>
    <row r="3866" spans="1:29" hidden="1" x14ac:dyDescent="0.35">
      <c r="A3866" t="s">
        <v>49</v>
      </c>
      <c r="B3866">
        <v>52094</v>
      </c>
      <c r="C3866" t="s">
        <v>53</v>
      </c>
      <c r="D3866">
        <v>54180</v>
      </c>
      <c r="E3866" t="s">
        <v>200</v>
      </c>
      <c r="F3866">
        <v>12028</v>
      </c>
      <c r="G3866">
        <v>0.60324949822190044</v>
      </c>
      <c r="H3866">
        <v>0</v>
      </c>
      <c r="I3866">
        <v>0</v>
      </c>
      <c r="J3866">
        <v>0.54247240616335546</v>
      </c>
      <c r="K3866">
        <v>0</v>
      </c>
      <c r="L3866">
        <v>0</v>
      </c>
      <c r="M3866">
        <v>0.38052867112357552</v>
      </c>
      <c r="N3866">
        <v>0</v>
      </c>
      <c r="O3866">
        <v>0</v>
      </c>
      <c r="P3866">
        <v>0.36390995710497459</v>
      </c>
      <c r="Q3866">
        <v>0.73049080371265407</v>
      </c>
      <c r="R3866">
        <v>-2.0913102088004032</v>
      </c>
      <c r="S3866">
        <v>0.2299449394802095</v>
      </c>
      <c r="T3866">
        <v>0.18038565851991409</v>
      </c>
      <c r="U3866">
        <v>4.2436712643831056</v>
      </c>
      <c r="V3866">
        <v>0.23810297856178911</v>
      </c>
      <c r="W3866">
        <v>1.008652623811108</v>
      </c>
      <c r="X3866">
        <v>0.28832520654994159</v>
      </c>
      <c r="Z3866" t="s">
        <v>392</v>
      </c>
      <c r="AA3866">
        <v>114</v>
      </c>
      <c r="AB3866" t="s">
        <v>4257</v>
      </c>
      <c r="AC3866" t="str">
        <f>HYPERLINK("plots/3FT6Y578R04_015_S21P_20251218081014_M5358ACSC201811_RBGEUFRF04/dpll_52094/txpa_54180.png","plot")</f>
        <v>plot</v>
      </c>
    </row>
    <row r="3867" spans="1:29" hidden="1" x14ac:dyDescent="0.35">
      <c r="A3867" t="s">
        <v>49</v>
      </c>
      <c r="B3867">
        <v>52094</v>
      </c>
      <c r="C3867" t="s">
        <v>53</v>
      </c>
      <c r="D3867">
        <v>54181</v>
      </c>
      <c r="E3867" t="s">
        <v>201</v>
      </c>
      <c r="F3867">
        <v>12028</v>
      </c>
      <c r="G3867">
        <v>0.58839740501228188</v>
      </c>
      <c r="H3867">
        <v>0</v>
      </c>
      <c r="I3867">
        <v>0</v>
      </c>
      <c r="J3867">
        <v>0.52660371262200367</v>
      </c>
      <c r="K3867">
        <v>0</v>
      </c>
      <c r="L3867">
        <v>0</v>
      </c>
      <c r="M3867">
        <v>0.36772795758460081</v>
      </c>
      <c r="N3867">
        <v>0</v>
      </c>
      <c r="O3867">
        <v>0</v>
      </c>
      <c r="P3867">
        <v>0.34621150622518732</v>
      </c>
      <c r="Q3867">
        <v>0.69978110579805719</v>
      </c>
      <c r="R3867">
        <v>-1.9494357797808719</v>
      </c>
      <c r="S3867">
        <v>0.22895855427299969</v>
      </c>
      <c r="T3867">
        <v>0.17960835159843619</v>
      </c>
      <c r="U3867">
        <v>4.2436712643831056</v>
      </c>
      <c r="V3867">
        <v>0.23810297856178911</v>
      </c>
      <c r="W3867">
        <v>1.0202051902525771</v>
      </c>
      <c r="X3867">
        <v>0.28317590154616989</v>
      </c>
      <c r="Z3867" t="s">
        <v>392</v>
      </c>
      <c r="AA3867">
        <v>114</v>
      </c>
      <c r="AB3867" t="s">
        <v>4258</v>
      </c>
      <c r="AC3867" t="str">
        <f>HYPERLINK("plots/3FT6Y578R04_015_S21P_20251218081014_M5358ACSC201811_RBGEUFRF04/dpll_52094/txpa_54181.png","plot")</f>
        <v>plot</v>
      </c>
    </row>
    <row r="3868" spans="1:29" hidden="1" x14ac:dyDescent="0.35">
      <c r="A3868" t="s">
        <v>49</v>
      </c>
      <c r="B3868">
        <v>52094</v>
      </c>
      <c r="C3868" t="s">
        <v>53</v>
      </c>
      <c r="D3868">
        <v>54182</v>
      </c>
      <c r="E3868" t="s">
        <v>202</v>
      </c>
      <c r="F3868">
        <v>12028</v>
      </c>
      <c r="G3868">
        <v>0.61060166688362194</v>
      </c>
      <c r="H3868">
        <v>0</v>
      </c>
      <c r="I3868">
        <v>0</v>
      </c>
      <c r="J3868">
        <v>0.54371617960360918</v>
      </c>
      <c r="K3868">
        <v>0</v>
      </c>
      <c r="L3868">
        <v>0</v>
      </c>
      <c r="M3868">
        <v>0.38186028033214903</v>
      </c>
      <c r="N3868">
        <v>0</v>
      </c>
      <c r="O3868">
        <v>0</v>
      </c>
      <c r="P3868">
        <v>0.37283439560105758</v>
      </c>
      <c r="Q3868">
        <v>0.73727000724213299</v>
      </c>
      <c r="R3868">
        <v>-2.0977191154899959</v>
      </c>
      <c r="S3868">
        <v>0.22767034804757241</v>
      </c>
      <c r="T3868">
        <v>0.17862790914111501</v>
      </c>
      <c r="U3868">
        <v>4.2436712643831056</v>
      </c>
      <c r="V3868">
        <v>0.23810297856178911</v>
      </c>
      <c r="W3868">
        <v>1.031012428334968</v>
      </c>
      <c r="X3868">
        <v>0.28749706109479389</v>
      </c>
      <c r="Z3868" t="s">
        <v>392</v>
      </c>
      <c r="AA3868">
        <v>114</v>
      </c>
      <c r="AB3868" t="s">
        <v>4259</v>
      </c>
      <c r="AC3868" t="str">
        <f>HYPERLINK("plots/3FT6Y578R04_015_S21P_20251218081014_M5358ACSC201811_RBGEUFRF04/dpll_52094/txpa_54182.png","plot")</f>
        <v>plot</v>
      </c>
    </row>
    <row r="3869" spans="1:29" hidden="1" x14ac:dyDescent="0.35">
      <c r="A3869" t="s">
        <v>49</v>
      </c>
      <c r="B3869">
        <v>52094</v>
      </c>
      <c r="C3869" t="s">
        <v>53</v>
      </c>
      <c r="D3869">
        <v>54183</v>
      </c>
      <c r="E3869" t="s">
        <v>203</v>
      </c>
      <c r="F3869">
        <v>12027</v>
      </c>
      <c r="G3869">
        <v>0.60652404724678888</v>
      </c>
      <c r="H3869">
        <v>0</v>
      </c>
      <c r="I3869">
        <v>0</v>
      </c>
      <c r="J3869">
        <v>0.53384568139174171</v>
      </c>
      <c r="K3869">
        <v>0</v>
      </c>
      <c r="L3869">
        <v>0</v>
      </c>
      <c r="M3869">
        <v>0.37265815759363857</v>
      </c>
      <c r="N3869">
        <v>0</v>
      </c>
      <c r="O3869">
        <v>0</v>
      </c>
      <c r="P3869">
        <v>0.36787141988862498</v>
      </c>
      <c r="Q3869">
        <v>0.7255707451674448</v>
      </c>
      <c r="R3869">
        <v>-2.062212564496039</v>
      </c>
      <c r="S3869">
        <v>0.22644327746321741</v>
      </c>
      <c r="T3869">
        <v>0.17905530676102019</v>
      </c>
      <c r="U3869">
        <v>4.2436418554918101</v>
      </c>
      <c r="V3869">
        <v>0.23809103076034549</v>
      </c>
      <c r="W3869">
        <v>1.0168498188169119</v>
      </c>
      <c r="X3869">
        <v>0.28482281517220343</v>
      </c>
      <c r="Z3869" t="s">
        <v>392</v>
      </c>
      <c r="AA3869">
        <v>114</v>
      </c>
      <c r="AB3869" t="s">
        <v>4260</v>
      </c>
      <c r="AC3869" t="str">
        <f>HYPERLINK("plots/3FT6Y578R04_015_S21P_20251218081014_M5358ACSC201811_RBGEUFRF04/dpll_52094/txpa_54183.png","plot")</f>
        <v>plot</v>
      </c>
    </row>
    <row r="3870" spans="1:29" hidden="1" x14ac:dyDescent="0.35">
      <c r="A3870" t="s">
        <v>49</v>
      </c>
      <c r="B3870">
        <v>52094</v>
      </c>
      <c r="C3870" t="s">
        <v>53</v>
      </c>
      <c r="D3870">
        <v>54184</v>
      </c>
      <c r="E3870" t="s">
        <v>204</v>
      </c>
      <c r="F3870">
        <v>12028</v>
      </c>
      <c r="G3870">
        <v>0.61584802313210929</v>
      </c>
      <c r="H3870">
        <v>0</v>
      </c>
      <c r="I3870">
        <v>0</v>
      </c>
      <c r="J3870">
        <v>0.55239138165222912</v>
      </c>
      <c r="K3870">
        <v>0</v>
      </c>
      <c r="L3870">
        <v>0</v>
      </c>
      <c r="M3870">
        <v>0.38818197767366019</v>
      </c>
      <c r="N3870">
        <v>0</v>
      </c>
      <c r="O3870">
        <v>0</v>
      </c>
      <c r="P3870">
        <v>0.37926878759572702</v>
      </c>
      <c r="Q3870">
        <v>0.74269436645343534</v>
      </c>
      <c r="R3870">
        <v>-2.125948518247653</v>
      </c>
      <c r="S3870">
        <v>0.2262221595374046</v>
      </c>
      <c r="T3870">
        <v>0.17812354288157581</v>
      </c>
      <c r="U3870">
        <v>4.2436712643831056</v>
      </c>
      <c r="V3870">
        <v>0.23810297856178911</v>
      </c>
      <c r="W3870">
        <v>1.025802222890007</v>
      </c>
      <c r="X3870">
        <v>0.28714509776982627</v>
      </c>
      <c r="Z3870" t="s">
        <v>392</v>
      </c>
      <c r="AA3870">
        <v>114</v>
      </c>
      <c r="AB3870" t="s">
        <v>4261</v>
      </c>
      <c r="AC3870" t="str">
        <f>HYPERLINK("plots/3FT6Y578R04_015_S21P_20251218081014_M5358ACSC201811_RBGEUFRF04/dpll_52094/txpa_54184.png","plot")</f>
        <v>plot</v>
      </c>
    </row>
    <row r="3871" spans="1:29" hidden="1" x14ac:dyDescent="0.35">
      <c r="A3871" t="s">
        <v>49</v>
      </c>
      <c r="B3871">
        <v>52094</v>
      </c>
      <c r="C3871" t="s">
        <v>53</v>
      </c>
      <c r="D3871">
        <v>54185</v>
      </c>
      <c r="E3871" t="s">
        <v>205</v>
      </c>
      <c r="F3871">
        <v>12028</v>
      </c>
      <c r="G3871">
        <v>0.60882930989461903</v>
      </c>
      <c r="H3871">
        <v>0</v>
      </c>
      <c r="I3871">
        <v>0</v>
      </c>
      <c r="J3871">
        <v>0.54030325705694604</v>
      </c>
      <c r="K3871">
        <v>0</v>
      </c>
      <c r="L3871">
        <v>0</v>
      </c>
      <c r="M3871">
        <v>0.37800553125519393</v>
      </c>
      <c r="N3871">
        <v>0</v>
      </c>
      <c r="O3871">
        <v>0</v>
      </c>
      <c r="P3871">
        <v>0.37067312858675799</v>
      </c>
      <c r="Q3871">
        <v>0.72223795866164253</v>
      </c>
      <c r="R3871">
        <v>-2.0350742044628078</v>
      </c>
      <c r="S3871">
        <v>0.22406275422429531</v>
      </c>
      <c r="T3871">
        <v>0.1773141885026574</v>
      </c>
      <c r="U3871">
        <v>4.2436712643831056</v>
      </c>
      <c r="V3871">
        <v>0.23810297856178911</v>
      </c>
      <c r="W3871">
        <v>1.029866266756319</v>
      </c>
      <c r="X3871">
        <v>0.28245520771246829</v>
      </c>
      <c r="Z3871" t="s">
        <v>392</v>
      </c>
      <c r="AA3871">
        <v>114</v>
      </c>
      <c r="AB3871" t="s">
        <v>4262</v>
      </c>
      <c r="AC3871" t="str">
        <f>HYPERLINK("plots/3FT6Y578R04_015_S21P_20251218081014_M5358ACSC201811_RBGEUFRF04/dpll_52094/txpa_54185.png","plot")</f>
        <v>plot</v>
      </c>
    </row>
    <row r="3872" spans="1:29" hidden="1" x14ac:dyDescent="0.35">
      <c r="A3872" t="s">
        <v>49</v>
      </c>
      <c r="B3872">
        <v>52094</v>
      </c>
      <c r="C3872" t="s">
        <v>53</v>
      </c>
      <c r="D3872">
        <v>54186</v>
      </c>
      <c r="E3872" t="s">
        <v>206</v>
      </c>
      <c r="F3872">
        <v>12027</v>
      </c>
      <c r="G3872">
        <v>0.60014213323231203</v>
      </c>
      <c r="H3872">
        <v>0</v>
      </c>
      <c r="I3872">
        <v>0</v>
      </c>
      <c r="J3872">
        <v>0.53309687267447337</v>
      </c>
      <c r="K3872">
        <v>0</v>
      </c>
      <c r="L3872">
        <v>0</v>
      </c>
      <c r="M3872">
        <v>0.37376456722483209</v>
      </c>
      <c r="N3872">
        <v>0</v>
      </c>
      <c r="O3872">
        <v>0</v>
      </c>
      <c r="P3872">
        <v>0.36017058008063008</v>
      </c>
      <c r="Q3872">
        <v>0.72033577623970058</v>
      </c>
      <c r="R3872">
        <v>-2.0701499688549641</v>
      </c>
      <c r="S3872">
        <v>0.22858699837617419</v>
      </c>
      <c r="T3872">
        <v>0.17970384251313501</v>
      </c>
      <c r="U3872">
        <v>4.2436951445081901</v>
      </c>
      <c r="V3872">
        <v>0.2380984732054881</v>
      </c>
      <c r="W3872">
        <v>0.98673546718899141</v>
      </c>
      <c r="X3872">
        <v>0.28578371525795188</v>
      </c>
      <c r="Z3872" t="s">
        <v>392</v>
      </c>
      <c r="AA3872">
        <v>114</v>
      </c>
      <c r="AB3872" t="s">
        <v>4263</v>
      </c>
      <c r="AC3872" t="str">
        <f>HYPERLINK("plots/3FT6Y578R04_015_S21P_20251218081014_M5358ACSC201811_RBGEUFRF04/dpll_52094/txpa_54186.png","plot")</f>
        <v>plot</v>
      </c>
    </row>
    <row r="3873" spans="1:29" hidden="1" x14ac:dyDescent="0.35">
      <c r="A3873" t="s">
        <v>49</v>
      </c>
      <c r="B3873">
        <v>52094</v>
      </c>
      <c r="C3873" t="s">
        <v>53</v>
      </c>
      <c r="D3873">
        <v>54187</v>
      </c>
      <c r="E3873" t="s">
        <v>207</v>
      </c>
      <c r="F3873">
        <v>12028</v>
      </c>
      <c r="G3873">
        <v>0.61421869614080438</v>
      </c>
      <c r="H3873">
        <v>0</v>
      </c>
      <c r="I3873">
        <v>0</v>
      </c>
      <c r="J3873">
        <v>0.56106037002205345</v>
      </c>
      <c r="K3873">
        <v>0</v>
      </c>
      <c r="L3873">
        <v>0</v>
      </c>
      <c r="M3873">
        <v>0.39348372365987577</v>
      </c>
      <c r="N3873">
        <v>0</v>
      </c>
      <c r="O3873">
        <v>0</v>
      </c>
      <c r="P3873">
        <v>0.37726460668890982</v>
      </c>
      <c r="Q3873">
        <v>0.75241028357083628</v>
      </c>
      <c r="R3873">
        <v>-0.1788635971212571</v>
      </c>
      <c r="S3873">
        <v>0.23016020714629959</v>
      </c>
      <c r="T3873">
        <v>0.17855903594323749</v>
      </c>
      <c r="U3873">
        <v>4.2436712643831056</v>
      </c>
      <c r="V3873">
        <v>0.23810297856178911</v>
      </c>
      <c r="W3873">
        <v>3.0141183022946461</v>
      </c>
      <c r="X3873">
        <v>0.2916731951410147</v>
      </c>
      <c r="Z3873" t="s">
        <v>392</v>
      </c>
      <c r="AA3873">
        <v>114</v>
      </c>
      <c r="AB3873" t="s">
        <v>4264</v>
      </c>
      <c r="AC3873" t="str">
        <f>HYPERLINK("plots/3FT6Y578R04_015_S21P_20251218081014_M5358ACSC201811_RBGEUFRF04/dpll_52094/txpa_54187.png","plot")</f>
        <v>plot</v>
      </c>
    </row>
    <row r="3874" spans="1:29" hidden="1" x14ac:dyDescent="0.35">
      <c r="A3874" t="s">
        <v>49</v>
      </c>
      <c r="B3874">
        <v>52094</v>
      </c>
      <c r="C3874" t="s">
        <v>53</v>
      </c>
      <c r="D3874">
        <v>54188</v>
      </c>
      <c r="E3874" t="s">
        <v>208</v>
      </c>
      <c r="F3874">
        <v>12028</v>
      </c>
      <c r="G3874">
        <v>0.63860552138317073</v>
      </c>
      <c r="H3874">
        <v>0</v>
      </c>
      <c r="I3874">
        <v>0</v>
      </c>
      <c r="J3874">
        <v>0.57871322536545966</v>
      </c>
      <c r="K3874">
        <v>0</v>
      </c>
      <c r="L3874">
        <v>0</v>
      </c>
      <c r="M3874">
        <v>0.40928334008336731</v>
      </c>
      <c r="N3874">
        <v>0</v>
      </c>
      <c r="O3874">
        <v>0</v>
      </c>
      <c r="P3874">
        <v>0.40781701194107128</v>
      </c>
      <c r="Q3874">
        <v>0.78386802807415445</v>
      </c>
      <c r="R3874">
        <v>-0.28209362429380391</v>
      </c>
      <c r="S3874">
        <v>0.22489770285620991</v>
      </c>
      <c r="T3874">
        <v>0.17662599399475359</v>
      </c>
      <c r="U3874">
        <v>4.2436712643831056</v>
      </c>
      <c r="V3874">
        <v>0.23810297856178911</v>
      </c>
      <c r="W3874">
        <v>3.0443846015131362</v>
      </c>
      <c r="X3874">
        <v>0.29226385622153961</v>
      </c>
      <c r="Z3874" t="s">
        <v>392</v>
      </c>
      <c r="AA3874">
        <v>114</v>
      </c>
      <c r="AB3874" t="s">
        <v>4265</v>
      </c>
      <c r="AC3874" t="str">
        <f>HYPERLINK("plots/3FT6Y578R04_015_S21P_20251218081014_M5358ACSC201811_RBGEUFRF04/dpll_52094/txpa_54188.png","plot")</f>
        <v>plot</v>
      </c>
    </row>
    <row r="3875" spans="1:29" hidden="1" x14ac:dyDescent="0.35">
      <c r="A3875" t="s">
        <v>49</v>
      </c>
      <c r="B3875">
        <v>52094</v>
      </c>
      <c r="C3875" t="s">
        <v>53</v>
      </c>
      <c r="D3875">
        <v>54189</v>
      </c>
      <c r="E3875" t="s">
        <v>209</v>
      </c>
      <c r="F3875">
        <v>12028</v>
      </c>
      <c r="G3875">
        <v>0.62501587944581805</v>
      </c>
      <c r="H3875">
        <v>0</v>
      </c>
      <c r="I3875">
        <v>0</v>
      </c>
      <c r="J3875">
        <v>0.56454302343758256</v>
      </c>
      <c r="K3875">
        <v>0</v>
      </c>
      <c r="L3875">
        <v>0</v>
      </c>
      <c r="M3875">
        <v>0.39735931688606663</v>
      </c>
      <c r="N3875">
        <v>0</v>
      </c>
      <c r="O3875">
        <v>0</v>
      </c>
      <c r="P3875">
        <v>0.39064484955942941</v>
      </c>
      <c r="Q3875">
        <v>0.75393628732028084</v>
      </c>
      <c r="R3875">
        <v>-0.14259838072298689</v>
      </c>
      <c r="S3875">
        <v>0.22419483981033739</v>
      </c>
      <c r="T3875">
        <v>0.17571955333679939</v>
      </c>
      <c r="U3875">
        <v>4.2436712643831056</v>
      </c>
      <c r="V3875">
        <v>0.23810297856178911</v>
      </c>
      <c r="W3875">
        <v>3.0568593769537742</v>
      </c>
      <c r="X3875">
        <v>0.2872158637248472</v>
      </c>
      <c r="Z3875" t="s">
        <v>392</v>
      </c>
      <c r="AA3875">
        <v>114</v>
      </c>
      <c r="AB3875" t="s">
        <v>4266</v>
      </c>
      <c r="AC3875" t="str">
        <f>HYPERLINK("plots/3FT6Y578R04_015_S21P_20251218081014_M5358ACSC201811_RBGEUFRF04/dpll_52094/txpa_54189.png","plot")</f>
        <v>plot</v>
      </c>
    </row>
    <row r="3876" spans="1:29" hidden="1" x14ac:dyDescent="0.35">
      <c r="A3876" t="s">
        <v>49</v>
      </c>
      <c r="B3876">
        <v>52094</v>
      </c>
      <c r="C3876" t="s">
        <v>53</v>
      </c>
      <c r="D3876">
        <v>54190</v>
      </c>
      <c r="E3876" t="s">
        <v>210</v>
      </c>
      <c r="F3876">
        <v>12028</v>
      </c>
      <c r="G3876">
        <v>0.64542072170508813</v>
      </c>
      <c r="H3876">
        <v>0</v>
      </c>
      <c r="I3876">
        <v>0</v>
      </c>
      <c r="J3876">
        <v>0.57990505618670052</v>
      </c>
      <c r="K3876">
        <v>0</v>
      </c>
      <c r="L3876">
        <v>0</v>
      </c>
      <c r="M3876">
        <v>0.41049226066653172</v>
      </c>
      <c r="N3876">
        <v>0</v>
      </c>
      <c r="O3876">
        <v>0</v>
      </c>
      <c r="P3876">
        <v>0.41656790800631682</v>
      </c>
      <c r="Q3876">
        <v>0.78879577866622486</v>
      </c>
      <c r="R3876">
        <v>-0.28347913577765738</v>
      </c>
      <c r="S3876">
        <v>0.22226117409941551</v>
      </c>
      <c r="T3876">
        <v>0.1744994238866921</v>
      </c>
      <c r="U3876">
        <v>4.2436712643831056</v>
      </c>
      <c r="V3876">
        <v>0.23810297856178911</v>
      </c>
      <c r="W3876">
        <v>3.0639108436148978</v>
      </c>
      <c r="X3876">
        <v>0.29099565300788699</v>
      </c>
      <c r="Z3876" t="s">
        <v>392</v>
      </c>
      <c r="AA3876">
        <v>114</v>
      </c>
      <c r="AB3876" t="s">
        <v>4267</v>
      </c>
      <c r="AC3876" t="str">
        <f>HYPERLINK("plots/3FT6Y578R04_015_S21P_20251218081014_M5358ACSC201811_RBGEUFRF04/dpll_52094/txpa_54190.png","plot")</f>
        <v>plot</v>
      </c>
    </row>
    <row r="3877" spans="1:29" hidden="1" x14ac:dyDescent="0.35">
      <c r="A3877" t="s">
        <v>49</v>
      </c>
      <c r="B3877">
        <v>52094</v>
      </c>
      <c r="C3877" t="s">
        <v>53</v>
      </c>
      <c r="D3877">
        <v>54191</v>
      </c>
      <c r="E3877" t="s">
        <v>211</v>
      </c>
      <c r="F3877">
        <v>12027</v>
      </c>
      <c r="G3877">
        <v>0.64242788891904523</v>
      </c>
      <c r="H3877">
        <v>0</v>
      </c>
      <c r="I3877">
        <v>0</v>
      </c>
      <c r="J3877">
        <v>0.57135831406123183</v>
      </c>
      <c r="K3877">
        <v>0</v>
      </c>
      <c r="L3877">
        <v>0</v>
      </c>
      <c r="M3877">
        <v>0.40202900623138332</v>
      </c>
      <c r="N3877">
        <v>0</v>
      </c>
      <c r="O3877">
        <v>0</v>
      </c>
      <c r="P3877">
        <v>0.4127135924609811</v>
      </c>
      <c r="Q3877">
        <v>0.77761350070678792</v>
      </c>
      <c r="R3877">
        <v>-0.25166048036175948</v>
      </c>
      <c r="S3877">
        <v>0.22084590971267759</v>
      </c>
      <c r="T3877">
        <v>0.17459256494338771</v>
      </c>
      <c r="U3877">
        <v>4.2436418554918101</v>
      </c>
      <c r="V3877">
        <v>0.23809103076034549</v>
      </c>
      <c r="W3877">
        <v>3.0482527186330759</v>
      </c>
      <c r="X3877">
        <v>0.28819234517972547</v>
      </c>
      <c r="Z3877" t="s">
        <v>392</v>
      </c>
      <c r="AA3877">
        <v>114</v>
      </c>
      <c r="AB3877" t="s">
        <v>4268</v>
      </c>
      <c r="AC3877" t="str">
        <f>HYPERLINK("plots/3FT6Y578R04_015_S21P_20251218081014_M5358ACSC201811_RBGEUFRF04/dpll_52094/txpa_54191.png","plot")</f>
        <v>plot</v>
      </c>
    </row>
    <row r="3878" spans="1:29" hidden="1" x14ac:dyDescent="0.35">
      <c r="A3878" t="s">
        <v>49</v>
      </c>
      <c r="B3878">
        <v>52094</v>
      </c>
      <c r="C3878" t="s">
        <v>53</v>
      </c>
      <c r="D3878">
        <v>54192</v>
      </c>
      <c r="E3878" t="s">
        <v>212</v>
      </c>
      <c r="F3878">
        <v>12028</v>
      </c>
      <c r="G3878">
        <v>0.65053365088586235</v>
      </c>
      <c r="H3878">
        <v>0</v>
      </c>
      <c r="I3878">
        <v>0</v>
      </c>
      <c r="J3878">
        <v>0.58852371192093844</v>
      </c>
      <c r="K3878">
        <v>0</v>
      </c>
      <c r="L3878">
        <v>0</v>
      </c>
      <c r="M3878">
        <v>0.41680894128458468</v>
      </c>
      <c r="N3878">
        <v>0</v>
      </c>
      <c r="O3878">
        <v>0</v>
      </c>
      <c r="P3878">
        <v>0.42319403093488911</v>
      </c>
      <c r="Q3878">
        <v>0.79538942432440796</v>
      </c>
      <c r="R3878">
        <v>-0.31520163234357579</v>
      </c>
      <c r="S3878">
        <v>0.22109131997141221</v>
      </c>
      <c r="T3878">
        <v>0.1742436440609475</v>
      </c>
      <c r="U3878">
        <v>4.2436712643831056</v>
      </c>
      <c r="V3878">
        <v>0.23810297856178911</v>
      </c>
      <c r="W3878">
        <v>3.0601696116561361</v>
      </c>
      <c r="X3878">
        <v>0.29112189783002651</v>
      </c>
      <c r="Z3878" t="s">
        <v>392</v>
      </c>
      <c r="AA3878">
        <v>114</v>
      </c>
      <c r="AB3878" t="s">
        <v>4269</v>
      </c>
      <c r="AC3878" t="str">
        <f>HYPERLINK("plots/3FT6Y578R04_015_S21P_20251218081014_M5358ACSC201811_RBGEUFRF04/dpll_52094/txpa_54192.png","plot")</f>
        <v>plot</v>
      </c>
    </row>
    <row r="3879" spans="1:29" hidden="1" x14ac:dyDescent="0.35">
      <c r="A3879" t="s">
        <v>49</v>
      </c>
      <c r="B3879">
        <v>52094</v>
      </c>
      <c r="C3879" t="s">
        <v>53</v>
      </c>
      <c r="D3879">
        <v>54193</v>
      </c>
      <c r="E3879" t="s">
        <v>213</v>
      </c>
      <c r="F3879">
        <v>12028</v>
      </c>
      <c r="G3879">
        <v>0.64495605704767767</v>
      </c>
      <c r="H3879">
        <v>0</v>
      </c>
      <c r="I3879">
        <v>0</v>
      </c>
      <c r="J3879">
        <v>0.57774134297014612</v>
      </c>
      <c r="K3879">
        <v>0</v>
      </c>
      <c r="L3879">
        <v>0</v>
      </c>
      <c r="M3879">
        <v>0.40748450591017399</v>
      </c>
      <c r="N3879">
        <v>0</v>
      </c>
      <c r="O3879">
        <v>0</v>
      </c>
      <c r="P3879">
        <v>0.41596831552248731</v>
      </c>
      <c r="Q3879">
        <v>0.77602094704293301</v>
      </c>
      <c r="R3879">
        <v>-0.22887948291687901</v>
      </c>
      <c r="S3879">
        <v>0.21893152235220251</v>
      </c>
      <c r="T3879">
        <v>0.1734199092227818</v>
      </c>
      <c r="U3879">
        <v>4.2436712643831056</v>
      </c>
      <c r="V3879">
        <v>0.23810297856178911</v>
      </c>
      <c r="W3879">
        <v>3.0642983106085802</v>
      </c>
      <c r="X3879">
        <v>0.28648912883006472</v>
      </c>
      <c r="Z3879" t="s">
        <v>392</v>
      </c>
      <c r="AA3879">
        <v>114</v>
      </c>
      <c r="AB3879" t="s">
        <v>4270</v>
      </c>
      <c r="AC3879" t="str">
        <f>HYPERLINK("plots/3FT6Y578R04_015_S21P_20251218081014_M5358ACSC201811_RBGEUFRF04/dpll_52094/txpa_54193.png","plot")</f>
        <v>plot</v>
      </c>
    </row>
    <row r="3880" spans="1:29" hidden="1" x14ac:dyDescent="0.35">
      <c r="A3880" t="s">
        <v>49</v>
      </c>
      <c r="B3880">
        <v>52094</v>
      </c>
      <c r="C3880" t="s">
        <v>53</v>
      </c>
      <c r="D3880">
        <v>54194</v>
      </c>
      <c r="E3880" t="s">
        <v>214</v>
      </c>
      <c r="F3880">
        <v>12027</v>
      </c>
      <c r="G3880">
        <v>0.63758265541758008</v>
      </c>
      <c r="H3880">
        <v>0</v>
      </c>
      <c r="I3880">
        <v>0</v>
      </c>
      <c r="J3880">
        <v>0.57161712271053311</v>
      </c>
      <c r="K3880">
        <v>0</v>
      </c>
      <c r="L3880">
        <v>0</v>
      </c>
      <c r="M3880">
        <v>0.40399917942954228</v>
      </c>
      <c r="N3880">
        <v>0</v>
      </c>
      <c r="O3880">
        <v>0</v>
      </c>
      <c r="P3880">
        <v>0.40651164248933258</v>
      </c>
      <c r="Q3880">
        <v>0.77515654744293616</v>
      </c>
      <c r="R3880">
        <v>-0.26581524864692069</v>
      </c>
      <c r="S3880">
        <v>0.22299626150868229</v>
      </c>
      <c r="T3880">
        <v>0.17514801006584901</v>
      </c>
      <c r="U3880">
        <v>4.2436951445081901</v>
      </c>
      <c r="V3880">
        <v>0.2380984732054881</v>
      </c>
      <c r="W3880">
        <v>3.0237128279704</v>
      </c>
      <c r="X3880">
        <v>0.28947398250744782</v>
      </c>
      <c r="Z3880" t="s">
        <v>392</v>
      </c>
      <c r="AA3880">
        <v>114</v>
      </c>
      <c r="AB3880" t="s">
        <v>4271</v>
      </c>
      <c r="AC3880" t="str">
        <f>HYPERLINK("plots/3FT6Y578R04_015_S21P_20251218081014_M5358ACSC201811_RBGEUFRF04/dpll_52094/txpa_54194.png","plot")</f>
        <v>plot</v>
      </c>
    </row>
    <row r="3881" spans="1:29" hidden="1" x14ac:dyDescent="0.35">
      <c r="A3881" t="s">
        <v>49</v>
      </c>
      <c r="B3881">
        <v>52094</v>
      </c>
      <c r="C3881" t="s">
        <v>53</v>
      </c>
      <c r="D3881">
        <v>54195</v>
      </c>
      <c r="E3881" t="s">
        <v>215</v>
      </c>
      <c r="F3881">
        <v>12028</v>
      </c>
      <c r="G3881">
        <v>0.66012666055094071</v>
      </c>
      <c r="H3881">
        <v>0</v>
      </c>
      <c r="I3881">
        <v>0</v>
      </c>
      <c r="J3881">
        <v>0.60354836031572479</v>
      </c>
      <c r="K3881">
        <v>0</v>
      </c>
      <c r="L3881">
        <v>0</v>
      </c>
      <c r="M3881">
        <v>0.42785290864265618</v>
      </c>
      <c r="N3881">
        <v>0</v>
      </c>
      <c r="O3881">
        <v>0</v>
      </c>
      <c r="P3881">
        <v>0.43576720797013691</v>
      </c>
      <c r="Q3881">
        <v>0.83295901235146586</v>
      </c>
      <c r="R3881">
        <v>1.9421466366975659</v>
      </c>
      <c r="S3881">
        <v>0.2256692024148233</v>
      </c>
      <c r="T3881">
        <v>0.17470687146340719</v>
      </c>
      <c r="U3881">
        <v>4.2436712643831056</v>
      </c>
      <c r="V3881">
        <v>0.23810297856178911</v>
      </c>
      <c r="W3881">
        <v>5.4769508618224148</v>
      </c>
      <c r="X3881">
        <v>0.30044237524847739</v>
      </c>
      <c r="Z3881" t="s">
        <v>392</v>
      </c>
      <c r="AA3881">
        <v>114</v>
      </c>
      <c r="AB3881" t="s">
        <v>4272</v>
      </c>
      <c r="AC3881" t="str">
        <f>HYPERLINK("plots/3FT6Y578R04_015_S21P_20251218081014_M5358ACSC201811_RBGEUFRF04/dpll_52094/txpa_54195.png","plot")</f>
        <v>plot</v>
      </c>
    </row>
    <row r="3882" spans="1:29" hidden="1" x14ac:dyDescent="0.35">
      <c r="A3882" t="s">
        <v>49</v>
      </c>
      <c r="B3882">
        <v>52094</v>
      </c>
      <c r="C3882" t="s">
        <v>53</v>
      </c>
      <c r="D3882">
        <v>54196</v>
      </c>
      <c r="E3882" t="s">
        <v>216</v>
      </c>
      <c r="F3882">
        <v>12028</v>
      </c>
      <c r="G3882">
        <v>0.68212381198376193</v>
      </c>
      <c r="H3882">
        <v>0</v>
      </c>
      <c r="I3882">
        <v>0</v>
      </c>
      <c r="J3882">
        <v>0.61840570031553299</v>
      </c>
      <c r="K3882">
        <v>0</v>
      </c>
      <c r="L3882">
        <v>0</v>
      </c>
      <c r="M3882">
        <v>0.44195283512043532</v>
      </c>
      <c r="N3882">
        <v>0</v>
      </c>
      <c r="O3882">
        <v>0</v>
      </c>
      <c r="P3882">
        <v>0.4652928948752586</v>
      </c>
      <c r="Q3882">
        <v>0.86262589848712046</v>
      </c>
      <c r="R3882">
        <v>1.8461021821986661</v>
      </c>
      <c r="S3882">
        <v>0.220172986762776</v>
      </c>
      <c r="T3882">
        <v>0.17277342985301511</v>
      </c>
      <c r="U3882">
        <v>4.2436712643831056</v>
      </c>
      <c r="V3882">
        <v>0.23810297856178911</v>
      </c>
      <c r="W3882">
        <v>5.5068029195211166</v>
      </c>
      <c r="X3882">
        <v>0.30110925935424221</v>
      </c>
      <c r="Z3882" t="s">
        <v>392</v>
      </c>
      <c r="AA3882">
        <v>114</v>
      </c>
      <c r="AB3882" t="s">
        <v>4273</v>
      </c>
      <c r="AC3882" t="str">
        <f>HYPERLINK("plots/3FT6Y578R04_015_S21P_20251218081014_M5358ACSC201811_RBGEUFRF04/dpll_52094/txpa_54196.png","plot")</f>
        <v>plot</v>
      </c>
    </row>
    <row r="3883" spans="1:29" hidden="1" x14ac:dyDescent="0.35">
      <c r="A3883" t="s">
        <v>49</v>
      </c>
      <c r="B3883">
        <v>52094</v>
      </c>
      <c r="C3883" t="s">
        <v>53</v>
      </c>
      <c r="D3883">
        <v>54197</v>
      </c>
      <c r="E3883" t="s">
        <v>217</v>
      </c>
      <c r="F3883">
        <v>12028</v>
      </c>
      <c r="G3883">
        <v>0.66963387779836447</v>
      </c>
      <c r="H3883">
        <v>0</v>
      </c>
      <c r="I3883">
        <v>0</v>
      </c>
      <c r="J3883">
        <v>0.60576758753149484</v>
      </c>
      <c r="K3883">
        <v>0</v>
      </c>
      <c r="L3883">
        <v>0</v>
      </c>
      <c r="M3883">
        <v>0.43088543071522201</v>
      </c>
      <c r="N3883">
        <v>0</v>
      </c>
      <c r="O3883">
        <v>0</v>
      </c>
      <c r="P3883">
        <v>0.44840953029527492</v>
      </c>
      <c r="Q3883">
        <v>0.8325341521972901</v>
      </c>
      <c r="R3883">
        <v>1.986740247106866</v>
      </c>
      <c r="S3883">
        <v>0.21984661948329071</v>
      </c>
      <c r="T3883">
        <v>0.17177784997081191</v>
      </c>
      <c r="U3883">
        <v>4.2436712643831056</v>
      </c>
      <c r="V3883">
        <v>0.23810297856178911</v>
      </c>
      <c r="W3883">
        <v>5.5197415054040579</v>
      </c>
      <c r="X3883">
        <v>0.296025735801076</v>
      </c>
      <c r="Z3883" t="s">
        <v>392</v>
      </c>
      <c r="AA3883">
        <v>114</v>
      </c>
      <c r="AB3883" t="s">
        <v>4274</v>
      </c>
      <c r="AC3883" t="str">
        <f>HYPERLINK("plots/3FT6Y578R04_015_S21P_20251218081014_M5358ACSC201811_RBGEUFRF04/dpll_52094/txpa_54197.png","plot")</f>
        <v>plot</v>
      </c>
    </row>
    <row r="3884" spans="1:29" hidden="1" x14ac:dyDescent="0.35">
      <c r="A3884" t="s">
        <v>49</v>
      </c>
      <c r="B3884">
        <v>52094</v>
      </c>
      <c r="C3884" t="s">
        <v>53</v>
      </c>
      <c r="D3884">
        <v>54198</v>
      </c>
      <c r="E3884" t="s">
        <v>218</v>
      </c>
      <c r="F3884">
        <v>12028</v>
      </c>
      <c r="G3884">
        <v>0.68793142523814144</v>
      </c>
      <c r="H3884">
        <v>0</v>
      </c>
      <c r="I3884">
        <v>0</v>
      </c>
      <c r="J3884">
        <v>0.62008646303873238</v>
      </c>
      <c r="K3884">
        <v>0</v>
      </c>
      <c r="L3884">
        <v>0</v>
      </c>
      <c r="M3884">
        <v>0.44352481722432752</v>
      </c>
      <c r="N3884">
        <v>0</v>
      </c>
      <c r="O3884">
        <v>0</v>
      </c>
      <c r="P3884">
        <v>0.47324964583018059</v>
      </c>
      <c r="Q3884">
        <v>0.86542486149073561</v>
      </c>
      <c r="R3884">
        <v>1.8507601136061751</v>
      </c>
      <c r="S3884">
        <v>0.21738692061534681</v>
      </c>
      <c r="T3884">
        <v>0.17041298817433709</v>
      </c>
      <c r="U3884">
        <v>4.2436712643831056</v>
      </c>
      <c r="V3884">
        <v>0.23810297856178911</v>
      </c>
      <c r="W3884">
        <v>5.5233387297971399</v>
      </c>
      <c r="X3884">
        <v>0.29953601432153781</v>
      </c>
      <c r="Z3884" t="s">
        <v>392</v>
      </c>
      <c r="AA3884">
        <v>114</v>
      </c>
      <c r="AB3884" t="s">
        <v>4275</v>
      </c>
      <c r="AC3884" t="str">
        <f>HYPERLINK("plots/3FT6Y578R04_015_S21P_20251218081014_M5358ACSC201811_RBGEUFRF04/dpll_52094/txpa_54198.png","plot")</f>
        <v>plot</v>
      </c>
    </row>
    <row r="3885" spans="1:29" hidden="1" x14ac:dyDescent="0.35">
      <c r="A3885" t="s">
        <v>49</v>
      </c>
      <c r="B3885">
        <v>52094</v>
      </c>
      <c r="C3885" t="s">
        <v>53</v>
      </c>
      <c r="D3885">
        <v>54199</v>
      </c>
      <c r="E3885" t="s">
        <v>219</v>
      </c>
      <c r="F3885">
        <v>12027</v>
      </c>
      <c r="G3885">
        <v>0.68679583593860571</v>
      </c>
      <c r="H3885">
        <v>0</v>
      </c>
      <c r="I3885">
        <v>0</v>
      </c>
      <c r="J3885">
        <v>0.61289948789659332</v>
      </c>
      <c r="K3885">
        <v>0</v>
      </c>
      <c r="L3885">
        <v>0</v>
      </c>
      <c r="M3885">
        <v>0.43590393341943229</v>
      </c>
      <c r="N3885">
        <v>0</v>
      </c>
      <c r="O3885">
        <v>0</v>
      </c>
      <c r="P3885">
        <v>0.47168852026260821</v>
      </c>
      <c r="Q3885">
        <v>0.85589010472616245</v>
      </c>
      <c r="R3885">
        <v>1.874805367560181</v>
      </c>
      <c r="S3885">
        <v>0.21565540891544441</v>
      </c>
      <c r="T3885">
        <v>0.17028994151656079</v>
      </c>
      <c r="U3885">
        <v>4.2436418554918101</v>
      </c>
      <c r="V3885">
        <v>0.23809103076034549</v>
      </c>
      <c r="W3885">
        <v>5.5068964396773934</v>
      </c>
      <c r="X3885">
        <v>0.29671082232660562</v>
      </c>
      <c r="Z3885" t="s">
        <v>392</v>
      </c>
      <c r="AA3885">
        <v>114</v>
      </c>
      <c r="AB3885" t="s">
        <v>4276</v>
      </c>
      <c r="AC3885" t="str">
        <f>HYPERLINK("plots/3FT6Y578R04_015_S21P_20251218081014_M5358ACSC201811_RBGEUFRF04/dpll_52094/txpa_54199.png","plot")</f>
        <v>plot</v>
      </c>
    </row>
    <row r="3886" spans="1:29" hidden="1" x14ac:dyDescent="0.35">
      <c r="A3886" t="s">
        <v>49</v>
      </c>
      <c r="B3886">
        <v>52094</v>
      </c>
      <c r="C3886" t="s">
        <v>53</v>
      </c>
      <c r="D3886">
        <v>54200</v>
      </c>
      <c r="E3886" t="s">
        <v>220</v>
      </c>
      <c r="F3886">
        <v>12028</v>
      </c>
      <c r="G3886">
        <v>0.69278651544565673</v>
      </c>
      <c r="H3886">
        <v>0</v>
      </c>
      <c r="I3886">
        <v>0</v>
      </c>
      <c r="J3886">
        <v>0.62837158690232175</v>
      </c>
      <c r="K3886">
        <v>0</v>
      </c>
      <c r="L3886">
        <v>0</v>
      </c>
      <c r="M3886">
        <v>0.4498750462023221</v>
      </c>
      <c r="N3886">
        <v>0</v>
      </c>
      <c r="O3886">
        <v>0</v>
      </c>
      <c r="P3886">
        <v>0.47995315598333521</v>
      </c>
      <c r="Q3886">
        <v>0.87351022734858774</v>
      </c>
      <c r="R3886">
        <v>1.814263648291162</v>
      </c>
      <c r="S3886">
        <v>0.21648936916698619</v>
      </c>
      <c r="T3886">
        <v>0.17027826310360139</v>
      </c>
      <c r="U3886">
        <v>4.2436712643831056</v>
      </c>
      <c r="V3886">
        <v>0.23810297856178911</v>
      </c>
      <c r="W3886">
        <v>5.5211538992351183</v>
      </c>
      <c r="X3886">
        <v>0.30021569747513221</v>
      </c>
      <c r="Z3886" t="s">
        <v>392</v>
      </c>
      <c r="AA3886">
        <v>114</v>
      </c>
      <c r="AB3886" t="s">
        <v>4277</v>
      </c>
      <c r="AC3886" t="str">
        <f>HYPERLINK("plots/3FT6Y578R04_015_S21P_20251218081014_M5358ACSC201811_RBGEUFRF04/dpll_52094/txpa_54200.png","plot")</f>
        <v>plot</v>
      </c>
    </row>
    <row r="3887" spans="1:29" hidden="1" x14ac:dyDescent="0.35">
      <c r="A3887" t="s">
        <v>49</v>
      </c>
      <c r="B3887">
        <v>52094</v>
      </c>
      <c r="C3887" t="s">
        <v>53</v>
      </c>
      <c r="D3887">
        <v>54201</v>
      </c>
      <c r="E3887" t="s">
        <v>221</v>
      </c>
      <c r="F3887">
        <v>12028</v>
      </c>
      <c r="G3887">
        <v>0.68914976118387605</v>
      </c>
      <c r="H3887">
        <v>0</v>
      </c>
      <c r="I3887">
        <v>0</v>
      </c>
      <c r="J3887">
        <v>0.61895666642745761</v>
      </c>
      <c r="K3887">
        <v>0</v>
      </c>
      <c r="L3887">
        <v>0</v>
      </c>
      <c r="M3887">
        <v>0.44140662955813981</v>
      </c>
      <c r="N3887">
        <v>0</v>
      </c>
      <c r="O3887">
        <v>0</v>
      </c>
      <c r="P3887">
        <v>0.47492739333979339</v>
      </c>
      <c r="Q3887">
        <v>0.8551162769089955</v>
      </c>
      <c r="R3887">
        <v>1.897183599790792</v>
      </c>
      <c r="S3887">
        <v>0.2140760180378414</v>
      </c>
      <c r="T3887">
        <v>0.1692672735046373</v>
      </c>
      <c r="U3887">
        <v>4.2436712643831056</v>
      </c>
      <c r="V3887">
        <v>0.23810297856178911</v>
      </c>
      <c r="W3887">
        <v>5.5260159718157631</v>
      </c>
      <c r="X3887">
        <v>0.2954448278396401</v>
      </c>
      <c r="Z3887" t="s">
        <v>392</v>
      </c>
      <c r="AA3887">
        <v>114</v>
      </c>
      <c r="AB3887" t="s">
        <v>4278</v>
      </c>
      <c r="AC3887" t="str">
        <f>HYPERLINK("plots/3FT6Y578R04_015_S21P_20251218081014_M5358ACSC201811_RBGEUFRF04/dpll_52094/txpa_54201.png","plot")</f>
        <v>plot</v>
      </c>
    </row>
    <row r="3888" spans="1:29" hidden="1" x14ac:dyDescent="0.35">
      <c r="A3888" t="s">
        <v>49</v>
      </c>
      <c r="B3888">
        <v>52094</v>
      </c>
      <c r="C3888" t="s">
        <v>53</v>
      </c>
      <c r="D3888">
        <v>54202</v>
      </c>
      <c r="E3888" t="s">
        <v>222</v>
      </c>
      <c r="F3888">
        <v>12027</v>
      </c>
      <c r="G3888">
        <v>0.68298436366958415</v>
      </c>
      <c r="H3888">
        <v>0</v>
      </c>
      <c r="I3888">
        <v>0</v>
      </c>
      <c r="J3888">
        <v>0.61341036199309296</v>
      </c>
      <c r="K3888">
        <v>0</v>
      </c>
      <c r="L3888">
        <v>0</v>
      </c>
      <c r="M3888">
        <v>0.43823590517056749</v>
      </c>
      <c r="N3888">
        <v>0</v>
      </c>
      <c r="O3888">
        <v>0</v>
      </c>
      <c r="P3888">
        <v>0.46646764101714677</v>
      </c>
      <c r="Q3888">
        <v>0.85599616425662139</v>
      </c>
      <c r="R3888">
        <v>1.855212184471374</v>
      </c>
      <c r="S3888">
        <v>0.21796160374232479</v>
      </c>
      <c r="T3888">
        <v>0.1708942735321026</v>
      </c>
      <c r="U3888">
        <v>4.2436951445081901</v>
      </c>
      <c r="V3888">
        <v>0.2380984732054881</v>
      </c>
      <c r="W3888">
        <v>5.4877989504448328</v>
      </c>
      <c r="X3888">
        <v>0.29841295148281921</v>
      </c>
      <c r="Z3888" t="s">
        <v>392</v>
      </c>
      <c r="AA3888">
        <v>114</v>
      </c>
      <c r="AB3888" t="s">
        <v>4279</v>
      </c>
      <c r="AC3888" t="str">
        <f>HYPERLINK("plots/3FT6Y578R04_015_S21P_20251218081014_M5358ACSC201811_RBGEUFRF04/dpll_52094/txpa_54202.png","plot")</f>
        <v>plot</v>
      </c>
    </row>
    <row r="3889" spans="1:29" hidden="1" x14ac:dyDescent="0.35">
      <c r="A3889" t="s">
        <v>49</v>
      </c>
      <c r="B3889">
        <v>52094</v>
      </c>
      <c r="C3889" t="s">
        <v>53</v>
      </c>
      <c r="D3889">
        <v>54203</v>
      </c>
      <c r="E3889" t="s">
        <v>223</v>
      </c>
      <c r="F3889">
        <v>12028</v>
      </c>
      <c r="G3889">
        <v>0.67662908758393914</v>
      </c>
      <c r="H3889">
        <v>0</v>
      </c>
      <c r="I3889">
        <v>0</v>
      </c>
      <c r="J3889">
        <v>0.61722847004278847</v>
      </c>
      <c r="K3889">
        <v>0</v>
      </c>
      <c r="L3889">
        <v>0</v>
      </c>
      <c r="M3889">
        <v>0.4391858475533304</v>
      </c>
      <c r="N3889">
        <v>0</v>
      </c>
      <c r="O3889">
        <v>0</v>
      </c>
      <c r="P3889">
        <v>0.45782692216467402</v>
      </c>
      <c r="Q3889">
        <v>0.87092336890076105</v>
      </c>
      <c r="R3889">
        <v>2.8724819387029439</v>
      </c>
      <c r="S3889">
        <v>0.2256550350395069</v>
      </c>
      <c r="T3889">
        <v>0.17433190056118911</v>
      </c>
      <c r="U3889">
        <v>4.2436712643831056</v>
      </c>
      <c r="V3889">
        <v>0.23810297856178911</v>
      </c>
      <c r="W3889">
        <v>6.568394412786831</v>
      </c>
      <c r="X3889">
        <v>0.30647433289455472</v>
      </c>
      <c r="Z3889" t="s">
        <v>392</v>
      </c>
      <c r="AA3889">
        <v>114</v>
      </c>
      <c r="AB3889" t="s">
        <v>4280</v>
      </c>
      <c r="AC3889" t="str">
        <f>HYPERLINK("plots/3FT6Y578R04_015_S21P_20251218081014_M5358ACSC201811_RBGEUFRF04/dpll_52094/txpa_54203.png","plot")</f>
        <v>plot</v>
      </c>
    </row>
    <row r="3890" spans="1:29" hidden="1" x14ac:dyDescent="0.35">
      <c r="A3890" t="s">
        <v>49</v>
      </c>
      <c r="B3890">
        <v>52094</v>
      </c>
      <c r="C3890" t="s">
        <v>53</v>
      </c>
      <c r="D3890">
        <v>54204</v>
      </c>
      <c r="E3890" t="s">
        <v>224</v>
      </c>
      <c r="F3890">
        <v>12028</v>
      </c>
      <c r="G3890">
        <v>0.6975552033415221</v>
      </c>
      <c r="H3890">
        <v>0</v>
      </c>
      <c r="I3890">
        <v>0</v>
      </c>
      <c r="J3890">
        <v>0.63132411772215291</v>
      </c>
      <c r="K3890">
        <v>0</v>
      </c>
      <c r="L3890">
        <v>0</v>
      </c>
      <c r="M3890">
        <v>0.45288368197844792</v>
      </c>
      <c r="N3890">
        <v>0</v>
      </c>
      <c r="O3890">
        <v>0</v>
      </c>
      <c r="P3890">
        <v>0.48658326170883232</v>
      </c>
      <c r="Q3890">
        <v>0.89944985548447365</v>
      </c>
      <c r="R3890">
        <v>2.7808101115871939</v>
      </c>
      <c r="S3890">
        <v>0.21997846104054911</v>
      </c>
      <c r="T3890">
        <v>0.1723592679484694</v>
      </c>
      <c r="U3890">
        <v>4.2436712643831056</v>
      </c>
      <c r="V3890">
        <v>0.23810297856178911</v>
      </c>
      <c r="W3890">
        <v>6.5977796170601932</v>
      </c>
      <c r="X3890">
        <v>0.3070175501980601</v>
      </c>
      <c r="Z3890" t="s">
        <v>392</v>
      </c>
      <c r="AA3890">
        <v>114</v>
      </c>
      <c r="AB3890" t="s">
        <v>4281</v>
      </c>
      <c r="AC3890" t="str">
        <f>HYPERLINK("plots/3FT6Y578R04_015_S21P_20251218081014_M5358ACSC201811_RBGEUFRF04/dpll_52094/txpa_54204.png","plot")</f>
        <v>plot</v>
      </c>
    </row>
    <row r="3891" spans="1:29" hidden="1" x14ac:dyDescent="0.35">
      <c r="A3891" t="s">
        <v>49</v>
      </c>
      <c r="B3891">
        <v>52094</v>
      </c>
      <c r="C3891" t="s">
        <v>53</v>
      </c>
      <c r="D3891">
        <v>54205</v>
      </c>
      <c r="E3891" t="s">
        <v>225</v>
      </c>
      <c r="F3891">
        <v>12028</v>
      </c>
      <c r="G3891">
        <v>0.68606145132180874</v>
      </c>
      <c r="H3891">
        <v>0</v>
      </c>
      <c r="I3891">
        <v>0</v>
      </c>
      <c r="J3891">
        <v>0.61930648569790014</v>
      </c>
      <c r="K3891">
        <v>0</v>
      </c>
      <c r="L3891">
        <v>0</v>
      </c>
      <c r="M3891">
        <v>0.44216370262526428</v>
      </c>
      <c r="N3891">
        <v>0</v>
      </c>
      <c r="O3891">
        <v>0</v>
      </c>
      <c r="P3891">
        <v>0.47068031498978652</v>
      </c>
      <c r="Q3891">
        <v>0.87033194725336371</v>
      </c>
      <c r="R3891">
        <v>2.917628703749148</v>
      </c>
      <c r="S3891">
        <v>0.21974940329680059</v>
      </c>
      <c r="T3891">
        <v>0.17130253914164939</v>
      </c>
      <c r="U3891">
        <v>4.2436712643831056</v>
      </c>
      <c r="V3891">
        <v>0.23810297856178911</v>
      </c>
      <c r="W3891">
        <v>6.6110313787828412</v>
      </c>
      <c r="X3891">
        <v>0.30205549164619028</v>
      </c>
      <c r="Z3891" t="s">
        <v>392</v>
      </c>
      <c r="AA3891">
        <v>114</v>
      </c>
      <c r="AB3891" t="s">
        <v>4282</v>
      </c>
      <c r="AC3891" t="str">
        <f>HYPERLINK("plots/3FT6Y578R04_015_S21P_20251218081014_M5358ACSC201811_RBGEUFRF04/dpll_52094/txpa_54205.png","plot")</f>
        <v>plot</v>
      </c>
    </row>
    <row r="3892" spans="1:29" hidden="1" x14ac:dyDescent="0.35">
      <c r="A3892" t="s">
        <v>49</v>
      </c>
      <c r="B3892">
        <v>52094</v>
      </c>
      <c r="C3892" t="s">
        <v>53</v>
      </c>
      <c r="D3892">
        <v>54206</v>
      </c>
      <c r="E3892" t="s">
        <v>226</v>
      </c>
      <c r="F3892">
        <v>12028</v>
      </c>
      <c r="G3892">
        <v>0.70347509009865239</v>
      </c>
      <c r="H3892">
        <v>0</v>
      </c>
      <c r="I3892">
        <v>0</v>
      </c>
      <c r="J3892">
        <v>0.63331139149811289</v>
      </c>
      <c r="K3892">
        <v>0</v>
      </c>
      <c r="L3892">
        <v>0</v>
      </c>
      <c r="M3892">
        <v>0.45467656703571918</v>
      </c>
      <c r="N3892">
        <v>0</v>
      </c>
      <c r="O3892">
        <v>0</v>
      </c>
      <c r="P3892">
        <v>0.4948772023893071</v>
      </c>
      <c r="Q3892">
        <v>0.90270713693751647</v>
      </c>
      <c r="R3892">
        <v>2.7826027768918919</v>
      </c>
      <c r="S3892">
        <v>0.2171417888433568</v>
      </c>
      <c r="T3892">
        <v>0.1699862402407202</v>
      </c>
      <c r="U3892">
        <v>4.2436712643831056</v>
      </c>
      <c r="V3892">
        <v>0.23810297856178911</v>
      </c>
      <c r="W3892">
        <v>6.6133951140671767</v>
      </c>
      <c r="X3892">
        <v>0.30553641642615298</v>
      </c>
      <c r="Z3892" t="s">
        <v>392</v>
      </c>
      <c r="AA3892">
        <v>114</v>
      </c>
      <c r="AB3892" t="s">
        <v>4283</v>
      </c>
      <c r="AC3892" t="str">
        <f>HYPERLINK("plots/3FT6Y578R04_015_S21P_20251218081014_M5358ACSC201811_RBGEUFRF04/dpll_52094/txpa_54206.png","plot")</f>
        <v>plot</v>
      </c>
    </row>
    <row r="3893" spans="1:29" hidden="1" x14ac:dyDescent="0.35">
      <c r="A3893" t="s">
        <v>49</v>
      </c>
      <c r="B3893">
        <v>52094</v>
      </c>
      <c r="C3893" t="s">
        <v>53</v>
      </c>
      <c r="D3893">
        <v>54207</v>
      </c>
      <c r="E3893" t="s">
        <v>227</v>
      </c>
      <c r="F3893">
        <v>12027</v>
      </c>
      <c r="G3893">
        <v>0.70304798131822388</v>
      </c>
      <c r="H3893">
        <v>0</v>
      </c>
      <c r="I3893">
        <v>0</v>
      </c>
      <c r="J3893">
        <v>0.62659297396132096</v>
      </c>
      <c r="K3893">
        <v>0</v>
      </c>
      <c r="L3893">
        <v>0</v>
      </c>
      <c r="M3893">
        <v>0.44729111859460707</v>
      </c>
      <c r="N3893">
        <v>0</v>
      </c>
      <c r="O3893">
        <v>0</v>
      </c>
      <c r="P3893">
        <v>0.49427646403562969</v>
      </c>
      <c r="Q3893">
        <v>0.8938200500598481</v>
      </c>
      <c r="R3893">
        <v>2.8033126900901899</v>
      </c>
      <c r="S3893">
        <v>0.21525174916511561</v>
      </c>
      <c r="T3893">
        <v>0.16978074258857179</v>
      </c>
      <c r="U3893">
        <v>4.2436418554918101</v>
      </c>
      <c r="V3893">
        <v>0.23809103076034549</v>
      </c>
      <c r="W3893">
        <v>6.5963648658019469</v>
      </c>
      <c r="X3893">
        <v>0.3026970316222094</v>
      </c>
      <c r="Z3893" t="s">
        <v>392</v>
      </c>
      <c r="AA3893">
        <v>114</v>
      </c>
      <c r="AB3893" t="s">
        <v>4284</v>
      </c>
      <c r="AC3893" t="str">
        <f>HYPERLINK("plots/3FT6Y578R04_015_S21P_20251218081014_M5358ACSC201811_RBGEUFRF04/dpll_52094/txpa_54207.png","plot")</f>
        <v>plot</v>
      </c>
    </row>
    <row r="3894" spans="1:29" hidden="1" x14ac:dyDescent="0.35">
      <c r="A3894" t="s">
        <v>49</v>
      </c>
      <c r="B3894">
        <v>52094</v>
      </c>
      <c r="C3894" t="s">
        <v>53</v>
      </c>
      <c r="D3894">
        <v>54208</v>
      </c>
      <c r="E3894" t="s">
        <v>228</v>
      </c>
      <c r="F3894">
        <v>12028</v>
      </c>
      <c r="G3894">
        <v>0.70814564902226684</v>
      </c>
      <c r="H3894">
        <v>0</v>
      </c>
      <c r="I3894">
        <v>0</v>
      </c>
      <c r="J3894">
        <v>0.64162185722282772</v>
      </c>
      <c r="K3894">
        <v>0</v>
      </c>
      <c r="L3894">
        <v>0</v>
      </c>
      <c r="M3894">
        <v>0.46117203660829681</v>
      </c>
      <c r="N3894">
        <v>0</v>
      </c>
      <c r="O3894">
        <v>0</v>
      </c>
      <c r="P3894">
        <v>0.50147026022916752</v>
      </c>
      <c r="Q3894">
        <v>0.91113454884921252</v>
      </c>
      <c r="R3894">
        <v>2.7446753533971502</v>
      </c>
      <c r="S3894">
        <v>0.2162978652987213</v>
      </c>
      <c r="T3894">
        <v>0.16980701922361799</v>
      </c>
      <c r="U3894">
        <v>4.2436712643831056</v>
      </c>
      <c r="V3894">
        <v>0.23810297856178911</v>
      </c>
      <c r="W3894">
        <v>6.6112308563352187</v>
      </c>
      <c r="X3894">
        <v>0.3063548441638842</v>
      </c>
      <c r="Z3894" t="s">
        <v>392</v>
      </c>
      <c r="AA3894">
        <v>114</v>
      </c>
      <c r="AB3894" t="s">
        <v>4285</v>
      </c>
      <c r="AC3894" t="str">
        <f>HYPERLINK("plots/3FT6Y578R04_015_S21P_20251218081014_M5358ACSC201811_RBGEUFRF04/dpll_52094/txpa_54208.png","plot")</f>
        <v>plot</v>
      </c>
    </row>
    <row r="3895" spans="1:29" hidden="1" x14ac:dyDescent="0.35">
      <c r="A3895" t="s">
        <v>49</v>
      </c>
      <c r="B3895">
        <v>52094</v>
      </c>
      <c r="C3895" t="s">
        <v>53</v>
      </c>
      <c r="D3895">
        <v>54209</v>
      </c>
      <c r="E3895" t="s">
        <v>229</v>
      </c>
      <c r="F3895">
        <v>12028</v>
      </c>
      <c r="G3895">
        <v>0.70521885032305831</v>
      </c>
      <c r="H3895">
        <v>0</v>
      </c>
      <c r="I3895">
        <v>0</v>
      </c>
      <c r="J3895">
        <v>0.63212927285759168</v>
      </c>
      <c r="K3895">
        <v>0</v>
      </c>
      <c r="L3895">
        <v>0</v>
      </c>
      <c r="M3895">
        <v>0.45252320723182132</v>
      </c>
      <c r="N3895">
        <v>0</v>
      </c>
      <c r="O3895">
        <v>0</v>
      </c>
      <c r="P3895">
        <v>0.4973336268509761</v>
      </c>
      <c r="Q3895">
        <v>0.89313919272026676</v>
      </c>
      <c r="R3895">
        <v>2.8260669782625021</v>
      </c>
      <c r="S3895">
        <v>0.2137873114832069</v>
      </c>
      <c r="T3895">
        <v>0.16879567554379779</v>
      </c>
      <c r="U3895">
        <v>4.2436712643831056</v>
      </c>
      <c r="V3895">
        <v>0.23810297856178911</v>
      </c>
      <c r="W3895">
        <v>6.6162561055038234</v>
      </c>
      <c r="X3895">
        <v>0.30155050727805821</v>
      </c>
      <c r="Z3895" t="s">
        <v>392</v>
      </c>
      <c r="AA3895">
        <v>114</v>
      </c>
      <c r="AB3895" t="s">
        <v>4286</v>
      </c>
      <c r="AC3895" t="str">
        <f>HYPERLINK("plots/3FT6Y578R04_015_S21P_20251218081014_M5358ACSC201811_RBGEUFRF04/dpll_52094/txpa_54209.png","plot")</f>
        <v>plot</v>
      </c>
    </row>
    <row r="3896" spans="1:29" hidden="1" x14ac:dyDescent="0.35">
      <c r="A3896" t="s">
        <v>49</v>
      </c>
      <c r="B3896">
        <v>52094</v>
      </c>
      <c r="C3896" t="s">
        <v>53</v>
      </c>
      <c r="D3896">
        <v>54210</v>
      </c>
      <c r="E3896" t="s">
        <v>230</v>
      </c>
      <c r="F3896">
        <v>12027</v>
      </c>
      <c r="G3896">
        <v>0.69921546501034482</v>
      </c>
      <c r="H3896">
        <v>0</v>
      </c>
      <c r="I3896">
        <v>0</v>
      </c>
      <c r="J3896">
        <v>0.62693664113021019</v>
      </c>
      <c r="K3896">
        <v>0</v>
      </c>
      <c r="L3896">
        <v>0</v>
      </c>
      <c r="M3896">
        <v>0.44958794928236212</v>
      </c>
      <c r="N3896">
        <v>0</v>
      </c>
      <c r="O3896">
        <v>0</v>
      </c>
      <c r="P3896">
        <v>0.48890226650963281</v>
      </c>
      <c r="Q3896">
        <v>0.89373843452411472</v>
      </c>
      <c r="R3896">
        <v>2.7865635449496629</v>
      </c>
      <c r="S3896">
        <v>0.21756545626519899</v>
      </c>
      <c r="T3896">
        <v>0.1703256265716428</v>
      </c>
      <c r="U3896">
        <v>4.2436951445081901</v>
      </c>
      <c r="V3896">
        <v>0.2380984732054881</v>
      </c>
      <c r="W3896">
        <v>6.5793169999999996</v>
      </c>
      <c r="X3896">
        <v>0.30433788632250358</v>
      </c>
      <c r="Z3896" t="s">
        <v>392</v>
      </c>
      <c r="AA3896">
        <v>114</v>
      </c>
      <c r="AB3896" t="s">
        <v>4287</v>
      </c>
      <c r="AC3896" t="str">
        <f>HYPERLINK("plots/3FT6Y578R04_015_S21P_20251218081014_M5358ACSC201811_RBGEUFRF04/dpll_52094/txpa_54210.png","plot")</f>
        <v>plot</v>
      </c>
    </row>
    <row r="3897" spans="1:29" hidden="1" x14ac:dyDescent="0.35">
      <c r="A3897" t="s">
        <v>49</v>
      </c>
      <c r="B3897">
        <v>52094</v>
      </c>
      <c r="C3897" t="s">
        <v>53</v>
      </c>
      <c r="D3897">
        <v>54211</v>
      </c>
      <c r="E3897" t="s">
        <v>231</v>
      </c>
      <c r="F3897">
        <v>12028</v>
      </c>
      <c r="G3897">
        <v>0.69182706189260756</v>
      </c>
      <c r="H3897">
        <v>0</v>
      </c>
      <c r="I3897">
        <v>0</v>
      </c>
      <c r="J3897">
        <v>0.62958954912194609</v>
      </c>
      <c r="K3897">
        <v>0</v>
      </c>
      <c r="L3897">
        <v>0</v>
      </c>
      <c r="M3897">
        <v>0.44948435529540182</v>
      </c>
      <c r="N3897">
        <v>0</v>
      </c>
      <c r="O3897">
        <v>0</v>
      </c>
      <c r="P3897">
        <v>0.47862468356695792</v>
      </c>
      <c r="Q3897">
        <v>0.91318167751914547</v>
      </c>
      <c r="R3897">
        <v>3.7634861514613172</v>
      </c>
      <c r="S3897">
        <v>0.22692463740356791</v>
      </c>
      <c r="T3897">
        <v>0.17495918066681329</v>
      </c>
      <c r="U3897">
        <v>4.2436712643831056</v>
      </c>
      <c r="V3897">
        <v>0.23810297856178911</v>
      </c>
      <c r="W3897">
        <v>7.6387289955104754</v>
      </c>
      <c r="X3897">
        <v>0.31428559153286162</v>
      </c>
      <c r="Z3897" t="s">
        <v>392</v>
      </c>
      <c r="AA3897">
        <v>114</v>
      </c>
      <c r="AB3897" t="s">
        <v>4288</v>
      </c>
      <c r="AC3897" t="str">
        <f>HYPERLINK("plots/3FT6Y578R04_015_S21P_20251218081014_M5358ACSC201811_RBGEUFRF04/dpll_52094/txpa_54211.png","plot")</f>
        <v>plot</v>
      </c>
    </row>
    <row r="3898" spans="1:29" hidden="1" x14ac:dyDescent="0.35">
      <c r="A3898" t="s">
        <v>49</v>
      </c>
      <c r="B3898">
        <v>52094</v>
      </c>
      <c r="C3898" t="s">
        <v>53</v>
      </c>
      <c r="D3898">
        <v>54212</v>
      </c>
      <c r="E3898" t="s">
        <v>232</v>
      </c>
      <c r="F3898">
        <v>12028</v>
      </c>
      <c r="G3898">
        <v>0.7118246571696073</v>
      </c>
      <c r="H3898">
        <v>0</v>
      </c>
      <c r="I3898">
        <v>0</v>
      </c>
      <c r="J3898">
        <v>0.64286310725261242</v>
      </c>
      <c r="K3898">
        <v>0</v>
      </c>
      <c r="L3898">
        <v>0</v>
      </c>
      <c r="M3898">
        <v>0.46263876078358801</v>
      </c>
      <c r="N3898">
        <v>0</v>
      </c>
      <c r="O3898">
        <v>0</v>
      </c>
      <c r="P3898">
        <v>0.50669434255462897</v>
      </c>
      <c r="Q3898">
        <v>0.94111299110030977</v>
      </c>
      <c r="R3898">
        <v>3.67364763237175</v>
      </c>
      <c r="S3898">
        <v>0.2210922721626403</v>
      </c>
      <c r="T3898">
        <v>0.17296891122624039</v>
      </c>
      <c r="U3898">
        <v>4.2436712643831056</v>
      </c>
      <c r="V3898">
        <v>0.23810297856178911</v>
      </c>
      <c r="W3898">
        <v>7.6674217892417689</v>
      </c>
      <c r="X3898">
        <v>0.31479916309050521</v>
      </c>
      <c r="Z3898" t="s">
        <v>392</v>
      </c>
      <c r="AA3898">
        <v>114</v>
      </c>
      <c r="AB3898" t="s">
        <v>4289</v>
      </c>
      <c r="AC3898" t="str">
        <f>HYPERLINK("plots/3FT6Y578R04_015_S21P_20251218081014_M5358ACSC201811_RBGEUFRF04/dpll_52094/txpa_54212.png","plot")</f>
        <v>plot</v>
      </c>
    </row>
    <row r="3899" spans="1:29" hidden="1" x14ac:dyDescent="0.35">
      <c r="A3899" t="s">
        <v>49</v>
      </c>
      <c r="B3899">
        <v>52094</v>
      </c>
      <c r="C3899" t="s">
        <v>53</v>
      </c>
      <c r="D3899">
        <v>54213</v>
      </c>
      <c r="E3899" t="s">
        <v>233</v>
      </c>
      <c r="F3899">
        <v>12028</v>
      </c>
      <c r="G3899">
        <v>0.70111931671299987</v>
      </c>
      <c r="H3899">
        <v>0</v>
      </c>
      <c r="I3899">
        <v>0</v>
      </c>
      <c r="J3899">
        <v>0.63173556901287986</v>
      </c>
      <c r="K3899">
        <v>0</v>
      </c>
      <c r="L3899">
        <v>0</v>
      </c>
      <c r="M3899">
        <v>0.45255054942166167</v>
      </c>
      <c r="N3899">
        <v>0</v>
      </c>
      <c r="O3899">
        <v>0</v>
      </c>
      <c r="P3899">
        <v>0.49156829626810378</v>
      </c>
      <c r="Q3899">
        <v>0.91236601657520888</v>
      </c>
      <c r="R3899">
        <v>3.8093321675923968</v>
      </c>
      <c r="S3899">
        <v>0.2209226549175575</v>
      </c>
      <c r="T3899">
        <v>0.17183700186707929</v>
      </c>
      <c r="U3899">
        <v>4.2436712643831056</v>
      </c>
      <c r="V3899">
        <v>0.23810297856178911</v>
      </c>
      <c r="W3899">
        <v>7.6811136147322916</v>
      </c>
      <c r="X3899">
        <v>0.30984321913075591</v>
      </c>
      <c r="Z3899" t="s">
        <v>392</v>
      </c>
      <c r="AA3899">
        <v>114</v>
      </c>
      <c r="AB3899" t="s">
        <v>4290</v>
      </c>
      <c r="AC3899" t="str">
        <f>HYPERLINK("plots/3FT6Y578R04_015_S21P_20251218081014_M5358ACSC201811_RBGEUFRF04/dpll_52094/txpa_54213.png","plot")</f>
        <v>plot</v>
      </c>
    </row>
    <row r="3900" spans="1:29" hidden="1" x14ac:dyDescent="0.35">
      <c r="A3900" t="s">
        <v>49</v>
      </c>
      <c r="B3900">
        <v>52094</v>
      </c>
      <c r="C3900" t="s">
        <v>53</v>
      </c>
      <c r="D3900">
        <v>54214</v>
      </c>
      <c r="E3900" t="s">
        <v>234</v>
      </c>
      <c r="F3900">
        <v>12027</v>
      </c>
      <c r="G3900">
        <v>0.71838514962374289</v>
      </c>
      <c r="H3900">
        <v>0</v>
      </c>
      <c r="I3900">
        <v>0</v>
      </c>
      <c r="J3900">
        <v>0.64477273064089546</v>
      </c>
      <c r="K3900">
        <v>0</v>
      </c>
      <c r="L3900">
        <v>0</v>
      </c>
      <c r="M3900">
        <v>0.46438626492762008</v>
      </c>
      <c r="N3900">
        <v>0</v>
      </c>
      <c r="O3900">
        <v>0</v>
      </c>
      <c r="P3900">
        <v>0.51607722319992744</v>
      </c>
      <c r="Q3900">
        <v>0.94366852544092006</v>
      </c>
      <c r="R3900">
        <v>3.6777328406568541</v>
      </c>
      <c r="S3900">
        <v>0.21757673458613949</v>
      </c>
      <c r="T3900">
        <v>0.17045631566749669</v>
      </c>
      <c r="U3900">
        <v>4.2436786742329762</v>
      </c>
      <c r="V3900">
        <v>0.2381114909913796</v>
      </c>
      <c r="W3900">
        <v>7.6823588376153653</v>
      </c>
      <c r="X3900">
        <v>0.31278252301298343</v>
      </c>
      <c r="Z3900" t="s">
        <v>392</v>
      </c>
      <c r="AA3900">
        <v>114</v>
      </c>
      <c r="AB3900" t="s">
        <v>4291</v>
      </c>
      <c r="AC3900" t="str">
        <f>HYPERLINK("plots/3FT6Y578R04_015_S21P_20251218081014_M5358ACSC201811_RBGEUFRF04/dpll_52094/txpa_54214.png","plot")</f>
        <v>plot</v>
      </c>
    </row>
    <row r="3901" spans="1:29" hidden="1" x14ac:dyDescent="0.35">
      <c r="A3901" t="s">
        <v>49</v>
      </c>
      <c r="B3901">
        <v>52094</v>
      </c>
      <c r="C3901" t="s">
        <v>53</v>
      </c>
      <c r="D3901">
        <v>54215</v>
      </c>
      <c r="E3901" t="s">
        <v>235</v>
      </c>
      <c r="F3901">
        <v>12027</v>
      </c>
      <c r="G3901">
        <v>0.71761612718984324</v>
      </c>
      <c r="H3901">
        <v>0</v>
      </c>
      <c r="I3901">
        <v>0</v>
      </c>
      <c r="J3901">
        <v>0.6384292167560619</v>
      </c>
      <c r="K3901">
        <v>0</v>
      </c>
      <c r="L3901">
        <v>0</v>
      </c>
      <c r="M3901">
        <v>0.45726071178065009</v>
      </c>
      <c r="N3901">
        <v>0</v>
      </c>
      <c r="O3901">
        <v>0</v>
      </c>
      <c r="P3901">
        <v>0.51497290600294932</v>
      </c>
      <c r="Q3901">
        <v>0.93627820518171989</v>
      </c>
      <c r="R3901">
        <v>3.6916439014730291</v>
      </c>
      <c r="S3901">
        <v>0.21633196887674649</v>
      </c>
      <c r="T3901">
        <v>0.17030887793834101</v>
      </c>
      <c r="U3901">
        <v>4.2436418554918101</v>
      </c>
      <c r="V3901">
        <v>0.23809103076034549</v>
      </c>
      <c r="W3901">
        <v>7.6648732813669236</v>
      </c>
      <c r="X3901">
        <v>0.31063884227784272</v>
      </c>
      <c r="Z3901" t="s">
        <v>392</v>
      </c>
      <c r="AA3901">
        <v>114</v>
      </c>
      <c r="AB3901" t="s">
        <v>4292</v>
      </c>
      <c r="AC3901" t="str">
        <f>HYPERLINK("plots/3FT6Y578R04_015_S21P_20251218081014_M5358ACSC201811_RBGEUFRF04/dpll_52094/txpa_54215.png","plot")</f>
        <v>plot</v>
      </c>
    </row>
    <row r="3902" spans="1:29" hidden="1" x14ac:dyDescent="0.35">
      <c r="A3902" t="s">
        <v>49</v>
      </c>
      <c r="B3902">
        <v>52094</v>
      </c>
      <c r="C3902" t="s">
        <v>53</v>
      </c>
      <c r="D3902">
        <v>54216</v>
      </c>
      <c r="E3902" t="s">
        <v>236</v>
      </c>
      <c r="F3902">
        <v>12028</v>
      </c>
      <c r="G3902">
        <v>0.7219639859756104</v>
      </c>
      <c r="H3902">
        <v>0</v>
      </c>
      <c r="I3902">
        <v>0</v>
      </c>
      <c r="J3902">
        <v>0.65256724614211181</v>
      </c>
      <c r="K3902">
        <v>0</v>
      </c>
      <c r="L3902">
        <v>0</v>
      </c>
      <c r="M3902">
        <v>0.47059046121240411</v>
      </c>
      <c r="N3902">
        <v>0</v>
      </c>
      <c r="O3902">
        <v>0</v>
      </c>
      <c r="P3902">
        <v>0.52123199704579137</v>
      </c>
      <c r="Q3902">
        <v>0.95273994944695994</v>
      </c>
      <c r="R3902">
        <v>3.637086936742628</v>
      </c>
      <c r="S3902">
        <v>0.21740432270685889</v>
      </c>
      <c r="T3902">
        <v>0.17036775230619719</v>
      </c>
      <c r="U3902">
        <v>4.2436712643831056</v>
      </c>
      <c r="V3902">
        <v>0.23810297856178911</v>
      </c>
      <c r="W3902">
        <v>7.6802020826405064</v>
      </c>
      <c r="X3902">
        <v>0.31421265349071431</v>
      </c>
      <c r="Z3902" t="s">
        <v>392</v>
      </c>
      <c r="AA3902">
        <v>114</v>
      </c>
      <c r="AB3902" t="s">
        <v>4293</v>
      </c>
      <c r="AC3902" t="str">
        <f>HYPERLINK("plots/3FT6Y578R04_015_S21P_20251218081014_M5358ACSC201811_RBGEUFRF04/dpll_52094/txpa_54216.png","plot")</f>
        <v>plot</v>
      </c>
    </row>
    <row r="3903" spans="1:29" hidden="1" x14ac:dyDescent="0.35">
      <c r="A3903" t="s">
        <v>49</v>
      </c>
      <c r="B3903">
        <v>52094</v>
      </c>
      <c r="C3903" t="s">
        <v>53</v>
      </c>
      <c r="D3903">
        <v>54217</v>
      </c>
      <c r="E3903" t="s">
        <v>237</v>
      </c>
      <c r="F3903">
        <v>12028</v>
      </c>
      <c r="G3903">
        <v>0.71985248456020245</v>
      </c>
      <c r="H3903">
        <v>0</v>
      </c>
      <c r="I3903">
        <v>0</v>
      </c>
      <c r="J3903">
        <v>0.64377158267056567</v>
      </c>
      <c r="K3903">
        <v>0</v>
      </c>
      <c r="L3903">
        <v>0</v>
      </c>
      <c r="M3903">
        <v>0.46241004979578743</v>
      </c>
      <c r="N3903">
        <v>0</v>
      </c>
      <c r="O3903">
        <v>0</v>
      </c>
      <c r="P3903">
        <v>0.51818759952749649</v>
      </c>
      <c r="Q3903">
        <v>0.93563330794523325</v>
      </c>
      <c r="R3903">
        <v>3.7153326887891001</v>
      </c>
      <c r="S3903">
        <v>0.21480675119766221</v>
      </c>
      <c r="T3903">
        <v>0.1692773446063546</v>
      </c>
      <c r="U3903">
        <v>4.2436712643831056</v>
      </c>
      <c r="V3903">
        <v>0.23810297856178911</v>
      </c>
      <c r="W3903">
        <v>7.685852871715996</v>
      </c>
      <c r="X3903">
        <v>0.30947601382453582</v>
      </c>
      <c r="Z3903" t="s">
        <v>392</v>
      </c>
      <c r="AA3903">
        <v>114</v>
      </c>
      <c r="AB3903" t="s">
        <v>4294</v>
      </c>
      <c r="AC3903" t="str">
        <f>HYPERLINK("plots/3FT6Y578R04_015_S21P_20251218081014_M5358ACSC201811_RBGEUFRF04/dpll_52094/txpa_54217.png","plot")</f>
        <v>plot</v>
      </c>
    </row>
    <row r="3904" spans="1:29" hidden="1" x14ac:dyDescent="0.35">
      <c r="A3904" t="s">
        <v>49</v>
      </c>
      <c r="B3904">
        <v>52094</v>
      </c>
      <c r="C3904" t="s">
        <v>53</v>
      </c>
      <c r="D3904">
        <v>54218</v>
      </c>
      <c r="E3904" t="s">
        <v>238</v>
      </c>
      <c r="F3904">
        <v>12027</v>
      </c>
      <c r="G3904">
        <v>0.71371481255886449</v>
      </c>
      <c r="H3904">
        <v>0</v>
      </c>
      <c r="I3904">
        <v>0</v>
      </c>
      <c r="J3904">
        <v>0.63857348946175152</v>
      </c>
      <c r="K3904">
        <v>0</v>
      </c>
      <c r="L3904">
        <v>0</v>
      </c>
      <c r="M3904">
        <v>0.45936474334343258</v>
      </c>
      <c r="N3904">
        <v>0</v>
      </c>
      <c r="O3904">
        <v>0</v>
      </c>
      <c r="P3904">
        <v>0.50938883366593501</v>
      </c>
      <c r="Q3904">
        <v>0.93535099992252313</v>
      </c>
      <c r="R3904">
        <v>3.680269376752455</v>
      </c>
      <c r="S3904">
        <v>0.21855320198658579</v>
      </c>
      <c r="T3904">
        <v>0.1707986087700395</v>
      </c>
      <c r="U3904">
        <v>4.2436951445081901</v>
      </c>
      <c r="V3904">
        <v>0.2380984732054881</v>
      </c>
      <c r="W3904">
        <v>7.6496138735345474</v>
      </c>
      <c r="X3904">
        <v>0.31203730267880858</v>
      </c>
      <c r="Z3904" t="s">
        <v>392</v>
      </c>
      <c r="AA3904">
        <v>114</v>
      </c>
      <c r="AB3904" t="s">
        <v>4295</v>
      </c>
      <c r="AC3904" t="str">
        <f>HYPERLINK("plots/3FT6Y578R04_015_S21P_20251218081014_M5358ACSC201811_RBGEUFRF04/dpll_52094/txpa_54218.png","plot")</f>
        <v>plot</v>
      </c>
    </row>
    <row r="3905" spans="1:29" hidden="1" x14ac:dyDescent="0.35">
      <c r="A3905" t="s">
        <v>49</v>
      </c>
      <c r="B3905">
        <v>52094</v>
      </c>
      <c r="C3905" t="s">
        <v>53</v>
      </c>
      <c r="D3905">
        <v>54219</v>
      </c>
      <c r="E3905" t="s">
        <v>239</v>
      </c>
      <c r="F3905">
        <v>12028</v>
      </c>
      <c r="G3905">
        <v>0.70896455216941434</v>
      </c>
      <c r="H3905">
        <v>0</v>
      </c>
      <c r="I3905">
        <v>0</v>
      </c>
      <c r="J3905">
        <v>0.6426267233576749</v>
      </c>
      <c r="K3905">
        <v>0</v>
      </c>
      <c r="L3905">
        <v>0</v>
      </c>
      <c r="M3905">
        <v>0.46048193688738459</v>
      </c>
      <c r="N3905">
        <v>0</v>
      </c>
      <c r="O3905">
        <v>0</v>
      </c>
      <c r="P3905">
        <v>0.50263073623277821</v>
      </c>
      <c r="Q3905">
        <v>0.9644532052626783</v>
      </c>
      <c r="R3905">
        <v>4.6155121615339754</v>
      </c>
      <c r="S3905">
        <v>0.2284246064046834</v>
      </c>
      <c r="T3905">
        <v>0.17552297955073939</v>
      </c>
      <c r="U3905">
        <v>4.2436712643831056</v>
      </c>
      <c r="V3905">
        <v>0.23810297856178911</v>
      </c>
      <c r="W3905">
        <v>8.7083345145493851</v>
      </c>
      <c r="X3905">
        <v>0.32390784582080678</v>
      </c>
      <c r="Z3905" t="s">
        <v>392</v>
      </c>
      <c r="AA3905">
        <v>114</v>
      </c>
      <c r="AB3905" t="s">
        <v>4296</v>
      </c>
      <c r="AC3905" t="str">
        <f>HYPERLINK("plots/3FT6Y578R04_015_S21P_20251218081014_M5358ACSC201811_RBGEUFRF04/dpll_52094/txpa_54219.png","plot")</f>
        <v>plot</v>
      </c>
    </row>
    <row r="3906" spans="1:29" hidden="1" x14ac:dyDescent="0.35">
      <c r="A3906" t="s">
        <v>49</v>
      </c>
      <c r="B3906">
        <v>52094</v>
      </c>
      <c r="C3906" t="s">
        <v>53</v>
      </c>
      <c r="D3906">
        <v>54220</v>
      </c>
      <c r="E3906" t="s">
        <v>240</v>
      </c>
      <c r="F3906">
        <v>12028</v>
      </c>
      <c r="G3906">
        <v>0.72834604810048975</v>
      </c>
      <c r="H3906">
        <v>0</v>
      </c>
      <c r="I3906">
        <v>0</v>
      </c>
      <c r="J3906">
        <v>0.65558902924869733</v>
      </c>
      <c r="K3906">
        <v>0</v>
      </c>
      <c r="L3906">
        <v>0</v>
      </c>
      <c r="M3906">
        <v>0.47361454565205791</v>
      </c>
      <c r="N3906">
        <v>0</v>
      </c>
      <c r="O3906">
        <v>0</v>
      </c>
      <c r="P3906">
        <v>0.53048796578360091</v>
      </c>
      <c r="Q3906">
        <v>0.99275612911522704</v>
      </c>
      <c r="R3906">
        <v>4.5224505328057383</v>
      </c>
      <c r="S3906">
        <v>0.22236936046638139</v>
      </c>
      <c r="T3906">
        <v>0.17352538344919269</v>
      </c>
      <c r="U3906">
        <v>4.2436712643831056</v>
      </c>
      <c r="V3906">
        <v>0.23810297856178911</v>
      </c>
      <c r="W3906">
        <v>8.735381190472232</v>
      </c>
      <c r="X3906">
        <v>0.32454105015641471</v>
      </c>
      <c r="Z3906" t="s">
        <v>392</v>
      </c>
      <c r="AA3906">
        <v>114</v>
      </c>
      <c r="AB3906" t="s">
        <v>4297</v>
      </c>
      <c r="AC3906" t="str">
        <f>HYPERLINK("plots/3FT6Y578R04_015_S21P_20251218081014_M5358ACSC201811_RBGEUFRF04/dpll_52094/txpa_54220.png","plot")</f>
        <v>plot</v>
      </c>
    </row>
    <row r="3907" spans="1:29" hidden="1" x14ac:dyDescent="0.35">
      <c r="A3907" t="s">
        <v>49</v>
      </c>
      <c r="B3907">
        <v>52094</v>
      </c>
      <c r="C3907" t="s">
        <v>53</v>
      </c>
      <c r="D3907">
        <v>54221</v>
      </c>
      <c r="E3907" t="s">
        <v>241</v>
      </c>
      <c r="F3907">
        <v>12028</v>
      </c>
      <c r="G3907">
        <v>0.71837431116879213</v>
      </c>
      <c r="H3907">
        <v>0</v>
      </c>
      <c r="I3907">
        <v>0</v>
      </c>
      <c r="J3907">
        <v>0.64492584733783498</v>
      </c>
      <c r="K3907">
        <v>0</v>
      </c>
      <c r="L3907">
        <v>0</v>
      </c>
      <c r="M3907">
        <v>0.46375764657804658</v>
      </c>
      <c r="N3907">
        <v>0</v>
      </c>
      <c r="O3907">
        <v>0</v>
      </c>
      <c r="P3907">
        <v>0.51606165094723655</v>
      </c>
      <c r="Q3907">
        <v>0.9637954170568015</v>
      </c>
      <c r="R3907">
        <v>4.6591300710053218</v>
      </c>
      <c r="S3907">
        <v>0.22221627152396339</v>
      </c>
      <c r="T3907">
        <v>0.17221390216219129</v>
      </c>
      <c r="U3907">
        <v>4.2436712643831056</v>
      </c>
      <c r="V3907">
        <v>0.23810297856178911</v>
      </c>
      <c r="W3907">
        <v>8.7491609871134024</v>
      </c>
      <c r="X3907">
        <v>0.31944705699742931</v>
      </c>
      <c r="Z3907" t="s">
        <v>392</v>
      </c>
      <c r="AA3907">
        <v>114</v>
      </c>
      <c r="AB3907" t="s">
        <v>4298</v>
      </c>
      <c r="AC3907" t="str">
        <f>HYPERLINK("plots/3FT6Y578R04_015_S21P_20251218081014_M5358ACSC201811_RBGEUFRF04/dpll_52094/txpa_54221.png","plot")</f>
        <v>plot</v>
      </c>
    </row>
    <row r="3908" spans="1:29" hidden="1" x14ac:dyDescent="0.35">
      <c r="A3908" t="s">
        <v>49</v>
      </c>
      <c r="B3908">
        <v>52094</v>
      </c>
      <c r="C3908" t="s">
        <v>53</v>
      </c>
      <c r="D3908">
        <v>54222</v>
      </c>
      <c r="E3908" t="s">
        <v>242</v>
      </c>
      <c r="F3908">
        <v>12027</v>
      </c>
      <c r="G3908">
        <v>0.73456076196787956</v>
      </c>
      <c r="H3908">
        <v>0</v>
      </c>
      <c r="I3908">
        <v>0</v>
      </c>
      <c r="J3908">
        <v>0.65727568588336294</v>
      </c>
      <c r="K3908">
        <v>0</v>
      </c>
      <c r="L3908">
        <v>0</v>
      </c>
      <c r="M3908">
        <v>0.47511670615467411</v>
      </c>
      <c r="N3908">
        <v>0</v>
      </c>
      <c r="O3908">
        <v>0</v>
      </c>
      <c r="P3908">
        <v>0.5395795130228318</v>
      </c>
      <c r="Q3908">
        <v>0.99446961327095162</v>
      </c>
      <c r="R3908">
        <v>4.5295320760490494</v>
      </c>
      <c r="S3908">
        <v>0.2187275106400679</v>
      </c>
      <c r="T3908">
        <v>0.170995684066861</v>
      </c>
      <c r="U3908">
        <v>4.2436786742329762</v>
      </c>
      <c r="V3908">
        <v>0.2381114909913796</v>
      </c>
      <c r="W3908">
        <v>8.7497415660597007</v>
      </c>
      <c r="X3908">
        <v>0.32236222600183118</v>
      </c>
      <c r="Z3908" t="s">
        <v>392</v>
      </c>
      <c r="AA3908">
        <v>114</v>
      </c>
      <c r="AB3908" t="s">
        <v>4299</v>
      </c>
      <c r="AC3908" t="str">
        <f>HYPERLINK("plots/3FT6Y578R04_015_S21P_20251218081014_M5358ACSC201811_RBGEUFRF04/dpll_52094/txpa_54222.png","plot")</f>
        <v>plot</v>
      </c>
    </row>
    <row r="3909" spans="1:29" hidden="1" x14ac:dyDescent="0.35">
      <c r="A3909" t="s">
        <v>49</v>
      </c>
      <c r="B3909">
        <v>52094</v>
      </c>
      <c r="C3909" t="s">
        <v>53</v>
      </c>
      <c r="D3909">
        <v>54223</v>
      </c>
      <c r="E3909" t="s">
        <v>243</v>
      </c>
      <c r="F3909">
        <v>12027</v>
      </c>
      <c r="G3909">
        <v>0.73410190451287449</v>
      </c>
      <c r="H3909">
        <v>0</v>
      </c>
      <c r="I3909">
        <v>0</v>
      </c>
      <c r="J3909">
        <v>0.65092842165348919</v>
      </c>
      <c r="K3909">
        <v>0</v>
      </c>
      <c r="L3909">
        <v>0</v>
      </c>
      <c r="M3909">
        <v>0.46785733163230381</v>
      </c>
      <c r="N3909">
        <v>0</v>
      </c>
      <c r="O3909">
        <v>0</v>
      </c>
      <c r="P3909">
        <v>0.53890560620942951</v>
      </c>
      <c r="Q3909">
        <v>0.98752454483175811</v>
      </c>
      <c r="R3909">
        <v>4.5410556652065823</v>
      </c>
      <c r="S3909">
        <v>0.2174760560434692</v>
      </c>
      <c r="T3909">
        <v>0.17075091661321759</v>
      </c>
      <c r="U3909">
        <v>4.2436418554918101</v>
      </c>
      <c r="V3909">
        <v>0.23809103076034549</v>
      </c>
      <c r="W3909">
        <v>8.7317561569801292</v>
      </c>
      <c r="X3909">
        <v>0.32028351286753942</v>
      </c>
      <c r="Z3909" t="s">
        <v>392</v>
      </c>
      <c r="AA3909">
        <v>114</v>
      </c>
      <c r="AB3909" t="s">
        <v>4300</v>
      </c>
      <c r="AC3909" t="str">
        <f>HYPERLINK("plots/3FT6Y578R04_015_S21P_20251218081014_M5358ACSC201811_RBGEUFRF04/dpll_52094/txpa_54223.png","plot")</f>
        <v>plot</v>
      </c>
    </row>
    <row r="3910" spans="1:29" hidden="1" x14ac:dyDescent="0.35">
      <c r="A3910" t="s">
        <v>49</v>
      </c>
      <c r="B3910">
        <v>52094</v>
      </c>
      <c r="C3910" t="s">
        <v>53</v>
      </c>
      <c r="D3910">
        <v>54224</v>
      </c>
      <c r="E3910" t="s">
        <v>244</v>
      </c>
      <c r="F3910">
        <v>12028</v>
      </c>
      <c r="G3910">
        <v>0.73786931578471648</v>
      </c>
      <c r="H3910">
        <v>0</v>
      </c>
      <c r="I3910">
        <v>0</v>
      </c>
      <c r="J3910">
        <v>0.66487287522113558</v>
      </c>
      <c r="K3910">
        <v>0</v>
      </c>
      <c r="L3910">
        <v>0</v>
      </c>
      <c r="M3910">
        <v>0.48123306929493032</v>
      </c>
      <c r="N3910">
        <v>0</v>
      </c>
      <c r="O3910">
        <v>0</v>
      </c>
      <c r="P3910">
        <v>0.54445112717660571</v>
      </c>
      <c r="Q3910">
        <v>1.003958280555322</v>
      </c>
      <c r="R3910">
        <v>4.4873681471276674</v>
      </c>
      <c r="S3910">
        <v>0.21865050145514339</v>
      </c>
      <c r="T3910">
        <v>0.17088779237432761</v>
      </c>
      <c r="U3910">
        <v>4.2436712643831056</v>
      </c>
      <c r="V3910">
        <v>0.23810297856178911</v>
      </c>
      <c r="W3910">
        <v>8.7478370529597598</v>
      </c>
      <c r="X3910">
        <v>0.32396720101820742</v>
      </c>
      <c r="Z3910" t="s">
        <v>392</v>
      </c>
      <c r="AA3910">
        <v>114</v>
      </c>
      <c r="AB3910" t="s">
        <v>4301</v>
      </c>
      <c r="AC3910" t="str">
        <f>HYPERLINK("plots/3FT6Y578R04_015_S21P_20251218081014_M5358ACSC201811_RBGEUFRF04/dpll_52094/txpa_54224.png","plot")</f>
        <v>plot</v>
      </c>
    </row>
    <row r="3911" spans="1:29" hidden="1" x14ac:dyDescent="0.35">
      <c r="A3911" t="s">
        <v>49</v>
      </c>
      <c r="B3911">
        <v>52094</v>
      </c>
      <c r="C3911" t="s">
        <v>53</v>
      </c>
      <c r="D3911">
        <v>54225</v>
      </c>
      <c r="E3911" t="s">
        <v>245</v>
      </c>
      <c r="F3911">
        <v>12028</v>
      </c>
      <c r="G3911">
        <v>0.73649568311806934</v>
      </c>
      <c r="H3911">
        <v>0</v>
      </c>
      <c r="I3911">
        <v>0</v>
      </c>
      <c r="J3911">
        <v>0.65636223517020342</v>
      </c>
      <c r="K3911">
        <v>0</v>
      </c>
      <c r="L3911">
        <v>0</v>
      </c>
      <c r="M3911">
        <v>0.47327659126049859</v>
      </c>
      <c r="N3911">
        <v>0</v>
      </c>
      <c r="O3911">
        <v>0</v>
      </c>
      <c r="P3911">
        <v>0.54242589125155161</v>
      </c>
      <c r="Q3911">
        <v>0.98727643933713827</v>
      </c>
      <c r="R3911">
        <v>4.5642645319448709</v>
      </c>
      <c r="S3911">
        <v>0.21589672908389709</v>
      </c>
      <c r="T3911">
        <v>0.1697178241087467</v>
      </c>
      <c r="U3911">
        <v>4.2436712643831056</v>
      </c>
      <c r="V3911">
        <v>0.23810297856178911</v>
      </c>
      <c r="W3911">
        <v>8.7539411875623561</v>
      </c>
      <c r="X3911">
        <v>0.31917832820802122</v>
      </c>
      <c r="Z3911" t="s">
        <v>392</v>
      </c>
      <c r="AA3911">
        <v>114</v>
      </c>
      <c r="AB3911" t="s">
        <v>4302</v>
      </c>
      <c r="AC3911" t="str">
        <f>HYPERLINK("plots/3FT6Y578R04_015_S21P_20251218081014_M5358ACSC201811_RBGEUFRF04/dpll_52094/txpa_54225.png","plot")</f>
        <v>plot</v>
      </c>
    </row>
    <row r="3912" spans="1:29" hidden="1" x14ac:dyDescent="0.35">
      <c r="A3912" t="s">
        <v>49</v>
      </c>
      <c r="B3912">
        <v>52094</v>
      </c>
      <c r="C3912" t="s">
        <v>53</v>
      </c>
      <c r="D3912">
        <v>54226</v>
      </c>
      <c r="E3912" t="s">
        <v>246</v>
      </c>
      <c r="F3912">
        <v>12027</v>
      </c>
      <c r="G3912">
        <v>0.73007561371894814</v>
      </c>
      <c r="H3912">
        <v>0</v>
      </c>
      <c r="I3912">
        <v>0</v>
      </c>
      <c r="J3912">
        <v>0.65069693812178986</v>
      </c>
      <c r="K3912">
        <v>0</v>
      </c>
      <c r="L3912">
        <v>0</v>
      </c>
      <c r="M3912">
        <v>0.46961471312326891</v>
      </c>
      <c r="N3912">
        <v>0</v>
      </c>
      <c r="O3912">
        <v>0</v>
      </c>
      <c r="P3912">
        <v>0.53301040174709879</v>
      </c>
      <c r="Q3912">
        <v>0.98564388903533173</v>
      </c>
      <c r="R3912">
        <v>4.5366531029861186</v>
      </c>
      <c r="S3912">
        <v>0.2196566469457282</v>
      </c>
      <c r="T3912">
        <v>0.17122894752603249</v>
      </c>
      <c r="U3912">
        <v>4.2436951445081901</v>
      </c>
      <c r="V3912">
        <v>0.2380984732054881</v>
      </c>
      <c r="W3912">
        <v>8.7194252890995259</v>
      </c>
      <c r="X3912">
        <v>0.32144657442835101</v>
      </c>
      <c r="Z3912" t="s">
        <v>392</v>
      </c>
      <c r="AA3912">
        <v>114</v>
      </c>
      <c r="AB3912" t="s">
        <v>4303</v>
      </c>
      <c r="AC3912" t="str">
        <f>HYPERLINK("plots/3FT6Y578R04_015_S21P_20251218081014_M5358ACSC201811_RBGEUFRF04/dpll_52094/txpa_54226.png","plot")</f>
        <v>plot</v>
      </c>
    </row>
    <row r="3913" spans="1:29" hidden="1" x14ac:dyDescent="0.35">
      <c r="A3913" t="s">
        <v>49</v>
      </c>
      <c r="B3913">
        <v>52094</v>
      </c>
      <c r="C3913" t="s">
        <v>53</v>
      </c>
      <c r="D3913">
        <v>54227</v>
      </c>
      <c r="E3913" t="s">
        <v>247</v>
      </c>
      <c r="F3913">
        <v>12028</v>
      </c>
      <c r="G3913">
        <v>0.7147943002929078</v>
      </c>
      <c r="H3913">
        <v>0</v>
      </c>
      <c r="I3913">
        <v>0</v>
      </c>
      <c r="J3913">
        <v>0.64672858420554136</v>
      </c>
      <c r="K3913">
        <v>0</v>
      </c>
      <c r="L3913">
        <v>0</v>
      </c>
      <c r="M3913">
        <v>0.46397895284087221</v>
      </c>
      <c r="N3913">
        <v>0</v>
      </c>
      <c r="O3913">
        <v>0</v>
      </c>
      <c r="P3913">
        <v>0.51093089173122763</v>
      </c>
      <c r="Q3913">
        <v>0.98672147151070344</v>
      </c>
      <c r="R3913">
        <v>5.0506105319482684</v>
      </c>
      <c r="S3913">
        <v>0.22985046561464451</v>
      </c>
      <c r="T3913">
        <v>0.17630919045191401</v>
      </c>
      <c r="U3913">
        <v>4.2436712643831056</v>
      </c>
      <c r="V3913">
        <v>0.23810297856178911</v>
      </c>
      <c r="W3913">
        <v>9.2379320865480548</v>
      </c>
      <c r="X3913">
        <v>0.32868382034005578</v>
      </c>
      <c r="Z3913" t="s">
        <v>392</v>
      </c>
      <c r="AA3913">
        <v>114</v>
      </c>
      <c r="AB3913" t="s">
        <v>4304</v>
      </c>
      <c r="AC3913" t="str">
        <f>HYPERLINK("plots/3FT6Y578R04_015_S21P_20251218081014_M5358ACSC201811_RBGEUFRF04/dpll_52094/txpa_54227.png","plot")</f>
        <v>plot</v>
      </c>
    </row>
    <row r="3914" spans="1:29" hidden="1" x14ac:dyDescent="0.35">
      <c r="A3914" t="s">
        <v>49</v>
      </c>
      <c r="B3914">
        <v>52094</v>
      </c>
      <c r="C3914" t="s">
        <v>53</v>
      </c>
      <c r="D3914">
        <v>54228</v>
      </c>
      <c r="E3914" t="s">
        <v>248</v>
      </c>
      <c r="F3914">
        <v>12028</v>
      </c>
      <c r="G3914">
        <v>0.73360991858839453</v>
      </c>
      <c r="H3914">
        <v>0</v>
      </c>
      <c r="I3914">
        <v>0</v>
      </c>
      <c r="J3914">
        <v>0.65939576547420919</v>
      </c>
      <c r="K3914">
        <v>0</v>
      </c>
      <c r="L3914">
        <v>0</v>
      </c>
      <c r="M3914">
        <v>0.47692306128955653</v>
      </c>
      <c r="N3914">
        <v>0</v>
      </c>
      <c r="O3914">
        <v>0</v>
      </c>
      <c r="P3914">
        <v>0.53818351265127085</v>
      </c>
      <c r="Q3914">
        <v>1.014821520609001</v>
      </c>
      <c r="R3914">
        <v>4.9578670357710797</v>
      </c>
      <c r="S3914">
        <v>0.22382364541548239</v>
      </c>
      <c r="T3914">
        <v>0.17435225290424891</v>
      </c>
      <c r="U3914">
        <v>4.2436712643831056</v>
      </c>
      <c r="V3914">
        <v>0.23810297856178911</v>
      </c>
      <c r="W3914">
        <v>9.2644359612570675</v>
      </c>
      <c r="X3914">
        <v>0.32937399105856319</v>
      </c>
      <c r="Z3914" t="s">
        <v>392</v>
      </c>
      <c r="AA3914">
        <v>114</v>
      </c>
      <c r="AB3914" t="s">
        <v>4305</v>
      </c>
      <c r="AC3914" t="str">
        <f>HYPERLINK("plots/3FT6Y578R04_015_S21P_20251218081014_M5358ACSC201811_RBGEUFRF04/dpll_52094/txpa_54228.png","plot")</f>
        <v>plot</v>
      </c>
    </row>
    <row r="3915" spans="1:29" hidden="1" x14ac:dyDescent="0.35">
      <c r="A3915" t="s">
        <v>49</v>
      </c>
      <c r="B3915">
        <v>52094</v>
      </c>
      <c r="C3915" t="s">
        <v>53</v>
      </c>
      <c r="D3915">
        <v>54229</v>
      </c>
      <c r="E3915" t="s">
        <v>249</v>
      </c>
      <c r="F3915">
        <v>12028</v>
      </c>
      <c r="G3915">
        <v>0.7240636960533956</v>
      </c>
      <c r="H3915">
        <v>0</v>
      </c>
      <c r="I3915">
        <v>0</v>
      </c>
      <c r="J3915">
        <v>0.64884237272137768</v>
      </c>
      <c r="K3915">
        <v>0</v>
      </c>
      <c r="L3915">
        <v>0</v>
      </c>
      <c r="M3915">
        <v>0.46711662945757149</v>
      </c>
      <c r="N3915">
        <v>0</v>
      </c>
      <c r="O3915">
        <v>0</v>
      </c>
      <c r="P3915">
        <v>0.52426823594250405</v>
      </c>
      <c r="Q3915">
        <v>0.98594675795498776</v>
      </c>
      <c r="R3915">
        <v>5.0941556199499773</v>
      </c>
      <c r="S3915">
        <v>0.2236168571335673</v>
      </c>
      <c r="T3915">
        <v>0.172959092183846</v>
      </c>
      <c r="U3915">
        <v>4.2436712643831056</v>
      </c>
      <c r="V3915">
        <v>0.23810297856178911</v>
      </c>
      <c r="W3915">
        <v>9.2781895448952447</v>
      </c>
      <c r="X3915">
        <v>0.32422128198388472</v>
      </c>
      <c r="Z3915" t="s">
        <v>392</v>
      </c>
      <c r="AA3915">
        <v>114</v>
      </c>
      <c r="AB3915" t="s">
        <v>4306</v>
      </c>
      <c r="AC3915" t="str">
        <f>HYPERLINK("plots/3FT6Y578R04_015_S21P_20251218081014_M5358ACSC201811_RBGEUFRF04/dpll_52094/txpa_54229.png","plot")</f>
        <v>plot</v>
      </c>
    </row>
    <row r="3916" spans="1:29" hidden="1" x14ac:dyDescent="0.35">
      <c r="A3916" t="s">
        <v>49</v>
      </c>
      <c r="B3916">
        <v>52094</v>
      </c>
      <c r="C3916" t="s">
        <v>53</v>
      </c>
      <c r="D3916">
        <v>54230</v>
      </c>
      <c r="E3916" t="s">
        <v>250</v>
      </c>
      <c r="F3916">
        <v>12027</v>
      </c>
      <c r="G3916">
        <v>0.739873886801512</v>
      </c>
      <c r="H3916">
        <v>0</v>
      </c>
      <c r="I3916">
        <v>0</v>
      </c>
      <c r="J3916">
        <v>0.66110371268004997</v>
      </c>
      <c r="K3916">
        <v>0</v>
      </c>
      <c r="L3916">
        <v>0</v>
      </c>
      <c r="M3916">
        <v>0.47842505440815652</v>
      </c>
      <c r="N3916">
        <v>0</v>
      </c>
      <c r="O3916">
        <v>0</v>
      </c>
      <c r="P3916">
        <v>0.54741336837077659</v>
      </c>
      <c r="Q3916">
        <v>1.016704999605351</v>
      </c>
      <c r="R3916">
        <v>4.9638782797451384</v>
      </c>
      <c r="S3916">
        <v>0.22011539541790451</v>
      </c>
      <c r="T3916">
        <v>0.1718415791113713</v>
      </c>
      <c r="U3916">
        <v>4.2436786742329762</v>
      </c>
      <c r="V3916">
        <v>0.2381114909913796</v>
      </c>
      <c r="W3916">
        <v>9.2784476045564137</v>
      </c>
      <c r="X3916">
        <v>0.32720325405857459</v>
      </c>
      <c r="Z3916" t="s">
        <v>392</v>
      </c>
      <c r="AA3916">
        <v>114</v>
      </c>
      <c r="AB3916" t="s">
        <v>4307</v>
      </c>
      <c r="AC3916" t="str">
        <f>HYPERLINK("plots/3FT6Y578R04_015_S21P_20251218081014_M5358ACSC201811_RBGEUFRF04/dpll_52094/txpa_54230.png","plot")</f>
        <v>plot</v>
      </c>
    </row>
    <row r="3917" spans="1:29" hidden="1" x14ac:dyDescent="0.35">
      <c r="A3917" t="s">
        <v>49</v>
      </c>
      <c r="B3917">
        <v>52094</v>
      </c>
      <c r="C3917" t="s">
        <v>53</v>
      </c>
      <c r="D3917">
        <v>54231</v>
      </c>
      <c r="E3917" t="s">
        <v>251</v>
      </c>
      <c r="F3917">
        <v>12027</v>
      </c>
      <c r="G3917">
        <v>0.7395327272400487</v>
      </c>
      <c r="H3917">
        <v>0</v>
      </c>
      <c r="I3917">
        <v>0</v>
      </c>
      <c r="J3917">
        <v>0.65481566143144143</v>
      </c>
      <c r="K3917">
        <v>0</v>
      </c>
      <c r="L3917">
        <v>0</v>
      </c>
      <c r="M3917">
        <v>0.4711580702342868</v>
      </c>
      <c r="N3917">
        <v>0</v>
      </c>
      <c r="O3917">
        <v>0</v>
      </c>
      <c r="P3917">
        <v>0.54690865465910432</v>
      </c>
      <c r="Q3917">
        <v>1.009846094396285</v>
      </c>
      <c r="R3917">
        <v>4.9747760904986889</v>
      </c>
      <c r="S3917">
        <v>0.21883443142477091</v>
      </c>
      <c r="T3917">
        <v>0.1715563388570584</v>
      </c>
      <c r="U3917">
        <v>4.2436418554918101</v>
      </c>
      <c r="V3917">
        <v>0.23809103076034549</v>
      </c>
      <c r="W3917">
        <v>9.2602012442836958</v>
      </c>
      <c r="X3917">
        <v>0.3251178597888833</v>
      </c>
      <c r="Z3917" t="s">
        <v>392</v>
      </c>
      <c r="AA3917">
        <v>114</v>
      </c>
      <c r="AB3917" t="s">
        <v>4308</v>
      </c>
      <c r="AC3917" t="str">
        <f>HYPERLINK("plots/3FT6Y578R04_015_S21P_20251218081014_M5358ACSC201811_RBGEUFRF04/dpll_52094/txpa_54231.png","plot")</f>
        <v>plot</v>
      </c>
    </row>
    <row r="3918" spans="1:29" hidden="1" x14ac:dyDescent="0.35">
      <c r="A3918" t="s">
        <v>49</v>
      </c>
      <c r="B3918">
        <v>52094</v>
      </c>
      <c r="C3918" t="s">
        <v>53</v>
      </c>
      <c r="D3918">
        <v>54232</v>
      </c>
      <c r="E3918" t="s">
        <v>252</v>
      </c>
      <c r="F3918">
        <v>12027</v>
      </c>
      <c r="G3918">
        <v>0.74503823313766737</v>
      </c>
      <c r="H3918">
        <v>0</v>
      </c>
      <c r="I3918">
        <v>0</v>
      </c>
      <c r="J3918">
        <v>0.66865828795286053</v>
      </c>
      <c r="K3918">
        <v>0</v>
      </c>
      <c r="L3918">
        <v>0</v>
      </c>
      <c r="M3918">
        <v>0.48451950528824228</v>
      </c>
      <c r="N3918">
        <v>0</v>
      </c>
      <c r="O3918">
        <v>0</v>
      </c>
      <c r="P3918">
        <v>0.5550819688368972</v>
      </c>
      <c r="Q3918">
        <v>1.0273194696663479</v>
      </c>
      <c r="R3918">
        <v>4.9170565641456543</v>
      </c>
      <c r="S3918">
        <v>0.21896773983324019</v>
      </c>
      <c r="T3918">
        <v>0.17147562617170861</v>
      </c>
      <c r="U3918">
        <v>4.2436377816579363</v>
      </c>
      <c r="V3918">
        <v>0.2380845584627882</v>
      </c>
      <c r="W3918">
        <v>9.2766282794545614</v>
      </c>
      <c r="X3918">
        <v>0.32829040370944729</v>
      </c>
      <c r="Z3918" t="s">
        <v>392</v>
      </c>
      <c r="AA3918">
        <v>114</v>
      </c>
      <c r="AB3918" t="s">
        <v>4309</v>
      </c>
      <c r="AC3918" t="str">
        <f>HYPERLINK("plots/3FT6Y578R04_015_S21P_20251218081014_M5358ACSC201811_RBGEUFRF04/dpll_52094/txpa_54232.png","plot")</f>
        <v>plot</v>
      </c>
    </row>
    <row r="3919" spans="1:29" hidden="1" x14ac:dyDescent="0.35">
      <c r="A3919" t="s">
        <v>49</v>
      </c>
      <c r="B3919">
        <v>52094</v>
      </c>
      <c r="C3919" t="s">
        <v>53</v>
      </c>
      <c r="D3919">
        <v>54233</v>
      </c>
      <c r="E3919" t="s">
        <v>253</v>
      </c>
      <c r="F3919">
        <v>12028</v>
      </c>
      <c r="G3919">
        <v>0.74200294145621715</v>
      </c>
      <c r="H3919">
        <v>0</v>
      </c>
      <c r="I3919">
        <v>0</v>
      </c>
      <c r="J3919">
        <v>0.66031493829451926</v>
      </c>
      <c r="K3919">
        <v>0</v>
      </c>
      <c r="L3919">
        <v>0</v>
      </c>
      <c r="M3919">
        <v>0.4766902967969881</v>
      </c>
      <c r="N3919">
        <v>0</v>
      </c>
      <c r="O3919">
        <v>0</v>
      </c>
      <c r="P3919">
        <v>0.55056836512967844</v>
      </c>
      <c r="Q3919">
        <v>1.0094568218343041</v>
      </c>
      <c r="R3919">
        <v>4.9989637690510911</v>
      </c>
      <c r="S3919">
        <v>0.21715044001008971</v>
      </c>
      <c r="T3919">
        <v>0.17043872888153569</v>
      </c>
      <c r="U3919">
        <v>4.2436712643831056</v>
      </c>
      <c r="V3919">
        <v>0.23810297856178911</v>
      </c>
      <c r="W3919">
        <v>9.2827666765048225</v>
      </c>
      <c r="X3919">
        <v>0.32392685066255522</v>
      </c>
      <c r="Z3919" t="s">
        <v>392</v>
      </c>
      <c r="AA3919">
        <v>114</v>
      </c>
      <c r="AB3919" t="s">
        <v>4310</v>
      </c>
      <c r="AC3919" t="str">
        <f>HYPERLINK("plots/3FT6Y578R04_015_S21P_20251218081014_M5358ACSC201811_RBGEUFRF04/dpll_52094/txpa_54233.png","plot")</f>
        <v>plot</v>
      </c>
    </row>
    <row r="3920" spans="1:29" hidden="1" x14ac:dyDescent="0.35">
      <c r="A3920" t="s">
        <v>49</v>
      </c>
      <c r="B3920">
        <v>52094</v>
      </c>
      <c r="C3920" t="s">
        <v>53</v>
      </c>
      <c r="D3920">
        <v>54234</v>
      </c>
      <c r="E3920" t="s">
        <v>254</v>
      </c>
      <c r="F3920">
        <v>12027</v>
      </c>
      <c r="G3920">
        <v>0.73536404474343464</v>
      </c>
      <c r="H3920">
        <v>0</v>
      </c>
      <c r="I3920">
        <v>0</v>
      </c>
      <c r="J3920">
        <v>0.65424269154167203</v>
      </c>
      <c r="K3920">
        <v>0</v>
      </c>
      <c r="L3920">
        <v>0</v>
      </c>
      <c r="M3920">
        <v>0.47266288140485491</v>
      </c>
      <c r="N3920">
        <v>0</v>
      </c>
      <c r="O3920">
        <v>0</v>
      </c>
      <c r="P3920">
        <v>0.54076027830142415</v>
      </c>
      <c r="Q3920">
        <v>1.0075463747310021</v>
      </c>
      <c r="R3920">
        <v>4.9732633998895954</v>
      </c>
      <c r="S3920">
        <v>0.22106547951582539</v>
      </c>
      <c r="T3920">
        <v>0.17207202623103271</v>
      </c>
      <c r="U3920">
        <v>4.2436951445081901</v>
      </c>
      <c r="V3920">
        <v>0.2380984732054881</v>
      </c>
      <c r="W3920">
        <v>9.2489830582023789</v>
      </c>
      <c r="X3920">
        <v>0.32622652035003241</v>
      </c>
      <c r="Z3920" t="s">
        <v>392</v>
      </c>
      <c r="AA3920">
        <v>114</v>
      </c>
      <c r="AB3920" t="s">
        <v>4311</v>
      </c>
      <c r="AC3920" t="str">
        <f>HYPERLINK("plots/3FT6Y578R04_015_S21P_20251218081014_M5358ACSC201811_RBGEUFRF04/dpll_52094/txpa_54234.png","plot")</f>
        <v>plot</v>
      </c>
    </row>
    <row r="3921" spans="1:29" hidden="1" x14ac:dyDescent="0.35">
      <c r="A3921" t="s">
        <v>49</v>
      </c>
      <c r="B3921">
        <v>52094</v>
      </c>
      <c r="C3921" t="s">
        <v>53</v>
      </c>
      <c r="D3921">
        <v>54235</v>
      </c>
      <c r="E3921" t="s">
        <v>255</v>
      </c>
      <c r="F3921">
        <v>12028</v>
      </c>
      <c r="G3921">
        <v>0.71994527829167831</v>
      </c>
      <c r="H3921">
        <v>0</v>
      </c>
      <c r="I3921">
        <v>0</v>
      </c>
      <c r="J3921">
        <v>0.65019643450212483</v>
      </c>
      <c r="K3921">
        <v>0</v>
      </c>
      <c r="L3921">
        <v>0</v>
      </c>
      <c r="M3921">
        <v>0.4669129192928711</v>
      </c>
      <c r="N3921">
        <v>0</v>
      </c>
      <c r="O3921">
        <v>0</v>
      </c>
      <c r="P3921">
        <v>0.51832120373448209</v>
      </c>
      <c r="Q3921">
        <v>1.0075484829774519</v>
      </c>
      <c r="R3921">
        <v>5.4572632514581292</v>
      </c>
      <c r="S3921">
        <v>0.23125546470488201</v>
      </c>
      <c r="T3921">
        <v>0.17705196708167359</v>
      </c>
      <c r="U3921">
        <v>4.2436712643831056</v>
      </c>
      <c r="V3921">
        <v>0.23810297856178911</v>
      </c>
      <c r="W3921">
        <v>9.7329677961423346</v>
      </c>
      <c r="X3921">
        <v>0.3332201794719602</v>
      </c>
      <c r="Z3921" t="s">
        <v>392</v>
      </c>
      <c r="AA3921">
        <v>114</v>
      </c>
      <c r="AB3921" t="s">
        <v>4312</v>
      </c>
      <c r="AC3921" t="str">
        <f>HYPERLINK("plots/3FT6Y578R04_015_S21P_20251218081014_M5358ACSC201811_RBGEUFRF04/dpll_52094/txpa_54235.png","plot")</f>
        <v>plot</v>
      </c>
    </row>
    <row r="3922" spans="1:29" hidden="1" x14ac:dyDescent="0.35">
      <c r="A3922" t="s">
        <v>49</v>
      </c>
      <c r="B3922">
        <v>52094</v>
      </c>
      <c r="C3922" t="s">
        <v>53</v>
      </c>
      <c r="D3922">
        <v>54236</v>
      </c>
      <c r="E3922" t="s">
        <v>256</v>
      </c>
      <c r="F3922">
        <v>12028</v>
      </c>
      <c r="G3922">
        <v>0.73848040926360448</v>
      </c>
      <c r="H3922">
        <v>0</v>
      </c>
      <c r="I3922">
        <v>0</v>
      </c>
      <c r="J3922">
        <v>0.66272944272015122</v>
      </c>
      <c r="K3922">
        <v>0</v>
      </c>
      <c r="L3922">
        <v>0</v>
      </c>
      <c r="M3922">
        <v>0.47981862796284519</v>
      </c>
      <c r="N3922">
        <v>0</v>
      </c>
      <c r="O3922">
        <v>0</v>
      </c>
      <c r="P3922">
        <v>0.5453533148661408</v>
      </c>
      <c r="Q3922">
        <v>1.0360538676176221</v>
      </c>
      <c r="R3922">
        <v>5.3628668650581384</v>
      </c>
      <c r="S3922">
        <v>0.22523047159553641</v>
      </c>
      <c r="T3922">
        <v>0.17513980735362289</v>
      </c>
      <c r="U3922">
        <v>4.2436712643831056</v>
      </c>
      <c r="V3922">
        <v>0.23810297856178911</v>
      </c>
      <c r="W3922">
        <v>9.7595388914200196</v>
      </c>
      <c r="X3922">
        <v>0.33404746928386131</v>
      </c>
      <c r="Z3922" t="s">
        <v>392</v>
      </c>
      <c r="AA3922">
        <v>114</v>
      </c>
      <c r="AB3922" t="s">
        <v>4313</v>
      </c>
      <c r="AC3922" t="str">
        <f>HYPERLINK("plots/3FT6Y578R04_015_S21P_20251218081014_M5358ACSC201811_RBGEUFRF04/dpll_52094/txpa_54236.png","plot")</f>
        <v>plot</v>
      </c>
    </row>
    <row r="3923" spans="1:29" hidden="1" x14ac:dyDescent="0.35">
      <c r="A3923" t="s">
        <v>49</v>
      </c>
      <c r="B3923">
        <v>52094</v>
      </c>
      <c r="C3923" t="s">
        <v>53</v>
      </c>
      <c r="D3923">
        <v>54237</v>
      </c>
      <c r="E3923" t="s">
        <v>257</v>
      </c>
      <c r="F3923">
        <v>12028</v>
      </c>
      <c r="G3923">
        <v>0.72935777962542825</v>
      </c>
      <c r="H3923">
        <v>0</v>
      </c>
      <c r="I3923">
        <v>0</v>
      </c>
      <c r="J3923">
        <v>0.65226781566261205</v>
      </c>
      <c r="K3923">
        <v>0</v>
      </c>
      <c r="L3923">
        <v>0</v>
      </c>
      <c r="M3923">
        <v>0.47004845432046638</v>
      </c>
      <c r="N3923">
        <v>0</v>
      </c>
      <c r="O3923">
        <v>0</v>
      </c>
      <c r="P3923">
        <v>0.53196277070013476</v>
      </c>
      <c r="Q3923">
        <v>1.0072460762945949</v>
      </c>
      <c r="R3923">
        <v>5.499194979460273</v>
      </c>
      <c r="S3923">
        <v>0.22494789758734041</v>
      </c>
      <c r="T3923">
        <v>0.17367737202223291</v>
      </c>
      <c r="U3923">
        <v>4.2436712643831056</v>
      </c>
      <c r="V3923">
        <v>0.23810297856178911</v>
      </c>
      <c r="W3923">
        <v>9.7736162095942802</v>
      </c>
      <c r="X3923">
        <v>0.3288211870909023</v>
      </c>
      <c r="Z3923" t="s">
        <v>392</v>
      </c>
      <c r="AA3923">
        <v>114</v>
      </c>
      <c r="AB3923" t="s">
        <v>4314</v>
      </c>
      <c r="AC3923" t="str">
        <f>HYPERLINK("plots/3FT6Y578R04_015_S21P_20251218081014_M5358ACSC201811_RBGEUFRF04/dpll_52094/txpa_54237.png","plot")</f>
        <v>plot</v>
      </c>
    </row>
    <row r="3924" spans="1:29" hidden="1" x14ac:dyDescent="0.35">
      <c r="A3924" t="s">
        <v>49</v>
      </c>
      <c r="B3924">
        <v>52094</v>
      </c>
      <c r="C3924" t="s">
        <v>53</v>
      </c>
      <c r="D3924">
        <v>54238</v>
      </c>
      <c r="E3924" t="s">
        <v>258</v>
      </c>
      <c r="F3924">
        <v>12027</v>
      </c>
      <c r="G3924">
        <v>0.74472852668473732</v>
      </c>
      <c r="H3924">
        <v>0</v>
      </c>
      <c r="I3924">
        <v>0</v>
      </c>
      <c r="J3924">
        <v>0.66438389873155945</v>
      </c>
      <c r="K3924">
        <v>0</v>
      </c>
      <c r="L3924">
        <v>0</v>
      </c>
      <c r="M3924">
        <v>0.48126321891783941</v>
      </c>
      <c r="N3924">
        <v>0</v>
      </c>
      <c r="O3924">
        <v>0</v>
      </c>
      <c r="P3924">
        <v>0.55462057845801949</v>
      </c>
      <c r="Q3924">
        <v>1.0377670082100301</v>
      </c>
      <c r="R3924">
        <v>5.3693016697228089</v>
      </c>
      <c r="S3924">
        <v>0.2214263199868616</v>
      </c>
      <c r="T3924">
        <v>0.17258167656716911</v>
      </c>
      <c r="U3924">
        <v>4.2436786742329762</v>
      </c>
      <c r="V3924">
        <v>0.2381114909913796</v>
      </c>
      <c r="W3924">
        <v>9.7732513912862728</v>
      </c>
      <c r="X3924">
        <v>0.331804464005928</v>
      </c>
      <c r="Z3924" t="s">
        <v>392</v>
      </c>
      <c r="AA3924">
        <v>114</v>
      </c>
      <c r="AB3924" t="s">
        <v>4315</v>
      </c>
      <c r="AC3924" t="str">
        <f>HYPERLINK("plots/3FT6Y578R04_015_S21P_20251218081014_M5358ACSC201811_RBGEUFRF04/dpll_52094/txpa_54238.png","plot")</f>
        <v>plot</v>
      </c>
    </row>
    <row r="3925" spans="1:29" hidden="1" x14ac:dyDescent="0.35">
      <c r="A3925" t="s">
        <v>49</v>
      </c>
      <c r="B3925">
        <v>52094</v>
      </c>
      <c r="C3925" t="s">
        <v>53</v>
      </c>
      <c r="D3925">
        <v>54239</v>
      </c>
      <c r="E3925" t="s">
        <v>259</v>
      </c>
      <c r="F3925">
        <v>12027</v>
      </c>
      <c r="G3925">
        <v>0.74459250758217765</v>
      </c>
      <c r="H3925">
        <v>0</v>
      </c>
      <c r="I3925">
        <v>0</v>
      </c>
      <c r="J3925">
        <v>0.65823374522052935</v>
      </c>
      <c r="K3925">
        <v>0</v>
      </c>
      <c r="L3925">
        <v>0</v>
      </c>
      <c r="M3925">
        <v>0.47406013118329021</v>
      </c>
      <c r="N3925">
        <v>0</v>
      </c>
      <c r="O3925">
        <v>0</v>
      </c>
      <c r="P3925">
        <v>0.55441800234751526</v>
      </c>
      <c r="Q3925">
        <v>1.0313745533284511</v>
      </c>
      <c r="R3925">
        <v>5.3779821499666038</v>
      </c>
      <c r="S3925">
        <v>0.2201337073568343</v>
      </c>
      <c r="T3925">
        <v>0.1723446689962583</v>
      </c>
      <c r="U3925">
        <v>4.2436418554918101</v>
      </c>
      <c r="V3925">
        <v>0.23809103076034549</v>
      </c>
      <c r="W3925">
        <v>9.754766373160388</v>
      </c>
      <c r="X3925">
        <v>0.32979250798445681</v>
      </c>
      <c r="Z3925" t="s">
        <v>392</v>
      </c>
      <c r="AA3925">
        <v>114</v>
      </c>
      <c r="AB3925" t="s">
        <v>4316</v>
      </c>
      <c r="AC3925" t="str">
        <f>HYPERLINK("plots/3FT6Y578R04_015_S21P_20251218081014_M5358ACSC201811_RBGEUFRF04/dpll_52094/txpa_54239.png","plot")</f>
        <v>plot</v>
      </c>
    </row>
    <row r="3926" spans="1:29" hidden="1" x14ac:dyDescent="0.35">
      <c r="A3926" t="s">
        <v>49</v>
      </c>
      <c r="B3926">
        <v>52094</v>
      </c>
      <c r="C3926" t="s">
        <v>53</v>
      </c>
      <c r="D3926">
        <v>54240</v>
      </c>
      <c r="E3926" t="s">
        <v>260</v>
      </c>
      <c r="F3926">
        <v>12027</v>
      </c>
      <c r="G3926">
        <v>0.7496565776476628</v>
      </c>
      <c r="H3926">
        <v>0</v>
      </c>
      <c r="I3926">
        <v>0</v>
      </c>
      <c r="J3926">
        <v>0.67143448309864218</v>
      </c>
      <c r="K3926">
        <v>0</v>
      </c>
      <c r="L3926">
        <v>0</v>
      </c>
      <c r="M3926">
        <v>0.48694210216619033</v>
      </c>
      <c r="N3926">
        <v>0</v>
      </c>
      <c r="O3926">
        <v>0</v>
      </c>
      <c r="P3926">
        <v>0.56198498441040634</v>
      </c>
      <c r="Q3926">
        <v>1.0482538381162141</v>
      </c>
      <c r="R3926">
        <v>5.3232662533163513</v>
      </c>
      <c r="S3926">
        <v>0.2203239850042821</v>
      </c>
      <c r="T3926">
        <v>0.1723117451155213</v>
      </c>
      <c r="U3926">
        <v>4.2436377816579363</v>
      </c>
      <c r="V3926">
        <v>0.2380845584627882</v>
      </c>
      <c r="W3926">
        <v>9.7716758455142596</v>
      </c>
      <c r="X3926">
        <v>0.33291651090150359</v>
      </c>
      <c r="Z3926" t="s">
        <v>392</v>
      </c>
      <c r="AA3926">
        <v>114</v>
      </c>
      <c r="AB3926" t="s">
        <v>4317</v>
      </c>
      <c r="AC3926" t="str">
        <f>HYPERLINK("plots/3FT6Y578R04_015_S21P_20251218081014_M5358ACSC201811_RBGEUFRF04/dpll_52094/txpa_54240.png","plot")</f>
        <v>plot</v>
      </c>
    </row>
    <row r="3927" spans="1:29" hidden="1" x14ac:dyDescent="0.35">
      <c r="A3927" t="s">
        <v>49</v>
      </c>
      <c r="B3927">
        <v>52094</v>
      </c>
      <c r="C3927" t="s">
        <v>53</v>
      </c>
      <c r="D3927">
        <v>54241</v>
      </c>
      <c r="E3927" t="s">
        <v>261</v>
      </c>
      <c r="F3927">
        <v>12028</v>
      </c>
      <c r="G3927">
        <v>0.74689802448304599</v>
      </c>
      <c r="H3927">
        <v>0</v>
      </c>
      <c r="I3927">
        <v>0</v>
      </c>
      <c r="J3927">
        <v>0.66337086997029193</v>
      </c>
      <c r="K3927">
        <v>0</v>
      </c>
      <c r="L3927">
        <v>0</v>
      </c>
      <c r="M3927">
        <v>0.47934675256942227</v>
      </c>
      <c r="N3927">
        <v>0</v>
      </c>
      <c r="O3927">
        <v>0</v>
      </c>
      <c r="P3927">
        <v>0.5578566589766768</v>
      </c>
      <c r="Q3927">
        <v>1.0307081827948961</v>
      </c>
      <c r="R3927">
        <v>5.4038798666429253</v>
      </c>
      <c r="S3927">
        <v>0.21847549476413969</v>
      </c>
      <c r="T3927">
        <v>0.1712067339319662</v>
      </c>
      <c r="U3927">
        <v>4.2436712643831056</v>
      </c>
      <c r="V3927">
        <v>0.23810297856178911</v>
      </c>
      <c r="W3927">
        <v>9.777866563934154</v>
      </c>
      <c r="X3927">
        <v>0.32857857472756541</v>
      </c>
      <c r="Z3927" t="s">
        <v>392</v>
      </c>
      <c r="AA3927">
        <v>114</v>
      </c>
      <c r="AB3927" t="s">
        <v>4318</v>
      </c>
      <c r="AC3927" t="str">
        <f>HYPERLINK("plots/3FT6Y578R04_015_S21P_20251218081014_M5358ACSC201811_RBGEUFRF04/dpll_52094/txpa_54241.png","plot")</f>
        <v>plot</v>
      </c>
    </row>
    <row r="3928" spans="1:29" hidden="1" x14ac:dyDescent="0.35">
      <c r="A3928" t="s">
        <v>49</v>
      </c>
      <c r="B3928">
        <v>52094</v>
      </c>
      <c r="C3928" t="s">
        <v>53</v>
      </c>
      <c r="D3928">
        <v>54242</v>
      </c>
      <c r="E3928" t="s">
        <v>262</v>
      </c>
      <c r="F3928">
        <v>12027</v>
      </c>
      <c r="G3928">
        <v>0.74022611140249073</v>
      </c>
      <c r="H3928">
        <v>0</v>
      </c>
      <c r="I3928">
        <v>0</v>
      </c>
      <c r="J3928">
        <v>0.65742194681669897</v>
      </c>
      <c r="K3928">
        <v>0</v>
      </c>
      <c r="L3928">
        <v>0</v>
      </c>
      <c r="M3928">
        <v>0.47540073733206611</v>
      </c>
      <c r="N3928">
        <v>0</v>
      </c>
      <c r="O3928">
        <v>0</v>
      </c>
      <c r="P3928">
        <v>0.54793469600205258</v>
      </c>
      <c r="Q3928">
        <v>1.0282744604588041</v>
      </c>
      <c r="R3928">
        <v>5.3807488633993019</v>
      </c>
      <c r="S3928">
        <v>0.2223738890513326</v>
      </c>
      <c r="T3928">
        <v>0.17278606816873221</v>
      </c>
      <c r="U3928">
        <v>4.2436951445081901</v>
      </c>
      <c r="V3928">
        <v>0.2380984732054881</v>
      </c>
      <c r="W3928">
        <v>9.7444321984701077</v>
      </c>
      <c r="X3928">
        <v>0.33075107092286049</v>
      </c>
      <c r="Z3928" t="s">
        <v>392</v>
      </c>
      <c r="AA3928">
        <v>114</v>
      </c>
      <c r="AB3928" t="s">
        <v>4319</v>
      </c>
      <c r="AC3928" t="str">
        <f>HYPERLINK("plots/3FT6Y578R04_015_S21P_20251218081014_M5358ACSC201811_RBGEUFRF04/dpll_52094/txpa_54242.png","plot")</f>
        <v>plot</v>
      </c>
    </row>
    <row r="3929" spans="1:29" hidden="1" x14ac:dyDescent="0.35">
      <c r="A3929" t="s">
        <v>49</v>
      </c>
      <c r="B3929">
        <v>52094</v>
      </c>
      <c r="C3929" t="s">
        <v>53</v>
      </c>
      <c r="D3929">
        <v>54243</v>
      </c>
      <c r="E3929" t="s">
        <v>263</v>
      </c>
      <c r="F3929">
        <v>12028</v>
      </c>
      <c r="G3929">
        <v>0.73317480316391725</v>
      </c>
      <c r="H3929">
        <v>0</v>
      </c>
      <c r="I3929">
        <v>0</v>
      </c>
      <c r="J3929">
        <v>0.65919915777758276</v>
      </c>
      <c r="K3929">
        <v>0</v>
      </c>
      <c r="L3929">
        <v>0</v>
      </c>
      <c r="M3929">
        <v>0.4747484541988034</v>
      </c>
      <c r="N3929">
        <v>0</v>
      </c>
      <c r="O3929">
        <v>0</v>
      </c>
      <c r="P3929">
        <v>0.53754529199444878</v>
      </c>
      <c r="Q3929">
        <v>1.0679162749221389</v>
      </c>
      <c r="R3929">
        <v>6.8385919324167057</v>
      </c>
      <c r="S3929">
        <v>0.2358365160481721</v>
      </c>
      <c r="T3929">
        <v>0.17953403742756441</v>
      </c>
      <c r="U3929">
        <v>4.2436712643831056</v>
      </c>
      <c r="V3929">
        <v>0.23810297856178911</v>
      </c>
      <c r="W3929">
        <v>11.370477541070841</v>
      </c>
      <c r="X3929">
        <v>0.34681230835577842</v>
      </c>
      <c r="Z3929" t="s">
        <v>392</v>
      </c>
      <c r="AA3929">
        <v>114</v>
      </c>
      <c r="AB3929" t="s">
        <v>4320</v>
      </c>
      <c r="AC3929" t="str">
        <f>HYPERLINK("plots/3FT6Y578R04_015_S21P_20251218081014_M5358ACSC201811_RBGEUFRF04/dpll_52094/txpa_54243.png","plot")</f>
        <v>plot</v>
      </c>
    </row>
    <row r="3930" spans="1:29" hidden="1" x14ac:dyDescent="0.35">
      <c r="A3930" t="s">
        <v>49</v>
      </c>
      <c r="B3930">
        <v>52094</v>
      </c>
      <c r="C3930" t="s">
        <v>53</v>
      </c>
      <c r="D3930">
        <v>54244</v>
      </c>
      <c r="E3930" t="s">
        <v>264</v>
      </c>
      <c r="F3930">
        <v>12028</v>
      </c>
      <c r="G3930">
        <v>0.75118410725767637</v>
      </c>
      <c r="H3930">
        <v>0</v>
      </c>
      <c r="I3930">
        <v>0</v>
      </c>
      <c r="J3930">
        <v>0.67142934178753599</v>
      </c>
      <c r="K3930">
        <v>0</v>
      </c>
      <c r="L3930">
        <v>0</v>
      </c>
      <c r="M3930">
        <v>0.48757523901840383</v>
      </c>
      <c r="N3930">
        <v>0</v>
      </c>
      <c r="O3930">
        <v>0</v>
      </c>
      <c r="P3930">
        <v>0.56427756299651222</v>
      </c>
      <c r="Q3930">
        <v>1.096902253718701</v>
      </c>
      <c r="R3930">
        <v>6.7411112182916657</v>
      </c>
      <c r="S3930">
        <v>0.2294950241957025</v>
      </c>
      <c r="T3930">
        <v>0.1775039894322423</v>
      </c>
      <c r="U3930">
        <v>4.2436712643831056</v>
      </c>
      <c r="V3930">
        <v>0.23810297856178911</v>
      </c>
      <c r="W3930">
        <v>11.39600379223479</v>
      </c>
      <c r="X3930">
        <v>0.34768532943944669</v>
      </c>
      <c r="Z3930" t="s">
        <v>392</v>
      </c>
      <c r="AA3930">
        <v>114</v>
      </c>
      <c r="AB3930" t="s">
        <v>4321</v>
      </c>
      <c r="AC3930" t="str">
        <f>HYPERLINK("plots/3FT6Y578R04_015_S21P_20251218081014_M5358ACSC201811_RBGEUFRF04/dpll_52094/txpa_54244.png","plot")</f>
        <v>plot</v>
      </c>
    </row>
    <row r="3931" spans="1:29" hidden="1" x14ac:dyDescent="0.35">
      <c r="A3931" t="s">
        <v>49</v>
      </c>
      <c r="B3931">
        <v>52094</v>
      </c>
      <c r="C3931" t="s">
        <v>53</v>
      </c>
      <c r="D3931">
        <v>54245</v>
      </c>
      <c r="E3931" t="s">
        <v>265</v>
      </c>
      <c r="F3931">
        <v>12028</v>
      </c>
      <c r="G3931">
        <v>0.74271831949468459</v>
      </c>
      <c r="H3931">
        <v>0</v>
      </c>
      <c r="I3931">
        <v>0</v>
      </c>
      <c r="J3931">
        <v>0.66150202664057267</v>
      </c>
      <c r="K3931">
        <v>0</v>
      </c>
      <c r="L3931">
        <v>0</v>
      </c>
      <c r="M3931">
        <v>0.47816093374751117</v>
      </c>
      <c r="N3931">
        <v>0</v>
      </c>
      <c r="O3931">
        <v>0</v>
      </c>
      <c r="P3931">
        <v>0.55163050211300835</v>
      </c>
      <c r="Q3931">
        <v>1.068070688337434</v>
      </c>
      <c r="R3931">
        <v>6.8777204393078319</v>
      </c>
      <c r="S3931">
        <v>0.22926653360990601</v>
      </c>
      <c r="T3931">
        <v>0.17603083774311101</v>
      </c>
      <c r="U3931">
        <v>4.2436712643831056</v>
      </c>
      <c r="V3931">
        <v>0.23810297856178911</v>
      </c>
      <c r="W3931">
        <v>11.410261327735279</v>
      </c>
      <c r="X3931">
        <v>0.34240546588470561</v>
      </c>
      <c r="Z3931" t="s">
        <v>392</v>
      </c>
      <c r="AA3931">
        <v>114</v>
      </c>
      <c r="AB3931" t="s">
        <v>4322</v>
      </c>
      <c r="AC3931" t="str">
        <f>HYPERLINK("plots/3FT6Y578R04_015_S21P_20251218081014_M5358ACSC201811_RBGEUFRF04/dpll_52094/txpa_54245.png","plot")</f>
        <v>plot</v>
      </c>
    </row>
    <row r="3932" spans="1:29" hidden="1" x14ac:dyDescent="0.35">
      <c r="A3932" t="s">
        <v>49</v>
      </c>
      <c r="B3932">
        <v>52094</v>
      </c>
      <c r="C3932" t="s">
        <v>53</v>
      </c>
      <c r="D3932">
        <v>54246</v>
      </c>
      <c r="E3932" t="s">
        <v>266</v>
      </c>
      <c r="F3932">
        <v>12027</v>
      </c>
      <c r="G3932">
        <v>0.75704824170034335</v>
      </c>
      <c r="H3932">
        <v>0</v>
      </c>
      <c r="I3932">
        <v>0</v>
      </c>
      <c r="J3932">
        <v>0.67285586477596271</v>
      </c>
      <c r="K3932">
        <v>0</v>
      </c>
      <c r="L3932">
        <v>0</v>
      </c>
      <c r="M3932">
        <v>0.48880522684940408</v>
      </c>
      <c r="N3932">
        <v>0</v>
      </c>
      <c r="O3932">
        <v>0</v>
      </c>
      <c r="P3932">
        <v>0.57312204026158153</v>
      </c>
      <c r="Q3932">
        <v>1.097753087169161</v>
      </c>
      <c r="R3932">
        <v>6.7503582470284176</v>
      </c>
      <c r="S3932">
        <v>0.22557723907403829</v>
      </c>
      <c r="T3932">
        <v>0.17501928309070411</v>
      </c>
      <c r="U3932">
        <v>4.2436786742329762</v>
      </c>
      <c r="V3932">
        <v>0.2381114909913796</v>
      </c>
      <c r="W3932">
        <v>11.408869612621601</v>
      </c>
      <c r="X3932">
        <v>0.34527208429829748</v>
      </c>
      <c r="Z3932" t="s">
        <v>392</v>
      </c>
      <c r="AA3932">
        <v>114</v>
      </c>
      <c r="AB3932" t="s">
        <v>4323</v>
      </c>
      <c r="AC3932" t="str">
        <f>HYPERLINK("plots/3FT6Y578R04_015_S21P_20251218081014_M5358ACSC201811_RBGEUFRF04/dpll_52094/txpa_54246.png","plot")</f>
        <v>plot</v>
      </c>
    </row>
    <row r="3933" spans="1:29" hidden="1" x14ac:dyDescent="0.35">
      <c r="A3933" t="s">
        <v>49</v>
      </c>
      <c r="B3933">
        <v>52094</v>
      </c>
      <c r="C3933" t="s">
        <v>53</v>
      </c>
      <c r="D3933">
        <v>54247</v>
      </c>
      <c r="E3933" t="s">
        <v>267</v>
      </c>
      <c r="F3933">
        <v>12027</v>
      </c>
      <c r="G3933">
        <v>0.75706691572704921</v>
      </c>
      <c r="H3933">
        <v>0</v>
      </c>
      <c r="I3933">
        <v>0</v>
      </c>
      <c r="J3933">
        <v>0.66636411788951999</v>
      </c>
      <c r="K3933">
        <v>0</v>
      </c>
      <c r="L3933">
        <v>0</v>
      </c>
      <c r="M3933">
        <v>0.48115733997643778</v>
      </c>
      <c r="N3933">
        <v>0</v>
      </c>
      <c r="O3933">
        <v>0</v>
      </c>
      <c r="P3933">
        <v>0.57315031488846702</v>
      </c>
      <c r="Q3933">
        <v>1.092538957073846</v>
      </c>
      <c r="R3933">
        <v>6.7532451937976079</v>
      </c>
      <c r="S3933">
        <v>0.224473524837008</v>
      </c>
      <c r="T3933">
        <v>0.1749545702556318</v>
      </c>
      <c r="U3933">
        <v>4.2436418554918101</v>
      </c>
      <c r="V3933">
        <v>0.23809103076034549</v>
      </c>
      <c r="W3933">
        <v>11.389589240791549</v>
      </c>
      <c r="X3933">
        <v>0.34359410117101119</v>
      </c>
      <c r="Z3933" t="s">
        <v>392</v>
      </c>
      <c r="AA3933">
        <v>114</v>
      </c>
      <c r="AB3933" t="s">
        <v>4324</v>
      </c>
      <c r="AC3933" t="str">
        <f>HYPERLINK("plots/3FT6Y578R04_015_S21P_20251218081014_M5358ACSC201811_RBGEUFRF04/dpll_52094/txpa_54247.png","plot")</f>
        <v>plot</v>
      </c>
    </row>
    <row r="3934" spans="1:29" hidden="1" x14ac:dyDescent="0.35">
      <c r="A3934" t="s">
        <v>49</v>
      </c>
      <c r="B3934">
        <v>52094</v>
      </c>
      <c r="C3934" t="s">
        <v>53</v>
      </c>
      <c r="D3934">
        <v>54248</v>
      </c>
      <c r="E3934" t="s">
        <v>268</v>
      </c>
      <c r="F3934">
        <v>12027</v>
      </c>
      <c r="G3934">
        <v>0.76179297302555504</v>
      </c>
      <c r="H3934">
        <v>0</v>
      </c>
      <c r="I3934">
        <v>0</v>
      </c>
      <c r="J3934">
        <v>0.67928716854020466</v>
      </c>
      <c r="K3934">
        <v>0</v>
      </c>
      <c r="L3934">
        <v>0</v>
      </c>
      <c r="M3934">
        <v>0.4941201459997509</v>
      </c>
      <c r="N3934">
        <v>0</v>
      </c>
      <c r="O3934">
        <v>0</v>
      </c>
      <c r="P3934">
        <v>0.58032853375111404</v>
      </c>
      <c r="Q3934">
        <v>1.1086213460135079</v>
      </c>
      <c r="R3934">
        <v>6.703496328632145</v>
      </c>
      <c r="S3934">
        <v>0.22444718800410629</v>
      </c>
      <c r="T3934">
        <v>0.17472092802085601</v>
      </c>
      <c r="U3934">
        <v>4.2436377816579363</v>
      </c>
      <c r="V3934">
        <v>0.2380845584627882</v>
      </c>
      <c r="W3934">
        <v>11.408083758127541</v>
      </c>
      <c r="X3934">
        <v>0.34647946753795261</v>
      </c>
      <c r="Z3934" t="s">
        <v>392</v>
      </c>
      <c r="AA3934">
        <v>114</v>
      </c>
      <c r="AB3934" t="s">
        <v>4325</v>
      </c>
      <c r="AC3934" t="str">
        <f>HYPERLINK("plots/3FT6Y578R04_015_S21P_20251218081014_M5358ACSC201811_RBGEUFRF04/dpll_52094/txpa_54248.png","plot")</f>
        <v>plot</v>
      </c>
    </row>
    <row r="3935" spans="1:29" hidden="1" x14ac:dyDescent="0.35">
      <c r="A3935" t="s">
        <v>49</v>
      </c>
      <c r="B3935">
        <v>52094</v>
      </c>
      <c r="C3935" t="s">
        <v>53</v>
      </c>
      <c r="D3935">
        <v>54249</v>
      </c>
      <c r="E3935" t="s">
        <v>269</v>
      </c>
      <c r="F3935">
        <v>12028</v>
      </c>
      <c r="G3935">
        <v>0.75946195410395079</v>
      </c>
      <c r="H3935">
        <v>0</v>
      </c>
      <c r="I3935">
        <v>0</v>
      </c>
      <c r="J3935">
        <v>0.67150445629323186</v>
      </c>
      <c r="K3935">
        <v>0</v>
      </c>
      <c r="L3935">
        <v>0</v>
      </c>
      <c r="M3935">
        <v>0.48657043091587843</v>
      </c>
      <c r="N3935">
        <v>0</v>
      </c>
      <c r="O3935">
        <v>0</v>
      </c>
      <c r="P3935">
        <v>0.57678245973139142</v>
      </c>
      <c r="Q3935">
        <v>1.091243136485472</v>
      </c>
      <c r="R3935">
        <v>6.7842645120514176</v>
      </c>
      <c r="S3935">
        <v>0.2225584593093046</v>
      </c>
      <c r="T3935">
        <v>0.17344151132853811</v>
      </c>
      <c r="U3935">
        <v>4.2436712643831056</v>
      </c>
      <c r="V3935">
        <v>0.23810297856178911</v>
      </c>
      <c r="W3935">
        <v>11.41514165281011</v>
      </c>
      <c r="X3935">
        <v>0.34212147129721249</v>
      </c>
      <c r="Z3935" t="s">
        <v>392</v>
      </c>
      <c r="AA3935">
        <v>114</v>
      </c>
      <c r="AB3935" t="s">
        <v>4326</v>
      </c>
      <c r="AC3935" t="str">
        <f>HYPERLINK("plots/3FT6Y578R04_015_S21P_20251218081014_M5358ACSC201811_RBGEUFRF04/dpll_52094/txpa_54249.png","plot")</f>
        <v>plot</v>
      </c>
    </row>
    <row r="3936" spans="1:29" hidden="1" x14ac:dyDescent="0.35">
      <c r="A3936" t="s">
        <v>49</v>
      </c>
      <c r="B3936">
        <v>52094</v>
      </c>
      <c r="C3936" t="s">
        <v>53</v>
      </c>
      <c r="D3936">
        <v>54250</v>
      </c>
      <c r="E3936" t="s">
        <v>270</v>
      </c>
      <c r="F3936">
        <v>12027</v>
      </c>
      <c r="G3936">
        <v>0.75237243619896743</v>
      </c>
      <c r="H3936">
        <v>0</v>
      </c>
      <c r="I3936">
        <v>0</v>
      </c>
      <c r="J3936">
        <v>0.66520308207298173</v>
      </c>
      <c r="K3936">
        <v>0</v>
      </c>
      <c r="L3936">
        <v>0</v>
      </c>
      <c r="M3936">
        <v>0.48222367885068912</v>
      </c>
      <c r="N3936">
        <v>0</v>
      </c>
      <c r="O3936">
        <v>0</v>
      </c>
      <c r="P3936">
        <v>0.56606428275196929</v>
      </c>
      <c r="Q3936">
        <v>1.0874739321138469</v>
      </c>
      <c r="R3936">
        <v>6.7687392700825324</v>
      </c>
      <c r="S3936">
        <v>0.22669254220330201</v>
      </c>
      <c r="T3936">
        <v>0.17522793185564611</v>
      </c>
      <c r="U3936">
        <v>4.2436951445081901</v>
      </c>
      <c r="V3936">
        <v>0.2380984732054881</v>
      </c>
      <c r="W3936">
        <v>11.383647115573289</v>
      </c>
      <c r="X3936">
        <v>0.34414589162142267</v>
      </c>
      <c r="Z3936" t="s">
        <v>392</v>
      </c>
      <c r="AA3936">
        <v>114</v>
      </c>
      <c r="AB3936" t="s">
        <v>4327</v>
      </c>
      <c r="AC3936" t="str">
        <f>HYPERLINK("plots/3FT6Y578R04_015_S21P_20251218081014_M5358ACSC201811_RBGEUFRF04/dpll_52094/txpa_54250.png","plot")</f>
        <v>plot</v>
      </c>
    </row>
    <row r="3937" spans="1:29" hidden="1" x14ac:dyDescent="0.35">
      <c r="A3937" t="s">
        <v>49</v>
      </c>
      <c r="B3937">
        <v>52094</v>
      </c>
      <c r="C3937" t="s">
        <v>53</v>
      </c>
      <c r="D3937">
        <v>54251</v>
      </c>
      <c r="E3937" t="s">
        <v>271</v>
      </c>
      <c r="F3937">
        <v>12028</v>
      </c>
      <c r="G3937">
        <v>0.73629482166864368</v>
      </c>
      <c r="H3937">
        <v>0</v>
      </c>
      <c r="I3937">
        <v>0</v>
      </c>
      <c r="J3937">
        <v>0.66094549463105445</v>
      </c>
      <c r="K3937">
        <v>0</v>
      </c>
      <c r="L3937">
        <v>0</v>
      </c>
      <c r="M3937">
        <v>0.47634387554578878</v>
      </c>
      <c r="N3937">
        <v>0</v>
      </c>
      <c r="O3937">
        <v>0</v>
      </c>
      <c r="P3937">
        <v>0.54213006441605982</v>
      </c>
      <c r="Q3937">
        <v>1.082835649457105</v>
      </c>
      <c r="R3937">
        <v>7.3540195149119532</v>
      </c>
      <c r="S3937">
        <v>0.23693468242374019</v>
      </c>
      <c r="T3937">
        <v>0.18002104741221639</v>
      </c>
      <c r="U3937">
        <v>4.2436712643831056</v>
      </c>
      <c r="V3937">
        <v>0.23810297856178911</v>
      </c>
      <c r="W3937">
        <v>11.94921804456269</v>
      </c>
      <c r="X3937">
        <v>0.3501673322166266</v>
      </c>
      <c r="Z3937" t="s">
        <v>392</v>
      </c>
      <c r="AA3937">
        <v>114</v>
      </c>
      <c r="AB3937" t="s">
        <v>4328</v>
      </c>
      <c r="AC3937" t="str">
        <f>HYPERLINK("plots/3FT6Y578R04_015_S21P_20251218081014_M5358ACSC201811_RBGEUFRF04/dpll_52094/txpa_54251.png","plot")</f>
        <v>plot</v>
      </c>
    </row>
    <row r="3938" spans="1:29" hidden="1" x14ac:dyDescent="0.35">
      <c r="A3938" t="s">
        <v>49</v>
      </c>
      <c r="B3938">
        <v>52094</v>
      </c>
      <c r="C3938" t="s">
        <v>53</v>
      </c>
      <c r="D3938">
        <v>54252</v>
      </c>
      <c r="E3938" t="s">
        <v>272</v>
      </c>
      <c r="F3938">
        <v>12028</v>
      </c>
      <c r="G3938">
        <v>0.75416762991083375</v>
      </c>
      <c r="H3938">
        <v>0</v>
      </c>
      <c r="I3938">
        <v>0</v>
      </c>
      <c r="J3938">
        <v>0.67317004805612735</v>
      </c>
      <c r="K3938">
        <v>0</v>
      </c>
      <c r="L3938">
        <v>0</v>
      </c>
      <c r="M3938">
        <v>0.48923288037575541</v>
      </c>
      <c r="N3938">
        <v>0</v>
      </c>
      <c r="O3938">
        <v>0</v>
      </c>
      <c r="P3938">
        <v>0.56876881400532431</v>
      </c>
      <c r="Q3938">
        <v>1.1120761318872481</v>
      </c>
      <c r="R3938">
        <v>7.2553539340666546</v>
      </c>
      <c r="S3938">
        <v>0.23055178358735251</v>
      </c>
      <c r="T3938">
        <v>0.17800348259479251</v>
      </c>
      <c r="U3938">
        <v>4.2436712643831056</v>
      </c>
      <c r="V3938">
        <v>0.23810297856178911</v>
      </c>
      <c r="W3938">
        <v>11.974639458762891</v>
      </c>
      <c r="X3938">
        <v>0.35110050987090607</v>
      </c>
      <c r="Z3938" t="s">
        <v>392</v>
      </c>
      <c r="AA3938">
        <v>114</v>
      </c>
      <c r="AB3938" t="s">
        <v>4329</v>
      </c>
      <c r="AC3938" t="str">
        <f>HYPERLINK("plots/3FT6Y578R04_015_S21P_20251218081014_M5358ACSC201811_RBGEUFRF04/dpll_52094/txpa_54252.png","plot")</f>
        <v>plot</v>
      </c>
    </row>
    <row r="3939" spans="1:29" hidden="1" x14ac:dyDescent="0.35">
      <c r="A3939" t="s">
        <v>49</v>
      </c>
      <c r="B3939">
        <v>52094</v>
      </c>
      <c r="C3939" t="s">
        <v>53</v>
      </c>
      <c r="D3939">
        <v>54253</v>
      </c>
      <c r="E3939" t="s">
        <v>273</v>
      </c>
      <c r="F3939">
        <v>12028</v>
      </c>
      <c r="G3939">
        <v>0.74579869939599952</v>
      </c>
      <c r="H3939">
        <v>0</v>
      </c>
      <c r="I3939">
        <v>0</v>
      </c>
      <c r="J3939">
        <v>0.66311780973833212</v>
      </c>
      <c r="K3939">
        <v>0</v>
      </c>
      <c r="L3939">
        <v>0</v>
      </c>
      <c r="M3939">
        <v>0.47964049465073999</v>
      </c>
      <c r="N3939">
        <v>0</v>
      </c>
      <c r="O3939">
        <v>0</v>
      </c>
      <c r="P3939">
        <v>0.55621570002076448</v>
      </c>
      <c r="Q3939">
        <v>1.0828513084610329</v>
      </c>
      <c r="R3939">
        <v>7.393961492744797</v>
      </c>
      <c r="S3939">
        <v>0.23029257983871221</v>
      </c>
      <c r="T3939">
        <v>0.1765144977663029</v>
      </c>
      <c r="U3939">
        <v>4.2436712643831056</v>
      </c>
      <c r="V3939">
        <v>0.23810297856178911</v>
      </c>
      <c r="W3939">
        <v>11.98922647406053</v>
      </c>
      <c r="X3939">
        <v>0.34571007175650942</v>
      </c>
      <c r="Z3939" t="s">
        <v>392</v>
      </c>
      <c r="AA3939">
        <v>114</v>
      </c>
      <c r="AB3939" t="s">
        <v>4330</v>
      </c>
      <c r="AC3939" t="str">
        <f>HYPERLINK("plots/3FT6Y578R04_015_S21P_20251218081014_M5358ACSC201811_RBGEUFRF04/dpll_52094/txpa_54253.png","plot")</f>
        <v>plot</v>
      </c>
    </row>
    <row r="3940" spans="1:29" hidden="1" x14ac:dyDescent="0.35">
      <c r="A3940" t="s">
        <v>49</v>
      </c>
      <c r="B3940">
        <v>52094</v>
      </c>
      <c r="C3940" t="s">
        <v>53</v>
      </c>
      <c r="D3940">
        <v>54254</v>
      </c>
      <c r="E3940" t="s">
        <v>274</v>
      </c>
      <c r="F3940">
        <v>12027</v>
      </c>
      <c r="G3940">
        <v>0.75990256355430919</v>
      </c>
      <c r="H3940">
        <v>0</v>
      </c>
      <c r="I3940">
        <v>0</v>
      </c>
      <c r="J3940">
        <v>0.67448359728850904</v>
      </c>
      <c r="K3940">
        <v>0</v>
      </c>
      <c r="L3940">
        <v>0</v>
      </c>
      <c r="M3940">
        <v>0.4902964408765586</v>
      </c>
      <c r="N3940">
        <v>0</v>
      </c>
      <c r="O3940">
        <v>0</v>
      </c>
      <c r="P3940">
        <v>0.57745190609641095</v>
      </c>
      <c r="Q3940">
        <v>1.112498672607996</v>
      </c>
      <c r="R3940">
        <v>7.2662034421888944</v>
      </c>
      <c r="S3940">
        <v>0.22659063895639259</v>
      </c>
      <c r="T3940">
        <v>0.1755588127568371</v>
      </c>
      <c r="U3940">
        <v>4.2436786742329762</v>
      </c>
      <c r="V3940">
        <v>0.2381114909913796</v>
      </c>
      <c r="W3940">
        <v>11.987290334247939</v>
      </c>
      <c r="X3940">
        <v>0.3485956362900054</v>
      </c>
      <c r="Z3940" t="s">
        <v>392</v>
      </c>
      <c r="AA3940">
        <v>114</v>
      </c>
      <c r="AB3940" t="s">
        <v>4331</v>
      </c>
      <c r="AC3940" t="str">
        <f>HYPERLINK("plots/3FT6Y578R04_015_S21P_20251218081014_M5358ACSC201811_RBGEUFRF04/dpll_52094/txpa_54254.png","plot")</f>
        <v>plot</v>
      </c>
    </row>
    <row r="3941" spans="1:29" hidden="1" x14ac:dyDescent="0.35">
      <c r="A3941" t="s">
        <v>49</v>
      </c>
      <c r="B3941">
        <v>52094</v>
      </c>
      <c r="C3941" t="s">
        <v>53</v>
      </c>
      <c r="D3941">
        <v>54255</v>
      </c>
      <c r="E3941" t="s">
        <v>275</v>
      </c>
      <c r="F3941">
        <v>12027</v>
      </c>
      <c r="G3941">
        <v>0.7598392276832705</v>
      </c>
      <c r="H3941">
        <v>0</v>
      </c>
      <c r="I3941">
        <v>0</v>
      </c>
      <c r="J3941">
        <v>0.66780582562075519</v>
      </c>
      <c r="K3941">
        <v>0</v>
      </c>
      <c r="L3941">
        <v>0</v>
      </c>
      <c r="M3941">
        <v>0.48252230858919742</v>
      </c>
      <c r="N3941">
        <v>0</v>
      </c>
      <c r="O3941">
        <v>0</v>
      </c>
      <c r="P3941">
        <v>0.577355651926309</v>
      </c>
      <c r="Q3941">
        <v>1.107445342628673</v>
      </c>
      <c r="R3941">
        <v>7.2678343126452516</v>
      </c>
      <c r="S3941">
        <v>0.22558649810848511</v>
      </c>
      <c r="T3941">
        <v>0.1755409425462649</v>
      </c>
      <c r="U3941">
        <v>4.2436418554918101</v>
      </c>
      <c r="V3941">
        <v>0.23809103076034549</v>
      </c>
      <c r="W3941">
        <v>11.967435721293761</v>
      </c>
      <c r="X3941">
        <v>0.34701130651168949</v>
      </c>
      <c r="Z3941" t="s">
        <v>392</v>
      </c>
      <c r="AA3941">
        <v>114</v>
      </c>
      <c r="AB3941" t="s">
        <v>4332</v>
      </c>
      <c r="AC3941" t="str">
        <f>HYPERLINK("plots/3FT6Y578R04_015_S21P_20251218081014_M5358ACSC201811_RBGEUFRF04/dpll_52094/txpa_54255.png","plot")</f>
        <v>plot</v>
      </c>
    </row>
    <row r="3942" spans="1:29" hidden="1" x14ac:dyDescent="0.35">
      <c r="A3942" t="s">
        <v>49</v>
      </c>
      <c r="B3942">
        <v>52094</v>
      </c>
      <c r="C3942" t="s">
        <v>53</v>
      </c>
      <c r="D3942">
        <v>54256</v>
      </c>
      <c r="E3942" t="s">
        <v>276</v>
      </c>
      <c r="F3942">
        <v>12027</v>
      </c>
      <c r="G3942">
        <v>0.76449934010266618</v>
      </c>
      <c r="H3942">
        <v>0</v>
      </c>
      <c r="I3942">
        <v>0</v>
      </c>
      <c r="J3942">
        <v>0.68071128975685702</v>
      </c>
      <c r="K3942">
        <v>0</v>
      </c>
      <c r="L3942">
        <v>0</v>
      </c>
      <c r="M3942">
        <v>0.49556458136267723</v>
      </c>
      <c r="N3942">
        <v>0</v>
      </c>
      <c r="O3942">
        <v>0</v>
      </c>
      <c r="P3942">
        <v>0.58445924101741209</v>
      </c>
      <c r="Q3942">
        <v>1.1236124888877621</v>
      </c>
      <c r="R3942">
        <v>7.2182464790466403</v>
      </c>
      <c r="S3942">
        <v>0.22555862089456369</v>
      </c>
      <c r="T3942">
        <v>0.17529279394521599</v>
      </c>
      <c r="U3942">
        <v>4.2436377816579363</v>
      </c>
      <c r="V3942">
        <v>0.2380845584627882</v>
      </c>
      <c r="W3942">
        <v>11.98645088883346</v>
      </c>
      <c r="X3942">
        <v>0.34992153592204839</v>
      </c>
      <c r="Z3942" t="s">
        <v>392</v>
      </c>
      <c r="AA3942">
        <v>114</v>
      </c>
      <c r="AB3942" t="s">
        <v>4333</v>
      </c>
      <c r="AC3942" t="str">
        <f>HYPERLINK("plots/3FT6Y578R04_015_S21P_20251218081014_M5358ACSC201811_RBGEUFRF04/dpll_52094/txpa_54256.png","plot")</f>
        <v>plot</v>
      </c>
    </row>
    <row r="3943" spans="1:29" hidden="1" x14ac:dyDescent="0.35">
      <c r="A3943" t="s">
        <v>49</v>
      </c>
      <c r="B3943">
        <v>52094</v>
      </c>
      <c r="C3943" t="s">
        <v>53</v>
      </c>
      <c r="D3943">
        <v>54257</v>
      </c>
      <c r="E3943" t="s">
        <v>277</v>
      </c>
      <c r="F3943">
        <v>12028</v>
      </c>
      <c r="G3943">
        <v>0.76237704460081779</v>
      </c>
      <c r="H3943">
        <v>0</v>
      </c>
      <c r="I3943">
        <v>0</v>
      </c>
      <c r="J3943">
        <v>0.67303675638559712</v>
      </c>
      <c r="K3943">
        <v>0</v>
      </c>
      <c r="L3943">
        <v>0</v>
      </c>
      <c r="M3943">
        <v>0.48801961113464187</v>
      </c>
      <c r="N3943">
        <v>0</v>
      </c>
      <c r="O3943">
        <v>0</v>
      </c>
      <c r="P3943">
        <v>0.58121875813427737</v>
      </c>
      <c r="Q3943">
        <v>1.1061722446560149</v>
      </c>
      <c r="R3943">
        <v>7.2997285978079809</v>
      </c>
      <c r="S3943">
        <v>0.2235596033534325</v>
      </c>
      <c r="T3943">
        <v>0.17387397910096791</v>
      </c>
      <c r="U3943">
        <v>4.2436712643831056</v>
      </c>
      <c r="V3943">
        <v>0.23810297856178911</v>
      </c>
      <c r="W3943">
        <v>11.99395996591287</v>
      </c>
      <c r="X3943">
        <v>0.34547591394607752</v>
      </c>
      <c r="Z3943" t="s">
        <v>392</v>
      </c>
      <c r="AA3943">
        <v>114</v>
      </c>
      <c r="AB3943" t="s">
        <v>4334</v>
      </c>
      <c r="AC3943" t="str">
        <f>HYPERLINK("plots/3FT6Y578R04_015_S21P_20251218081014_M5358ACSC201811_RBGEUFRF04/dpll_52094/txpa_54257.png","plot")</f>
        <v>plot</v>
      </c>
    </row>
    <row r="3944" spans="1:29" hidden="1" x14ac:dyDescent="0.35">
      <c r="A3944" t="s">
        <v>49</v>
      </c>
      <c r="B3944">
        <v>52094</v>
      </c>
      <c r="C3944" t="s">
        <v>53</v>
      </c>
      <c r="D3944">
        <v>54258</v>
      </c>
      <c r="E3944" t="s">
        <v>278</v>
      </c>
      <c r="F3944">
        <v>12027</v>
      </c>
      <c r="G3944">
        <v>0.75505109587000963</v>
      </c>
      <c r="H3944">
        <v>0</v>
      </c>
      <c r="I3944">
        <v>0</v>
      </c>
      <c r="J3944">
        <v>0.66635647615959914</v>
      </c>
      <c r="K3944">
        <v>0</v>
      </c>
      <c r="L3944">
        <v>0</v>
      </c>
      <c r="M3944">
        <v>0.48334671883282571</v>
      </c>
      <c r="N3944">
        <v>0</v>
      </c>
      <c r="O3944">
        <v>0</v>
      </c>
      <c r="P3944">
        <v>0.57010215737450243</v>
      </c>
      <c r="Q3944">
        <v>1.1020090308197099</v>
      </c>
      <c r="R3944">
        <v>7.2861954494384058</v>
      </c>
      <c r="S3944">
        <v>0.22784001414591029</v>
      </c>
      <c r="T3944">
        <v>0.17582057767942291</v>
      </c>
      <c r="U3944">
        <v>4.2436951445081901</v>
      </c>
      <c r="V3944">
        <v>0.2380984732054881</v>
      </c>
      <c r="W3944">
        <v>11.96278582273219</v>
      </c>
      <c r="X3944">
        <v>0.34750849198423722</v>
      </c>
      <c r="Z3944" t="s">
        <v>392</v>
      </c>
      <c r="AA3944">
        <v>114</v>
      </c>
      <c r="AB3944" t="s">
        <v>4335</v>
      </c>
      <c r="AC3944" t="str">
        <f>HYPERLINK("plots/3FT6Y578R04_015_S21P_20251218081014_M5358ACSC201811_RBGEUFRF04/dpll_52094/txpa_54258.png","plot")</f>
        <v>plot</v>
      </c>
    </row>
    <row r="3945" spans="1:29" hidden="1" x14ac:dyDescent="0.35">
      <c r="A3945" t="s">
        <v>49</v>
      </c>
      <c r="B3945">
        <v>52094</v>
      </c>
      <c r="C3945" t="s">
        <v>53</v>
      </c>
      <c r="D3945">
        <v>55146</v>
      </c>
      <c r="E3945" t="s">
        <v>279</v>
      </c>
      <c r="F3945">
        <v>12027</v>
      </c>
      <c r="G3945">
        <v>-7.8505080059010184E-3</v>
      </c>
      <c r="H3945">
        <v>0.38930921769680121</v>
      </c>
      <c r="I3945">
        <v>0.39046443792735552</v>
      </c>
      <c r="J3945">
        <v>-9.4838723120889319E-3</v>
      </c>
      <c r="K3945">
        <v>0.29834475327033799</v>
      </c>
      <c r="L3945">
        <v>0.29834475327033799</v>
      </c>
      <c r="M3945">
        <v>-6.2423757743082144E-3</v>
      </c>
      <c r="N3945">
        <v>0.30455503359175429</v>
      </c>
      <c r="O3945">
        <v>0.30455503359175429</v>
      </c>
      <c r="P3945">
        <v>6.1630475950715977E-5</v>
      </c>
      <c r="Q3945">
        <v>-0.1435474951168085</v>
      </c>
      <c r="R3945">
        <v>-11.26677041413074</v>
      </c>
      <c r="S3945">
        <v>4.3535950723669874</v>
      </c>
      <c r="T3945">
        <v>3.36430610909358</v>
      </c>
      <c r="U3945">
        <v>4.2436765143427291</v>
      </c>
      <c r="V3945">
        <v>0.2381121816722134</v>
      </c>
      <c r="W3945">
        <v>-11.87593954785067</v>
      </c>
      <c r="X3945">
        <v>4.3539102450634077</v>
      </c>
      <c r="Z3945" t="s">
        <v>392</v>
      </c>
      <c r="AA3945">
        <v>114</v>
      </c>
      <c r="AB3945" t="s">
        <v>4336</v>
      </c>
      <c r="AC3945" t="str">
        <f>HYPERLINK("plots/3FT6Y578R04_015_S21P_20251218081014_M5358ACSC201811_RBGEUFRF04/dpll_52094/txpa_55146.png","plot")</f>
        <v>plot</v>
      </c>
    </row>
    <row r="3946" spans="1:29" hidden="1" x14ac:dyDescent="0.35">
      <c r="A3946" t="s">
        <v>49</v>
      </c>
      <c r="B3946">
        <v>52094</v>
      </c>
      <c r="C3946" t="s">
        <v>53</v>
      </c>
      <c r="D3946">
        <v>55147</v>
      </c>
      <c r="E3946" t="s">
        <v>280</v>
      </c>
      <c r="F3946">
        <v>12028</v>
      </c>
      <c r="G3946">
        <v>0.23463890136472171</v>
      </c>
      <c r="H3946">
        <v>4.0661354504006557E-150</v>
      </c>
      <c r="I3946">
        <v>4.1107291592285789E-150</v>
      </c>
      <c r="J3946">
        <v>0.22124680914684991</v>
      </c>
      <c r="K3946">
        <v>2.835464986563684E-133</v>
      </c>
      <c r="L3946">
        <v>2.860857210323956E-133</v>
      </c>
      <c r="M3946">
        <v>0.14885800235218469</v>
      </c>
      <c r="N3946">
        <v>5.934163570905766E-132</v>
      </c>
      <c r="O3946">
        <v>5.9873053342273101E-132</v>
      </c>
      <c r="P3946">
        <v>5.5055414033643592E-2</v>
      </c>
      <c r="Q3946">
        <v>1.1786146953255261</v>
      </c>
      <c r="R3946">
        <v>-26.392149612137711</v>
      </c>
      <c r="S3946">
        <v>1.1625771418839539</v>
      </c>
      <c r="T3946">
        <v>0.9054735599854542</v>
      </c>
      <c r="U3946">
        <v>4.2436712643831056</v>
      </c>
      <c r="V3946">
        <v>0.23810297856178911</v>
      </c>
      <c r="W3946">
        <v>-21.390496297805122</v>
      </c>
      <c r="X3946">
        <v>1.1960151019352521</v>
      </c>
      <c r="Z3946" t="s">
        <v>392</v>
      </c>
      <c r="AA3946">
        <v>114</v>
      </c>
      <c r="AB3946" t="s">
        <v>4337</v>
      </c>
      <c r="AC3946" t="str">
        <f>HYPERLINK("plots/3FT6Y578R04_015_S21P_20251218081014_M5358ACSC201811_RBGEUFRF04/dpll_52094/txpa_55147.png","plot")</f>
        <v>plot</v>
      </c>
    </row>
    <row r="3947" spans="1:29" hidden="1" x14ac:dyDescent="0.35">
      <c r="A3947" t="s">
        <v>49</v>
      </c>
      <c r="B3947">
        <v>52094</v>
      </c>
      <c r="C3947" t="s">
        <v>53</v>
      </c>
      <c r="D3947">
        <v>55148</v>
      </c>
      <c r="E3947" t="s">
        <v>281</v>
      </c>
      <c r="F3947">
        <v>12028</v>
      </c>
      <c r="G3947">
        <v>0.27585222387510427</v>
      </c>
      <c r="H3947">
        <v>5.487475699754541E-209</v>
      </c>
      <c r="I3947">
        <v>5.7363921232485616E-209</v>
      </c>
      <c r="J3947">
        <v>0.26330731047460593</v>
      </c>
      <c r="K3947">
        <v>6.4192030690601568E-190</v>
      </c>
      <c r="L3947">
        <v>6.752149286335061E-190</v>
      </c>
      <c r="M3947">
        <v>0.17752408649320511</v>
      </c>
      <c r="N3947">
        <v>5.7867074106066892E-187</v>
      </c>
      <c r="O3947">
        <v>6.0868478364680321E-187</v>
      </c>
      <c r="P3947">
        <v>7.6094449416840654E-2</v>
      </c>
      <c r="Q3947">
        <v>1.3609680490662479</v>
      </c>
      <c r="R3947">
        <v>-27.063576866215129</v>
      </c>
      <c r="S3947">
        <v>1.129098946530267</v>
      </c>
      <c r="T3947">
        <v>0.87243189972526503</v>
      </c>
      <c r="U3947">
        <v>4.2436712643831056</v>
      </c>
      <c r="V3947">
        <v>0.23810297856178911</v>
      </c>
      <c r="W3947">
        <v>-21.288075864649151</v>
      </c>
      <c r="X3947">
        <v>1.1747251541347681</v>
      </c>
      <c r="Z3947" t="s">
        <v>392</v>
      </c>
      <c r="AA3947">
        <v>114</v>
      </c>
      <c r="AB3947" t="s">
        <v>4338</v>
      </c>
      <c r="AC3947" t="str">
        <f>HYPERLINK("plots/3FT6Y578R04_015_S21P_20251218081014_M5358ACSC201811_RBGEUFRF04/dpll_52094/txpa_55148.png","plot")</f>
        <v>plot</v>
      </c>
    </row>
    <row r="3948" spans="1:29" hidden="1" x14ac:dyDescent="0.35">
      <c r="A3948" t="s">
        <v>49</v>
      </c>
      <c r="B3948">
        <v>52094</v>
      </c>
      <c r="C3948" t="s">
        <v>53</v>
      </c>
      <c r="D3948">
        <v>55149</v>
      </c>
      <c r="E3948" t="s">
        <v>282</v>
      </c>
      <c r="F3948">
        <v>12028</v>
      </c>
      <c r="G3948">
        <v>0.24640809549008411</v>
      </c>
      <c r="H3948">
        <v>7.8510170872625159E-166</v>
      </c>
      <c r="I3948">
        <v>7.9848859844375047E-166</v>
      </c>
      <c r="J3948">
        <v>0.2292630902961354</v>
      </c>
      <c r="K3948">
        <v>3.1772062454628562E-143</v>
      </c>
      <c r="L3948">
        <v>3.2249120449442799E-143</v>
      </c>
      <c r="M3948">
        <v>0.1544053551806186</v>
      </c>
      <c r="N3948">
        <v>6.4687202888727703E-142</v>
      </c>
      <c r="O3948">
        <v>6.565848221138127E-142</v>
      </c>
      <c r="P3948">
        <v>6.0716949523050387E-2</v>
      </c>
      <c r="Q3948">
        <v>1.216972899466487</v>
      </c>
      <c r="R3948">
        <v>-26.446308833374712</v>
      </c>
      <c r="S3948">
        <v>1.139648575166438</v>
      </c>
      <c r="T3948">
        <v>0.88374902940535316</v>
      </c>
      <c r="U3948">
        <v>4.2436712643831056</v>
      </c>
      <c r="V3948">
        <v>0.23810297856178911</v>
      </c>
      <c r="W3948">
        <v>-21.281875910375788</v>
      </c>
      <c r="X3948">
        <v>1.175955163387105</v>
      </c>
      <c r="Z3948" t="s">
        <v>392</v>
      </c>
      <c r="AA3948">
        <v>114</v>
      </c>
      <c r="AB3948" t="s">
        <v>4339</v>
      </c>
      <c r="AC3948" t="str">
        <f>HYPERLINK("plots/3FT6Y578R04_015_S21P_20251218081014_M5358ACSC201811_RBGEUFRF04/dpll_52094/txpa_55149.png","plot")</f>
        <v>plot</v>
      </c>
    </row>
    <row r="3949" spans="1:29" hidden="1" x14ac:dyDescent="0.35">
      <c r="A3949" t="s">
        <v>49</v>
      </c>
      <c r="B3949">
        <v>52094</v>
      </c>
      <c r="C3949" t="s">
        <v>53</v>
      </c>
      <c r="D3949">
        <v>55150</v>
      </c>
      <c r="E3949" t="s">
        <v>283</v>
      </c>
      <c r="F3949">
        <v>12028</v>
      </c>
      <c r="G3949">
        <v>0.26928644326473877</v>
      </c>
      <c r="H3949">
        <v>7.0310755748663851E-199</v>
      </c>
      <c r="I3949">
        <v>7.3198261118218833E-199</v>
      </c>
      <c r="J3949">
        <v>0.25320861304972758</v>
      </c>
      <c r="K3949">
        <v>2.6289959284262229E-175</v>
      </c>
      <c r="L3949">
        <v>2.7229845469092861E-175</v>
      </c>
      <c r="M3949">
        <v>0.17086346097077951</v>
      </c>
      <c r="N3949">
        <v>2.2198185856882331E-173</v>
      </c>
      <c r="O3949">
        <v>2.2968326998855799E-173</v>
      </c>
      <c r="P3949">
        <v>7.2515188526173405E-2</v>
      </c>
      <c r="Q3949">
        <v>1.327747821811011</v>
      </c>
      <c r="R3949">
        <v>-26.841723365561791</v>
      </c>
      <c r="S3949">
        <v>1.13057996387031</v>
      </c>
      <c r="T3949">
        <v>0.87199709416348881</v>
      </c>
      <c r="U3949">
        <v>4.2436712643831056</v>
      </c>
      <c r="V3949">
        <v>0.23810297856178911</v>
      </c>
      <c r="W3949">
        <v>-21.207198087795138</v>
      </c>
      <c r="X3949">
        <v>1.173994157742754</v>
      </c>
      <c r="Z3949" t="s">
        <v>392</v>
      </c>
      <c r="AA3949">
        <v>114</v>
      </c>
      <c r="AB3949" t="s">
        <v>4340</v>
      </c>
      <c r="AC3949" t="str">
        <f>HYPERLINK("plots/3FT6Y578R04_015_S21P_20251218081014_M5358ACSC201811_RBGEUFRF04/dpll_52094/txpa_55150.png","plot")</f>
        <v>plot</v>
      </c>
    </row>
    <row r="3950" spans="1:29" hidden="1" x14ac:dyDescent="0.35">
      <c r="A3950" t="s">
        <v>49</v>
      </c>
      <c r="B3950">
        <v>52094</v>
      </c>
      <c r="C3950" t="s">
        <v>53</v>
      </c>
      <c r="D3950">
        <v>55151</v>
      </c>
      <c r="E3950" t="s">
        <v>284</v>
      </c>
      <c r="F3950">
        <v>12028</v>
      </c>
      <c r="G3950">
        <v>0.26125189110757091</v>
      </c>
      <c r="H3950">
        <v>6.8308013172534466E-187</v>
      </c>
      <c r="I3950">
        <v>7.0247794479665263E-187</v>
      </c>
      <c r="J3950">
        <v>0.24863940317312291</v>
      </c>
      <c r="K3950">
        <v>6.5792303617173755E-169</v>
      </c>
      <c r="L3950">
        <v>6.7455405326404636E-169</v>
      </c>
      <c r="M3950">
        <v>0.16768165515815739</v>
      </c>
      <c r="N3950">
        <v>5.0959474670546771E-167</v>
      </c>
      <c r="O3950">
        <v>5.2247631259792137E-167</v>
      </c>
      <c r="P3950">
        <v>6.8252550607282095E-2</v>
      </c>
      <c r="Q3950">
        <v>1.290040432614955</v>
      </c>
      <c r="R3950">
        <v>-26.729648517272281</v>
      </c>
      <c r="S3950">
        <v>1.1348533910916301</v>
      </c>
      <c r="T3950">
        <v>0.87810055451734248</v>
      </c>
      <c r="U3950">
        <v>4.2436712643831056</v>
      </c>
      <c r="V3950">
        <v>0.23810297856178911</v>
      </c>
      <c r="W3950">
        <v>-21.25514100349185</v>
      </c>
      <c r="X3950">
        <v>1.1757329991700809</v>
      </c>
      <c r="Z3950" t="s">
        <v>392</v>
      </c>
      <c r="AA3950">
        <v>114</v>
      </c>
      <c r="AB3950" t="s">
        <v>4341</v>
      </c>
      <c r="AC3950" t="str">
        <f>HYPERLINK("plots/3FT6Y578R04_015_S21P_20251218081014_M5358ACSC201811_RBGEUFRF04/dpll_52094/txpa_55151.png","plot")</f>
        <v>plot</v>
      </c>
    </row>
    <row r="3951" spans="1:29" hidden="1" x14ac:dyDescent="0.35">
      <c r="A3951" t="s">
        <v>49</v>
      </c>
      <c r="B3951">
        <v>52094</v>
      </c>
      <c r="C3951" t="s">
        <v>53</v>
      </c>
      <c r="D3951">
        <v>55152</v>
      </c>
      <c r="E3951" t="s">
        <v>285</v>
      </c>
      <c r="F3951">
        <v>12028</v>
      </c>
      <c r="G3951">
        <v>0.26188711778595142</v>
      </c>
      <c r="H3951">
        <v>7.9777691865117864E-188</v>
      </c>
      <c r="I3951">
        <v>8.2293570245401333E-188</v>
      </c>
      <c r="J3951">
        <v>0.25290886014151748</v>
      </c>
      <c r="K3951">
        <v>6.9756957811274702E-175</v>
      </c>
      <c r="L3951">
        <v>7.2103522141317593E-175</v>
      </c>
      <c r="M3951">
        <v>0.17089619138651779</v>
      </c>
      <c r="N3951">
        <v>2.3711309621534098E-173</v>
      </c>
      <c r="O3951">
        <v>2.4508937773940452E-173</v>
      </c>
      <c r="P3951">
        <v>6.858486246223279E-2</v>
      </c>
      <c r="Q3951">
        <v>1.3014148125815499</v>
      </c>
      <c r="R3951">
        <v>-26.827541026300931</v>
      </c>
      <c r="S3951">
        <v>1.141878851317671</v>
      </c>
      <c r="T3951">
        <v>0.88686005795828948</v>
      </c>
      <c r="U3951">
        <v>4.2436712643831056</v>
      </c>
      <c r="V3951">
        <v>0.23810297856178911</v>
      </c>
      <c r="W3951">
        <v>-21.304764383106079</v>
      </c>
      <c r="X3951">
        <v>1.1832225496229509</v>
      </c>
      <c r="Z3951" t="s">
        <v>392</v>
      </c>
      <c r="AA3951">
        <v>114</v>
      </c>
      <c r="AB3951" t="s">
        <v>4342</v>
      </c>
      <c r="AC3951" t="str">
        <f>HYPERLINK("plots/3FT6Y578R04_015_S21P_20251218081014_M5358ACSC201811_RBGEUFRF04/dpll_52094/txpa_55152.png","plot")</f>
        <v>plot</v>
      </c>
    </row>
    <row r="3952" spans="1:29" hidden="1" x14ac:dyDescent="0.35">
      <c r="A3952" t="s">
        <v>49</v>
      </c>
      <c r="B3952">
        <v>52094</v>
      </c>
      <c r="C3952" t="s">
        <v>53</v>
      </c>
      <c r="D3952">
        <v>55153</v>
      </c>
      <c r="E3952" t="s">
        <v>286</v>
      </c>
      <c r="F3952">
        <v>12028</v>
      </c>
      <c r="G3952">
        <v>0.24139955579847011</v>
      </c>
      <c r="H3952">
        <v>4.8712805255717567E-159</v>
      </c>
      <c r="I3952">
        <v>4.9394784529297617E-159</v>
      </c>
      <c r="J3952">
        <v>0.22686411509004459</v>
      </c>
      <c r="K3952">
        <v>3.3181272983565192E-140</v>
      </c>
      <c r="L3952">
        <v>3.3645810805335098E-140</v>
      </c>
      <c r="M3952">
        <v>0.15347807671690919</v>
      </c>
      <c r="N3952">
        <v>3.3250439519893301E-140</v>
      </c>
      <c r="O3952">
        <v>3.3715945673171812E-140</v>
      </c>
      <c r="P3952">
        <v>5.8273745539698669E-2</v>
      </c>
      <c r="Q3952">
        <v>1.208599918911005</v>
      </c>
      <c r="R3952">
        <v>-26.424741183331321</v>
      </c>
      <c r="S3952">
        <v>1.156791815783718</v>
      </c>
      <c r="T3952">
        <v>0.89912155734540844</v>
      </c>
      <c r="U3952">
        <v>4.2436712643831056</v>
      </c>
      <c r="V3952">
        <v>0.23810297856178911</v>
      </c>
      <c r="W3952">
        <v>-21.29584043731294</v>
      </c>
      <c r="X3952">
        <v>1.1920951537395941</v>
      </c>
      <c r="Z3952" t="s">
        <v>392</v>
      </c>
      <c r="AA3952">
        <v>114</v>
      </c>
      <c r="AB3952" t="s">
        <v>4343</v>
      </c>
      <c r="AC3952" t="str">
        <f>HYPERLINK("plots/3FT6Y578R04_015_S21P_20251218081014_M5358ACSC201811_RBGEUFRF04/dpll_52094/txpa_55153.png","plot")</f>
        <v>plot</v>
      </c>
    </row>
    <row r="3953" spans="1:29" hidden="1" x14ac:dyDescent="0.35">
      <c r="A3953" t="s">
        <v>49</v>
      </c>
      <c r="B3953">
        <v>52094</v>
      </c>
      <c r="C3953" t="s">
        <v>53</v>
      </c>
      <c r="D3953">
        <v>55154</v>
      </c>
      <c r="E3953" t="s">
        <v>287</v>
      </c>
      <c r="F3953">
        <v>12028</v>
      </c>
      <c r="G3953">
        <v>0.25696029462408632</v>
      </c>
      <c r="H3953">
        <v>1.167659523586938E-180</v>
      </c>
      <c r="I3953">
        <v>1.191153678991102E-180</v>
      </c>
      <c r="J3953">
        <v>0.23864750363337539</v>
      </c>
      <c r="K3953">
        <v>2.2568358466326858E-155</v>
      </c>
      <c r="L3953">
        <v>2.2999312045080838E-155</v>
      </c>
      <c r="M3953">
        <v>0.16108743620312249</v>
      </c>
      <c r="N3953">
        <v>3.1959378760984863E-154</v>
      </c>
      <c r="O3953">
        <v>3.2569658355415731E-154</v>
      </c>
      <c r="P3953">
        <v>6.6028593013297221E-2</v>
      </c>
      <c r="Q3953">
        <v>1.2864420904402889</v>
      </c>
      <c r="R3953">
        <v>-26.840615979817301</v>
      </c>
      <c r="S3953">
        <v>1.1519610206895989</v>
      </c>
      <c r="T3953">
        <v>0.89924124221832558</v>
      </c>
      <c r="U3953">
        <v>4.2436712643831056</v>
      </c>
      <c r="V3953">
        <v>0.23810297856178911</v>
      </c>
      <c r="W3953">
        <v>-21.381378647322911</v>
      </c>
      <c r="X3953">
        <v>1.192035111608156</v>
      </c>
      <c r="Z3953" t="s">
        <v>392</v>
      </c>
      <c r="AA3953">
        <v>114</v>
      </c>
      <c r="AB3953" t="s">
        <v>4344</v>
      </c>
      <c r="AC3953" t="str">
        <f>HYPERLINK("plots/3FT6Y578R04_015_S21P_20251218081014_M5358ACSC201811_RBGEUFRF04/dpll_52094/txpa_55154.png","plot")</f>
        <v>plot</v>
      </c>
    </row>
    <row r="3954" spans="1:29" hidden="1" x14ac:dyDescent="0.35">
      <c r="A3954" t="s">
        <v>49</v>
      </c>
      <c r="B3954">
        <v>52094</v>
      </c>
      <c r="C3954" t="s">
        <v>53</v>
      </c>
      <c r="D3954">
        <v>55155</v>
      </c>
      <c r="E3954" t="s">
        <v>288</v>
      </c>
      <c r="F3954">
        <v>12028</v>
      </c>
      <c r="G3954">
        <v>0.51057779640584533</v>
      </c>
      <c r="H3954">
        <v>0</v>
      </c>
      <c r="I3954">
        <v>0</v>
      </c>
      <c r="J3954">
        <v>0.44953993650257762</v>
      </c>
      <c r="K3954">
        <v>0</v>
      </c>
      <c r="L3954">
        <v>0</v>
      </c>
      <c r="M3954">
        <v>0.30992381493090831</v>
      </c>
      <c r="N3954">
        <v>0</v>
      </c>
      <c r="O3954">
        <v>0</v>
      </c>
      <c r="P3954">
        <v>0.26068968618264893</v>
      </c>
      <c r="Q3954">
        <v>0.70584427501650648</v>
      </c>
      <c r="R3954">
        <v>-14.601600815104669</v>
      </c>
      <c r="S3954">
        <v>0.28301348447538738</v>
      </c>
      <c r="T3954">
        <v>0.2194482647333226</v>
      </c>
      <c r="U3954">
        <v>4.2436712643831056</v>
      </c>
      <c r="V3954">
        <v>0.23810297856178911</v>
      </c>
      <c r="W3954">
        <v>-11.60622974808779</v>
      </c>
      <c r="X3954">
        <v>0.32916359752672691</v>
      </c>
      <c r="Z3954" t="s">
        <v>392</v>
      </c>
      <c r="AA3954">
        <v>114</v>
      </c>
      <c r="AB3954" t="s">
        <v>4345</v>
      </c>
      <c r="AC3954" t="str">
        <f>HYPERLINK("plots/3FT6Y578R04_015_S21P_20251218081014_M5358ACSC201811_RBGEUFRF04/dpll_52094/txpa_55155.png","plot")</f>
        <v>plot</v>
      </c>
    </row>
    <row r="3955" spans="1:29" hidden="1" x14ac:dyDescent="0.35">
      <c r="A3955" t="s">
        <v>49</v>
      </c>
      <c r="B3955">
        <v>52094</v>
      </c>
      <c r="C3955" t="s">
        <v>53</v>
      </c>
      <c r="D3955">
        <v>55156</v>
      </c>
      <c r="E3955" t="s">
        <v>289</v>
      </c>
      <c r="F3955">
        <v>12028</v>
      </c>
      <c r="G3955">
        <v>0.5492442417494825</v>
      </c>
      <c r="H3955">
        <v>0</v>
      </c>
      <c r="I3955">
        <v>0</v>
      </c>
      <c r="J3955">
        <v>0.48098966256804671</v>
      </c>
      <c r="K3955">
        <v>0</v>
      </c>
      <c r="L3955">
        <v>0</v>
      </c>
      <c r="M3955">
        <v>0.33429976015459878</v>
      </c>
      <c r="N3955">
        <v>0</v>
      </c>
      <c r="O3955">
        <v>0</v>
      </c>
      <c r="P3955">
        <v>0.30166923709496402</v>
      </c>
      <c r="Q3955">
        <v>0.75903428983455667</v>
      </c>
      <c r="R3955">
        <v>-14.764049362284069</v>
      </c>
      <c r="S3955">
        <v>0.27496235855828222</v>
      </c>
      <c r="T3955">
        <v>0.215028796242139</v>
      </c>
      <c r="U3955">
        <v>4.2436712643831056</v>
      </c>
      <c r="V3955">
        <v>0.23810297856178911</v>
      </c>
      <c r="W3955">
        <v>-11.54295735783173</v>
      </c>
      <c r="X3955">
        <v>0.32904910329960768</v>
      </c>
      <c r="Z3955" t="s">
        <v>392</v>
      </c>
      <c r="AA3955">
        <v>114</v>
      </c>
      <c r="AB3955" t="s">
        <v>4346</v>
      </c>
      <c r="AC3955" t="str">
        <f>HYPERLINK("plots/3FT6Y578R04_015_S21P_20251218081014_M5358ACSC201811_RBGEUFRF04/dpll_52094/txpa_55156.png","plot")</f>
        <v>plot</v>
      </c>
    </row>
    <row r="3956" spans="1:29" hidden="1" x14ac:dyDescent="0.35">
      <c r="A3956" t="s">
        <v>49</v>
      </c>
      <c r="B3956">
        <v>52094</v>
      </c>
      <c r="C3956" t="s">
        <v>53</v>
      </c>
      <c r="D3956">
        <v>55157</v>
      </c>
      <c r="E3956" t="s">
        <v>290</v>
      </c>
      <c r="F3956">
        <v>12028</v>
      </c>
      <c r="G3956">
        <v>0.53855593114669753</v>
      </c>
      <c r="H3956">
        <v>0</v>
      </c>
      <c r="I3956">
        <v>0</v>
      </c>
      <c r="J3956">
        <v>0.46615633947824281</v>
      </c>
      <c r="K3956">
        <v>0</v>
      </c>
      <c r="L3956">
        <v>0</v>
      </c>
      <c r="M3956">
        <v>0.32361195728956732</v>
      </c>
      <c r="N3956">
        <v>0</v>
      </c>
      <c r="O3956">
        <v>0</v>
      </c>
      <c r="P3956">
        <v>0.29004249097328638</v>
      </c>
      <c r="Q3956">
        <v>0.73031591400017271</v>
      </c>
      <c r="R3956">
        <v>-14.61923553844357</v>
      </c>
      <c r="S3956">
        <v>0.27204635012652001</v>
      </c>
      <c r="T3956">
        <v>0.2132224694221537</v>
      </c>
      <c r="U3956">
        <v>4.2436712643831056</v>
      </c>
      <c r="V3956">
        <v>0.23810297856178911</v>
      </c>
      <c r="W3956">
        <v>-11.52001488027935</v>
      </c>
      <c r="X3956">
        <v>0.32288270234860789</v>
      </c>
      <c r="Z3956" t="s">
        <v>392</v>
      </c>
      <c r="AA3956">
        <v>114</v>
      </c>
      <c r="AB3956" t="s">
        <v>4347</v>
      </c>
      <c r="AC3956" t="str">
        <f>HYPERLINK("plots/3FT6Y578R04_015_S21P_20251218081014_M5358ACSC201811_RBGEUFRF04/dpll_52094/txpa_55157.png","plot")</f>
        <v>plot</v>
      </c>
    </row>
    <row r="3957" spans="1:29" hidden="1" x14ac:dyDescent="0.35">
      <c r="A3957" t="s">
        <v>49</v>
      </c>
      <c r="B3957">
        <v>52094</v>
      </c>
      <c r="C3957" t="s">
        <v>53</v>
      </c>
      <c r="D3957">
        <v>55158</v>
      </c>
      <c r="E3957" t="s">
        <v>291</v>
      </c>
      <c r="F3957">
        <v>12028</v>
      </c>
      <c r="G3957">
        <v>0.56067255058262055</v>
      </c>
      <c r="H3957">
        <v>0</v>
      </c>
      <c r="I3957">
        <v>0</v>
      </c>
      <c r="J3957">
        <v>0.4884570580911945</v>
      </c>
      <c r="K3957">
        <v>0</v>
      </c>
      <c r="L3957">
        <v>0</v>
      </c>
      <c r="M3957">
        <v>0.33987329705653158</v>
      </c>
      <c r="N3957">
        <v>0</v>
      </c>
      <c r="O3957">
        <v>0</v>
      </c>
      <c r="P3957">
        <v>0.31435370897682119</v>
      </c>
      <c r="Q3957">
        <v>0.77806590688824884</v>
      </c>
      <c r="R3957">
        <v>-14.794995769567519</v>
      </c>
      <c r="S3957">
        <v>0.27359233821032769</v>
      </c>
      <c r="T3957">
        <v>0.21350745789795919</v>
      </c>
      <c r="U3957">
        <v>4.2436712643831056</v>
      </c>
      <c r="V3957">
        <v>0.23810297856178911</v>
      </c>
      <c r="W3957">
        <v>-11.493139838709681</v>
      </c>
      <c r="X3957">
        <v>0.33042425521805852</v>
      </c>
      <c r="Z3957" t="s">
        <v>392</v>
      </c>
      <c r="AA3957">
        <v>114</v>
      </c>
      <c r="AB3957" t="s">
        <v>4348</v>
      </c>
      <c r="AC3957" t="str">
        <f>HYPERLINK("plots/3FT6Y578R04_015_S21P_20251218081014_M5358ACSC201811_RBGEUFRF04/dpll_52094/txpa_55158.png","plot")</f>
        <v>plot</v>
      </c>
    </row>
    <row r="3958" spans="1:29" hidden="1" x14ac:dyDescent="0.35">
      <c r="A3958" t="s">
        <v>49</v>
      </c>
      <c r="B3958">
        <v>52094</v>
      </c>
      <c r="C3958" t="s">
        <v>53</v>
      </c>
      <c r="D3958">
        <v>55159</v>
      </c>
      <c r="E3958" t="s">
        <v>292</v>
      </c>
      <c r="F3958">
        <v>12027</v>
      </c>
      <c r="G3958">
        <v>0.54907470820176918</v>
      </c>
      <c r="H3958">
        <v>0</v>
      </c>
      <c r="I3958">
        <v>0</v>
      </c>
      <c r="J3958">
        <v>0.47437847847284847</v>
      </c>
      <c r="K3958">
        <v>0</v>
      </c>
      <c r="L3958">
        <v>0</v>
      </c>
      <c r="M3958">
        <v>0.32896936596539789</v>
      </c>
      <c r="N3958">
        <v>0</v>
      </c>
      <c r="O3958">
        <v>0</v>
      </c>
      <c r="P3958">
        <v>0.30148303518685798</v>
      </c>
      <c r="Q3958">
        <v>0.76545547262349645</v>
      </c>
      <c r="R3958">
        <v>-14.75771200511365</v>
      </c>
      <c r="S3958">
        <v>0.277397122375032</v>
      </c>
      <c r="T3958">
        <v>0.21672375124868329</v>
      </c>
      <c r="U3958">
        <v>4.2436418554918101</v>
      </c>
      <c r="V3958">
        <v>0.23809103076034549</v>
      </c>
      <c r="W3958">
        <v>-11.509393122973311</v>
      </c>
      <c r="X3958">
        <v>0.3319185527137864</v>
      </c>
      <c r="Z3958" t="s">
        <v>392</v>
      </c>
      <c r="AA3958">
        <v>114</v>
      </c>
      <c r="AB3958" t="s">
        <v>4349</v>
      </c>
      <c r="AC3958" t="str">
        <f>HYPERLINK("plots/3FT6Y578R04_015_S21P_20251218081014_M5358ACSC201811_RBGEUFRF04/dpll_52094/txpa_55159.png","plot")</f>
        <v>plot</v>
      </c>
    </row>
    <row r="3959" spans="1:29" hidden="1" x14ac:dyDescent="0.35">
      <c r="A3959" t="s">
        <v>49</v>
      </c>
      <c r="B3959">
        <v>52094</v>
      </c>
      <c r="C3959" t="s">
        <v>53</v>
      </c>
      <c r="D3959">
        <v>55160</v>
      </c>
      <c r="E3959" t="s">
        <v>293</v>
      </c>
      <c r="F3959">
        <v>12028</v>
      </c>
      <c r="G3959">
        <v>0.55774641492955768</v>
      </c>
      <c r="H3959">
        <v>0</v>
      </c>
      <c r="I3959">
        <v>0</v>
      </c>
      <c r="J3959">
        <v>0.48939318537700288</v>
      </c>
      <c r="K3959">
        <v>0</v>
      </c>
      <c r="L3959">
        <v>0</v>
      </c>
      <c r="M3959">
        <v>0.34080159321365638</v>
      </c>
      <c r="N3959">
        <v>0</v>
      </c>
      <c r="O3959">
        <v>0</v>
      </c>
      <c r="P3959">
        <v>0.31108106336677432</v>
      </c>
      <c r="Q3959">
        <v>0.76538631216462194</v>
      </c>
      <c r="R3959">
        <v>-14.766921522131391</v>
      </c>
      <c r="S3959">
        <v>0.27119066692640481</v>
      </c>
      <c r="T3959">
        <v>0.21277601859962619</v>
      </c>
      <c r="U3959">
        <v>4.2436712643831056</v>
      </c>
      <c r="V3959">
        <v>0.23810297856178911</v>
      </c>
      <c r="W3959">
        <v>-11.518873623046231</v>
      </c>
      <c r="X3959">
        <v>0.32674483564333878</v>
      </c>
      <c r="Z3959" t="s">
        <v>392</v>
      </c>
      <c r="AA3959">
        <v>114</v>
      </c>
      <c r="AB3959" t="s">
        <v>4350</v>
      </c>
      <c r="AC3959" t="str">
        <f>HYPERLINK("plots/3FT6Y578R04_015_S21P_20251218081014_M5358ACSC201811_RBGEUFRF04/dpll_52094/txpa_55160.png","plot")</f>
        <v>plot</v>
      </c>
    </row>
    <row r="3960" spans="1:29" hidden="1" x14ac:dyDescent="0.35">
      <c r="A3960" t="s">
        <v>49</v>
      </c>
      <c r="B3960">
        <v>52094</v>
      </c>
      <c r="C3960" t="s">
        <v>53</v>
      </c>
      <c r="D3960">
        <v>55161</v>
      </c>
      <c r="E3960" t="s">
        <v>294</v>
      </c>
      <c r="F3960">
        <v>12028</v>
      </c>
      <c r="G3960">
        <v>0.54995629041101779</v>
      </c>
      <c r="H3960">
        <v>0</v>
      </c>
      <c r="I3960">
        <v>0</v>
      </c>
      <c r="J3960">
        <v>0.47602159249299059</v>
      </c>
      <c r="K3960">
        <v>0</v>
      </c>
      <c r="L3960">
        <v>0</v>
      </c>
      <c r="M3960">
        <v>0.33011193194688943</v>
      </c>
      <c r="N3960">
        <v>0</v>
      </c>
      <c r="O3960">
        <v>0</v>
      </c>
      <c r="P3960">
        <v>0.30245192136264781</v>
      </c>
      <c r="Q3960">
        <v>0.74632889289669724</v>
      </c>
      <c r="R3960">
        <v>-14.683299117402621</v>
      </c>
      <c r="S3960">
        <v>0.26985839218411251</v>
      </c>
      <c r="T3960">
        <v>0.21236311889316131</v>
      </c>
      <c r="U3960">
        <v>4.2436712643831056</v>
      </c>
      <c r="V3960">
        <v>0.23810297856178911</v>
      </c>
      <c r="W3960">
        <v>-11.516124640838051</v>
      </c>
      <c r="X3960">
        <v>0.32312228350477989</v>
      </c>
      <c r="Z3960" t="s">
        <v>392</v>
      </c>
      <c r="AA3960">
        <v>114</v>
      </c>
      <c r="AB3960" t="s">
        <v>4351</v>
      </c>
      <c r="AC3960" t="str">
        <f>HYPERLINK("plots/3FT6Y578R04_015_S21P_20251218081014_M5358ACSC201811_RBGEUFRF04/dpll_52094/txpa_55161.png","plot")</f>
        <v>plot</v>
      </c>
    </row>
    <row r="3961" spans="1:29" hidden="1" x14ac:dyDescent="0.35">
      <c r="A3961" t="s">
        <v>49</v>
      </c>
      <c r="B3961">
        <v>52094</v>
      </c>
      <c r="C3961" t="s">
        <v>53</v>
      </c>
      <c r="D3961">
        <v>55162</v>
      </c>
      <c r="E3961" t="s">
        <v>295</v>
      </c>
      <c r="F3961">
        <v>12028</v>
      </c>
      <c r="G3961">
        <v>0.53240009653555842</v>
      </c>
      <c r="H3961">
        <v>0</v>
      </c>
      <c r="I3961">
        <v>0</v>
      </c>
      <c r="J3961">
        <v>0.46212409306783242</v>
      </c>
      <c r="K3961">
        <v>0</v>
      </c>
      <c r="L3961">
        <v>0</v>
      </c>
      <c r="M3961">
        <v>0.32031520785766449</v>
      </c>
      <c r="N3961">
        <v>0</v>
      </c>
      <c r="O3961">
        <v>0</v>
      </c>
      <c r="P3961">
        <v>0.28344986279107193</v>
      </c>
      <c r="Q3961">
        <v>0.72980343955047244</v>
      </c>
      <c r="R3961">
        <v>-14.68615263515143</v>
      </c>
      <c r="S3961">
        <v>0.27627261987540008</v>
      </c>
      <c r="T3961">
        <v>0.2156258032720744</v>
      </c>
      <c r="U3961">
        <v>4.2436712643831056</v>
      </c>
      <c r="V3961">
        <v>0.23810297856178911</v>
      </c>
      <c r="W3961">
        <v>-11.58910675008314</v>
      </c>
      <c r="X3961">
        <v>0.32638681670486919</v>
      </c>
      <c r="Z3961" t="s">
        <v>392</v>
      </c>
      <c r="AA3961">
        <v>114</v>
      </c>
      <c r="AB3961" t="s">
        <v>4352</v>
      </c>
      <c r="AC3961" t="str">
        <f>HYPERLINK("plots/3FT6Y578R04_015_S21P_20251218081014_M5358ACSC201811_RBGEUFRF04/dpll_52094/txpa_55162.png","plot")</f>
        <v>plot</v>
      </c>
    </row>
    <row r="3962" spans="1:29" hidden="1" x14ac:dyDescent="0.35">
      <c r="A3962" t="s">
        <v>49</v>
      </c>
      <c r="B3962">
        <v>52094</v>
      </c>
      <c r="C3962" t="s">
        <v>53</v>
      </c>
      <c r="D3962">
        <v>55163</v>
      </c>
      <c r="E3962" t="s">
        <v>296</v>
      </c>
      <c r="F3962">
        <v>12028</v>
      </c>
      <c r="G3962">
        <v>0.50872736611546066</v>
      </c>
      <c r="H3962">
        <v>0</v>
      </c>
      <c r="I3962">
        <v>0</v>
      </c>
      <c r="J3962">
        <v>0.44924192234818522</v>
      </c>
      <c r="K3962">
        <v>0</v>
      </c>
      <c r="L3962">
        <v>0</v>
      </c>
      <c r="M3962">
        <v>0.30898293386489101</v>
      </c>
      <c r="N3962">
        <v>0</v>
      </c>
      <c r="O3962">
        <v>0</v>
      </c>
      <c r="P3962">
        <v>0.25880353303477388</v>
      </c>
      <c r="Q3962">
        <v>0.62637501798018858</v>
      </c>
      <c r="R3962">
        <v>-8.4091912956407207</v>
      </c>
      <c r="S3962">
        <v>0.25238455381269848</v>
      </c>
      <c r="T3962">
        <v>0.1958360359288569</v>
      </c>
      <c r="U3962">
        <v>4.2436712643831056</v>
      </c>
      <c r="V3962">
        <v>0.23810297856178911</v>
      </c>
      <c r="W3962">
        <v>-5.7510616311107423</v>
      </c>
      <c r="X3962">
        <v>0.29316637439144139</v>
      </c>
      <c r="Z3962" t="s">
        <v>392</v>
      </c>
      <c r="AA3962">
        <v>114</v>
      </c>
      <c r="AB3962" t="s">
        <v>4353</v>
      </c>
      <c r="AC3962" t="str">
        <f>HYPERLINK("plots/3FT6Y578R04_015_S21P_20251218081014_M5358ACSC201811_RBGEUFRF04/dpll_52094/txpa_55163.png","plot")</f>
        <v>plot</v>
      </c>
    </row>
    <row r="3963" spans="1:29" hidden="1" x14ac:dyDescent="0.35">
      <c r="A3963" t="s">
        <v>49</v>
      </c>
      <c r="B3963">
        <v>52094</v>
      </c>
      <c r="C3963" t="s">
        <v>53</v>
      </c>
      <c r="D3963">
        <v>55164</v>
      </c>
      <c r="E3963" t="s">
        <v>297</v>
      </c>
      <c r="F3963">
        <v>12028</v>
      </c>
      <c r="G3963">
        <v>0.53931202866080186</v>
      </c>
      <c r="H3963">
        <v>0</v>
      </c>
      <c r="I3963">
        <v>0</v>
      </c>
      <c r="J3963">
        <v>0.47418349797370962</v>
      </c>
      <c r="K3963">
        <v>0</v>
      </c>
      <c r="L3963">
        <v>0</v>
      </c>
      <c r="M3963">
        <v>0.32920067980862178</v>
      </c>
      <c r="N3963">
        <v>0</v>
      </c>
      <c r="O3963">
        <v>0</v>
      </c>
      <c r="P3963">
        <v>0.29085746425822961</v>
      </c>
      <c r="Q3963">
        <v>0.66446473061151057</v>
      </c>
      <c r="R3963">
        <v>-8.5282628477422122</v>
      </c>
      <c r="S3963">
        <v>0.24702753746199321</v>
      </c>
      <c r="T3963">
        <v>0.19328636056706969</v>
      </c>
      <c r="U3963">
        <v>4.2436712643831056</v>
      </c>
      <c r="V3963">
        <v>0.23810297856178911</v>
      </c>
      <c r="W3963">
        <v>-5.7084929642500821</v>
      </c>
      <c r="X3963">
        <v>0.29335713483105641</v>
      </c>
      <c r="Z3963" t="s">
        <v>392</v>
      </c>
      <c r="AA3963">
        <v>114</v>
      </c>
      <c r="AB3963" t="s">
        <v>4354</v>
      </c>
      <c r="AC3963" t="str">
        <f>HYPERLINK("plots/3FT6Y578R04_015_S21P_20251218081014_M5358ACSC201811_RBGEUFRF04/dpll_52094/txpa_55164.png","plot")</f>
        <v>plot</v>
      </c>
    </row>
    <row r="3964" spans="1:29" hidden="1" x14ac:dyDescent="0.35">
      <c r="A3964" t="s">
        <v>49</v>
      </c>
      <c r="B3964">
        <v>52094</v>
      </c>
      <c r="C3964" t="s">
        <v>53</v>
      </c>
      <c r="D3964">
        <v>55165</v>
      </c>
      <c r="E3964" t="s">
        <v>298</v>
      </c>
      <c r="F3964">
        <v>12028</v>
      </c>
      <c r="G3964">
        <v>0.52575611755492502</v>
      </c>
      <c r="H3964">
        <v>0</v>
      </c>
      <c r="I3964">
        <v>0</v>
      </c>
      <c r="J3964">
        <v>0.45774691864423939</v>
      </c>
      <c r="K3964">
        <v>0</v>
      </c>
      <c r="L3964">
        <v>0</v>
      </c>
      <c r="M3964">
        <v>0.31666441198758238</v>
      </c>
      <c r="N3964">
        <v>0</v>
      </c>
      <c r="O3964">
        <v>0</v>
      </c>
      <c r="P3964">
        <v>0.27641949514642811</v>
      </c>
      <c r="Q3964">
        <v>0.63600201102398257</v>
      </c>
      <c r="R3964">
        <v>-8.3868456198120818</v>
      </c>
      <c r="S3964">
        <v>0.24499902545842259</v>
      </c>
      <c r="T3964">
        <v>0.19216165912920011</v>
      </c>
      <c r="U3964">
        <v>4.2436712643831056</v>
      </c>
      <c r="V3964">
        <v>0.23810297856178911</v>
      </c>
      <c r="W3964">
        <v>-5.6878621615397398</v>
      </c>
      <c r="X3964">
        <v>0.28803083433504312</v>
      </c>
      <c r="Z3964" t="s">
        <v>392</v>
      </c>
      <c r="AA3964">
        <v>114</v>
      </c>
      <c r="AB3964" t="s">
        <v>4355</v>
      </c>
      <c r="AC3964" t="str">
        <f>HYPERLINK("plots/3FT6Y578R04_015_S21P_20251218081014_M5358ACSC201811_RBGEUFRF04/dpll_52094/txpa_55165.png","plot")</f>
        <v>plot</v>
      </c>
    </row>
    <row r="3965" spans="1:29" hidden="1" x14ac:dyDescent="0.35">
      <c r="A3965" t="s">
        <v>49</v>
      </c>
      <c r="B3965">
        <v>52094</v>
      </c>
      <c r="C3965" t="s">
        <v>53</v>
      </c>
      <c r="D3965">
        <v>55166</v>
      </c>
      <c r="E3965" t="s">
        <v>299</v>
      </c>
      <c r="F3965">
        <v>12028</v>
      </c>
      <c r="G3965">
        <v>0.55190178574541826</v>
      </c>
      <c r="H3965">
        <v>0</v>
      </c>
      <c r="I3965">
        <v>0</v>
      </c>
      <c r="J3965">
        <v>0.48012069099176119</v>
      </c>
      <c r="K3965">
        <v>0</v>
      </c>
      <c r="L3965">
        <v>0</v>
      </c>
      <c r="M3965">
        <v>0.33374201960251448</v>
      </c>
      <c r="N3965">
        <v>0</v>
      </c>
      <c r="O3965">
        <v>0</v>
      </c>
      <c r="P3965">
        <v>0.30459558110898161</v>
      </c>
      <c r="Q3965">
        <v>0.68032965759229325</v>
      </c>
      <c r="R3965">
        <v>-8.5615283112316796</v>
      </c>
      <c r="S3965">
        <v>0.24475022591203591</v>
      </c>
      <c r="T3965">
        <v>0.19189116126730549</v>
      </c>
      <c r="U3965">
        <v>4.2436712643831056</v>
      </c>
      <c r="V3965">
        <v>0.23810297856178911</v>
      </c>
      <c r="W3965">
        <v>-5.6744328929996666</v>
      </c>
      <c r="X3965">
        <v>0.29350968244804559</v>
      </c>
      <c r="Z3965" t="s">
        <v>392</v>
      </c>
      <c r="AA3965">
        <v>114</v>
      </c>
      <c r="AB3965" t="s">
        <v>4356</v>
      </c>
      <c r="AC3965" t="str">
        <f>HYPERLINK("plots/3FT6Y578R04_015_S21P_20251218081014_M5358ACSC201811_RBGEUFRF04/dpll_52094/txpa_55166.png","plot")</f>
        <v>plot</v>
      </c>
    </row>
    <row r="3966" spans="1:29" hidden="1" x14ac:dyDescent="0.35">
      <c r="A3966" t="s">
        <v>49</v>
      </c>
      <c r="B3966">
        <v>52094</v>
      </c>
      <c r="C3966" t="s">
        <v>53</v>
      </c>
      <c r="D3966">
        <v>55167</v>
      </c>
      <c r="E3966" t="s">
        <v>300</v>
      </c>
      <c r="F3966">
        <v>12027</v>
      </c>
      <c r="G3966">
        <v>0.54635873867402684</v>
      </c>
      <c r="H3966">
        <v>0</v>
      </c>
      <c r="I3966">
        <v>0</v>
      </c>
      <c r="J3966">
        <v>0.46864838535762432</v>
      </c>
      <c r="K3966">
        <v>0</v>
      </c>
      <c r="L3966">
        <v>0</v>
      </c>
      <c r="M3966">
        <v>0.32390998265459942</v>
      </c>
      <c r="N3966">
        <v>0</v>
      </c>
      <c r="O3966">
        <v>0</v>
      </c>
      <c r="P3966">
        <v>0.29850787132547357</v>
      </c>
      <c r="Q3966">
        <v>0.67200253590879033</v>
      </c>
      <c r="R3966">
        <v>-8.5373086820434345</v>
      </c>
      <c r="S3966">
        <v>0.24526151058373721</v>
      </c>
      <c r="T3966">
        <v>0.19361703196244981</v>
      </c>
      <c r="U3966">
        <v>4.2436418554918101</v>
      </c>
      <c r="V3966">
        <v>0.23809103076034549</v>
      </c>
      <c r="W3966">
        <v>-5.6855705936642549</v>
      </c>
      <c r="X3966">
        <v>0.29284381327256348</v>
      </c>
      <c r="Z3966" t="s">
        <v>392</v>
      </c>
      <c r="AA3966">
        <v>114</v>
      </c>
      <c r="AB3966" t="s">
        <v>4357</v>
      </c>
      <c r="AC3966" t="str">
        <f>HYPERLINK("plots/3FT6Y578R04_015_S21P_20251218081014_M5358ACSC201811_RBGEUFRF04/dpll_52094/txpa_55167.png","plot")</f>
        <v>plot</v>
      </c>
    </row>
    <row r="3967" spans="1:29" hidden="1" x14ac:dyDescent="0.35">
      <c r="A3967" t="s">
        <v>49</v>
      </c>
      <c r="B3967">
        <v>52094</v>
      </c>
      <c r="C3967" t="s">
        <v>53</v>
      </c>
      <c r="D3967">
        <v>55168</v>
      </c>
      <c r="E3967" t="s">
        <v>301</v>
      </c>
      <c r="F3967">
        <v>12028</v>
      </c>
      <c r="G3967">
        <v>0.55375681683934341</v>
      </c>
      <c r="H3967">
        <v>0</v>
      </c>
      <c r="I3967">
        <v>0</v>
      </c>
      <c r="J3967">
        <v>0.48404201399104801</v>
      </c>
      <c r="K3967">
        <v>0</v>
      </c>
      <c r="L3967">
        <v>0</v>
      </c>
      <c r="M3967">
        <v>0.33630114024466268</v>
      </c>
      <c r="N3967">
        <v>0</v>
      </c>
      <c r="O3967">
        <v>0</v>
      </c>
      <c r="P3967">
        <v>0.30664661219604211</v>
      </c>
      <c r="Q3967">
        <v>0.6779168966816459</v>
      </c>
      <c r="R3967">
        <v>-8.5623304945765319</v>
      </c>
      <c r="S3967">
        <v>0.24270653386887961</v>
      </c>
      <c r="T3967">
        <v>0.19135927706039091</v>
      </c>
      <c r="U3967">
        <v>4.2436712643831056</v>
      </c>
      <c r="V3967">
        <v>0.23810297856178911</v>
      </c>
      <c r="W3967">
        <v>-5.6854740404888604</v>
      </c>
      <c r="X3967">
        <v>0.29148902082788108</v>
      </c>
      <c r="Z3967" t="s">
        <v>392</v>
      </c>
      <c r="AA3967">
        <v>114</v>
      </c>
      <c r="AB3967" t="s">
        <v>4358</v>
      </c>
      <c r="AC3967" t="str">
        <f>HYPERLINK("plots/3FT6Y578R04_015_S21P_20251218081014_M5358ACSC201811_RBGEUFRF04/dpll_52094/txpa_55168.png","plot")</f>
        <v>plot</v>
      </c>
    </row>
    <row r="3968" spans="1:29" hidden="1" x14ac:dyDescent="0.35">
      <c r="A3968" t="s">
        <v>49</v>
      </c>
      <c r="B3968">
        <v>52094</v>
      </c>
      <c r="C3968" t="s">
        <v>53</v>
      </c>
      <c r="D3968">
        <v>55169</v>
      </c>
      <c r="E3968" t="s">
        <v>302</v>
      </c>
      <c r="F3968">
        <v>12028</v>
      </c>
      <c r="G3968">
        <v>0.54746518161760904</v>
      </c>
      <c r="H3968">
        <v>0</v>
      </c>
      <c r="I3968">
        <v>0</v>
      </c>
      <c r="J3968">
        <v>0.47215051522409829</v>
      </c>
      <c r="K3968">
        <v>0</v>
      </c>
      <c r="L3968">
        <v>0</v>
      </c>
      <c r="M3968">
        <v>0.32639020594976959</v>
      </c>
      <c r="N3968">
        <v>0</v>
      </c>
      <c r="O3968">
        <v>0</v>
      </c>
      <c r="P3968">
        <v>0.29971812508360163</v>
      </c>
      <c r="Q3968">
        <v>0.65898785041463492</v>
      </c>
      <c r="R3968">
        <v>-8.4781588498593994</v>
      </c>
      <c r="S3968">
        <v>0.23983033886071689</v>
      </c>
      <c r="T3968">
        <v>0.18952058851004169</v>
      </c>
      <c r="U3968">
        <v>4.2436712643831056</v>
      </c>
      <c r="V3968">
        <v>0.23810297856178911</v>
      </c>
      <c r="W3968">
        <v>-5.6816310454772196</v>
      </c>
      <c r="X3968">
        <v>0.28660629988584529</v>
      </c>
      <c r="Z3968" t="s">
        <v>392</v>
      </c>
      <c r="AA3968">
        <v>114</v>
      </c>
      <c r="AB3968" t="s">
        <v>4359</v>
      </c>
      <c r="AC3968" t="str">
        <f>HYPERLINK("plots/3FT6Y578R04_015_S21P_20251218081014_M5358ACSC201811_RBGEUFRF04/dpll_52094/txpa_55169.png","plot")</f>
        <v>plot</v>
      </c>
    </row>
    <row r="3969" spans="1:29" hidden="1" x14ac:dyDescent="0.35">
      <c r="A3969" t="s">
        <v>49</v>
      </c>
      <c r="B3969">
        <v>52094</v>
      </c>
      <c r="C3969" t="s">
        <v>53</v>
      </c>
      <c r="D3969">
        <v>55170</v>
      </c>
      <c r="E3969" t="s">
        <v>303</v>
      </c>
      <c r="F3969">
        <v>12028</v>
      </c>
      <c r="G3969">
        <v>0.53331101521142277</v>
      </c>
      <c r="H3969">
        <v>0</v>
      </c>
      <c r="I3969">
        <v>0</v>
      </c>
      <c r="J3969">
        <v>0.46145042014022708</v>
      </c>
      <c r="K3969">
        <v>0</v>
      </c>
      <c r="L3969">
        <v>0</v>
      </c>
      <c r="M3969">
        <v>0.31946533206438699</v>
      </c>
      <c r="N3969">
        <v>0</v>
      </c>
      <c r="O3969">
        <v>0</v>
      </c>
      <c r="P3969">
        <v>0.28442063894583841</v>
      </c>
      <c r="Q3969">
        <v>0.6507343495763116</v>
      </c>
      <c r="R3969">
        <v>-8.4954860243606181</v>
      </c>
      <c r="S3969">
        <v>0.2457530152832143</v>
      </c>
      <c r="T3969">
        <v>0.19299210548095419</v>
      </c>
      <c r="U3969">
        <v>4.2436712643831056</v>
      </c>
      <c r="V3969">
        <v>0.23810297856178911</v>
      </c>
      <c r="W3969">
        <v>-5.7339833643165941</v>
      </c>
      <c r="X3969">
        <v>0.29052800798641659</v>
      </c>
      <c r="Z3969" t="s">
        <v>392</v>
      </c>
      <c r="AA3969">
        <v>114</v>
      </c>
      <c r="AB3969" t="s">
        <v>4360</v>
      </c>
      <c r="AC3969" t="str">
        <f>HYPERLINK("plots/3FT6Y578R04_015_S21P_20251218081014_M5358ACSC201811_RBGEUFRF04/dpll_52094/txpa_55170.png","plot")</f>
        <v>plot</v>
      </c>
    </row>
    <row r="3970" spans="1:29" hidden="1" x14ac:dyDescent="0.35">
      <c r="A3970" t="s">
        <v>49</v>
      </c>
      <c r="B3970">
        <v>52094</v>
      </c>
      <c r="C3970" t="s">
        <v>53</v>
      </c>
      <c r="D3970">
        <v>55171</v>
      </c>
      <c r="E3970" t="s">
        <v>304</v>
      </c>
      <c r="F3970">
        <v>12028</v>
      </c>
      <c r="G3970">
        <v>0.51776278139488541</v>
      </c>
      <c r="H3970">
        <v>0</v>
      </c>
      <c r="I3970">
        <v>0</v>
      </c>
      <c r="J3970">
        <v>0.46215636124139509</v>
      </c>
      <c r="K3970">
        <v>0</v>
      </c>
      <c r="L3970">
        <v>0</v>
      </c>
      <c r="M3970">
        <v>0.31814298391342322</v>
      </c>
      <c r="N3970">
        <v>0</v>
      </c>
      <c r="O3970">
        <v>0</v>
      </c>
      <c r="P3970">
        <v>0.26807829779776787</v>
      </c>
      <c r="Q3970">
        <v>0.63447148440322565</v>
      </c>
      <c r="R3970">
        <v>-5.3655917817234506</v>
      </c>
      <c r="S3970">
        <v>0.2496090720439256</v>
      </c>
      <c r="T3970">
        <v>0.19365797504031931</v>
      </c>
      <c r="U3970">
        <v>4.2436712643831056</v>
      </c>
      <c r="V3970">
        <v>0.23810297856178911</v>
      </c>
      <c r="W3970">
        <v>-2.6731033752909878</v>
      </c>
      <c r="X3970">
        <v>0.29177367643525248</v>
      </c>
      <c r="Z3970" t="s">
        <v>392</v>
      </c>
      <c r="AA3970">
        <v>114</v>
      </c>
      <c r="AB3970" t="s">
        <v>4361</v>
      </c>
      <c r="AC3970" t="str">
        <f>HYPERLINK("plots/3FT6Y578R04_015_S21P_20251218081014_M5358ACSC201811_RBGEUFRF04/dpll_52094/txpa_55171.png","plot")</f>
        <v>plot</v>
      </c>
    </row>
    <row r="3971" spans="1:29" hidden="1" x14ac:dyDescent="0.35">
      <c r="A3971" t="s">
        <v>49</v>
      </c>
      <c r="B3971">
        <v>52094</v>
      </c>
      <c r="C3971" t="s">
        <v>53</v>
      </c>
      <c r="D3971">
        <v>55172</v>
      </c>
      <c r="E3971" t="s">
        <v>305</v>
      </c>
      <c r="F3971">
        <v>12028</v>
      </c>
      <c r="G3971">
        <v>0.54708664356033188</v>
      </c>
      <c r="H3971">
        <v>0</v>
      </c>
      <c r="I3971">
        <v>0</v>
      </c>
      <c r="J3971">
        <v>0.48528262093765873</v>
      </c>
      <c r="K3971">
        <v>0</v>
      </c>
      <c r="L3971">
        <v>0</v>
      </c>
      <c r="M3971">
        <v>0.33714938891267759</v>
      </c>
      <c r="N3971">
        <v>0</v>
      </c>
      <c r="O3971">
        <v>0</v>
      </c>
      <c r="P3971">
        <v>0.29930379556210962</v>
      </c>
      <c r="Q3971">
        <v>0.67031720906197811</v>
      </c>
      <c r="R3971">
        <v>-5.4812801750083882</v>
      </c>
      <c r="S3971">
        <v>0.24419451995086819</v>
      </c>
      <c r="T3971">
        <v>0.1911757696999653</v>
      </c>
      <c r="U3971">
        <v>4.2436712643831056</v>
      </c>
      <c r="V3971">
        <v>0.23810297856178911</v>
      </c>
      <c r="W3971">
        <v>-2.6366742968905879</v>
      </c>
      <c r="X3971">
        <v>0.29173536941097239</v>
      </c>
      <c r="Z3971" t="s">
        <v>392</v>
      </c>
      <c r="AA3971">
        <v>114</v>
      </c>
      <c r="AB3971" t="s">
        <v>4362</v>
      </c>
      <c r="AC3971" t="str">
        <f>HYPERLINK("plots/3FT6Y578R04_015_S21P_20251218081014_M5358ACSC201811_RBGEUFRF04/dpll_52094/txpa_55172.png","plot")</f>
        <v>plot</v>
      </c>
    </row>
    <row r="3972" spans="1:29" hidden="1" x14ac:dyDescent="0.35">
      <c r="A3972" t="s">
        <v>49</v>
      </c>
      <c r="B3972">
        <v>52094</v>
      </c>
      <c r="C3972" t="s">
        <v>53</v>
      </c>
      <c r="D3972">
        <v>55173</v>
      </c>
      <c r="E3972" t="s">
        <v>306</v>
      </c>
      <c r="F3972">
        <v>12028</v>
      </c>
      <c r="G3972">
        <v>0.53244719448059619</v>
      </c>
      <c r="H3972">
        <v>0</v>
      </c>
      <c r="I3972">
        <v>0</v>
      </c>
      <c r="J3972">
        <v>0.46890046020399989</v>
      </c>
      <c r="K3972">
        <v>0</v>
      </c>
      <c r="L3972">
        <v>0</v>
      </c>
      <c r="M3972">
        <v>0.32454917400177868</v>
      </c>
      <c r="N3972">
        <v>0</v>
      </c>
      <c r="O3972">
        <v>0</v>
      </c>
      <c r="P3972">
        <v>0.28350001491025778</v>
      </c>
      <c r="Q3972">
        <v>0.64072292263488617</v>
      </c>
      <c r="R3972">
        <v>-5.3365263423971401</v>
      </c>
      <c r="S3972">
        <v>0.2425205729246423</v>
      </c>
      <c r="T3972">
        <v>0.1901493421413982</v>
      </c>
      <c r="U3972">
        <v>4.2436712643831056</v>
      </c>
      <c r="V3972">
        <v>0.23810297856178911</v>
      </c>
      <c r="W3972">
        <v>-2.617508887179913</v>
      </c>
      <c r="X3972">
        <v>0.28652237798154218</v>
      </c>
      <c r="Z3972" t="s">
        <v>392</v>
      </c>
      <c r="AA3972">
        <v>114</v>
      </c>
      <c r="AB3972" t="s">
        <v>4363</v>
      </c>
      <c r="AC3972" t="str">
        <f>HYPERLINK("plots/3FT6Y578R04_015_S21P_20251218081014_M5358ACSC201811_RBGEUFRF04/dpll_52094/txpa_55173.png","plot")</f>
        <v>plot</v>
      </c>
    </row>
    <row r="3973" spans="1:29" hidden="1" x14ac:dyDescent="0.35">
      <c r="A3973" t="s">
        <v>49</v>
      </c>
      <c r="B3973">
        <v>52094</v>
      </c>
      <c r="C3973" t="s">
        <v>53</v>
      </c>
      <c r="D3973">
        <v>55174</v>
      </c>
      <c r="E3973" t="s">
        <v>307</v>
      </c>
      <c r="F3973">
        <v>12028</v>
      </c>
      <c r="G3973">
        <v>0.55591350296574815</v>
      </c>
      <c r="H3973">
        <v>0</v>
      </c>
      <c r="I3973">
        <v>0</v>
      </c>
      <c r="J3973">
        <v>0.48732985655392952</v>
      </c>
      <c r="K3973">
        <v>0</v>
      </c>
      <c r="L3973">
        <v>0</v>
      </c>
      <c r="M3973">
        <v>0.33902207895363817</v>
      </c>
      <c r="N3973">
        <v>0</v>
      </c>
      <c r="O3973">
        <v>0</v>
      </c>
      <c r="P3973">
        <v>0.30903982277964892</v>
      </c>
      <c r="Q3973">
        <v>0.67915073768371614</v>
      </c>
      <c r="R3973">
        <v>-5.4911990861711928</v>
      </c>
      <c r="S3973">
        <v>0.24178660472194441</v>
      </c>
      <c r="T3973">
        <v>0.18967059827768579</v>
      </c>
      <c r="U3973">
        <v>4.2436712643831056</v>
      </c>
      <c r="V3973">
        <v>0.23810297856178911</v>
      </c>
      <c r="W3973">
        <v>-2.609106616478218</v>
      </c>
      <c r="X3973">
        <v>0.29088664454493829</v>
      </c>
      <c r="Z3973" t="s">
        <v>392</v>
      </c>
      <c r="AA3973">
        <v>114</v>
      </c>
      <c r="AB3973" t="s">
        <v>4364</v>
      </c>
      <c r="AC3973" t="str">
        <f>HYPERLINK("plots/3FT6Y578R04_015_S21P_20251218081014_M5358ACSC201811_RBGEUFRF04/dpll_52094/txpa_55174.png","plot")</f>
        <v>plot</v>
      </c>
    </row>
    <row r="3974" spans="1:29" hidden="1" x14ac:dyDescent="0.35">
      <c r="A3974" t="s">
        <v>49</v>
      </c>
      <c r="B3974">
        <v>52094</v>
      </c>
      <c r="C3974" t="s">
        <v>53</v>
      </c>
      <c r="D3974">
        <v>55175</v>
      </c>
      <c r="E3974" t="s">
        <v>308</v>
      </c>
      <c r="F3974">
        <v>12027</v>
      </c>
      <c r="G3974">
        <v>0.55089200699795149</v>
      </c>
      <c r="H3974">
        <v>0</v>
      </c>
      <c r="I3974">
        <v>0</v>
      </c>
      <c r="J3974">
        <v>0.47630117731393629</v>
      </c>
      <c r="K3974">
        <v>0</v>
      </c>
      <c r="L3974">
        <v>0</v>
      </c>
      <c r="M3974">
        <v>0.32933315249056938</v>
      </c>
      <c r="N3974">
        <v>0</v>
      </c>
      <c r="O3974">
        <v>0</v>
      </c>
      <c r="P3974">
        <v>0.30348200337423098</v>
      </c>
      <c r="Q3974">
        <v>0.6705550868454796</v>
      </c>
      <c r="R3974">
        <v>-5.4653183063519357</v>
      </c>
      <c r="S3974">
        <v>0.24185726690597881</v>
      </c>
      <c r="T3974">
        <v>0.19091598869952259</v>
      </c>
      <c r="U3974">
        <v>4.2436418554918101</v>
      </c>
      <c r="V3974">
        <v>0.23809103076034549</v>
      </c>
      <c r="W3974">
        <v>-2.6197226734015131</v>
      </c>
      <c r="X3974">
        <v>0.28980843755321889</v>
      </c>
      <c r="Z3974" t="s">
        <v>392</v>
      </c>
      <c r="AA3974">
        <v>114</v>
      </c>
      <c r="AB3974" t="s">
        <v>4365</v>
      </c>
      <c r="AC3974" t="str">
        <f>HYPERLINK("plots/3FT6Y578R04_015_S21P_20251218081014_M5358ACSC201811_RBGEUFRF04/dpll_52094/txpa_55175.png","plot")</f>
        <v>plot</v>
      </c>
    </row>
    <row r="3975" spans="1:29" hidden="1" x14ac:dyDescent="0.35">
      <c r="A3975" t="s">
        <v>49</v>
      </c>
      <c r="B3975">
        <v>52094</v>
      </c>
      <c r="C3975" t="s">
        <v>53</v>
      </c>
      <c r="D3975">
        <v>55176</v>
      </c>
      <c r="E3975" t="s">
        <v>309</v>
      </c>
      <c r="F3975">
        <v>12028</v>
      </c>
      <c r="G3975">
        <v>0.56107216416714412</v>
      </c>
      <c r="H3975">
        <v>0</v>
      </c>
      <c r="I3975">
        <v>0</v>
      </c>
      <c r="J3975">
        <v>0.49523835219608942</v>
      </c>
      <c r="K3975">
        <v>0</v>
      </c>
      <c r="L3975">
        <v>0</v>
      </c>
      <c r="M3975">
        <v>0.34456482530369897</v>
      </c>
      <c r="N3975">
        <v>0</v>
      </c>
      <c r="O3975">
        <v>0</v>
      </c>
      <c r="P3975">
        <v>0.31480197340320271</v>
      </c>
      <c r="Q3975">
        <v>0.6837789553560647</v>
      </c>
      <c r="R3975">
        <v>-5.5177047545997784</v>
      </c>
      <c r="S3975">
        <v>0.24018829158542479</v>
      </c>
      <c r="T3975">
        <v>0.1891692138055992</v>
      </c>
      <c r="U3975">
        <v>4.2436712643831056</v>
      </c>
      <c r="V3975">
        <v>0.23810297856178911</v>
      </c>
      <c r="W3975">
        <v>-2.615971650565347</v>
      </c>
      <c r="X3975">
        <v>0.29017623105545198</v>
      </c>
      <c r="Z3975" t="s">
        <v>392</v>
      </c>
      <c r="AA3975">
        <v>114</v>
      </c>
      <c r="AB3975" t="s">
        <v>4366</v>
      </c>
      <c r="AC3975" t="str">
        <f>HYPERLINK("plots/3FT6Y578R04_015_S21P_20251218081014_M5358ACSC201811_RBGEUFRF04/dpll_52094/txpa_55176.png","plot")</f>
        <v>plot</v>
      </c>
    </row>
    <row r="3976" spans="1:29" hidden="1" x14ac:dyDescent="0.35">
      <c r="A3976" t="s">
        <v>49</v>
      </c>
      <c r="B3976">
        <v>52094</v>
      </c>
      <c r="C3976" t="s">
        <v>53</v>
      </c>
      <c r="D3976">
        <v>55177</v>
      </c>
      <c r="E3976" t="s">
        <v>310</v>
      </c>
      <c r="F3976">
        <v>12028</v>
      </c>
      <c r="G3976">
        <v>0.55495139791089154</v>
      </c>
      <c r="H3976">
        <v>0</v>
      </c>
      <c r="I3976">
        <v>0</v>
      </c>
      <c r="J3976">
        <v>0.48368425255130387</v>
      </c>
      <c r="K3976">
        <v>0</v>
      </c>
      <c r="L3976">
        <v>0</v>
      </c>
      <c r="M3976">
        <v>0.33479992670534819</v>
      </c>
      <c r="N3976">
        <v>0</v>
      </c>
      <c r="O3976">
        <v>0</v>
      </c>
      <c r="P3976">
        <v>0.3079710540432527</v>
      </c>
      <c r="Q3976">
        <v>0.66523063137281691</v>
      </c>
      <c r="R3976">
        <v>-5.4336015374740843</v>
      </c>
      <c r="S3976">
        <v>0.2374248613982235</v>
      </c>
      <c r="T3976">
        <v>0.1878305944490378</v>
      </c>
      <c r="U3976">
        <v>4.2436712643831056</v>
      </c>
      <c r="V3976">
        <v>0.23810297856178911</v>
      </c>
      <c r="W3976">
        <v>-2.610581422929831</v>
      </c>
      <c r="X3976">
        <v>0.28541849855082341</v>
      </c>
      <c r="Z3976" t="s">
        <v>392</v>
      </c>
      <c r="AA3976">
        <v>114</v>
      </c>
      <c r="AB3976" t="s">
        <v>4367</v>
      </c>
      <c r="AC3976" t="str">
        <f>HYPERLINK("plots/3FT6Y578R04_015_S21P_20251218081014_M5358ACSC201811_RBGEUFRF04/dpll_52094/txpa_55177.png","plot")</f>
        <v>plot</v>
      </c>
    </row>
    <row r="3977" spans="1:29" hidden="1" x14ac:dyDescent="0.35">
      <c r="A3977" t="s">
        <v>49</v>
      </c>
      <c r="B3977">
        <v>52094</v>
      </c>
      <c r="C3977" t="s">
        <v>53</v>
      </c>
      <c r="D3977">
        <v>55178</v>
      </c>
      <c r="E3977" t="s">
        <v>311</v>
      </c>
      <c r="F3977">
        <v>12027</v>
      </c>
      <c r="G3977">
        <v>0.54105571303161515</v>
      </c>
      <c r="H3977">
        <v>0</v>
      </c>
      <c r="I3977">
        <v>0</v>
      </c>
      <c r="J3977">
        <v>0.47286927970376053</v>
      </c>
      <c r="K3977">
        <v>0</v>
      </c>
      <c r="L3977">
        <v>0</v>
      </c>
      <c r="M3977">
        <v>0.32793637074248461</v>
      </c>
      <c r="N3977">
        <v>0</v>
      </c>
      <c r="O3977">
        <v>0</v>
      </c>
      <c r="P3977">
        <v>0.2927412846041495</v>
      </c>
      <c r="Q3977">
        <v>0.65811917012589982</v>
      </c>
      <c r="R3977">
        <v>-5.4495005415877031</v>
      </c>
      <c r="S3977">
        <v>0.2435511939841995</v>
      </c>
      <c r="T3977">
        <v>0.19136195428228789</v>
      </c>
      <c r="U3977">
        <v>4.2436951445081901</v>
      </c>
      <c r="V3977">
        <v>0.2380984732054881</v>
      </c>
      <c r="W3977">
        <v>-2.6566434148166622</v>
      </c>
      <c r="X3977">
        <v>0.28961374183860328</v>
      </c>
      <c r="Z3977" t="s">
        <v>392</v>
      </c>
      <c r="AA3977">
        <v>114</v>
      </c>
      <c r="AB3977" t="s">
        <v>4368</v>
      </c>
      <c r="AC3977" t="str">
        <f>HYPERLINK("plots/3FT6Y578R04_015_S21P_20251218081014_M5358ACSC201811_RBGEUFRF04/dpll_52094/txpa_55178.png","plot")</f>
        <v>plot</v>
      </c>
    </row>
    <row r="3978" spans="1:29" hidden="1" x14ac:dyDescent="0.35">
      <c r="A3978" t="s">
        <v>49</v>
      </c>
      <c r="B3978">
        <v>52094</v>
      </c>
      <c r="C3978" t="s">
        <v>53</v>
      </c>
      <c r="D3978">
        <v>55179</v>
      </c>
      <c r="E3978" t="s">
        <v>312</v>
      </c>
      <c r="F3978">
        <v>12028</v>
      </c>
      <c r="G3978">
        <v>0.56209327271859666</v>
      </c>
      <c r="H3978">
        <v>0</v>
      </c>
      <c r="I3978">
        <v>0</v>
      </c>
      <c r="J3978">
        <v>0.51242510828481014</v>
      </c>
      <c r="K3978">
        <v>0</v>
      </c>
      <c r="L3978">
        <v>0</v>
      </c>
      <c r="M3978">
        <v>0.35576053887162162</v>
      </c>
      <c r="N3978">
        <v>0</v>
      </c>
      <c r="O3978">
        <v>0</v>
      </c>
      <c r="P3978">
        <v>0.31594884723550271</v>
      </c>
      <c r="Q3978">
        <v>0.69175845848512518</v>
      </c>
      <c r="R3978">
        <v>-1.981918598313688</v>
      </c>
      <c r="S3978">
        <v>0.2423467244600627</v>
      </c>
      <c r="T3978">
        <v>0.1874970719715979</v>
      </c>
      <c r="U3978">
        <v>4.2436712643831056</v>
      </c>
      <c r="V3978">
        <v>0.23810297856178911</v>
      </c>
      <c r="W3978">
        <v>0.95367689385359156</v>
      </c>
      <c r="X3978">
        <v>0.29302921313039698</v>
      </c>
      <c r="Z3978" t="s">
        <v>392</v>
      </c>
      <c r="AA3978">
        <v>114</v>
      </c>
      <c r="AB3978" t="s">
        <v>4369</v>
      </c>
      <c r="AC3978" t="str">
        <f>HYPERLINK("plots/3FT6Y578R04_015_S21P_20251218081014_M5358ACSC201811_RBGEUFRF04/dpll_52094/txpa_55179.png","plot")</f>
        <v>plot</v>
      </c>
    </row>
    <row r="3979" spans="1:29" hidden="1" x14ac:dyDescent="0.35">
      <c r="A3979" t="s">
        <v>49</v>
      </c>
      <c r="B3979">
        <v>52094</v>
      </c>
      <c r="C3979" t="s">
        <v>53</v>
      </c>
      <c r="D3979">
        <v>55180</v>
      </c>
      <c r="E3979" t="s">
        <v>313</v>
      </c>
      <c r="F3979">
        <v>12028</v>
      </c>
      <c r="G3979">
        <v>0.58969999453034605</v>
      </c>
      <c r="H3979">
        <v>0</v>
      </c>
      <c r="I3979">
        <v>0</v>
      </c>
      <c r="J3979">
        <v>0.53274212998967418</v>
      </c>
      <c r="K3979">
        <v>0</v>
      </c>
      <c r="L3979">
        <v>0</v>
      </c>
      <c r="M3979">
        <v>0.37308598246793051</v>
      </c>
      <c r="N3979">
        <v>0</v>
      </c>
      <c r="O3979">
        <v>0</v>
      </c>
      <c r="P3979">
        <v>0.34774608354909009</v>
      </c>
      <c r="Q3979">
        <v>0.72508652730589396</v>
      </c>
      <c r="R3979">
        <v>-2.091678924560247</v>
      </c>
      <c r="S3979">
        <v>0.2364361253829545</v>
      </c>
      <c r="T3979">
        <v>0.18508859742578551</v>
      </c>
      <c r="U3979">
        <v>4.2436712643831056</v>
      </c>
      <c r="V3979">
        <v>0.23810297856178911</v>
      </c>
      <c r="W3979">
        <v>0.9853499355591121</v>
      </c>
      <c r="X3979">
        <v>0.29276795568576691</v>
      </c>
      <c r="Z3979" t="s">
        <v>392</v>
      </c>
      <c r="AA3979">
        <v>114</v>
      </c>
      <c r="AB3979" t="s">
        <v>4370</v>
      </c>
      <c r="AC3979" t="str">
        <f>HYPERLINK("plots/3FT6Y578R04_015_S21P_20251218081014_M5358ACSC201811_RBGEUFRF04/dpll_52094/txpa_55180.png","plot")</f>
        <v>plot</v>
      </c>
    </row>
    <row r="3980" spans="1:29" hidden="1" x14ac:dyDescent="0.35">
      <c r="A3980" t="s">
        <v>49</v>
      </c>
      <c r="B3980">
        <v>52094</v>
      </c>
      <c r="C3980" t="s">
        <v>53</v>
      </c>
      <c r="D3980">
        <v>55181</v>
      </c>
      <c r="E3980" t="s">
        <v>314</v>
      </c>
      <c r="F3980">
        <v>12028</v>
      </c>
      <c r="G3980">
        <v>0.57452345557989115</v>
      </c>
      <c r="H3980">
        <v>0</v>
      </c>
      <c r="I3980">
        <v>0</v>
      </c>
      <c r="J3980">
        <v>0.51629565663881571</v>
      </c>
      <c r="K3980">
        <v>0</v>
      </c>
      <c r="L3980">
        <v>0</v>
      </c>
      <c r="M3980">
        <v>0.35996810136231477</v>
      </c>
      <c r="N3980">
        <v>0</v>
      </c>
      <c r="O3980">
        <v>0</v>
      </c>
      <c r="P3980">
        <v>0.33007720101145921</v>
      </c>
      <c r="Q3980">
        <v>0.69594827528344272</v>
      </c>
      <c r="R3980">
        <v>-1.9504718879655669</v>
      </c>
      <c r="S3980">
        <v>0.23606323371165849</v>
      </c>
      <c r="T3980">
        <v>0.18460760050938249</v>
      </c>
      <c r="U3980">
        <v>4.2436712643831056</v>
      </c>
      <c r="V3980">
        <v>0.23810297856178911</v>
      </c>
      <c r="W3980">
        <v>1.002903809351763</v>
      </c>
      <c r="X3980">
        <v>0.28842574774022411</v>
      </c>
      <c r="Z3980" t="s">
        <v>392</v>
      </c>
      <c r="AA3980">
        <v>114</v>
      </c>
      <c r="AB3980" t="s">
        <v>4371</v>
      </c>
      <c r="AC3980" t="str">
        <f>HYPERLINK("plots/3FT6Y578R04_015_S21P_20251218081014_M5358ACSC201811_RBGEUFRF04/dpll_52094/txpa_55181.png","plot")</f>
        <v>plot</v>
      </c>
    </row>
    <row r="3981" spans="1:29" hidden="1" x14ac:dyDescent="0.35">
      <c r="A3981" t="s">
        <v>49</v>
      </c>
      <c r="B3981">
        <v>52094</v>
      </c>
      <c r="C3981" t="s">
        <v>53</v>
      </c>
      <c r="D3981">
        <v>55182</v>
      </c>
      <c r="E3981" t="s">
        <v>315</v>
      </c>
      <c r="F3981">
        <v>12028</v>
      </c>
      <c r="G3981">
        <v>0.59521949173848865</v>
      </c>
      <c r="H3981">
        <v>0</v>
      </c>
      <c r="I3981">
        <v>0</v>
      </c>
      <c r="J3981">
        <v>0.53193043915232663</v>
      </c>
      <c r="K3981">
        <v>0</v>
      </c>
      <c r="L3981">
        <v>0</v>
      </c>
      <c r="M3981">
        <v>0.37281481259296251</v>
      </c>
      <c r="N3981">
        <v>0</v>
      </c>
      <c r="O3981">
        <v>0</v>
      </c>
      <c r="P3981">
        <v>0.35428624334542469</v>
      </c>
      <c r="Q3981">
        <v>0.72973737333975675</v>
      </c>
      <c r="R3981">
        <v>-2.089802652193554</v>
      </c>
      <c r="S3981">
        <v>0.23456123412091051</v>
      </c>
      <c r="T3981">
        <v>0.18371986370338769</v>
      </c>
      <c r="U3981">
        <v>4.2436712643831056</v>
      </c>
      <c r="V3981">
        <v>0.23810297856178911</v>
      </c>
      <c r="W3981">
        <v>1.006962869594779</v>
      </c>
      <c r="X3981">
        <v>0.29191356226014031</v>
      </c>
      <c r="Z3981" t="s">
        <v>392</v>
      </c>
      <c r="AA3981">
        <v>114</v>
      </c>
      <c r="AB3981" t="s">
        <v>4372</v>
      </c>
      <c r="AC3981" t="str">
        <f>HYPERLINK("plots/3FT6Y578R04_015_S21P_20251218081014_M5358ACSC201811_RBGEUFRF04/dpll_52094/txpa_55182.png","plot")</f>
        <v>plot</v>
      </c>
    </row>
    <row r="3982" spans="1:29" hidden="1" x14ac:dyDescent="0.35">
      <c r="A3982" t="s">
        <v>49</v>
      </c>
      <c r="B3982">
        <v>52094</v>
      </c>
      <c r="C3982" t="s">
        <v>53</v>
      </c>
      <c r="D3982">
        <v>55183</v>
      </c>
      <c r="E3982" t="s">
        <v>316</v>
      </c>
      <c r="F3982">
        <v>12027</v>
      </c>
      <c r="G3982">
        <v>0.59273611252355773</v>
      </c>
      <c r="H3982">
        <v>0</v>
      </c>
      <c r="I3982">
        <v>0</v>
      </c>
      <c r="J3982">
        <v>0.52323711809032036</v>
      </c>
      <c r="K3982">
        <v>0</v>
      </c>
      <c r="L3982">
        <v>0</v>
      </c>
      <c r="M3982">
        <v>0.36456357896955299</v>
      </c>
      <c r="N3982">
        <v>0</v>
      </c>
      <c r="O3982">
        <v>0</v>
      </c>
      <c r="P3982">
        <v>0.35133609908953972</v>
      </c>
      <c r="Q3982">
        <v>0.72244886006107034</v>
      </c>
      <c r="R3982">
        <v>-2.069662231828822</v>
      </c>
      <c r="S3982">
        <v>0.23371176049504661</v>
      </c>
      <c r="T3982">
        <v>0.18434244569363131</v>
      </c>
      <c r="U3982">
        <v>4.2436418554918101</v>
      </c>
      <c r="V3982">
        <v>0.23809103076034549</v>
      </c>
      <c r="W3982">
        <v>0.9961519891786812</v>
      </c>
      <c r="X3982">
        <v>0.290194219871732</v>
      </c>
      <c r="Z3982" t="s">
        <v>392</v>
      </c>
      <c r="AA3982">
        <v>114</v>
      </c>
      <c r="AB3982" t="s">
        <v>4373</v>
      </c>
      <c r="AC3982" t="str">
        <f>HYPERLINK("plots/3FT6Y578R04_015_S21P_20251218081014_M5358ACSC201811_RBGEUFRF04/dpll_52094/txpa_55183.png","plot")</f>
        <v>plot</v>
      </c>
    </row>
    <row r="3983" spans="1:29" hidden="1" x14ac:dyDescent="0.35">
      <c r="A3983" t="s">
        <v>49</v>
      </c>
      <c r="B3983">
        <v>52094</v>
      </c>
      <c r="C3983" t="s">
        <v>53</v>
      </c>
      <c r="D3983">
        <v>55184</v>
      </c>
      <c r="E3983" t="s">
        <v>317</v>
      </c>
      <c r="F3983">
        <v>12028</v>
      </c>
      <c r="G3983">
        <v>0.60186394138538934</v>
      </c>
      <c r="H3983">
        <v>0</v>
      </c>
      <c r="I3983">
        <v>0</v>
      </c>
      <c r="J3983">
        <v>0.54078202898199157</v>
      </c>
      <c r="K3983">
        <v>0</v>
      </c>
      <c r="L3983">
        <v>0</v>
      </c>
      <c r="M3983">
        <v>0.37915224751812382</v>
      </c>
      <c r="N3983">
        <v>0</v>
      </c>
      <c r="O3983">
        <v>0</v>
      </c>
      <c r="P3983">
        <v>0.36224020393995537</v>
      </c>
      <c r="Q3983">
        <v>0.73767911830961841</v>
      </c>
      <c r="R3983">
        <v>-2.1272454535725549</v>
      </c>
      <c r="S3983">
        <v>0.23304753207705109</v>
      </c>
      <c r="T3983">
        <v>0.1834137009989788</v>
      </c>
      <c r="U3983">
        <v>4.2436712643831056</v>
      </c>
      <c r="V3983">
        <v>0.23810297856178911</v>
      </c>
      <c r="W3983">
        <v>1.003222223133438</v>
      </c>
      <c r="X3983">
        <v>0.29183272699150659</v>
      </c>
      <c r="Z3983" t="s">
        <v>392</v>
      </c>
      <c r="AA3983">
        <v>114</v>
      </c>
      <c r="AB3983" t="s">
        <v>4374</v>
      </c>
      <c r="AC3983" t="str">
        <f>HYPERLINK("plots/3FT6Y578R04_015_S21P_20251218081014_M5358ACSC201811_RBGEUFRF04/dpll_52094/txpa_55184.png","plot")</f>
        <v>plot</v>
      </c>
    </row>
    <row r="3984" spans="1:29" hidden="1" x14ac:dyDescent="0.35">
      <c r="A3984" t="s">
        <v>49</v>
      </c>
      <c r="B3984">
        <v>52094</v>
      </c>
      <c r="C3984" t="s">
        <v>53</v>
      </c>
      <c r="D3984">
        <v>55185</v>
      </c>
      <c r="E3984" t="s">
        <v>318</v>
      </c>
      <c r="F3984">
        <v>12028</v>
      </c>
      <c r="G3984">
        <v>0.59583004814688445</v>
      </c>
      <c r="H3984">
        <v>0</v>
      </c>
      <c r="I3984">
        <v>0</v>
      </c>
      <c r="J3984">
        <v>0.52996604158508531</v>
      </c>
      <c r="K3984">
        <v>0</v>
      </c>
      <c r="L3984">
        <v>0</v>
      </c>
      <c r="M3984">
        <v>0.36990985654200392</v>
      </c>
      <c r="N3984">
        <v>0</v>
      </c>
      <c r="O3984">
        <v>0</v>
      </c>
      <c r="P3984">
        <v>0.35501344627471859</v>
      </c>
      <c r="Q3984">
        <v>0.71804792882727619</v>
      </c>
      <c r="R3984">
        <v>-2.0372307233652149</v>
      </c>
      <c r="S3984">
        <v>0.23043749051437659</v>
      </c>
      <c r="T3984">
        <v>0.18213655983677521</v>
      </c>
      <c r="U3984">
        <v>4.2436712643831056</v>
      </c>
      <c r="V3984">
        <v>0.23810297856178911</v>
      </c>
      <c r="W3984">
        <v>1.009928638648903</v>
      </c>
      <c r="X3984">
        <v>0.28694314953674582</v>
      </c>
      <c r="Z3984" t="s">
        <v>392</v>
      </c>
      <c r="AA3984">
        <v>114</v>
      </c>
      <c r="AB3984" t="s">
        <v>4375</v>
      </c>
      <c r="AC3984" t="str">
        <f>HYPERLINK("plots/3FT6Y578R04_015_S21P_20251218081014_M5358ACSC201811_RBGEUFRF04/dpll_52094/txpa_55185.png","plot")</f>
        <v>plot</v>
      </c>
    </row>
    <row r="3985" spans="1:29" hidden="1" x14ac:dyDescent="0.35">
      <c r="A3985" t="s">
        <v>49</v>
      </c>
      <c r="B3985">
        <v>52094</v>
      </c>
      <c r="C3985" t="s">
        <v>53</v>
      </c>
      <c r="D3985">
        <v>55186</v>
      </c>
      <c r="E3985" t="s">
        <v>319</v>
      </c>
      <c r="F3985">
        <v>12027</v>
      </c>
      <c r="G3985">
        <v>0.58501441926785547</v>
      </c>
      <c r="H3985">
        <v>0</v>
      </c>
      <c r="I3985">
        <v>0</v>
      </c>
      <c r="J3985">
        <v>0.5211588157742183</v>
      </c>
      <c r="K3985">
        <v>0</v>
      </c>
      <c r="L3985">
        <v>0</v>
      </c>
      <c r="M3985">
        <v>0.3643607575573406</v>
      </c>
      <c r="N3985">
        <v>0</v>
      </c>
      <c r="O3985">
        <v>0</v>
      </c>
      <c r="P3985">
        <v>0.34224187075130619</v>
      </c>
      <c r="Q3985">
        <v>0.7153230585547119</v>
      </c>
      <c r="R3985">
        <v>-2.0664890729731291</v>
      </c>
      <c r="S3985">
        <v>0.2361061617432986</v>
      </c>
      <c r="T3985">
        <v>0.1852604155356341</v>
      </c>
      <c r="U3985">
        <v>4.2436951445081901</v>
      </c>
      <c r="V3985">
        <v>0.2380984732054881</v>
      </c>
      <c r="W3985">
        <v>0.96912391737025039</v>
      </c>
      <c r="X3985">
        <v>0.29113355582535688</v>
      </c>
      <c r="Z3985" t="s">
        <v>392</v>
      </c>
      <c r="AA3985">
        <v>114</v>
      </c>
      <c r="AB3985" t="s">
        <v>4376</v>
      </c>
      <c r="AC3985" t="str">
        <f>HYPERLINK("plots/3FT6Y578R04_015_S21P_20251218081014_M5358ACSC201811_RBGEUFRF04/dpll_52094/txpa_55186.png","plot")</f>
        <v>plot</v>
      </c>
    </row>
    <row r="3986" spans="1:29" hidden="1" x14ac:dyDescent="0.35">
      <c r="A3986" t="s">
        <v>49</v>
      </c>
      <c r="B3986">
        <v>52094</v>
      </c>
      <c r="C3986" t="s">
        <v>53</v>
      </c>
      <c r="D3986">
        <v>55187</v>
      </c>
      <c r="E3986" t="s">
        <v>320</v>
      </c>
      <c r="F3986">
        <v>12028</v>
      </c>
      <c r="G3986">
        <v>0.59998074349440289</v>
      </c>
      <c r="H3986">
        <v>0</v>
      </c>
      <c r="I3986">
        <v>0</v>
      </c>
      <c r="J3986">
        <v>0.55122171936833986</v>
      </c>
      <c r="K3986">
        <v>0</v>
      </c>
      <c r="L3986">
        <v>0</v>
      </c>
      <c r="M3986">
        <v>0.38570322678451641</v>
      </c>
      <c r="N3986">
        <v>0</v>
      </c>
      <c r="O3986">
        <v>0</v>
      </c>
      <c r="P3986">
        <v>0.35997689256409648</v>
      </c>
      <c r="Q3986">
        <v>0.74678158467983347</v>
      </c>
      <c r="R3986">
        <v>-0.17796653421702671</v>
      </c>
      <c r="S3986">
        <v>0.23708325933094249</v>
      </c>
      <c r="T3986">
        <v>0.18331274926363519</v>
      </c>
      <c r="U3986">
        <v>4.2436712643831056</v>
      </c>
      <c r="V3986">
        <v>0.23810297856178911</v>
      </c>
      <c r="W3986">
        <v>2.991129017459262</v>
      </c>
      <c r="X3986">
        <v>0.29636104420911291</v>
      </c>
      <c r="Z3986" t="s">
        <v>392</v>
      </c>
      <c r="AA3986">
        <v>114</v>
      </c>
      <c r="AB3986" t="s">
        <v>4377</v>
      </c>
      <c r="AC3986" t="str">
        <f>HYPERLINK("plots/3FT6Y578R04_015_S21P_20251218081014_M5358ACSC201811_RBGEUFRF04/dpll_52094/txpa_55187.png","plot")</f>
        <v>plot</v>
      </c>
    </row>
    <row r="3987" spans="1:29" hidden="1" x14ac:dyDescent="0.35">
      <c r="A3987" t="s">
        <v>49</v>
      </c>
      <c r="B3987">
        <v>52094</v>
      </c>
      <c r="C3987" t="s">
        <v>53</v>
      </c>
      <c r="D3987">
        <v>55188</v>
      </c>
      <c r="E3987" t="s">
        <v>321</v>
      </c>
      <c r="F3987">
        <v>12028</v>
      </c>
      <c r="G3987">
        <v>0.62602890298033498</v>
      </c>
      <c r="H3987">
        <v>0</v>
      </c>
      <c r="I3987">
        <v>0</v>
      </c>
      <c r="J3987">
        <v>0.56988669482092025</v>
      </c>
      <c r="K3987">
        <v>0</v>
      </c>
      <c r="L3987">
        <v>0</v>
      </c>
      <c r="M3987">
        <v>0.40234055566095822</v>
      </c>
      <c r="N3987">
        <v>0</v>
      </c>
      <c r="O3987">
        <v>0</v>
      </c>
      <c r="P3987">
        <v>0.39191218736676159</v>
      </c>
      <c r="Q3987">
        <v>0.77960092328692343</v>
      </c>
      <c r="R3987">
        <v>-0.28704907225428711</v>
      </c>
      <c r="S3987">
        <v>0.2312106762654984</v>
      </c>
      <c r="T3987">
        <v>0.18096185998187209</v>
      </c>
      <c r="U3987">
        <v>4.2436712643831056</v>
      </c>
      <c r="V3987">
        <v>0.23810297856178911</v>
      </c>
      <c r="W3987">
        <v>3.021320963584968</v>
      </c>
      <c r="X3987">
        <v>0.29651235117169672</v>
      </c>
      <c r="Z3987" t="s">
        <v>392</v>
      </c>
      <c r="AA3987">
        <v>114</v>
      </c>
      <c r="AB3987" t="s">
        <v>4378</v>
      </c>
      <c r="AC3987" t="str">
        <f>HYPERLINK("plots/3FT6Y578R04_015_S21P_20251218081014_M5358ACSC201811_RBGEUFRF04/dpll_52094/txpa_55188.png","plot")</f>
        <v>plot</v>
      </c>
    </row>
    <row r="3988" spans="1:29" hidden="1" x14ac:dyDescent="0.35">
      <c r="A3988" t="s">
        <v>49</v>
      </c>
      <c r="B3988">
        <v>52094</v>
      </c>
      <c r="C3988" t="s">
        <v>53</v>
      </c>
      <c r="D3988">
        <v>55189</v>
      </c>
      <c r="E3988" t="s">
        <v>322</v>
      </c>
      <c r="F3988">
        <v>12028</v>
      </c>
      <c r="G3988">
        <v>0.61183662866729838</v>
      </c>
      <c r="H3988">
        <v>0</v>
      </c>
      <c r="I3988">
        <v>0</v>
      </c>
      <c r="J3988">
        <v>0.55509676109219552</v>
      </c>
      <c r="K3988">
        <v>0</v>
      </c>
      <c r="L3988">
        <v>0</v>
      </c>
      <c r="M3988">
        <v>0.38994848343264082</v>
      </c>
      <c r="N3988">
        <v>0</v>
      </c>
      <c r="O3988">
        <v>0</v>
      </c>
      <c r="P3988">
        <v>0.37434406017896549</v>
      </c>
      <c r="Q3988">
        <v>0.7501434843589988</v>
      </c>
      <c r="R3988">
        <v>-0.14482588565236959</v>
      </c>
      <c r="S3988">
        <v>0.23089973166756009</v>
      </c>
      <c r="T3988">
        <v>0.18052714797303379</v>
      </c>
      <c r="U3988">
        <v>4.2436712643831056</v>
      </c>
      <c r="V3988">
        <v>0.23810297856178911</v>
      </c>
      <c r="W3988">
        <v>3.0385364630861318</v>
      </c>
      <c r="X3988">
        <v>0.29192661832562627</v>
      </c>
      <c r="Z3988" t="s">
        <v>392</v>
      </c>
      <c r="AA3988">
        <v>114</v>
      </c>
      <c r="AB3988" t="s">
        <v>4379</v>
      </c>
      <c r="AC3988" t="str">
        <f>HYPERLINK("plots/3FT6Y578R04_015_S21P_20251218081014_M5358ACSC201811_RBGEUFRF04/dpll_52094/txpa_55189.png","plot")</f>
        <v>plot</v>
      </c>
    </row>
    <row r="3989" spans="1:29" hidden="1" x14ac:dyDescent="0.35">
      <c r="A3989" t="s">
        <v>49</v>
      </c>
      <c r="B3989">
        <v>52094</v>
      </c>
      <c r="C3989" t="s">
        <v>53</v>
      </c>
      <c r="D3989">
        <v>55190</v>
      </c>
      <c r="E3989" t="s">
        <v>323</v>
      </c>
      <c r="F3989">
        <v>12028</v>
      </c>
      <c r="G3989">
        <v>0.63052440583576064</v>
      </c>
      <c r="H3989">
        <v>0</v>
      </c>
      <c r="I3989">
        <v>0</v>
      </c>
      <c r="J3989">
        <v>0.56941028144083883</v>
      </c>
      <c r="K3989">
        <v>0</v>
      </c>
      <c r="L3989">
        <v>0</v>
      </c>
      <c r="M3989">
        <v>0.4021584707811503</v>
      </c>
      <c r="N3989">
        <v>0</v>
      </c>
      <c r="O3989">
        <v>0</v>
      </c>
      <c r="P3989">
        <v>0.39756102635453899</v>
      </c>
      <c r="Q3989">
        <v>0.78154390474388757</v>
      </c>
      <c r="R3989">
        <v>-0.27619814902531381</v>
      </c>
      <c r="S3989">
        <v>0.22906291483583521</v>
      </c>
      <c r="T3989">
        <v>0.1794291397098306</v>
      </c>
      <c r="U3989">
        <v>4.2436712643831056</v>
      </c>
      <c r="V3989">
        <v>0.23810297856178911</v>
      </c>
      <c r="W3989">
        <v>3.0404172613900902</v>
      </c>
      <c r="X3989">
        <v>0.29513200420794328</v>
      </c>
      <c r="Z3989" t="s">
        <v>392</v>
      </c>
      <c r="AA3989">
        <v>114</v>
      </c>
      <c r="AB3989" t="s">
        <v>4380</v>
      </c>
      <c r="AC3989" t="str">
        <f>HYPERLINK("plots/3FT6Y578R04_015_S21P_20251218081014_M5358ACSC201811_RBGEUFRF04/dpll_52094/txpa_55190.png","plot")</f>
        <v>plot</v>
      </c>
    </row>
    <row r="3990" spans="1:29" hidden="1" x14ac:dyDescent="0.35">
      <c r="A3990" t="s">
        <v>49</v>
      </c>
      <c r="B3990">
        <v>52094</v>
      </c>
      <c r="C3990" t="s">
        <v>53</v>
      </c>
      <c r="D3990">
        <v>55191</v>
      </c>
      <c r="E3990" t="s">
        <v>324</v>
      </c>
      <c r="F3990">
        <v>12027</v>
      </c>
      <c r="G3990">
        <v>0.62912295796030038</v>
      </c>
      <c r="H3990">
        <v>0</v>
      </c>
      <c r="I3990">
        <v>0</v>
      </c>
      <c r="J3990">
        <v>0.56087945974176279</v>
      </c>
      <c r="K3990">
        <v>0</v>
      </c>
      <c r="L3990">
        <v>0</v>
      </c>
      <c r="M3990">
        <v>0.39373686453402962</v>
      </c>
      <c r="N3990">
        <v>0</v>
      </c>
      <c r="O3990">
        <v>0</v>
      </c>
      <c r="P3990">
        <v>0.39579569623271788</v>
      </c>
      <c r="Q3990">
        <v>0.77478732395259631</v>
      </c>
      <c r="R3990">
        <v>-0.25971111915827422</v>
      </c>
      <c r="S3990">
        <v>0.2279102511438077</v>
      </c>
      <c r="T3990">
        <v>0.17974978060600719</v>
      </c>
      <c r="U3990">
        <v>4.2436418554918101</v>
      </c>
      <c r="V3990">
        <v>0.23809103076034549</v>
      </c>
      <c r="W3990">
        <v>3.0282087978714558</v>
      </c>
      <c r="X3990">
        <v>0.29321758210509319</v>
      </c>
      <c r="Z3990" t="s">
        <v>392</v>
      </c>
      <c r="AA3990">
        <v>114</v>
      </c>
      <c r="AB3990" t="s">
        <v>4381</v>
      </c>
      <c r="AC3990" t="str">
        <f>HYPERLINK("plots/3FT6Y578R04_015_S21P_20251218081014_M5358ACSC201811_RBGEUFRF04/dpll_52094/txpa_55191.png","plot")</f>
        <v>plot</v>
      </c>
    </row>
    <row r="3991" spans="1:29" hidden="1" x14ac:dyDescent="0.35">
      <c r="A3991" t="s">
        <v>49</v>
      </c>
      <c r="B3991">
        <v>52094</v>
      </c>
      <c r="C3991" t="s">
        <v>53</v>
      </c>
      <c r="D3991">
        <v>55192</v>
      </c>
      <c r="E3991" t="s">
        <v>325</v>
      </c>
      <c r="F3991">
        <v>12028</v>
      </c>
      <c r="G3991">
        <v>0.63701973309640103</v>
      </c>
      <c r="H3991">
        <v>0</v>
      </c>
      <c r="I3991">
        <v>0</v>
      </c>
      <c r="J3991">
        <v>0.57774000013713356</v>
      </c>
      <c r="K3991">
        <v>0</v>
      </c>
      <c r="L3991">
        <v>0</v>
      </c>
      <c r="M3991">
        <v>0.40826784222784229</v>
      </c>
      <c r="N3991">
        <v>0</v>
      </c>
      <c r="O3991">
        <v>0</v>
      </c>
      <c r="P3991">
        <v>0.40579414035421002</v>
      </c>
      <c r="Q3991">
        <v>0.79112542583571621</v>
      </c>
      <c r="R3991">
        <v>-0.31949685012591411</v>
      </c>
      <c r="S3991">
        <v>0.2279332567441161</v>
      </c>
      <c r="T3991">
        <v>0.179408301554597</v>
      </c>
      <c r="U3991">
        <v>4.2436712643831056</v>
      </c>
      <c r="V3991">
        <v>0.23810297856178911</v>
      </c>
      <c r="W3991">
        <v>3.0377793860159632</v>
      </c>
      <c r="X3991">
        <v>0.29570405832144231</v>
      </c>
      <c r="Z3991" t="s">
        <v>392</v>
      </c>
      <c r="AA3991">
        <v>114</v>
      </c>
      <c r="AB3991" t="s">
        <v>4382</v>
      </c>
      <c r="AC3991" t="str">
        <f>HYPERLINK("plots/3FT6Y578R04_015_S21P_20251218081014_M5358ACSC201811_RBGEUFRF04/dpll_52094/txpa_55192.png","plot")</f>
        <v>plot</v>
      </c>
    </row>
    <row r="3992" spans="1:29" hidden="1" x14ac:dyDescent="0.35">
      <c r="A3992" t="s">
        <v>49</v>
      </c>
      <c r="B3992">
        <v>52094</v>
      </c>
      <c r="C3992" t="s">
        <v>53</v>
      </c>
      <c r="D3992">
        <v>55193</v>
      </c>
      <c r="E3992" t="s">
        <v>326</v>
      </c>
      <c r="F3992">
        <v>12028</v>
      </c>
      <c r="G3992">
        <v>0.63225643824300048</v>
      </c>
      <c r="H3992">
        <v>0</v>
      </c>
      <c r="I3992">
        <v>0</v>
      </c>
      <c r="J3992">
        <v>0.56772103725184986</v>
      </c>
      <c r="K3992">
        <v>0</v>
      </c>
      <c r="L3992">
        <v>0</v>
      </c>
      <c r="M3992">
        <v>0.39945563446253968</v>
      </c>
      <c r="N3992">
        <v>0</v>
      </c>
      <c r="O3992">
        <v>0</v>
      </c>
      <c r="P3992">
        <v>0.39974820369972508</v>
      </c>
      <c r="Q3992">
        <v>0.77251758837099871</v>
      </c>
      <c r="R3992">
        <v>-0.23377937706639029</v>
      </c>
      <c r="S3992">
        <v>0.2253868759119719</v>
      </c>
      <c r="T3992">
        <v>0.178233263915201</v>
      </c>
      <c r="U3992">
        <v>4.2436712643831056</v>
      </c>
      <c r="V3992">
        <v>0.23810297856178911</v>
      </c>
      <c r="W3992">
        <v>3.0445313139341539</v>
      </c>
      <c r="X3992">
        <v>0.29092426372700719</v>
      </c>
      <c r="Z3992" t="s">
        <v>392</v>
      </c>
      <c r="AA3992">
        <v>114</v>
      </c>
      <c r="AB3992" t="s">
        <v>4383</v>
      </c>
      <c r="AC3992" t="str">
        <f>HYPERLINK("plots/3FT6Y578R04_015_S21P_20251218081014_M5358ACSC201811_RBGEUFRF04/dpll_52094/txpa_55193.png","plot")</f>
        <v>plot</v>
      </c>
    </row>
    <row r="3993" spans="1:29" hidden="1" x14ac:dyDescent="0.35">
      <c r="A3993" t="s">
        <v>49</v>
      </c>
      <c r="B3993">
        <v>52094</v>
      </c>
      <c r="C3993" t="s">
        <v>53</v>
      </c>
      <c r="D3993">
        <v>55194</v>
      </c>
      <c r="E3993" t="s">
        <v>327</v>
      </c>
      <c r="F3993">
        <v>12027</v>
      </c>
      <c r="G3993">
        <v>0.62317907756680135</v>
      </c>
      <c r="H3993">
        <v>0</v>
      </c>
      <c r="I3993">
        <v>0</v>
      </c>
      <c r="J3993">
        <v>0.56012329239327385</v>
      </c>
      <c r="K3993">
        <v>0</v>
      </c>
      <c r="L3993">
        <v>0</v>
      </c>
      <c r="M3993">
        <v>0.39471876917411908</v>
      </c>
      <c r="N3993">
        <v>0</v>
      </c>
      <c r="O3993">
        <v>0</v>
      </c>
      <c r="P3993">
        <v>0.3883521627170094</v>
      </c>
      <c r="Q3993">
        <v>0.77105194025162571</v>
      </c>
      <c r="R3993">
        <v>-0.26644017870113629</v>
      </c>
      <c r="S3993">
        <v>0.2303881022132922</v>
      </c>
      <c r="T3993">
        <v>0.1806679431347937</v>
      </c>
      <c r="U3993">
        <v>4.2436951445081901</v>
      </c>
      <c r="V3993">
        <v>0.2380984732054881</v>
      </c>
      <c r="W3993">
        <v>3.0056691963083071</v>
      </c>
      <c r="X3993">
        <v>0.29459636297940689</v>
      </c>
      <c r="Z3993" t="s">
        <v>392</v>
      </c>
      <c r="AA3993">
        <v>114</v>
      </c>
      <c r="AB3993" t="s">
        <v>4384</v>
      </c>
      <c r="AC3993" t="str">
        <f>HYPERLINK("plots/3FT6Y578R04_015_S21P_20251218081014_M5358ACSC201811_RBGEUFRF04/dpll_52094/txpa_55194.png","plot")</f>
        <v>plot</v>
      </c>
    </row>
    <row r="3994" spans="1:29" hidden="1" x14ac:dyDescent="0.35">
      <c r="A3994" t="s">
        <v>49</v>
      </c>
      <c r="B3994">
        <v>52094</v>
      </c>
      <c r="C3994" t="s">
        <v>53</v>
      </c>
      <c r="D3994">
        <v>55195</v>
      </c>
      <c r="E3994" t="s">
        <v>328</v>
      </c>
      <c r="F3994">
        <v>12028</v>
      </c>
      <c r="G3994">
        <v>0.64663682271516287</v>
      </c>
      <c r="H3994">
        <v>0</v>
      </c>
      <c r="I3994">
        <v>0</v>
      </c>
      <c r="J3994">
        <v>0.59469724616795061</v>
      </c>
      <c r="K3994">
        <v>0</v>
      </c>
      <c r="L3994">
        <v>0</v>
      </c>
      <c r="M3994">
        <v>0.42066705420990508</v>
      </c>
      <c r="N3994">
        <v>0</v>
      </c>
      <c r="O3994">
        <v>0</v>
      </c>
      <c r="P3994">
        <v>0.418139180491161</v>
      </c>
      <c r="Q3994">
        <v>0.82749352463698322</v>
      </c>
      <c r="R3994">
        <v>1.94159962043933</v>
      </c>
      <c r="S3994">
        <v>0.2324130463907991</v>
      </c>
      <c r="T3994">
        <v>0.1793431215428167</v>
      </c>
      <c r="U3994">
        <v>4.2436712643831056</v>
      </c>
      <c r="V3994">
        <v>0.23810297856178911</v>
      </c>
      <c r="W3994">
        <v>5.4532101124043901</v>
      </c>
      <c r="X3994">
        <v>0.30469757680881088</v>
      </c>
      <c r="Z3994" t="s">
        <v>392</v>
      </c>
      <c r="AA3994">
        <v>114</v>
      </c>
      <c r="AB3994" t="s">
        <v>4385</v>
      </c>
      <c r="AC3994" t="str">
        <f>HYPERLINK("plots/3FT6Y578R04_015_S21P_20251218081014_M5358ACSC201811_RBGEUFRF04/dpll_52094/txpa_55195.png","plot")</f>
        <v>plot</v>
      </c>
    </row>
    <row r="3995" spans="1:29" hidden="1" x14ac:dyDescent="0.35">
      <c r="A3995" t="s">
        <v>49</v>
      </c>
      <c r="B3995">
        <v>52094</v>
      </c>
      <c r="C3995" t="s">
        <v>53</v>
      </c>
      <c r="D3995">
        <v>55196</v>
      </c>
      <c r="E3995" t="s">
        <v>329</v>
      </c>
      <c r="F3995">
        <v>12028</v>
      </c>
      <c r="G3995">
        <v>0.66979718259096355</v>
      </c>
      <c r="H3995">
        <v>0</v>
      </c>
      <c r="I3995">
        <v>0</v>
      </c>
      <c r="J3995">
        <v>0.60997751793843613</v>
      </c>
      <c r="K3995">
        <v>0</v>
      </c>
      <c r="L3995">
        <v>0</v>
      </c>
      <c r="M3995">
        <v>0.43516558156686991</v>
      </c>
      <c r="N3995">
        <v>0</v>
      </c>
      <c r="O3995">
        <v>0</v>
      </c>
      <c r="P3995">
        <v>0.44862826580679249</v>
      </c>
      <c r="Q3995">
        <v>0.85761358228975737</v>
      </c>
      <c r="R3995">
        <v>1.8435007147060669</v>
      </c>
      <c r="S3995">
        <v>0.2263692110912415</v>
      </c>
      <c r="T3995">
        <v>0.1770459457786355</v>
      </c>
      <c r="U3995">
        <v>4.2436712643831056</v>
      </c>
      <c r="V3995">
        <v>0.23810297856178911</v>
      </c>
      <c r="W3995">
        <v>5.4829308298137676</v>
      </c>
      <c r="X3995">
        <v>0.30486892705092139</v>
      </c>
      <c r="Z3995" t="s">
        <v>392</v>
      </c>
      <c r="AA3995">
        <v>114</v>
      </c>
      <c r="AB3995" t="s">
        <v>4386</v>
      </c>
      <c r="AC3995" t="str">
        <f>HYPERLINK("plots/3FT6Y578R04_015_S21P_20251218081014_M5358ACSC201811_RBGEUFRF04/dpll_52094/txpa_55196.png","plot")</f>
        <v>plot</v>
      </c>
    </row>
    <row r="3996" spans="1:29" hidden="1" x14ac:dyDescent="0.35">
      <c r="A3996" t="s">
        <v>49</v>
      </c>
      <c r="B3996">
        <v>52094</v>
      </c>
      <c r="C3996" t="s">
        <v>53</v>
      </c>
      <c r="D3996">
        <v>55197</v>
      </c>
      <c r="E3996" t="s">
        <v>330</v>
      </c>
      <c r="F3996">
        <v>12028</v>
      </c>
      <c r="G3996">
        <v>0.65632524722318286</v>
      </c>
      <c r="H3996">
        <v>0</v>
      </c>
      <c r="I3996">
        <v>0</v>
      </c>
      <c r="J3996">
        <v>0.59664053304564979</v>
      </c>
      <c r="K3996">
        <v>0</v>
      </c>
      <c r="L3996">
        <v>0</v>
      </c>
      <c r="M3996">
        <v>0.42353804251984939</v>
      </c>
      <c r="N3996">
        <v>0</v>
      </c>
      <c r="O3996">
        <v>0</v>
      </c>
      <c r="P3996">
        <v>0.43076283014257211</v>
      </c>
      <c r="Q3996">
        <v>0.82773909044671878</v>
      </c>
      <c r="R3996">
        <v>1.986969626952511</v>
      </c>
      <c r="S3996">
        <v>0.2265519236285356</v>
      </c>
      <c r="T3996">
        <v>0.17653218792561079</v>
      </c>
      <c r="U3996">
        <v>4.2436712643831056</v>
      </c>
      <c r="V3996">
        <v>0.23810297856178911</v>
      </c>
      <c r="W3996">
        <v>5.4996222194878612</v>
      </c>
      <c r="X3996">
        <v>0.30028883353373498</v>
      </c>
      <c r="Z3996" t="s">
        <v>392</v>
      </c>
      <c r="AA3996">
        <v>114</v>
      </c>
      <c r="AB3996" t="s">
        <v>4387</v>
      </c>
      <c r="AC3996" t="str">
        <f>HYPERLINK("plots/3FT6Y578R04_015_S21P_20251218081014_M5358ACSC201811_RBGEUFRF04/dpll_52094/txpa_55197.png","plot")</f>
        <v>plot</v>
      </c>
    </row>
    <row r="3997" spans="1:29" hidden="1" x14ac:dyDescent="0.35">
      <c r="A3997" t="s">
        <v>49</v>
      </c>
      <c r="B3997">
        <v>52094</v>
      </c>
      <c r="C3997" t="s">
        <v>53</v>
      </c>
      <c r="D3997">
        <v>55198</v>
      </c>
      <c r="E3997" t="s">
        <v>331</v>
      </c>
      <c r="F3997">
        <v>12028</v>
      </c>
      <c r="G3997">
        <v>0.6736333770830869</v>
      </c>
      <c r="H3997">
        <v>0</v>
      </c>
      <c r="I3997">
        <v>0</v>
      </c>
      <c r="J3997">
        <v>0.60999572739130503</v>
      </c>
      <c r="K3997">
        <v>0</v>
      </c>
      <c r="L3997">
        <v>0</v>
      </c>
      <c r="M3997">
        <v>0.43525303876450111</v>
      </c>
      <c r="N3997">
        <v>0</v>
      </c>
      <c r="O3997">
        <v>0</v>
      </c>
      <c r="P3997">
        <v>0.45378192672036433</v>
      </c>
      <c r="Q3997">
        <v>0.85787776066495669</v>
      </c>
      <c r="R3997">
        <v>1.8587289654903141</v>
      </c>
      <c r="S3997">
        <v>0.22409471746139439</v>
      </c>
      <c r="T3997">
        <v>0.17519152869421811</v>
      </c>
      <c r="U3997">
        <v>4.2436712643831056</v>
      </c>
      <c r="V3997">
        <v>0.23810297856178911</v>
      </c>
      <c r="W3997">
        <v>5.4992801667775186</v>
      </c>
      <c r="X3997">
        <v>0.30322614200134801</v>
      </c>
      <c r="Z3997" t="s">
        <v>392</v>
      </c>
      <c r="AA3997">
        <v>114</v>
      </c>
      <c r="AB3997" t="s">
        <v>4388</v>
      </c>
      <c r="AC3997" t="str">
        <f>HYPERLINK("plots/3FT6Y578R04_015_S21P_20251218081014_M5358ACSC201811_RBGEUFRF04/dpll_52094/txpa_55198.png","plot")</f>
        <v>plot</v>
      </c>
    </row>
    <row r="3998" spans="1:29" hidden="1" x14ac:dyDescent="0.35">
      <c r="A3998" t="s">
        <v>49</v>
      </c>
      <c r="B3998">
        <v>52094</v>
      </c>
      <c r="C3998" t="s">
        <v>53</v>
      </c>
      <c r="D3998">
        <v>55199</v>
      </c>
      <c r="E3998" t="s">
        <v>332</v>
      </c>
      <c r="F3998">
        <v>12027</v>
      </c>
      <c r="G3998">
        <v>0.6738259249933316</v>
      </c>
      <c r="H3998">
        <v>0</v>
      </c>
      <c r="I3998">
        <v>0</v>
      </c>
      <c r="J3998">
        <v>0.6030531866508857</v>
      </c>
      <c r="K3998">
        <v>0</v>
      </c>
      <c r="L3998">
        <v>0</v>
      </c>
      <c r="M3998">
        <v>0.42784040822414621</v>
      </c>
      <c r="N3998">
        <v>0</v>
      </c>
      <c r="O3998">
        <v>0</v>
      </c>
      <c r="P3998">
        <v>0.45404137719311888</v>
      </c>
      <c r="Q3998">
        <v>0.85244392518437562</v>
      </c>
      <c r="R3998">
        <v>1.868649210283879</v>
      </c>
      <c r="S3998">
        <v>0.2225476169938771</v>
      </c>
      <c r="T3998">
        <v>0.175230215349547</v>
      </c>
      <c r="U3998">
        <v>4.2436418554918101</v>
      </c>
      <c r="V3998">
        <v>0.23809103076034549</v>
      </c>
      <c r="W3998">
        <v>5.4861159306560241</v>
      </c>
      <c r="X3998">
        <v>0.30120428034072982</v>
      </c>
      <c r="Z3998" t="s">
        <v>392</v>
      </c>
      <c r="AA3998">
        <v>114</v>
      </c>
      <c r="AB3998" t="s">
        <v>4389</v>
      </c>
      <c r="AC3998" t="str">
        <f>HYPERLINK("plots/3FT6Y578R04_015_S21P_20251218081014_M5358ACSC201811_RBGEUFRF04/dpll_52094/txpa_55199.png","plot")</f>
        <v>plot</v>
      </c>
    </row>
    <row r="3999" spans="1:29" hidden="1" x14ac:dyDescent="0.35">
      <c r="A3999" t="s">
        <v>49</v>
      </c>
      <c r="B3999">
        <v>52094</v>
      </c>
      <c r="C3999" t="s">
        <v>53</v>
      </c>
      <c r="D3999">
        <v>55200</v>
      </c>
      <c r="E3999" t="s">
        <v>333</v>
      </c>
      <c r="F3999">
        <v>12028</v>
      </c>
      <c r="G3999">
        <v>0.67959584466042622</v>
      </c>
      <c r="H3999">
        <v>0</v>
      </c>
      <c r="I3999">
        <v>0</v>
      </c>
      <c r="J3999">
        <v>0.61798068732696199</v>
      </c>
      <c r="K3999">
        <v>0</v>
      </c>
      <c r="L3999">
        <v>0</v>
      </c>
      <c r="M3999">
        <v>0.44143273486253609</v>
      </c>
      <c r="N3999">
        <v>0</v>
      </c>
      <c r="O3999">
        <v>0</v>
      </c>
      <c r="P3999">
        <v>0.46185051207971822</v>
      </c>
      <c r="Q3999">
        <v>0.8683319984305139</v>
      </c>
      <c r="R3999">
        <v>1.8127839651148741</v>
      </c>
      <c r="S3999">
        <v>0.22316872397400481</v>
      </c>
      <c r="T3999">
        <v>0.17521977065739561</v>
      </c>
      <c r="U3999">
        <v>4.2436712643831056</v>
      </c>
      <c r="V3999">
        <v>0.23810297856178911</v>
      </c>
      <c r="W3999">
        <v>5.4976995147988026</v>
      </c>
      <c r="X3999">
        <v>0.3042285158616943</v>
      </c>
      <c r="Z3999" t="s">
        <v>392</v>
      </c>
      <c r="AA3999">
        <v>114</v>
      </c>
      <c r="AB3999" t="s">
        <v>4390</v>
      </c>
      <c r="AC3999" t="str">
        <f>HYPERLINK("plots/3FT6Y578R04_015_S21P_20251218081014_M5358ACSC201811_RBGEUFRF04/dpll_52094/txpa_55200.png","plot")</f>
        <v>plot</v>
      </c>
    </row>
    <row r="4000" spans="1:29" hidden="1" x14ac:dyDescent="0.35">
      <c r="A4000" t="s">
        <v>49</v>
      </c>
      <c r="B4000">
        <v>52094</v>
      </c>
      <c r="C4000" t="s">
        <v>53</v>
      </c>
      <c r="D4000">
        <v>55201</v>
      </c>
      <c r="E4000" t="s">
        <v>334</v>
      </c>
      <c r="F4000">
        <v>12028</v>
      </c>
      <c r="G4000">
        <v>0.6764340081927227</v>
      </c>
      <c r="H4000">
        <v>0</v>
      </c>
      <c r="I4000">
        <v>0</v>
      </c>
      <c r="J4000">
        <v>0.60919993381733284</v>
      </c>
      <c r="K4000">
        <v>0</v>
      </c>
      <c r="L4000">
        <v>0</v>
      </c>
      <c r="M4000">
        <v>0.43330828087512818</v>
      </c>
      <c r="N4000">
        <v>0</v>
      </c>
      <c r="O4000">
        <v>0</v>
      </c>
      <c r="P4000">
        <v>0.45756296743967251</v>
      </c>
      <c r="Q4000">
        <v>0.85056293856093801</v>
      </c>
      <c r="R4000">
        <v>1.8953917323686871</v>
      </c>
      <c r="S4000">
        <v>0.2204968863690896</v>
      </c>
      <c r="T4000">
        <v>0.17403923272579211</v>
      </c>
      <c r="U4000">
        <v>4.2436712643831056</v>
      </c>
      <c r="V4000">
        <v>0.23810297856178911</v>
      </c>
      <c r="W4000">
        <v>5.5049012332889928</v>
      </c>
      <c r="X4000">
        <v>0.29939590066844579</v>
      </c>
      <c r="Z4000" t="s">
        <v>392</v>
      </c>
      <c r="AA4000">
        <v>114</v>
      </c>
      <c r="AB4000" t="s">
        <v>4391</v>
      </c>
      <c r="AC4000" t="str">
        <f>HYPERLINK("plots/3FT6Y578R04_015_S21P_20251218081014_M5358ACSC201811_RBGEUFRF04/dpll_52094/txpa_55201.png","plot")</f>
        <v>plot</v>
      </c>
    </row>
    <row r="4001" spans="1:29" hidden="1" x14ac:dyDescent="0.35">
      <c r="A4001" t="s">
        <v>49</v>
      </c>
      <c r="B4001">
        <v>52094</v>
      </c>
      <c r="C4001" t="s">
        <v>53</v>
      </c>
      <c r="D4001">
        <v>55202</v>
      </c>
      <c r="E4001" t="s">
        <v>335</v>
      </c>
      <c r="F4001">
        <v>12027</v>
      </c>
      <c r="G4001">
        <v>0.66891626258199188</v>
      </c>
      <c r="H4001">
        <v>0</v>
      </c>
      <c r="I4001">
        <v>0</v>
      </c>
      <c r="J4001">
        <v>0.60292060191428354</v>
      </c>
      <c r="K4001">
        <v>0</v>
      </c>
      <c r="L4001">
        <v>0</v>
      </c>
      <c r="M4001">
        <v>0.42951516149994301</v>
      </c>
      <c r="N4001">
        <v>0</v>
      </c>
      <c r="O4001">
        <v>0</v>
      </c>
      <c r="P4001">
        <v>0.44744896634666032</v>
      </c>
      <c r="Q4001">
        <v>0.85151016081988884</v>
      </c>
      <c r="R4001">
        <v>1.854656070250835</v>
      </c>
      <c r="S4001">
        <v>0.22529047604205729</v>
      </c>
      <c r="T4001">
        <v>0.1763138072186336</v>
      </c>
      <c r="U4001">
        <v>4.2436951445081901</v>
      </c>
      <c r="V4001">
        <v>0.2380984732054881</v>
      </c>
      <c r="W4001">
        <v>5.4682056052215851</v>
      </c>
      <c r="X4001">
        <v>0.30309215151623581</v>
      </c>
      <c r="Z4001" t="s">
        <v>392</v>
      </c>
      <c r="AA4001">
        <v>114</v>
      </c>
      <c r="AB4001" t="s">
        <v>4392</v>
      </c>
      <c r="AC4001" t="str">
        <f>HYPERLINK("plots/3FT6Y578R04_015_S21P_20251218081014_M5358ACSC201811_RBGEUFRF04/dpll_52094/txpa_55202.png","plot")</f>
        <v>plot</v>
      </c>
    </row>
    <row r="4002" spans="1:29" hidden="1" x14ac:dyDescent="0.35">
      <c r="A4002" t="s">
        <v>49</v>
      </c>
      <c r="B4002">
        <v>52094</v>
      </c>
      <c r="C4002" t="s">
        <v>53</v>
      </c>
      <c r="D4002">
        <v>55203</v>
      </c>
      <c r="E4002" t="s">
        <v>336</v>
      </c>
      <c r="F4002">
        <v>12028</v>
      </c>
      <c r="G4002">
        <v>0.66325065027783081</v>
      </c>
      <c r="H4002">
        <v>0</v>
      </c>
      <c r="I4002">
        <v>0</v>
      </c>
      <c r="J4002">
        <v>0.60869523845824836</v>
      </c>
      <c r="K4002">
        <v>0</v>
      </c>
      <c r="L4002">
        <v>0</v>
      </c>
      <c r="M4002">
        <v>0.43221743100982191</v>
      </c>
      <c r="N4002">
        <v>0</v>
      </c>
      <c r="O4002">
        <v>0</v>
      </c>
      <c r="P4002">
        <v>0.43990142509396551</v>
      </c>
      <c r="Q4002">
        <v>0.86465418992721244</v>
      </c>
      <c r="R4002">
        <v>2.874700470653925</v>
      </c>
      <c r="S4002">
        <v>0.23229709231775361</v>
      </c>
      <c r="T4002">
        <v>0.17893598096512689</v>
      </c>
      <c r="U4002">
        <v>4.2436712643831056</v>
      </c>
      <c r="V4002">
        <v>0.23810297856178911</v>
      </c>
      <c r="W4002">
        <v>6.5440086100764887</v>
      </c>
      <c r="X4002">
        <v>0.31040563316652597</v>
      </c>
      <c r="Z4002" t="s">
        <v>392</v>
      </c>
      <c r="AA4002">
        <v>114</v>
      </c>
      <c r="AB4002" t="s">
        <v>4393</v>
      </c>
      <c r="AC4002" t="str">
        <f>HYPERLINK("plots/3FT6Y578R04_015_S21P_20251218081014_M5358ACSC201811_RBGEUFRF04/dpll_52094/txpa_55203.png","plot")</f>
        <v>plot</v>
      </c>
    </row>
    <row r="4003" spans="1:29" hidden="1" x14ac:dyDescent="0.35">
      <c r="A4003" t="s">
        <v>49</v>
      </c>
      <c r="B4003">
        <v>52094</v>
      </c>
      <c r="C4003" t="s">
        <v>53</v>
      </c>
      <c r="D4003">
        <v>55204</v>
      </c>
      <c r="E4003" t="s">
        <v>337</v>
      </c>
      <c r="F4003">
        <v>12028</v>
      </c>
      <c r="G4003">
        <v>0.685314502893688</v>
      </c>
      <c r="H4003">
        <v>0</v>
      </c>
      <c r="I4003">
        <v>0</v>
      </c>
      <c r="J4003">
        <v>0.62309471784326143</v>
      </c>
      <c r="K4003">
        <v>0</v>
      </c>
      <c r="L4003">
        <v>0</v>
      </c>
      <c r="M4003">
        <v>0.44615277233162548</v>
      </c>
      <c r="N4003">
        <v>0</v>
      </c>
      <c r="O4003">
        <v>0</v>
      </c>
      <c r="P4003">
        <v>0.46965596787642272</v>
      </c>
      <c r="Q4003">
        <v>0.89346535122036796</v>
      </c>
      <c r="R4003">
        <v>2.781468505987903</v>
      </c>
      <c r="S4003">
        <v>0.22605463158789671</v>
      </c>
      <c r="T4003">
        <v>0.17651303877375371</v>
      </c>
      <c r="U4003">
        <v>4.2436712643831056</v>
      </c>
      <c r="V4003">
        <v>0.23810297856178911</v>
      </c>
      <c r="W4003">
        <v>6.5730417426837384</v>
      </c>
      <c r="X4003">
        <v>0.31042209156388773</v>
      </c>
      <c r="Z4003" t="s">
        <v>392</v>
      </c>
      <c r="AA4003">
        <v>114</v>
      </c>
      <c r="AB4003" t="s">
        <v>4394</v>
      </c>
      <c r="AC4003" t="str">
        <f>HYPERLINK("plots/3FT6Y578R04_015_S21P_20251218081014_M5358ACSC201811_RBGEUFRF04/dpll_52094/txpa_55204.png","plot")</f>
        <v>plot</v>
      </c>
    </row>
    <row r="4004" spans="1:29" hidden="1" x14ac:dyDescent="0.35">
      <c r="A4004" t="s">
        <v>49</v>
      </c>
      <c r="B4004">
        <v>52094</v>
      </c>
      <c r="C4004" t="s">
        <v>53</v>
      </c>
      <c r="D4004">
        <v>55205</v>
      </c>
      <c r="E4004" t="s">
        <v>338</v>
      </c>
      <c r="F4004">
        <v>12028</v>
      </c>
      <c r="G4004">
        <v>0.67262449271641311</v>
      </c>
      <c r="H4004">
        <v>0</v>
      </c>
      <c r="I4004">
        <v>0</v>
      </c>
      <c r="J4004">
        <v>0.6103477686391342</v>
      </c>
      <c r="K4004">
        <v>0</v>
      </c>
      <c r="L4004">
        <v>0</v>
      </c>
      <c r="M4004">
        <v>0.43483515193526162</v>
      </c>
      <c r="N4004">
        <v>0</v>
      </c>
      <c r="O4004">
        <v>0</v>
      </c>
      <c r="P4004">
        <v>0.45242370820201211</v>
      </c>
      <c r="Q4004">
        <v>0.86412681394450552</v>
      </c>
      <c r="R4004">
        <v>2.92264191935101</v>
      </c>
      <c r="S4004">
        <v>0.2263465588330352</v>
      </c>
      <c r="T4004">
        <v>0.17599429169102501</v>
      </c>
      <c r="U4004">
        <v>4.2436712643831056</v>
      </c>
      <c r="V4004">
        <v>0.23810297856178911</v>
      </c>
      <c r="W4004">
        <v>6.5897120484702354</v>
      </c>
      <c r="X4004">
        <v>0.30589306586854093</v>
      </c>
      <c r="Z4004" t="s">
        <v>392</v>
      </c>
      <c r="AA4004">
        <v>114</v>
      </c>
      <c r="AB4004" t="s">
        <v>4395</v>
      </c>
      <c r="AC4004" t="str">
        <f>HYPERLINK("plots/3FT6Y578R04_015_S21P_20251218081014_M5358ACSC201811_RBGEUFRF04/dpll_52094/txpa_55205.png","plot")</f>
        <v>plot</v>
      </c>
    </row>
    <row r="4005" spans="1:29" hidden="1" x14ac:dyDescent="0.35">
      <c r="A4005" t="s">
        <v>49</v>
      </c>
      <c r="B4005">
        <v>52094</v>
      </c>
      <c r="C4005" t="s">
        <v>53</v>
      </c>
      <c r="D4005">
        <v>55206</v>
      </c>
      <c r="E4005" t="s">
        <v>339</v>
      </c>
      <c r="F4005">
        <v>12027</v>
      </c>
      <c r="G4005">
        <v>0.69022377268621549</v>
      </c>
      <c r="H4005">
        <v>0</v>
      </c>
      <c r="I4005">
        <v>0</v>
      </c>
      <c r="J4005">
        <v>0.62346210670600977</v>
      </c>
      <c r="K4005">
        <v>0</v>
      </c>
      <c r="L4005">
        <v>0</v>
      </c>
      <c r="M4005">
        <v>0.44653021085291689</v>
      </c>
      <c r="N4005">
        <v>0</v>
      </c>
      <c r="O4005">
        <v>0</v>
      </c>
      <c r="P4005">
        <v>0.47640885638119251</v>
      </c>
      <c r="Q4005">
        <v>0.8938761395007101</v>
      </c>
      <c r="R4005">
        <v>2.79542210840237</v>
      </c>
      <c r="S4005">
        <v>0.2231237889457213</v>
      </c>
      <c r="T4005">
        <v>0.17460318998486851</v>
      </c>
      <c r="U4005">
        <v>4.2436786742329762</v>
      </c>
      <c r="V4005">
        <v>0.2381114909913796</v>
      </c>
      <c r="W4005">
        <v>6.588745219007234</v>
      </c>
      <c r="X4005">
        <v>0.30836692209222583</v>
      </c>
      <c r="Z4005" t="s">
        <v>392</v>
      </c>
      <c r="AA4005">
        <v>114</v>
      </c>
      <c r="AB4005" t="s">
        <v>4396</v>
      </c>
      <c r="AC4005" t="str">
        <f>HYPERLINK("plots/3FT6Y578R04_015_S21P_20251218081014_M5358ACSC201811_RBGEUFRF04/dpll_52094/txpa_55206.png","plot")</f>
        <v>plot</v>
      </c>
    </row>
    <row r="4006" spans="1:29" hidden="1" x14ac:dyDescent="0.35">
      <c r="A4006" t="s">
        <v>49</v>
      </c>
      <c r="B4006">
        <v>52094</v>
      </c>
      <c r="C4006" t="s">
        <v>53</v>
      </c>
      <c r="D4006">
        <v>55207</v>
      </c>
      <c r="E4006" t="s">
        <v>340</v>
      </c>
      <c r="F4006">
        <v>12027</v>
      </c>
      <c r="G4006">
        <v>0.69001465702434928</v>
      </c>
      <c r="H4006">
        <v>0</v>
      </c>
      <c r="I4006">
        <v>0</v>
      </c>
      <c r="J4006">
        <v>0.61702225609252759</v>
      </c>
      <c r="K4006">
        <v>0</v>
      </c>
      <c r="L4006">
        <v>0</v>
      </c>
      <c r="M4006">
        <v>0.4394811831121086</v>
      </c>
      <c r="N4006">
        <v>0</v>
      </c>
      <c r="O4006">
        <v>0</v>
      </c>
      <c r="P4006">
        <v>0.47612022690843042</v>
      </c>
      <c r="Q4006">
        <v>0.88857395180787879</v>
      </c>
      <c r="R4006">
        <v>2.8039936029211701</v>
      </c>
      <c r="S4006">
        <v>0.221909582738579</v>
      </c>
      <c r="T4006">
        <v>0.1745061444281579</v>
      </c>
      <c r="U4006">
        <v>4.2436418554918101</v>
      </c>
      <c r="V4006">
        <v>0.23809103076034549</v>
      </c>
      <c r="W4006">
        <v>6.5747832165128468</v>
      </c>
      <c r="X4006">
        <v>0.30660433939922238</v>
      </c>
      <c r="Z4006" t="s">
        <v>392</v>
      </c>
      <c r="AA4006">
        <v>114</v>
      </c>
      <c r="AB4006" t="s">
        <v>4397</v>
      </c>
      <c r="AC4006" t="str">
        <f>HYPERLINK("plots/3FT6Y578R04_015_S21P_20251218081014_M5358ACSC201811_RBGEUFRF04/dpll_52094/txpa_55207.png","plot")</f>
        <v>plot</v>
      </c>
    </row>
    <row r="4007" spans="1:29" hidden="1" x14ac:dyDescent="0.35">
      <c r="A4007" t="s">
        <v>49</v>
      </c>
      <c r="B4007">
        <v>52094</v>
      </c>
      <c r="C4007" t="s">
        <v>53</v>
      </c>
      <c r="D4007">
        <v>55208</v>
      </c>
      <c r="E4007" t="s">
        <v>341</v>
      </c>
      <c r="F4007">
        <v>12028</v>
      </c>
      <c r="G4007">
        <v>0.6949397069181763</v>
      </c>
      <c r="H4007">
        <v>0</v>
      </c>
      <c r="I4007">
        <v>0</v>
      </c>
      <c r="J4007">
        <v>0.63118374888712014</v>
      </c>
      <c r="K4007">
        <v>0</v>
      </c>
      <c r="L4007">
        <v>0</v>
      </c>
      <c r="M4007">
        <v>0.45259993480716448</v>
      </c>
      <c r="N4007">
        <v>0</v>
      </c>
      <c r="O4007">
        <v>0</v>
      </c>
      <c r="P4007">
        <v>0.48294119625152082</v>
      </c>
      <c r="Q4007">
        <v>0.90455678189710853</v>
      </c>
      <c r="R4007">
        <v>2.74831386286158</v>
      </c>
      <c r="S4007">
        <v>0.22284631138052891</v>
      </c>
      <c r="T4007">
        <v>0.17460893435672059</v>
      </c>
      <c r="U4007">
        <v>4.2436712643831056</v>
      </c>
      <c r="V4007">
        <v>0.23810297856178911</v>
      </c>
      <c r="W4007">
        <v>6.5869554852011962</v>
      </c>
      <c r="X4007">
        <v>0.30992280611377859</v>
      </c>
      <c r="Z4007" t="s">
        <v>392</v>
      </c>
      <c r="AA4007">
        <v>114</v>
      </c>
      <c r="AB4007" t="s">
        <v>4398</v>
      </c>
      <c r="AC4007" t="str">
        <f>HYPERLINK("plots/3FT6Y578R04_015_S21P_20251218081014_M5358ACSC201811_RBGEUFRF04/dpll_52094/txpa_55208.png","plot")</f>
        <v>plot</v>
      </c>
    </row>
    <row r="4008" spans="1:29" hidden="1" x14ac:dyDescent="0.35">
      <c r="A4008" t="s">
        <v>49</v>
      </c>
      <c r="B4008">
        <v>52094</v>
      </c>
      <c r="C4008" t="s">
        <v>53</v>
      </c>
      <c r="D4008">
        <v>55209</v>
      </c>
      <c r="E4008" t="s">
        <v>342</v>
      </c>
      <c r="F4008">
        <v>12028</v>
      </c>
      <c r="G4008">
        <v>0.69264371231390531</v>
      </c>
      <c r="H4008">
        <v>0</v>
      </c>
      <c r="I4008">
        <v>0</v>
      </c>
      <c r="J4008">
        <v>0.62300566566400628</v>
      </c>
      <c r="K4008">
        <v>0</v>
      </c>
      <c r="L4008">
        <v>0</v>
      </c>
      <c r="M4008">
        <v>0.44487487368262407</v>
      </c>
      <c r="N4008">
        <v>0</v>
      </c>
      <c r="O4008">
        <v>0</v>
      </c>
      <c r="P4008">
        <v>0.47975531220798801</v>
      </c>
      <c r="Q4008">
        <v>0.88760291923424206</v>
      </c>
      <c r="R4008">
        <v>2.8275271458668119</v>
      </c>
      <c r="S4008">
        <v>0.22006928223585071</v>
      </c>
      <c r="T4008">
        <v>0.17336887412311569</v>
      </c>
      <c r="U4008">
        <v>4.2436712643831056</v>
      </c>
      <c r="V4008">
        <v>0.23810297856178911</v>
      </c>
      <c r="W4008">
        <v>6.5942221484037242</v>
      </c>
      <c r="X4008">
        <v>0.30512209248790889</v>
      </c>
      <c r="Z4008" t="s">
        <v>392</v>
      </c>
      <c r="AA4008">
        <v>114</v>
      </c>
      <c r="AB4008" t="s">
        <v>4399</v>
      </c>
      <c r="AC4008" t="str">
        <f>HYPERLINK("plots/3FT6Y578R04_015_S21P_20251218081014_M5358ACSC201811_RBGEUFRF04/dpll_52094/txpa_55209.png","plot")</f>
        <v>plot</v>
      </c>
    </row>
    <row r="4009" spans="1:29" hidden="1" x14ac:dyDescent="0.35">
      <c r="A4009" t="s">
        <v>49</v>
      </c>
      <c r="B4009">
        <v>52094</v>
      </c>
      <c r="C4009" t="s">
        <v>53</v>
      </c>
      <c r="D4009">
        <v>55210</v>
      </c>
      <c r="E4009" t="s">
        <v>343</v>
      </c>
      <c r="F4009">
        <v>12027</v>
      </c>
      <c r="G4009">
        <v>0.68514486065146818</v>
      </c>
      <c r="H4009">
        <v>0</v>
      </c>
      <c r="I4009">
        <v>0</v>
      </c>
      <c r="J4009">
        <v>0.61650161055051811</v>
      </c>
      <c r="K4009">
        <v>0</v>
      </c>
      <c r="L4009">
        <v>0</v>
      </c>
      <c r="M4009">
        <v>0.44084254590790622</v>
      </c>
      <c r="N4009">
        <v>0</v>
      </c>
      <c r="O4009">
        <v>0</v>
      </c>
      <c r="P4009">
        <v>0.46942348007711981</v>
      </c>
      <c r="Q4009">
        <v>0.88815568351310381</v>
      </c>
      <c r="R4009">
        <v>2.7897399202404078</v>
      </c>
      <c r="S4009">
        <v>0.22481188294549051</v>
      </c>
      <c r="T4009">
        <v>0.17558813478857749</v>
      </c>
      <c r="U4009">
        <v>4.2436951445081901</v>
      </c>
      <c r="V4009">
        <v>0.2380984732054881</v>
      </c>
      <c r="W4009">
        <v>6.5588018819323191</v>
      </c>
      <c r="X4009">
        <v>0.30864788507962021</v>
      </c>
      <c r="Z4009" t="s">
        <v>392</v>
      </c>
      <c r="AA4009">
        <v>114</v>
      </c>
      <c r="AB4009" t="s">
        <v>4400</v>
      </c>
      <c r="AC4009" t="str">
        <f>HYPERLINK("plots/3FT6Y578R04_015_S21P_20251218081014_M5358ACSC201811_RBGEUFRF04/dpll_52094/txpa_55210.png","plot")</f>
        <v>plot</v>
      </c>
    </row>
    <row r="4010" spans="1:29" hidden="1" x14ac:dyDescent="0.35">
      <c r="A4010" t="s">
        <v>49</v>
      </c>
      <c r="B4010">
        <v>52094</v>
      </c>
      <c r="C4010" t="s">
        <v>53</v>
      </c>
      <c r="D4010">
        <v>55211</v>
      </c>
      <c r="E4010" t="s">
        <v>344</v>
      </c>
      <c r="F4010">
        <v>12028</v>
      </c>
      <c r="G4010">
        <v>0.67794086730210201</v>
      </c>
      <c r="H4010">
        <v>0</v>
      </c>
      <c r="I4010">
        <v>0</v>
      </c>
      <c r="J4010">
        <v>0.62072011375854463</v>
      </c>
      <c r="K4010">
        <v>0</v>
      </c>
      <c r="L4010">
        <v>0</v>
      </c>
      <c r="M4010">
        <v>0.44221278194597702</v>
      </c>
      <c r="N4010">
        <v>0</v>
      </c>
      <c r="O4010">
        <v>0</v>
      </c>
      <c r="P4010">
        <v>0.4596038195583263</v>
      </c>
      <c r="Q4010">
        <v>0.90491472884265023</v>
      </c>
      <c r="R4010">
        <v>3.7736535533953099</v>
      </c>
      <c r="S4010">
        <v>0.233624697385173</v>
      </c>
      <c r="T4010">
        <v>0.17955021558871731</v>
      </c>
      <c r="U4010">
        <v>4.2436712643831056</v>
      </c>
      <c r="V4010">
        <v>0.23810297856178911</v>
      </c>
      <c r="W4010">
        <v>7.6138141849018952</v>
      </c>
      <c r="X4010">
        <v>0.31781959559292172</v>
      </c>
      <c r="Z4010" t="s">
        <v>392</v>
      </c>
      <c r="AA4010">
        <v>114</v>
      </c>
      <c r="AB4010" t="s">
        <v>4401</v>
      </c>
      <c r="AC4010" t="str">
        <f>HYPERLINK("plots/3FT6Y578R04_015_S21P_20251218081014_M5358ACSC201811_RBGEUFRF04/dpll_52094/txpa_55211.png","plot")</f>
        <v>plot</v>
      </c>
    </row>
    <row r="4011" spans="1:29" hidden="1" x14ac:dyDescent="0.35">
      <c r="A4011" t="s">
        <v>49</v>
      </c>
      <c r="B4011">
        <v>52094</v>
      </c>
      <c r="C4011" t="s">
        <v>53</v>
      </c>
      <c r="D4011">
        <v>55212</v>
      </c>
      <c r="E4011" t="s">
        <v>345</v>
      </c>
      <c r="F4011">
        <v>12028</v>
      </c>
      <c r="G4011">
        <v>0.69926143893214454</v>
      </c>
      <c r="H4011">
        <v>0</v>
      </c>
      <c r="I4011">
        <v>0</v>
      </c>
      <c r="J4011">
        <v>0.63468119231914188</v>
      </c>
      <c r="K4011">
        <v>0</v>
      </c>
      <c r="L4011">
        <v>0</v>
      </c>
      <c r="M4011">
        <v>0.45594289444089581</v>
      </c>
      <c r="N4011">
        <v>0</v>
      </c>
      <c r="O4011">
        <v>0</v>
      </c>
      <c r="P4011">
        <v>0.48896655997745331</v>
      </c>
      <c r="Q4011">
        <v>0.93349970517416336</v>
      </c>
      <c r="R4011">
        <v>3.6805181256760209</v>
      </c>
      <c r="S4011">
        <v>0.22721972998284631</v>
      </c>
      <c r="T4011">
        <v>0.17715784688521799</v>
      </c>
      <c r="U4011">
        <v>4.2436712643831056</v>
      </c>
      <c r="V4011">
        <v>0.23810297856178911</v>
      </c>
      <c r="W4011">
        <v>7.6419839998337196</v>
      </c>
      <c r="X4011">
        <v>0.31786260175872338</v>
      </c>
      <c r="Z4011" t="s">
        <v>392</v>
      </c>
      <c r="AA4011">
        <v>114</v>
      </c>
      <c r="AB4011" t="s">
        <v>4402</v>
      </c>
      <c r="AC4011" t="str">
        <f>HYPERLINK("plots/3FT6Y578R04_015_S21P_20251218081014_M5358ACSC201811_RBGEUFRF04/dpll_52094/txpa_55212.png","plot")</f>
        <v>plot</v>
      </c>
    </row>
    <row r="4012" spans="1:29" hidden="1" x14ac:dyDescent="0.35">
      <c r="A4012" t="s">
        <v>49</v>
      </c>
      <c r="B4012">
        <v>52094</v>
      </c>
      <c r="C4012" t="s">
        <v>53</v>
      </c>
      <c r="D4012">
        <v>55213</v>
      </c>
      <c r="E4012" t="s">
        <v>346</v>
      </c>
      <c r="F4012">
        <v>12028</v>
      </c>
      <c r="G4012">
        <v>0.68735555820470273</v>
      </c>
      <c r="H4012">
        <v>0</v>
      </c>
      <c r="I4012">
        <v>0</v>
      </c>
      <c r="J4012">
        <v>0.622464808038662</v>
      </c>
      <c r="K4012">
        <v>0</v>
      </c>
      <c r="L4012">
        <v>0</v>
      </c>
      <c r="M4012">
        <v>0.44495605856797432</v>
      </c>
      <c r="N4012">
        <v>0</v>
      </c>
      <c r="O4012">
        <v>0</v>
      </c>
      <c r="P4012">
        <v>0.47245766339489847</v>
      </c>
      <c r="Q4012">
        <v>0.90398702482112403</v>
      </c>
      <c r="R4012">
        <v>3.822325422381109</v>
      </c>
      <c r="S4012">
        <v>0.22743441467536199</v>
      </c>
      <c r="T4012">
        <v>0.17638957137713759</v>
      </c>
      <c r="U4012">
        <v>4.2436712643831056</v>
      </c>
      <c r="V4012">
        <v>0.23810297856178911</v>
      </c>
      <c r="W4012">
        <v>7.6585491829896917</v>
      </c>
      <c r="X4012">
        <v>0.31314506825740679</v>
      </c>
      <c r="Z4012" t="s">
        <v>392</v>
      </c>
      <c r="AA4012">
        <v>114</v>
      </c>
      <c r="AB4012" t="s">
        <v>4403</v>
      </c>
      <c r="AC4012" t="str">
        <f>HYPERLINK("plots/3FT6Y578R04_015_S21P_20251218081014_M5358ACSC201811_RBGEUFRF04/dpll_52094/txpa_55213.png","plot")</f>
        <v>plot</v>
      </c>
    </row>
    <row r="4013" spans="1:29" hidden="1" x14ac:dyDescent="0.35">
      <c r="A4013" t="s">
        <v>49</v>
      </c>
      <c r="B4013">
        <v>52094</v>
      </c>
      <c r="C4013" t="s">
        <v>53</v>
      </c>
      <c r="D4013">
        <v>55214</v>
      </c>
      <c r="E4013" t="s">
        <v>347</v>
      </c>
      <c r="F4013">
        <v>12027</v>
      </c>
      <c r="G4013">
        <v>0.70424554900530589</v>
      </c>
      <c r="H4013">
        <v>0</v>
      </c>
      <c r="I4013">
        <v>0</v>
      </c>
      <c r="J4013">
        <v>0.63521344524982004</v>
      </c>
      <c r="K4013">
        <v>0</v>
      </c>
      <c r="L4013">
        <v>0</v>
      </c>
      <c r="M4013">
        <v>0.45637368270563239</v>
      </c>
      <c r="N4013">
        <v>0</v>
      </c>
      <c r="O4013">
        <v>0</v>
      </c>
      <c r="P4013">
        <v>0.4959617932937847</v>
      </c>
      <c r="Q4013">
        <v>0.93332469387943107</v>
      </c>
      <c r="R4013">
        <v>3.696034625151591</v>
      </c>
      <c r="S4013">
        <v>0.2240281916703411</v>
      </c>
      <c r="T4013">
        <v>0.17503255930943401</v>
      </c>
      <c r="U4013">
        <v>4.2436786742329762</v>
      </c>
      <c r="V4013">
        <v>0.2381114909913796</v>
      </c>
      <c r="W4013">
        <v>7.6567647247027537</v>
      </c>
      <c r="X4013">
        <v>0.31556512462534558</v>
      </c>
      <c r="Z4013" t="s">
        <v>392</v>
      </c>
      <c r="AA4013">
        <v>114</v>
      </c>
      <c r="AB4013" t="s">
        <v>4404</v>
      </c>
      <c r="AC4013" t="str">
        <f>HYPERLINK("plots/3FT6Y578R04_015_S21P_20251218081014_M5358ACSC201811_RBGEUFRF04/dpll_52094/txpa_55214.png","plot")</f>
        <v>plot</v>
      </c>
    </row>
    <row r="4014" spans="1:29" hidden="1" x14ac:dyDescent="0.35">
      <c r="A4014" t="s">
        <v>49</v>
      </c>
      <c r="B4014">
        <v>52094</v>
      </c>
      <c r="C4014" t="s">
        <v>53</v>
      </c>
      <c r="D4014">
        <v>55215</v>
      </c>
      <c r="E4014" t="s">
        <v>348</v>
      </c>
      <c r="F4014">
        <v>12027</v>
      </c>
      <c r="G4014">
        <v>0.70426582856758335</v>
      </c>
      <c r="H4014">
        <v>0</v>
      </c>
      <c r="I4014">
        <v>0</v>
      </c>
      <c r="J4014">
        <v>0.62874434816225022</v>
      </c>
      <c r="K4014">
        <v>0</v>
      </c>
      <c r="L4014">
        <v>0</v>
      </c>
      <c r="M4014">
        <v>0.44924385308707537</v>
      </c>
      <c r="N4014">
        <v>0</v>
      </c>
      <c r="O4014">
        <v>0</v>
      </c>
      <c r="P4014">
        <v>0.49599035728798468</v>
      </c>
      <c r="Q4014">
        <v>0.92899062118231468</v>
      </c>
      <c r="R4014">
        <v>3.7001721791838929</v>
      </c>
      <c r="S4014">
        <v>0.22295597476343251</v>
      </c>
      <c r="T4014">
        <v>0.1750114222951597</v>
      </c>
      <c r="U4014">
        <v>4.2436418554918101</v>
      </c>
      <c r="V4014">
        <v>0.23809103076034549</v>
      </c>
      <c r="W4014">
        <v>7.6424756625925001</v>
      </c>
      <c r="X4014">
        <v>0.31406370377767873</v>
      </c>
      <c r="Z4014" t="s">
        <v>392</v>
      </c>
      <c r="AA4014">
        <v>114</v>
      </c>
      <c r="AB4014" t="s">
        <v>4405</v>
      </c>
      <c r="AC4014" t="str">
        <f>HYPERLINK("plots/3FT6Y578R04_015_S21P_20251218081014_M5358ACSC201811_RBGEUFRF04/dpll_52094/txpa_55215.png","plot")</f>
        <v>plot</v>
      </c>
    </row>
    <row r="4015" spans="1:29" hidden="1" x14ac:dyDescent="0.35">
      <c r="A4015" t="s">
        <v>49</v>
      </c>
      <c r="B4015">
        <v>52094</v>
      </c>
      <c r="C4015" t="s">
        <v>53</v>
      </c>
      <c r="D4015">
        <v>55216</v>
      </c>
      <c r="E4015" t="s">
        <v>349</v>
      </c>
      <c r="F4015">
        <v>12028</v>
      </c>
      <c r="G4015">
        <v>0.70860903434029809</v>
      </c>
      <c r="H4015">
        <v>0</v>
      </c>
      <c r="I4015">
        <v>0</v>
      </c>
      <c r="J4015">
        <v>0.64245743265396604</v>
      </c>
      <c r="K4015">
        <v>0</v>
      </c>
      <c r="L4015">
        <v>0</v>
      </c>
      <c r="M4015">
        <v>0.4622060818695749</v>
      </c>
      <c r="N4015">
        <v>0</v>
      </c>
      <c r="O4015">
        <v>0</v>
      </c>
      <c r="P4015">
        <v>0.50212676354868979</v>
      </c>
      <c r="Q4015">
        <v>0.94439916956952685</v>
      </c>
      <c r="R4015">
        <v>3.6474208636998759</v>
      </c>
      <c r="S4015">
        <v>0.2239005065247176</v>
      </c>
      <c r="T4015">
        <v>0.1750928902772689</v>
      </c>
      <c r="U4015">
        <v>4.2436712643831056</v>
      </c>
      <c r="V4015">
        <v>0.23810297856178911</v>
      </c>
      <c r="W4015">
        <v>7.6551404817093456</v>
      </c>
      <c r="X4015">
        <v>0.31733190564685471</v>
      </c>
      <c r="Z4015" t="s">
        <v>392</v>
      </c>
      <c r="AA4015">
        <v>114</v>
      </c>
      <c r="AB4015" t="s">
        <v>4406</v>
      </c>
      <c r="AC4015" t="str">
        <f>HYPERLINK("plots/3FT6Y578R04_015_S21P_20251218081014_M5358ACSC201811_RBGEUFRF04/dpll_52094/txpa_55216.png","plot")</f>
        <v>plot</v>
      </c>
    </row>
    <row r="4016" spans="1:29" hidden="1" x14ac:dyDescent="0.35">
      <c r="A4016" t="s">
        <v>49</v>
      </c>
      <c r="B4016">
        <v>52094</v>
      </c>
      <c r="C4016" t="s">
        <v>53</v>
      </c>
      <c r="D4016">
        <v>55217</v>
      </c>
      <c r="E4016" t="s">
        <v>350</v>
      </c>
      <c r="F4016">
        <v>12028</v>
      </c>
      <c r="G4016">
        <v>0.70709376238061239</v>
      </c>
      <c r="H4016">
        <v>0</v>
      </c>
      <c r="I4016">
        <v>0</v>
      </c>
      <c r="J4016">
        <v>0.63472073289058584</v>
      </c>
      <c r="K4016">
        <v>0</v>
      </c>
      <c r="L4016">
        <v>0</v>
      </c>
      <c r="M4016">
        <v>0.4547212794523538</v>
      </c>
      <c r="N4016">
        <v>0</v>
      </c>
      <c r="O4016">
        <v>0</v>
      </c>
      <c r="P4016">
        <v>0.49998158879756988</v>
      </c>
      <c r="Q4016">
        <v>0.92813462774882149</v>
      </c>
      <c r="R4016">
        <v>3.7241905687513959</v>
      </c>
      <c r="S4016">
        <v>0.2209905698879438</v>
      </c>
      <c r="T4016">
        <v>0.17384059333086421</v>
      </c>
      <c r="U4016">
        <v>4.2436712643831056</v>
      </c>
      <c r="V4016">
        <v>0.23810297856178911</v>
      </c>
      <c r="W4016">
        <v>7.6628888180079811</v>
      </c>
      <c r="X4016">
        <v>0.31253509948851299</v>
      </c>
      <c r="Z4016" t="s">
        <v>392</v>
      </c>
      <c r="AA4016">
        <v>114</v>
      </c>
      <c r="AB4016" t="s">
        <v>4407</v>
      </c>
      <c r="AC4016" t="str">
        <f>HYPERLINK("plots/3FT6Y578R04_015_S21P_20251218081014_M5358ACSC201811_RBGEUFRF04/dpll_52094/txpa_55217.png","plot")</f>
        <v>plot</v>
      </c>
    </row>
    <row r="4017" spans="1:29" hidden="1" x14ac:dyDescent="0.35">
      <c r="A4017" t="s">
        <v>49</v>
      </c>
      <c r="B4017">
        <v>52094</v>
      </c>
      <c r="C4017" t="s">
        <v>53</v>
      </c>
      <c r="D4017">
        <v>55218</v>
      </c>
      <c r="E4017" t="s">
        <v>351</v>
      </c>
      <c r="F4017">
        <v>12027</v>
      </c>
      <c r="G4017">
        <v>0.69941378180998071</v>
      </c>
      <c r="H4017">
        <v>0</v>
      </c>
      <c r="I4017">
        <v>0</v>
      </c>
      <c r="J4017">
        <v>0.62810242673816208</v>
      </c>
      <c r="K4017">
        <v>0</v>
      </c>
      <c r="L4017">
        <v>0</v>
      </c>
      <c r="M4017">
        <v>0.45047900128981588</v>
      </c>
      <c r="N4017">
        <v>0</v>
      </c>
      <c r="O4017">
        <v>0</v>
      </c>
      <c r="P4017">
        <v>0.48917963818573929</v>
      </c>
      <c r="Q4017">
        <v>0.92806187470472923</v>
      </c>
      <c r="R4017">
        <v>3.689710637816439</v>
      </c>
      <c r="S4017">
        <v>0.2257955617748498</v>
      </c>
      <c r="T4017">
        <v>0.1760600551061588</v>
      </c>
      <c r="U4017">
        <v>4.2436951445081901</v>
      </c>
      <c r="V4017">
        <v>0.2380984732054881</v>
      </c>
      <c r="W4017">
        <v>7.6281223093040662</v>
      </c>
      <c r="X4017">
        <v>0.31593617562922599</v>
      </c>
      <c r="Z4017" t="s">
        <v>392</v>
      </c>
      <c r="AA4017">
        <v>114</v>
      </c>
      <c r="AB4017" t="s">
        <v>4408</v>
      </c>
      <c r="AC4017" t="str">
        <f>HYPERLINK("plots/3FT6Y578R04_015_S21P_20251218081014_M5358ACSC201811_RBGEUFRF04/dpll_52094/txpa_55218.png","plot")</f>
        <v>plot</v>
      </c>
    </row>
    <row r="4018" spans="1:29" hidden="1" x14ac:dyDescent="0.35">
      <c r="A4018" t="s">
        <v>49</v>
      </c>
      <c r="B4018">
        <v>52094</v>
      </c>
      <c r="C4018" t="s">
        <v>53</v>
      </c>
      <c r="D4018">
        <v>55219</v>
      </c>
      <c r="E4018" t="s">
        <v>352</v>
      </c>
      <c r="F4018">
        <v>12028</v>
      </c>
      <c r="G4018">
        <v>0.69495481049382157</v>
      </c>
      <c r="H4018">
        <v>0</v>
      </c>
      <c r="I4018">
        <v>0</v>
      </c>
      <c r="J4018">
        <v>0.63398833804090637</v>
      </c>
      <c r="K4018">
        <v>0</v>
      </c>
      <c r="L4018">
        <v>0</v>
      </c>
      <c r="M4018">
        <v>0.45338276877669859</v>
      </c>
      <c r="N4018">
        <v>0</v>
      </c>
      <c r="O4018">
        <v>0</v>
      </c>
      <c r="P4018">
        <v>0.48296218862850337</v>
      </c>
      <c r="Q4018">
        <v>0.95406697896849135</v>
      </c>
      <c r="R4018">
        <v>4.6344697161799866</v>
      </c>
      <c r="S4018">
        <v>0.2350337477254647</v>
      </c>
      <c r="T4018">
        <v>0.18003995823681981</v>
      </c>
      <c r="U4018">
        <v>4.2436712643831056</v>
      </c>
      <c r="V4018">
        <v>0.23810297856178911</v>
      </c>
      <c r="W4018">
        <v>8.6832163391253747</v>
      </c>
      <c r="X4018">
        <v>0.32687908049506942</v>
      </c>
      <c r="Z4018" t="s">
        <v>392</v>
      </c>
      <c r="AA4018">
        <v>114</v>
      </c>
      <c r="AB4018" t="s">
        <v>4409</v>
      </c>
      <c r="AC4018" t="str">
        <f>HYPERLINK("plots/3FT6Y578R04_015_S21P_20251218081014_M5358ACSC201811_RBGEUFRF04/dpll_52094/txpa_55219.png","plot")</f>
        <v>plot</v>
      </c>
    </row>
    <row r="4019" spans="1:29" hidden="1" x14ac:dyDescent="0.35">
      <c r="A4019" t="s">
        <v>49</v>
      </c>
      <c r="B4019">
        <v>52094</v>
      </c>
      <c r="C4019" t="s">
        <v>53</v>
      </c>
      <c r="D4019">
        <v>55220</v>
      </c>
      <c r="E4019" t="s">
        <v>353</v>
      </c>
      <c r="F4019">
        <v>12028</v>
      </c>
      <c r="G4019">
        <v>0.71525344474912422</v>
      </c>
      <c r="H4019">
        <v>0</v>
      </c>
      <c r="I4019">
        <v>0</v>
      </c>
      <c r="J4019">
        <v>0.64709137119649196</v>
      </c>
      <c r="K4019">
        <v>0</v>
      </c>
      <c r="L4019">
        <v>0</v>
      </c>
      <c r="M4019">
        <v>0.46656195366543718</v>
      </c>
      <c r="N4019">
        <v>0</v>
      </c>
      <c r="O4019">
        <v>0</v>
      </c>
      <c r="P4019">
        <v>0.51158749022548855</v>
      </c>
      <c r="Q4019">
        <v>0.98207832602645806</v>
      </c>
      <c r="R4019">
        <v>4.5418752261900366</v>
      </c>
      <c r="S4019">
        <v>0.2284685008400823</v>
      </c>
      <c r="T4019">
        <v>0.17769557511278319</v>
      </c>
      <c r="U4019">
        <v>4.2436712643831056</v>
      </c>
      <c r="V4019">
        <v>0.23810297856178911</v>
      </c>
      <c r="W4019">
        <v>8.7094927977219818</v>
      </c>
      <c r="X4019">
        <v>0.32692715613539408</v>
      </c>
      <c r="Z4019" t="s">
        <v>392</v>
      </c>
      <c r="AA4019">
        <v>114</v>
      </c>
      <c r="AB4019" t="s">
        <v>4410</v>
      </c>
      <c r="AC4019" t="str">
        <f>HYPERLINK("plots/3FT6Y578R04_015_S21P_20251218081014_M5358ACSC201811_RBGEUFRF04/dpll_52094/txpa_55220.png","plot")</f>
        <v>plot</v>
      </c>
    </row>
    <row r="4020" spans="1:29" hidden="1" x14ac:dyDescent="0.35">
      <c r="A4020" t="s">
        <v>49</v>
      </c>
      <c r="B4020">
        <v>52094</v>
      </c>
      <c r="C4020" t="s">
        <v>53</v>
      </c>
      <c r="D4020">
        <v>55221</v>
      </c>
      <c r="E4020" t="s">
        <v>354</v>
      </c>
      <c r="F4020">
        <v>12028</v>
      </c>
      <c r="G4020">
        <v>0.70434169846869044</v>
      </c>
      <c r="H4020">
        <v>0</v>
      </c>
      <c r="I4020">
        <v>0</v>
      </c>
      <c r="J4020">
        <v>0.63577424820037276</v>
      </c>
      <c r="K4020">
        <v>0</v>
      </c>
      <c r="L4020">
        <v>0</v>
      </c>
      <c r="M4020">
        <v>0.45621729670291022</v>
      </c>
      <c r="N4020">
        <v>0</v>
      </c>
      <c r="O4020">
        <v>0</v>
      </c>
      <c r="P4020">
        <v>0.49609722820175972</v>
      </c>
      <c r="Q4020">
        <v>0.95282322414513165</v>
      </c>
      <c r="R4020">
        <v>4.6823884698938922</v>
      </c>
      <c r="S4020">
        <v>0.22863835221041451</v>
      </c>
      <c r="T4020">
        <v>0.17667230659823049</v>
      </c>
      <c r="U4020">
        <v>4.2436712643831056</v>
      </c>
      <c r="V4020">
        <v>0.23810297856178911</v>
      </c>
      <c r="W4020">
        <v>8.7258570062354508</v>
      </c>
      <c r="X4020">
        <v>0.32210225264958919</v>
      </c>
      <c r="Z4020" t="s">
        <v>392</v>
      </c>
      <c r="AA4020">
        <v>114</v>
      </c>
      <c r="AB4020" t="s">
        <v>4411</v>
      </c>
      <c r="AC4020" t="str">
        <f>HYPERLINK("plots/3FT6Y578R04_015_S21P_20251218081014_M5358ACSC201811_RBGEUFRF04/dpll_52094/txpa_55221.png","plot")</f>
        <v>plot</v>
      </c>
    </row>
    <row r="4021" spans="1:29" hidden="1" x14ac:dyDescent="0.35">
      <c r="A4021" t="s">
        <v>49</v>
      </c>
      <c r="B4021">
        <v>52094</v>
      </c>
      <c r="C4021" t="s">
        <v>53</v>
      </c>
      <c r="D4021">
        <v>55222</v>
      </c>
      <c r="E4021" t="s">
        <v>355</v>
      </c>
      <c r="F4021">
        <v>12027</v>
      </c>
      <c r="G4021">
        <v>0.72030524111632765</v>
      </c>
      <c r="H4021">
        <v>0</v>
      </c>
      <c r="I4021">
        <v>0</v>
      </c>
      <c r="J4021">
        <v>0.64768852689535694</v>
      </c>
      <c r="K4021">
        <v>0</v>
      </c>
      <c r="L4021">
        <v>0</v>
      </c>
      <c r="M4021">
        <v>0.46703602318068099</v>
      </c>
      <c r="N4021">
        <v>0</v>
      </c>
      <c r="O4021">
        <v>0</v>
      </c>
      <c r="P4021">
        <v>0.51883964037965091</v>
      </c>
      <c r="Q4021">
        <v>0.98197543999364634</v>
      </c>
      <c r="R4021">
        <v>4.5566574334282333</v>
      </c>
      <c r="S4021">
        <v>0.22516001565656221</v>
      </c>
      <c r="T4021">
        <v>0.17551754557137511</v>
      </c>
      <c r="U4021">
        <v>4.2436786742329762</v>
      </c>
      <c r="V4021">
        <v>0.2381114909913796</v>
      </c>
      <c r="W4021">
        <v>8.7238456667498134</v>
      </c>
      <c r="X4021">
        <v>0.32461187672524761</v>
      </c>
      <c r="Z4021" t="s">
        <v>392</v>
      </c>
      <c r="AA4021">
        <v>114</v>
      </c>
      <c r="AB4021" t="s">
        <v>4412</v>
      </c>
      <c r="AC4021" t="str">
        <f>HYPERLINK("plots/3FT6Y578R04_015_S21P_20251218081014_M5358ACSC201811_RBGEUFRF04/dpll_52094/txpa_55222.png","plot")</f>
        <v>plot</v>
      </c>
    </row>
    <row r="4022" spans="1:29" hidden="1" x14ac:dyDescent="0.35">
      <c r="A4022" t="s">
        <v>49</v>
      </c>
      <c r="B4022">
        <v>52094</v>
      </c>
      <c r="C4022" t="s">
        <v>53</v>
      </c>
      <c r="D4022">
        <v>55223</v>
      </c>
      <c r="E4022" t="s">
        <v>356</v>
      </c>
      <c r="F4022">
        <v>12027</v>
      </c>
      <c r="G4022">
        <v>0.72053375098180483</v>
      </c>
      <c r="H4022">
        <v>0</v>
      </c>
      <c r="I4022">
        <v>0</v>
      </c>
      <c r="J4022">
        <v>0.64138334652378215</v>
      </c>
      <c r="K4022">
        <v>0</v>
      </c>
      <c r="L4022">
        <v>0</v>
      </c>
      <c r="M4022">
        <v>0.45991498171288869</v>
      </c>
      <c r="N4022">
        <v>0</v>
      </c>
      <c r="O4022">
        <v>0</v>
      </c>
      <c r="P4022">
        <v>0.51916888630390956</v>
      </c>
      <c r="Q4022">
        <v>0.97783734156049118</v>
      </c>
      <c r="R4022">
        <v>4.5594243012545901</v>
      </c>
      <c r="S4022">
        <v>0.22404411977115099</v>
      </c>
      <c r="T4022">
        <v>0.17543707710279521</v>
      </c>
      <c r="U4022">
        <v>4.2436418554918101</v>
      </c>
      <c r="V4022">
        <v>0.23809103076034549</v>
      </c>
      <c r="W4022">
        <v>8.7090157717635321</v>
      </c>
      <c r="X4022">
        <v>0.32311366435071071</v>
      </c>
      <c r="Z4022" t="s">
        <v>392</v>
      </c>
      <c r="AA4022">
        <v>114</v>
      </c>
      <c r="AB4022" t="s">
        <v>4413</v>
      </c>
      <c r="AC4022" t="str">
        <f>HYPERLINK("plots/3FT6Y578R04_015_S21P_20251218081014_M5358ACSC201811_RBGEUFRF04/dpll_52094/txpa_55223.png","plot")</f>
        <v>plot</v>
      </c>
    </row>
    <row r="4023" spans="1:29" hidden="1" x14ac:dyDescent="0.35">
      <c r="A4023" t="s">
        <v>49</v>
      </c>
      <c r="B4023">
        <v>52094</v>
      </c>
      <c r="C4023" t="s">
        <v>53</v>
      </c>
      <c r="D4023">
        <v>55224</v>
      </c>
      <c r="E4023" t="s">
        <v>357</v>
      </c>
      <c r="F4023">
        <v>12028</v>
      </c>
      <c r="G4023">
        <v>0.72434190558288059</v>
      </c>
      <c r="H4023">
        <v>0</v>
      </c>
      <c r="I4023">
        <v>0</v>
      </c>
      <c r="J4023">
        <v>0.65449566088982947</v>
      </c>
      <c r="K4023">
        <v>0</v>
      </c>
      <c r="L4023">
        <v>0</v>
      </c>
      <c r="M4023">
        <v>0.47254091713334062</v>
      </c>
      <c r="N4023">
        <v>0</v>
      </c>
      <c r="O4023">
        <v>0</v>
      </c>
      <c r="P4023">
        <v>0.52467119618343872</v>
      </c>
      <c r="Q4023">
        <v>0.99287203209915287</v>
      </c>
      <c r="R4023">
        <v>4.5088810419623169</v>
      </c>
      <c r="S4023">
        <v>0.22500569283025881</v>
      </c>
      <c r="T4023">
        <v>0.17552953564094231</v>
      </c>
      <c r="U4023">
        <v>4.2436712643831056</v>
      </c>
      <c r="V4023">
        <v>0.23810297856178911</v>
      </c>
      <c r="W4023">
        <v>8.7223035537911535</v>
      </c>
      <c r="X4023">
        <v>0.32637320352640342</v>
      </c>
      <c r="Z4023" t="s">
        <v>392</v>
      </c>
      <c r="AA4023">
        <v>114</v>
      </c>
      <c r="AB4023" t="s">
        <v>4414</v>
      </c>
      <c r="AC4023" t="str">
        <f>HYPERLINK("plots/3FT6Y578R04_015_S21P_20251218081014_M5358ACSC201811_RBGEUFRF04/dpll_52094/txpa_55224.png","plot")</f>
        <v>plot</v>
      </c>
    </row>
    <row r="4024" spans="1:29" hidden="1" x14ac:dyDescent="0.35">
      <c r="A4024" t="s">
        <v>49</v>
      </c>
      <c r="B4024">
        <v>52094</v>
      </c>
      <c r="C4024" t="s">
        <v>53</v>
      </c>
      <c r="D4024">
        <v>55225</v>
      </c>
      <c r="E4024" t="s">
        <v>358</v>
      </c>
      <c r="F4024">
        <v>12028</v>
      </c>
      <c r="G4024">
        <v>0.72340141728481633</v>
      </c>
      <c r="H4024">
        <v>0</v>
      </c>
      <c r="I4024">
        <v>0</v>
      </c>
      <c r="J4024">
        <v>0.6472245115202494</v>
      </c>
      <c r="K4024">
        <v>0</v>
      </c>
      <c r="L4024">
        <v>0</v>
      </c>
      <c r="M4024">
        <v>0.46543816567313451</v>
      </c>
      <c r="N4024">
        <v>0</v>
      </c>
      <c r="O4024">
        <v>0</v>
      </c>
      <c r="P4024">
        <v>0.52330961052968095</v>
      </c>
      <c r="Q4024">
        <v>0.97686866687315099</v>
      </c>
      <c r="R4024">
        <v>4.5847123341395841</v>
      </c>
      <c r="S4024">
        <v>0.22198406330018969</v>
      </c>
      <c r="T4024">
        <v>0.17416048842607559</v>
      </c>
      <c r="U4024">
        <v>4.2436712643831056</v>
      </c>
      <c r="V4024">
        <v>0.23810297856178911</v>
      </c>
      <c r="W4024">
        <v>8.7302218248254082</v>
      </c>
      <c r="X4024">
        <v>0.32153011272661652</v>
      </c>
      <c r="Z4024" t="s">
        <v>392</v>
      </c>
      <c r="AA4024">
        <v>114</v>
      </c>
      <c r="AB4024" t="s">
        <v>4415</v>
      </c>
      <c r="AC4024" t="str">
        <f>HYPERLINK("plots/3FT6Y578R04_015_S21P_20251218081014_M5358ACSC201811_RBGEUFRF04/dpll_52094/txpa_55225.png","plot")</f>
        <v>plot</v>
      </c>
    </row>
    <row r="4025" spans="1:29" hidden="1" x14ac:dyDescent="0.35">
      <c r="A4025" t="s">
        <v>49</v>
      </c>
      <c r="B4025">
        <v>52094</v>
      </c>
      <c r="C4025" t="s">
        <v>53</v>
      </c>
      <c r="D4025">
        <v>55226</v>
      </c>
      <c r="E4025" t="s">
        <v>359</v>
      </c>
      <c r="F4025">
        <v>12027</v>
      </c>
      <c r="G4025">
        <v>0.7158436437188499</v>
      </c>
      <c r="H4025">
        <v>0</v>
      </c>
      <c r="I4025">
        <v>0</v>
      </c>
      <c r="J4025">
        <v>0.64054503003805818</v>
      </c>
      <c r="K4025">
        <v>0</v>
      </c>
      <c r="L4025">
        <v>0</v>
      </c>
      <c r="M4025">
        <v>0.46102066856738999</v>
      </c>
      <c r="N4025">
        <v>0</v>
      </c>
      <c r="O4025">
        <v>0</v>
      </c>
      <c r="P4025">
        <v>0.51243212225267976</v>
      </c>
      <c r="Q4025">
        <v>0.97611640362432972</v>
      </c>
      <c r="R4025">
        <v>4.5549606017815876</v>
      </c>
      <c r="S4025">
        <v>0.2266937442248832</v>
      </c>
      <c r="T4025">
        <v>0.17630487372392331</v>
      </c>
      <c r="U4025">
        <v>4.2436951445081901</v>
      </c>
      <c r="V4025">
        <v>0.2380984732054881</v>
      </c>
      <c r="W4025">
        <v>8.6973010443169532</v>
      </c>
      <c r="X4025">
        <v>0.32466842083893038</v>
      </c>
      <c r="Z4025" t="s">
        <v>392</v>
      </c>
      <c r="AA4025">
        <v>114</v>
      </c>
      <c r="AB4025" t="s">
        <v>4416</v>
      </c>
      <c r="AC4025" t="str">
        <f>HYPERLINK("plots/3FT6Y578R04_015_S21P_20251218081014_M5358ACSC201811_RBGEUFRF04/dpll_52094/txpa_55226.png","plot")</f>
        <v>plot</v>
      </c>
    </row>
    <row r="4026" spans="1:29" hidden="1" x14ac:dyDescent="0.35">
      <c r="A4026" t="s">
        <v>49</v>
      </c>
      <c r="B4026">
        <v>52094</v>
      </c>
      <c r="C4026" t="s">
        <v>53</v>
      </c>
      <c r="D4026">
        <v>55227</v>
      </c>
      <c r="E4026" t="s">
        <v>360</v>
      </c>
      <c r="F4026">
        <v>12028</v>
      </c>
      <c r="G4026">
        <v>0.70042175840895882</v>
      </c>
      <c r="H4026">
        <v>0</v>
      </c>
      <c r="I4026">
        <v>0</v>
      </c>
      <c r="J4026">
        <v>0.63808519066603864</v>
      </c>
      <c r="K4026">
        <v>0</v>
      </c>
      <c r="L4026">
        <v>0</v>
      </c>
      <c r="M4026">
        <v>0.45690605638438181</v>
      </c>
      <c r="N4026">
        <v>0</v>
      </c>
      <c r="O4026">
        <v>0</v>
      </c>
      <c r="P4026">
        <v>0.49059063965269789</v>
      </c>
      <c r="Q4026">
        <v>0.97472441699110635</v>
      </c>
      <c r="R4026">
        <v>5.0763972092694551</v>
      </c>
      <c r="S4026">
        <v>0.23648437479485029</v>
      </c>
      <c r="T4026">
        <v>0.18078474639205599</v>
      </c>
      <c r="U4026">
        <v>4.2436712643831056</v>
      </c>
      <c r="V4026">
        <v>0.23810297856178911</v>
      </c>
      <c r="W4026">
        <v>9.2128072083471899</v>
      </c>
      <c r="X4026">
        <v>0.33135005327315531</v>
      </c>
      <c r="Z4026" t="s">
        <v>392</v>
      </c>
      <c r="AA4026">
        <v>114</v>
      </c>
      <c r="AB4026" t="s">
        <v>4417</v>
      </c>
      <c r="AC4026" t="str">
        <f>HYPERLINK("plots/3FT6Y578R04_015_S21P_20251218081014_M5358ACSC201811_RBGEUFRF04/dpll_52094/txpa_55227.png","plot")</f>
        <v>plot</v>
      </c>
    </row>
    <row r="4027" spans="1:29" hidden="1" x14ac:dyDescent="0.35">
      <c r="A4027" t="s">
        <v>49</v>
      </c>
      <c r="B4027">
        <v>52094</v>
      </c>
      <c r="C4027" t="s">
        <v>53</v>
      </c>
      <c r="D4027">
        <v>55228</v>
      </c>
      <c r="E4027" t="s">
        <v>361</v>
      </c>
      <c r="F4027">
        <v>12028</v>
      </c>
      <c r="G4027">
        <v>0.72043000263160162</v>
      </c>
      <c r="H4027">
        <v>0</v>
      </c>
      <c r="I4027">
        <v>0</v>
      </c>
      <c r="J4027">
        <v>0.65092105997235195</v>
      </c>
      <c r="K4027">
        <v>0</v>
      </c>
      <c r="L4027">
        <v>0</v>
      </c>
      <c r="M4027">
        <v>0.46991622011704698</v>
      </c>
      <c r="N4027">
        <v>0</v>
      </c>
      <c r="O4027">
        <v>0</v>
      </c>
      <c r="P4027">
        <v>0.51901938869176956</v>
      </c>
      <c r="Q4027">
        <v>1.002958669039282</v>
      </c>
      <c r="R4027">
        <v>4.9821374039142183</v>
      </c>
      <c r="S4027">
        <v>0.2298803261611147</v>
      </c>
      <c r="T4027">
        <v>0.17845951652832201</v>
      </c>
      <c r="U4027">
        <v>4.2436712643831056</v>
      </c>
      <c r="V4027">
        <v>0.23810297856178911</v>
      </c>
      <c r="W4027">
        <v>9.238364287080147</v>
      </c>
      <c r="X4027">
        <v>0.33147904112863119</v>
      </c>
      <c r="Z4027" t="s">
        <v>392</v>
      </c>
      <c r="AA4027">
        <v>114</v>
      </c>
      <c r="AB4027" t="s">
        <v>4418</v>
      </c>
      <c r="AC4027" t="str">
        <f>HYPERLINK("plots/3FT6Y578R04_015_S21P_20251218081014_M5358ACSC201811_RBGEUFRF04/dpll_52094/txpa_55228.png","plot")</f>
        <v>plot</v>
      </c>
    </row>
    <row r="4028" spans="1:29" hidden="1" x14ac:dyDescent="0.35">
      <c r="A4028" t="s">
        <v>49</v>
      </c>
      <c r="B4028">
        <v>52094</v>
      </c>
      <c r="C4028" t="s">
        <v>53</v>
      </c>
      <c r="D4028">
        <v>55229</v>
      </c>
      <c r="E4028" t="s">
        <v>362</v>
      </c>
      <c r="F4028">
        <v>12028</v>
      </c>
      <c r="G4028">
        <v>0.70982209738748181</v>
      </c>
      <c r="H4028">
        <v>0</v>
      </c>
      <c r="I4028">
        <v>0</v>
      </c>
      <c r="J4028">
        <v>0.63968946908603841</v>
      </c>
      <c r="K4028">
        <v>0</v>
      </c>
      <c r="L4028">
        <v>0</v>
      </c>
      <c r="M4028">
        <v>0.459521071403794</v>
      </c>
      <c r="N4028">
        <v>0</v>
      </c>
      <c r="O4028">
        <v>0</v>
      </c>
      <c r="P4028">
        <v>0.50384740993956367</v>
      </c>
      <c r="Q4028">
        <v>0.97380525753338576</v>
      </c>
      <c r="R4028">
        <v>5.1222272573267853</v>
      </c>
      <c r="S4028">
        <v>0.23007901276927939</v>
      </c>
      <c r="T4028">
        <v>0.17747473847364689</v>
      </c>
      <c r="U4028">
        <v>4.2436712643831056</v>
      </c>
      <c r="V4028">
        <v>0.23810297856178911</v>
      </c>
      <c r="W4028">
        <v>9.2547366458264051</v>
      </c>
      <c r="X4028">
        <v>0.32665358434348218</v>
      </c>
      <c r="Z4028" t="s">
        <v>392</v>
      </c>
      <c r="AA4028">
        <v>114</v>
      </c>
      <c r="AB4028" t="s">
        <v>4419</v>
      </c>
      <c r="AC4028" t="str">
        <f>HYPERLINK("plots/3FT6Y578R04_015_S21P_20251218081014_M5358ACSC201811_RBGEUFRF04/dpll_52094/txpa_55229.png","plot")</f>
        <v>plot</v>
      </c>
    </row>
    <row r="4029" spans="1:29" hidden="1" x14ac:dyDescent="0.35">
      <c r="A4029" t="s">
        <v>49</v>
      </c>
      <c r="B4029">
        <v>52094</v>
      </c>
      <c r="C4029" t="s">
        <v>53</v>
      </c>
      <c r="D4029">
        <v>55230</v>
      </c>
      <c r="E4029" t="s">
        <v>363</v>
      </c>
      <c r="F4029">
        <v>12027</v>
      </c>
      <c r="G4029">
        <v>0.72548201011379443</v>
      </c>
      <c r="H4029">
        <v>0</v>
      </c>
      <c r="I4029">
        <v>0</v>
      </c>
      <c r="J4029">
        <v>0.65159441200970136</v>
      </c>
      <c r="K4029">
        <v>0</v>
      </c>
      <c r="L4029">
        <v>0</v>
      </c>
      <c r="M4029">
        <v>0.4704015322822524</v>
      </c>
      <c r="N4029">
        <v>0</v>
      </c>
      <c r="O4029">
        <v>0</v>
      </c>
      <c r="P4029">
        <v>0.52632414699875174</v>
      </c>
      <c r="Q4029">
        <v>1.0026566039908289</v>
      </c>
      <c r="R4029">
        <v>4.9975318806592579</v>
      </c>
      <c r="S4029">
        <v>0.22647928885365581</v>
      </c>
      <c r="T4029">
        <v>0.1762651083689947</v>
      </c>
      <c r="U4029">
        <v>4.2436786742329762</v>
      </c>
      <c r="V4029">
        <v>0.2381114909913796</v>
      </c>
      <c r="W4029">
        <v>9.2524843285939973</v>
      </c>
      <c r="X4029">
        <v>0.3290833619584333</v>
      </c>
      <c r="Z4029" t="s">
        <v>392</v>
      </c>
      <c r="AA4029">
        <v>114</v>
      </c>
      <c r="AB4029" t="s">
        <v>4420</v>
      </c>
      <c r="AC4029" t="str">
        <f>HYPERLINK("plots/3FT6Y578R04_015_S21P_20251218081014_M5358ACSC201811_RBGEUFRF04/dpll_52094/txpa_55230.png","plot")</f>
        <v>plot</v>
      </c>
    </row>
    <row r="4030" spans="1:29" hidden="1" x14ac:dyDescent="0.35">
      <c r="A4030" t="s">
        <v>49</v>
      </c>
      <c r="B4030">
        <v>52094</v>
      </c>
      <c r="C4030" t="s">
        <v>53</v>
      </c>
      <c r="D4030">
        <v>55231</v>
      </c>
      <c r="E4030" t="s">
        <v>364</v>
      </c>
      <c r="F4030">
        <v>12027</v>
      </c>
      <c r="G4030">
        <v>0.72577568137424509</v>
      </c>
      <c r="H4030">
        <v>0</v>
      </c>
      <c r="I4030">
        <v>0</v>
      </c>
      <c r="J4030">
        <v>0.64519211895875772</v>
      </c>
      <c r="K4030">
        <v>0</v>
      </c>
      <c r="L4030">
        <v>0</v>
      </c>
      <c r="M4030">
        <v>0.46314068690260751</v>
      </c>
      <c r="N4030">
        <v>0</v>
      </c>
      <c r="O4030">
        <v>0</v>
      </c>
      <c r="P4030">
        <v>0.52675033967424978</v>
      </c>
      <c r="Q4030">
        <v>0.99852449516162933</v>
      </c>
      <c r="R4030">
        <v>4.9998988524953454</v>
      </c>
      <c r="S4030">
        <v>0.2253338546282094</v>
      </c>
      <c r="T4030">
        <v>0.17621230641055691</v>
      </c>
      <c r="U4030">
        <v>4.2436418554918101</v>
      </c>
      <c r="V4030">
        <v>0.23809103076034549</v>
      </c>
      <c r="W4030">
        <v>9.2372791938970646</v>
      </c>
      <c r="X4030">
        <v>0.32756639881117189</v>
      </c>
      <c r="Z4030" t="s">
        <v>392</v>
      </c>
      <c r="AA4030">
        <v>114</v>
      </c>
      <c r="AB4030" t="s">
        <v>4421</v>
      </c>
      <c r="AC4030" t="str">
        <f>HYPERLINK("plots/3FT6Y578R04_015_S21P_20251218081014_M5358ACSC201811_RBGEUFRF04/dpll_52094/txpa_55231.png","plot")</f>
        <v>plot</v>
      </c>
    </row>
    <row r="4031" spans="1:29" hidden="1" x14ac:dyDescent="0.35">
      <c r="A4031" t="s">
        <v>49</v>
      </c>
      <c r="B4031">
        <v>52094</v>
      </c>
      <c r="C4031" t="s">
        <v>53</v>
      </c>
      <c r="D4031">
        <v>55232</v>
      </c>
      <c r="E4031" t="s">
        <v>365</v>
      </c>
      <c r="F4031">
        <v>12028</v>
      </c>
      <c r="G4031">
        <v>0.72919781198381328</v>
      </c>
      <c r="H4031">
        <v>0</v>
      </c>
      <c r="I4031">
        <v>0</v>
      </c>
      <c r="J4031">
        <v>0.65801262295922802</v>
      </c>
      <c r="K4031">
        <v>0</v>
      </c>
      <c r="L4031">
        <v>0</v>
      </c>
      <c r="M4031">
        <v>0.47567217825692631</v>
      </c>
      <c r="N4031">
        <v>0</v>
      </c>
      <c r="O4031">
        <v>0</v>
      </c>
      <c r="P4031">
        <v>0.53172944900198071</v>
      </c>
      <c r="Q4031">
        <v>1.013471200120047</v>
      </c>
      <c r="R4031">
        <v>4.9499184348345464</v>
      </c>
      <c r="S4031">
        <v>0.2264442264778723</v>
      </c>
      <c r="T4031">
        <v>0.17633149968891171</v>
      </c>
      <c r="U4031">
        <v>4.2436712643831056</v>
      </c>
      <c r="V4031">
        <v>0.23810297856178911</v>
      </c>
      <c r="W4031">
        <v>9.2507570440638514</v>
      </c>
      <c r="X4031">
        <v>0.33092599493500757</v>
      </c>
      <c r="Z4031" t="s">
        <v>392</v>
      </c>
      <c r="AA4031">
        <v>114</v>
      </c>
      <c r="AB4031" t="s">
        <v>4422</v>
      </c>
      <c r="AC4031" t="str">
        <f>HYPERLINK("plots/3FT6Y578R04_015_S21P_20251218081014_M5358ACSC201811_RBGEUFRF04/dpll_52094/txpa_55232.png","plot")</f>
        <v>plot</v>
      </c>
    </row>
    <row r="4032" spans="1:29" hidden="1" x14ac:dyDescent="0.35">
      <c r="A4032" t="s">
        <v>49</v>
      </c>
      <c r="B4032">
        <v>52094</v>
      </c>
      <c r="C4032" t="s">
        <v>53</v>
      </c>
      <c r="D4032">
        <v>55233</v>
      </c>
      <c r="E4032" t="s">
        <v>366</v>
      </c>
      <c r="F4032">
        <v>12028</v>
      </c>
      <c r="G4032">
        <v>0.72855115414617566</v>
      </c>
      <c r="H4032">
        <v>0</v>
      </c>
      <c r="I4032">
        <v>0</v>
      </c>
      <c r="J4032">
        <v>0.65091580890550549</v>
      </c>
      <c r="K4032">
        <v>0</v>
      </c>
      <c r="L4032">
        <v>0</v>
      </c>
      <c r="M4032">
        <v>0.46862456473052289</v>
      </c>
      <c r="N4032">
        <v>0</v>
      </c>
      <c r="O4032">
        <v>0</v>
      </c>
      <c r="P4032">
        <v>0.53078678420772463</v>
      </c>
      <c r="Q4032">
        <v>0.99742757525492898</v>
      </c>
      <c r="R4032">
        <v>5.0261356041190997</v>
      </c>
      <c r="S4032">
        <v>0.2232817422075431</v>
      </c>
      <c r="T4032">
        <v>0.17488926355523629</v>
      </c>
      <c r="U4032">
        <v>4.2436712643831056</v>
      </c>
      <c r="V4032">
        <v>0.23810297856178911</v>
      </c>
      <c r="W4032">
        <v>9.2588903435317604</v>
      </c>
      <c r="X4032">
        <v>0.3259763919339172</v>
      </c>
      <c r="Z4032" t="s">
        <v>392</v>
      </c>
      <c r="AA4032">
        <v>114</v>
      </c>
      <c r="AB4032" t="s">
        <v>4423</v>
      </c>
      <c r="AC4032" t="str">
        <f>HYPERLINK("plots/3FT6Y578R04_015_S21P_20251218081014_M5358ACSC201811_RBGEUFRF04/dpll_52094/txpa_55233.png","plot")</f>
        <v>plot</v>
      </c>
    </row>
    <row r="4033" spans="1:29" hidden="1" x14ac:dyDescent="0.35">
      <c r="A4033" t="s">
        <v>49</v>
      </c>
      <c r="B4033">
        <v>52094</v>
      </c>
      <c r="C4033" t="s">
        <v>53</v>
      </c>
      <c r="D4033">
        <v>55234</v>
      </c>
      <c r="E4033" t="s">
        <v>367</v>
      </c>
      <c r="F4033">
        <v>12027</v>
      </c>
      <c r="G4033">
        <v>0.72110386573162211</v>
      </c>
      <c r="H4033">
        <v>0</v>
      </c>
      <c r="I4033">
        <v>0</v>
      </c>
      <c r="J4033">
        <v>0.64423012183836625</v>
      </c>
      <c r="K4033">
        <v>0</v>
      </c>
      <c r="L4033">
        <v>0</v>
      </c>
      <c r="M4033">
        <v>0.46419947407226381</v>
      </c>
      <c r="N4033">
        <v>0</v>
      </c>
      <c r="O4033">
        <v>0</v>
      </c>
      <c r="P4033">
        <v>0.51999078517308928</v>
      </c>
      <c r="Q4033">
        <v>0.99657611639413601</v>
      </c>
      <c r="R4033">
        <v>4.9975215777496551</v>
      </c>
      <c r="S4033">
        <v>0.22796910446428281</v>
      </c>
      <c r="T4033">
        <v>0.17698107138594091</v>
      </c>
      <c r="U4033">
        <v>4.2436951445081901</v>
      </c>
      <c r="V4033">
        <v>0.2380984732054881</v>
      </c>
      <c r="W4033">
        <v>9.2266868040242791</v>
      </c>
      <c r="X4033">
        <v>0.3290555813422999</v>
      </c>
      <c r="Z4033" t="s">
        <v>392</v>
      </c>
      <c r="AA4033">
        <v>114</v>
      </c>
      <c r="AB4033" t="s">
        <v>4424</v>
      </c>
      <c r="AC4033" t="str">
        <f>HYPERLINK("plots/3FT6Y578R04_015_S21P_20251218081014_M5358ACSC201811_RBGEUFRF04/dpll_52094/txpa_55234.png","plot")</f>
        <v>plot</v>
      </c>
    </row>
    <row r="4034" spans="1:29" hidden="1" x14ac:dyDescent="0.35">
      <c r="A4034" t="s">
        <v>49</v>
      </c>
      <c r="B4034">
        <v>52094</v>
      </c>
      <c r="C4034" t="s">
        <v>53</v>
      </c>
      <c r="D4034">
        <v>55235</v>
      </c>
      <c r="E4034" t="s">
        <v>368</v>
      </c>
      <c r="F4034">
        <v>12028</v>
      </c>
      <c r="G4034">
        <v>0.70540409660354964</v>
      </c>
      <c r="H4034">
        <v>0</v>
      </c>
      <c r="I4034">
        <v>0</v>
      </c>
      <c r="J4034">
        <v>0.64159412908941749</v>
      </c>
      <c r="K4034">
        <v>0</v>
      </c>
      <c r="L4034">
        <v>0</v>
      </c>
      <c r="M4034">
        <v>0.45986277798610448</v>
      </c>
      <c r="N4034">
        <v>0</v>
      </c>
      <c r="O4034">
        <v>0</v>
      </c>
      <c r="P4034">
        <v>0.49759493950507</v>
      </c>
      <c r="Q4034">
        <v>0.99414653279208054</v>
      </c>
      <c r="R4034">
        <v>5.489117075272989</v>
      </c>
      <c r="S4034">
        <v>0.23784071476465191</v>
      </c>
      <c r="T4034">
        <v>0.18150199423539909</v>
      </c>
      <c r="U4034">
        <v>4.2436712643831056</v>
      </c>
      <c r="V4034">
        <v>0.23810297856178911</v>
      </c>
      <c r="W4034">
        <v>9.7079481490688391</v>
      </c>
      <c r="X4034">
        <v>0.33556546059825992</v>
      </c>
      <c r="Z4034" t="s">
        <v>392</v>
      </c>
      <c r="AA4034">
        <v>114</v>
      </c>
      <c r="AB4034" t="s">
        <v>4425</v>
      </c>
      <c r="AC4034" t="str">
        <f>HYPERLINK("plots/3FT6Y578R04_015_S21P_20251218081014_M5358ACSC201811_RBGEUFRF04/dpll_52094/txpa_55235.png","plot")</f>
        <v>plot</v>
      </c>
    </row>
    <row r="4035" spans="1:29" hidden="1" x14ac:dyDescent="0.35">
      <c r="A4035" t="s">
        <v>49</v>
      </c>
      <c r="B4035">
        <v>52094</v>
      </c>
      <c r="C4035" t="s">
        <v>53</v>
      </c>
      <c r="D4035">
        <v>55236</v>
      </c>
      <c r="E4035" t="s">
        <v>369</v>
      </c>
      <c r="F4035">
        <v>12028</v>
      </c>
      <c r="G4035">
        <v>0.72505822696688327</v>
      </c>
      <c r="H4035">
        <v>0</v>
      </c>
      <c r="I4035">
        <v>0</v>
      </c>
      <c r="J4035">
        <v>0.65420330390837611</v>
      </c>
      <c r="K4035">
        <v>0</v>
      </c>
      <c r="L4035">
        <v>0</v>
      </c>
      <c r="M4035">
        <v>0.47273596674477097</v>
      </c>
      <c r="N4035">
        <v>0</v>
      </c>
      <c r="O4035">
        <v>0</v>
      </c>
      <c r="P4035">
        <v>0.52570943249236046</v>
      </c>
      <c r="Q4035">
        <v>1.0225562299171069</v>
      </c>
      <c r="R4035">
        <v>5.3941092308715461</v>
      </c>
      <c r="S4035">
        <v>0.23125084704546489</v>
      </c>
      <c r="T4035">
        <v>0.17920540400776461</v>
      </c>
      <c r="U4035">
        <v>4.2436712643831056</v>
      </c>
      <c r="V4035">
        <v>0.23810297856178911</v>
      </c>
      <c r="W4035">
        <v>9.7335017199866982</v>
      </c>
      <c r="X4035">
        <v>0.33579880213026991</v>
      </c>
      <c r="Z4035" t="s">
        <v>392</v>
      </c>
      <c r="AA4035">
        <v>114</v>
      </c>
      <c r="AB4035" t="s">
        <v>4426</v>
      </c>
      <c r="AC4035" t="str">
        <f>HYPERLINK("plots/3FT6Y578R04_015_S21P_20251218081014_M5358ACSC201811_RBGEUFRF04/dpll_52094/txpa_55236.png","plot")</f>
        <v>plot</v>
      </c>
    </row>
    <row r="4036" spans="1:29" hidden="1" x14ac:dyDescent="0.35">
      <c r="A4036" t="s">
        <v>49</v>
      </c>
      <c r="B4036">
        <v>52094</v>
      </c>
      <c r="C4036" t="s">
        <v>53</v>
      </c>
      <c r="D4036">
        <v>55237</v>
      </c>
      <c r="E4036" t="s">
        <v>370</v>
      </c>
      <c r="F4036">
        <v>12028</v>
      </c>
      <c r="G4036">
        <v>0.71485679949604508</v>
      </c>
      <c r="H4036">
        <v>0</v>
      </c>
      <c r="I4036">
        <v>0</v>
      </c>
      <c r="J4036">
        <v>0.64320667672733434</v>
      </c>
      <c r="K4036">
        <v>0</v>
      </c>
      <c r="L4036">
        <v>0</v>
      </c>
      <c r="M4036">
        <v>0.46250925647425079</v>
      </c>
      <c r="N4036">
        <v>0</v>
      </c>
      <c r="O4036">
        <v>0</v>
      </c>
      <c r="P4036">
        <v>0.51102024378572874</v>
      </c>
      <c r="Q4036">
        <v>0.99358425462218791</v>
      </c>
      <c r="R4036">
        <v>5.5335907077147839</v>
      </c>
      <c r="S4036">
        <v>0.2314077299679283</v>
      </c>
      <c r="T4036">
        <v>0.17814645615594951</v>
      </c>
      <c r="U4036">
        <v>4.2436712643831056</v>
      </c>
      <c r="V4036">
        <v>0.23810297856178911</v>
      </c>
      <c r="W4036">
        <v>9.7500356577984704</v>
      </c>
      <c r="X4036">
        <v>0.330940925013817</v>
      </c>
      <c r="Z4036" t="s">
        <v>392</v>
      </c>
      <c r="AA4036">
        <v>114</v>
      </c>
      <c r="AB4036" t="s">
        <v>4427</v>
      </c>
      <c r="AC4036" t="str">
        <f>HYPERLINK("plots/3FT6Y578R04_015_S21P_20251218081014_M5358ACSC201811_RBGEUFRF04/dpll_52094/txpa_55237.png","plot")</f>
        <v>plot</v>
      </c>
    </row>
    <row r="4037" spans="1:29" hidden="1" x14ac:dyDescent="0.35">
      <c r="A4037" t="s">
        <v>49</v>
      </c>
      <c r="B4037">
        <v>52094</v>
      </c>
      <c r="C4037" t="s">
        <v>53</v>
      </c>
      <c r="D4037">
        <v>55238</v>
      </c>
      <c r="E4037" t="s">
        <v>371</v>
      </c>
      <c r="F4037">
        <v>12027</v>
      </c>
      <c r="G4037">
        <v>0.73017629875052859</v>
      </c>
      <c r="H4037">
        <v>0</v>
      </c>
      <c r="I4037">
        <v>0</v>
      </c>
      <c r="J4037">
        <v>0.65491648914133305</v>
      </c>
      <c r="K4037">
        <v>0</v>
      </c>
      <c r="L4037">
        <v>0</v>
      </c>
      <c r="M4037">
        <v>0.47325894836070992</v>
      </c>
      <c r="N4037">
        <v>0</v>
      </c>
      <c r="O4037">
        <v>0</v>
      </c>
      <c r="P4037">
        <v>0.5331574272570212</v>
      </c>
      <c r="Q4037">
        <v>1.0225180400797069</v>
      </c>
      <c r="R4037">
        <v>5.4080758004925524</v>
      </c>
      <c r="S4037">
        <v>0.22781943619367531</v>
      </c>
      <c r="T4037">
        <v>0.17705148269031609</v>
      </c>
      <c r="U4037">
        <v>4.2436786742329762</v>
      </c>
      <c r="V4037">
        <v>0.2381114909913796</v>
      </c>
      <c r="W4037">
        <v>9.7473138011973059</v>
      </c>
      <c r="X4037">
        <v>0.33344453319779299</v>
      </c>
      <c r="Z4037" t="s">
        <v>392</v>
      </c>
      <c r="AA4037">
        <v>114</v>
      </c>
      <c r="AB4037" t="s">
        <v>4428</v>
      </c>
      <c r="AC4037" t="str">
        <f>HYPERLINK("plots/3FT6Y578R04_015_S21P_20251218081014_M5358ACSC201811_RBGEUFRF04/dpll_52094/txpa_55238.png","plot")</f>
        <v>plot</v>
      </c>
    </row>
    <row r="4038" spans="1:29" hidden="1" x14ac:dyDescent="0.35">
      <c r="A4038" t="s">
        <v>49</v>
      </c>
      <c r="B4038">
        <v>52094</v>
      </c>
      <c r="C4038" t="s">
        <v>53</v>
      </c>
      <c r="D4038">
        <v>55239</v>
      </c>
      <c r="E4038" t="s">
        <v>372</v>
      </c>
      <c r="F4038">
        <v>12027</v>
      </c>
      <c r="G4038">
        <v>0.73053655147216356</v>
      </c>
      <c r="H4038">
        <v>0</v>
      </c>
      <c r="I4038">
        <v>0</v>
      </c>
      <c r="J4038">
        <v>0.64853053286515716</v>
      </c>
      <c r="K4038">
        <v>0</v>
      </c>
      <c r="L4038">
        <v>0</v>
      </c>
      <c r="M4038">
        <v>0.46594362724564747</v>
      </c>
      <c r="N4038">
        <v>0</v>
      </c>
      <c r="O4038">
        <v>0</v>
      </c>
      <c r="P4038">
        <v>0.53368365303684107</v>
      </c>
      <c r="Q4038">
        <v>1.018235562486479</v>
      </c>
      <c r="R4038">
        <v>5.4107272116063196</v>
      </c>
      <c r="S4038">
        <v>0.22660610723883029</v>
      </c>
      <c r="T4038">
        <v>0.17691125795351459</v>
      </c>
      <c r="U4038">
        <v>4.2436418554918101</v>
      </c>
      <c r="V4038">
        <v>0.23809103076034549</v>
      </c>
      <c r="W4038">
        <v>9.7317542633241878</v>
      </c>
      <c r="X4038">
        <v>0.33185574923075389</v>
      </c>
      <c r="Z4038" t="s">
        <v>392</v>
      </c>
      <c r="AA4038">
        <v>114</v>
      </c>
      <c r="AB4038" t="s">
        <v>4429</v>
      </c>
      <c r="AC4038" t="str">
        <f>HYPERLINK("plots/3FT6Y578R04_015_S21P_20251218081014_M5358ACSC201811_RBGEUFRF04/dpll_52094/txpa_55239.png","plot")</f>
        <v>plot</v>
      </c>
    </row>
    <row r="4039" spans="1:29" hidden="1" x14ac:dyDescent="0.35">
      <c r="A4039" t="s">
        <v>49</v>
      </c>
      <c r="B4039">
        <v>52094</v>
      </c>
      <c r="C4039" t="s">
        <v>53</v>
      </c>
      <c r="D4039">
        <v>55240</v>
      </c>
      <c r="E4039" t="s">
        <v>373</v>
      </c>
      <c r="F4039">
        <v>12028</v>
      </c>
      <c r="G4039">
        <v>0.73364498413094181</v>
      </c>
      <c r="H4039">
        <v>0</v>
      </c>
      <c r="I4039">
        <v>0</v>
      </c>
      <c r="J4039">
        <v>0.66121791118177364</v>
      </c>
      <c r="K4039">
        <v>0</v>
      </c>
      <c r="L4039">
        <v>0</v>
      </c>
      <c r="M4039">
        <v>0.47845800080742701</v>
      </c>
      <c r="N4039">
        <v>0</v>
      </c>
      <c r="O4039">
        <v>0</v>
      </c>
      <c r="P4039">
        <v>0.53823496274048988</v>
      </c>
      <c r="Q4039">
        <v>1.033115943057664</v>
      </c>
      <c r="R4039">
        <v>5.3615703326165933</v>
      </c>
      <c r="S4039">
        <v>0.22783498288444551</v>
      </c>
      <c r="T4039">
        <v>0.17713084916079261</v>
      </c>
      <c r="U4039">
        <v>4.2436712643831056</v>
      </c>
      <c r="V4039">
        <v>0.23810297856178911</v>
      </c>
      <c r="W4039">
        <v>9.7457747729464579</v>
      </c>
      <c r="X4039">
        <v>0.33529566556376439</v>
      </c>
      <c r="Z4039" t="s">
        <v>392</v>
      </c>
      <c r="AA4039">
        <v>114</v>
      </c>
      <c r="AB4039" t="s">
        <v>4430</v>
      </c>
      <c r="AC4039" t="str">
        <f>HYPERLINK("plots/3FT6Y578R04_015_S21P_20251218081014_M5358ACSC201811_RBGEUFRF04/dpll_52094/txpa_55240.png","plot")</f>
        <v>plot</v>
      </c>
    </row>
    <row r="4040" spans="1:29" hidden="1" x14ac:dyDescent="0.35">
      <c r="A4040" t="s">
        <v>49</v>
      </c>
      <c r="B4040">
        <v>52094</v>
      </c>
      <c r="C4040" t="s">
        <v>53</v>
      </c>
      <c r="D4040">
        <v>55241</v>
      </c>
      <c r="E4040" t="s">
        <v>374</v>
      </c>
      <c r="F4040">
        <v>12028</v>
      </c>
      <c r="G4040">
        <v>0.73335648695398947</v>
      </c>
      <c r="H4040">
        <v>0</v>
      </c>
      <c r="I4040">
        <v>0</v>
      </c>
      <c r="J4040">
        <v>0.65405502977397156</v>
      </c>
      <c r="K4040">
        <v>0</v>
      </c>
      <c r="L4040">
        <v>0</v>
      </c>
      <c r="M4040">
        <v>0.47137308666606031</v>
      </c>
      <c r="N4040">
        <v>0</v>
      </c>
      <c r="O4040">
        <v>0</v>
      </c>
      <c r="P4040">
        <v>0.53781173695749696</v>
      </c>
      <c r="Q4040">
        <v>1.0175319125308639</v>
      </c>
      <c r="R4040">
        <v>5.435824770630318</v>
      </c>
      <c r="S4040">
        <v>0.22458933603015629</v>
      </c>
      <c r="T4040">
        <v>0.175604611405175</v>
      </c>
      <c r="U4040">
        <v>4.2436712643831056</v>
      </c>
      <c r="V4040">
        <v>0.23810297856178911</v>
      </c>
      <c r="W4040">
        <v>9.7538957084303277</v>
      </c>
      <c r="X4040">
        <v>0.33036781356032752</v>
      </c>
      <c r="Z4040" t="s">
        <v>392</v>
      </c>
      <c r="AA4040">
        <v>114</v>
      </c>
      <c r="AB4040" t="s">
        <v>4431</v>
      </c>
      <c r="AC4040" t="str">
        <f>HYPERLINK("plots/3FT6Y578R04_015_S21P_20251218081014_M5358ACSC201811_RBGEUFRF04/dpll_52094/txpa_55241.png","plot")</f>
        <v>plot</v>
      </c>
    </row>
    <row r="4041" spans="1:29" hidden="1" x14ac:dyDescent="0.35">
      <c r="A4041" t="s">
        <v>49</v>
      </c>
      <c r="B4041">
        <v>52094</v>
      </c>
      <c r="C4041" t="s">
        <v>53</v>
      </c>
      <c r="D4041">
        <v>55242</v>
      </c>
      <c r="E4041" t="s">
        <v>375</v>
      </c>
      <c r="F4041">
        <v>12027</v>
      </c>
      <c r="G4041">
        <v>0.72569824454067611</v>
      </c>
      <c r="H4041">
        <v>0</v>
      </c>
      <c r="I4041">
        <v>0</v>
      </c>
      <c r="J4041">
        <v>0.64742035023720867</v>
      </c>
      <c r="K4041">
        <v>0</v>
      </c>
      <c r="L4041">
        <v>0</v>
      </c>
      <c r="M4041">
        <v>0.46691345617861041</v>
      </c>
      <c r="N4041">
        <v>0</v>
      </c>
      <c r="O4041">
        <v>0</v>
      </c>
      <c r="P4041">
        <v>0.52663794212941895</v>
      </c>
      <c r="Q4041">
        <v>1.016098825519796</v>
      </c>
      <c r="R4041">
        <v>5.4101039086226512</v>
      </c>
      <c r="S4041">
        <v>0.2293586658930806</v>
      </c>
      <c r="T4041">
        <v>0.1778032565233009</v>
      </c>
      <c r="U4041">
        <v>4.2436951445081901</v>
      </c>
      <c r="V4041">
        <v>0.2380984732054881</v>
      </c>
      <c r="W4041">
        <v>9.7221175608214843</v>
      </c>
      <c r="X4041">
        <v>0.3333776549718423</v>
      </c>
      <c r="Z4041" t="s">
        <v>392</v>
      </c>
      <c r="AA4041">
        <v>114</v>
      </c>
      <c r="AB4041" t="s">
        <v>4432</v>
      </c>
      <c r="AC4041" t="str">
        <f>HYPERLINK("plots/3FT6Y578R04_015_S21P_20251218081014_M5358ACSC201811_RBGEUFRF04/dpll_52094/txpa_55242.png","plot")</f>
        <v>plot</v>
      </c>
    </row>
    <row r="4042" spans="1:29" hidden="1" x14ac:dyDescent="0.35">
      <c r="A4042" t="s">
        <v>49</v>
      </c>
      <c r="B4042">
        <v>52094</v>
      </c>
      <c r="C4042" t="s">
        <v>53</v>
      </c>
      <c r="D4042">
        <v>55243</v>
      </c>
      <c r="E4042" t="s">
        <v>376</v>
      </c>
      <c r="F4042">
        <v>12028</v>
      </c>
      <c r="G4042">
        <v>0.71793993984387061</v>
      </c>
      <c r="H4042">
        <v>0</v>
      </c>
      <c r="I4042">
        <v>0</v>
      </c>
      <c r="J4042">
        <v>0.65041511872849633</v>
      </c>
      <c r="K4042">
        <v>0</v>
      </c>
      <c r="L4042">
        <v>0</v>
      </c>
      <c r="M4042">
        <v>0.46758634544803829</v>
      </c>
      <c r="N4042">
        <v>0</v>
      </c>
      <c r="O4042">
        <v>0</v>
      </c>
      <c r="P4042">
        <v>0.51543775722302054</v>
      </c>
      <c r="Q4042">
        <v>1.050413945017646</v>
      </c>
      <c r="R4042">
        <v>6.8897969201512197</v>
      </c>
      <c r="S4042">
        <v>0.2424900504129559</v>
      </c>
      <c r="T4042">
        <v>0.18390523545289739</v>
      </c>
      <c r="U4042">
        <v>4.2436712643831056</v>
      </c>
      <c r="V4042">
        <v>0.23810297856178911</v>
      </c>
      <c r="W4042">
        <v>11.3474083943299</v>
      </c>
      <c r="X4042">
        <v>0.34836714765573717</v>
      </c>
      <c r="Z4042" t="s">
        <v>392</v>
      </c>
      <c r="AA4042">
        <v>114</v>
      </c>
      <c r="AB4042" t="s">
        <v>4433</v>
      </c>
      <c r="AC4042" t="str">
        <f>HYPERLINK("plots/3FT6Y578R04_015_S21P_20251218081014_M5358ACSC201811_RBGEUFRF04/dpll_52094/txpa_55243.png","plot")</f>
        <v>plot</v>
      </c>
    </row>
    <row r="4043" spans="1:29" hidden="1" x14ac:dyDescent="0.35">
      <c r="A4043" t="s">
        <v>49</v>
      </c>
      <c r="B4043">
        <v>52094</v>
      </c>
      <c r="C4043" t="s">
        <v>53</v>
      </c>
      <c r="D4043">
        <v>55244</v>
      </c>
      <c r="E4043" t="s">
        <v>377</v>
      </c>
      <c r="F4043">
        <v>12028</v>
      </c>
      <c r="G4043">
        <v>0.73703356165261869</v>
      </c>
      <c r="H4043">
        <v>0</v>
      </c>
      <c r="I4043">
        <v>0</v>
      </c>
      <c r="J4043">
        <v>0.66271977711472152</v>
      </c>
      <c r="K4043">
        <v>0</v>
      </c>
      <c r="L4043">
        <v>0</v>
      </c>
      <c r="M4043">
        <v>0.480335169479988</v>
      </c>
      <c r="N4043">
        <v>0</v>
      </c>
      <c r="O4043">
        <v>0</v>
      </c>
      <c r="P4043">
        <v>0.54321847100234444</v>
      </c>
      <c r="Q4043">
        <v>1.079094728969503</v>
      </c>
      <c r="R4043">
        <v>6.7922975071747267</v>
      </c>
      <c r="S4043">
        <v>0.2355989484602726</v>
      </c>
      <c r="T4043">
        <v>0.18163047431542689</v>
      </c>
      <c r="U4043">
        <v>4.2436712643831056</v>
      </c>
      <c r="V4043">
        <v>0.23810297856178911</v>
      </c>
      <c r="W4043">
        <v>11.371620800049881</v>
      </c>
      <c r="X4043">
        <v>0.34860782803682561</v>
      </c>
      <c r="Z4043" t="s">
        <v>392</v>
      </c>
      <c r="AA4043">
        <v>114</v>
      </c>
      <c r="AB4043" t="s">
        <v>4434</v>
      </c>
      <c r="AC4043" t="str">
        <f>HYPERLINK("plots/3FT6Y578R04_015_S21P_20251218081014_M5358ACSC201811_RBGEUFRF04/dpll_52094/txpa_55244.png","plot")</f>
        <v>plot</v>
      </c>
    </row>
    <row r="4044" spans="1:29" hidden="1" x14ac:dyDescent="0.35">
      <c r="A4044" t="s">
        <v>49</v>
      </c>
      <c r="B4044">
        <v>52094</v>
      </c>
      <c r="C4044" t="s">
        <v>53</v>
      </c>
      <c r="D4044">
        <v>55245</v>
      </c>
      <c r="E4044" t="s">
        <v>378</v>
      </c>
      <c r="F4044">
        <v>12028</v>
      </c>
      <c r="G4044">
        <v>0.72755445732801682</v>
      </c>
      <c r="H4044">
        <v>0</v>
      </c>
      <c r="I4044">
        <v>0</v>
      </c>
      <c r="J4044">
        <v>0.65220383843929541</v>
      </c>
      <c r="K4044">
        <v>0</v>
      </c>
      <c r="L4044">
        <v>0</v>
      </c>
      <c r="M4044">
        <v>0.47045256899443311</v>
      </c>
      <c r="N4044">
        <v>0</v>
      </c>
      <c r="O4044">
        <v>0</v>
      </c>
      <c r="P4044">
        <v>0.52933548837786504</v>
      </c>
      <c r="Q4044">
        <v>1.0500543398479181</v>
      </c>
      <c r="R4044">
        <v>6.9319083671744206</v>
      </c>
      <c r="S4044">
        <v>0.23574840832160371</v>
      </c>
      <c r="T4044">
        <v>0.18046189859444919</v>
      </c>
      <c r="U4044">
        <v>4.2436712643831056</v>
      </c>
      <c r="V4044">
        <v>0.23810297856178911</v>
      </c>
      <c r="W4044">
        <v>11.3879937952278</v>
      </c>
      <c r="X4044">
        <v>0.34364584458425029</v>
      </c>
      <c r="Z4044" t="s">
        <v>392</v>
      </c>
      <c r="AA4044">
        <v>114</v>
      </c>
      <c r="AB4044" t="s">
        <v>4435</v>
      </c>
      <c r="AC4044" t="str">
        <f>HYPERLINK("plots/3FT6Y578R04_015_S21P_20251218081014_M5358ACSC201811_RBGEUFRF04/dpll_52094/txpa_55245.png","plot")</f>
        <v>plot</v>
      </c>
    </row>
    <row r="4045" spans="1:29" hidden="1" x14ac:dyDescent="0.35">
      <c r="A4045" t="s">
        <v>49</v>
      </c>
      <c r="B4045">
        <v>52094</v>
      </c>
      <c r="C4045" t="s">
        <v>53</v>
      </c>
      <c r="D4045">
        <v>55246</v>
      </c>
      <c r="E4045" t="s">
        <v>379</v>
      </c>
      <c r="F4045">
        <v>12027</v>
      </c>
      <c r="G4045">
        <v>0.74205075973897294</v>
      </c>
      <c r="H4045">
        <v>0</v>
      </c>
      <c r="I4045">
        <v>0</v>
      </c>
      <c r="J4045">
        <v>0.66323678530960295</v>
      </c>
      <c r="K4045">
        <v>0</v>
      </c>
      <c r="L4045">
        <v>0</v>
      </c>
      <c r="M4045">
        <v>0.48063767409847741</v>
      </c>
      <c r="N4045">
        <v>0</v>
      </c>
      <c r="O4045">
        <v>0</v>
      </c>
      <c r="P4045">
        <v>0.55063933002918697</v>
      </c>
      <c r="Q4045">
        <v>1.078042850968425</v>
      </c>
      <c r="R4045">
        <v>6.8096928996345296</v>
      </c>
      <c r="S4045">
        <v>0.231879437280476</v>
      </c>
      <c r="T4045">
        <v>0.1793760777771887</v>
      </c>
      <c r="U4045">
        <v>4.2436786742329762</v>
      </c>
      <c r="V4045">
        <v>0.2381114909913796</v>
      </c>
      <c r="W4045">
        <v>11.38456035619855</v>
      </c>
      <c r="X4045">
        <v>0.34592564892324251</v>
      </c>
      <c r="Z4045" t="s">
        <v>392</v>
      </c>
      <c r="AA4045">
        <v>114</v>
      </c>
      <c r="AB4045" t="s">
        <v>4436</v>
      </c>
      <c r="AC4045" t="str">
        <f>HYPERLINK("plots/3FT6Y578R04_015_S21P_20251218081014_M5358ACSC201811_RBGEUFRF04/dpll_52094/txpa_55246.png","plot")</f>
        <v>plot</v>
      </c>
    </row>
    <row r="4046" spans="1:29" hidden="1" x14ac:dyDescent="0.35">
      <c r="A4046" t="s">
        <v>49</v>
      </c>
      <c r="B4046">
        <v>52094</v>
      </c>
      <c r="C4046" t="s">
        <v>53</v>
      </c>
      <c r="D4046">
        <v>55247</v>
      </c>
      <c r="E4046" t="s">
        <v>380</v>
      </c>
      <c r="F4046">
        <v>12027</v>
      </c>
      <c r="G4046">
        <v>0.74231525495782713</v>
      </c>
      <c r="H4046">
        <v>0</v>
      </c>
      <c r="I4046">
        <v>0</v>
      </c>
      <c r="J4046">
        <v>0.65652254760052697</v>
      </c>
      <c r="K4046">
        <v>0</v>
      </c>
      <c r="L4046">
        <v>0</v>
      </c>
      <c r="M4046">
        <v>0.47296083788984639</v>
      </c>
      <c r="N4046">
        <v>0</v>
      </c>
      <c r="O4046">
        <v>0</v>
      </c>
      <c r="P4046">
        <v>0.55103193774310388</v>
      </c>
      <c r="Q4046">
        <v>1.0746417012703759</v>
      </c>
      <c r="R4046">
        <v>6.8077519023363866</v>
      </c>
      <c r="S4046">
        <v>0.23094470384896459</v>
      </c>
      <c r="T4046">
        <v>0.17942404126386721</v>
      </c>
      <c r="U4046">
        <v>4.2436418554918101</v>
      </c>
      <c r="V4046">
        <v>0.23809103076034549</v>
      </c>
      <c r="W4046">
        <v>11.36814640550428</v>
      </c>
      <c r="X4046">
        <v>0.3446817893673107</v>
      </c>
      <c r="Z4046" t="s">
        <v>392</v>
      </c>
      <c r="AA4046">
        <v>114</v>
      </c>
      <c r="AB4046" t="s">
        <v>4437</v>
      </c>
      <c r="AC4046" t="str">
        <f>HYPERLINK("plots/3FT6Y578R04_015_S21P_20251218081014_M5358ACSC201811_RBGEUFRF04/dpll_52094/txpa_55247.png","plot")</f>
        <v>plot</v>
      </c>
    </row>
    <row r="4047" spans="1:29" hidden="1" x14ac:dyDescent="0.35">
      <c r="A4047" t="s">
        <v>49</v>
      </c>
      <c r="B4047">
        <v>52094</v>
      </c>
      <c r="C4047" t="s">
        <v>53</v>
      </c>
      <c r="D4047">
        <v>55248</v>
      </c>
      <c r="E4047" t="s">
        <v>381</v>
      </c>
      <c r="F4047">
        <v>12027</v>
      </c>
      <c r="G4047">
        <v>0.74701104604830304</v>
      </c>
      <c r="H4047">
        <v>0</v>
      </c>
      <c r="I4047">
        <v>0</v>
      </c>
      <c r="J4047">
        <v>0.66912806322636953</v>
      </c>
      <c r="K4047">
        <v>0</v>
      </c>
      <c r="L4047">
        <v>0</v>
      </c>
      <c r="M4047">
        <v>0.48559543946709371</v>
      </c>
      <c r="N4047">
        <v>0</v>
      </c>
      <c r="O4047">
        <v>0</v>
      </c>
      <c r="P4047">
        <v>0.55802550291817987</v>
      </c>
      <c r="Q4047">
        <v>1.0905229788456521</v>
      </c>
      <c r="R4047">
        <v>6.7561014739796912</v>
      </c>
      <c r="S4047">
        <v>0.23105723714136869</v>
      </c>
      <c r="T4047">
        <v>0.17935546655846649</v>
      </c>
      <c r="U4047">
        <v>4.2436377816579363</v>
      </c>
      <c r="V4047">
        <v>0.2380845584627882</v>
      </c>
      <c r="W4047">
        <v>11.38388598877526</v>
      </c>
      <c r="X4047">
        <v>0.34756739312687901</v>
      </c>
      <c r="Z4047" t="s">
        <v>392</v>
      </c>
      <c r="AA4047">
        <v>114</v>
      </c>
      <c r="AB4047" t="s">
        <v>4438</v>
      </c>
      <c r="AC4047" t="str">
        <f>HYPERLINK("plots/3FT6Y578R04_015_S21P_20251218081014_M5358ACSC201811_RBGEUFRF04/dpll_52094/txpa_55248.png","plot")</f>
        <v>plot</v>
      </c>
    </row>
    <row r="4048" spans="1:29" hidden="1" x14ac:dyDescent="0.35">
      <c r="A4048" t="s">
        <v>49</v>
      </c>
      <c r="B4048">
        <v>52094</v>
      </c>
      <c r="C4048" t="s">
        <v>53</v>
      </c>
      <c r="D4048">
        <v>55249</v>
      </c>
      <c r="E4048" t="s">
        <v>382</v>
      </c>
      <c r="F4048">
        <v>12028</v>
      </c>
      <c r="G4048">
        <v>0.74521552031535665</v>
      </c>
      <c r="H4048">
        <v>0</v>
      </c>
      <c r="I4048">
        <v>0</v>
      </c>
      <c r="J4048">
        <v>0.66205706174445311</v>
      </c>
      <c r="K4048">
        <v>0</v>
      </c>
      <c r="L4048">
        <v>0</v>
      </c>
      <c r="M4048">
        <v>0.47845120384468892</v>
      </c>
      <c r="N4048">
        <v>0</v>
      </c>
      <c r="O4048">
        <v>0</v>
      </c>
      <c r="P4048">
        <v>0.55534617171888778</v>
      </c>
      <c r="Q4048">
        <v>1.0734237314041819</v>
      </c>
      <c r="R4048">
        <v>6.8371526109063154</v>
      </c>
      <c r="S4048">
        <v>0.228689957204502</v>
      </c>
      <c r="T4048">
        <v>0.17780678707318751</v>
      </c>
      <c r="U4048">
        <v>4.2436712643831056</v>
      </c>
      <c r="V4048">
        <v>0.23810297856178911</v>
      </c>
      <c r="W4048">
        <v>11.39241005437313</v>
      </c>
      <c r="X4048">
        <v>0.34296841750972668</v>
      </c>
      <c r="Z4048" t="s">
        <v>392</v>
      </c>
      <c r="AA4048">
        <v>114</v>
      </c>
      <c r="AB4048" t="s">
        <v>4439</v>
      </c>
      <c r="AC4048" t="str">
        <f>HYPERLINK("plots/3FT6Y578R04_015_S21P_20251218081014_M5358ACSC201811_RBGEUFRF04/dpll_52094/txpa_55249.png","plot")</f>
        <v>plot</v>
      </c>
    </row>
    <row r="4049" spans="1:29" hidden="1" x14ac:dyDescent="0.35">
      <c r="A4049" t="s">
        <v>49</v>
      </c>
      <c r="B4049">
        <v>52094</v>
      </c>
      <c r="C4049" t="s">
        <v>53</v>
      </c>
      <c r="D4049">
        <v>55250</v>
      </c>
      <c r="E4049" t="s">
        <v>383</v>
      </c>
      <c r="F4049">
        <v>12027</v>
      </c>
      <c r="G4049">
        <v>0.73741467623783863</v>
      </c>
      <c r="H4049">
        <v>0</v>
      </c>
      <c r="I4049">
        <v>0</v>
      </c>
      <c r="J4049">
        <v>0.65511483882715271</v>
      </c>
      <c r="K4049">
        <v>0</v>
      </c>
      <c r="L4049">
        <v>0</v>
      </c>
      <c r="M4049">
        <v>0.47374402373842228</v>
      </c>
      <c r="N4049">
        <v>0</v>
      </c>
      <c r="O4049">
        <v>0</v>
      </c>
      <c r="P4049">
        <v>0.54378040473095635</v>
      </c>
      <c r="Q4049">
        <v>1.07125124013728</v>
      </c>
      <c r="R4049">
        <v>6.8166354317487272</v>
      </c>
      <c r="S4049">
        <v>0.23361734453969779</v>
      </c>
      <c r="T4049">
        <v>0.18014639395451279</v>
      </c>
      <c r="U4049">
        <v>4.2436951445081901</v>
      </c>
      <c r="V4049">
        <v>0.2380984732054881</v>
      </c>
      <c r="W4049">
        <v>11.362699118067679</v>
      </c>
      <c r="X4049">
        <v>0.34588853858653978</v>
      </c>
      <c r="Z4049" t="s">
        <v>392</v>
      </c>
      <c r="AA4049">
        <v>114</v>
      </c>
      <c r="AB4049" t="s">
        <v>4440</v>
      </c>
      <c r="AC4049" t="str">
        <f>HYPERLINK("plots/3FT6Y578R04_015_S21P_20251218081014_M5358ACSC201811_RBGEUFRF04/dpll_52094/txpa_55250.png","plot")</f>
        <v>plot</v>
      </c>
    </row>
    <row r="4050" spans="1:29" hidden="1" x14ac:dyDescent="0.35">
      <c r="A4050" t="s">
        <v>49</v>
      </c>
      <c r="B4050">
        <v>52094</v>
      </c>
      <c r="C4050" t="s">
        <v>53</v>
      </c>
      <c r="D4050">
        <v>55251</v>
      </c>
      <c r="E4050" t="s">
        <v>384</v>
      </c>
      <c r="F4050">
        <v>12028</v>
      </c>
      <c r="G4050">
        <v>0.72084002008400316</v>
      </c>
      <c r="H4050">
        <v>0</v>
      </c>
      <c r="I4050">
        <v>0</v>
      </c>
      <c r="J4050">
        <v>0.6520124624212339</v>
      </c>
      <c r="K4050">
        <v>0</v>
      </c>
      <c r="L4050">
        <v>0</v>
      </c>
      <c r="M4050">
        <v>0.46909219456746809</v>
      </c>
      <c r="N4050">
        <v>0</v>
      </c>
      <c r="O4050">
        <v>0</v>
      </c>
      <c r="P4050">
        <v>0.51961033455470607</v>
      </c>
      <c r="Q4050">
        <v>1.0640097652420739</v>
      </c>
      <c r="R4050">
        <v>7.4120482628856408</v>
      </c>
      <c r="S4050">
        <v>0.24358487933895179</v>
      </c>
      <c r="T4050">
        <v>0.1843843166822742</v>
      </c>
      <c r="U4050">
        <v>4.2436712643831056</v>
      </c>
      <c r="V4050">
        <v>0.23810297856178911</v>
      </c>
      <c r="W4050">
        <v>11.92735592866644</v>
      </c>
      <c r="X4050">
        <v>0.3514564775322051</v>
      </c>
      <c r="Z4050" t="s">
        <v>392</v>
      </c>
      <c r="AA4050">
        <v>114</v>
      </c>
      <c r="AB4050" t="s">
        <v>4441</v>
      </c>
      <c r="AC4050" t="str">
        <f>HYPERLINK("plots/3FT6Y578R04_015_S21P_20251218081014_M5358ACSC201811_RBGEUFRF04/dpll_52094/txpa_55251.png","plot")</f>
        <v>plot</v>
      </c>
    </row>
    <row r="4051" spans="1:29" hidden="1" x14ac:dyDescent="0.35">
      <c r="A4051" t="s">
        <v>49</v>
      </c>
      <c r="B4051">
        <v>52094</v>
      </c>
      <c r="C4051" t="s">
        <v>53</v>
      </c>
      <c r="D4051">
        <v>55252</v>
      </c>
      <c r="E4051" t="s">
        <v>385</v>
      </c>
      <c r="F4051">
        <v>12028</v>
      </c>
      <c r="G4051">
        <v>0.7397033135615716</v>
      </c>
      <c r="H4051">
        <v>0</v>
      </c>
      <c r="I4051">
        <v>0</v>
      </c>
      <c r="J4051">
        <v>0.66425778291864801</v>
      </c>
      <c r="K4051">
        <v>0</v>
      </c>
      <c r="L4051">
        <v>0</v>
      </c>
      <c r="M4051">
        <v>0.48184895822911722</v>
      </c>
      <c r="N4051">
        <v>0</v>
      </c>
      <c r="O4051">
        <v>0</v>
      </c>
      <c r="P4051">
        <v>0.54716099209396873</v>
      </c>
      <c r="Q4051">
        <v>1.092677761077709</v>
      </c>
      <c r="R4051">
        <v>7.3144004317395286</v>
      </c>
      <c r="S4051">
        <v>0.23667545958213221</v>
      </c>
      <c r="T4051">
        <v>0.18208822168369321</v>
      </c>
      <c r="U4051">
        <v>4.2436712643831056</v>
      </c>
      <c r="V4051">
        <v>0.23810297856178911</v>
      </c>
      <c r="W4051">
        <v>11.95136564765547</v>
      </c>
      <c r="X4051">
        <v>0.35172186571416952</v>
      </c>
      <c r="Z4051" t="s">
        <v>392</v>
      </c>
      <c r="AA4051">
        <v>114</v>
      </c>
      <c r="AB4051" t="s">
        <v>4442</v>
      </c>
      <c r="AC4051" t="str">
        <f>HYPERLINK("plots/3FT6Y578R04_015_S21P_20251218081014_M5358ACSC201811_RBGEUFRF04/dpll_52094/txpa_55252.png","plot")</f>
        <v>plot</v>
      </c>
    </row>
    <row r="4052" spans="1:29" hidden="1" x14ac:dyDescent="0.35">
      <c r="A4052" t="s">
        <v>49</v>
      </c>
      <c r="B4052">
        <v>52094</v>
      </c>
      <c r="C4052" t="s">
        <v>53</v>
      </c>
      <c r="D4052">
        <v>55253</v>
      </c>
      <c r="E4052" t="s">
        <v>386</v>
      </c>
      <c r="F4052">
        <v>12028</v>
      </c>
      <c r="G4052">
        <v>0.73028812565474766</v>
      </c>
      <c r="H4052">
        <v>0</v>
      </c>
      <c r="I4052">
        <v>0</v>
      </c>
      <c r="J4052">
        <v>0.65364057737775738</v>
      </c>
      <c r="K4052">
        <v>0</v>
      </c>
      <c r="L4052">
        <v>0</v>
      </c>
      <c r="M4052">
        <v>0.4718073053828386</v>
      </c>
      <c r="N4052">
        <v>0</v>
      </c>
      <c r="O4052">
        <v>0</v>
      </c>
      <c r="P4052">
        <v>0.53332074647232453</v>
      </c>
      <c r="Q4052">
        <v>1.0634531707815731</v>
      </c>
      <c r="R4052">
        <v>7.4549792441896834</v>
      </c>
      <c r="S4052">
        <v>0.23685368865438869</v>
      </c>
      <c r="T4052">
        <v>0.18096727784123409</v>
      </c>
      <c r="U4052">
        <v>4.2436712643831056</v>
      </c>
      <c r="V4052">
        <v>0.23810297856178911</v>
      </c>
      <c r="W4052">
        <v>11.96792490605254</v>
      </c>
      <c r="X4052">
        <v>0.34672803600229962</v>
      </c>
      <c r="Z4052" t="s">
        <v>392</v>
      </c>
      <c r="AA4052">
        <v>114</v>
      </c>
      <c r="AB4052" t="s">
        <v>4443</v>
      </c>
      <c r="AC4052" t="str">
        <f>HYPERLINK("plots/3FT6Y578R04_015_S21P_20251218081014_M5358ACSC201811_RBGEUFRF04/dpll_52094/txpa_55253.png","plot")</f>
        <v>plot</v>
      </c>
    </row>
    <row r="4053" spans="1:29" hidden="1" x14ac:dyDescent="0.35">
      <c r="A4053" t="s">
        <v>49</v>
      </c>
      <c r="B4053">
        <v>52094</v>
      </c>
      <c r="C4053" t="s">
        <v>53</v>
      </c>
      <c r="D4053">
        <v>55254</v>
      </c>
      <c r="E4053" t="s">
        <v>387</v>
      </c>
      <c r="F4053">
        <v>12027</v>
      </c>
      <c r="G4053">
        <v>0.7445931939843099</v>
      </c>
      <c r="H4053">
        <v>0</v>
      </c>
      <c r="I4053">
        <v>0</v>
      </c>
      <c r="J4053">
        <v>0.66462774005826875</v>
      </c>
      <c r="K4053">
        <v>0</v>
      </c>
      <c r="L4053">
        <v>0</v>
      </c>
      <c r="M4053">
        <v>0.48195300152744108</v>
      </c>
      <c r="N4053">
        <v>0</v>
      </c>
      <c r="O4053">
        <v>0</v>
      </c>
      <c r="P4053">
        <v>0.55441902452775615</v>
      </c>
      <c r="Q4053">
        <v>1.091545227036989</v>
      </c>
      <c r="R4053">
        <v>7.3319676945452494</v>
      </c>
      <c r="S4053">
        <v>0.2329959067574022</v>
      </c>
      <c r="T4053">
        <v>0.1799564983061685</v>
      </c>
      <c r="U4053">
        <v>4.2436786742329762</v>
      </c>
      <c r="V4053">
        <v>0.2381114909913796</v>
      </c>
      <c r="W4053">
        <v>11.964134896482911</v>
      </c>
      <c r="X4053">
        <v>0.34906236532129542</v>
      </c>
      <c r="Z4053" t="s">
        <v>392</v>
      </c>
      <c r="AA4053">
        <v>114</v>
      </c>
      <c r="AB4053" t="s">
        <v>4444</v>
      </c>
      <c r="AC4053" t="str">
        <f>HYPERLINK("plots/3FT6Y578R04_015_S21P_20251218081014_M5358ACSC201811_RBGEUFRF04/dpll_52094/txpa_55254.png","plot")</f>
        <v>plot</v>
      </c>
    </row>
    <row r="4054" spans="1:29" hidden="1" x14ac:dyDescent="0.35">
      <c r="A4054" t="s">
        <v>49</v>
      </c>
      <c r="B4054">
        <v>52094</v>
      </c>
      <c r="C4054" t="s">
        <v>53</v>
      </c>
      <c r="D4054">
        <v>55255</v>
      </c>
      <c r="E4054" t="s">
        <v>388</v>
      </c>
      <c r="F4054">
        <v>12027</v>
      </c>
      <c r="G4054">
        <v>0.74492465932555563</v>
      </c>
      <c r="H4054">
        <v>0</v>
      </c>
      <c r="I4054">
        <v>0</v>
      </c>
      <c r="J4054">
        <v>0.6579269128758467</v>
      </c>
      <c r="K4054">
        <v>0</v>
      </c>
      <c r="L4054">
        <v>0</v>
      </c>
      <c r="M4054">
        <v>0.47426408164545852</v>
      </c>
      <c r="N4054">
        <v>0</v>
      </c>
      <c r="O4054">
        <v>0</v>
      </c>
      <c r="P4054">
        <v>0.55491274807129509</v>
      </c>
      <c r="Q4054">
        <v>1.0883624300147929</v>
      </c>
      <c r="R4054">
        <v>7.3285131850636542</v>
      </c>
      <c r="S4054">
        <v>0.23206452051163409</v>
      </c>
      <c r="T4054">
        <v>0.18000300409068309</v>
      </c>
      <c r="U4054">
        <v>4.2436418554918101</v>
      </c>
      <c r="V4054">
        <v>0.23809103076034549</v>
      </c>
      <c r="W4054">
        <v>11.947133547019209</v>
      </c>
      <c r="X4054">
        <v>0.34785978630062903</v>
      </c>
      <c r="Z4054" t="s">
        <v>392</v>
      </c>
      <c r="AA4054">
        <v>114</v>
      </c>
      <c r="AB4054" t="s">
        <v>4445</v>
      </c>
      <c r="AC4054" t="str">
        <f>HYPERLINK("plots/3FT6Y578R04_015_S21P_20251218081014_M5358ACSC201811_RBGEUFRF04/dpll_52094/txpa_55255.png","plot")</f>
        <v>plot</v>
      </c>
    </row>
    <row r="4055" spans="1:29" hidden="1" x14ac:dyDescent="0.35">
      <c r="A4055" t="s">
        <v>49</v>
      </c>
      <c r="B4055">
        <v>52094</v>
      </c>
      <c r="C4055" t="s">
        <v>53</v>
      </c>
      <c r="D4055">
        <v>55256</v>
      </c>
      <c r="E4055" t="s">
        <v>389</v>
      </c>
      <c r="F4055">
        <v>12027</v>
      </c>
      <c r="G4055">
        <v>0.74952169549525616</v>
      </c>
      <c r="H4055">
        <v>0</v>
      </c>
      <c r="I4055">
        <v>0</v>
      </c>
      <c r="J4055">
        <v>0.67049819448519332</v>
      </c>
      <c r="K4055">
        <v>0</v>
      </c>
      <c r="L4055">
        <v>0</v>
      </c>
      <c r="M4055">
        <v>0.48696787923295209</v>
      </c>
      <c r="N4055">
        <v>0</v>
      </c>
      <c r="O4055">
        <v>0</v>
      </c>
      <c r="P4055">
        <v>0.56178277201808346</v>
      </c>
      <c r="Q4055">
        <v>1.104174377548214</v>
      </c>
      <c r="R4055">
        <v>7.2776939030438523</v>
      </c>
      <c r="S4055">
        <v>0.23217280790209521</v>
      </c>
      <c r="T4055">
        <v>0.17992103965097059</v>
      </c>
      <c r="U4055">
        <v>4.2436377816579363</v>
      </c>
      <c r="V4055">
        <v>0.2380845584627882</v>
      </c>
      <c r="W4055">
        <v>11.96341000914609</v>
      </c>
      <c r="X4055">
        <v>0.35073950590687669</v>
      </c>
      <c r="Z4055" t="s">
        <v>392</v>
      </c>
      <c r="AA4055">
        <v>114</v>
      </c>
      <c r="AB4055" t="s">
        <v>4446</v>
      </c>
      <c r="AC4055" t="str">
        <f>HYPERLINK("plots/3FT6Y578R04_015_S21P_20251218081014_M5358ACSC201811_RBGEUFRF04/dpll_52094/txpa_55256.png","plot")</f>
        <v>plot</v>
      </c>
    </row>
    <row r="4056" spans="1:29" hidden="1" x14ac:dyDescent="0.35">
      <c r="A4056" t="s">
        <v>49</v>
      </c>
      <c r="B4056">
        <v>52094</v>
      </c>
      <c r="C4056" t="s">
        <v>53</v>
      </c>
      <c r="D4056">
        <v>55257</v>
      </c>
      <c r="E4056" t="s">
        <v>390</v>
      </c>
      <c r="F4056">
        <v>12028</v>
      </c>
      <c r="G4056">
        <v>0.74788202373166623</v>
      </c>
      <c r="H4056">
        <v>0</v>
      </c>
      <c r="I4056">
        <v>0</v>
      </c>
      <c r="J4056">
        <v>0.66344832133060871</v>
      </c>
      <c r="K4056">
        <v>0</v>
      </c>
      <c r="L4056">
        <v>0</v>
      </c>
      <c r="M4056">
        <v>0.4797785148178409</v>
      </c>
      <c r="N4056">
        <v>0</v>
      </c>
      <c r="O4056">
        <v>0</v>
      </c>
      <c r="P4056">
        <v>0.55932752142097253</v>
      </c>
      <c r="Q4056">
        <v>1.087160497460457</v>
      </c>
      <c r="R4056">
        <v>7.3586686071246836</v>
      </c>
      <c r="S4056">
        <v>0.2297551777063723</v>
      </c>
      <c r="T4056">
        <v>0.1782998333725066</v>
      </c>
      <c r="U4056">
        <v>4.2436712643831056</v>
      </c>
      <c r="V4056">
        <v>0.23810297856178911</v>
      </c>
      <c r="W4056">
        <v>11.972220369970071</v>
      </c>
      <c r="X4056">
        <v>0.3461189658342777</v>
      </c>
      <c r="Z4056" t="s">
        <v>392</v>
      </c>
      <c r="AA4056">
        <v>114</v>
      </c>
      <c r="AB4056" t="s">
        <v>4447</v>
      </c>
      <c r="AC4056" t="str">
        <f>HYPERLINK("plots/3FT6Y578R04_015_S21P_20251218081014_M5358ACSC201811_RBGEUFRF04/dpll_52094/txpa_55257.png","plot")</f>
        <v>plot</v>
      </c>
    </row>
    <row r="4057" spans="1:29" hidden="1" x14ac:dyDescent="0.35">
      <c r="A4057" t="s">
        <v>49</v>
      </c>
      <c r="B4057">
        <v>52094</v>
      </c>
      <c r="C4057" t="s">
        <v>53</v>
      </c>
      <c r="D4057">
        <v>55258</v>
      </c>
      <c r="E4057" t="s">
        <v>391</v>
      </c>
      <c r="F4057">
        <v>12027</v>
      </c>
      <c r="G4057">
        <v>0.73986134356628352</v>
      </c>
      <c r="H4057">
        <v>0</v>
      </c>
      <c r="I4057">
        <v>0</v>
      </c>
      <c r="J4057">
        <v>0.65629990376122271</v>
      </c>
      <c r="K4057">
        <v>0</v>
      </c>
      <c r="L4057">
        <v>0</v>
      </c>
      <c r="M4057">
        <v>0.47490843961639601</v>
      </c>
      <c r="N4057">
        <v>0</v>
      </c>
      <c r="O4057">
        <v>0</v>
      </c>
      <c r="P4057">
        <v>0.54739480770370619</v>
      </c>
      <c r="Q4057">
        <v>1.084549985891748</v>
      </c>
      <c r="R4057">
        <v>7.3404255578274968</v>
      </c>
      <c r="S4057">
        <v>0.23479971042483089</v>
      </c>
      <c r="T4057">
        <v>0.18073189382033489</v>
      </c>
      <c r="U4057">
        <v>4.2436951445081901</v>
      </c>
      <c r="V4057">
        <v>0.2380984732054881</v>
      </c>
      <c r="W4057">
        <v>11.942925066932739</v>
      </c>
      <c r="X4057">
        <v>0.34902444627143109</v>
      </c>
      <c r="Z4057" t="s">
        <v>392</v>
      </c>
      <c r="AA4057">
        <v>114</v>
      </c>
      <c r="AB4057" t="s">
        <v>4448</v>
      </c>
      <c r="AC4057" t="str">
        <f>HYPERLINK("plots/3FT6Y578R04_015_S21P_20251218081014_M5358ACSC201811_RBGEUFRF04/dpll_52094/txpa_55258.png","plot")</f>
        <v>plot</v>
      </c>
    </row>
    <row r="4058" spans="1:29" x14ac:dyDescent="0.35">
      <c r="A4058" s="3" t="s">
        <v>50</v>
      </c>
      <c r="B4058">
        <v>52046</v>
      </c>
      <c r="C4058" t="s">
        <v>51</v>
      </c>
      <c r="D4058">
        <v>53179</v>
      </c>
      <c r="E4058" t="s">
        <v>54</v>
      </c>
      <c r="F4058">
        <v>11782</v>
      </c>
      <c r="G4058">
        <v>0.31992007237191977</v>
      </c>
      <c r="H4058">
        <v>1.4611704026931399E-278</v>
      </c>
      <c r="I4058">
        <v>1.5530679122964821E-278</v>
      </c>
      <c r="J4058">
        <v>0.27676181515911791</v>
      </c>
      <c r="K4058">
        <v>3.785920101223452E-206</v>
      </c>
      <c r="L4058">
        <v>4.0240282836903359E-206</v>
      </c>
      <c r="M4058">
        <v>0.18808002163832899</v>
      </c>
      <c r="N4058">
        <v>1.6785043843942691E-205</v>
      </c>
      <c r="O4058">
        <v>1.784070697878185E-205</v>
      </c>
      <c r="P4058">
        <v>0.1023488527064544</v>
      </c>
      <c r="Q4058">
        <v>1.7718863134979479</v>
      </c>
      <c r="R4058">
        <v>-29.239543022767489</v>
      </c>
      <c r="S4058">
        <v>1.056143023230937</v>
      </c>
      <c r="T4058">
        <v>0.82141835193992463</v>
      </c>
      <c r="U4058">
        <v>4.4286477380750293</v>
      </c>
      <c r="V4058">
        <v>0.20127646963296911</v>
      </c>
      <c r="W4058">
        <v>-21.3924827083687</v>
      </c>
      <c r="X4058">
        <v>1.114775384763093</v>
      </c>
      <c r="Z4058" t="s">
        <v>392</v>
      </c>
      <c r="AA4058">
        <v>161</v>
      </c>
      <c r="AB4058" t="s">
        <v>4449</v>
      </c>
      <c r="AC4058" t="str">
        <f>HYPERLINK("plots/3FT6Y578R04_015_S31P_20251219032831_M5358ACSA301811_RBGEUFRF04/dpll_52046/txpa_53179.png","plot")</f>
        <v>plot</v>
      </c>
    </row>
    <row r="4059" spans="1:29" x14ac:dyDescent="0.35">
      <c r="A4059" s="3" t="s">
        <v>50</v>
      </c>
      <c r="B4059">
        <v>52046</v>
      </c>
      <c r="C4059" t="s">
        <v>51</v>
      </c>
      <c r="D4059">
        <v>53180</v>
      </c>
      <c r="E4059" t="s">
        <v>55</v>
      </c>
      <c r="F4059">
        <v>11782</v>
      </c>
      <c r="G4059">
        <v>0.30868595644471952</v>
      </c>
      <c r="H4059">
        <v>1.679692918268154E-258</v>
      </c>
      <c r="I4059">
        <v>1.774175644920738E-258</v>
      </c>
      <c r="J4059">
        <v>0.2713011044748227</v>
      </c>
      <c r="K4059">
        <v>7.3120378572273971E-198</v>
      </c>
      <c r="L4059">
        <v>7.7475510838334175E-198</v>
      </c>
      <c r="M4059">
        <v>0.18395478595742079</v>
      </c>
      <c r="N4059">
        <v>9.6775117666741777E-197</v>
      </c>
      <c r="O4059">
        <v>1.025391528882719E-196</v>
      </c>
      <c r="P4059">
        <v>9.5287019706191245E-2</v>
      </c>
      <c r="Q4059">
        <v>1.6622796921289751</v>
      </c>
      <c r="R4059">
        <v>-28.663131294504051</v>
      </c>
      <c r="S4059">
        <v>1.0309015987934309</v>
      </c>
      <c r="T4059">
        <v>0.79731807700207091</v>
      </c>
      <c r="U4059">
        <v>4.4286477380750293</v>
      </c>
      <c r="V4059">
        <v>0.20127646963296911</v>
      </c>
      <c r="W4059">
        <v>-21.30148009590901</v>
      </c>
      <c r="X4059">
        <v>1.083877581694314</v>
      </c>
      <c r="Z4059" t="s">
        <v>392</v>
      </c>
      <c r="AA4059">
        <v>161</v>
      </c>
      <c r="AB4059" t="s">
        <v>4450</v>
      </c>
      <c r="AC4059" t="str">
        <f>HYPERLINK("plots/3FT6Y578R04_015_S31P_20251219032831_M5358ACSA301811_RBGEUFRF04/dpll_52046/txpa_53180.png","plot")</f>
        <v>plot</v>
      </c>
    </row>
    <row r="4060" spans="1:29" x14ac:dyDescent="0.35">
      <c r="A4060" s="3" t="s">
        <v>50</v>
      </c>
      <c r="B4060">
        <v>52046</v>
      </c>
      <c r="C4060" t="s">
        <v>51</v>
      </c>
      <c r="D4060">
        <v>53181</v>
      </c>
      <c r="E4060" t="s">
        <v>56</v>
      </c>
      <c r="F4060">
        <v>11782</v>
      </c>
      <c r="G4060">
        <v>0.32026223272980792</v>
      </c>
      <c r="H4060">
        <v>3.4670404729084321E-279</v>
      </c>
      <c r="I4060">
        <v>3.6889601673967993E-279</v>
      </c>
      <c r="J4060">
        <v>0.28644657029166393</v>
      </c>
      <c r="K4060">
        <v>2.5609661525244379E-221</v>
      </c>
      <c r="L4060">
        <v>2.7508683036650222E-221</v>
      </c>
      <c r="M4060">
        <v>0.19393496325722229</v>
      </c>
      <c r="N4060">
        <v>1.8321992788475079E-218</v>
      </c>
      <c r="O4060">
        <v>1.96806151350781E-218</v>
      </c>
      <c r="P4060">
        <v>0.1025678977130816</v>
      </c>
      <c r="Q4060">
        <v>1.7190174269167731</v>
      </c>
      <c r="R4060">
        <v>-28.861524939545351</v>
      </c>
      <c r="S4060">
        <v>1.0234106402331571</v>
      </c>
      <c r="T4060">
        <v>0.79159343860422837</v>
      </c>
      <c r="U4060">
        <v>4.4286477380750293</v>
      </c>
      <c r="V4060">
        <v>0.20127646963296911</v>
      </c>
      <c r="W4060">
        <v>-21.248602300118829</v>
      </c>
      <c r="X4060">
        <v>1.080357668084025</v>
      </c>
      <c r="Z4060" t="s">
        <v>392</v>
      </c>
      <c r="AA4060">
        <v>161</v>
      </c>
      <c r="AB4060" t="s">
        <v>4451</v>
      </c>
      <c r="AC4060" t="str">
        <f>HYPERLINK("plots/3FT6Y578R04_015_S31P_20251219032831_M5358ACSA301811_RBGEUFRF04/dpll_52046/txpa_53181.png","plot")</f>
        <v>plot</v>
      </c>
    </row>
    <row r="4061" spans="1:29" x14ac:dyDescent="0.35">
      <c r="A4061" s="3" t="s">
        <v>50</v>
      </c>
      <c r="B4061">
        <v>52046</v>
      </c>
      <c r="C4061" t="s">
        <v>51</v>
      </c>
      <c r="D4061">
        <v>53182</v>
      </c>
      <c r="E4061" t="s">
        <v>57</v>
      </c>
      <c r="F4061">
        <v>11782</v>
      </c>
      <c r="G4061">
        <v>0.32243083274590401</v>
      </c>
      <c r="H4061">
        <v>3.6415625862477022E-283</v>
      </c>
      <c r="I4061">
        <v>3.8950890954168462E-283</v>
      </c>
      <c r="J4061">
        <v>0.28394782484555348</v>
      </c>
      <c r="K4061">
        <v>2.403481488097511E-217</v>
      </c>
      <c r="L4061">
        <v>2.573527168881601E-217</v>
      </c>
      <c r="M4061">
        <v>0.1924325853513825</v>
      </c>
      <c r="N4061">
        <v>3.73169627529908E-215</v>
      </c>
      <c r="O4061">
        <v>3.9957128016401972E-215</v>
      </c>
      <c r="P4061">
        <v>0.1039616419052171</v>
      </c>
      <c r="Q4061">
        <v>1.7194923818816601</v>
      </c>
      <c r="R4061">
        <v>-28.750535293965392</v>
      </c>
      <c r="S4061">
        <v>1.016018385960056</v>
      </c>
      <c r="T4061">
        <v>0.78037295078061808</v>
      </c>
      <c r="U4061">
        <v>4.4286477380750293</v>
      </c>
      <c r="V4061">
        <v>0.20127646963296911</v>
      </c>
      <c r="W4061">
        <v>-21.135509246307929</v>
      </c>
      <c r="X4061">
        <v>1.073387905364092</v>
      </c>
      <c r="Z4061" t="s">
        <v>392</v>
      </c>
      <c r="AA4061">
        <v>161</v>
      </c>
      <c r="AB4061" t="s">
        <v>4452</v>
      </c>
      <c r="AC4061" t="str">
        <f>HYPERLINK("plots/3FT6Y578R04_015_S31P_20251219032831_M5358ACSA301811_RBGEUFRF04/dpll_52046/txpa_53182.png","plot")</f>
        <v>plot</v>
      </c>
    </row>
    <row r="4062" spans="1:29" x14ac:dyDescent="0.35">
      <c r="A4062" s="3" t="s">
        <v>50</v>
      </c>
      <c r="B4062">
        <v>52046</v>
      </c>
      <c r="C4062" t="s">
        <v>51</v>
      </c>
      <c r="D4062">
        <v>53183</v>
      </c>
      <c r="E4062" t="s">
        <v>58</v>
      </c>
      <c r="F4062">
        <v>11782</v>
      </c>
      <c r="G4062">
        <v>0.32516859075912968</v>
      </c>
      <c r="H4062">
        <v>3.0985794857772791E-288</v>
      </c>
      <c r="I4062">
        <v>3.3354135866010203E-288</v>
      </c>
      <c r="J4062">
        <v>0.27989171158571369</v>
      </c>
      <c r="K4062">
        <v>5.5250902547463094E-211</v>
      </c>
      <c r="L4062">
        <v>5.8973068613818504E-211</v>
      </c>
      <c r="M4062">
        <v>0.18976325031065</v>
      </c>
      <c r="N4062">
        <v>2.8693953246729358E-209</v>
      </c>
      <c r="O4062">
        <v>3.0627019570719538E-209</v>
      </c>
      <c r="P4062">
        <v>0.10573461241627841</v>
      </c>
      <c r="Q4062">
        <v>1.751866054600459</v>
      </c>
      <c r="R4062">
        <v>-28.948909442866711</v>
      </c>
      <c r="S4062">
        <v>1.025416011983145</v>
      </c>
      <c r="T4062">
        <v>0.79378019600292871</v>
      </c>
      <c r="U4062">
        <v>4.4286477380750293</v>
      </c>
      <c r="V4062">
        <v>0.20127646963296911</v>
      </c>
      <c r="W4062">
        <v>-21.19051180274996</v>
      </c>
      <c r="X4062">
        <v>1.0843895282647891</v>
      </c>
      <c r="Z4062" t="s">
        <v>392</v>
      </c>
      <c r="AA4062">
        <v>161</v>
      </c>
      <c r="AB4062" t="s">
        <v>4453</v>
      </c>
      <c r="AC4062" t="str">
        <f>HYPERLINK("plots/3FT6Y578R04_015_S31P_20251219032831_M5358ACSA301811_RBGEUFRF04/dpll_52046/txpa_53183.png","plot")</f>
        <v>plot</v>
      </c>
    </row>
    <row r="4063" spans="1:29" x14ac:dyDescent="0.35">
      <c r="A4063" s="3" t="s">
        <v>50</v>
      </c>
      <c r="B4063">
        <v>52046</v>
      </c>
      <c r="C4063" t="s">
        <v>51</v>
      </c>
      <c r="D4063">
        <v>53184</v>
      </c>
      <c r="E4063" t="s">
        <v>59</v>
      </c>
      <c r="F4063">
        <v>11782</v>
      </c>
      <c r="G4063">
        <v>0.32569329824905602</v>
      </c>
      <c r="H4063">
        <v>3.2613791124289272E-289</v>
      </c>
      <c r="I4063">
        <v>3.521872651760311E-289</v>
      </c>
      <c r="J4063">
        <v>0.29701027405339941</v>
      </c>
      <c r="K4063">
        <v>1.443472720134334E-238</v>
      </c>
      <c r="L4063">
        <v>1.5587660683878741E-238</v>
      </c>
      <c r="M4063">
        <v>0.20192082082761939</v>
      </c>
      <c r="N4063">
        <v>1.2717423506516741E-236</v>
      </c>
      <c r="O4063">
        <v>1.3733192157196991E-236</v>
      </c>
      <c r="P4063">
        <v>0.1060761245243486</v>
      </c>
      <c r="Q4063">
        <v>1.766043590038975</v>
      </c>
      <c r="R4063">
        <v>-29.09784179300933</v>
      </c>
      <c r="S4063">
        <v>1.0318520708505621</v>
      </c>
      <c r="T4063">
        <v>0.79674806542484455</v>
      </c>
      <c r="U4063">
        <v>4.4286477380750293</v>
      </c>
      <c r="V4063">
        <v>0.20127646963296911</v>
      </c>
      <c r="W4063">
        <v>-21.276656842641319</v>
      </c>
      <c r="X4063">
        <v>1.091404155172879</v>
      </c>
      <c r="Z4063" t="s">
        <v>392</v>
      </c>
      <c r="AA4063">
        <v>161</v>
      </c>
      <c r="AB4063" t="s">
        <v>4454</v>
      </c>
      <c r="AC4063" t="str">
        <f>HYPERLINK("plots/3FT6Y578R04_015_S31P_20251219032831_M5358ACSA301811_RBGEUFRF04/dpll_52046/txpa_53184.png","plot")</f>
        <v>plot</v>
      </c>
    </row>
    <row r="4064" spans="1:29" x14ac:dyDescent="0.35">
      <c r="A4064" s="3" t="s">
        <v>50</v>
      </c>
      <c r="B4064">
        <v>52046</v>
      </c>
      <c r="C4064" t="s">
        <v>51</v>
      </c>
      <c r="D4064">
        <v>53185</v>
      </c>
      <c r="E4064" t="s">
        <v>60</v>
      </c>
      <c r="F4064">
        <v>11782</v>
      </c>
      <c r="G4064">
        <v>0.324744333666042</v>
      </c>
      <c r="H4064">
        <v>1.9068537951035229E-287</v>
      </c>
      <c r="I4064">
        <v>2.0482518519438271E-287</v>
      </c>
      <c r="J4064">
        <v>0.28836341336906302</v>
      </c>
      <c r="K4064">
        <v>2.1542119072608951E-224</v>
      </c>
      <c r="L4064">
        <v>2.3188650466693712E-224</v>
      </c>
      <c r="M4064">
        <v>0.19514373085495859</v>
      </c>
      <c r="N4064">
        <v>3.6915857086146892E-221</v>
      </c>
      <c r="O4064">
        <v>3.9779680218228431E-221</v>
      </c>
      <c r="P4064">
        <v>0.1054588822482016</v>
      </c>
      <c r="Q4064">
        <v>1.745935611366237</v>
      </c>
      <c r="R4064">
        <v>-28.996752307390139</v>
      </c>
      <c r="S4064">
        <v>1.0234376044117111</v>
      </c>
      <c r="T4064">
        <v>0.79095725037845011</v>
      </c>
      <c r="U4064">
        <v>4.4286477380750293</v>
      </c>
      <c r="V4064">
        <v>0.20127646963296911</v>
      </c>
      <c r="W4064">
        <v>-21.264618511288411</v>
      </c>
      <c r="X4064">
        <v>1.08213052432706</v>
      </c>
      <c r="Z4064" t="s">
        <v>392</v>
      </c>
      <c r="AA4064">
        <v>161</v>
      </c>
      <c r="AB4064" t="s">
        <v>4455</v>
      </c>
      <c r="AC4064" t="str">
        <f>HYPERLINK("plots/3FT6Y578R04_015_S31P_20251219032831_M5358ACSA301811_RBGEUFRF04/dpll_52046/txpa_53185.png","plot")</f>
        <v>plot</v>
      </c>
    </row>
    <row r="4065" spans="1:29" x14ac:dyDescent="0.35">
      <c r="A4065" s="3" t="s">
        <v>50</v>
      </c>
      <c r="B4065">
        <v>52046</v>
      </c>
      <c r="C4065" t="s">
        <v>51</v>
      </c>
      <c r="D4065">
        <v>53186</v>
      </c>
      <c r="E4065" t="s">
        <v>61</v>
      </c>
      <c r="F4065">
        <v>11782</v>
      </c>
      <c r="G4065">
        <v>0.31155914348727393</v>
      </c>
      <c r="H4065">
        <v>1.5051265295893701E-263</v>
      </c>
      <c r="I4065">
        <v>1.594773564267107E-263</v>
      </c>
      <c r="J4065">
        <v>0.26878930745135537</v>
      </c>
      <c r="K4065">
        <v>4.085173559301575E-194</v>
      </c>
      <c r="L4065">
        <v>4.3149645720122881E-194</v>
      </c>
      <c r="M4065">
        <v>0.18153084209419179</v>
      </c>
      <c r="N4065">
        <v>1.326112745361209E-191</v>
      </c>
      <c r="O4065">
        <v>1.400706587287777E-191</v>
      </c>
      <c r="P4065">
        <v>9.7069099890523744E-2</v>
      </c>
      <c r="Q4065">
        <v>1.7272764698440231</v>
      </c>
      <c r="R4065">
        <v>-29.062201196372161</v>
      </c>
      <c r="S4065">
        <v>1.0602863943724521</v>
      </c>
      <c r="T4065">
        <v>0.83110928397731643</v>
      </c>
      <c r="U4065">
        <v>4.4286477380750293</v>
      </c>
      <c r="V4065">
        <v>0.20127646963296911</v>
      </c>
      <c r="W4065">
        <v>-21.4127021651672</v>
      </c>
      <c r="X4065">
        <v>1.1158719530390011</v>
      </c>
      <c r="Z4065" t="s">
        <v>392</v>
      </c>
      <c r="AA4065">
        <v>161</v>
      </c>
      <c r="AB4065" t="s">
        <v>4456</v>
      </c>
      <c r="AC4065" t="str">
        <f>HYPERLINK("plots/3FT6Y578R04_015_S31P_20251219032831_M5358ACSA301811_RBGEUFRF04/dpll_52046/txpa_53186.png","plot")</f>
        <v>plot</v>
      </c>
    </row>
    <row r="4066" spans="1:29" x14ac:dyDescent="0.35">
      <c r="A4066" s="3" t="s">
        <v>50</v>
      </c>
      <c r="B4066">
        <v>52046</v>
      </c>
      <c r="C4066" t="s">
        <v>51</v>
      </c>
      <c r="D4066">
        <v>53187</v>
      </c>
      <c r="E4066" t="s">
        <v>62</v>
      </c>
      <c r="F4066">
        <v>11782</v>
      </c>
      <c r="G4066">
        <v>0.66303135964274174</v>
      </c>
      <c r="H4066">
        <v>0</v>
      </c>
      <c r="I4066">
        <v>0</v>
      </c>
      <c r="J4066">
        <v>0.55104029988074543</v>
      </c>
      <c r="K4066">
        <v>0</v>
      </c>
      <c r="L4066">
        <v>0</v>
      </c>
      <c r="M4066">
        <v>0.38711694361946369</v>
      </c>
      <c r="N4066">
        <v>0</v>
      </c>
      <c r="O4066">
        <v>0</v>
      </c>
      <c r="P4066">
        <v>0.43961058386970281</v>
      </c>
      <c r="Q4066">
        <v>0.96611905930205633</v>
      </c>
      <c r="R4066">
        <v>-15.165979525137709</v>
      </c>
      <c r="S4066">
        <v>0.21954124223676089</v>
      </c>
      <c r="T4066">
        <v>0.17218657175321431</v>
      </c>
      <c r="U4066">
        <v>4.4286477380750293</v>
      </c>
      <c r="V4066">
        <v>0.20127646963296911</v>
      </c>
      <c r="W4066">
        <v>-10.88737853844848</v>
      </c>
      <c r="X4066">
        <v>0.29328482080579338</v>
      </c>
      <c r="Z4066" t="s">
        <v>392</v>
      </c>
      <c r="AA4066">
        <v>161</v>
      </c>
      <c r="AB4066" t="s">
        <v>4457</v>
      </c>
      <c r="AC4066" t="str">
        <f>HYPERLINK("plots/3FT6Y578R04_015_S31P_20251219032831_M5358ACSA301811_RBGEUFRF04/dpll_52046/txpa_53187.png","plot")</f>
        <v>plot</v>
      </c>
    </row>
    <row r="4067" spans="1:29" x14ac:dyDescent="0.35">
      <c r="A4067" s="3" t="s">
        <v>50</v>
      </c>
      <c r="B4067">
        <v>52046</v>
      </c>
      <c r="C4067" t="s">
        <v>51</v>
      </c>
      <c r="D4067">
        <v>53188</v>
      </c>
      <c r="E4067" t="s">
        <v>63</v>
      </c>
      <c r="F4067">
        <v>11782</v>
      </c>
      <c r="G4067">
        <v>0.6853980770071656</v>
      </c>
      <c r="H4067">
        <v>0</v>
      </c>
      <c r="I4067">
        <v>0</v>
      </c>
      <c r="J4067">
        <v>0.57251017275639415</v>
      </c>
      <c r="K4067">
        <v>0</v>
      </c>
      <c r="L4067">
        <v>0</v>
      </c>
      <c r="M4067">
        <v>0.40587544637296402</v>
      </c>
      <c r="N4067">
        <v>0</v>
      </c>
      <c r="O4067">
        <v>0</v>
      </c>
      <c r="P4067">
        <v>0.46977052396512048</v>
      </c>
      <c r="Q4067">
        <v>0.99089059655779266</v>
      </c>
      <c r="R4067">
        <v>-15.20976523361878</v>
      </c>
      <c r="S4067">
        <v>0.21187969253501859</v>
      </c>
      <c r="T4067">
        <v>0.1668068222495066</v>
      </c>
      <c r="U4067">
        <v>4.4286477380750293</v>
      </c>
      <c r="V4067">
        <v>0.20127646963296911</v>
      </c>
      <c r="W4067">
        <v>-10.82145983449329</v>
      </c>
      <c r="X4067">
        <v>0.29098850399251142</v>
      </c>
      <c r="Z4067" t="s">
        <v>392</v>
      </c>
      <c r="AA4067">
        <v>161</v>
      </c>
      <c r="AB4067" t="s">
        <v>4458</v>
      </c>
      <c r="AC4067" t="str">
        <f>HYPERLINK("plots/3FT6Y578R04_015_S31P_20251219032831_M5358ACSA301811_RBGEUFRF04/dpll_52046/txpa_53188.png","plot")</f>
        <v>plot</v>
      </c>
    </row>
    <row r="4068" spans="1:29" x14ac:dyDescent="0.35">
      <c r="A4068" s="3" t="s">
        <v>50</v>
      </c>
      <c r="B4068">
        <v>52046</v>
      </c>
      <c r="C4068" t="s">
        <v>51</v>
      </c>
      <c r="D4068">
        <v>53189</v>
      </c>
      <c r="E4068" t="s">
        <v>64</v>
      </c>
      <c r="F4068">
        <v>11782</v>
      </c>
      <c r="G4068">
        <v>0.67290644278322587</v>
      </c>
      <c r="H4068">
        <v>0</v>
      </c>
      <c r="I4068">
        <v>0</v>
      </c>
      <c r="J4068">
        <v>0.55619509770368358</v>
      </c>
      <c r="K4068">
        <v>0</v>
      </c>
      <c r="L4068">
        <v>0</v>
      </c>
      <c r="M4068">
        <v>0.3919347766798465</v>
      </c>
      <c r="N4068">
        <v>0</v>
      </c>
      <c r="O4068">
        <v>0</v>
      </c>
      <c r="P4068">
        <v>0.4528030807391748</v>
      </c>
      <c r="Q4068">
        <v>0.95083971941443868</v>
      </c>
      <c r="R4068">
        <v>-15.01271743169586</v>
      </c>
      <c r="S4068">
        <v>0.21037737200083961</v>
      </c>
      <c r="T4068">
        <v>0.16510257682050711</v>
      </c>
      <c r="U4068">
        <v>4.4286477380750293</v>
      </c>
      <c r="V4068">
        <v>0.20127646963296911</v>
      </c>
      <c r="W4068">
        <v>-10.80178325903921</v>
      </c>
      <c r="X4068">
        <v>0.28441050604146773</v>
      </c>
      <c r="Z4068" t="s">
        <v>392</v>
      </c>
      <c r="AA4068">
        <v>161</v>
      </c>
      <c r="AB4068" t="s">
        <v>4459</v>
      </c>
      <c r="AC4068" t="str">
        <f>HYPERLINK("plots/3FT6Y578R04_015_S31P_20251219032831_M5358ACSA301811_RBGEUFRF04/dpll_52046/txpa_53189.png","plot")</f>
        <v>plot</v>
      </c>
    </row>
    <row r="4069" spans="1:29" x14ac:dyDescent="0.35">
      <c r="A4069" s="3" t="s">
        <v>50</v>
      </c>
      <c r="B4069">
        <v>52046</v>
      </c>
      <c r="C4069" t="s">
        <v>51</v>
      </c>
      <c r="D4069">
        <v>53190</v>
      </c>
      <c r="E4069" t="s">
        <v>65</v>
      </c>
      <c r="F4069">
        <v>11781</v>
      </c>
      <c r="G4069">
        <v>0.69102274886502313</v>
      </c>
      <c r="H4069">
        <v>0</v>
      </c>
      <c r="I4069">
        <v>0</v>
      </c>
      <c r="J4069">
        <v>0.56940639087988132</v>
      </c>
      <c r="K4069">
        <v>0</v>
      </c>
      <c r="L4069">
        <v>0</v>
      </c>
      <c r="M4069">
        <v>0.40313759116033132</v>
      </c>
      <c r="N4069">
        <v>0</v>
      </c>
      <c r="O4069">
        <v>0</v>
      </c>
      <c r="P4069">
        <v>0.47751243944897281</v>
      </c>
      <c r="Q4069">
        <v>0.98688973055988283</v>
      </c>
      <c r="R4069">
        <v>-15.12689924707486</v>
      </c>
      <c r="S4069">
        <v>0.20778022225337969</v>
      </c>
      <c r="T4069">
        <v>0.16411294446779429</v>
      </c>
      <c r="U4069">
        <v>4.4286547017231142</v>
      </c>
      <c r="V4069">
        <v>0.20128359324518649</v>
      </c>
      <c r="W4069">
        <v>-10.75630540174858</v>
      </c>
      <c r="X4069">
        <v>0.28746479248350809</v>
      </c>
      <c r="Z4069" t="s">
        <v>392</v>
      </c>
      <c r="AA4069">
        <v>161</v>
      </c>
      <c r="AB4069" t="s">
        <v>4460</v>
      </c>
      <c r="AC4069" t="str">
        <f>HYPERLINK("plots/3FT6Y578R04_015_S31P_20251219032831_M5358ACSA301811_RBGEUFRF04/dpll_52046/txpa_53190.png","plot")</f>
        <v>plot</v>
      </c>
    </row>
    <row r="4070" spans="1:29" x14ac:dyDescent="0.35">
      <c r="A4070" s="3" t="s">
        <v>50</v>
      </c>
      <c r="B4070">
        <v>52046</v>
      </c>
      <c r="C4070" t="s">
        <v>51</v>
      </c>
      <c r="D4070">
        <v>53191</v>
      </c>
      <c r="E4070" t="s">
        <v>66</v>
      </c>
      <c r="F4070">
        <v>11781</v>
      </c>
      <c r="G4070">
        <v>0.69804103690993824</v>
      </c>
      <c r="H4070">
        <v>0</v>
      </c>
      <c r="I4070">
        <v>0</v>
      </c>
      <c r="J4070">
        <v>0.56991000421483706</v>
      </c>
      <c r="K4070">
        <v>0</v>
      </c>
      <c r="L4070">
        <v>0</v>
      </c>
      <c r="M4070">
        <v>0.40269569814674089</v>
      </c>
      <c r="N4070">
        <v>0</v>
      </c>
      <c r="O4070">
        <v>0</v>
      </c>
      <c r="P4070">
        <v>0.48726128921030182</v>
      </c>
      <c r="Q4070">
        <v>1.004733703365922</v>
      </c>
      <c r="R4070">
        <v>-15.219378433625611</v>
      </c>
      <c r="S4070">
        <v>0.2074274291920877</v>
      </c>
      <c r="T4070">
        <v>0.1640026697659257</v>
      </c>
      <c r="U4070">
        <v>4.4286210779220783</v>
      </c>
      <c r="V4070">
        <v>0.20126420786155011</v>
      </c>
      <c r="W4070">
        <v>-10.769793577200581</v>
      </c>
      <c r="X4070">
        <v>0.28969204133744092</v>
      </c>
      <c r="Z4070" t="s">
        <v>392</v>
      </c>
      <c r="AA4070">
        <v>161</v>
      </c>
      <c r="AB4070" t="s">
        <v>4461</v>
      </c>
      <c r="AC4070" t="str">
        <f>HYPERLINK("plots/3FT6Y578R04_015_S31P_20251219032831_M5358ACSA301811_RBGEUFRF04/dpll_52046/txpa_53191.png","plot")</f>
        <v>plot</v>
      </c>
    </row>
    <row r="4071" spans="1:29" x14ac:dyDescent="0.35">
      <c r="A4071" s="3" t="s">
        <v>50</v>
      </c>
      <c r="B4071">
        <v>52046</v>
      </c>
      <c r="C4071" t="s">
        <v>51</v>
      </c>
      <c r="D4071">
        <v>53192</v>
      </c>
      <c r="E4071" t="s">
        <v>67</v>
      </c>
      <c r="F4071">
        <v>11782</v>
      </c>
      <c r="G4071">
        <v>0.6956215633672832</v>
      </c>
      <c r="H4071">
        <v>0</v>
      </c>
      <c r="I4071">
        <v>0</v>
      </c>
      <c r="J4071">
        <v>0.58422834180641103</v>
      </c>
      <c r="K4071">
        <v>0</v>
      </c>
      <c r="L4071">
        <v>0</v>
      </c>
      <c r="M4071">
        <v>0.41449363811382017</v>
      </c>
      <c r="N4071">
        <v>0</v>
      </c>
      <c r="O4071">
        <v>0</v>
      </c>
      <c r="P4071">
        <v>0.48388935942154321</v>
      </c>
      <c r="Q4071">
        <v>0.99456240434245802</v>
      </c>
      <c r="R4071">
        <v>-15.21100589875679</v>
      </c>
      <c r="S4071">
        <v>0.20673070413732059</v>
      </c>
      <c r="T4071">
        <v>0.16208324307132199</v>
      </c>
      <c r="U4071">
        <v>4.4286477380750293</v>
      </c>
      <c r="V4071">
        <v>0.20127646963296911</v>
      </c>
      <c r="W4071">
        <v>-10.806439356391101</v>
      </c>
      <c r="X4071">
        <v>0.28777430159972323</v>
      </c>
      <c r="Z4071" t="s">
        <v>392</v>
      </c>
      <c r="AA4071">
        <v>161</v>
      </c>
      <c r="AB4071" t="s">
        <v>4462</v>
      </c>
      <c r="AC4071" t="str">
        <f>HYPERLINK("plots/3FT6Y578R04_015_S31P_20251219032831_M5358ACSA301811_RBGEUFRF04/dpll_52046/txpa_53192.png","plot")</f>
        <v>plot</v>
      </c>
    </row>
    <row r="4072" spans="1:29" x14ac:dyDescent="0.35">
      <c r="A4072" s="3" t="s">
        <v>50</v>
      </c>
      <c r="B4072">
        <v>52046</v>
      </c>
      <c r="C4072" t="s">
        <v>51</v>
      </c>
      <c r="D4072">
        <v>53193</v>
      </c>
      <c r="E4072" t="s">
        <v>68</v>
      </c>
      <c r="F4072">
        <v>11782</v>
      </c>
      <c r="G4072">
        <v>0.69508276421683468</v>
      </c>
      <c r="H4072">
        <v>0</v>
      </c>
      <c r="I4072">
        <v>0</v>
      </c>
      <c r="J4072">
        <v>0.58100220001733593</v>
      </c>
      <c r="K4072">
        <v>0</v>
      </c>
      <c r="L4072">
        <v>0</v>
      </c>
      <c r="M4072">
        <v>0.41198714177360962</v>
      </c>
      <c r="N4072">
        <v>0</v>
      </c>
      <c r="O4072">
        <v>0</v>
      </c>
      <c r="P4072">
        <v>0.48314004911131581</v>
      </c>
      <c r="Q4072">
        <v>0.99173898083474288</v>
      </c>
      <c r="R4072">
        <v>-15.18701513505961</v>
      </c>
      <c r="S4072">
        <v>0.20645332433644839</v>
      </c>
      <c r="T4072">
        <v>0.16251673444715911</v>
      </c>
      <c r="U4072">
        <v>4.4286477380750293</v>
      </c>
      <c r="V4072">
        <v>0.20127646963296911</v>
      </c>
      <c r="W4072">
        <v>-10.79495254082499</v>
      </c>
      <c r="X4072">
        <v>0.28717978798499649</v>
      </c>
      <c r="Z4072" t="s">
        <v>392</v>
      </c>
      <c r="AA4072">
        <v>161</v>
      </c>
      <c r="AB4072" t="s">
        <v>4463</v>
      </c>
      <c r="AC4072" t="str">
        <f>HYPERLINK("plots/3FT6Y578R04_015_S31P_20251219032831_M5358ACSA301811_RBGEUFRF04/dpll_52046/txpa_53193.png","plot")</f>
        <v>plot</v>
      </c>
    </row>
    <row r="4073" spans="1:29" x14ac:dyDescent="0.35">
      <c r="A4073" s="3" t="s">
        <v>50</v>
      </c>
      <c r="B4073">
        <v>52046</v>
      </c>
      <c r="C4073" t="s">
        <v>51</v>
      </c>
      <c r="D4073">
        <v>53194</v>
      </c>
      <c r="E4073" t="s">
        <v>69</v>
      </c>
      <c r="F4073">
        <v>11781</v>
      </c>
      <c r="G4073">
        <v>0.68530457381413024</v>
      </c>
      <c r="H4073">
        <v>0</v>
      </c>
      <c r="I4073">
        <v>0</v>
      </c>
      <c r="J4073">
        <v>0.56710144671631091</v>
      </c>
      <c r="K4073">
        <v>0</v>
      </c>
      <c r="L4073">
        <v>0</v>
      </c>
      <c r="M4073">
        <v>0.40179385758355518</v>
      </c>
      <c r="N4073">
        <v>0</v>
      </c>
      <c r="O4073">
        <v>0</v>
      </c>
      <c r="P4073">
        <v>0.46964235889056671</v>
      </c>
      <c r="Q4073">
        <v>0.98751199465456296</v>
      </c>
      <c r="R4073">
        <v>-15.239920166477241</v>
      </c>
      <c r="S4073">
        <v>0.2112050679456467</v>
      </c>
      <c r="T4073">
        <v>0.16574485416249701</v>
      </c>
      <c r="U4073">
        <v>4.4286701896273666</v>
      </c>
      <c r="V4073">
        <v>0.20127025814248481</v>
      </c>
      <c r="W4073">
        <v>-10.86655523385112</v>
      </c>
      <c r="X4073">
        <v>0.29002694813011892</v>
      </c>
      <c r="Z4073" t="s">
        <v>392</v>
      </c>
      <c r="AA4073">
        <v>161</v>
      </c>
      <c r="AB4073" t="s">
        <v>4464</v>
      </c>
      <c r="AC4073" t="str">
        <f>HYPERLINK("plots/3FT6Y578R04_015_S31P_20251219032831_M5358ACSA301811_RBGEUFRF04/dpll_52046/txpa_53194.png","plot")</f>
        <v>plot</v>
      </c>
    </row>
    <row r="4074" spans="1:29" x14ac:dyDescent="0.35">
      <c r="A4074" s="3" t="s">
        <v>50</v>
      </c>
      <c r="B4074">
        <v>52046</v>
      </c>
      <c r="C4074" t="s">
        <v>51</v>
      </c>
      <c r="D4074">
        <v>53195</v>
      </c>
      <c r="E4074" t="s">
        <v>70</v>
      </c>
      <c r="F4074">
        <v>11782</v>
      </c>
      <c r="G4074">
        <v>0.68738700954120258</v>
      </c>
      <c r="H4074">
        <v>0</v>
      </c>
      <c r="I4074">
        <v>0</v>
      </c>
      <c r="J4074">
        <v>0.57924707929451291</v>
      </c>
      <c r="K4074">
        <v>0</v>
      </c>
      <c r="L4074">
        <v>0</v>
      </c>
      <c r="M4074">
        <v>0.40942813739149841</v>
      </c>
      <c r="N4074">
        <v>0</v>
      </c>
      <c r="O4074">
        <v>0</v>
      </c>
      <c r="P4074">
        <v>0.47250090088599728</v>
      </c>
      <c r="Q4074">
        <v>0.86978894079810243</v>
      </c>
      <c r="R4074">
        <v>-8.7697092179858966</v>
      </c>
      <c r="S4074">
        <v>0.18496859479066191</v>
      </c>
      <c r="T4074">
        <v>0.14464049359405479</v>
      </c>
      <c r="U4074">
        <v>4.4286477380750293</v>
      </c>
      <c r="V4074">
        <v>0.20127646963296911</v>
      </c>
      <c r="W4074">
        <v>-4.9177203927177047</v>
      </c>
      <c r="X4074">
        <v>0.25468629010968802</v>
      </c>
      <c r="Z4074" t="s">
        <v>392</v>
      </c>
      <c r="AA4074">
        <v>161</v>
      </c>
      <c r="AB4074" t="s">
        <v>4465</v>
      </c>
      <c r="AC4074" t="str">
        <f>HYPERLINK("plots/3FT6Y578R04_015_S31P_20251219032831_M5358ACSA301811_RBGEUFRF04/dpll_52046/txpa_53195.png","plot")</f>
        <v>plot</v>
      </c>
    </row>
    <row r="4075" spans="1:29" x14ac:dyDescent="0.35">
      <c r="A4075" s="3" t="s">
        <v>50</v>
      </c>
      <c r="B4075">
        <v>52046</v>
      </c>
      <c r="C4075" t="s">
        <v>51</v>
      </c>
      <c r="D4075">
        <v>53196</v>
      </c>
      <c r="E4075" t="s">
        <v>71</v>
      </c>
      <c r="F4075">
        <v>11782</v>
      </c>
      <c r="G4075">
        <v>0.70887395510633466</v>
      </c>
      <c r="H4075">
        <v>0</v>
      </c>
      <c r="I4075">
        <v>0</v>
      </c>
      <c r="J4075">
        <v>0.59910555445565783</v>
      </c>
      <c r="K4075">
        <v>0</v>
      </c>
      <c r="L4075">
        <v>0</v>
      </c>
      <c r="M4075">
        <v>0.42726804278079578</v>
      </c>
      <c r="N4075">
        <v>0</v>
      </c>
      <c r="O4075">
        <v>0</v>
      </c>
      <c r="P4075">
        <v>0.50250228422809773</v>
      </c>
      <c r="Q4075">
        <v>0.89748713491926724</v>
      </c>
      <c r="R4075">
        <v>-8.8463618814698073</v>
      </c>
      <c r="S4075">
        <v>0.1797336245225338</v>
      </c>
      <c r="T4075">
        <v>0.14119596372015181</v>
      </c>
      <c r="U4075">
        <v>4.4286477380750293</v>
      </c>
      <c r="V4075">
        <v>0.20127646963296911</v>
      </c>
      <c r="W4075">
        <v>-4.8717075114581556</v>
      </c>
      <c r="X4075">
        <v>0.25483097630588081</v>
      </c>
      <c r="Z4075" t="s">
        <v>392</v>
      </c>
      <c r="AA4075">
        <v>161</v>
      </c>
      <c r="AB4075" t="s">
        <v>4466</v>
      </c>
      <c r="AC4075" t="str">
        <f>HYPERLINK("plots/3FT6Y578R04_015_S31P_20251219032831_M5358ACSA301811_RBGEUFRF04/dpll_52046/txpa_53196.png","plot")</f>
        <v>plot</v>
      </c>
    </row>
    <row r="4076" spans="1:29" x14ac:dyDescent="0.35">
      <c r="A4076" s="3" t="s">
        <v>50</v>
      </c>
      <c r="B4076">
        <v>52046</v>
      </c>
      <c r="C4076" t="s">
        <v>51</v>
      </c>
      <c r="D4076">
        <v>53197</v>
      </c>
      <c r="E4076" t="s">
        <v>72</v>
      </c>
      <c r="F4076">
        <v>11782</v>
      </c>
      <c r="G4076">
        <v>0.6974525865891622</v>
      </c>
      <c r="H4076">
        <v>0</v>
      </c>
      <c r="I4076">
        <v>0</v>
      </c>
      <c r="J4076">
        <v>0.58459034580877978</v>
      </c>
      <c r="K4076">
        <v>0</v>
      </c>
      <c r="L4076">
        <v>0</v>
      </c>
      <c r="M4076">
        <v>0.41484828573566312</v>
      </c>
      <c r="N4076">
        <v>0</v>
      </c>
      <c r="O4076">
        <v>0</v>
      </c>
      <c r="P4076">
        <v>0.48644011053991282</v>
      </c>
      <c r="Q4076">
        <v>0.86375884520393054</v>
      </c>
      <c r="R4076">
        <v>-8.6798659379253369</v>
      </c>
      <c r="S4076">
        <v>0.178627344501751</v>
      </c>
      <c r="T4076">
        <v>0.14053880778622849</v>
      </c>
      <c r="U4076">
        <v>4.4286477380750293</v>
      </c>
      <c r="V4076">
        <v>0.20127646963296911</v>
      </c>
      <c r="W4076">
        <v>-4.854582281870651</v>
      </c>
      <c r="X4076">
        <v>0.24927046557690541</v>
      </c>
      <c r="Z4076" t="s">
        <v>392</v>
      </c>
      <c r="AA4076">
        <v>161</v>
      </c>
      <c r="AB4076" t="s">
        <v>4467</v>
      </c>
      <c r="AC4076" t="str">
        <f>HYPERLINK("plots/3FT6Y578R04_015_S31P_20251219032831_M5358ACSA301811_RBGEUFRF04/dpll_52046/txpa_53197.png","plot")</f>
        <v>plot</v>
      </c>
    </row>
    <row r="4077" spans="1:29" x14ac:dyDescent="0.35">
      <c r="A4077" s="3" t="s">
        <v>50</v>
      </c>
      <c r="B4077">
        <v>52046</v>
      </c>
      <c r="C4077" t="s">
        <v>51</v>
      </c>
      <c r="D4077">
        <v>53198</v>
      </c>
      <c r="E4077" t="s">
        <v>73</v>
      </c>
      <c r="F4077">
        <v>11781</v>
      </c>
      <c r="G4077">
        <v>0.71520814531700172</v>
      </c>
      <c r="H4077">
        <v>0</v>
      </c>
      <c r="I4077">
        <v>0</v>
      </c>
      <c r="J4077">
        <v>0.59836926819940039</v>
      </c>
      <c r="K4077">
        <v>0</v>
      </c>
      <c r="L4077">
        <v>0</v>
      </c>
      <c r="M4077">
        <v>0.42684474501402109</v>
      </c>
      <c r="N4077">
        <v>0</v>
      </c>
      <c r="O4077">
        <v>0</v>
      </c>
      <c r="P4077">
        <v>0.51152269112778548</v>
      </c>
      <c r="Q4077">
        <v>0.90053227567009309</v>
      </c>
      <c r="R4077">
        <v>-8.8128639823122015</v>
      </c>
      <c r="S4077">
        <v>0.1771246365314755</v>
      </c>
      <c r="T4077">
        <v>0.1397604298506237</v>
      </c>
      <c r="U4077">
        <v>4.4286547017231142</v>
      </c>
      <c r="V4077">
        <v>0.20128359324518649</v>
      </c>
      <c r="W4077">
        <v>-4.8247174856124273</v>
      </c>
      <c r="X4077">
        <v>0.25344002786741232</v>
      </c>
      <c r="Z4077" t="s">
        <v>392</v>
      </c>
      <c r="AA4077">
        <v>161</v>
      </c>
      <c r="AB4077" t="s">
        <v>4468</v>
      </c>
      <c r="AC4077" t="str">
        <f>HYPERLINK("plots/3FT6Y578R04_015_S31P_20251219032831_M5358ACSA301811_RBGEUFRF04/dpll_52046/txpa_53198.png","plot")</f>
        <v>plot</v>
      </c>
    </row>
    <row r="4078" spans="1:29" x14ac:dyDescent="0.35">
      <c r="A4078" s="3" t="s">
        <v>50</v>
      </c>
      <c r="B4078">
        <v>52046</v>
      </c>
      <c r="C4078" t="s">
        <v>51</v>
      </c>
      <c r="D4078">
        <v>53199</v>
      </c>
      <c r="E4078" t="s">
        <v>74</v>
      </c>
      <c r="F4078">
        <v>11781</v>
      </c>
      <c r="G4078">
        <v>0.71773596717464472</v>
      </c>
      <c r="H4078">
        <v>0</v>
      </c>
      <c r="I4078">
        <v>0</v>
      </c>
      <c r="J4078">
        <v>0.59470246171047469</v>
      </c>
      <c r="K4078">
        <v>0</v>
      </c>
      <c r="L4078">
        <v>0</v>
      </c>
      <c r="M4078">
        <v>0.4228626720384136</v>
      </c>
      <c r="N4078">
        <v>0</v>
      </c>
      <c r="O4078">
        <v>0</v>
      </c>
      <c r="P4078">
        <v>0.51514491857612266</v>
      </c>
      <c r="Q4078">
        <v>0.90536326055600624</v>
      </c>
      <c r="R4078">
        <v>-8.849397717100544</v>
      </c>
      <c r="S4078">
        <v>0.17677150038286299</v>
      </c>
      <c r="T4078">
        <v>0.1398381505228328</v>
      </c>
      <c r="U4078">
        <v>4.4286210779220783</v>
      </c>
      <c r="V4078">
        <v>0.20126420786155011</v>
      </c>
      <c r="W4078">
        <v>-4.8398868982259566</v>
      </c>
      <c r="X4078">
        <v>0.25387778764947472</v>
      </c>
      <c r="Z4078" t="s">
        <v>392</v>
      </c>
      <c r="AA4078">
        <v>161</v>
      </c>
      <c r="AB4078" t="s">
        <v>4469</v>
      </c>
      <c r="AC4078" t="str">
        <f>HYPERLINK("plots/3FT6Y578R04_015_S31P_20251219032831_M5358ACSA301811_RBGEUFRF04/dpll_52046/txpa_53199.png","plot")</f>
        <v>plot</v>
      </c>
    </row>
    <row r="4079" spans="1:29" x14ac:dyDescent="0.35">
      <c r="A4079" s="3" t="s">
        <v>50</v>
      </c>
      <c r="B4079">
        <v>52046</v>
      </c>
      <c r="C4079" t="s">
        <v>51</v>
      </c>
      <c r="D4079">
        <v>53200</v>
      </c>
      <c r="E4079" t="s">
        <v>75</v>
      </c>
      <c r="F4079">
        <v>11781</v>
      </c>
      <c r="G4079">
        <v>0.72409012174548404</v>
      </c>
      <c r="H4079">
        <v>0</v>
      </c>
      <c r="I4079">
        <v>0</v>
      </c>
      <c r="J4079">
        <v>0.61596805734591575</v>
      </c>
      <c r="K4079">
        <v>0</v>
      </c>
      <c r="L4079">
        <v>0</v>
      </c>
      <c r="M4079">
        <v>0.44022074446436099</v>
      </c>
      <c r="N4079">
        <v>0</v>
      </c>
      <c r="O4079">
        <v>0</v>
      </c>
      <c r="P4079">
        <v>0.52430650440938986</v>
      </c>
      <c r="Q4079">
        <v>0.91178570544090909</v>
      </c>
      <c r="R4079">
        <v>-8.8944358019502623</v>
      </c>
      <c r="S4079">
        <v>0.17478557992876309</v>
      </c>
      <c r="T4079">
        <v>0.13823759132156599</v>
      </c>
      <c r="U4079">
        <v>4.4286192746795683</v>
      </c>
      <c r="V4079">
        <v>0.20126129812424351</v>
      </c>
      <c r="W4079">
        <v>-4.856484052457346</v>
      </c>
      <c r="X4079">
        <v>0.25343140194456182</v>
      </c>
      <c r="Z4079" t="s">
        <v>392</v>
      </c>
      <c r="AA4079">
        <v>161</v>
      </c>
      <c r="AB4079" t="s">
        <v>4470</v>
      </c>
      <c r="AC4079" t="str">
        <f>HYPERLINK("plots/3FT6Y578R04_015_S31P_20251219032831_M5358ACSA301811_RBGEUFRF04/dpll_52046/txpa_53200.png","plot")</f>
        <v>plot</v>
      </c>
    </row>
    <row r="4080" spans="1:29" x14ac:dyDescent="0.35">
      <c r="A4080" s="3" t="s">
        <v>50</v>
      </c>
      <c r="B4080">
        <v>52046</v>
      </c>
      <c r="C4080" t="s">
        <v>51</v>
      </c>
      <c r="D4080">
        <v>53201</v>
      </c>
      <c r="E4080" t="s">
        <v>76</v>
      </c>
      <c r="F4080">
        <v>11782</v>
      </c>
      <c r="G4080">
        <v>0.71833944244935077</v>
      </c>
      <c r="H4080">
        <v>0</v>
      </c>
      <c r="I4080">
        <v>0</v>
      </c>
      <c r="J4080">
        <v>0.60505138485748333</v>
      </c>
      <c r="K4080">
        <v>0</v>
      </c>
      <c r="L4080">
        <v>0</v>
      </c>
      <c r="M4080">
        <v>0.43169517807516378</v>
      </c>
      <c r="N4080">
        <v>0</v>
      </c>
      <c r="O4080">
        <v>0</v>
      </c>
      <c r="P4080">
        <v>0.51601155457844416</v>
      </c>
      <c r="Q4080">
        <v>0.89593502021574845</v>
      </c>
      <c r="R4080">
        <v>-8.8157248005369802</v>
      </c>
      <c r="S4080">
        <v>0.1746380491344848</v>
      </c>
      <c r="T4080">
        <v>0.13806760756818731</v>
      </c>
      <c r="U4080">
        <v>4.4286477380750293</v>
      </c>
      <c r="V4080">
        <v>0.20127646963296911</v>
      </c>
      <c r="W4080">
        <v>-4.8479441997963004</v>
      </c>
      <c r="X4080">
        <v>0.25103819619689549</v>
      </c>
      <c r="Z4080" t="s">
        <v>392</v>
      </c>
      <c r="AA4080">
        <v>161</v>
      </c>
      <c r="AB4080" t="s">
        <v>4471</v>
      </c>
      <c r="AC4080" t="str">
        <f>HYPERLINK("plots/3FT6Y578R04_015_S31P_20251219032831_M5358ACSA301811_RBGEUFRF04/dpll_52046/txpa_53201.png","plot")</f>
        <v>plot</v>
      </c>
    </row>
    <row r="4081" spans="1:29" x14ac:dyDescent="0.35">
      <c r="A4081" s="3" t="s">
        <v>50</v>
      </c>
      <c r="B4081">
        <v>52046</v>
      </c>
      <c r="C4081" t="s">
        <v>51</v>
      </c>
      <c r="D4081">
        <v>53202</v>
      </c>
      <c r="E4081" t="s">
        <v>77</v>
      </c>
      <c r="F4081">
        <v>11781</v>
      </c>
      <c r="G4081">
        <v>0.70970966437167937</v>
      </c>
      <c r="H4081">
        <v>0</v>
      </c>
      <c r="I4081">
        <v>0</v>
      </c>
      <c r="J4081">
        <v>0.59630060155297526</v>
      </c>
      <c r="K4081">
        <v>0</v>
      </c>
      <c r="L4081">
        <v>0</v>
      </c>
      <c r="M4081">
        <v>0.42476938958267318</v>
      </c>
      <c r="N4081">
        <v>0</v>
      </c>
      <c r="O4081">
        <v>0</v>
      </c>
      <c r="P4081">
        <v>0.50368780770256183</v>
      </c>
      <c r="Q4081">
        <v>0.89344047195870302</v>
      </c>
      <c r="R4081">
        <v>-8.8518936023312378</v>
      </c>
      <c r="S4081">
        <v>0.17849396847579119</v>
      </c>
      <c r="T4081">
        <v>0.14049160638771521</v>
      </c>
      <c r="U4081">
        <v>4.4286701896273666</v>
      </c>
      <c r="V4081">
        <v>0.20127025814248481</v>
      </c>
      <c r="W4081">
        <v>-4.895140417961124</v>
      </c>
      <c r="X4081">
        <v>0.25337543428448678</v>
      </c>
      <c r="Z4081" t="s">
        <v>392</v>
      </c>
      <c r="AA4081">
        <v>161</v>
      </c>
      <c r="AB4081" t="s">
        <v>4472</v>
      </c>
      <c r="AC4081" t="str">
        <f>HYPERLINK("plots/3FT6Y578R04_015_S31P_20251219032831_M5358ACSA301811_RBGEUFRF04/dpll_52046/txpa_53202.png","plot")</f>
        <v>plot</v>
      </c>
    </row>
    <row r="4082" spans="1:29" x14ac:dyDescent="0.35">
      <c r="A4082" s="3" t="s">
        <v>50</v>
      </c>
      <c r="B4082">
        <v>52046</v>
      </c>
      <c r="C4082" t="s">
        <v>51</v>
      </c>
      <c r="D4082">
        <v>53203</v>
      </c>
      <c r="E4082" t="s">
        <v>78</v>
      </c>
      <c r="F4082">
        <v>11782</v>
      </c>
      <c r="G4082">
        <v>0.70609596144374653</v>
      </c>
      <c r="H4082">
        <v>0</v>
      </c>
      <c r="I4082">
        <v>0</v>
      </c>
      <c r="J4082">
        <v>0.60396027450442336</v>
      </c>
      <c r="K4082">
        <v>0</v>
      </c>
      <c r="L4082">
        <v>0</v>
      </c>
      <c r="M4082">
        <v>0.42907755490210059</v>
      </c>
      <c r="N4082">
        <v>0</v>
      </c>
      <c r="O4082">
        <v>0</v>
      </c>
      <c r="P4082">
        <v>0.49857150676716883</v>
      </c>
      <c r="Q4082">
        <v>0.8927863473050236</v>
      </c>
      <c r="R4082">
        <v>-5.8125586845296393</v>
      </c>
      <c r="S4082">
        <v>0.18020336327595371</v>
      </c>
      <c r="T4082">
        <v>0.1408479258077556</v>
      </c>
      <c r="U4082">
        <v>4.4286477380750293</v>
      </c>
      <c r="V4082">
        <v>0.20127646963296911</v>
      </c>
      <c r="W4082">
        <v>-1.8587224469529791</v>
      </c>
      <c r="X4082">
        <v>0.2544935730189487</v>
      </c>
      <c r="Z4082" t="s">
        <v>392</v>
      </c>
      <c r="AA4082">
        <v>161</v>
      </c>
      <c r="AB4082" t="s">
        <v>4473</v>
      </c>
      <c r="AC4082" t="str">
        <f>HYPERLINK("plots/3FT6Y578R04_015_S31P_20251219032831_M5358ACSA301811_RBGEUFRF04/dpll_52046/txpa_53203.png","plot")</f>
        <v>plot</v>
      </c>
    </row>
    <row r="4083" spans="1:29" x14ac:dyDescent="0.35">
      <c r="A4083" s="3" t="s">
        <v>50</v>
      </c>
      <c r="B4083">
        <v>52046</v>
      </c>
      <c r="C4083" t="s">
        <v>51</v>
      </c>
      <c r="D4083">
        <v>53204</v>
      </c>
      <c r="E4083" t="s">
        <v>79</v>
      </c>
      <c r="F4083">
        <v>11782</v>
      </c>
      <c r="G4083">
        <v>0.72755276124009161</v>
      </c>
      <c r="H4083">
        <v>0</v>
      </c>
      <c r="I4083">
        <v>0</v>
      </c>
      <c r="J4083">
        <v>0.62336331260270894</v>
      </c>
      <c r="K4083">
        <v>0</v>
      </c>
      <c r="L4083">
        <v>0</v>
      </c>
      <c r="M4083">
        <v>0.44689851758036081</v>
      </c>
      <c r="N4083">
        <v>0</v>
      </c>
      <c r="O4083">
        <v>0</v>
      </c>
      <c r="P4083">
        <v>0.52933302038808172</v>
      </c>
      <c r="Q4083">
        <v>0.92395105261251165</v>
      </c>
      <c r="R4083">
        <v>-5.9091416934118168</v>
      </c>
      <c r="S4083">
        <v>0.175354094793122</v>
      </c>
      <c r="T4083">
        <v>0.13786594345045811</v>
      </c>
      <c r="U4083">
        <v>4.4286477380750293</v>
      </c>
      <c r="V4083">
        <v>0.20127646963296911</v>
      </c>
      <c r="W4083">
        <v>-1.8172879541673741</v>
      </c>
      <c r="X4083">
        <v>0.25560978652123112</v>
      </c>
      <c r="Z4083" t="s">
        <v>392</v>
      </c>
      <c r="AA4083">
        <v>161</v>
      </c>
      <c r="AB4083" t="s">
        <v>4474</v>
      </c>
      <c r="AC4083" t="str">
        <f>HYPERLINK("plots/3FT6Y578R04_015_S31P_20251219032831_M5358ACSA301811_RBGEUFRF04/dpll_52046/txpa_53204.png","plot")</f>
        <v>plot</v>
      </c>
    </row>
    <row r="4084" spans="1:29" x14ac:dyDescent="0.35">
      <c r="A4084" s="3" t="s">
        <v>50</v>
      </c>
      <c r="B4084">
        <v>52046</v>
      </c>
      <c r="C4084" t="s">
        <v>51</v>
      </c>
      <c r="D4084">
        <v>53205</v>
      </c>
      <c r="E4084" t="s">
        <v>80</v>
      </c>
      <c r="F4084">
        <v>11782</v>
      </c>
      <c r="G4084">
        <v>0.71662265860907393</v>
      </c>
      <c r="H4084">
        <v>0</v>
      </c>
      <c r="I4084">
        <v>0</v>
      </c>
      <c r="J4084">
        <v>0.61038506057067177</v>
      </c>
      <c r="K4084">
        <v>0</v>
      </c>
      <c r="L4084">
        <v>0</v>
      </c>
      <c r="M4084">
        <v>0.43560265105203982</v>
      </c>
      <c r="N4084">
        <v>0</v>
      </c>
      <c r="O4084">
        <v>0</v>
      </c>
      <c r="P4084">
        <v>0.51354803483193734</v>
      </c>
      <c r="Q4084">
        <v>0.88978178358862559</v>
      </c>
      <c r="R4084">
        <v>-5.7418945265734758</v>
      </c>
      <c r="S4084">
        <v>0.17429604424774461</v>
      </c>
      <c r="T4084">
        <v>0.1369662005004999</v>
      </c>
      <c r="U4084">
        <v>4.4286477380750293</v>
      </c>
      <c r="V4084">
        <v>0.20127646963296911</v>
      </c>
      <c r="W4084">
        <v>-1.801364443303344</v>
      </c>
      <c r="X4084">
        <v>0.24991135012679239</v>
      </c>
      <c r="Z4084" t="s">
        <v>392</v>
      </c>
      <c r="AA4084">
        <v>161</v>
      </c>
      <c r="AB4084" t="s">
        <v>4475</v>
      </c>
      <c r="AC4084" t="str">
        <f>HYPERLINK("plots/3FT6Y578R04_015_S31P_20251219032831_M5358ACSA301811_RBGEUFRF04/dpll_52046/txpa_53205.png","plot")</f>
        <v>plot</v>
      </c>
    </row>
    <row r="4085" spans="1:29" x14ac:dyDescent="0.35">
      <c r="A4085" s="3" t="s">
        <v>50</v>
      </c>
      <c r="B4085">
        <v>52046</v>
      </c>
      <c r="C4085" t="s">
        <v>51</v>
      </c>
      <c r="D4085">
        <v>53206</v>
      </c>
      <c r="E4085" t="s">
        <v>81</v>
      </c>
      <c r="F4085">
        <v>11781</v>
      </c>
      <c r="G4085">
        <v>0.7323159825875758</v>
      </c>
      <c r="H4085">
        <v>0</v>
      </c>
      <c r="I4085">
        <v>0</v>
      </c>
      <c r="J4085">
        <v>0.62196129589557358</v>
      </c>
      <c r="K4085">
        <v>0</v>
      </c>
      <c r="L4085">
        <v>0</v>
      </c>
      <c r="M4085">
        <v>0.44600884005280389</v>
      </c>
      <c r="N4085">
        <v>0</v>
      </c>
      <c r="O4085">
        <v>0</v>
      </c>
      <c r="P4085">
        <v>0.53628669835320664</v>
      </c>
      <c r="Q4085">
        <v>0.92432504047737118</v>
      </c>
      <c r="R4085">
        <v>-5.8712161843296773</v>
      </c>
      <c r="S4085">
        <v>0.1729979380124812</v>
      </c>
      <c r="T4085">
        <v>0.13648026026719129</v>
      </c>
      <c r="U4085">
        <v>4.4286547017231142</v>
      </c>
      <c r="V4085">
        <v>0.20128359324518649</v>
      </c>
      <c r="W4085">
        <v>-1.7776997478991601</v>
      </c>
      <c r="X4085">
        <v>0.25405899898072798</v>
      </c>
      <c r="Z4085" t="s">
        <v>392</v>
      </c>
      <c r="AA4085">
        <v>161</v>
      </c>
      <c r="AB4085" t="s">
        <v>4476</v>
      </c>
      <c r="AC4085" t="str">
        <f>HYPERLINK("plots/3FT6Y578R04_015_S31P_20251219032831_M5358ACSA301811_RBGEUFRF04/dpll_52046/txpa_53206.png","plot")</f>
        <v>plot</v>
      </c>
    </row>
    <row r="4086" spans="1:29" x14ac:dyDescent="0.35">
      <c r="A4086" s="3" t="s">
        <v>50</v>
      </c>
      <c r="B4086">
        <v>52046</v>
      </c>
      <c r="C4086" t="s">
        <v>51</v>
      </c>
      <c r="D4086">
        <v>53207</v>
      </c>
      <c r="E4086" t="s">
        <v>82</v>
      </c>
      <c r="F4086">
        <v>11781</v>
      </c>
      <c r="G4086">
        <v>0.73490986501835698</v>
      </c>
      <c r="H4086">
        <v>0</v>
      </c>
      <c r="I4086">
        <v>0</v>
      </c>
      <c r="J4086">
        <v>0.61828108616939104</v>
      </c>
      <c r="K4086">
        <v>0</v>
      </c>
      <c r="L4086">
        <v>0</v>
      </c>
      <c r="M4086">
        <v>0.44185397458475761</v>
      </c>
      <c r="N4086">
        <v>0</v>
      </c>
      <c r="O4086">
        <v>0</v>
      </c>
      <c r="P4086">
        <v>0.54009250970129963</v>
      </c>
      <c r="Q4086">
        <v>0.92651141510174617</v>
      </c>
      <c r="R4086">
        <v>-5.8959816818804702</v>
      </c>
      <c r="S4086">
        <v>0.17206797758059059</v>
      </c>
      <c r="T4086">
        <v>0.13589432450793931</v>
      </c>
      <c r="U4086">
        <v>4.4286210779220783</v>
      </c>
      <c r="V4086">
        <v>0.20126420786155011</v>
      </c>
      <c r="W4086">
        <v>-1.7928137000254649</v>
      </c>
      <c r="X4086">
        <v>0.25373667562685248</v>
      </c>
      <c r="Z4086" t="s">
        <v>392</v>
      </c>
      <c r="AA4086">
        <v>161</v>
      </c>
      <c r="AB4086" t="s">
        <v>4477</v>
      </c>
      <c r="AC4086" t="str">
        <f>HYPERLINK("plots/3FT6Y578R04_015_S31P_20251219032831_M5358ACSA301811_RBGEUFRF04/dpll_52046/txpa_53207.png","plot")</f>
        <v>plot</v>
      </c>
    </row>
    <row r="4087" spans="1:29" x14ac:dyDescent="0.35">
      <c r="A4087" s="3" t="s">
        <v>50</v>
      </c>
      <c r="B4087">
        <v>52046</v>
      </c>
      <c r="C4087" t="s">
        <v>51</v>
      </c>
      <c r="D4087">
        <v>53208</v>
      </c>
      <c r="E4087" t="s">
        <v>83</v>
      </c>
      <c r="F4087">
        <v>11781</v>
      </c>
      <c r="G4087">
        <v>0.74169748640167954</v>
      </c>
      <c r="H4087">
        <v>0</v>
      </c>
      <c r="I4087">
        <v>0</v>
      </c>
      <c r="J4087">
        <v>0.63917635825647945</v>
      </c>
      <c r="K4087">
        <v>0</v>
      </c>
      <c r="L4087">
        <v>0</v>
      </c>
      <c r="M4087">
        <v>0.45919278894558357</v>
      </c>
      <c r="N4087">
        <v>0</v>
      </c>
      <c r="O4087">
        <v>0</v>
      </c>
      <c r="P4087">
        <v>0.55011516133456961</v>
      </c>
      <c r="Q4087">
        <v>0.93666458828108312</v>
      </c>
      <c r="R4087">
        <v>-5.9513747037433804</v>
      </c>
      <c r="S4087">
        <v>0.1704707256474951</v>
      </c>
      <c r="T4087">
        <v>0.13510682550653871</v>
      </c>
      <c r="U4087">
        <v>4.4286192746795683</v>
      </c>
      <c r="V4087">
        <v>0.20126129812424351</v>
      </c>
      <c r="W4087">
        <v>-1.803243854171972</v>
      </c>
      <c r="X4087">
        <v>0.25416606419826482</v>
      </c>
      <c r="Z4087" t="s">
        <v>392</v>
      </c>
      <c r="AA4087">
        <v>161</v>
      </c>
      <c r="AB4087" t="s">
        <v>4478</v>
      </c>
      <c r="AC4087" t="str">
        <f>HYPERLINK("plots/3FT6Y578R04_015_S31P_20251219032831_M5358ACSA301811_RBGEUFRF04/dpll_52046/txpa_53208.png","plot")</f>
        <v>plot</v>
      </c>
    </row>
    <row r="4088" spans="1:29" x14ac:dyDescent="0.35">
      <c r="A4088" s="3" t="s">
        <v>50</v>
      </c>
      <c r="B4088">
        <v>52046</v>
      </c>
      <c r="C4088" t="s">
        <v>51</v>
      </c>
      <c r="D4088">
        <v>53209</v>
      </c>
      <c r="E4088" t="s">
        <v>84</v>
      </c>
      <c r="F4088">
        <v>11782</v>
      </c>
      <c r="G4088">
        <v>0.73641613991300114</v>
      </c>
      <c r="H4088">
        <v>0</v>
      </c>
      <c r="I4088">
        <v>0</v>
      </c>
      <c r="J4088">
        <v>0.62841601316001883</v>
      </c>
      <c r="K4088">
        <v>0</v>
      </c>
      <c r="L4088">
        <v>0</v>
      </c>
      <c r="M4088">
        <v>0.45062183074319528</v>
      </c>
      <c r="N4088">
        <v>0</v>
      </c>
      <c r="O4088">
        <v>0</v>
      </c>
      <c r="P4088">
        <v>0.54230873112436484</v>
      </c>
      <c r="Q4088">
        <v>0.92031701916119235</v>
      </c>
      <c r="R4088">
        <v>-5.8703915154187758</v>
      </c>
      <c r="S4088">
        <v>0.17016688310552699</v>
      </c>
      <c r="T4088">
        <v>0.13462534318924291</v>
      </c>
      <c r="U4088">
        <v>4.4286477380750293</v>
      </c>
      <c r="V4088">
        <v>0.20127646963296911</v>
      </c>
      <c r="W4088">
        <v>-1.7946316301986081</v>
      </c>
      <c r="X4088">
        <v>0.25154006073493462</v>
      </c>
      <c r="Z4088" t="s">
        <v>392</v>
      </c>
      <c r="AA4088">
        <v>161</v>
      </c>
      <c r="AB4088" t="s">
        <v>4479</v>
      </c>
      <c r="AC4088" t="str">
        <f>HYPERLINK("plots/3FT6Y578R04_015_S31P_20251219032831_M5358ACSA301811_RBGEUFRF04/dpll_52046/txpa_53209.png","plot")</f>
        <v>plot</v>
      </c>
    </row>
    <row r="4089" spans="1:29" x14ac:dyDescent="0.35">
      <c r="A4089" s="3" t="s">
        <v>50</v>
      </c>
      <c r="B4089">
        <v>52046</v>
      </c>
      <c r="C4089" t="s">
        <v>51</v>
      </c>
      <c r="D4089">
        <v>53210</v>
      </c>
      <c r="E4089" t="s">
        <v>85</v>
      </c>
      <c r="F4089">
        <v>11781</v>
      </c>
      <c r="G4089">
        <v>0.72712931200868736</v>
      </c>
      <c r="H4089">
        <v>0</v>
      </c>
      <c r="I4089">
        <v>0</v>
      </c>
      <c r="J4089">
        <v>0.61961264519819892</v>
      </c>
      <c r="K4089">
        <v>0</v>
      </c>
      <c r="L4089">
        <v>0</v>
      </c>
      <c r="M4089">
        <v>0.44392946297473801</v>
      </c>
      <c r="N4089">
        <v>0</v>
      </c>
      <c r="O4089">
        <v>0</v>
      </c>
      <c r="P4089">
        <v>0.528717036382227</v>
      </c>
      <c r="Q4089">
        <v>0.91553815575048458</v>
      </c>
      <c r="R4089">
        <v>-5.8901797253438932</v>
      </c>
      <c r="S4089">
        <v>0.1739669852785049</v>
      </c>
      <c r="T4089">
        <v>0.13675228680977991</v>
      </c>
      <c r="U4089">
        <v>4.4286701896273666</v>
      </c>
      <c r="V4089">
        <v>0.20127025814248481</v>
      </c>
      <c r="W4089">
        <v>-1.8355631875053049</v>
      </c>
      <c r="X4089">
        <v>0.25342205011395952</v>
      </c>
      <c r="Z4089" t="s">
        <v>392</v>
      </c>
      <c r="AA4089">
        <v>161</v>
      </c>
      <c r="AB4089" t="s">
        <v>4480</v>
      </c>
      <c r="AC4089" t="str">
        <f>HYPERLINK("plots/3FT6Y578R04_015_S31P_20251219032831_M5358ACSA301811_RBGEUFRF04/dpll_52046/txpa_53210.png","plot")</f>
        <v>plot</v>
      </c>
    </row>
    <row r="4090" spans="1:29" x14ac:dyDescent="0.35">
      <c r="A4090" s="3" t="s">
        <v>50</v>
      </c>
      <c r="B4090">
        <v>52046</v>
      </c>
      <c r="C4090" t="s">
        <v>51</v>
      </c>
      <c r="D4090">
        <v>53211</v>
      </c>
      <c r="E4090" t="s">
        <v>86</v>
      </c>
      <c r="F4090">
        <v>11782</v>
      </c>
      <c r="G4090">
        <v>0.74627684288440577</v>
      </c>
      <c r="H4090">
        <v>0</v>
      </c>
      <c r="I4090">
        <v>0</v>
      </c>
      <c r="J4090">
        <v>0.6514338368721464</v>
      </c>
      <c r="K4090">
        <v>0</v>
      </c>
      <c r="L4090">
        <v>0</v>
      </c>
      <c r="M4090">
        <v>0.46799780323773083</v>
      </c>
      <c r="N4090">
        <v>0</v>
      </c>
      <c r="O4090">
        <v>0</v>
      </c>
      <c r="P4090">
        <v>0.55692912622551605</v>
      </c>
      <c r="Q4090">
        <v>0.97824918450692122</v>
      </c>
      <c r="R4090">
        <v>-2.6274343096798032</v>
      </c>
      <c r="S4090">
        <v>0.17561463481633219</v>
      </c>
      <c r="T4090">
        <v>0.13698028831738721</v>
      </c>
      <c r="U4090">
        <v>4.4286477380750293</v>
      </c>
      <c r="V4090">
        <v>0.20127646963296911</v>
      </c>
      <c r="W4090">
        <v>1.704886728560516</v>
      </c>
      <c r="X4090">
        <v>0.26384115245738993</v>
      </c>
      <c r="Z4090" t="s">
        <v>392</v>
      </c>
      <c r="AA4090">
        <v>161</v>
      </c>
      <c r="AB4090" t="s">
        <v>4481</v>
      </c>
      <c r="AC4090" t="str">
        <f>HYPERLINK("plots/3FT6Y578R04_015_S31P_20251219032831_M5358ACSA301811_RBGEUFRF04/dpll_52046/txpa_53211.png","plot")</f>
        <v>plot</v>
      </c>
    </row>
    <row r="4091" spans="1:29" x14ac:dyDescent="0.35">
      <c r="A4091" s="3" t="s">
        <v>50</v>
      </c>
      <c r="B4091">
        <v>52046</v>
      </c>
      <c r="C4091" t="s">
        <v>51</v>
      </c>
      <c r="D4091">
        <v>53212</v>
      </c>
      <c r="E4091" t="s">
        <v>87</v>
      </c>
      <c r="F4091">
        <v>11782</v>
      </c>
      <c r="G4091">
        <v>0.76677467302518987</v>
      </c>
      <c r="H4091">
        <v>0</v>
      </c>
      <c r="I4091">
        <v>0</v>
      </c>
      <c r="J4091">
        <v>0.6697990488277924</v>
      </c>
      <c r="K4091">
        <v>0</v>
      </c>
      <c r="L4091">
        <v>0</v>
      </c>
      <c r="M4091">
        <v>0.48598743905829161</v>
      </c>
      <c r="N4091">
        <v>0</v>
      </c>
      <c r="O4091">
        <v>0</v>
      </c>
      <c r="P4091">
        <v>0.58794339919288685</v>
      </c>
      <c r="Q4091">
        <v>1.0123752541115369</v>
      </c>
      <c r="R4091">
        <v>-2.740366000185348</v>
      </c>
      <c r="S4091">
        <v>0.17057947540284721</v>
      </c>
      <c r="T4091">
        <v>0.13399790934356631</v>
      </c>
      <c r="U4091">
        <v>4.4286477380750293</v>
      </c>
      <c r="V4091">
        <v>0.20127646963296911</v>
      </c>
      <c r="W4091">
        <v>1.7430873790188419</v>
      </c>
      <c r="X4091">
        <v>0.26574601934544601</v>
      </c>
      <c r="Z4091" t="s">
        <v>392</v>
      </c>
      <c r="AA4091">
        <v>161</v>
      </c>
      <c r="AB4091" t="s">
        <v>4482</v>
      </c>
      <c r="AC4091" t="str">
        <f>HYPERLINK("plots/3FT6Y578R04_015_S31P_20251219032831_M5358ACSA301811_RBGEUFRF04/dpll_52046/txpa_53212.png","plot")</f>
        <v>plot</v>
      </c>
    </row>
    <row r="4092" spans="1:29" x14ac:dyDescent="0.35">
      <c r="A4092" s="3" t="s">
        <v>50</v>
      </c>
      <c r="B4092">
        <v>52046</v>
      </c>
      <c r="C4092" t="s">
        <v>51</v>
      </c>
      <c r="D4092">
        <v>53213</v>
      </c>
      <c r="E4092" t="s">
        <v>88</v>
      </c>
      <c r="F4092">
        <v>11782</v>
      </c>
      <c r="G4092">
        <v>0.75736545085710683</v>
      </c>
      <c r="H4092">
        <v>0</v>
      </c>
      <c r="I4092">
        <v>0</v>
      </c>
      <c r="J4092">
        <v>0.65781966743597264</v>
      </c>
      <c r="K4092">
        <v>0</v>
      </c>
      <c r="L4092">
        <v>0</v>
      </c>
      <c r="M4092">
        <v>0.47489841198022559</v>
      </c>
      <c r="N4092">
        <v>0</v>
      </c>
      <c r="O4092">
        <v>0</v>
      </c>
      <c r="P4092">
        <v>0.57360242615198864</v>
      </c>
      <c r="Q4092">
        <v>0.97921287630191756</v>
      </c>
      <c r="R4092">
        <v>-2.5786412913580352</v>
      </c>
      <c r="S4092">
        <v>0.16992354640685689</v>
      </c>
      <c r="T4092">
        <v>0.13339731888617051</v>
      </c>
      <c r="U4092">
        <v>4.4286477380750293</v>
      </c>
      <c r="V4092">
        <v>0.20127646963296911</v>
      </c>
      <c r="W4092">
        <v>1.757947598370396</v>
      </c>
      <c r="X4092">
        <v>0.26023435652913213</v>
      </c>
      <c r="Z4092" t="s">
        <v>392</v>
      </c>
      <c r="AA4092">
        <v>161</v>
      </c>
      <c r="AB4092" t="s">
        <v>4483</v>
      </c>
      <c r="AC4092" t="str">
        <f>HYPERLINK("plots/3FT6Y578R04_015_S31P_20251219032831_M5358ACSA301811_RBGEUFRF04/dpll_52046/txpa_53213.png","plot")</f>
        <v>plot</v>
      </c>
    </row>
    <row r="4093" spans="1:29" x14ac:dyDescent="0.35">
      <c r="A4093" s="3" t="s">
        <v>50</v>
      </c>
      <c r="B4093">
        <v>52046</v>
      </c>
      <c r="C4093" t="s">
        <v>51</v>
      </c>
      <c r="D4093">
        <v>53214</v>
      </c>
      <c r="E4093" t="s">
        <v>89</v>
      </c>
      <c r="F4093">
        <v>11781</v>
      </c>
      <c r="G4093">
        <v>0.77148346576849192</v>
      </c>
      <c r="H4093">
        <v>0</v>
      </c>
      <c r="I4093">
        <v>0</v>
      </c>
      <c r="J4093">
        <v>0.66947149267993267</v>
      </c>
      <c r="K4093">
        <v>0</v>
      </c>
      <c r="L4093">
        <v>0</v>
      </c>
      <c r="M4093">
        <v>0.48573809102966209</v>
      </c>
      <c r="N4093">
        <v>0</v>
      </c>
      <c r="O4093">
        <v>0</v>
      </c>
      <c r="P4093">
        <v>0.59518673795416388</v>
      </c>
      <c r="Q4093">
        <v>1.010656315000265</v>
      </c>
      <c r="R4093">
        <v>-2.7000852012300109</v>
      </c>
      <c r="S4093">
        <v>0.16776222640095459</v>
      </c>
      <c r="T4093">
        <v>0.1323506518964552</v>
      </c>
      <c r="U4093">
        <v>4.4286547017231142</v>
      </c>
      <c r="V4093">
        <v>0.20128359324518649</v>
      </c>
      <c r="W4093">
        <v>1.775762640022069</v>
      </c>
      <c r="X4093">
        <v>0.26368489234769638</v>
      </c>
      <c r="Z4093" t="s">
        <v>392</v>
      </c>
      <c r="AA4093">
        <v>161</v>
      </c>
      <c r="AB4093" t="s">
        <v>4484</v>
      </c>
      <c r="AC4093" t="str">
        <f>HYPERLINK("plots/3FT6Y578R04_015_S31P_20251219032831_M5358ACSA301811_RBGEUFRF04/dpll_52046/txpa_53214.png","plot")</f>
        <v>plot</v>
      </c>
    </row>
    <row r="4094" spans="1:29" x14ac:dyDescent="0.35">
      <c r="A4094" s="3" t="s">
        <v>50</v>
      </c>
      <c r="B4094">
        <v>52046</v>
      </c>
      <c r="C4094" t="s">
        <v>51</v>
      </c>
      <c r="D4094">
        <v>53215</v>
      </c>
      <c r="E4094" t="s">
        <v>90</v>
      </c>
      <c r="F4094">
        <v>11781</v>
      </c>
      <c r="G4094">
        <v>0.77388241679356484</v>
      </c>
      <c r="H4094">
        <v>0</v>
      </c>
      <c r="I4094">
        <v>0</v>
      </c>
      <c r="J4094">
        <v>0.6669720265918575</v>
      </c>
      <c r="K4094">
        <v>0</v>
      </c>
      <c r="L4094">
        <v>0</v>
      </c>
      <c r="M4094">
        <v>0.482571830500304</v>
      </c>
      <c r="N4094">
        <v>0</v>
      </c>
      <c r="O4094">
        <v>0</v>
      </c>
      <c r="P4094">
        <v>0.59889399502224883</v>
      </c>
      <c r="Q4094">
        <v>1.0122576606282101</v>
      </c>
      <c r="R4094">
        <v>-2.7232412214153481</v>
      </c>
      <c r="S4094">
        <v>0.16672233739940681</v>
      </c>
      <c r="T4094">
        <v>0.13158473513293509</v>
      </c>
      <c r="U4094">
        <v>4.4286210779220783</v>
      </c>
      <c r="V4094">
        <v>0.20126420786155011</v>
      </c>
      <c r="W4094">
        <v>1.759664390730838</v>
      </c>
      <c r="X4094">
        <v>0.2632586447205304</v>
      </c>
      <c r="Z4094" t="s">
        <v>392</v>
      </c>
      <c r="AA4094">
        <v>161</v>
      </c>
      <c r="AB4094" t="s">
        <v>4485</v>
      </c>
      <c r="AC4094" t="str">
        <f>HYPERLINK("plots/3FT6Y578R04_015_S31P_20251219032831_M5358ACSA301811_RBGEUFRF04/dpll_52046/txpa_53215.png","plot")</f>
        <v>plot</v>
      </c>
    </row>
    <row r="4095" spans="1:29" x14ac:dyDescent="0.35">
      <c r="A4095" s="3" t="s">
        <v>50</v>
      </c>
      <c r="B4095">
        <v>52046</v>
      </c>
      <c r="C4095" t="s">
        <v>51</v>
      </c>
      <c r="D4095">
        <v>53216</v>
      </c>
      <c r="E4095" t="s">
        <v>91</v>
      </c>
      <c r="F4095">
        <v>11781</v>
      </c>
      <c r="G4095">
        <v>0.77903811451813731</v>
      </c>
      <c r="H4095">
        <v>0</v>
      </c>
      <c r="I4095">
        <v>0</v>
      </c>
      <c r="J4095">
        <v>0.68388148573033813</v>
      </c>
      <c r="K4095">
        <v>0</v>
      </c>
      <c r="L4095">
        <v>0</v>
      </c>
      <c r="M4095">
        <v>0.49717118435373853</v>
      </c>
      <c r="N4095">
        <v>0</v>
      </c>
      <c r="O4095">
        <v>0</v>
      </c>
      <c r="P4095">
        <v>0.60690038387197442</v>
      </c>
      <c r="Q4095">
        <v>1.0247665781945301</v>
      </c>
      <c r="R4095">
        <v>-2.782746795742649</v>
      </c>
      <c r="S4095">
        <v>0.16598138853136529</v>
      </c>
      <c r="T4095">
        <v>0.13147164364609609</v>
      </c>
      <c r="U4095">
        <v>4.4286192746795683</v>
      </c>
      <c r="V4095">
        <v>0.20126129812424351</v>
      </c>
      <c r="W4095">
        <v>1.755554224497071</v>
      </c>
      <c r="X4095">
        <v>0.26474423774418337</v>
      </c>
      <c r="Z4095" t="s">
        <v>392</v>
      </c>
      <c r="AA4095">
        <v>161</v>
      </c>
      <c r="AB4095" t="s">
        <v>4486</v>
      </c>
      <c r="AC4095" t="str">
        <f>HYPERLINK("plots/3FT6Y578R04_015_S31P_20251219032831_M5358ACSA301811_RBGEUFRF04/dpll_52046/txpa_53216.png","plot")</f>
        <v>plot</v>
      </c>
    </row>
    <row r="4096" spans="1:29" x14ac:dyDescent="0.35">
      <c r="A4096" s="3" t="s">
        <v>50</v>
      </c>
      <c r="B4096">
        <v>52046</v>
      </c>
      <c r="C4096" t="s">
        <v>51</v>
      </c>
      <c r="D4096">
        <v>53217</v>
      </c>
      <c r="E4096" t="s">
        <v>92</v>
      </c>
      <c r="F4096">
        <v>11782</v>
      </c>
      <c r="G4096">
        <v>0.77376779883254942</v>
      </c>
      <c r="H4096">
        <v>0</v>
      </c>
      <c r="I4096">
        <v>0</v>
      </c>
      <c r="J4096">
        <v>0.67268479487341337</v>
      </c>
      <c r="K4096">
        <v>0</v>
      </c>
      <c r="L4096">
        <v>0</v>
      </c>
      <c r="M4096">
        <v>0.48817495426263841</v>
      </c>
      <c r="N4096">
        <v>0</v>
      </c>
      <c r="O4096">
        <v>0</v>
      </c>
      <c r="P4096">
        <v>0.59871660651016867</v>
      </c>
      <c r="Q4096">
        <v>1.00721479573326</v>
      </c>
      <c r="R4096">
        <v>-2.6969839872176058</v>
      </c>
      <c r="S4096">
        <v>0.16596312874636959</v>
      </c>
      <c r="T4096">
        <v>0.13121191207039529</v>
      </c>
      <c r="U4096">
        <v>4.4286477380750293</v>
      </c>
      <c r="V4096">
        <v>0.20127646963296911</v>
      </c>
      <c r="W4096">
        <v>1.763615539662196</v>
      </c>
      <c r="X4096">
        <v>0.26200190619609232</v>
      </c>
      <c r="Z4096" t="s">
        <v>392</v>
      </c>
      <c r="AA4096">
        <v>161</v>
      </c>
      <c r="AB4096" t="s">
        <v>4487</v>
      </c>
      <c r="AC4096" t="str">
        <f>HYPERLINK("plots/3FT6Y578R04_015_S31P_20251219032831_M5358ACSA301811_RBGEUFRF04/dpll_52046/txpa_53217.png","plot")</f>
        <v>plot</v>
      </c>
    </row>
    <row r="4097" spans="1:29" x14ac:dyDescent="0.35">
      <c r="A4097" s="3" t="s">
        <v>50</v>
      </c>
      <c r="B4097">
        <v>52046</v>
      </c>
      <c r="C4097" t="s">
        <v>51</v>
      </c>
      <c r="D4097">
        <v>53218</v>
      </c>
      <c r="E4097" t="s">
        <v>93</v>
      </c>
      <c r="F4097">
        <v>11781</v>
      </c>
      <c r="G4097">
        <v>0.7663625257140847</v>
      </c>
      <c r="H4097">
        <v>0</v>
      </c>
      <c r="I4097">
        <v>0</v>
      </c>
      <c r="J4097">
        <v>0.6663614202606406</v>
      </c>
      <c r="K4097">
        <v>0</v>
      </c>
      <c r="L4097">
        <v>0</v>
      </c>
      <c r="M4097">
        <v>0.48305863621616962</v>
      </c>
      <c r="N4097">
        <v>0</v>
      </c>
      <c r="O4097">
        <v>0</v>
      </c>
      <c r="P4097">
        <v>0.58731152081887117</v>
      </c>
      <c r="Q4097">
        <v>1.0009309352299649</v>
      </c>
      <c r="R4097">
        <v>-2.7052668252864658</v>
      </c>
      <c r="S4097">
        <v>0.16886599186544471</v>
      </c>
      <c r="T4097">
        <v>0.13261102376916559</v>
      </c>
      <c r="U4097">
        <v>4.4286701896273666</v>
      </c>
      <c r="V4097">
        <v>0.20127025814248481</v>
      </c>
      <c r="W4097">
        <v>1.727526169442323</v>
      </c>
      <c r="X4097">
        <v>0.26287510278352783</v>
      </c>
      <c r="Z4097" t="s">
        <v>392</v>
      </c>
      <c r="AA4097">
        <v>161</v>
      </c>
      <c r="AB4097" t="s">
        <v>4488</v>
      </c>
      <c r="AC4097" t="str">
        <f>HYPERLINK("plots/3FT6Y578R04_015_S31P_20251219032831_M5358ACSA301811_RBGEUFRF04/dpll_52046/txpa_53218.png","plot")</f>
        <v>plot</v>
      </c>
    </row>
    <row r="4098" spans="1:29" x14ac:dyDescent="0.35">
      <c r="A4098" s="3" t="s">
        <v>50</v>
      </c>
      <c r="B4098">
        <v>52046</v>
      </c>
      <c r="C4098" t="s">
        <v>51</v>
      </c>
      <c r="D4098">
        <v>53219</v>
      </c>
      <c r="E4098" t="s">
        <v>94</v>
      </c>
      <c r="F4098">
        <v>11782</v>
      </c>
      <c r="G4098">
        <v>0.77212967722880421</v>
      </c>
      <c r="H4098">
        <v>0</v>
      </c>
      <c r="I4098">
        <v>0</v>
      </c>
      <c r="J4098">
        <v>0.67892548741410974</v>
      </c>
      <c r="K4098">
        <v>0</v>
      </c>
      <c r="L4098">
        <v>0</v>
      </c>
      <c r="M4098">
        <v>0.49126067816586239</v>
      </c>
      <c r="N4098">
        <v>0</v>
      </c>
      <c r="O4098">
        <v>0</v>
      </c>
      <c r="P4098">
        <v>0.59618423845745738</v>
      </c>
      <c r="Q4098">
        <v>1.05667908899353</v>
      </c>
      <c r="R4098">
        <v>-0.97212894749685086</v>
      </c>
      <c r="S4098">
        <v>0.17503265326847189</v>
      </c>
      <c r="T4098">
        <v>0.13626669459803101</v>
      </c>
      <c r="U4098">
        <v>4.4286477380750293</v>
      </c>
      <c r="V4098">
        <v>0.20127646963296911</v>
      </c>
      <c r="W4098">
        <v>3.7075305098455269</v>
      </c>
      <c r="X4098">
        <v>0.27545196466341099</v>
      </c>
      <c r="Z4098" t="s">
        <v>392</v>
      </c>
      <c r="AA4098">
        <v>161</v>
      </c>
      <c r="AB4098" t="s">
        <v>4489</v>
      </c>
      <c r="AC4098" t="str">
        <f>HYPERLINK("plots/3FT6Y578R04_015_S31P_20251219032831_M5358ACSA301811_RBGEUFRF04/dpll_52046/txpa_53219.png","plot")</f>
        <v>plot</v>
      </c>
    </row>
    <row r="4099" spans="1:29" x14ac:dyDescent="0.35">
      <c r="A4099" s="3" t="s">
        <v>50</v>
      </c>
      <c r="B4099">
        <v>52046</v>
      </c>
      <c r="C4099" t="s">
        <v>51</v>
      </c>
      <c r="D4099">
        <v>53220</v>
      </c>
      <c r="E4099" t="s">
        <v>95</v>
      </c>
      <c r="F4099">
        <v>11782</v>
      </c>
      <c r="G4099">
        <v>0.79082719858020234</v>
      </c>
      <c r="H4099">
        <v>0</v>
      </c>
      <c r="I4099">
        <v>0</v>
      </c>
      <c r="J4099">
        <v>0.69586139096860711</v>
      </c>
      <c r="K4099">
        <v>0</v>
      </c>
      <c r="L4099">
        <v>0</v>
      </c>
      <c r="M4099">
        <v>0.50870611523987708</v>
      </c>
      <c r="N4099">
        <v>0</v>
      </c>
      <c r="O4099">
        <v>0</v>
      </c>
      <c r="P4099">
        <v>0.62540765801421083</v>
      </c>
      <c r="Q4099">
        <v>1.090174751428336</v>
      </c>
      <c r="R4099">
        <v>-1.0833644807999521</v>
      </c>
      <c r="S4099">
        <v>0.16981206550449049</v>
      </c>
      <c r="T4099">
        <v>0.133367395438899</v>
      </c>
      <c r="U4099">
        <v>4.4286477380750293</v>
      </c>
      <c r="V4099">
        <v>0.20127646963296911</v>
      </c>
      <c r="W4099">
        <v>3.7446354662196581</v>
      </c>
      <c r="X4099">
        <v>0.27746456576662842</v>
      </c>
      <c r="Z4099" t="s">
        <v>392</v>
      </c>
      <c r="AA4099">
        <v>161</v>
      </c>
      <c r="AB4099" t="s">
        <v>4490</v>
      </c>
      <c r="AC4099" t="str">
        <f>HYPERLINK("plots/3FT6Y578R04_015_S31P_20251219032831_M5358ACSA301811_RBGEUFRF04/dpll_52046/txpa_53220.png","plot")</f>
        <v>plot</v>
      </c>
    </row>
    <row r="4100" spans="1:29" x14ac:dyDescent="0.35">
      <c r="A4100" s="3" t="s">
        <v>50</v>
      </c>
      <c r="B4100">
        <v>52046</v>
      </c>
      <c r="C4100" t="s">
        <v>51</v>
      </c>
      <c r="D4100">
        <v>53221</v>
      </c>
      <c r="E4100" t="s">
        <v>96</v>
      </c>
      <c r="F4100">
        <v>11782</v>
      </c>
      <c r="G4100">
        <v>0.78241191102546892</v>
      </c>
      <c r="H4100">
        <v>0</v>
      </c>
      <c r="I4100">
        <v>0</v>
      </c>
      <c r="J4100">
        <v>0.68472770770025415</v>
      </c>
      <c r="K4100">
        <v>0</v>
      </c>
      <c r="L4100">
        <v>0</v>
      </c>
      <c r="M4100">
        <v>0.49806926308246519</v>
      </c>
      <c r="N4100">
        <v>0</v>
      </c>
      <c r="O4100">
        <v>0</v>
      </c>
      <c r="P4100">
        <v>0.61216839851452631</v>
      </c>
      <c r="Q4100">
        <v>1.0584532125552579</v>
      </c>
      <c r="R4100">
        <v>-0.92781111694986862</v>
      </c>
      <c r="S4100">
        <v>0.169563504559127</v>
      </c>
      <c r="T4100">
        <v>0.1328367241673179</v>
      </c>
      <c r="U4100">
        <v>4.4286477380750293</v>
      </c>
      <c r="V4100">
        <v>0.20127646963296911</v>
      </c>
      <c r="W4100">
        <v>3.759705308691224</v>
      </c>
      <c r="X4100">
        <v>0.27228844920775008</v>
      </c>
      <c r="Z4100" t="s">
        <v>392</v>
      </c>
      <c r="AA4100">
        <v>161</v>
      </c>
      <c r="AB4100" t="s">
        <v>4491</v>
      </c>
      <c r="AC4100" t="str">
        <f>HYPERLINK("plots/3FT6Y578R04_015_S31P_20251219032831_M5358ACSA301811_RBGEUFRF04/dpll_52046/txpa_53221.png","plot")</f>
        <v>plot</v>
      </c>
    </row>
    <row r="4101" spans="1:29" x14ac:dyDescent="0.35">
      <c r="A4101" s="3" t="s">
        <v>50</v>
      </c>
      <c r="B4101">
        <v>52046</v>
      </c>
      <c r="C4101" t="s">
        <v>51</v>
      </c>
      <c r="D4101">
        <v>53222</v>
      </c>
      <c r="E4101" t="s">
        <v>97</v>
      </c>
      <c r="F4101">
        <v>11781</v>
      </c>
      <c r="G4101">
        <v>0.79553091087017713</v>
      </c>
      <c r="H4101">
        <v>0</v>
      </c>
      <c r="I4101">
        <v>0</v>
      </c>
      <c r="J4101">
        <v>0.6960049371093876</v>
      </c>
      <c r="K4101">
        <v>0</v>
      </c>
      <c r="L4101">
        <v>0</v>
      </c>
      <c r="M4101">
        <v>0.50885644031411259</v>
      </c>
      <c r="N4101">
        <v>0</v>
      </c>
      <c r="O4101">
        <v>0</v>
      </c>
      <c r="P4101">
        <v>0.63286943014993369</v>
      </c>
      <c r="Q4101">
        <v>1.088161851380798</v>
      </c>
      <c r="R4101">
        <v>-1.044747100711418</v>
      </c>
      <c r="S4101">
        <v>0.166815597528361</v>
      </c>
      <c r="T4101">
        <v>0.13160955702001109</v>
      </c>
      <c r="U4101">
        <v>4.4286547017231142</v>
      </c>
      <c r="V4101">
        <v>0.20128359324518649</v>
      </c>
      <c r="W4101">
        <v>3.774345998641881</v>
      </c>
      <c r="X4101">
        <v>0.2753244713504352</v>
      </c>
      <c r="Z4101" t="s">
        <v>392</v>
      </c>
      <c r="AA4101">
        <v>161</v>
      </c>
      <c r="AB4101" t="s">
        <v>4492</v>
      </c>
      <c r="AC4101" t="str">
        <f>HYPERLINK("plots/3FT6Y578R04_015_S31P_20251219032831_M5358ACSA301811_RBGEUFRF04/dpll_52046/txpa_53222.png","plot")</f>
        <v>plot</v>
      </c>
    </row>
    <row r="4102" spans="1:29" x14ac:dyDescent="0.35">
      <c r="A4102" s="3" t="s">
        <v>50</v>
      </c>
      <c r="B4102">
        <v>52046</v>
      </c>
      <c r="C4102" t="s">
        <v>51</v>
      </c>
      <c r="D4102">
        <v>53223</v>
      </c>
      <c r="E4102" t="s">
        <v>98</v>
      </c>
      <c r="F4102">
        <v>11781</v>
      </c>
      <c r="G4102">
        <v>0.79807027278412468</v>
      </c>
      <c r="H4102">
        <v>0</v>
      </c>
      <c r="I4102">
        <v>0</v>
      </c>
      <c r="J4102">
        <v>0.69432864065550148</v>
      </c>
      <c r="K4102">
        <v>0</v>
      </c>
      <c r="L4102">
        <v>0</v>
      </c>
      <c r="M4102">
        <v>0.50623938519856571</v>
      </c>
      <c r="N4102">
        <v>0</v>
      </c>
      <c r="O4102">
        <v>0</v>
      </c>
      <c r="P4102">
        <v>0.63691616030172715</v>
      </c>
      <c r="Q4102">
        <v>1.089390582910295</v>
      </c>
      <c r="R4102">
        <v>-1.0678273807341661</v>
      </c>
      <c r="S4102">
        <v>0.16553661032193559</v>
      </c>
      <c r="T4102">
        <v>0.13047618574195519</v>
      </c>
      <c r="U4102">
        <v>4.4286210779220783</v>
      </c>
      <c r="V4102">
        <v>0.20126420786155011</v>
      </c>
      <c r="W4102">
        <v>3.7566707168321871</v>
      </c>
      <c r="X4102">
        <v>0.27473186284258538</v>
      </c>
      <c r="Z4102" t="s">
        <v>392</v>
      </c>
      <c r="AA4102">
        <v>161</v>
      </c>
      <c r="AB4102" t="s">
        <v>4493</v>
      </c>
      <c r="AC4102" t="str">
        <f>HYPERLINK("plots/3FT6Y578R04_015_S31P_20251219032831_M5358ACSA301811_RBGEUFRF04/dpll_52046/txpa_53223.png","plot")</f>
        <v>plot</v>
      </c>
    </row>
    <row r="4103" spans="1:29" x14ac:dyDescent="0.35">
      <c r="A4103" s="3" t="s">
        <v>50</v>
      </c>
      <c r="B4103">
        <v>52046</v>
      </c>
      <c r="C4103" t="s">
        <v>51</v>
      </c>
      <c r="D4103">
        <v>53224</v>
      </c>
      <c r="E4103" t="s">
        <v>99</v>
      </c>
      <c r="F4103">
        <v>11781</v>
      </c>
      <c r="G4103">
        <v>0.80210807907651471</v>
      </c>
      <c r="H4103">
        <v>0</v>
      </c>
      <c r="I4103">
        <v>0</v>
      </c>
      <c r="J4103">
        <v>0.70935889766563343</v>
      </c>
      <c r="K4103">
        <v>0</v>
      </c>
      <c r="L4103">
        <v>0</v>
      </c>
      <c r="M4103">
        <v>0.51985235454135725</v>
      </c>
      <c r="N4103">
        <v>0</v>
      </c>
      <c r="O4103">
        <v>0</v>
      </c>
      <c r="P4103">
        <v>0.64337737051981636</v>
      </c>
      <c r="Q4103">
        <v>1.10224681549143</v>
      </c>
      <c r="R4103">
        <v>-1.12480786542807</v>
      </c>
      <c r="S4103">
        <v>0.1651551983001589</v>
      </c>
      <c r="T4103">
        <v>0.13078637831924611</v>
      </c>
      <c r="U4103">
        <v>4.4286192746795683</v>
      </c>
      <c r="V4103">
        <v>0.20126129812424351</v>
      </c>
      <c r="W4103">
        <v>3.756623627111451</v>
      </c>
      <c r="X4103">
        <v>0.27657073993635339</v>
      </c>
      <c r="Z4103" t="s">
        <v>392</v>
      </c>
      <c r="AA4103">
        <v>161</v>
      </c>
      <c r="AB4103" t="s">
        <v>4494</v>
      </c>
      <c r="AC4103" t="str">
        <f>HYPERLINK("plots/3FT6Y578R04_015_S31P_20251219032831_M5358ACSA301811_RBGEUFRF04/dpll_52046/txpa_53224.png","plot")</f>
        <v>plot</v>
      </c>
    </row>
    <row r="4104" spans="1:29" x14ac:dyDescent="0.35">
      <c r="A4104" s="3" t="s">
        <v>50</v>
      </c>
      <c r="B4104">
        <v>52046</v>
      </c>
      <c r="C4104" t="s">
        <v>51</v>
      </c>
      <c r="D4104">
        <v>53225</v>
      </c>
      <c r="E4104" t="s">
        <v>100</v>
      </c>
      <c r="F4104">
        <v>11782</v>
      </c>
      <c r="G4104">
        <v>0.79741319263227595</v>
      </c>
      <c r="H4104">
        <v>0</v>
      </c>
      <c r="I4104">
        <v>0</v>
      </c>
      <c r="J4104">
        <v>0.6985453070081058</v>
      </c>
      <c r="K4104">
        <v>0</v>
      </c>
      <c r="L4104">
        <v>0</v>
      </c>
      <c r="M4104">
        <v>0.51089910829701957</v>
      </c>
      <c r="N4104">
        <v>0</v>
      </c>
      <c r="O4104">
        <v>0</v>
      </c>
      <c r="P4104">
        <v>0.63586779978399921</v>
      </c>
      <c r="Q4104">
        <v>1.0854960764062289</v>
      </c>
      <c r="R4104">
        <v>-1.0432790459610961</v>
      </c>
      <c r="S4104">
        <v>0.1653289697078523</v>
      </c>
      <c r="T4104">
        <v>0.13078302892864971</v>
      </c>
      <c r="U4104">
        <v>4.4286477380750293</v>
      </c>
      <c r="V4104">
        <v>0.20127646963296911</v>
      </c>
      <c r="W4104">
        <v>3.764000697504668</v>
      </c>
      <c r="X4104">
        <v>0.27399197815910581</v>
      </c>
      <c r="Z4104" t="s">
        <v>392</v>
      </c>
      <c r="AA4104">
        <v>161</v>
      </c>
      <c r="AB4104" t="s">
        <v>4495</v>
      </c>
      <c r="AC4104" t="str">
        <f>HYPERLINK("plots/3FT6Y578R04_015_S31P_20251219032831_M5358ACSA301811_RBGEUFRF04/dpll_52046/txpa_53225.png","plot")</f>
        <v>plot</v>
      </c>
    </row>
    <row r="4105" spans="1:29" x14ac:dyDescent="0.35">
      <c r="A4105" s="3" t="s">
        <v>50</v>
      </c>
      <c r="B4105">
        <v>52046</v>
      </c>
      <c r="C4105" t="s">
        <v>51</v>
      </c>
      <c r="D4105">
        <v>53226</v>
      </c>
      <c r="E4105" t="s">
        <v>101</v>
      </c>
      <c r="F4105">
        <v>11781</v>
      </c>
      <c r="G4105">
        <v>0.79142805676806405</v>
      </c>
      <c r="H4105">
        <v>0</v>
      </c>
      <c r="I4105">
        <v>0</v>
      </c>
      <c r="J4105">
        <v>0.69354599999211619</v>
      </c>
      <c r="K4105">
        <v>0</v>
      </c>
      <c r="L4105">
        <v>0</v>
      </c>
      <c r="M4105">
        <v>0.50665483730939598</v>
      </c>
      <c r="N4105">
        <v>0</v>
      </c>
      <c r="O4105">
        <v>0</v>
      </c>
      <c r="P4105">
        <v>0.62635836903967401</v>
      </c>
      <c r="Q4105">
        <v>1.0792197415342131</v>
      </c>
      <c r="R4105">
        <v>-1.049675871025435</v>
      </c>
      <c r="S4105">
        <v>0.16775954483650921</v>
      </c>
      <c r="T4105">
        <v>0.1315888581704156</v>
      </c>
      <c r="U4105">
        <v>4.4286701896273666</v>
      </c>
      <c r="V4105">
        <v>0.20127025814248481</v>
      </c>
      <c r="W4105">
        <v>3.7298324263644851</v>
      </c>
      <c r="X4105">
        <v>0.2744593575038165</v>
      </c>
      <c r="Z4105" t="s">
        <v>392</v>
      </c>
      <c r="AA4105">
        <v>161</v>
      </c>
      <c r="AB4105" t="s">
        <v>4496</v>
      </c>
      <c r="AC4105" t="str">
        <f>HYPERLINK("plots/3FT6Y578R04_015_S31P_20251219032831_M5358ACSA301811_RBGEUFRF04/dpll_52046/txpa_53226.png","plot")</f>
        <v>plot</v>
      </c>
    </row>
    <row r="4106" spans="1:29" x14ac:dyDescent="0.35">
      <c r="A4106" s="3" t="s">
        <v>50</v>
      </c>
      <c r="B4106">
        <v>52046</v>
      </c>
      <c r="C4106" t="s">
        <v>51</v>
      </c>
      <c r="D4106">
        <v>53227</v>
      </c>
      <c r="E4106" t="s">
        <v>102</v>
      </c>
      <c r="F4106">
        <v>11782</v>
      </c>
      <c r="G4106">
        <v>0.80064715925800634</v>
      </c>
      <c r="H4106">
        <v>0</v>
      </c>
      <c r="I4106">
        <v>0</v>
      </c>
      <c r="J4106">
        <v>0.7047835437143809</v>
      </c>
      <c r="K4106">
        <v>0</v>
      </c>
      <c r="L4106">
        <v>0</v>
      </c>
      <c r="M4106">
        <v>0.51400927798634632</v>
      </c>
      <c r="N4106">
        <v>0</v>
      </c>
      <c r="O4106">
        <v>0</v>
      </c>
      <c r="P4106">
        <v>0.64103587362791536</v>
      </c>
      <c r="Q4106">
        <v>1.1811998738368381</v>
      </c>
      <c r="R4106">
        <v>0.88358319570555288</v>
      </c>
      <c r="S4106">
        <v>0.17790261194988119</v>
      </c>
      <c r="T4106">
        <v>0.1379297193966407</v>
      </c>
      <c r="U4106">
        <v>4.4286477380750293</v>
      </c>
      <c r="V4106">
        <v>0.20127646963296911</v>
      </c>
      <c r="W4106">
        <v>6.1147013451875738</v>
      </c>
      <c r="X4106">
        <v>0.29694446272327768</v>
      </c>
      <c r="Z4106" t="s">
        <v>392</v>
      </c>
      <c r="AA4106">
        <v>161</v>
      </c>
      <c r="AB4106" t="s">
        <v>4497</v>
      </c>
      <c r="AC4106" t="str">
        <f>HYPERLINK("plots/3FT6Y578R04_015_S31P_20251219032831_M5358ACSA301811_RBGEUFRF04/dpll_52046/txpa_53227.png","plot")</f>
        <v>plot</v>
      </c>
    </row>
    <row r="4107" spans="1:29" x14ac:dyDescent="0.35">
      <c r="A4107" s="3" t="s">
        <v>50</v>
      </c>
      <c r="B4107">
        <v>52046</v>
      </c>
      <c r="C4107" t="s">
        <v>51</v>
      </c>
      <c r="D4107">
        <v>53228</v>
      </c>
      <c r="E4107" t="s">
        <v>103</v>
      </c>
      <c r="F4107">
        <v>11782</v>
      </c>
      <c r="G4107">
        <v>0.8165240831263717</v>
      </c>
      <c r="H4107">
        <v>0</v>
      </c>
      <c r="I4107">
        <v>0</v>
      </c>
      <c r="J4107">
        <v>0.71936525500639958</v>
      </c>
      <c r="K4107">
        <v>0</v>
      </c>
      <c r="L4107">
        <v>0</v>
      </c>
      <c r="M4107">
        <v>0.52986892164691179</v>
      </c>
      <c r="N4107">
        <v>0</v>
      </c>
      <c r="O4107">
        <v>0</v>
      </c>
      <c r="P4107">
        <v>0.66671157832536199</v>
      </c>
      <c r="Q4107">
        <v>1.2130595396778361</v>
      </c>
      <c r="R4107">
        <v>0.77925091544149527</v>
      </c>
      <c r="S4107">
        <v>0.1726226611401028</v>
      </c>
      <c r="T4107">
        <v>0.13513994186553591</v>
      </c>
      <c r="U4107">
        <v>4.4286477380750293</v>
      </c>
      <c r="V4107">
        <v>0.20127646963296911</v>
      </c>
      <c r="W4107">
        <v>6.1514643019860804</v>
      </c>
      <c r="X4107">
        <v>0.29902405409291682</v>
      </c>
      <c r="Z4107" t="s">
        <v>392</v>
      </c>
      <c r="AA4107">
        <v>161</v>
      </c>
      <c r="AB4107" t="s">
        <v>4498</v>
      </c>
      <c r="AC4107" t="str">
        <f>HYPERLINK("plots/3FT6Y578R04_015_S31P_20251219032831_M5358ACSA301811_RBGEUFRF04/dpll_52046/txpa_53228.png","plot")</f>
        <v>plot</v>
      </c>
    </row>
    <row r="4108" spans="1:29" x14ac:dyDescent="0.35">
      <c r="A4108" s="3" t="s">
        <v>50</v>
      </c>
      <c r="B4108">
        <v>52046</v>
      </c>
      <c r="C4108" t="s">
        <v>51</v>
      </c>
      <c r="D4108">
        <v>53229</v>
      </c>
      <c r="E4108" t="s">
        <v>104</v>
      </c>
      <c r="F4108">
        <v>11782</v>
      </c>
      <c r="G4108">
        <v>0.80977456343685772</v>
      </c>
      <c r="H4108">
        <v>0</v>
      </c>
      <c r="I4108">
        <v>0</v>
      </c>
      <c r="J4108">
        <v>0.70976235753036432</v>
      </c>
      <c r="K4108">
        <v>0</v>
      </c>
      <c r="L4108">
        <v>0</v>
      </c>
      <c r="M4108">
        <v>0.52020620038628096</v>
      </c>
      <c r="N4108">
        <v>0</v>
      </c>
      <c r="O4108">
        <v>0</v>
      </c>
      <c r="P4108">
        <v>0.65573484358935352</v>
      </c>
      <c r="Q4108">
        <v>1.1817004080098801</v>
      </c>
      <c r="R4108">
        <v>0.93324224229518116</v>
      </c>
      <c r="S4108">
        <v>0.1723313795582222</v>
      </c>
      <c r="T4108">
        <v>0.13449388186280789</v>
      </c>
      <c r="U4108">
        <v>4.4286477380750293</v>
      </c>
      <c r="V4108">
        <v>0.20127646963296911</v>
      </c>
      <c r="W4108">
        <v>6.1665770813104741</v>
      </c>
      <c r="X4108">
        <v>0.29372185423877423</v>
      </c>
      <c r="Z4108" t="s">
        <v>392</v>
      </c>
      <c r="AA4108">
        <v>161</v>
      </c>
      <c r="AB4108" t="s">
        <v>4499</v>
      </c>
      <c r="AC4108" t="str">
        <f>HYPERLINK("plots/3FT6Y578R04_015_S31P_20251219032831_M5358ACSA301811_RBGEUFRF04/dpll_52046/txpa_53229.png","plot")</f>
        <v>plot</v>
      </c>
    </row>
    <row r="4109" spans="1:29" x14ac:dyDescent="0.35">
      <c r="A4109" s="3" t="s">
        <v>50</v>
      </c>
      <c r="B4109">
        <v>52046</v>
      </c>
      <c r="C4109" t="s">
        <v>51</v>
      </c>
      <c r="D4109">
        <v>53230</v>
      </c>
      <c r="E4109" t="s">
        <v>105</v>
      </c>
      <c r="F4109">
        <v>11781</v>
      </c>
      <c r="G4109">
        <v>0.82140009693548743</v>
      </c>
      <c r="H4109">
        <v>0</v>
      </c>
      <c r="I4109">
        <v>0</v>
      </c>
      <c r="J4109">
        <v>0.72047706469441697</v>
      </c>
      <c r="K4109">
        <v>0</v>
      </c>
      <c r="L4109">
        <v>0</v>
      </c>
      <c r="M4109">
        <v>0.53086409095875198</v>
      </c>
      <c r="N4109">
        <v>0</v>
      </c>
      <c r="O4109">
        <v>0</v>
      </c>
      <c r="P4109">
        <v>0.67469811924562817</v>
      </c>
      <c r="Q4109">
        <v>1.2113344189213791</v>
      </c>
      <c r="R4109">
        <v>0.81399149994781705</v>
      </c>
      <c r="S4109">
        <v>0.16929437902045219</v>
      </c>
      <c r="T4109">
        <v>0.1332135128075338</v>
      </c>
      <c r="U4109">
        <v>4.4286547017231142</v>
      </c>
      <c r="V4109">
        <v>0.20128359324518649</v>
      </c>
      <c r="W4109">
        <v>6.1785733696630167</v>
      </c>
      <c r="X4109">
        <v>0.2968367612467116</v>
      </c>
      <c r="Z4109" t="s">
        <v>392</v>
      </c>
      <c r="AA4109">
        <v>161</v>
      </c>
      <c r="AB4109" t="s">
        <v>4500</v>
      </c>
      <c r="AC4109" t="str">
        <f>HYPERLINK("plots/3FT6Y578R04_015_S31P_20251219032831_M5358ACSA301811_RBGEUFRF04/dpll_52046/txpa_53230.png","plot")</f>
        <v>plot</v>
      </c>
    </row>
    <row r="4110" spans="1:29" x14ac:dyDescent="0.35">
      <c r="A4110" s="3" t="s">
        <v>50</v>
      </c>
      <c r="B4110">
        <v>52046</v>
      </c>
      <c r="C4110" t="s">
        <v>51</v>
      </c>
      <c r="D4110">
        <v>53231</v>
      </c>
      <c r="E4110" t="s">
        <v>106</v>
      </c>
      <c r="F4110">
        <v>11781</v>
      </c>
      <c r="G4110">
        <v>0.82390480153413592</v>
      </c>
      <c r="H4110">
        <v>0</v>
      </c>
      <c r="I4110">
        <v>0</v>
      </c>
      <c r="J4110">
        <v>0.71972124131215731</v>
      </c>
      <c r="K4110">
        <v>0</v>
      </c>
      <c r="L4110">
        <v>0</v>
      </c>
      <c r="M4110">
        <v>0.52902091651218419</v>
      </c>
      <c r="N4110">
        <v>0</v>
      </c>
      <c r="O4110">
        <v>0</v>
      </c>
      <c r="P4110">
        <v>0.67881912199100392</v>
      </c>
      <c r="Q4110">
        <v>1.2123818509682349</v>
      </c>
      <c r="R4110">
        <v>0.79031923175064644</v>
      </c>
      <c r="S4110">
        <v>0.1678360881698166</v>
      </c>
      <c r="T4110">
        <v>0.13201598330324579</v>
      </c>
      <c r="U4110">
        <v>4.4286210779220783</v>
      </c>
      <c r="V4110">
        <v>0.20126420786155011</v>
      </c>
      <c r="W4110">
        <v>6.1594990514387584</v>
      </c>
      <c r="X4110">
        <v>0.29616173180019029</v>
      </c>
      <c r="Z4110" t="s">
        <v>392</v>
      </c>
      <c r="AA4110">
        <v>161</v>
      </c>
      <c r="AB4110" t="s">
        <v>4501</v>
      </c>
      <c r="AC4110" t="str">
        <f>HYPERLINK("plots/3FT6Y578R04_015_S31P_20251219032831_M5358ACSA301811_RBGEUFRF04/dpll_52046/txpa_53231.png","plot")</f>
        <v>plot</v>
      </c>
    </row>
    <row r="4111" spans="1:29" x14ac:dyDescent="0.35">
      <c r="A4111" s="3" t="s">
        <v>50</v>
      </c>
      <c r="B4111">
        <v>52046</v>
      </c>
      <c r="C4111" t="s">
        <v>51</v>
      </c>
      <c r="D4111">
        <v>53232</v>
      </c>
      <c r="E4111" t="s">
        <v>107</v>
      </c>
      <c r="F4111">
        <v>11781</v>
      </c>
      <c r="G4111">
        <v>0.82667730056528044</v>
      </c>
      <c r="H4111">
        <v>0</v>
      </c>
      <c r="I4111">
        <v>0</v>
      </c>
      <c r="J4111">
        <v>0.73159802064679069</v>
      </c>
      <c r="K4111">
        <v>0</v>
      </c>
      <c r="L4111">
        <v>0</v>
      </c>
      <c r="M4111">
        <v>0.54033241908790808</v>
      </c>
      <c r="N4111">
        <v>0</v>
      </c>
      <c r="O4111">
        <v>0</v>
      </c>
      <c r="P4111">
        <v>0.68339535926989903</v>
      </c>
      <c r="Q4111">
        <v>1.225179191631484</v>
      </c>
      <c r="R4111">
        <v>0.7367902801230608</v>
      </c>
      <c r="S4111">
        <v>0.1678278668085425</v>
      </c>
      <c r="T4111">
        <v>0.13263123576771149</v>
      </c>
      <c r="U4111">
        <v>4.4286192746795683</v>
      </c>
      <c r="V4111">
        <v>0.20126129812424351</v>
      </c>
      <c r="W4111">
        <v>6.1626424631185817</v>
      </c>
      <c r="X4111">
        <v>0.29827981774018952</v>
      </c>
      <c r="Z4111" t="s">
        <v>392</v>
      </c>
      <c r="AA4111">
        <v>161</v>
      </c>
      <c r="AB4111" t="s">
        <v>4502</v>
      </c>
      <c r="AC4111" t="str">
        <f>HYPERLINK("plots/3FT6Y578R04_015_S31P_20251219032831_M5358ACSA301811_RBGEUFRF04/dpll_52046/txpa_53232.png","plot")</f>
        <v>plot</v>
      </c>
    </row>
    <row r="4112" spans="1:29" x14ac:dyDescent="0.35">
      <c r="A4112" s="3" t="s">
        <v>50</v>
      </c>
      <c r="B4112">
        <v>52046</v>
      </c>
      <c r="C4112" t="s">
        <v>51</v>
      </c>
      <c r="D4112">
        <v>53233</v>
      </c>
      <c r="E4112" t="s">
        <v>108</v>
      </c>
      <c r="F4112">
        <v>11782</v>
      </c>
      <c r="G4112">
        <v>0.82279619090948342</v>
      </c>
      <c r="H4112">
        <v>0</v>
      </c>
      <c r="I4112">
        <v>0</v>
      </c>
      <c r="J4112">
        <v>0.72111818688305196</v>
      </c>
      <c r="K4112">
        <v>0</v>
      </c>
      <c r="L4112">
        <v>0</v>
      </c>
      <c r="M4112">
        <v>0.5314759945394395</v>
      </c>
      <c r="N4112">
        <v>0</v>
      </c>
      <c r="O4112">
        <v>0</v>
      </c>
      <c r="P4112">
        <v>0.67699357177515507</v>
      </c>
      <c r="Q4112">
        <v>1.209267461669651</v>
      </c>
      <c r="R4112">
        <v>0.81433649002861586</v>
      </c>
      <c r="S4112">
        <v>0.16811646622083579</v>
      </c>
      <c r="T4112">
        <v>0.13273727510459671</v>
      </c>
      <c r="U4112">
        <v>4.4286477380750293</v>
      </c>
      <c r="V4112">
        <v>0.20127646963296911</v>
      </c>
      <c r="W4112">
        <v>6.1697560988796472</v>
      </c>
      <c r="X4112">
        <v>0.29581698142993151</v>
      </c>
      <c r="Z4112" t="s">
        <v>392</v>
      </c>
      <c r="AA4112">
        <v>161</v>
      </c>
      <c r="AB4112" t="s">
        <v>4503</v>
      </c>
      <c r="AC4112" t="str">
        <f>HYPERLINK("plots/3FT6Y578R04_015_S31P_20251219032831_M5358ACSA301811_RBGEUFRF04/dpll_52046/txpa_53233.png","plot")</f>
        <v>plot</v>
      </c>
    </row>
    <row r="4113" spans="1:29" x14ac:dyDescent="0.35">
      <c r="A4113" s="3" t="s">
        <v>50</v>
      </c>
      <c r="B4113">
        <v>52046</v>
      </c>
      <c r="C4113" t="s">
        <v>51</v>
      </c>
      <c r="D4113">
        <v>53234</v>
      </c>
      <c r="E4113" t="s">
        <v>109</v>
      </c>
      <c r="F4113">
        <v>11781</v>
      </c>
      <c r="G4113">
        <v>0.81775916166442775</v>
      </c>
      <c r="H4113">
        <v>0</v>
      </c>
      <c r="I4113">
        <v>0</v>
      </c>
      <c r="J4113">
        <v>0.71731268701724871</v>
      </c>
      <c r="K4113">
        <v>0</v>
      </c>
      <c r="L4113">
        <v>0</v>
      </c>
      <c r="M4113">
        <v>0.52800104892636035</v>
      </c>
      <c r="N4113">
        <v>0</v>
      </c>
      <c r="O4113">
        <v>0</v>
      </c>
      <c r="P4113">
        <v>0.66873004648610768</v>
      </c>
      <c r="Q4113">
        <v>1.202404973551694</v>
      </c>
      <c r="R4113">
        <v>0.81232601611842092</v>
      </c>
      <c r="S4113">
        <v>0.17032466357765511</v>
      </c>
      <c r="T4113">
        <v>0.1333591134526852</v>
      </c>
      <c r="U4113">
        <v>4.4286701896273666</v>
      </c>
      <c r="V4113">
        <v>0.20127025814248481</v>
      </c>
      <c r="W4113">
        <v>6.1373810783464897</v>
      </c>
      <c r="X4113">
        <v>0.29594087203619318</v>
      </c>
      <c r="Z4113" t="s">
        <v>392</v>
      </c>
      <c r="AA4113">
        <v>161</v>
      </c>
      <c r="AB4113" t="s">
        <v>4504</v>
      </c>
      <c r="AC4113" t="str">
        <f>HYPERLINK("plots/3FT6Y578R04_015_S31P_20251219032831_M5358ACSA301811_RBGEUFRF04/dpll_52046/txpa_53234.png","plot")</f>
        <v>plot</v>
      </c>
    </row>
    <row r="4114" spans="1:29" x14ac:dyDescent="0.35">
      <c r="A4114" s="3" t="s">
        <v>50</v>
      </c>
      <c r="B4114">
        <v>52046</v>
      </c>
      <c r="C4114" t="s">
        <v>51</v>
      </c>
      <c r="D4114">
        <v>53235</v>
      </c>
      <c r="E4114" t="s">
        <v>110</v>
      </c>
      <c r="F4114">
        <v>11782</v>
      </c>
      <c r="G4114">
        <v>0.81009965893579272</v>
      </c>
      <c r="H4114">
        <v>0</v>
      </c>
      <c r="I4114">
        <v>0</v>
      </c>
      <c r="J4114">
        <v>0.7118447616818947</v>
      </c>
      <c r="K4114">
        <v>0</v>
      </c>
      <c r="L4114">
        <v>0</v>
      </c>
      <c r="M4114">
        <v>0.52020522143991021</v>
      </c>
      <c r="N4114">
        <v>0</v>
      </c>
      <c r="O4114">
        <v>0</v>
      </c>
      <c r="P4114">
        <v>0.65626145740788766</v>
      </c>
      <c r="Q4114">
        <v>1.244022927547914</v>
      </c>
      <c r="R4114">
        <v>1.666299646858999</v>
      </c>
      <c r="S4114">
        <v>0.18120852529152179</v>
      </c>
      <c r="T4114">
        <v>0.14018309699153189</v>
      </c>
      <c r="U4114">
        <v>4.4286477380750293</v>
      </c>
      <c r="V4114">
        <v>0.20127646963296911</v>
      </c>
      <c r="W4114">
        <v>7.1756389710575474</v>
      </c>
      <c r="X4114">
        <v>0.30908856736003237</v>
      </c>
      <c r="Z4114" t="s">
        <v>392</v>
      </c>
      <c r="AA4114">
        <v>161</v>
      </c>
      <c r="AB4114" t="s">
        <v>4505</v>
      </c>
      <c r="AC4114" t="str">
        <f>HYPERLINK("plots/3FT6Y578R04_015_S31P_20251219032831_M5358ACSA301811_RBGEUFRF04/dpll_52046/txpa_53235.png","plot")</f>
        <v>plot</v>
      </c>
    </row>
    <row r="4115" spans="1:29" x14ac:dyDescent="0.35">
      <c r="A4115" s="3" t="s">
        <v>50</v>
      </c>
      <c r="B4115">
        <v>52046</v>
      </c>
      <c r="C4115" t="s">
        <v>51</v>
      </c>
      <c r="D4115">
        <v>53236</v>
      </c>
      <c r="E4115" t="s">
        <v>111</v>
      </c>
      <c r="F4115">
        <v>11782</v>
      </c>
      <c r="G4115">
        <v>0.82532063324196869</v>
      </c>
      <c r="H4115">
        <v>0</v>
      </c>
      <c r="I4115">
        <v>0</v>
      </c>
      <c r="J4115">
        <v>0.72624087599297849</v>
      </c>
      <c r="K4115">
        <v>0</v>
      </c>
      <c r="L4115">
        <v>0</v>
      </c>
      <c r="M4115">
        <v>0.53611599300491164</v>
      </c>
      <c r="N4115">
        <v>0</v>
      </c>
      <c r="O4115">
        <v>0</v>
      </c>
      <c r="P4115">
        <v>0.68115414765492421</v>
      </c>
      <c r="Q4115">
        <v>1.276044701275606</v>
      </c>
      <c r="R4115">
        <v>1.5609618656251141</v>
      </c>
      <c r="S4115">
        <v>0.17571472082970219</v>
      </c>
      <c r="T4115">
        <v>0.1372737991644318</v>
      </c>
      <c r="U4115">
        <v>4.4286477380750293</v>
      </c>
      <c r="V4115">
        <v>0.20127646963296911</v>
      </c>
      <c r="W4115">
        <v>7.2121143456119512</v>
      </c>
      <c r="X4115">
        <v>0.31119756640242691</v>
      </c>
      <c r="Z4115" t="s">
        <v>392</v>
      </c>
      <c r="AA4115">
        <v>161</v>
      </c>
      <c r="AB4115" t="s">
        <v>4506</v>
      </c>
      <c r="AC4115" t="str">
        <f>HYPERLINK("plots/3FT6Y578R04_015_S31P_20251219032831_M5358ACSA301811_RBGEUFRF04/dpll_52046/txpa_53236.png","plot")</f>
        <v>plot</v>
      </c>
    </row>
    <row r="4116" spans="1:29" x14ac:dyDescent="0.35">
      <c r="A4116" s="3" t="s">
        <v>50</v>
      </c>
      <c r="B4116">
        <v>52046</v>
      </c>
      <c r="C4116" t="s">
        <v>51</v>
      </c>
      <c r="D4116">
        <v>53237</v>
      </c>
      <c r="E4116" t="s">
        <v>112</v>
      </c>
      <c r="F4116">
        <v>11782</v>
      </c>
      <c r="G4116">
        <v>0.81915830499218767</v>
      </c>
      <c r="H4116">
        <v>0</v>
      </c>
      <c r="I4116">
        <v>0</v>
      </c>
      <c r="J4116">
        <v>0.71705714632813855</v>
      </c>
      <c r="K4116">
        <v>0</v>
      </c>
      <c r="L4116">
        <v>0</v>
      </c>
      <c r="M4116">
        <v>0.52671824750991203</v>
      </c>
      <c r="N4116">
        <v>0</v>
      </c>
      <c r="O4116">
        <v>0</v>
      </c>
      <c r="P4116">
        <v>0.67102032863767391</v>
      </c>
      <c r="Q4116">
        <v>1.2451218510706561</v>
      </c>
      <c r="R4116">
        <v>1.7132206998523849</v>
      </c>
      <c r="S4116">
        <v>0.175470099540391</v>
      </c>
      <c r="T4116">
        <v>0.13663796664115169</v>
      </c>
      <c r="U4116">
        <v>4.4286477380750293</v>
      </c>
      <c r="V4116">
        <v>0.20127646963296911</v>
      </c>
      <c r="W4116">
        <v>7.2274267692242393</v>
      </c>
      <c r="X4116">
        <v>0.30594053544846778</v>
      </c>
      <c r="Z4116" t="s">
        <v>392</v>
      </c>
      <c r="AA4116">
        <v>161</v>
      </c>
      <c r="AB4116" t="s">
        <v>4507</v>
      </c>
      <c r="AC4116" t="str">
        <f>HYPERLINK("plots/3FT6Y578R04_015_S31P_20251219032831_M5358ACSA301811_RBGEUFRF04/dpll_52046/txpa_53237.png","plot")</f>
        <v>plot</v>
      </c>
    </row>
    <row r="4117" spans="1:29" x14ac:dyDescent="0.35">
      <c r="A4117" s="3" t="s">
        <v>50</v>
      </c>
      <c r="B4117">
        <v>52046</v>
      </c>
      <c r="C4117" t="s">
        <v>51</v>
      </c>
      <c r="D4117">
        <v>53238</v>
      </c>
      <c r="E4117" t="s">
        <v>113</v>
      </c>
      <c r="F4117">
        <v>11781</v>
      </c>
      <c r="G4117">
        <v>0.83019644902396883</v>
      </c>
      <c r="H4117">
        <v>0</v>
      </c>
      <c r="I4117">
        <v>0</v>
      </c>
      <c r="J4117">
        <v>0.72789288411655595</v>
      </c>
      <c r="K4117">
        <v>0</v>
      </c>
      <c r="L4117">
        <v>0</v>
      </c>
      <c r="M4117">
        <v>0.53754960910350336</v>
      </c>
      <c r="N4117">
        <v>0</v>
      </c>
      <c r="O4117">
        <v>0</v>
      </c>
      <c r="P4117">
        <v>0.68922614397200732</v>
      </c>
      <c r="Q4117">
        <v>1.2746797224333699</v>
      </c>
      <c r="R4117">
        <v>1.5937657886778871</v>
      </c>
      <c r="S4117">
        <v>0.17227901809963669</v>
      </c>
      <c r="T4117">
        <v>0.13534268058340679</v>
      </c>
      <c r="U4117">
        <v>4.4286547017231142</v>
      </c>
      <c r="V4117">
        <v>0.20128359324518649</v>
      </c>
      <c r="W4117">
        <v>7.2388821346235463</v>
      </c>
      <c r="X4117">
        <v>0.30904988219331481</v>
      </c>
      <c r="Z4117" t="s">
        <v>392</v>
      </c>
      <c r="AA4117">
        <v>161</v>
      </c>
      <c r="AB4117" t="s">
        <v>4508</v>
      </c>
      <c r="AC4117" t="str">
        <f>HYPERLINK("plots/3FT6Y578R04_015_S31P_20251219032831_M5358ACSA301811_RBGEUFRF04/dpll_52046/txpa_53238.png","plot")</f>
        <v>plot</v>
      </c>
    </row>
    <row r="4118" spans="1:29" x14ac:dyDescent="0.35">
      <c r="A4118" s="3" t="s">
        <v>50</v>
      </c>
      <c r="B4118">
        <v>52046</v>
      </c>
      <c r="C4118" t="s">
        <v>51</v>
      </c>
      <c r="D4118">
        <v>53239</v>
      </c>
      <c r="E4118" t="s">
        <v>114</v>
      </c>
      <c r="F4118">
        <v>11781</v>
      </c>
      <c r="G4118">
        <v>0.83235451931949356</v>
      </c>
      <c r="H4118">
        <v>0</v>
      </c>
      <c r="I4118">
        <v>0</v>
      </c>
      <c r="J4118">
        <v>0.7267225282640789</v>
      </c>
      <c r="K4118">
        <v>0</v>
      </c>
      <c r="L4118">
        <v>0</v>
      </c>
      <c r="M4118">
        <v>0.53539252793669811</v>
      </c>
      <c r="N4118">
        <v>0</v>
      </c>
      <c r="O4118">
        <v>0</v>
      </c>
      <c r="P4118">
        <v>0.69281404583158512</v>
      </c>
      <c r="Q4118">
        <v>1.275634719312295</v>
      </c>
      <c r="R4118">
        <v>1.5697262626547199</v>
      </c>
      <c r="S4118">
        <v>0.17094908543953971</v>
      </c>
      <c r="T4118">
        <v>0.13428434770496511</v>
      </c>
      <c r="U4118">
        <v>4.4286210779220783</v>
      </c>
      <c r="V4118">
        <v>0.20126420786155011</v>
      </c>
      <c r="W4118">
        <v>7.2190290683303626</v>
      </c>
      <c r="X4118">
        <v>0.30844983158496209</v>
      </c>
      <c r="Z4118" t="s">
        <v>392</v>
      </c>
      <c r="AA4118">
        <v>161</v>
      </c>
      <c r="AB4118" t="s">
        <v>4509</v>
      </c>
      <c r="AC4118" t="str">
        <f>HYPERLINK("plots/3FT6Y578R04_015_S31P_20251219032831_M5358ACSA301811_RBGEUFRF04/dpll_52046/txpa_53239.png","plot")</f>
        <v>plot</v>
      </c>
    </row>
    <row r="4119" spans="1:29" x14ac:dyDescent="0.35">
      <c r="A4119" s="3" t="s">
        <v>50</v>
      </c>
      <c r="B4119">
        <v>52046</v>
      </c>
      <c r="C4119" t="s">
        <v>51</v>
      </c>
      <c r="D4119">
        <v>53240</v>
      </c>
      <c r="E4119" t="s">
        <v>115</v>
      </c>
      <c r="F4119">
        <v>11781</v>
      </c>
      <c r="G4119">
        <v>0.83511302764196582</v>
      </c>
      <c r="H4119">
        <v>0</v>
      </c>
      <c r="I4119">
        <v>0</v>
      </c>
      <c r="J4119">
        <v>0.73789596061769702</v>
      </c>
      <c r="K4119">
        <v>0</v>
      </c>
      <c r="L4119">
        <v>0</v>
      </c>
      <c r="M4119">
        <v>0.54622194747624586</v>
      </c>
      <c r="N4119">
        <v>0</v>
      </c>
      <c r="O4119">
        <v>0</v>
      </c>
      <c r="P4119">
        <v>0.69741376893733076</v>
      </c>
      <c r="Q4119">
        <v>1.288341208981896</v>
      </c>
      <c r="R4119">
        <v>1.5172027862708251</v>
      </c>
      <c r="S4119">
        <v>0.17078591760173531</v>
      </c>
      <c r="T4119">
        <v>0.13476293987775281</v>
      </c>
      <c r="U4119">
        <v>4.4286192746795683</v>
      </c>
      <c r="V4119">
        <v>0.20126129812424351</v>
      </c>
      <c r="W4119">
        <v>7.2227754967320248</v>
      </c>
      <c r="X4119">
        <v>0.31048877884086751</v>
      </c>
      <c r="Z4119" t="s">
        <v>392</v>
      </c>
      <c r="AA4119">
        <v>161</v>
      </c>
      <c r="AB4119" t="s">
        <v>4510</v>
      </c>
      <c r="AC4119" t="str">
        <f>HYPERLINK("plots/3FT6Y578R04_015_S31P_20251219032831_M5358ACSA301811_RBGEUFRF04/dpll_52046/txpa_53240.png","plot")</f>
        <v>plot</v>
      </c>
    </row>
    <row r="4120" spans="1:29" x14ac:dyDescent="0.35">
      <c r="A4120" s="3" t="s">
        <v>50</v>
      </c>
      <c r="B4120">
        <v>52046</v>
      </c>
      <c r="C4120" t="s">
        <v>51</v>
      </c>
      <c r="D4120">
        <v>53241</v>
      </c>
      <c r="E4120" t="s">
        <v>116</v>
      </c>
      <c r="F4120">
        <v>11782</v>
      </c>
      <c r="G4120">
        <v>0.83151316186680235</v>
      </c>
      <c r="H4120">
        <v>0</v>
      </c>
      <c r="I4120">
        <v>0</v>
      </c>
      <c r="J4120">
        <v>0.72790472638673265</v>
      </c>
      <c r="K4120">
        <v>0</v>
      </c>
      <c r="L4120">
        <v>0</v>
      </c>
      <c r="M4120">
        <v>0.53759960991974665</v>
      </c>
      <c r="N4120">
        <v>0</v>
      </c>
      <c r="O4120">
        <v>0</v>
      </c>
      <c r="P4120">
        <v>0.69141413835772703</v>
      </c>
      <c r="Q4120">
        <v>1.2727694080040051</v>
      </c>
      <c r="R4120">
        <v>1.593094389260777</v>
      </c>
      <c r="S4120">
        <v>0.17113671346424031</v>
      </c>
      <c r="T4120">
        <v>0.13487904050113991</v>
      </c>
      <c r="U4120">
        <v>4.4286477380750293</v>
      </c>
      <c r="V4120">
        <v>0.20127646963296911</v>
      </c>
      <c r="W4120">
        <v>7.2297417491088094</v>
      </c>
      <c r="X4120">
        <v>0.30808716548124432</v>
      </c>
      <c r="Z4120" t="s">
        <v>392</v>
      </c>
      <c r="AA4120">
        <v>161</v>
      </c>
      <c r="AB4120" t="s">
        <v>4511</v>
      </c>
      <c r="AC4120" t="str">
        <f>HYPERLINK("plots/3FT6Y578R04_015_S31P_20251219032831_M5358ACSA301811_RBGEUFRF04/dpll_52046/txpa_53241.png","plot")</f>
        <v>plot</v>
      </c>
    </row>
    <row r="4121" spans="1:29" x14ac:dyDescent="0.35">
      <c r="A4121" s="3" t="s">
        <v>50</v>
      </c>
      <c r="B4121">
        <v>52046</v>
      </c>
      <c r="C4121" t="s">
        <v>51</v>
      </c>
      <c r="D4121">
        <v>53242</v>
      </c>
      <c r="E4121" t="s">
        <v>117</v>
      </c>
      <c r="F4121">
        <v>11781</v>
      </c>
      <c r="G4121">
        <v>0.82657399215027649</v>
      </c>
      <c r="H4121">
        <v>0</v>
      </c>
      <c r="I4121">
        <v>0</v>
      </c>
      <c r="J4121">
        <v>0.72402224739355281</v>
      </c>
      <c r="K4121">
        <v>0</v>
      </c>
      <c r="L4121">
        <v>0</v>
      </c>
      <c r="M4121">
        <v>0.53411505572727047</v>
      </c>
      <c r="N4121">
        <v>0</v>
      </c>
      <c r="O4121">
        <v>0</v>
      </c>
      <c r="P4121">
        <v>0.68322456449924529</v>
      </c>
      <c r="Q4121">
        <v>1.265085278932885</v>
      </c>
      <c r="R4121">
        <v>1.5955318206817941</v>
      </c>
      <c r="S4121">
        <v>0.17337041351733859</v>
      </c>
      <c r="T4121">
        <v>0.13546084351065851</v>
      </c>
      <c r="U4121">
        <v>4.4286701896273666</v>
      </c>
      <c r="V4121">
        <v>0.20127025814248481</v>
      </c>
      <c r="W4121">
        <v>7.198177282828282</v>
      </c>
      <c r="X4121">
        <v>0.3080474864696528</v>
      </c>
      <c r="Z4121" t="s">
        <v>392</v>
      </c>
      <c r="AA4121">
        <v>161</v>
      </c>
      <c r="AB4121" t="s">
        <v>4512</v>
      </c>
      <c r="AC4121" t="str">
        <f>HYPERLINK("plots/3FT6Y578R04_015_S31P_20251219032831_M5358ACSA301811_RBGEUFRF04/dpll_52046/txpa_53242.png","plot")</f>
        <v>plot</v>
      </c>
    </row>
    <row r="4122" spans="1:29" x14ac:dyDescent="0.35">
      <c r="A4122" s="3" t="s">
        <v>50</v>
      </c>
      <c r="B4122">
        <v>52046</v>
      </c>
      <c r="C4122" t="s">
        <v>51</v>
      </c>
      <c r="D4122">
        <v>53243</v>
      </c>
      <c r="E4122" t="s">
        <v>118</v>
      </c>
      <c r="F4122">
        <v>11782</v>
      </c>
      <c r="G4122">
        <v>0.81813390213910486</v>
      </c>
      <c r="H4122">
        <v>0</v>
      </c>
      <c r="I4122">
        <v>0</v>
      </c>
      <c r="J4122">
        <v>0.7182852493166676</v>
      </c>
      <c r="K4122">
        <v>0</v>
      </c>
      <c r="L4122">
        <v>0</v>
      </c>
      <c r="M4122">
        <v>0.52584635421550663</v>
      </c>
      <c r="N4122">
        <v>0</v>
      </c>
      <c r="O4122">
        <v>0</v>
      </c>
      <c r="P4122">
        <v>0.66934308182935842</v>
      </c>
      <c r="Q4122">
        <v>1.3110222731236489</v>
      </c>
      <c r="R4122">
        <v>2.3995934099903651</v>
      </c>
      <c r="S4122">
        <v>0.185459490579024</v>
      </c>
      <c r="T4122">
        <v>0.14319309071619521</v>
      </c>
      <c r="U4122">
        <v>4.4286477380750293</v>
      </c>
      <c r="V4122">
        <v>0.20127646963296911</v>
      </c>
      <c r="W4122">
        <v>8.2056492344253957</v>
      </c>
      <c r="X4122">
        <v>0.32253636483536391</v>
      </c>
      <c r="Z4122" t="s">
        <v>392</v>
      </c>
      <c r="AA4122">
        <v>161</v>
      </c>
      <c r="AB4122" t="s">
        <v>4513</v>
      </c>
      <c r="AC4122" t="str">
        <f>HYPERLINK("plots/3FT6Y578R04_015_S31P_20251219032831_M5358ACSA301811_RBGEUFRF04/dpll_52046/txpa_53243.png","plot")</f>
        <v>plot</v>
      </c>
    </row>
    <row r="4123" spans="1:29" x14ac:dyDescent="0.35">
      <c r="A4123" s="3" t="s">
        <v>50</v>
      </c>
      <c r="B4123">
        <v>52046</v>
      </c>
      <c r="C4123" t="s">
        <v>51</v>
      </c>
      <c r="D4123">
        <v>53244</v>
      </c>
      <c r="E4123" t="s">
        <v>119</v>
      </c>
      <c r="F4123">
        <v>11782</v>
      </c>
      <c r="G4123">
        <v>0.83238146983034667</v>
      </c>
      <c r="H4123">
        <v>0</v>
      </c>
      <c r="I4123">
        <v>0</v>
      </c>
      <c r="J4123">
        <v>0.73192063147656428</v>
      </c>
      <c r="K4123">
        <v>0</v>
      </c>
      <c r="L4123">
        <v>0</v>
      </c>
      <c r="M4123">
        <v>0.54128327322516834</v>
      </c>
      <c r="N4123">
        <v>0</v>
      </c>
      <c r="O4123">
        <v>0</v>
      </c>
      <c r="P4123">
        <v>0.69285891131692834</v>
      </c>
      <c r="Q4123">
        <v>1.342581582227391</v>
      </c>
      <c r="R4123">
        <v>2.2960549954747749</v>
      </c>
      <c r="S4123">
        <v>0.179912698030011</v>
      </c>
      <c r="T4123">
        <v>0.14033225408960701</v>
      </c>
      <c r="U4123">
        <v>4.4286477380750293</v>
      </c>
      <c r="V4123">
        <v>0.20127646963296911</v>
      </c>
      <c r="W4123">
        <v>8.2418758827873031</v>
      </c>
      <c r="X4123">
        <v>0.32464692074422608</v>
      </c>
      <c r="Z4123" t="s">
        <v>392</v>
      </c>
      <c r="AA4123">
        <v>161</v>
      </c>
      <c r="AB4123" t="s">
        <v>4514</v>
      </c>
      <c r="AC4123" t="str">
        <f>HYPERLINK("plots/3FT6Y578R04_015_S31P_20251219032831_M5358ACSA301811_RBGEUFRF04/dpll_52046/txpa_53244.png","plot")</f>
        <v>plot</v>
      </c>
    </row>
    <row r="4124" spans="1:29" x14ac:dyDescent="0.35">
      <c r="A4124" s="3" t="s">
        <v>50</v>
      </c>
      <c r="B4124">
        <v>52046</v>
      </c>
      <c r="C4124" t="s">
        <v>51</v>
      </c>
      <c r="D4124">
        <v>53245</v>
      </c>
      <c r="E4124" t="s">
        <v>120</v>
      </c>
      <c r="F4124">
        <v>11782</v>
      </c>
      <c r="G4124">
        <v>0.82703300682972103</v>
      </c>
      <c r="H4124">
        <v>0</v>
      </c>
      <c r="I4124">
        <v>0</v>
      </c>
      <c r="J4124">
        <v>0.72331740621128449</v>
      </c>
      <c r="K4124">
        <v>0</v>
      </c>
      <c r="L4124">
        <v>0</v>
      </c>
      <c r="M4124">
        <v>0.5322762415770097</v>
      </c>
      <c r="N4124">
        <v>0</v>
      </c>
      <c r="O4124">
        <v>0</v>
      </c>
      <c r="P4124">
        <v>0.68398359438580936</v>
      </c>
      <c r="Q4124">
        <v>1.312443637978767</v>
      </c>
      <c r="R4124">
        <v>2.445115850737221</v>
      </c>
      <c r="S4124">
        <v>0.1795507440327401</v>
      </c>
      <c r="T4124">
        <v>0.13956806118613521</v>
      </c>
      <c r="U4124">
        <v>4.4286477380750293</v>
      </c>
      <c r="V4124">
        <v>0.20127646963296911</v>
      </c>
      <c r="W4124">
        <v>8.2574663994228494</v>
      </c>
      <c r="X4124">
        <v>0.31941170408330022</v>
      </c>
      <c r="Z4124" t="s">
        <v>392</v>
      </c>
      <c r="AA4124">
        <v>161</v>
      </c>
      <c r="AB4124" t="s">
        <v>4515</v>
      </c>
      <c r="AC4124" t="str">
        <f>HYPERLINK("plots/3FT6Y578R04_015_S31P_20251219032831_M5358ACSA301811_RBGEUFRF04/dpll_52046/txpa_53245.png","plot")</f>
        <v>plot</v>
      </c>
    </row>
    <row r="4125" spans="1:29" x14ac:dyDescent="0.35">
      <c r="A4125" s="3" t="s">
        <v>50</v>
      </c>
      <c r="B4125">
        <v>52046</v>
      </c>
      <c r="C4125" t="s">
        <v>51</v>
      </c>
      <c r="D4125">
        <v>53246</v>
      </c>
      <c r="E4125" t="s">
        <v>121</v>
      </c>
      <c r="F4125">
        <v>11781</v>
      </c>
      <c r="G4125">
        <v>0.83736405243817025</v>
      </c>
      <c r="H4125">
        <v>0</v>
      </c>
      <c r="I4125">
        <v>0</v>
      </c>
      <c r="J4125">
        <v>0.73371603537455099</v>
      </c>
      <c r="K4125">
        <v>0</v>
      </c>
      <c r="L4125">
        <v>0</v>
      </c>
      <c r="M4125">
        <v>0.54280457711769603</v>
      </c>
      <c r="N4125">
        <v>0</v>
      </c>
      <c r="O4125">
        <v>0</v>
      </c>
      <c r="P4125">
        <v>0.70117855631567472</v>
      </c>
      <c r="Q4125">
        <v>1.341932242411934</v>
      </c>
      <c r="R4125">
        <v>2.325439376970813</v>
      </c>
      <c r="S4125">
        <v>0.1763242716457849</v>
      </c>
      <c r="T4125">
        <v>0.138360699506273</v>
      </c>
      <c r="U4125">
        <v>4.4286547017231142</v>
      </c>
      <c r="V4125">
        <v>0.20128359324518649</v>
      </c>
      <c r="W4125">
        <v>8.2683939117222653</v>
      </c>
      <c r="X4125">
        <v>0.32257050306585661</v>
      </c>
      <c r="Z4125" t="s">
        <v>392</v>
      </c>
      <c r="AA4125">
        <v>161</v>
      </c>
      <c r="AB4125" t="s">
        <v>4516</v>
      </c>
      <c r="AC4125" t="str">
        <f>HYPERLINK("plots/3FT6Y578R04_015_S31P_20251219032831_M5358ACSA301811_RBGEUFRF04/dpll_52046/txpa_53246.png","plot")</f>
        <v>plot</v>
      </c>
    </row>
    <row r="4126" spans="1:29" x14ac:dyDescent="0.35">
      <c r="A4126" s="3" t="s">
        <v>50</v>
      </c>
      <c r="B4126">
        <v>52046</v>
      </c>
      <c r="C4126" t="s">
        <v>51</v>
      </c>
      <c r="D4126">
        <v>53247</v>
      </c>
      <c r="E4126" t="s">
        <v>122</v>
      </c>
      <c r="F4126">
        <v>11781</v>
      </c>
      <c r="G4126">
        <v>0.83957064507146029</v>
      </c>
      <c r="H4126">
        <v>0</v>
      </c>
      <c r="I4126">
        <v>0</v>
      </c>
      <c r="J4126">
        <v>0.7328830776305576</v>
      </c>
      <c r="K4126">
        <v>0</v>
      </c>
      <c r="L4126">
        <v>0</v>
      </c>
      <c r="M4126">
        <v>0.54100900353373504</v>
      </c>
      <c r="N4126">
        <v>0</v>
      </c>
      <c r="O4126">
        <v>0</v>
      </c>
      <c r="P4126">
        <v>0.70487886806570799</v>
      </c>
      <c r="Q4126">
        <v>1.3434478207863449</v>
      </c>
      <c r="R4126">
        <v>2.2982631111924392</v>
      </c>
      <c r="S4126">
        <v>0.1749491461821942</v>
      </c>
      <c r="T4126">
        <v>0.13730344364784711</v>
      </c>
      <c r="U4126">
        <v>4.4286210779220783</v>
      </c>
      <c r="V4126">
        <v>0.20126420786155011</v>
      </c>
      <c r="W4126">
        <v>8.2478844474153288</v>
      </c>
      <c r="X4126">
        <v>0.32205504449345701</v>
      </c>
      <c r="Z4126" t="s">
        <v>392</v>
      </c>
      <c r="AA4126">
        <v>161</v>
      </c>
      <c r="AB4126" t="s">
        <v>4517</v>
      </c>
      <c r="AC4126" t="str">
        <f>HYPERLINK("plots/3FT6Y578R04_015_S31P_20251219032831_M5358ACSA301811_RBGEUFRF04/dpll_52046/txpa_53247.png","plot")</f>
        <v>plot</v>
      </c>
    </row>
    <row r="4127" spans="1:29" x14ac:dyDescent="0.35">
      <c r="A4127" s="3" t="s">
        <v>50</v>
      </c>
      <c r="B4127">
        <v>52046</v>
      </c>
      <c r="C4127" t="s">
        <v>51</v>
      </c>
      <c r="D4127">
        <v>53248</v>
      </c>
      <c r="E4127" t="s">
        <v>123</v>
      </c>
      <c r="F4127">
        <v>11781</v>
      </c>
      <c r="G4127">
        <v>0.84189121102981557</v>
      </c>
      <c r="H4127">
        <v>0</v>
      </c>
      <c r="I4127">
        <v>0</v>
      </c>
      <c r="J4127">
        <v>0.7429522111984137</v>
      </c>
      <c r="K4127">
        <v>0</v>
      </c>
      <c r="L4127">
        <v>0</v>
      </c>
      <c r="M4127">
        <v>0.5509523263158832</v>
      </c>
      <c r="N4127">
        <v>0</v>
      </c>
      <c r="O4127">
        <v>0</v>
      </c>
      <c r="P4127">
        <v>0.70878081120924941</v>
      </c>
      <c r="Q4127">
        <v>1.355034489264638</v>
      </c>
      <c r="R4127">
        <v>2.2511380536058319</v>
      </c>
      <c r="S4127">
        <v>0.1748019223000275</v>
      </c>
      <c r="T4127">
        <v>0.1377539160583289</v>
      </c>
      <c r="U4127">
        <v>4.4286192746795683</v>
      </c>
      <c r="V4127">
        <v>0.20126129812424351</v>
      </c>
      <c r="W4127">
        <v>8.2520699106187916</v>
      </c>
      <c r="X4127">
        <v>0.32393258979260697</v>
      </c>
      <c r="Z4127" t="s">
        <v>392</v>
      </c>
      <c r="AA4127">
        <v>161</v>
      </c>
      <c r="AB4127" t="s">
        <v>4518</v>
      </c>
      <c r="AC4127" t="str">
        <f>HYPERLINK("plots/3FT6Y578R04_015_S31P_20251219032831_M5358ACSA301811_RBGEUFRF04/dpll_52046/txpa_53248.png","plot")</f>
        <v>plot</v>
      </c>
    </row>
    <row r="4128" spans="1:29" x14ac:dyDescent="0.35">
      <c r="A4128" s="3" t="s">
        <v>50</v>
      </c>
      <c r="B4128">
        <v>52046</v>
      </c>
      <c r="C4128" t="s">
        <v>51</v>
      </c>
      <c r="D4128">
        <v>53249</v>
      </c>
      <c r="E4128" t="s">
        <v>124</v>
      </c>
      <c r="F4128">
        <v>11782</v>
      </c>
      <c r="G4128">
        <v>0.83881578922460864</v>
      </c>
      <c r="H4128">
        <v>0</v>
      </c>
      <c r="I4128">
        <v>0</v>
      </c>
      <c r="J4128">
        <v>0.73352184685780852</v>
      </c>
      <c r="K4128">
        <v>0</v>
      </c>
      <c r="L4128">
        <v>0</v>
      </c>
      <c r="M4128">
        <v>0.54275777428529604</v>
      </c>
      <c r="N4128">
        <v>0</v>
      </c>
      <c r="O4128">
        <v>0</v>
      </c>
      <c r="P4128">
        <v>0.70361192825250307</v>
      </c>
      <c r="Q4128">
        <v>1.3404270360447059</v>
      </c>
      <c r="R4128">
        <v>2.323107026679764</v>
      </c>
      <c r="S4128">
        <v>0.17509813403098021</v>
      </c>
      <c r="T4128">
        <v>0.13780081636591571</v>
      </c>
      <c r="U4128">
        <v>4.4286477380750293</v>
      </c>
      <c r="V4128">
        <v>0.20127646963296911</v>
      </c>
      <c r="W4128">
        <v>8.2593861879137673</v>
      </c>
      <c r="X4128">
        <v>0.32163965566868918</v>
      </c>
      <c r="Z4128" t="s">
        <v>392</v>
      </c>
      <c r="AA4128">
        <v>161</v>
      </c>
      <c r="AB4128" t="s">
        <v>4519</v>
      </c>
      <c r="AC4128" t="str">
        <f>HYPERLINK("plots/3FT6Y578R04_015_S31P_20251219032831_M5358ACSA301811_RBGEUFRF04/dpll_52046/txpa_53249.png","plot")</f>
        <v>plot</v>
      </c>
    </row>
    <row r="4129" spans="1:29" x14ac:dyDescent="0.35">
      <c r="A4129" s="3" t="s">
        <v>50</v>
      </c>
      <c r="B4129">
        <v>52046</v>
      </c>
      <c r="C4129" t="s">
        <v>51</v>
      </c>
      <c r="D4129">
        <v>53250</v>
      </c>
      <c r="E4129" t="s">
        <v>125</v>
      </c>
      <c r="F4129">
        <v>11781</v>
      </c>
      <c r="G4129">
        <v>0.83393089887486027</v>
      </c>
      <c r="H4129">
        <v>0</v>
      </c>
      <c r="I4129">
        <v>0</v>
      </c>
      <c r="J4129">
        <v>0.72958822986868455</v>
      </c>
      <c r="K4129">
        <v>0</v>
      </c>
      <c r="L4129">
        <v>0</v>
      </c>
      <c r="M4129">
        <v>0.53915732127220595</v>
      </c>
      <c r="N4129">
        <v>0</v>
      </c>
      <c r="O4129">
        <v>0</v>
      </c>
      <c r="P4129">
        <v>0.69544074409823242</v>
      </c>
      <c r="Q4129">
        <v>1.3310201424365939</v>
      </c>
      <c r="R4129">
        <v>2.333173954027314</v>
      </c>
      <c r="S4129">
        <v>0.17727669002032839</v>
      </c>
      <c r="T4129">
        <v>0.138380141104085</v>
      </c>
      <c r="U4129">
        <v>4.4286701896273666</v>
      </c>
      <c r="V4129">
        <v>0.20127025814248481</v>
      </c>
      <c r="W4129">
        <v>8.2278231806298283</v>
      </c>
      <c r="X4129">
        <v>0.32124336443523549</v>
      </c>
      <c r="Z4129" t="s">
        <v>392</v>
      </c>
      <c r="AA4129">
        <v>161</v>
      </c>
      <c r="AB4129" t="s">
        <v>4520</v>
      </c>
      <c r="AC4129" t="str">
        <f>HYPERLINK("plots/3FT6Y578R04_015_S31P_20251219032831_M5358ACSA301811_RBGEUFRF04/dpll_52046/txpa_53250.png","plot")</f>
        <v>plot</v>
      </c>
    </row>
    <row r="4130" spans="1:29" x14ac:dyDescent="0.35">
      <c r="A4130" s="3" t="s">
        <v>50</v>
      </c>
      <c r="B4130">
        <v>52046</v>
      </c>
      <c r="C4130" t="s">
        <v>51</v>
      </c>
      <c r="D4130">
        <v>53251</v>
      </c>
      <c r="E4130" t="s">
        <v>126</v>
      </c>
      <c r="F4130">
        <v>11782</v>
      </c>
      <c r="G4130">
        <v>0.82614503117662541</v>
      </c>
      <c r="H4130">
        <v>0</v>
      </c>
      <c r="I4130">
        <v>0</v>
      </c>
      <c r="J4130">
        <v>0.72490373834564048</v>
      </c>
      <c r="K4130">
        <v>0</v>
      </c>
      <c r="L4130">
        <v>0</v>
      </c>
      <c r="M4130">
        <v>0.53181942341375399</v>
      </c>
      <c r="N4130">
        <v>0</v>
      </c>
      <c r="O4130">
        <v>0</v>
      </c>
      <c r="P4130">
        <v>0.68251561253782733</v>
      </c>
      <c r="Q4130">
        <v>1.381434361350885</v>
      </c>
      <c r="R4130">
        <v>3.1160523114467029</v>
      </c>
      <c r="S4130">
        <v>0.18963116842729161</v>
      </c>
      <c r="T4130">
        <v>0.1461199147491524</v>
      </c>
      <c r="U4130">
        <v>4.4286477380750293</v>
      </c>
      <c r="V4130">
        <v>0.20127646963296911</v>
      </c>
      <c r="W4130">
        <v>9.2339384711424213</v>
      </c>
      <c r="X4130">
        <v>0.33656346136509752</v>
      </c>
      <c r="Z4130" t="s">
        <v>392</v>
      </c>
      <c r="AA4130">
        <v>161</v>
      </c>
      <c r="AB4130" t="s">
        <v>4521</v>
      </c>
      <c r="AC4130" t="str">
        <f>HYPERLINK("plots/3FT6Y578R04_015_S31P_20251219032831_M5358ACSA301811_RBGEUFRF04/dpll_52046/txpa_53251.png","plot")</f>
        <v>plot</v>
      </c>
    </row>
    <row r="4131" spans="1:29" x14ac:dyDescent="0.35">
      <c r="A4131" s="3" t="s">
        <v>50</v>
      </c>
      <c r="B4131">
        <v>52046</v>
      </c>
      <c r="C4131" t="s">
        <v>51</v>
      </c>
      <c r="D4131">
        <v>53252</v>
      </c>
      <c r="E4131" t="s">
        <v>127</v>
      </c>
      <c r="F4131">
        <v>11782</v>
      </c>
      <c r="G4131">
        <v>0.83961422617933978</v>
      </c>
      <c r="H4131">
        <v>0</v>
      </c>
      <c r="I4131">
        <v>0</v>
      </c>
      <c r="J4131">
        <v>0.73803463783691359</v>
      </c>
      <c r="K4131">
        <v>0</v>
      </c>
      <c r="L4131">
        <v>0</v>
      </c>
      <c r="M4131">
        <v>0.54694726534373361</v>
      </c>
      <c r="N4131">
        <v>0</v>
      </c>
      <c r="O4131">
        <v>0</v>
      </c>
      <c r="P4131">
        <v>0.70495204880273155</v>
      </c>
      <c r="Q4131">
        <v>1.413452497905175</v>
      </c>
      <c r="R4131">
        <v>3.0094834052446799</v>
      </c>
      <c r="S4131">
        <v>0.1840442721924137</v>
      </c>
      <c r="T4131">
        <v>0.14332303857083159</v>
      </c>
      <c r="U4131">
        <v>4.4286477380750293</v>
      </c>
      <c r="V4131">
        <v>0.20127646963296911</v>
      </c>
      <c r="W4131">
        <v>9.2691666129689345</v>
      </c>
      <c r="X4131">
        <v>0.33883981464540808</v>
      </c>
      <c r="Z4131" t="s">
        <v>392</v>
      </c>
      <c r="AA4131">
        <v>161</v>
      </c>
      <c r="AB4131" t="s">
        <v>4522</v>
      </c>
      <c r="AC4131" t="str">
        <f>HYPERLINK("plots/3FT6Y578R04_015_S31P_20251219032831_M5358ACSA301811_RBGEUFRF04/dpll_52046/txpa_53252.png","plot")</f>
        <v>plot</v>
      </c>
    </row>
    <row r="4132" spans="1:29" x14ac:dyDescent="0.35">
      <c r="A4132" s="3" t="s">
        <v>50</v>
      </c>
      <c r="B4132">
        <v>52046</v>
      </c>
      <c r="C4132" t="s">
        <v>51</v>
      </c>
      <c r="D4132">
        <v>53253</v>
      </c>
      <c r="E4132" t="s">
        <v>128</v>
      </c>
      <c r="F4132">
        <v>11782</v>
      </c>
      <c r="G4132">
        <v>0.83489226125405935</v>
      </c>
      <c r="H4132">
        <v>0</v>
      </c>
      <c r="I4132">
        <v>0</v>
      </c>
      <c r="J4132">
        <v>0.72996179174425535</v>
      </c>
      <c r="K4132">
        <v>0</v>
      </c>
      <c r="L4132">
        <v>0</v>
      </c>
      <c r="M4132">
        <v>0.53829511145813602</v>
      </c>
      <c r="N4132">
        <v>0</v>
      </c>
      <c r="O4132">
        <v>0</v>
      </c>
      <c r="P4132">
        <v>0.69704508790191655</v>
      </c>
      <c r="Q4132">
        <v>1.3832335124087221</v>
      </c>
      <c r="R4132">
        <v>3.159008624518532</v>
      </c>
      <c r="S4132">
        <v>0.18353911834523859</v>
      </c>
      <c r="T4132">
        <v>0.14237903950348449</v>
      </c>
      <c r="U4132">
        <v>4.4286477380750293</v>
      </c>
      <c r="V4132">
        <v>0.20127646963296911</v>
      </c>
      <c r="W4132">
        <v>9.2848625904769992</v>
      </c>
      <c r="X4132">
        <v>0.33347100096178539</v>
      </c>
      <c r="Z4132" t="s">
        <v>392</v>
      </c>
      <c r="AA4132">
        <v>161</v>
      </c>
      <c r="AB4132" t="s">
        <v>4523</v>
      </c>
      <c r="AC4132" t="str">
        <f>HYPERLINK("plots/3FT6Y578R04_015_S31P_20251219032831_M5358ACSA301811_RBGEUFRF04/dpll_52046/txpa_53253.png","plot")</f>
        <v>plot</v>
      </c>
    </row>
    <row r="4133" spans="1:29" x14ac:dyDescent="0.35">
      <c r="A4133" s="3" t="s">
        <v>50</v>
      </c>
      <c r="B4133">
        <v>52046</v>
      </c>
      <c r="C4133" t="s">
        <v>51</v>
      </c>
      <c r="D4133">
        <v>53254</v>
      </c>
      <c r="E4133" t="s">
        <v>129</v>
      </c>
      <c r="F4133">
        <v>11781</v>
      </c>
      <c r="G4133">
        <v>0.84440857374008715</v>
      </c>
      <c r="H4133">
        <v>0</v>
      </c>
      <c r="I4133">
        <v>0</v>
      </c>
      <c r="J4133">
        <v>0.73966168324943604</v>
      </c>
      <c r="K4133">
        <v>0</v>
      </c>
      <c r="L4133">
        <v>0</v>
      </c>
      <c r="M4133">
        <v>0.54831147466893659</v>
      </c>
      <c r="N4133">
        <v>0</v>
      </c>
      <c r="O4133">
        <v>0</v>
      </c>
      <c r="P4133">
        <v>0.71302583940576825</v>
      </c>
      <c r="Q4133">
        <v>1.4127100146220299</v>
      </c>
      <c r="R4133">
        <v>3.0395757525404781</v>
      </c>
      <c r="S4133">
        <v>0.18038969764466409</v>
      </c>
      <c r="T4133">
        <v>0.14139132999718751</v>
      </c>
      <c r="U4133">
        <v>4.4286547017231142</v>
      </c>
      <c r="V4133">
        <v>0.20128359324518649</v>
      </c>
      <c r="W4133">
        <v>9.2959806009676598</v>
      </c>
      <c r="X4133">
        <v>0.33675090092596333</v>
      </c>
      <c r="Z4133" t="s">
        <v>392</v>
      </c>
      <c r="AA4133">
        <v>161</v>
      </c>
      <c r="AB4133" t="s">
        <v>4524</v>
      </c>
      <c r="AC4133" t="str">
        <f>HYPERLINK("plots/3FT6Y578R04_015_S31P_20251219032831_M5358ACSA301811_RBGEUFRF04/dpll_52046/txpa_53254.png","plot")</f>
        <v>plot</v>
      </c>
    </row>
    <row r="4134" spans="1:29" x14ac:dyDescent="0.35">
      <c r="A4134" s="3" t="s">
        <v>50</v>
      </c>
      <c r="B4134">
        <v>52046</v>
      </c>
      <c r="C4134" t="s">
        <v>51</v>
      </c>
      <c r="D4134">
        <v>53255</v>
      </c>
      <c r="E4134" t="s">
        <v>130</v>
      </c>
      <c r="F4134">
        <v>11781</v>
      </c>
      <c r="G4134">
        <v>0.8464418160696181</v>
      </c>
      <c r="H4134">
        <v>0</v>
      </c>
      <c r="I4134">
        <v>0</v>
      </c>
      <c r="J4134">
        <v>0.73905935087379615</v>
      </c>
      <c r="K4134">
        <v>0</v>
      </c>
      <c r="L4134">
        <v>0</v>
      </c>
      <c r="M4134">
        <v>0.54670657623361418</v>
      </c>
      <c r="N4134">
        <v>0</v>
      </c>
      <c r="O4134">
        <v>0</v>
      </c>
      <c r="P4134">
        <v>0.71646374799123325</v>
      </c>
      <c r="Q4134">
        <v>1.4145652178793739</v>
      </c>
      <c r="R4134">
        <v>3.0100159802654072</v>
      </c>
      <c r="S4134">
        <v>0.17909286231958069</v>
      </c>
      <c r="T4134">
        <v>0.14046415867482209</v>
      </c>
      <c r="U4134">
        <v>4.4286210779220783</v>
      </c>
      <c r="V4134">
        <v>0.20126420786155011</v>
      </c>
      <c r="W4134">
        <v>9.2745893202614376</v>
      </c>
      <c r="X4134">
        <v>0.33635075989863089</v>
      </c>
      <c r="Z4134" t="s">
        <v>392</v>
      </c>
      <c r="AA4134">
        <v>161</v>
      </c>
      <c r="AB4134" t="s">
        <v>4525</v>
      </c>
      <c r="AC4134" t="str">
        <f>HYPERLINK("plots/3FT6Y578R04_015_S31P_20251219032831_M5358ACSA301811_RBGEUFRF04/dpll_52046/txpa_53255.png","plot")</f>
        <v>plot</v>
      </c>
    </row>
    <row r="4135" spans="1:29" x14ac:dyDescent="0.35">
      <c r="A4135" s="3" t="s">
        <v>50</v>
      </c>
      <c r="B4135">
        <v>52046</v>
      </c>
      <c r="C4135" t="s">
        <v>51</v>
      </c>
      <c r="D4135">
        <v>53256</v>
      </c>
      <c r="E4135" t="s">
        <v>131</v>
      </c>
      <c r="F4135">
        <v>11781</v>
      </c>
      <c r="G4135">
        <v>0.84874267846428986</v>
      </c>
      <c r="H4135">
        <v>0</v>
      </c>
      <c r="I4135">
        <v>0</v>
      </c>
      <c r="J4135">
        <v>0.74837673890568379</v>
      </c>
      <c r="K4135">
        <v>0</v>
      </c>
      <c r="L4135">
        <v>0</v>
      </c>
      <c r="M4135">
        <v>0.55603774523963168</v>
      </c>
      <c r="N4135">
        <v>0</v>
      </c>
      <c r="O4135">
        <v>0</v>
      </c>
      <c r="P4135">
        <v>0.72036413424673695</v>
      </c>
      <c r="Q4135">
        <v>1.425601847796333</v>
      </c>
      <c r="R4135">
        <v>2.965817470486408</v>
      </c>
      <c r="S4135">
        <v>0.17875593984597371</v>
      </c>
      <c r="T4135">
        <v>0.1407126712251224</v>
      </c>
      <c r="U4135">
        <v>4.4286192746795683</v>
      </c>
      <c r="V4135">
        <v>0.20126129812424351</v>
      </c>
      <c r="W4135">
        <v>9.2792652916560563</v>
      </c>
      <c r="X4135">
        <v>0.33805119711307419</v>
      </c>
      <c r="Z4135" t="s">
        <v>392</v>
      </c>
      <c r="AA4135">
        <v>161</v>
      </c>
      <c r="AB4135" t="s">
        <v>4526</v>
      </c>
      <c r="AC4135" t="str">
        <f>HYPERLINK("plots/3FT6Y578R04_015_S31P_20251219032831_M5358ACSA301811_RBGEUFRF04/dpll_52046/txpa_53256.png","plot")</f>
        <v>plot</v>
      </c>
    </row>
    <row r="4136" spans="1:29" x14ac:dyDescent="0.35">
      <c r="A4136" s="3" t="s">
        <v>50</v>
      </c>
      <c r="B4136">
        <v>52046</v>
      </c>
      <c r="C4136" t="s">
        <v>51</v>
      </c>
      <c r="D4136">
        <v>53257</v>
      </c>
      <c r="E4136" t="s">
        <v>132</v>
      </c>
      <c r="F4136">
        <v>11782</v>
      </c>
      <c r="G4136">
        <v>0.84579582177373858</v>
      </c>
      <c r="H4136">
        <v>0</v>
      </c>
      <c r="I4136">
        <v>0</v>
      </c>
      <c r="J4136">
        <v>0.7393611252611495</v>
      </c>
      <c r="K4136">
        <v>0</v>
      </c>
      <c r="L4136">
        <v>0</v>
      </c>
      <c r="M4136">
        <v>0.54814997531420107</v>
      </c>
      <c r="N4136">
        <v>0</v>
      </c>
      <c r="O4136">
        <v>0</v>
      </c>
      <c r="P4136">
        <v>0.71537057212991373</v>
      </c>
      <c r="Q4136">
        <v>1.410752777157867</v>
      </c>
      <c r="R4136">
        <v>3.039131577771971</v>
      </c>
      <c r="S4136">
        <v>0.17910175997408859</v>
      </c>
      <c r="T4136">
        <v>0.14066200761364839</v>
      </c>
      <c r="U4136">
        <v>4.4286477380750293</v>
      </c>
      <c r="V4136">
        <v>0.20127646963296911</v>
      </c>
      <c r="W4136">
        <v>9.2868586733152263</v>
      </c>
      <c r="X4136">
        <v>0.33572090474006022</v>
      </c>
      <c r="Z4136" t="s">
        <v>392</v>
      </c>
      <c r="AA4136">
        <v>161</v>
      </c>
      <c r="AB4136" t="s">
        <v>4527</v>
      </c>
      <c r="AC4136" t="str">
        <f>HYPERLINK("plots/3FT6Y578R04_015_S31P_20251219032831_M5358ACSA301811_RBGEUFRF04/dpll_52046/txpa_53257.png","plot")</f>
        <v>plot</v>
      </c>
    </row>
    <row r="4137" spans="1:29" x14ac:dyDescent="0.35">
      <c r="A4137" s="3" t="s">
        <v>50</v>
      </c>
      <c r="B4137">
        <v>52046</v>
      </c>
      <c r="C4137" t="s">
        <v>51</v>
      </c>
      <c r="D4137">
        <v>53258</v>
      </c>
      <c r="E4137" t="s">
        <v>133</v>
      </c>
      <c r="F4137">
        <v>11781</v>
      </c>
      <c r="G4137">
        <v>0.84102143821288666</v>
      </c>
      <c r="H4137">
        <v>0</v>
      </c>
      <c r="I4137">
        <v>0</v>
      </c>
      <c r="J4137">
        <v>0.73516910765776433</v>
      </c>
      <c r="K4137">
        <v>0</v>
      </c>
      <c r="L4137">
        <v>0</v>
      </c>
      <c r="M4137">
        <v>0.54423213428391581</v>
      </c>
      <c r="N4137">
        <v>0</v>
      </c>
      <c r="O4137">
        <v>0</v>
      </c>
      <c r="P4137">
        <v>0.7073170595336723</v>
      </c>
      <c r="Q4137">
        <v>1.4001968430131471</v>
      </c>
      <c r="R4137">
        <v>3.0552664459593779</v>
      </c>
      <c r="S4137">
        <v>0.18127666524685321</v>
      </c>
      <c r="T4137">
        <v>0.14136463481214759</v>
      </c>
      <c r="U4137">
        <v>4.4286701896273666</v>
      </c>
      <c r="V4137">
        <v>0.20127025814248481</v>
      </c>
      <c r="W4137">
        <v>9.2562764642220525</v>
      </c>
      <c r="X4137">
        <v>0.33509012640913488</v>
      </c>
      <c r="Z4137" t="s">
        <v>392</v>
      </c>
      <c r="AA4137">
        <v>161</v>
      </c>
      <c r="AB4137" t="s">
        <v>4528</v>
      </c>
      <c r="AC4137" t="str">
        <f>HYPERLINK("plots/3FT6Y578R04_015_S31P_20251219032831_M5358ACSA301811_RBGEUFRF04/dpll_52046/txpa_53258.png","plot")</f>
        <v>plot</v>
      </c>
    </row>
    <row r="4138" spans="1:29" x14ac:dyDescent="0.35">
      <c r="A4138" s="3" t="s">
        <v>50</v>
      </c>
      <c r="B4138">
        <v>52046</v>
      </c>
      <c r="C4138" t="s">
        <v>51</v>
      </c>
      <c r="D4138">
        <v>53259</v>
      </c>
      <c r="E4138" t="s">
        <v>134</v>
      </c>
      <c r="F4138">
        <v>11782</v>
      </c>
      <c r="G4138">
        <v>0.82859269368026345</v>
      </c>
      <c r="H4138">
        <v>0</v>
      </c>
      <c r="I4138">
        <v>0</v>
      </c>
      <c r="J4138">
        <v>0.72698306468591245</v>
      </c>
      <c r="K4138">
        <v>0</v>
      </c>
      <c r="L4138">
        <v>0</v>
      </c>
      <c r="M4138">
        <v>0.53372126928772479</v>
      </c>
      <c r="N4138">
        <v>0</v>
      </c>
      <c r="O4138">
        <v>0</v>
      </c>
      <c r="P4138">
        <v>0.68656585202031495</v>
      </c>
      <c r="Q4138">
        <v>1.4101114668535599</v>
      </c>
      <c r="R4138">
        <v>3.494034624978172</v>
      </c>
      <c r="S4138">
        <v>0.19176090691521161</v>
      </c>
      <c r="T4138">
        <v>0.14759477732538459</v>
      </c>
      <c r="U4138">
        <v>4.4286477380750293</v>
      </c>
      <c r="V4138">
        <v>0.20127646963296911</v>
      </c>
      <c r="W4138">
        <v>9.7389215830928535</v>
      </c>
      <c r="X4138">
        <v>0.34253531319064839</v>
      </c>
      <c r="Z4138" t="s">
        <v>392</v>
      </c>
      <c r="AA4138">
        <v>161</v>
      </c>
      <c r="AB4138" t="s">
        <v>4529</v>
      </c>
      <c r="AC4138" t="str">
        <f>HYPERLINK("plots/3FT6Y578R04_015_S31P_20251219032831_M5358ACSA301811_RBGEUFRF04/dpll_52046/txpa_53259.png","plot")</f>
        <v>plot</v>
      </c>
    </row>
    <row r="4139" spans="1:29" x14ac:dyDescent="0.35">
      <c r="A4139" s="3" t="s">
        <v>50</v>
      </c>
      <c r="B4139">
        <v>52046</v>
      </c>
      <c r="C4139" t="s">
        <v>51</v>
      </c>
      <c r="D4139">
        <v>53260</v>
      </c>
      <c r="E4139" t="s">
        <v>135</v>
      </c>
      <c r="F4139">
        <v>11782</v>
      </c>
      <c r="G4139">
        <v>0.84176852334837249</v>
      </c>
      <c r="H4139">
        <v>0</v>
      </c>
      <c r="I4139">
        <v>0</v>
      </c>
      <c r="J4139">
        <v>0.73974722170087004</v>
      </c>
      <c r="K4139">
        <v>0</v>
      </c>
      <c r="L4139">
        <v>0</v>
      </c>
      <c r="M4139">
        <v>0.54853433309968291</v>
      </c>
      <c r="N4139">
        <v>0</v>
      </c>
      <c r="O4139">
        <v>0</v>
      </c>
      <c r="P4139">
        <v>0.70857424690009951</v>
      </c>
      <c r="Q4139">
        <v>1.442632860208211</v>
      </c>
      <c r="R4139">
        <v>3.3850583667797758</v>
      </c>
      <c r="S4139">
        <v>0.18620943280272301</v>
      </c>
      <c r="T4139">
        <v>0.14488579780282149</v>
      </c>
      <c r="U4139">
        <v>4.4286477380750293</v>
      </c>
      <c r="V4139">
        <v>0.20127646963296911</v>
      </c>
      <c r="W4139">
        <v>9.7739711200135808</v>
      </c>
      <c r="X4139">
        <v>0.3449499963769142</v>
      </c>
      <c r="Z4139" t="s">
        <v>392</v>
      </c>
      <c r="AA4139">
        <v>161</v>
      </c>
      <c r="AB4139" t="s">
        <v>4530</v>
      </c>
      <c r="AC4139" t="str">
        <f>HYPERLINK("plots/3FT6Y578R04_015_S31P_20251219032831_M5358ACSA301811_RBGEUFRF04/dpll_52046/txpa_53260.png","plot")</f>
        <v>plot</v>
      </c>
    </row>
    <row r="4140" spans="1:29" x14ac:dyDescent="0.35">
      <c r="A4140" s="3" t="s">
        <v>50</v>
      </c>
      <c r="B4140">
        <v>52046</v>
      </c>
      <c r="C4140" t="s">
        <v>51</v>
      </c>
      <c r="D4140">
        <v>53261</v>
      </c>
      <c r="E4140" t="s">
        <v>136</v>
      </c>
      <c r="F4140">
        <v>11782</v>
      </c>
      <c r="G4140">
        <v>0.83738567039576528</v>
      </c>
      <c r="H4140">
        <v>0</v>
      </c>
      <c r="I4140">
        <v>0</v>
      </c>
      <c r="J4140">
        <v>0.73208132184178276</v>
      </c>
      <c r="K4140">
        <v>0</v>
      </c>
      <c r="L4140">
        <v>0</v>
      </c>
      <c r="M4140">
        <v>0.54021306720795625</v>
      </c>
      <c r="N4140">
        <v>0</v>
      </c>
      <c r="O4140">
        <v>0</v>
      </c>
      <c r="P4140">
        <v>0.70121476098416524</v>
      </c>
      <c r="Q4140">
        <v>1.412383237811605</v>
      </c>
      <c r="R4140">
        <v>3.5348785396450668</v>
      </c>
      <c r="S4140">
        <v>0.1855586371129325</v>
      </c>
      <c r="T4140">
        <v>0.14376591836295641</v>
      </c>
      <c r="U4140">
        <v>4.4286477380750293</v>
      </c>
      <c r="V4140">
        <v>0.20127646963296911</v>
      </c>
      <c r="W4140">
        <v>9.7898263710745201</v>
      </c>
      <c r="X4140">
        <v>0.33948456717816289</v>
      </c>
      <c r="Z4140" t="s">
        <v>392</v>
      </c>
      <c r="AA4140">
        <v>161</v>
      </c>
      <c r="AB4140" t="s">
        <v>4531</v>
      </c>
      <c r="AC4140" t="str">
        <f>HYPERLINK("plots/3FT6Y578R04_015_S31P_20251219032831_M5358ACSA301811_RBGEUFRF04/dpll_52046/txpa_53261.png","plot")</f>
        <v>plot</v>
      </c>
    </row>
    <row r="4141" spans="1:29" x14ac:dyDescent="0.35">
      <c r="A4141" s="3" t="s">
        <v>50</v>
      </c>
      <c r="B4141">
        <v>52046</v>
      </c>
      <c r="C4141" t="s">
        <v>51</v>
      </c>
      <c r="D4141">
        <v>53262</v>
      </c>
      <c r="E4141" t="s">
        <v>137</v>
      </c>
      <c r="F4141">
        <v>11781</v>
      </c>
      <c r="G4141">
        <v>0.84651253423366091</v>
      </c>
      <c r="H4141">
        <v>0</v>
      </c>
      <c r="I4141">
        <v>0</v>
      </c>
      <c r="J4141">
        <v>0.74134023569722973</v>
      </c>
      <c r="K4141">
        <v>0</v>
      </c>
      <c r="L4141">
        <v>0</v>
      </c>
      <c r="M4141">
        <v>0.54984226475148312</v>
      </c>
      <c r="N4141">
        <v>0</v>
      </c>
      <c r="O4141">
        <v>0</v>
      </c>
      <c r="P4141">
        <v>0.71658347061469496</v>
      </c>
      <c r="Q4141">
        <v>1.441682115121691</v>
      </c>
      <c r="R4141">
        <v>3.4162619081140879</v>
      </c>
      <c r="S4141">
        <v>0.18248982279754791</v>
      </c>
      <c r="T4141">
        <v>0.14295512888978021</v>
      </c>
      <c r="U4141">
        <v>4.4286547017231142</v>
      </c>
      <c r="V4141">
        <v>0.20128359324518649</v>
      </c>
      <c r="W4141">
        <v>9.8009741856378909</v>
      </c>
      <c r="X4141">
        <v>0.34280290570265209</v>
      </c>
      <c r="Z4141" t="s">
        <v>392</v>
      </c>
      <c r="AA4141">
        <v>161</v>
      </c>
      <c r="AB4141" t="s">
        <v>4532</v>
      </c>
      <c r="AC4141" t="str">
        <f>HYPERLINK("plots/3FT6Y578R04_015_S31P_20251219032831_M5358ACSA301811_RBGEUFRF04/dpll_52046/txpa_53262.png","plot")</f>
        <v>plot</v>
      </c>
    </row>
    <row r="4142" spans="1:29" x14ac:dyDescent="0.35">
      <c r="A4142" s="3" t="s">
        <v>50</v>
      </c>
      <c r="B4142">
        <v>52046</v>
      </c>
      <c r="C4142" t="s">
        <v>51</v>
      </c>
      <c r="D4142">
        <v>53263</v>
      </c>
      <c r="E4142" t="s">
        <v>138</v>
      </c>
      <c r="F4142">
        <v>11781</v>
      </c>
      <c r="G4142">
        <v>0.8485327267574333</v>
      </c>
      <c r="H4142">
        <v>0</v>
      </c>
      <c r="I4142">
        <v>0</v>
      </c>
      <c r="J4142">
        <v>0.74084666385612885</v>
      </c>
      <c r="K4142">
        <v>0</v>
      </c>
      <c r="L4142">
        <v>0</v>
      </c>
      <c r="M4142">
        <v>0.5483536969041215</v>
      </c>
      <c r="N4142">
        <v>0</v>
      </c>
      <c r="O4142">
        <v>0</v>
      </c>
      <c r="P4142">
        <v>0.72000778837840496</v>
      </c>
      <c r="Q4142">
        <v>1.4439352456690759</v>
      </c>
      <c r="R4142">
        <v>3.3845038821447511</v>
      </c>
      <c r="S4142">
        <v>0.18121753194696361</v>
      </c>
      <c r="T4142">
        <v>0.14205592395324851</v>
      </c>
      <c r="U4142">
        <v>4.4286210779220783</v>
      </c>
      <c r="V4142">
        <v>0.20126420786155011</v>
      </c>
      <c r="W4142">
        <v>9.7791459462694164</v>
      </c>
      <c r="X4142">
        <v>0.34248824383415399</v>
      </c>
      <c r="Z4142" t="s">
        <v>392</v>
      </c>
      <c r="AA4142">
        <v>161</v>
      </c>
      <c r="AB4142" t="s">
        <v>4533</v>
      </c>
      <c r="AC4142" t="str">
        <f>HYPERLINK("plots/3FT6Y578R04_015_S31P_20251219032831_M5358ACSA301811_RBGEUFRF04/dpll_52046/txpa_53263.png","plot")</f>
        <v>plot</v>
      </c>
    </row>
    <row r="4143" spans="1:29" x14ac:dyDescent="0.35">
      <c r="A4143" s="3" t="s">
        <v>50</v>
      </c>
      <c r="B4143">
        <v>52046</v>
      </c>
      <c r="C4143" t="s">
        <v>51</v>
      </c>
      <c r="D4143">
        <v>53264</v>
      </c>
      <c r="E4143" t="s">
        <v>139</v>
      </c>
      <c r="F4143">
        <v>11781</v>
      </c>
      <c r="G4143">
        <v>0.85082001301991494</v>
      </c>
      <c r="H4143">
        <v>0</v>
      </c>
      <c r="I4143">
        <v>0</v>
      </c>
      <c r="J4143">
        <v>0.74999277315889901</v>
      </c>
      <c r="K4143">
        <v>0</v>
      </c>
      <c r="L4143">
        <v>0</v>
      </c>
      <c r="M4143">
        <v>0.55759684612272498</v>
      </c>
      <c r="N4143">
        <v>0</v>
      </c>
      <c r="O4143">
        <v>0</v>
      </c>
      <c r="P4143">
        <v>0.72389469455520827</v>
      </c>
      <c r="Q4143">
        <v>1.4544754184675921</v>
      </c>
      <c r="R4143">
        <v>3.3425750401374108</v>
      </c>
      <c r="S4143">
        <v>0.18077896749925729</v>
      </c>
      <c r="T4143">
        <v>0.142197812999318</v>
      </c>
      <c r="U4143">
        <v>4.4286192746795683</v>
      </c>
      <c r="V4143">
        <v>0.20126129812424351</v>
      </c>
      <c r="W4143">
        <v>9.783892912910618</v>
      </c>
      <c r="X4143">
        <v>0.34405585944266909</v>
      </c>
      <c r="Z4143" t="s">
        <v>392</v>
      </c>
      <c r="AA4143">
        <v>161</v>
      </c>
      <c r="AB4143" t="s">
        <v>4534</v>
      </c>
      <c r="AC4143" t="str">
        <f>HYPERLINK("plots/3FT6Y578R04_015_S31P_20251219032831_M5358ACSA301811_RBGEUFRF04/dpll_52046/txpa_53264.png","plot")</f>
        <v>plot</v>
      </c>
    </row>
    <row r="4144" spans="1:29" x14ac:dyDescent="0.35">
      <c r="A4144" s="3" t="s">
        <v>50</v>
      </c>
      <c r="B4144">
        <v>52046</v>
      </c>
      <c r="C4144" t="s">
        <v>51</v>
      </c>
      <c r="D4144">
        <v>53265</v>
      </c>
      <c r="E4144" t="s">
        <v>140</v>
      </c>
      <c r="F4144">
        <v>11782</v>
      </c>
      <c r="G4144">
        <v>0.84800089035581117</v>
      </c>
      <c r="H4144">
        <v>0</v>
      </c>
      <c r="I4144">
        <v>0</v>
      </c>
      <c r="J4144">
        <v>0.7412535928411037</v>
      </c>
      <c r="K4144">
        <v>0</v>
      </c>
      <c r="L4144">
        <v>0</v>
      </c>
      <c r="M4144">
        <v>0.54989793760715611</v>
      </c>
      <c r="N4144">
        <v>0</v>
      </c>
      <c r="O4144">
        <v>0</v>
      </c>
      <c r="P4144">
        <v>0.7191055100442485</v>
      </c>
      <c r="Q4144">
        <v>1.4399889942912361</v>
      </c>
      <c r="R4144">
        <v>3.4143822442266099</v>
      </c>
      <c r="S4144">
        <v>0.1811377837635674</v>
      </c>
      <c r="T4144">
        <v>0.14210856385302301</v>
      </c>
      <c r="U4144">
        <v>4.4286477380750293</v>
      </c>
      <c r="V4144">
        <v>0.20127646963296911</v>
      </c>
      <c r="W4144">
        <v>9.7915862466474284</v>
      </c>
      <c r="X4144">
        <v>0.34178726034079748</v>
      </c>
      <c r="Z4144" t="s">
        <v>392</v>
      </c>
      <c r="AA4144">
        <v>161</v>
      </c>
      <c r="AB4144" t="s">
        <v>4535</v>
      </c>
      <c r="AC4144" t="str">
        <f>HYPERLINK("plots/3FT6Y578R04_015_S31P_20251219032831_M5358ACSA301811_RBGEUFRF04/dpll_52046/txpa_53265.png","plot")</f>
        <v>plot</v>
      </c>
    </row>
    <row r="4145" spans="1:29" x14ac:dyDescent="0.35">
      <c r="A4145" s="3" t="s">
        <v>50</v>
      </c>
      <c r="B4145">
        <v>52046</v>
      </c>
      <c r="C4145" t="s">
        <v>51</v>
      </c>
      <c r="D4145">
        <v>53266</v>
      </c>
      <c r="E4145" t="s">
        <v>141</v>
      </c>
      <c r="F4145">
        <v>11781</v>
      </c>
      <c r="G4145">
        <v>0.84307364462461998</v>
      </c>
      <c r="H4145">
        <v>0</v>
      </c>
      <c r="I4145">
        <v>0</v>
      </c>
      <c r="J4145">
        <v>0.73673192266838283</v>
      </c>
      <c r="K4145">
        <v>0</v>
      </c>
      <c r="L4145">
        <v>0</v>
      </c>
      <c r="M4145">
        <v>0.54568060310046695</v>
      </c>
      <c r="N4145">
        <v>0</v>
      </c>
      <c r="O4145">
        <v>0</v>
      </c>
      <c r="P4145">
        <v>0.71077317026064002</v>
      </c>
      <c r="Q4145">
        <v>1.428352604110726</v>
      </c>
      <c r="R4145">
        <v>3.4354850722148189</v>
      </c>
      <c r="S4145">
        <v>0.18337932819020689</v>
      </c>
      <c r="T4145">
        <v>0.14283713536780299</v>
      </c>
      <c r="U4145">
        <v>4.4286701896273666</v>
      </c>
      <c r="V4145">
        <v>0.20127025814248481</v>
      </c>
      <c r="W4145">
        <v>9.7611876703166125</v>
      </c>
      <c r="X4145">
        <v>0.34099618601629927</v>
      </c>
      <c r="Z4145" t="s">
        <v>392</v>
      </c>
      <c r="AA4145">
        <v>161</v>
      </c>
      <c r="AB4145" t="s">
        <v>4536</v>
      </c>
      <c r="AC4145" t="str">
        <f>HYPERLINK("plots/3FT6Y578R04_015_S31P_20251219032831_M5358ACSA301811_RBGEUFRF04/dpll_52046/txpa_53266.png","plot")</f>
        <v>plot</v>
      </c>
    </row>
    <row r="4146" spans="1:29" x14ac:dyDescent="0.35">
      <c r="A4146" s="3" t="s">
        <v>50</v>
      </c>
      <c r="B4146">
        <v>52046</v>
      </c>
      <c r="C4146" t="s">
        <v>51</v>
      </c>
      <c r="D4146">
        <v>53267</v>
      </c>
      <c r="E4146" t="s">
        <v>142</v>
      </c>
      <c r="F4146">
        <v>11782</v>
      </c>
      <c r="G4146">
        <v>0.83074384622373543</v>
      </c>
      <c r="H4146">
        <v>0</v>
      </c>
      <c r="I4146">
        <v>0</v>
      </c>
      <c r="J4146">
        <v>0.72865211550057163</v>
      </c>
      <c r="K4146">
        <v>0</v>
      </c>
      <c r="L4146">
        <v>0</v>
      </c>
      <c r="M4146">
        <v>0.53525115028083114</v>
      </c>
      <c r="N4146">
        <v>0</v>
      </c>
      <c r="O4146">
        <v>0</v>
      </c>
      <c r="P4146">
        <v>0.69013533803860538</v>
      </c>
      <c r="Q4146">
        <v>1.436208641952863</v>
      </c>
      <c r="R4146">
        <v>3.8570066439842128</v>
      </c>
      <c r="S4146">
        <v>0.19369169655972041</v>
      </c>
      <c r="T4146">
        <v>0.14889964361652169</v>
      </c>
      <c r="U4146">
        <v>4.4286477380750293</v>
      </c>
      <c r="V4146">
        <v>0.20127646963296911</v>
      </c>
      <c r="W4146">
        <v>10.21746879757257</v>
      </c>
      <c r="X4146">
        <v>0.34797128672413868</v>
      </c>
      <c r="Z4146" t="s">
        <v>392</v>
      </c>
      <c r="AA4146">
        <v>161</v>
      </c>
      <c r="AB4146" t="s">
        <v>4537</v>
      </c>
      <c r="AC4146" t="str">
        <f>HYPERLINK("plots/3FT6Y578R04_015_S31P_20251219032831_M5358ACSA301811_RBGEUFRF04/dpll_52046/txpa_53267.png","plot")</f>
        <v>plot</v>
      </c>
    </row>
    <row r="4147" spans="1:29" x14ac:dyDescent="0.35">
      <c r="A4147" s="3" t="s">
        <v>50</v>
      </c>
      <c r="B4147">
        <v>52046</v>
      </c>
      <c r="C4147" t="s">
        <v>51</v>
      </c>
      <c r="D4147">
        <v>53268</v>
      </c>
      <c r="E4147" t="s">
        <v>143</v>
      </c>
      <c r="F4147">
        <v>11782</v>
      </c>
      <c r="G4147">
        <v>0.84368612895999351</v>
      </c>
      <c r="H4147">
        <v>0</v>
      </c>
      <c r="I4147">
        <v>0</v>
      </c>
      <c r="J4147">
        <v>0.74137819539217709</v>
      </c>
      <c r="K4147">
        <v>0</v>
      </c>
      <c r="L4147">
        <v>0</v>
      </c>
      <c r="M4147">
        <v>0.55006250800374534</v>
      </c>
      <c r="N4147">
        <v>0</v>
      </c>
      <c r="O4147">
        <v>0</v>
      </c>
      <c r="P4147">
        <v>0.71180628419949876</v>
      </c>
      <c r="Q4147">
        <v>1.4690301791356419</v>
      </c>
      <c r="R4147">
        <v>3.7470844860229411</v>
      </c>
      <c r="S4147">
        <v>0.18813371757255401</v>
      </c>
      <c r="T4147">
        <v>0.14621600221009079</v>
      </c>
      <c r="U4147">
        <v>4.4286477380750293</v>
      </c>
      <c r="V4147">
        <v>0.20127646963296911</v>
      </c>
      <c r="W4147">
        <v>10.25290166601596</v>
      </c>
      <c r="X4147">
        <v>0.35046351728597769</v>
      </c>
      <c r="Z4147" t="s">
        <v>392</v>
      </c>
      <c r="AA4147">
        <v>161</v>
      </c>
      <c r="AB4147" t="s">
        <v>4538</v>
      </c>
      <c r="AC4147" t="str">
        <f>HYPERLINK("plots/3FT6Y578R04_015_S31P_20251219032831_M5358ACSA301811_RBGEUFRF04/dpll_52046/txpa_53268.png","plot")</f>
        <v>plot</v>
      </c>
    </row>
    <row r="4148" spans="1:29" x14ac:dyDescent="0.35">
      <c r="A4148" s="3" t="s">
        <v>50</v>
      </c>
      <c r="B4148">
        <v>52046</v>
      </c>
      <c r="C4148" t="s">
        <v>51</v>
      </c>
      <c r="D4148">
        <v>53269</v>
      </c>
      <c r="E4148" t="s">
        <v>144</v>
      </c>
      <c r="F4148">
        <v>11782</v>
      </c>
      <c r="G4148">
        <v>0.83947861467666796</v>
      </c>
      <c r="H4148">
        <v>0</v>
      </c>
      <c r="I4148">
        <v>0</v>
      </c>
      <c r="J4148">
        <v>0.73374357987110472</v>
      </c>
      <c r="K4148">
        <v>0</v>
      </c>
      <c r="L4148">
        <v>0</v>
      </c>
      <c r="M4148">
        <v>0.54173616636016275</v>
      </c>
      <c r="N4148">
        <v>0</v>
      </c>
      <c r="O4148">
        <v>0</v>
      </c>
      <c r="P4148">
        <v>0.70472434449945753</v>
      </c>
      <c r="Q4148">
        <v>1.438820910832695</v>
      </c>
      <c r="R4148">
        <v>3.897055318528281</v>
      </c>
      <c r="S4148">
        <v>0.18745002387052331</v>
      </c>
      <c r="T4148">
        <v>0.14506666673932769</v>
      </c>
      <c r="U4148">
        <v>4.4286477380750293</v>
      </c>
      <c r="V4148">
        <v>0.20127646963296911</v>
      </c>
      <c r="W4148">
        <v>10.26908629078255</v>
      </c>
      <c r="X4148">
        <v>0.34497697535516142</v>
      </c>
      <c r="Z4148" t="s">
        <v>392</v>
      </c>
      <c r="AA4148">
        <v>161</v>
      </c>
      <c r="AB4148" t="s">
        <v>4539</v>
      </c>
      <c r="AC4148" t="str">
        <f>HYPERLINK("plots/3FT6Y578R04_015_S31P_20251219032831_M5358ACSA301811_RBGEUFRF04/dpll_52046/txpa_53269.png","plot")</f>
        <v>plot</v>
      </c>
    </row>
    <row r="4149" spans="1:29" x14ac:dyDescent="0.35">
      <c r="A4149" s="3" t="s">
        <v>50</v>
      </c>
      <c r="B4149">
        <v>52046</v>
      </c>
      <c r="C4149" t="s">
        <v>51</v>
      </c>
      <c r="D4149">
        <v>53270</v>
      </c>
      <c r="E4149" t="s">
        <v>145</v>
      </c>
      <c r="F4149">
        <v>11781</v>
      </c>
      <c r="G4149">
        <v>0.84846556826817687</v>
      </c>
      <c r="H4149">
        <v>0</v>
      </c>
      <c r="I4149">
        <v>0</v>
      </c>
      <c r="J4149">
        <v>0.74290231648420624</v>
      </c>
      <c r="K4149">
        <v>0</v>
      </c>
      <c r="L4149">
        <v>0</v>
      </c>
      <c r="M4149">
        <v>0.55133601352952544</v>
      </c>
      <c r="N4149">
        <v>0</v>
      </c>
      <c r="O4149">
        <v>0</v>
      </c>
      <c r="P4149">
        <v>0.71989382053664031</v>
      </c>
      <c r="Q4149">
        <v>1.4685542844562001</v>
      </c>
      <c r="R4149">
        <v>3.776379190909338</v>
      </c>
      <c r="S4149">
        <v>0.18437713859747629</v>
      </c>
      <c r="T4149">
        <v>0.1443181381393725</v>
      </c>
      <c r="U4149">
        <v>4.4286547017231142</v>
      </c>
      <c r="V4149">
        <v>0.20128359324518649</v>
      </c>
      <c r="W4149">
        <v>10.28009902750191</v>
      </c>
      <c r="X4149">
        <v>0.34838877888033259</v>
      </c>
      <c r="Z4149" t="s">
        <v>392</v>
      </c>
      <c r="AA4149">
        <v>161</v>
      </c>
      <c r="AB4149" t="s">
        <v>4540</v>
      </c>
      <c r="AC4149" t="str">
        <f>HYPERLINK("plots/3FT6Y578R04_015_S31P_20251219032831_M5358ACSA301811_RBGEUFRF04/dpll_52046/txpa_53270.png","plot")</f>
        <v>plot</v>
      </c>
    </row>
    <row r="4150" spans="1:29" x14ac:dyDescent="0.35">
      <c r="A4150" s="3" t="s">
        <v>50</v>
      </c>
      <c r="B4150">
        <v>52046</v>
      </c>
      <c r="C4150" t="s">
        <v>51</v>
      </c>
      <c r="D4150">
        <v>53271</v>
      </c>
      <c r="E4150" t="s">
        <v>146</v>
      </c>
      <c r="F4150">
        <v>11781</v>
      </c>
      <c r="G4150">
        <v>0.8504296729208074</v>
      </c>
      <c r="H4150">
        <v>0</v>
      </c>
      <c r="I4150">
        <v>0</v>
      </c>
      <c r="J4150">
        <v>0.74239406725873169</v>
      </c>
      <c r="K4150">
        <v>0</v>
      </c>
      <c r="L4150">
        <v>0</v>
      </c>
      <c r="M4150">
        <v>0.54980542971728097</v>
      </c>
      <c r="N4150">
        <v>0</v>
      </c>
      <c r="O4150">
        <v>0</v>
      </c>
      <c r="P4150">
        <v>0.7232306285841914</v>
      </c>
      <c r="Q4150">
        <v>1.4706082695444009</v>
      </c>
      <c r="R4150">
        <v>3.7450319565691839</v>
      </c>
      <c r="S4150">
        <v>0.1830904651271133</v>
      </c>
      <c r="T4150">
        <v>0.1434398984368192</v>
      </c>
      <c r="U4150">
        <v>4.4286210779220783</v>
      </c>
      <c r="V4150">
        <v>0.20126420786155011</v>
      </c>
      <c r="W4150">
        <v>10.25779873644003</v>
      </c>
      <c r="X4150">
        <v>0.34803678407404381</v>
      </c>
      <c r="Z4150" t="s">
        <v>392</v>
      </c>
      <c r="AA4150">
        <v>161</v>
      </c>
      <c r="AB4150" t="s">
        <v>4541</v>
      </c>
      <c r="AC4150" t="str">
        <f>HYPERLINK("plots/3FT6Y578R04_015_S31P_20251219032831_M5358ACSA301811_RBGEUFRF04/dpll_52046/txpa_53271.png","plot")</f>
        <v>plot</v>
      </c>
    </row>
    <row r="4151" spans="1:29" x14ac:dyDescent="0.35">
      <c r="A4151" s="3" t="s">
        <v>50</v>
      </c>
      <c r="B4151">
        <v>52046</v>
      </c>
      <c r="C4151" t="s">
        <v>51</v>
      </c>
      <c r="D4151">
        <v>53272</v>
      </c>
      <c r="E4151" t="s">
        <v>147</v>
      </c>
      <c r="F4151">
        <v>11781</v>
      </c>
      <c r="G4151">
        <v>0.85255766991366411</v>
      </c>
      <c r="H4151">
        <v>0</v>
      </c>
      <c r="I4151">
        <v>0</v>
      </c>
      <c r="J4151">
        <v>0.75111146263764017</v>
      </c>
      <c r="K4151">
        <v>0</v>
      </c>
      <c r="L4151">
        <v>0</v>
      </c>
      <c r="M4151">
        <v>0.55867325623080732</v>
      </c>
      <c r="N4151">
        <v>0</v>
      </c>
      <c r="O4151">
        <v>0</v>
      </c>
      <c r="P4151">
        <v>0.72685458052861629</v>
      </c>
      <c r="Q4151">
        <v>1.480641045196178</v>
      </c>
      <c r="R4151">
        <v>3.7056919616873492</v>
      </c>
      <c r="S4151">
        <v>0.18266898529768499</v>
      </c>
      <c r="T4151">
        <v>0.14354494687027711</v>
      </c>
      <c r="U4151">
        <v>4.4286192746795683</v>
      </c>
      <c r="V4151">
        <v>0.20126129812424351</v>
      </c>
      <c r="W4151">
        <v>10.262887433324851</v>
      </c>
      <c r="X4151">
        <v>0.34953147373877541</v>
      </c>
      <c r="Z4151" t="s">
        <v>392</v>
      </c>
      <c r="AA4151">
        <v>161</v>
      </c>
      <c r="AB4151" t="s">
        <v>4542</v>
      </c>
      <c r="AC4151" t="str">
        <f>HYPERLINK("plots/3FT6Y578R04_015_S31P_20251219032831_M5358ACSA301811_RBGEUFRF04/dpll_52046/txpa_53272.png","plot")</f>
        <v>plot</v>
      </c>
    </row>
    <row r="4152" spans="1:29" x14ac:dyDescent="0.35">
      <c r="A4152" s="3" t="s">
        <v>50</v>
      </c>
      <c r="B4152">
        <v>52046</v>
      </c>
      <c r="C4152" t="s">
        <v>51</v>
      </c>
      <c r="D4152">
        <v>53273</v>
      </c>
      <c r="E4152" t="s">
        <v>148</v>
      </c>
      <c r="F4152">
        <v>11782</v>
      </c>
      <c r="G4152">
        <v>0.84988652800966147</v>
      </c>
      <c r="H4152">
        <v>0</v>
      </c>
      <c r="I4152">
        <v>0</v>
      </c>
      <c r="J4152">
        <v>0.74260715413086908</v>
      </c>
      <c r="K4152">
        <v>0</v>
      </c>
      <c r="L4152">
        <v>0</v>
      </c>
      <c r="M4152">
        <v>0.55120992431274674</v>
      </c>
      <c r="N4152">
        <v>0</v>
      </c>
      <c r="O4152">
        <v>0</v>
      </c>
      <c r="P4152">
        <v>0.72230711049231711</v>
      </c>
      <c r="Q4152">
        <v>1.4663713576297619</v>
      </c>
      <c r="R4152">
        <v>3.7765059957578471</v>
      </c>
      <c r="S4152">
        <v>0.18299531824803619</v>
      </c>
      <c r="T4152">
        <v>0.1434072547914973</v>
      </c>
      <c r="U4152">
        <v>4.4286477380750293</v>
      </c>
      <c r="V4152">
        <v>0.20127646963296911</v>
      </c>
      <c r="W4152">
        <v>10.2705481919029</v>
      </c>
      <c r="X4152">
        <v>0.3472770073504064</v>
      </c>
      <c r="Z4152" t="s">
        <v>392</v>
      </c>
      <c r="AA4152">
        <v>161</v>
      </c>
      <c r="AB4152" t="s">
        <v>4543</v>
      </c>
      <c r="AC4152" t="str">
        <f>HYPERLINK("plots/3FT6Y578R04_015_S31P_20251219032831_M5358ACSA301811_RBGEUFRF04/dpll_52046/txpa_53273.png","plot")</f>
        <v>plot</v>
      </c>
    </row>
    <row r="4153" spans="1:29" x14ac:dyDescent="0.35">
      <c r="A4153" s="3" t="s">
        <v>50</v>
      </c>
      <c r="B4153">
        <v>52046</v>
      </c>
      <c r="C4153" t="s">
        <v>51</v>
      </c>
      <c r="D4153">
        <v>53274</v>
      </c>
      <c r="E4153" t="s">
        <v>149</v>
      </c>
      <c r="F4153">
        <v>11781</v>
      </c>
      <c r="G4153">
        <v>0.8449067737828051</v>
      </c>
      <c r="H4153">
        <v>0</v>
      </c>
      <c r="I4153">
        <v>0</v>
      </c>
      <c r="J4153">
        <v>0.73804756489128576</v>
      </c>
      <c r="K4153">
        <v>0</v>
      </c>
      <c r="L4153">
        <v>0</v>
      </c>
      <c r="M4153">
        <v>0.54691199517551659</v>
      </c>
      <c r="N4153">
        <v>0</v>
      </c>
      <c r="O4153">
        <v>0</v>
      </c>
      <c r="P4153">
        <v>0.71386745638406823</v>
      </c>
      <c r="Q4153">
        <v>1.4540970279609531</v>
      </c>
      <c r="R4153">
        <v>3.800434461207431</v>
      </c>
      <c r="S4153">
        <v>0.1852803632386717</v>
      </c>
      <c r="T4153">
        <v>0.14422627597616561</v>
      </c>
      <c r="U4153">
        <v>4.4286701896273666</v>
      </c>
      <c r="V4153">
        <v>0.20127025814248481</v>
      </c>
      <c r="W4153">
        <v>10.24015062176386</v>
      </c>
      <c r="X4153">
        <v>0.34638908488281939</v>
      </c>
      <c r="Z4153" t="s">
        <v>392</v>
      </c>
      <c r="AA4153">
        <v>161</v>
      </c>
      <c r="AB4153" t="s">
        <v>4544</v>
      </c>
      <c r="AC4153" t="str">
        <f>HYPERLINK("plots/3FT6Y578R04_015_S31P_20251219032831_M5358ACSA301811_RBGEUFRF04/dpll_52046/txpa_53274.png","plot")</f>
        <v>plot</v>
      </c>
    </row>
    <row r="4154" spans="1:29" x14ac:dyDescent="0.35">
      <c r="A4154" s="3" t="s">
        <v>50</v>
      </c>
      <c r="B4154">
        <v>52046</v>
      </c>
      <c r="C4154" t="s">
        <v>51</v>
      </c>
      <c r="D4154">
        <v>53275</v>
      </c>
      <c r="E4154" t="s">
        <v>150</v>
      </c>
      <c r="F4154">
        <v>11782</v>
      </c>
      <c r="G4154">
        <v>0.83662232944770587</v>
      </c>
      <c r="H4154">
        <v>0</v>
      </c>
      <c r="I4154">
        <v>0</v>
      </c>
      <c r="J4154">
        <v>0.73362729593783527</v>
      </c>
      <c r="K4154">
        <v>0</v>
      </c>
      <c r="L4154">
        <v>0</v>
      </c>
      <c r="M4154">
        <v>0.53990709645808932</v>
      </c>
      <c r="N4154">
        <v>0</v>
      </c>
      <c r="O4154">
        <v>0</v>
      </c>
      <c r="P4154">
        <v>0.69993692213050573</v>
      </c>
      <c r="Q4154">
        <v>1.516634553103491</v>
      </c>
      <c r="R4154">
        <v>5.0605020016002973</v>
      </c>
      <c r="S4154">
        <v>0.19986297581904769</v>
      </c>
      <c r="T4154">
        <v>0.15313152995009249</v>
      </c>
      <c r="U4154">
        <v>4.4286477380750293</v>
      </c>
      <c r="V4154">
        <v>0.20127646963296911</v>
      </c>
      <c r="W4154">
        <v>11.777142184688509</v>
      </c>
      <c r="X4154">
        <v>0.36487533003519651</v>
      </c>
      <c r="Z4154" t="s">
        <v>392</v>
      </c>
      <c r="AA4154">
        <v>161</v>
      </c>
      <c r="AB4154" t="s">
        <v>4545</v>
      </c>
      <c r="AC4154" t="str">
        <f>HYPERLINK("plots/3FT6Y578R04_015_S31P_20251219032831_M5358ACSA301811_RBGEUFRF04/dpll_52046/txpa_53275.png","plot")</f>
        <v>plot</v>
      </c>
    </row>
    <row r="4155" spans="1:29" x14ac:dyDescent="0.35">
      <c r="A4155" s="3" t="s">
        <v>50</v>
      </c>
      <c r="B4155">
        <v>52046</v>
      </c>
      <c r="C4155" t="s">
        <v>51</v>
      </c>
      <c r="D4155">
        <v>53276</v>
      </c>
      <c r="E4155" t="s">
        <v>151</v>
      </c>
      <c r="F4155">
        <v>11782</v>
      </c>
      <c r="G4155">
        <v>0.84886426508679702</v>
      </c>
      <c r="H4155">
        <v>0</v>
      </c>
      <c r="I4155">
        <v>0</v>
      </c>
      <c r="J4155">
        <v>0.745841061753306</v>
      </c>
      <c r="K4155">
        <v>0</v>
      </c>
      <c r="L4155">
        <v>0</v>
      </c>
      <c r="M4155">
        <v>0.55443502600786765</v>
      </c>
      <c r="N4155">
        <v>0</v>
      </c>
      <c r="O4155">
        <v>0</v>
      </c>
      <c r="P4155">
        <v>0.72057054054134795</v>
      </c>
      <c r="Q4155">
        <v>1.550496692112616</v>
      </c>
      <c r="R4155">
        <v>4.946739847963566</v>
      </c>
      <c r="S4155">
        <v>0.19433152696712619</v>
      </c>
      <c r="T4155">
        <v>0.15053908024025339</v>
      </c>
      <c r="U4155">
        <v>4.4286477380750293</v>
      </c>
      <c r="V4155">
        <v>0.20127646963296911</v>
      </c>
      <c r="W4155">
        <v>11.81334351638092</v>
      </c>
      <c r="X4155">
        <v>0.36764240550768601</v>
      </c>
      <c r="Z4155" t="s">
        <v>392</v>
      </c>
      <c r="AA4155">
        <v>161</v>
      </c>
      <c r="AB4155" t="s">
        <v>4546</v>
      </c>
      <c r="AC4155" t="str">
        <f>HYPERLINK("plots/3FT6Y578R04_015_S31P_20251219032831_M5358ACSA301811_RBGEUFRF04/dpll_52046/txpa_53276.png","plot")</f>
        <v>plot</v>
      </c>
    </row>
    <row r="4156" spans="1:29" x14ac:dyDescent="0.35">
      <c r="A4156" s="3" t="s">
        <v>50</v>
      </c>
      <c r="B4156">
        <v>52046</v>
      </c>
      <c r="C4156" t="s">
        <v>51</v>
      </c>
      <c r="D4156">
        <v>53277</v>
      </c>
      <c r="E4156" t="s">
        <v>152</v>
      </c>
      <c r="F4156">
        <v>11782</v>
      </c>
      <c r="G4156">
        <v>0.84531562488265666</v>
      </c>
      <c r="H4156">
        <v>0</v>
      </c>
      <c r="I4156">
        <v>0</v>
      </c>
      <c r="J4156">
        <v>0.73893878269285296</v>
      </c>
      <c r="K4156">
        <v>0</v>
      </c>
      <c r="L4156">
        <v>0</v>
      </c>
      <c r="M4156">
        <v>0.54666755358836205</v>
      </c>
      <c r="N4156">
        <v>0</v>
      </c>
      <c r="O4156">
        <v>0</v>
      </c>
      <c r="P4156">
        <v>0.71455850567075629</v>
      </c>
      <c r="Q4156">
        <v>1.5198832926217469</v>
      </c>
      <c r="R4156">
        <v>5.0988801653218179</v>
      </c>
      <c r="S4156">
        <v>0.19334122803091419</v>
      </c>
      <c r="T4156">
        <v>0.1490799191934554</v>
      </c>
      <c r="U4156">
        <v>4.4286477380750293</v>
      </c>
      <c r="V4156">
        <v>0.20127646963296911</v>
      </c>
      <c r="W4156">
        <v>11.82990787132915</v>
      </c>
      <c r="X4156">
        <v>0.36189647320845902</v>
      </c>
      <c r="Z4156" t="s">
        <v>392</v>
      </c>
      <c r="AA4156">
        <v>161</v>
      </c>
      <c r="AB4156" t="s">
        <v>4547</v>
      </c>
      <c r="AC4156" t="str">
        <f>HYPERLINK("plots/3FT6Y578R04_015_S31P_20251219032831_M5358ACSA301811_RBGEUFRF04/dpll_52046/txpa_53277.png","plot")</f>
        <v>plot</v>
      </c>
    </row>
    <row r="4157" spans="1:29" x14ac:dyDescent="0.35">
      <c r="A4157" s="3" t="s">
        <v>50</v>
      </c>
      <c r="B4157">
        <v>52046</v>
      </c>
      <c r="C4157" t="s">
        <v>51</v>
      </c>
      <c r="D4157">
        <v>53278</v>
      </c>
      <c r="E4157" t="s">
        <v>153</v>
      </c>
      <c r="F4157">
        <v>11781</v>
      </c>
      <c r="G4157">
        <v>0.85354905710152684</v>
      </c>
      <c r="H4157">
        <v>0</v>
      </c>
      <c r="I4157">
        <v>0</v>
      </c>
      <c r="J4157">
        <v>0.74722458400969249</v>
      </c>
      <c r="K4157">
        <v>0</v>
      </c>
      <c r="L4157">
        <v>0</v>
      </c>
      <c r="M4157">
        <v>0.55551634043594245</v>
      </c>
      <c r="N4157">
        <v>0</v>
      </c>
      <c r="O4157">
        <v>0</v>
      </c>
      <c r="P4157">
        <v>0.72854599287890554</v>
      </c>
      <c r="Q4157">
        <v>1.5498336650601729</v>
      </c>
      <c r="R4157">
        <v>4.9778117462394551</v>
      </c>
      <c r="S4157">
        <v>0.19041215831883099</v>
      </c>
      <c r="T4157">
        <v>0.1486461085381478</v>
      </c>
      <c r="U4157">
        <v>4.4286547017231142</v>
      </c>
      <c r="V4157">
        <v>0.20128359324518649</v>
      </c>
      <c r="W4157">
        <v>11.84148989389695</v>
      </c>
      <c r="X4157">
        <v>0.36548114773274532</v>
      </c>
      <c r="Z4157" t="s">
        <v>392</v>
      </c>
      <c r="AA4157">
        <v>161</v>
      </c>
      <c r="AB4157" t="s">
        <v>4548</v>
      </c>
      <c r="AC4157" t="str">
        <f>HYPERLINK("plots/3FT6Y578R04_015_S31P_20251219032831_M5358ACSA301811_RBGEUFRF04/dpll_52046/txpa_53278.png","plot")</f>
        <v>plot</v>
      </c>
    </row>
    <row r="4158" spans="1:29" x14ac:dyDescent="0.35">
      <c r="A4158" s="3" t="s">
        <v>50</v>
      </c>
      <c r="B4158">
        <v>52046</v>
      </c>
      <c r="C4158" t="s">
        <v>51</v>
      </c>
      <c r="D4158">
        <v>53279</v>
      </c>
      <c r="E4158" t="s">
        <v>154</v>
      </c>
      <c r="F4158">
        <v>11781</v>
      </c>
      <c r="G4158">
        <v>0.85524107516875636</v>
      </c>
      <c r="H4158">
        <v>0</v>
      </c>
      <c r="I4158">
        <v>0</v>
      </c>
      <c r="J4158">
        <v>0.74686102773958951</v>
      </c>
      <c r="K4158">
        <v>0</v>
      </c>
      <c r="L4158">
        <v>0</v>
      </c>
      <c r="M4158">
        <v>0.55408499862865901</v>
      </c>
      <c r="N4158">
        <v>0</v>
      </c>
      <c r="O4158">
        <v>0</v>
      </c>
      <c r="P4158">
        <v>0.73143729665581037</v>
      </c>
      <c r="Q4158">
        <v>1.5529662106897351</v>
      </c>
      <c r="R4158">
        <v>4.939727082611105</v>
      </c>
      <c r="S4158">
        <v>0.1893844953984129</v>
      </c>
      <c r="T4158">
        <v>0.14810100762925171</v>
      </c>
      <c r="U4158">
        <v>4.4286210779220783</v>
      </c>
      <c r="V4158">
        <v>0.20126420786155011</v>
      </c>
      <c r="W4158">
        <v>11.817225976572439</v>
      </c>
      <c r="X4158">
        <v>0.36546012966992819</v>
      </c>
      <c r="Z4158" t="s">
        <v>392</v>
      </c>
      <c r="AA4158">
        <v>161</v>
      </c>
      <c r="AB4158" t="s">
        <v>4549</v>
      </c>
      <c r="AC4158" t="str">
        <f>HYPERLINK("plots/3FT6Y578R04_015_S31P_20251219032831_M5358ACSA301811_RBGEUFRF04/dpll_52046/txpa_53279.png","plot")</f>
        <v>plot</v>
      </c>
    </row>
    <row r="4159" spans="1:29" x14ac:dyDescent="0.35">
      <c r="A4159" s="3" t="s">
        <v>50</v>
      </c>
      <c r="B4159">
        <v>52046</v>
      </c>
      <c r="C4159" t="s">
        <v>51</v>
      </c>
      <c r="D4159">
        <v>53280</v>
      </c>
      <c r="E4159" t="s">
        <v>155</v>
      </c>
      <c r="F4159">
        <v>11781</v>
      </c>
      <c r="G4159">
        <v>0.85743951165357912</v>
      </c>
      <c r="H4159">
        <v>0</v>
      </c>
      <c r="I4159">
        <v>0</v>
      </c>
      <c r="J4159">
        <v>0.75491922087374275</v>
      </c>
      <c r="K4159">
        <v>0</v>
      </c>
      <c r="L4159">
        <v>0</v>
      </c>
      <c r="M4159">
        <v>0.56251778506290295</v>
      </c>
      <c r="N4159">
        <v>0</v>
      </c>
      <c r="O4159">
        <v>0</v>
      </c>
      <c r="P4159">
        <v>0.7352025161447282</v>
      </c>
      <c r="Q4159">
        <v>1.561939178618118</v>
      </c>
      <c r="R4159">
        <v>4.9063549909082793</v>
      </c>
      <c r="S4159">
        <v>0.18865112092765501</v>
      </c>
      <c r="T4159">
        <v>0.14776962038145949</v>
      </c>
      <c r="U4159">
        <v>4.4286192746795683</v>
      </c>
      <c r="V4159">
        <v>0.20126129812424351</v>
      </c>
      <c r="W4159">
        <v>11.82358894321365</v>
      </c>
      <c r="X4159">
        <v>0.36662400368459253</v>
      </c>
      <c r="Z4159" t="s">
        <v>392</v>
      </c>
      <c r="AA4159">
        <v>161</v>
      </c>
      <c r="AB4159" t="s">
        <v>4550</v>
      </c>
      <c r="AC4159" t="str">
        <f>HYPERLINK("plots/3FT6Y578R04_015_S31P_20251219032831_M5358ACSA301811_RBGEUFRF04/dpll_52046/txpa_53280.png","plot")</f>
        <v>plot</v>
      </c>
    </row>
    <row r="4160" spans="1:29" x14ac:dyDescent="0.35">
      <c r="A4160" s="3" t="s">
        <v>50</v>
      </c>
      <c r="B4160">
        <v>52046</v>
      </c>
      <c r="C4160" t="s">
        <v>51</v>
      </c>
      <c r="D4160">
        <v>53281</v>
      </c>
      <c r="E4160" t="s">
        <v>156</v>
      </c>
      <c r="F4160">
        <v>11782</v>
      </c>
      <c r="G4160">
        <v>0.85490726225352087</v>
      </c>
      <c r="H4160">
        <v>0</v>
      </c>
      <c r="I4160">
        <v>0</v>
      </c>
      <c r="J4160">
        <v>0.7469356226715812</v>
      </c>
      <c r="K4160">
        <v>0</v>
      </c>
      <c r="L4160">
        <v>0</v>
      </c>
      <c r="M4160">
        <v>0.55538938779967784</v>
      </c>
      <c r="N4160">
        <v>0</v>
      </c>
      <c r="O4160">
        <v>0</v>
      </c>
      <c r="P4160">
        <v>0.73086642705381033</v>
      </c>
      <c r="Q4160">
        <v>1.5477836002934069</v>
      </c>
      <c r="R4160">
        <v>4.9774752039207266</v>
      </c>
      <c r="S4160">
        <v>0.18903827604863771</v>
      </c>
      <c r="T4160">
        <v>0.14762885040118751</v>
      </c>
      <c r="U4160">
        <v>4.4286477380750293</v>
      </c>
      <c r="V4160">
        <v>0.20127646963296911</v>
      </c>
      <c r="W4160">
        <v>11.832063544389751</v>
      </c>
      <c r="X4160">
        <v>0.3644049273855382</v>
      </c>
      <c r="Z4160" t="s">
        <v>392</v>
      </c>
      <c r="AA4160">
        <v>161</v>
      </c>
      <c r="AB4160" t="s">
        <v>4551</v>
      </c>
      <c r="AC4160" t="str">
        <f>HYPERLINK("plots/3FT6Y578R04_015_S31P_20251219032831_M5358ACSA301811_RBGEUFRF04/dpll_52046/txpa_53281.png","plot")</f>
        <v>plot</v>
      </c>
    </row>
    <row r="4161" spans="1:29" x14ac:dyDescent="0.35">
      <c r="A4161" s="3" t="s">
        <v>50</v>
      </c>
      <c r="B4161">
        <v>52046</v>
      </c>
      <c r="C4161" t="s">
        <v>51</v>
      </c>
      <c r="D4161">
        <v>53282</v>
      </c>
      <c r="E4161" t="s">
        <v>157</v>
      </c>
      <c r="F4161">
        <v>11779</v>
      </c>
      <c r="G4161">
        <v>0.85057071572478038</v>
      </c>
      <c r="H4161">
        <v>0</v>
      </c>
      <c r="I4161">
        <v>0</v>
      </c>
      <c r="J4161">
        <v>0.74125098652562338</v>
      </c>
      <c r="K4161">
        <v>0</v>
      </c>
      <c r="L4161">
        <v>0</v>
      </c>
      <c r="M4161">
        <v>0.55009050031260187</v>
      </c>
      <c r="N4161">
        <v>0</v>
      </c>
      <c r="O4161">
        <v>0</v>
      </c>
      <c r="P4161">
        <v>0.72347054244856512</v>
      </c>
      <c r="Q4161">
        <v>1.5318885153792601</v>
      </c>
      <c r="R4161">
        <v>5.0180127090048092</v>
      </c>
      <c r="S4161">
        <v>0.19061803369066971</v>
      </c>
      <c r="T4161">
        <v>0.1483959223677713</v>
      </c>
      <c r="U4161">
        <v>4.4286952785465656</v>
      </c>
      <c r="V4161">
        <v>0.2012773872983499</v>
      </c>
      <c r="W4161">
        <v>11.802280144324641</v>
      </c>
      <c r="X4161">
        <v>0.36250309622422211</v>
      </c>
      <c r="Z4161" t="s">
        <v>392</v>
      </c>
      <c r="AA4161">
        <v>161</v>
      </c>
      <c r="AB4161" t="s">
        <v>4552</v>
      </c>
      <c r="AC4161" t="str">
        <f>HYPERLINK("plots/3FT6Y578R04_015_S31P_20251219032831_M5358ACSA301811_RBGEUFRF04/dpll_52046/txpa_53282.png","plot")</f>
        <v>plot</v>
      </c>
    </row>
    <row r="4162" spans="1:29" x14ac:dyDescent="0.35">
      <c r="A4162" s="3" t="s">
        <v>50</v>
      </c>
      <c r="B4162">
        <v>52046</v>
      </c>
      <c r="C4162" t="s">
        <v>51</v>
      </c>
      <c r="D4162">
        <v>53283</v>
      </c>
      <c r="E4162" t="s">
        <v>158</v>
      </c>
      <c r="F4162">
        <v>11782</v>
      </c>
      <c r="G4162">
        <v>0.83859218502023347</v>
      </c>
      <c r="H4162">
        <v>0</v>
      </c>
      <c r="I4162">
        <v>0</v>
      </c>
      <c r="J4162">
        <v>0.73497386384796082</v>
      </c>
      <c r="K4162">
        <v>0</v>
      </c>
      <c r="L4162">
        <v>0</v>
      </c>
      <c r="M4162">
        <v>0.54124458528113162</v>
      </c>
      <c r="N4162">
        <v>0</v>
      </c>
      <c r="O4162">
        <v>0</v>
      </c>
      <c r="P4162">
        <v>0.70323685277700954</v>
      </c>
      <c r="Q4162">
        <v>1.550880237483756</v>
      </c>
      <c r="R4162">
        <v>5.4594561715042262</v>
      </c>
      <c r="S4162">
        <v>0.2027715450359317</v>
      </c>
      <c r="T4162">
        <v>0.1550846224475233</v>
      </c>
      <c r="U4162">
        <v>4.4286477380750293</v>
      </c>
      <c r="V4162">
        <v>0.20127646963296911</v>
      </c>
      <c r="W4162">
        <v>12.327758427261919</v>
      </c>
      <c r="X4162">
        <v>0.3722377868531403</v>
      </c>
      <c r="Z4162" t="s">
        <v>392</v>
      </c>
      <c r="AA4162">
        <v>161</v>
      </c>
      <c r="AB4162" t="s">
        <v>4553</v>
      </c>
      <c r="AC4162" t="str">
        <f>HYPERLINK("plots/3FT6Y578R04_015_S31P_20251219032831_M5358ACSA301811_RBGEUFRF04/dpll_52046/txpa_53283.png","plot")</f>
        <v>plot</v>
      </c>
    </row>
    <row r="4163" spans="1:29" x14ac:dyDescent="0.35">
      <c r="A4163" s="3" t="s">
        <v>50</v>
      </c>
      <c r="B4163">
        <v>52046</v>
      </c>
      <c r="C4163" t="s">
        <v>51</v>
      </c>
      <c r="D4163">
        <v>53284</v>
      </c>
      <c r="E4163" t="s">
        <v>159</v>
      </c>
      <c r="F4163">
        <v>11782</v>
      </c>
      <c r="G4163">
        <v>0.8505758860152306</v>
      </c>
      <c r="H4163">
        <v>0</v>
      </c>
      <c r="I4163">
        <v>0</v>
      </c>
      <c r="J4163">
        <v>0.74700219623012876</v>
      </c>
      <c r="K4163">
        <v>0</v>
      </c>
      <c r="L4163">
        <v>0</v>
      </c>
      <c r="M4163">
        <v>0.55558674782003048</v>
      </c>
      <c r="N4163">
        <v>0</v>
      </c>
      <c r="O4163">
        <v>0</v>
      </c>
      <c r="P4163">
        <v>0.7234793378705946</v>
      </c>
      <c r="Q4163">
        <v>1.585164240801739</v>
      </c>
      <c r="R4163">
        <v>5.3442849154968046</v>
      </c>
      <c r="S4163">
        <v>0.1972420781646522</v>
      </c>
      <c r="T4163">
        <v>0.15255701413511771</v>
      </c>
      <c r="U4163">
        <v>4.4286477380750293</v>
      </c>
      <c r="V4163">
        <v>0.20127646963296911</v>
      </c>
      <c r="W4163">
        <v>12.36441894500085</v>
      </c>
      <c r="X4163">
        <v>0.37510616915289158</v>
      </c>
      <c r="Z4163" t="s">
        <v>392</v>
      </c>
      <c r="AA4163">
        <v>161</v>
      </c>
      <c r="AB4163" t="s">
        <v>4554</v>
      </c>
      <c r="AC4163" t="str">
        <f>HYPERLINK("plots/3FT6Y578R04_015_S31P_20251219032831_M5358ACSA301811_RBGEUFRF04/dpll_52046/txpa_53284.png","plot")</f>
        <v>plot</v>
      </c>
    </row>
    <row r="4164" spans="1:29" x14ac:dyDescent="0.35">
      <c r="A4164" s="3" t="s">
        <v>50</v>
      </c>
      <c r="B4164">
        <v>52046</v>
      </c>
      <c r="C4164" t="s">
        <v>51</v>
      </c>
      <c r="D4164">
        <v>53285</v>
      </c>
      <c r="E4164" t="s">
        <v>160</v>
      </c>
      <c r="F4164">
        <v>11782</v>
      </c>
      <c r="G4164">
        <v>0.84727801207460629</v>
      </c>
      <c r="H4164">
        <v>0</v>
      </c>
      <c r="I4164">
        <v>0</v>
      </c>
      <c r="J4164">
        <v>0.74032812631814826</v>
      </c>
      <c r="K4164">
        <v>0</v>
      </c>
      <c r="L4164">
        <v>0</v>
      </c>
      <c r="M4164">
        <v>0.54803570816318647</v>
      </c>
      <c r="N4164">
        <v>0</v>
      </c>
      <c r="O4164">
        <v>0</v>
      </c>
      <c r="P4164">
        <v>0.71788002974509668</v>
      </c>
      <c r="Q4164">
        <v>1.55470145471503</v>
      </c>
      <c r="R4164">
        <v>5.4960674111311754</v>
      </c>
      <c r="S4164">
        <v>0.19616095116793411</v>
      </c>
      <c r="T4164">
        <v>0.1510121947064012</v>
      </c>
      <c r="U4164">
        <v>4.4286477380750293</v>
      </c>
      <c r="V4164">
        <v>0.20127646963296911</v>
      </c>
      <c r="W4164">
        <v>12.381292491936851</v>
      </c>
      <c r="X4164">
        <v>0.36932956559567659</v>
      </c>
      <c r="Z4164" t="s">
        <v>392</v>
      </c>
      <c r="AA4164">
        <v>161</v>
      </c>
      <c r="AB4164" t="s">
        <v>4555</v>
      </c>
      <c r="AC4164" t="str">
        <f>HYPERLINK("plots/3FT6Y578R04_015_S31P_20251219032831_M5358ACSA301811_RBGEUFRF04/dpll_52046/txpa_53285.png","plot")</f>
        <v>plot</v>
      </c>
    </row>
    <row r="4165" spans="1:29" x14ac:dyDescent="0.35">
      <c r="A4165" s="3" t="s">
        <v>50</v>
      </c>
      <c r="B4165">
        <v>52046</v>
      </c>
      <c r="C4165" t="s">
        <v>51</v>
      </c>
      <c r="D4165">
        <v>53286</v>
      </c>
      <c r="E4165" t="s">
        <v>161</v>
      </c>
      <c r="F4165">
        <v>11781</v>
      </c>
      <c r="G4165">
        <v>0.85521225698373715</v>
      </c>
      <c r="H4165">
        <v>0</v>
      </c>
      <c r="I4165">
        <v>0</v>
      </c>
      <c r="J4165">
        <v>0.74812313362473848</v>
      </c>
      <c r="K4165">
        <v>0</v>
      </c>
      <c r="L4165">
        <v>0</v>
      </c>
      <c r="M4165">
        <v>0.55647701392982807</v>
      </c>
      <c r="N4165">
        <v>0</v>
      </c>
      <c r="O4165">
        <v>0</v>
      </c>
      <c r="P4165">
        <v>0.73138800449521768</v>
      </c>
      <c r="Q4165">
        <v>1.584647793437846</v>
      </c>
      <c r="R4165">
        <v>5.3752543832027246</v>
      </c>
      <c r="S4165">
        <v>0.1932909315809411</v>
      </c>
      <c r="T4165">
        <v>0.15067204556124089</v>
      </c>
      <c r="U4165">
        <v>4.4286547017231142</v>
      </c>
      <c r="V4165">
        <v>0.20128359324518649</v>
      </c>
      <c r="W4165">
        <v>12.393112284186399</v>
      </c>
      <c r="X4165">
        <v>0.37296425453042958</v>
      </c>
      <c r="Z4165" t="s">
        <v>392</v>
      </c>
      <c r="AA4165">
        <v>161</v>
      </c>
      <c r="AB4165" t="s">
        <v>4556</v>
      </c>
      <c r="AC4165" t="str">
        <f>HYPERLINK("plots/3FT6Y578R04_015_S31P_20251219032831_M5358ACSA301811_RBGEUFRF04/dpll_52046/txpa_53286.png","plot")</f>
        <v>plot</v>
      </c>
    </row>
    <row r="4166" spans="1:29" x14ac:dyDescent="0.35">
      <c r="A4166" s="3" t="s">
        <v>50</v>
      </c>
      <c r="B4166">
        <v>52046</v>
      </c>
      <c r="C4166" t="s">
        <v>51</v>
      </c>
      <c r="D4166">
        <v>53287</v>
      </c>
      <c r="E4166" t="s">
        <v>162</v>
      </c>
      <c r="F4166">
        <v>11781</v>
      </c>
      <c r="G4166">
        <v>0.85678600496371948</v>
      </c>
      <c r="H4166">
        <v>0</v>
      </c>
      <c r="I4166">
        <v>0</v>
      </c>
      <c r="J4166">
        <v>0.74785659134851945</v>
      </c>
      <c r="K4166">
        <v>0</v>
      </c>
      <c r="L4166">
        <v>0</v>
      </c>
      <c r="M4166">
        <v>0.55510869819940878</v>
      </c>
      <c r="N4166">
        <v>0</v>
      </c>
      <c r="O4166">
        <v>0</v>
      </c>
      <c r="P4166">
        <v>0.73408225830169072</v>
      </c>
      <c r="Q4166">
        <v>1.588112490349699</v>
      </c>
      <c r="R4166">
        <v>5.3347998212219148</v>
      </c>
      <c r="S4166">
        <v>0.19236704333108809</v>
      </c>
      <c r="T4166">
        <v>0.15024660621932021</v>
      </c>
      <c r="U4166">
        <v>4.4286210779220783</v>
      </c>
      <c r="V4166">
        <v>0.20126420786155011</v>
      </c>
      <c r="W4166">
        <v>12.367948270095919</v>
      </c>
      <c r="X4166">
        <v>0.37305721675367531</v>
      </c>
      <c r="Z4166" t="s">
        <v>392</v>
      </c>
      <c r="AA4166">
        <v>161</v>
      </c>
      <c r="AB4166" t="s">
        <v>4557</v>
      </c>
      <c r="AC4166" t="str">
        <f>HYPERLINK("plots/3FT6Y578R04_015_S31P_20251219032831_M5358ACSA301811_RBGEUFRF04/dpll_52046/txpa_53287.png","plot")</f>
        <v>plot</v>
      </c>
    </row>
    <row r="4167" spans="1:29" x14ac:dyDescent="0.35">
      <c r="A4167" s="3" t="s">
        <v>50</v>
      </c>
      <c r="B4167">
        <v>52046</v>
      </c>
      <c r="C4167" t="s">
        <v>51</v>
      </c>
      <c r="D4167">
        <v>53288</v>
      </c>
      <c r="E4167" t="s">
        <v>163</v>
      </c>
      <c r="F4167">
        <v>11781</v>
      </c>
      <c r="G4167">
        <v>0.8589934529491674</v>
      </c>
      <c r="H4167">
        <v>0</v>
      </c>
      <c r="I4167">
        <v>0</v>
      </c>
      <c r="J4167">
        <v>0.75588141055568225</v>
      </c>
      <c r="K4167">
        <v>0</v>
      </c>
      <c r="L4167">
        <v>0</v>
      </c>
      <c r="M4167">
        <v>0.56354599530566551</v>
      </c>
      <c r="N4167">
        <v>0</v>
      </c>
      <c r="O4167">
        <v>0</v>
      </c>
      <c r="P4167">
        <v>0.73786975220953344</v>
      </c>
      <c r="Q4167">
        <v>1.5970158520386399</v>
      </c>
      <c r="R4167">
        <v>5.3019426681671922</v>
      </c>
      <c r="S4167">
        <v>0.1915665945944259</v>
      </c>
      <c r="T4167">
        <v>0.14976548902083711</v>
      </c>
      <c r="U4167">
        <v>4.4286192746795683</v>
      </c>
      <c r="V4167">
        <v>0.20126129812424351</v>
      </c>
      <c r="W4167">
        <v>12.37451785247433</v>
      </c>
      <c r="X4167">
        <v>0.37417920055475912</v>
      </c>
      <c r="Z4167" t="s">
        <v>392</v>
      </c>
      <c r="AA4167">
        <v>161</v>
      </c>
      <c r="AB4167" t="s">
        <v>4558</v>
      </c>
      <c r="AC4167" t="str">
        <f>HYPERLINK("plots/3FT6Y578R04_015_S31P_20251219032831_M5358ACSA301811_RBGEUFRF04/dpll_52046/txpa_53288.png","plot")</f>
        <v>plot</v>
      </c>
    </row>
    <row r="4168" spans="1:29" x14ac:dyDescent="0.35">
      <c r="A4168" s="3" t="s">
        <v>50</v>
      </c>
      <c r="B4168">
        <v>52046</v>
      </c>
      <c r="C4168" t="s">
        <v>51</v>
      </c>
      <c r="D4168">
        <v>53289</v>
      </c>
      <c r="E4168" t="s">
        <v>164</v>
      </c>
      <c r="F4168">
        <v>11782</v>
      </c>
      <c r="G4168">
        <v>0.8565760195734976</v>
      </c>
      <c r="H4168">
        <v>0</v>
      </c>
      <c r="I4168">
        <v>0</v>
      </c>
      <c r="J4168">
        <v>0.74812819331727265</v>
      </c>
      <c r="K4168">
        <v>0</v>
      </c>
      <c r="L4168">
        <v>0</v>
      </c>
      <c r="M4168">
        <v>0.5565918070527649</v>
      </c>
      <c r="N4168">
        <v>0</v>
      </c>
      <c r="O4168">
        <v>0</v>
      </c>
      <c r="P4168">
        <v>0.73372247730837692</v>
      </c>
      <c r="Q4168">
        <v>1.5829824621570019</v>
      </c>
      <c r="R4168">
        <v>5.3728312566090866</v>
      </c>
      <c r="S4168">
        <v>0.19193404695504859</v>
      </c>
      <c r="T4168">
        <v>0.1496109012545504</v>
      </c>
      <c r="U4168">
        <v>4.4286477380750293</v>
      </c>
      <c r="V4168">
        <v>0.20127646963296911</v>
      </c>
      <c r="W4168">
        <v>12.383302957053131</v>
      </c>
      <c r="X4168">
        <v>0.37196596004696769</v>
      </c>
      <c r="Z4168" t="s">
        <v>392</v>
      </c>
      <c r="AA4168">
        <v>161</v>
      </c>
      <c r="AB4168" t="s">
        <v>4559</v>
      </c>
      <c r="AC4168" t="str">
        <f>HYPERLINK("plots/3FT6Y578R04_015_S31P_20251219032831_M5358ACSA301811_RBGEUFRF04/dpll_52046/txpa_53289.png","plot")</f>
        <v>plot</v>
      </c>
    </row>
    <row r="4169" spans="1:29" x14ac:dyDescent="0.35">
      <c r="A4169" s="3" t="s">
        <v>50</v>
      </c>
      <c r="B4169">
        <v>52046</v>
      </c>
      <c r="C4169" t="s">
        <v>51</v>
      </c>
      <c r="D4169">
        <v>53290</v>
      </c>
      <c r="E4169" t="s">
        <v>165</v>
      </c>
      <c r="F4169">
        <v>11778</v>
      </c>
      <c r="G4169">
        <v>0.85225970038167809</v>
      </c>
      <c r="H4169">
        <v>0</v>
      </c>
      <c r="I4169">
        <v>0</v>
      </c>
      <c r="J4169">
        <v>0.74186968947150744</v>
      </c>
      <c r="K4169">
        <v>0</v>
      </c>
      <c r="L4169">
        <v>0</v>
      </c>
      <c r="M4169">
        <v>0.55076426571724557</v>
      </c>
      <c r="N4169">
        <v>0</v>
      </c>
      <c r="O4169">
        <v>0</v>
      </c>
      <c r="P4169">
        <v>0.72634659689466774</v>
      </c>
      <c r="Q4169">
        <v>1.565142337560637</v>
      </c>
      <c r="R4169">
        <v>5.4219767654410518</v>
      </c>
      <c r="S4169">
        <v>0.1933461261137305</v>
      </c>
      <c r="T4169">
        <v>0.15042762797231671</v>
      </c>
      <c r="U4169">
        <v>4.4287210155374428</v>
      </c>
      <c r="V4169">
        <v>0.20126654870253249</v>
      </c>
      <c r="W4169">
        <v>12.353555528103239</v>
      </c>
      <c r="X4169">
        <v>0.36961831747760471</v>
      </c>
      <c r="Z4169" t="s">
        <v>392</v>
      </c>
      <c r="AA4169">
        <v>161</v>
      </c>
      <c r="AB4169" t="s">
        <v>4560</v>
      </c>
      <c r="AC4169" t="str">
        <f>HYPERLINK("plots/3FT6Y578R04_015_S31P_20251219032831_M5358ACSA301811_RBGEUFRF04/dpll_52046/txpa_53290.png","plot")</f>
        <v>plot</v>
      </c>
    </row>
    <row r="4170" spans="1:29" hidden="1" x14ac:dyDescent="0.35">
      <c r="A4170" s="3" t="s">
        <v>50</v>
      </c>
      <c r="B4170">
        <v>52046</v>
      </c>
      <c r="C4170" t="s">
        <v>51</v>
      </c>
      <c r="D4170">
        <v>54146</v>
      </c>
      <c r="E4170" t="s">
        <v>166</v>
      </c>
      <c r="F4170">
        <v>11782</v>
      </c>
      <c r="G4170">
        <v>-8.9931007254879063E-3</v>
      </c>
      <c r="H4170">
        <v>0.3290289941239668</v>
      </c>
      <c r="I4170">
        <v>0.32935380063346731</v>
      </c>
      <c r="J4170">
        <v>-1.096115058691109E-2</v>
      </c>
      <c r="K4170">
        <v>0.23416954209334509</v>
      </c>
      <c r="L4170">
        <v>0.23486440720341439</v>
      </c>
      <c r="M4170">
        <v>-7.2791527292471424E-3</v>
      </c>
      <c r="N4170">
        <v>0.23602697394322419</v>
      </c>
      <c r="O4170">
        <v>0.23672735072050391</v>
      </c>
      <c r="P4170">
        <v>8.0875860658771099E-5</v>
      </c>
      <c r="Q4170">
        <v>-0.2051284466701768</v>
      </c>
      <c r="R4170">
        <v>-10.442808295307071</v>
      </c>
      <c r="S4170">
        <v>4.5906422156910853</v>
      </c>
      <c r="T4170">
        <v>3.50429706609847</v>
      </c>
      <c r="U4170">
        <v>4.4286477380750293</v>
      </c>
      <c r="V4170">
        <v>0.20127646963296911</v>
      </c>
      <c r="W4170">
        <v>-11.3512499266678</v>
      </c>
      <c r="X4170">
        <v>4.5910226992179028</v>
      </c>
      <c r="Z4170" t="s">
        <v>392</v>
      </c>
      <c r="AA4170">
        <v>161</v>
      </c>
      <c r="AB4170" t="s">
        <v>4561</v>
      </c>
      <c r="AC4170" t="str">
        <f>HYPERLINK("plots/3FT6Y578R04_015_S31P_20251219032831_M5358ACSA301811_RBGEUFRF04/dpll_52046/txpa_54146.png","plot")</f>
        <v>plot</v>
      </c>
    </row>
    <row r="4171" spans="1:29" x14ac:dyDescent="0.35">
      <c r="A4171" s="3" t="s">
        <v>50</v>
      </c>
      <c r="B4171">
        <v>52046</v>
      </c>
      <c r="C4171" t="s">
        <v>51</v>
      </c>
      <c r="D4171">
        <v>54147</v>
      </c>
      <c r="E4171" t="s">
        <v>167</v>
      </c>
      <c r="F4171">
        <v>11782</v>
      </c>
      <c r="G4171">
        <v>0.27036842322339588</v>
      </c>
      <c r="H4171">
        <v>1.8202839865428589E-196</v>
      </c>
      <c r="I4171">
        <v>1.871975621049147E-196</v>
      </c>
      <c r="J4171">
        <v>0.24350135756853999</v>
      </c>
      <c r="K4171">
        <v>1.3359449055392289E-158</v>
      </c>
      <c r="L4171">
        <v>1.3697149992080669E-158</v>
      </c>
      <c r="M4171">
        <v>0.16443424126261619</v>
      </c>
      <c r="N4171">
        <v>6.3026209644049398E-157</v>
      </c>
      <c r="O4171">
        <v>6.46193898676098E-157</v>
      </c>
      <c r="P4171">
        <v>7.3099084276305348E-2</v>
      </c>
      <c r="Q4171">
        <v>1.5397029892747991</v>
      </c>
      <c r="R4171">
        <v>-28.848786447807239</v>
      </c>
      <c r="S4171">
        <v>1.1034996898642191</v>
      </c>
      <c r="T4171">
        <v>0.88975572367891231</v>
      </c>
      <c r="U4171">
        <v>4.4286477380750293</v>
      </c>
      <c r="V4171">
        <v>0.20127646963296911</v>
      </c>
      <c r="W4171">
        <v>-22.029984287048041</v>
      </c>
      <c r="X4171">
        <v>1.1462358594609121</v>
      </c>
      <c r="Z4171" t="s">
        <v>392</v>
      </c>
      <c r="AA4171">
        <v>161</v>
      </c>
      <c r="AB4171" t="s">
        <v>4562</v>
      </c>
      <c r="AC4171" t="str">
        <f>HYPERLINK("plots/3FT6Y578R04_015_S31P_20251219032831_M5358ACSA301811_RBGEUFRF04/dpll_52046/txpa_54147.png","plot")</f>
        <v>plot</v>
      </c>
    </row>
    <row r="4172" spans="1:29" x14ac:dyDescent="0.35">
      <c r="A4172" s="3" t="s">
        <v>50</v>
      </c>
      <c r="B4172">
        <v>52046</v>
      </c>
      <c r="C4172" t="s">
        <v>51</v>
      </c>
      <c r="D4172">
        <v>54148</v>
      </c>
      <c r="E4172" t="s">
        <v>168</v>
      </c>
      <c r="F4172">
        <v>11782</v>
      </c>
      <c r="G4172">
        <v>0.29110111967858132</v>
      </c>
      <c r="H4172">
        <v>7.9305947256315351E-229</v>
      </c>
      <c r="I4172">
        <v>8.3679740393240135E-229</v>
      </c>
      <c r="J4172">
        <v>0.26225327806388921</v>
      </c>
      <c r="K4172">
        <v>1.4927813288809969E-184</v>
      </c>
      <c r="L4172">
        <v>1.5718382839930749E-184</v>
      </c>
      <c r="M4172">
        <v>0.17747269178116051</v>
      </c>
      <c r="N4172">
        <v>1.1843461197433761E-182</v>
      </c>
      <c r="O4172">
        <v>1.247068499916701E-182</v>
      </c>
      <c r="P4172">
        <v>8.4739861878123698E-2</v>
      </c>
      <c r="Q4172">
        <v>1.661246067026882</v>
      </c>
      <c r="R4172">
        <v>-29.241660825208161</v>
      </c>
      <c r="S4172">
        <v>1.0988462719822201</v>
      </c>
      <c r="T4172">
        <v>0.87734893806720915</v>
      </c>
      <c r="U4172">
        <v>4.4286477380750293</v>
      </c>
      <c r="V4172">
        <v>0.20127646963296911</v>
      </c>
      <c r="W4172">
        <v>-21.884587188083511</v>
      </c>
      <c r="X4172">
        <v>1.148637778968419</v>
      </c>
      <c r="Z4172" t="s">
        <v>392</v>
      </c>
      <c r="AA4172">
        <v>161</v>
      </c>
      <c r="AB4172" t="s">
        <v>4563</v>
      </c>
      <c r="AC4172" t="str">
        <f>HYPERLINK("plots/3FT6Y578R04_015_S31P_20251219032831_M5358ACSA301811_RBGEUFRF04/dpll_52046/txpa_54148.png","plot")</f>
        <v>plot</v>
      </c>
    </row>
    <row r="4173" spans="1:29" x14ac:dyDescent="0.35">
      <c r="A4173" s="3" t="s">
        <v>50</v>
      </c>
      <c r="B4173">
        <v>52046</v>
      </c>
      <c r="C4173" t="s">
        <v>51</v>
      </c>
      <c r="D4173">
        <v>54149</v>
      </c>
      <c r="E4173" t="s">
        <v>169</v>
      </c>
      <c r="F4173">
        <v>11782</v>
      </c>
      <c r="G4173">
        <v>0.28881826584309001</v>
      </c>
      <c r="H4173">
        <v>3.9814091837996172E-225</v>
      </c>
      <c r="I4173">
        <v>4.1792431805101569E-225</v>
      </c>
      <c r="J4173">
        <v>0.25936537060972398</v>
      </c>
      <c r="K4173">
        <v>2.0576472936894971E-180</v>
      </c>
      <c r="L4173">
        <v>2.153203669557431E-180</v>
      </c>
      <c r="M4173">
        <v>0.17544274215689479</v>
      </c>
      <c r="N4173">
        <v>1.4321811243864941E-178</v>
      </c>
      <c r="O4173">
        <v>1.498691083723328E-178</v>
      </c>
      <c r="P4173">
        <v>8.3415990684609809E-2</v>
      </c>
      <c r="Q4173">
        <v>1.634312757472361</v>
      </c>
      <c r="R4173">
        <v>-29.149592576130349</v>
      </c>
      <c r="S4173">
        <v>1.0903633068788789</v>
      </c>
      <c r="T4173">
        <v>0.86911732507484951</v>
      </c>
      <c r="U4173">
        <v>4.4286477380750293</v>
      </c>
      <c r="V4173">
        <v>0.20127646963296911</v>
      </c>
      <c r="W4173">
        <v>-21.911797079443222</v>
      </c>
      <c r="X4173">
        <v>1.13894701617962</v>
      </c>
      <c r="Z4173" t="s">
        <v>392</v>
      </c>
      <c r="AA4173">
        <v>161</v>
      </c>
      <c r="AB4173" t="s">
        <v>4564</v>
      </c>
      <c r="AC4173" t="str">
        <f>HYPERLINK("plots/3FT6Y578R04_015_S31P_20251219032831_M5358ACSA301811_RBGEUFRF04/dpll_52046/txpa_54149.png","plot")</f>
        <v>plot</v>
      </c>
    </row>
    <row r="4174" spans="1:29" x14ac:dyDescent="0.35">
      <c r="A4174" s="3" t="s">
        <v>50</v>
      </c>
      <c r="B4174">
        <v>52046</v>
      </c>
      <c r="C4174" t="s">
        <v>51</v>
      </c>
      <c r="D4174">
        <v>54150</v>
      </c>
      <c r="E4174" t="s">
        <v>170</v>
      </c>
      <c r="F4174">
        <v>11782</v>
      </c>
      <c r="G4174">
        <v>0.28545010734236193</v>
      </c>
      <c r="H4174">
        <v>9.941603659563454E-220</v>
      </c>
      <c r="I4174">
        <v>1.040328804003854E-219</v>
      </c>
      <c r="J4174">
        <v>0.26202359133933922</v>
      </c>
      <c r="K4174">
        <v>3.1999029840275098E-184</v>
      </c>
      <c r="L4174">
        <v>3.3658730558131689E-184</v>
      </c>
      <c r="M4174">
        <v>0.1770850030448653</v>
      </c>
      <c r="N4174">
        <v>4.7025985299050043E-182</v>
      </c>
      <c r="O4174">
        <v>4.9465092420370059E-182</v>
      </c>
      <c r="P4174">
        <v>8.1481763781765942E-2</v>
      </c>
      <c r="Q4174">
        <v>1.621849625000686</v>
      </c>
      <c r="R4174">
        <v>-28.97781175966011</v>
      </c>
      <c r="S4174">
        <v>1.0959704402553789</v>
      </c>
      <c r="T4174">
        <v>0.87092622468391523</v>
      </c>
      <c r="U4174">
        <v>4.4286477380750293</v>
      </c>
      <c r="V4174">
        <v>0.20127646963296911</v>
      </c>
      <c r="W4174">
        <v>-21.79521108640299</v>
      </c>
      <c r="X4174">
        <v>1.143597982270746</v>
      </c>
      <c r="Z4174" t="s">
        <v>392</v>
      </c>
      <c r="AA4174">
        <v>161</v>
      </c>
      <c r="AB4174" t="s">
        <v>4565</v>
      </c>
      <c r="AC4174" t="str">
        <f>HYPERLINK("plots/3FT6Y578R04_015_S31P_20251219032831_M5358ACSA301811_RBGEUFRF04/dpll_52046/txpa_54150.png","plot")</f>
        <v>plot</v>
      </c>
    </row>
    <row r="4175" spans="1:29" x14ac:dyDescent="0.35">
      <c r="A4175" s="3" t="s">
        <v>50</v>
      </c>
      <c r="B4175">
        <v>52046</v>
      </c>
      <c r="C4175" t="s">
        <v>51</v>
      </c>
      <c r="D4175">
        <v>54151</v>
      </c>
      <c r="E4175" t="s">
        <v>171</v>
      </c>
      <c r="F4175">
        <v>11782</v>
      </c>
      <c r="G4175">
        <v>0.28092793757091039</v>
      </c>
      <c r="H4175">
        <v>1.3407060820168661E-212</v>
      </c>
      <c r="I4175">
        <v>1.392905704062605E-212</v>
      </c>
      <c r="J4175">
        <v>0.25364196982498283</v>
      </c>
      <c r="K4175">
        <v>2.3052594992621131E-172</v>
      </c>
      <c r="L4175">
        <v>2.392562059623114E-172</v>
      </c>
      <c r="M4175">
        <v>0.17143493640310051</v>
      </c>
      <c r="N4175">
        <v>9.4925796882773562E-171</v>
      </c>
      <c r="O4175">
        <v>9.8520734942817194E-171</v>
      </c>
      <c r="P4175">
        <v>7.8920506107845331E-2</v>
      </c>
      <c r="Q4175">
        <v>1.576628421607168</v>
      </c>
      <c r="R4175">
        <v>-28.845587381167981</v>
      </c>
      <c r="S4175">
        <v>1.084070564758713</v>
      </c>
      <c r="T4175">
        <v>0.86418779959132386</v>
      </c>
      <c r="U4175">
        <v>4.4286477380750293</v>
      </c>
      <c r="V4175">
        <v>0.20127646963296911</v>
      </c>
      <c r="W4175">
        <v>-21.863255488032589</v>
      </c>
      <c r="X4175">
        <v>1.1296071347264649</v>
      </c>
      <c r="Z4175" t="s">
        <v>392</v>
      </c>
      <c r="AA4175">
        <v>161</v>
      </c>
      <c r="AB4175" t="s">
        <v>4566</v>
      </c>
      <c r="AC4175" t="str">
        <f>HYPERLINK("plots/3FT6Y578R04_015_S31P_20251219032831_M5358ACSA301811_RBGEUFRF04/dpll_52046/txpa_54151.png","plot")</f>
        <v>plot</v>
      </c>
    </row>
    <row r="4176" spans="1:29" x14ac:dyDescent="0.35">
      <c r="A4176" s="3" t="s">
        <v>50</v>
      </c>
      <c r="B4176">
        <v>52046</v>
      </c>
      <c r="C4176" t="s">
        <v>51</v>
      </c>
      <c r="D4176">
        <v>54152</v>
      </c>
      <c r="E4176" t="s">
        <v>172</v>
      </c>
      <c r="F4176">
        <v>11782</v>
      </c>
      <c r="G4176">
        <v>0.27447521584374152</v>
      </c>
      <c r="H4176">
        <v>1.1778358130454159E-202</v>
      </c>
      <c r="I4176">
        <v>1.2137454414919231E-202</v>
      </c>
      <c r="J4176">
        <v>0.25184572654761378</v>
      </c>
      <c r="K4176">
        <v>7.0290488166715739E-170</v>
      </c>
      <c r="L4176">
        <v>7.2655000001070103E-170</v>
      </c>
      <c r="M4176">
        <v>0.16964260375309129</v>
      </c>
      <c r="N4176">
        <v>3.4240060417980458E-167</v>
      </c>
      <c r="O4176">
        <v>3.5355826134248661E-167</v>
      </c>
      <c r="P4176">
        <v>7.5336644112468487E-2</v>
      </c>
      <c r="Q4176">
        <v>1.5436747563555999</v>
      </c>
      <c r="R4176">
        <v>-28.73475246411105</v>
      </c>
      <c r="S4176">
        <v>1.0884765211946601</v>
      </c>
      <c r="T4176">
        <v>0.87004753152937375</v>
      </c>
      <c r="U4176">
        <v>4.4286477380750293</v>
      </c>
      <c r="V4176">
        <v>0.20127646963296911</v>
      </c>
      <c r="W4176">
        <v>-21.898360746053299</v>
      </c>
      <c r="X4176">
        <v>1.1319980358360411</v>
      </c>
      <c r="Z4176" t="s">
        <v>392</v>
      </c>
      <c r="AA4176">
        <v>161</v>
      </c>
      <c r="AB4176" t="s">
        <v>4567</v>
      </c>
      <c r="AC4176" t="str">
        <f>HYPERLINK("plots/3FT6Y578R04_015_S31P_20251219032831_M5358ACSA301811_RBGEUFRF04/dpll_52046/txpa_54152.png","plot")</f>
        <v>plot</v>
      </c>
    </row>
    <row r="4177" spans="1:29" x14ac:dyDescent="0.35">
      <c r="A4177" s="3" t="s">
        <v>50</v>
      </c>
      <c r="B4177">
        <v>52046</v>
      </c>
      <c r="C4177" t="s">
        <v>51</v>
      </c>
      <c r="D4177">
        <v>54153</v>
      </c>
      <c r="E4177" t="s">
        <v>173</v>
      </c>
      <c r="F4177">
        <v>11782</v>
      </c>
      <c r="G4177">
        <v>0.283940179366931</v>
      </c>
      <c r="H4177">
        <v>2.471340832531826E-217</v>
      </c>
      <c r="I4177">
        <v>2.5781271648017201E-217</v>
      </c>
      <c r="J4177">
        <v>0.25366807776745898</v>
      </c>
      <c r="K4177">
        <v>2.1206318303539801E-172</v>
      </c>
      <c r="L4177">
        <v>2.203197413912844E-172</v>
      </c>
      <c r="M4177">
        <v>0.17159204620002089</v>
      </c>
      <c r="N4177">
        <v>8.8066492201521164E-171</v>
      </c>
      <c r="O4177">
        <v>9.149531054543285E-171</v>
      </c>
      <c r="P4177">
        <v>8.0622025458924954E-2</v>
      </c>
      <c r="Q4177">
        <v>1.6290847383054829</v>
      </c>
      <c r="R4177">
        <v>-29.146543229920049</v>
      </c>
      <c r="S4177">
        <v>1.1072315327158979</v>
      </c>
      <c r="T4177">
        <v>0.88414024949013637</v>
      </c>
      <c r="U4177">
        <v>4.4286477380750293</v>
      </c>
      <c r="V4177">
        <v>0.20127646963296911</v>
      </c>
      <c r="W4177">
        <v>-21.931900788490921</v>
      </c>
      <c r="X4177">
        <v>1.154808120464494</v>
      </c>
      <c r="Z4177" t="s">
        <v>392</v>
      </c>
      <c r="AA4177">
        <v>161</v>
      </c>
      <c r="AB4177" t="s">
        <v>4568</v>
      </c>
      <c r="AC4177" t="str">
        <f>HYPERLINK("plots/3FT6Y578R04_015_S31P_20251219032831_M5358ACSA301811_RBGEUFRF04/dpll_52046/txpa_54153.png","plot")</f>
        <v>plot</v>
      </c>
    </row>
    <row r="4178" spans="1:29" x14ac:dyDescent="0.35">
      <c r="A4178" s="3" t="s">
        <v>50</v>
      </c>
      <c r="B4178">
        <v>52046</v>
      </c>
      <c r="C4178" t="s">
        <v>51</v>
      </c>
      <c r="D4178">
        <v>54154</v>
      </c>
      <c r="E4178" t="s">
        <v>174</v>
      </c>
      <c r="F4178">
        <v>11782</v>
      </c>
      <c r="G4178">
        <v>0.25802375297352859</v>
      </c>
      <c r="H4178">
        <v>1.654138255068765E-178</v>
      </c>
      <c r="I4178">
        <v>1.6789751658055341E-178</v>
      </c>
      <c r="J4178">
        <v>0.23106411626449769</v>
      </c>
      <c r="K4178">
        <v>1.406021797768858E-142</v>
      </c>
      <c r="L4178">
        <v>1.421441777604807E-142</v>
      </c>
      <c r="M4178">
        <v>0.15613440120365221</v>
      </c>
      <c r="N4178">
        <v>1.8400702178636701E-141</v>
      </c>
      <c r="O4178">
        <v>1.8639672336800811E-141</v>
      </c>
      <c r="P4178">
        <v>6.6576257098544533E-2</v>
      </c>
      <c r="Q4178">
        <v>1.4869816483535121</v>
      </c>
      <c r="R4178">
        <v>-28.67136961359078</v>
      </c>
      <c r="S4178">
        <v>1.1206239960649369</v>
      </c>
      <c r="T4178">
        <v>0.90841156114665123</v>
      </c>
      <c r="U4178">
        <v>4.4286477380750293</v>
      </c>
      <c r="V4178">
        <v>0.20127646963296911</v>
      </c>
      <c r="W4178">
        <v>-22.08605170005093</v>
      </c>
      <c r="X4178">
        <v>1.159949086626584</v>
      </c>
      <c r="Z4178" t="s">
        <v>392</v>
      </c>
      <c r="AA4178">
        <v>161</v>
      </c>
      <c r="AB4178" t="s">
        <v>4569</v>
      </c>
      <c r="AC4178" t="str">
        <f>HYPERLINK("plots/3FT6Y578R04_015_S31P_20251219032831_M5358ACSA301811_RBGEUFRF04/dpll_52046/txpa_54154.png","plot")</f>
        <v>plot</v>
      </c>
    </row>
    <row r="4179" spans="1:29" x14ac:dyDescent="0.35">
      <c r="A4179" s="3" t="s">
        <v>50</v>
      </c>
      <c r="B4179">
        <v>52046</v>
      </c>
      <c r="C4179" t="s">
        <v>51</v>
      </c>
      <c r="D4179">
        <v>54155</v>
      </c>
      <c r="E4179" t="s">
        <v>175</v>
      </c>
      <c r="F4179">
        <v>11782</v>
      </c>
      <c r="G4179">
        <v>0.60364146619239945</v>
      </c>
      <c r="H4179">
        <v>0</v>
      </c>
      <c r="I4179">
        <v>0</v>
      </c>
      <c r="J4179">
        <v>0.52406202709896754</v>
      </c>
      <c r="K4179">
        <v>0</v>
      </c>
      <c r="L4179">
        <v>0</v>
      </c>
      <c r="M4179">
        <v>0.36664589357023769</v>
      </c>
      <c r="N4179">
        <v>0</v>
      </c>
      <c r="O4179">
        <v>0</v>
      </c>
      <c r="P4179">
        <v>0.36438301970690973</v>
      </c>
      <c r="Q4179">
        <v>0.91955851533993527</v>
      </c>
      <c r="R4179">
        <v>-15.424584389471629</v>
      </c>
      <c r="S4179">
        <v>0.24444019732470099</v>
      </c>
      <c r="T4179">
        <v>0.19013210836483599</v>
      </c>
      <c r="U4179">
        <v>4.4286477380750293</v>
      </c>
      <c r="V4179">
        <v>0.20127646963296911</v>
      </c>
      <c r="W4179">
        <v>-11.35218365048379</v>
      </c>
      <c r="X4179">
        <v>0.30661493942095103</v>
      </c>
      <c r="Z4179" t="s">
        <v>392</v>
      </c>
      <c r="AA4179">
        <v>161</v>
      </c>
      <c r="AB4179" t="s">
        <v>4570</v>
      </c>
      <c r="AC4179" t="str">
        <f>HYPERLINK("plots/3FT6Y578R04_015_S31P_20251219032831_M5358ACSA301811_RBGEUFRF04/dpll_52046/txpa_54155.png","plot")</f>
        <v>plot</v>
      </c>
    </row>
    <row r="4180" spans="1:29" x14ac:dyDescent="0.35">
      <c r="A4180" s="3" t="s">
        <v>50</v>
      </c>
      <c r="B4180">
        <v>52046</v>
      </c>
      <c r="C4180" t="s">
        <v>51</v>
      </c>
      <c r="D4180">
        <v>54156</v>
      </c>
      <c r="E4180" t="s">
        <v>176</v>
      </c>
      <c r="F4180">
        <v>11782</v>
      </c>
      <c r="G4180">
        <v>0.62899479293088811</v>
      </c>
      <c r="H4180">
        <v>0</v>
      </c>
      <c r="I4180">
        <v>0</v>
      </c>
      <c r="J4180">
        <v>0.54642184916065606</v>
      </c>
      <c r="K4180">
        <v>0</v>
      </c>
      <c r="L4180">
        <v>0</v>
      </c>
      <c r="M4180">
        <v>0.38520154995863709</v>
      </c>
      <c r="N4180">
        <v>0</v>
      </c>
      <c r="O4180">
        <v>0</v>
      </c>
      <c r="P4180">
        <v>0.39563444953417082</v>
      </c>
      <c r="Q4180">
        <v>0.96204755500163963</v>
      </c>
      <c r="R4180">
        <v>-15.54635609741614</v>
      </c>
      <c r="S4180">
        <v>0.23931720149459679</v>
      </c>
      <c r="T4180">
        <v>0.18623214148753181</v>
      </c>
      <c r="U4180">
        <v>4.4286477380750293</v>
      </c>
      <c r="V4180">
        <v>0.20127646963296911</v>
      </c>
      <c r="W4180">
        <v>-11.28578636903752</v>
      </c>
      <c r="X4180">
        <v>0.30785236645200009</v>
      </c>
      <c r="Z4180" t="s">
        <v>392</v>
      </c>
      <c r="AA4180">
        <v>161</v>
      </c>
      <c r="AB4180" t="s">
        <v>4571</v>
      </c>
      <c r="AC4180" t="str">
        <f>HYPERLINK("plots/3FT6Y578R04_015_S31P_20251219032831_M5358ACSA301811_RBGEUFRF04/dpll_52046/txpa_54156.png","plot")</f>
        <v>plot</v>
      </c>
    </row>
    <row r="4181" spans="1:29" x14ac:dyDescent="0.35">
      <c r="A4181" s="3" t="s">
        <v>50</v>
      </c>
      <c r="B4181">
        <v>52046</v>
      </c>
      <c r="C4181" t="s">
        <v>51</v>
      </c>
      <c r="D4181">
        <v>54157</v>
      </c>
      <c r="E4181" t="s">
        <v>177</v>
      </c>
      <c r="F4181">
        <v>11782</v>
      </c>
      <c r="G4181">
        <v>0.62349782840084789</v>
      </c>
      <c r="H4181">
        <v>0</v>
      </c>
      <c r="I4181">
        <v>0</v>
      </c>
      <c r="J4181">
        <v>0.53512057546786806</v>
      </c>
      <c r="K4181">
        <v>0</v>
      </c>
      <c r="L4181">
        <v>0</v>
      </c>
      <c r="M4181">
        <v>0.37643584889887621</v>
      </c>
      <c r="N4181">
        <v>0</v>
      </c>
      <c r="O4181">
        <v>0</v>
      </c>
      <c r="P4181">
        <v>0.38874954202057321</v>
      </c>
      <c r="Q4181">
        <v>0.93502236300118169</v>
      </c>
      <c r="R4181">
        <v>-15.424323242637319</v>
      </c>
      <c r="S4181">
        <v>0.23597784283883741</v>
      </c>
      <c r="T4181">
        <v>0.18367408331912871</v>
      </c>
      <c r="U4181">
        <v>4.4286477380750293</v>
      </c>
      <c r="V4181">
        <v>0.20127646963296911</v>
      </c>
      <c r="W4181">
        <v>-11.28343856968257</v>
      </c>
      <c r="X4181">
        <v>0.30184227062257141</v>
      </c>
      <c r="Z4181" t="s">
        <v>392</v>
      </c>
      <c r="AA4181">
        <v>161</v>
      </c>
      <c r="AB4181" t="s">
        <v>4572</v>
      </c>
      <c r="AC4181" t="str">
        <f>HYPERLINK("plots/3FT6Y578R04_015_S31P_20251219032831_M5358ACSA301811_RBGEUFRF04/dpll_52046/txpa_54157.png","plot")</f>
        <v>plot</v>
      </c>
    </row>
    <row r="4182" spans="1:29" x14ac:dyDescent="0.35">
      <c r="A4182" s="3" t="s">
        <v>50</v>
      </c>
      <c r="B4182">
        <v>52046</v>
      </c>
      <c r="C4182" t="s">
        <v>51</v>
      </c>
      <c r="D4182">
        <v>54158</v>
      </c>
      <c r="E4182" t="s">
        <v>178</v>
      </c>
      <c r="F4182">
        <v>11781</v>
      </c>
      <c r="G4182">
        <v>0.6401082516841059</v>
      </c>
      <c r="H4182">
        <v>0</v>
      </c>
      <c r="I4182">
        <v>0</v>
      </c>
      <c r="J4182">
        <v>0.54813849037026496</v>
      </c>
      <c r="K4182">
        <v>0</v>
      </c>
      <c r="L4182">
        <v>0</v>
      </c>
      <c r="M4182">
        <v>0.3864714482474168</v>
      </c>
      <c r="N4182">
        <v>0</v>
      </c>
      <c r="O4182">
        <v>0</v>
      </c>
      <c r="P4182">
        <v>0.40973857387408269</v>
      </c>
      <c r="Q4182">
        <v>0.97630638477555154</v>
      </c>
      <c r="R4182">
        <v>-15.555233767887859</v>
      </c>
      <c r="S4182">
        <v>0.23585487051814069</v>
      </c>
      <c r="T4182">
        <v>0.18442933739930739</v>
      </c>
      <c r="U4182">
        <v>4.4286547017231142</v>
      </c>
      <c r="V4182">
        <v>0.20128359324518649</v>
      </c>
      <c r="W4182">
        <v>-11.23150990662932</v>
      </c>
      <c r="X4182">
        <v>0.30700191212785799</v>
      </c>
      <c r="Z4182" t="s">
        <v>392</v>
      </c>
      <c r="AA4182">
        <v>161</v>
      </c>
      <c r="AB4182" t="s">
        <v>4573</v>
      </c>
      <c r="AC4182" t="str">
        <f>HYPERLINK("plots/3FT6Y578R04_015_S31P_20251219032831_M5358ACSA301811_RBGEUFRF04/dpll_52046/txpa_54158.png","plot")</f>
        <v>plot</v>
      </c>
    </row>
    <row r="4183" spans="1:29" x14ac:dyDescent="0.35">
      <c r="A4183" s="3" t="s">
        <v>50</v>
      </c>
      <c r="B4183">
        <v>52046</v>
      </c>
      <c r="C4183" t="s">
        <v>51</v>
      </c>
      <c r="D4183">
        <v>54159</v>
      </c>
      <c r="E4183" t="s">
        <v>179</v>
      </c>
      <c r="F4183">
        <v>11781</v>
      </c>
      <c r="G4183">
        <v>0.63905744556475585</v>
      </c>
      <c r="H4183">
        <v>0</v>
      </c>
      <c r="I4183">
        <v>0</v>
      </c>
      <c r="J4183">
        <v>0.54177151635210175</v>
      </c>
      <c r="K4183">
        <v>0</v>
      </c>
      <c r="L4183">
        <v>0</v>
      </c>
      <c r="M4183">
        <v>0.38060233234271529</v>
      </c>
      <c r="N4183">
        <v>0</v>
      </c>
      <c r="O4183">
        <v>0</v>
      </c>
      <c r="P4183">
        <v>0.40839441873175092</v>
      </c>
      <c r="Q4183">
        <v>0.96957375760055975</v>
      </c>
      <c r="R4183">
        <v>-15.54744350372691</v>
      </c>
      <c r="S4183">
        <v>0.2348579144968948</v>
      </c>
      <c r="T4183">
        <v>0.18451141060709969</v>
      </c>
      <c r="U4183">
        <v>4.4286210779220783</v>
      </c>
      <c r="V4183">
        <v>0.20126420786155011</v>
      </c>
      <c r="W4183">
        <v>-11.25356872421696</v>
      </c>
      <c r="X4183">
        <v>0.30535673379780609</v>
      </c>
      <c r="Z4183" t="s">
        <v>392</v>
      </c>
      <c r="AA4183">
        <v>161</v>
      </c>
      <c r="AB4183" t="s">
        <v>4574</v>
      </c>
      <c r="AC4183" t="str">
        <f>HYPERLINK("plots/3FT6Y578R04_015_S31P_20251219032831_M5358ACSA301811_RBGEUFRF04/dpll_52046/txpa_54159.png","plot")</f>
        <v>plot</v>
      </c>
    </row>
    <row r="4184" spans="1:29" x14ac:dyDescent="0.35">
      <c r="A4184" s="3" t="s">
        <v>50</v>
      </c>
      <c r="B4184">
        <v>52046</v>
      </c>
      <c r="C4184" t="s">
        <v>51</v>
      </c>
      <c r="D4184">
        <v>54160</v>
      </c>
      <c r="E4184" t="s">
        <v>180</v>
      </c>
      <c r="F4184">
        <v>11782</v>
      </c>
      <c r="G4184">
        <v>0.64212464158686744</v>
      </c>
      <c r="H4184">
        <v>0</v>
      </c>
      <c r="I4184">
        <v>0</v>
      </c>
      <c r="J4184">
        <v>0.55704428296205777</v>
      </c>
      <c r="K4184">
        <v>0</v>
      </c>
      <c r="L4184">
        <v>0</v>
      </c>
      <c r="M4184">
        <v>0.39347478424647958</v>
      </c>
      <c r="N4184">
        <v>0</v>
      </c>
      <c r="O4184">
        <v>0</v>
      </c>
      <c r="P4184">
        <v>0.41232405533306299</v>
      </c>
      <c r="Q4184">
        <v>0.97249230848486379</v>
      </c>
      <c r="R4184">
        <v>-15.57571370134341</v>
      </c>
      <c r="S4184">
        <v>0.2336739882737581</v>
      </c>
      <c r="T4184">
        <v>0.18284106625752</v>
      </c>
      <c r="U4184">
        <v>4.4286477380750293</v>
      </c>
      <c r="V4184">
        <v>0.20127646963296911</v>
      </c>
      <c r="W4184">
        <v>-11.268887839076561</v>
      </c>
      <c r="X4184">
        <v>0.30483150142521009</v>
      </c>
      <c r="Z4184" t="s">
        <v>392</v>
      </c>
      <c r="AA4184">
        <v>161</v>
      </c>
      <c r="AB4184" t="s">
        <v>4575</v>
      </c>
      <c r="AC4184" t="str">
        <f>HYPERLINK("plots/3FT6Y578R04_015_S31P_20251219032831_M5358ACSA301811_RBGEUFRF04/dpll_52046/txpa_54160.png","plot")</f>
        <v>plot</v>
      </c>
    </row>
    <row r="4185" spans="1:29" x14ac:dyDescent="0.35">
      <c r="A4185" s="3" t="s">
        <v>50</v>
      </c>
      <c r="B4185">
        <v>52046</v>
      </c>
      <c r="C4185" t="s">
        <v>51</v>
      </c>
      <c r="D4185">
        <v>54161</v>
      </c>
      <c r="E4185" t="s">
        <v>181</v>
      </c>
      <c r="F4185">
        <v>11782</v>
      </c>
      <c r="G4185">
        <v>0.6403988587000331</v>
      </c>
      <c r="H4185">
        <v>0</v>
      </c>
      <c r="I4185">
        <v>0</v>
      </c>
      <c r="J4185">
        <v>0.55030239679926718</v>
      </c>
      <c r="K4185">
        <v>0</v>
      </c>
      <c r="L4185">
        <v>0</v>
      </c>
      <c r="M4185">
        <v>0.38787849752602582</v>
      </c>
      <c r="N4185">
        <v>0</v>
      </c>
      <c r="O4185">
        <v>0</v>
      </c>
      <c r="P4185">
        <v>0.41011069822430501</v>
      </c>
      <c r="Q4185">
        <v>0.96056919079352365</v>
      </c>
      <c r="R4185">
        <v>-15.525668738560499</v>
      </c>
      <c r="S4185">
        <v>0.2318664639072508</v>
      </c>
      <c r="T4185">
        <v>0.18170368431801739</v>
      </c>
      <c r="U4185">
        <v>4.4286477380750293</v>
      </c>
      <c r="V4185">
        <v>0.20127646963296911</v>
      </c>
      <c r="W4185">
        <v>-11.2716461644882</v>
      </c>
      <c r="X4185">
        <v>0.30190555922224099</v>
      </c>
      <c r="Z4185" t="s">
        <v>392</v>
      </c>
      <c r="AA4185">
        <v>161</v>
      </c>
      <c r="AB4185" t="s">
        <v>4576</v>
      </c>
      <c r="AC4185" t="str">
        <f>HYPERLINK("plots/3FT6Y578R04_015_S31P_20251219032831_M5358ACSA301811_RBGEUFRF04/dpll_52046/txpa_54161.png","plot")</f>
        <v>plot</v>
      </c>
    </row>
    <row r="4186" spans="1:29" x14ac:dyDescent="0.35">
      <c r="A4186" s="3" t="s">
        <v>50</v>
      </c>
      <c r="B4186">
        <v>52046</v>
      </c>
      <c r="C4186" t="s">
        <v>51</v>
      </c>
      <c r="D4186">
        <v>54162</v>
      </c>
      <c r="E4186" t="s">
        <v>182</v>
      </c>
      <c r="F4186">
        <v>11781</v>
      </c>
      <c r="G4186">
        <v>0.62696086038894572</v>
      </c>
      <c r="H4186">
        <v>0</v>
      </c>
      <c r="I4186">
        <v>0</v>
      </c>
      <c r="J4186">
        <v>0.5394336579040454</v>
      </c>
      <c r="K4186">
        <v>0</v>
      </c>
      <c r="L4186">
        <v>0</v>
      </c>
      <c r="M4186">
        <v>0.38029375624201678</v>
      </c>
      <c r="N4186">
        <v>0</v>
      </c>
      <c r="O4186">
        <v>0</v>
      </c>
      <c r="P4186">
        <v>0.39307992045964713</v>
      </c>
      <c r="Q4186">
        <v>0.94716524818189363</v>
      </c>
      <c r="R4186">
        <v>-15.536778334092929</v>
      </c>
      <c r="S4186">
        <v>0.2368711940926061</v>
      </c>
      <c r="T4186">
        <v>0.18525047660692201</v>
      </c>
      <c r="U4186">
        <v>4.4286701896273666</v>
      </c>
      <c r="V4186">
        <v>0.20127025814248481</v>
      </c>
      <c r="W4186">
        <v>-11.34209583481878</v>
      </c>
      <c r="X4186">
        <v>0.3040639472883459</v>
      </c>
      <c r="Z4186" t="s">
        <v>392</v>
      </c>
      <c r="AA4186">
        <v>161</v>
      </c>
      <c r="AB4186" t="s">
        <v>4577</v>
      </c>
      <c r="AC4186" t="str">
        <f>HYPERLINK("plots/3FT6Y578R04_015_S31P_20251219032831_M5358ACSA301811_RBGEUFRF04/dpll_52046/txpa_54162.png","plot")</f>
        <v>plot</v>
      </c>
    </row>
    <row r="4187" spans="1:29" x14ac:dyDescent="0.35">
      <c r="A4187" s="3" t="s">
        <v>50</v>
      </c>
      <c r="B4187">
        <v>52046</v>
      </c>
      <c r="C4187" t="s">
        <v>51</v>
      </c>
      <c r="D4187">
        <v>54163</v>
      </c>
      <c r="E4187" t="s">
        <v>183</v>
      </c>
      <c r="F4187">
        <v>11782</v>
      </c>
      <c r="G4187">
        <v>0.61895205730774083</v>
      </c>
      <c r="H4187">
        <v>0</v>
      </c>
      <c r="I4187">
        <v>0</v>
      </c>
      <c r="J4187">
        <v>0.54300061238428587</v>
      </c>
      <c r="K4187">
        <v>0</v>
      </c>
      <c r="L4187">
        <v>0</v>
      </c>
      <c r="M4187">
        <v>0.38116978999333812</v>
      </c>
      <c r="N4187">
        <v>0</v>
      </c>
      <c r="O4187">
        <v>0</v>
      </c>
      <c r="P4187">
        <v>0.3831016492454849</v>
      </c>
      <c r="Q4187">
        <v>0.82399264293665231</v>
      </c>
      <c r="R4187">
        <v>-9.0459775529908413</v>
      </c>
      <c r="S4187">
        <v>0.21044940539366441</v>
      </c>
      <c r="T4187">
        <v>0.16196807438963651</v>
      </c>
      <c r="U4187">
        <v>4.4286477380750293</v>
      </c>
      <c r="V4187">
        <v>0.20127646963296911</v>
      </c>
      <c r="W4187">
        <v>-5.3968043986589711</v>
      </c>
      <c r="X4187">
        <v>0.26795343551361489</v>
      </c>
      <c r="Z4187" t="s">
        <v>392</v>
      </c>
      <c r="AA4187">
        <v>161</v>
      </c>
      <c r="AB4187" t="s">
        <v>4578</v>
      </c>
      <c r="AC4187" t="str">
        <f>HYPERLINK("plots/3FT6Y578R04_015_S31P_20251219032831_M5358ACSA301811_RBGEUFRF04/dpll_52046/txpa_54163.png","plot")</f>
        <v>plot</v>
      </c>
    </row>
    <row r="4188" spans="1:29" x14ac:dyDescent="0.35">
      <c r="A4188" s="3" t="s">
        <v>50</v>
      </c>
      <c r="B4188">
        <v>52046</v>
      </c>
      <c r="C4188" t="s">
        <v>51</v>
      </c>
      <c r="D4188">
        <v>54164</v>
      </c>
      <c r="E4188" t="s">
        <v>184</v>
      </c>
      <c r="F4188">
        <v>11782</v>
      </c>
      <c r="G4188">
        <v>0.64397700942196812</v>
      </c>
      <c r="H4188">
        <v>0</v>
      </c>
      <c r="I4188">
        <v>0</v>
      </c>
      <c r="J4188">
        <v>0.56052453051746265</v>
      </c>
      <c r="K4188">
        <v>0</v>
      </c>
      <c r="L4188">
        <v>0</v>
      </c>
      <c r="M4188">
        <v>0.39624247623680348</v>
      </c>
      <c r="N4188">
        <v>0</v>
      </c>
      <c r="O4188">
        <v>0</v>
      </c>
      <c r="P4188">
        <v>0.41470638866406162</v>
      </c>
      <c r="Q4188">
        <v>0.85940409351437519</v>
      </c>
      <c r="R4188">
        <v>-9.1568790227588099</v>
      </c>
      <c r="S4188">
        <v>0.20548897320564269</v>
      </c>
      <c r="T4188">
        <v>0.15957499189218791</v>
      </c>
      <c r="U4188">
        <v>4.4286477380750293</v>
      </c>
      <c r="V4188">
        <v>0.20127646963296911</v>
      </c>
      <c r="W4188">
        <v>-5.3508810279239514</v>
      </c>
      <c r="X4188">
        <v>0.26860869161456541</v>
      </c>
      <c r="Z4188" t="s">
        <v>392</v>
      </c>
      <c r="AA4188">
        <v>161</v>
      </c>
      <c r="AB4188" t="s">
        <v>4579</v>
      </c>
      <c r="AC4188" t="str">
        <f>HYPERLINK("plots/3FT6Y578R04_015_S31P_20251219032831_M5358ACSA301811_RBGEUFRF04/dpll_52046/txpa_54164.png","plot")</f>
        <v>plot</v>
      </c>
    </row>
    <row r="4189" spans="1:29" x14ac:dyDescent="0.35">
      <c r="A4189" s="3" t="s">
        <v>50</v>
      </c>
      <c r="B4189">
        <v>52046</v>
      </c>
      <c r="C4189" t="s">
        <v>51</v>
      </c>
      <c r="D4189">
        <v>54165</v>
      </c>
      <c r="E4189" t="s">
        <v>185</v>
      </c>
      <c r="F4189">
        <v>11782</v>
      </c>
      <c r="G4189">
        <v>0.63474216214618717</v>
      </c>
      <c r="H4189">
        <v>0</v>
      </c>
      <c r="I4189">
        <v>0</v>
      </c>
      <c r="J4189">
        <v>0.54916412362028555</v>
      </c>
      <c r="K4189">
        <v>0</v>
      </c>
      <c r="L4189">
        <v>0</v>
      </c>
      <c r="M4189">
        <v>0.38712685605129937</v>
      </c>
      <c r="N4189">
        <v>0</v>
      </c>
      <c r="O4189">
        <v>0</v>
      </c>
      <c r="P4189">
        <v>0.40289761240601663</v>
      </c>
      <c r="Q4189">
        <v>0.83224671420071994</v>
      </c>
      <c r="R4189">
        <v>-9.0318195398235499</v>
      </c>
      <c r="S4189">
        <v>0.20391713528725239</v>
      </c>
      <c r="T4189">
        <v>0.15879157180337511</v>
      </c>
      <c r="U4189">
        <v>4.4286477380750293</v>
      </c>
      <c r="V4189">
        <v>0.20127646963296911</v>
      </c>
      <c r="W4189">
        <v>-5.3460920114581567</v>
      </c>
      <c r="X4189">
        <v>0.26390507908214228</v>
      </c>
      <c r="Z4189" t="s">
        <v>392</v>
      </c>
      <c r="AA4189">
        <v>161</v>
      </c>
      <c r="AB4189" t="s">
        <v>4580</v>
      </c>
      <c r="AC4189" t="str">
        <f>HYPERLINK("plots/3FT6Y578R04_015_S31P_20251219032831_M5358ACSA301811_RBGEUFRF04/dpll_52046/txpa_54165.png","plot")</f>
        <v>plot</v>
      </c>
    </row>
    <row r="4190" spans="1:29" x14ac:dyDescent="0.35">
      <c r="A4190" s="3" t="s">
        <v>50</v>
      </c>
      <c r="B4190">
        <v>52046</v>
      </c>
      <c r="C4190" t="s">
        <v>51</v>
      </c>
      <c r="D4190">
        <v>54166</v>
      </c>
      <c r="E4190" t="s">
        <v>186</v>
      </c>
      <c r="F4190">
        <v>11781</v>
      </c>
      <c r="G4190">
        <v>0.65505737781102147</v>
      </c>
      <c r="H4190">
        <v>0</v>
      </c>
      <c r="I4190">
        <v>0</v>
      </c>
      <c r="J4190">
        <v>0.56325234971808025</v>
      </c>
      <c r="K4190">
        <v>0</v>
      </c>
      <c r="L4190">
        <v>0</v>
      </c>
      <c r="M4190">
        <v>0.39876582613110001</v>
      </c>
      <c r="N4190">
        <v>0</v>
      </c>
      <c r="O4190">
        <v>0</v>
      </c>
      <c r="P4190">
        <v>0.4291001682246513</v>
      </c>
      <c r="Q4190">
        <v>0.87517977098053834</v>
      </c>
      <c r="R4190">
        <v>-9.189182486088221</v>
      </c>
      <c r="S4190">
        <v>0.20318321587675861</v>
      </c>
      <c r="T4190">
        <v>0.15878800211260119</v>
      </c>
      <c r="U4190">
        <v>4.4286547017231142</v>
      </c>
      <c r="V4190">
        <v>0.20128359324518649</v>
      </c>
      <c r="W4190">
        <v>-5.3133134784823017</v>
      </c>
      <c r="X4190">
        <v>0.26892198302861142</v>
      </c>
      <c r="Z4190" t="s">
        <v>392</v>
      </c>
      <c r="AA4190">
        <v>161</v>
      </c>
      <c r="AB4190" t="s">
        <v>4581</v>
      </c>
      <c r="AC4190" t="str">
        <f>HYPERLINK("plots/3FT6Y578R04_015_S31P_20251219032831_M5358ACSA301811_RBGEUFRF04/dpll_52046/txpa_54166.png","plot")</f>
        <v>plot</v>
      </c>
    </row>
    <row r="4191" spans="1:29" x14ac:dyDescent="0.35">
      <c r="A4191" s="3" t="s">
        <v>50</v>
      </c>
      <c r="B4191">
        <v>52046</v>
      </c>
      <c r="C4191" t="s">
        <v>51</v>
      </c>
      <c r="D4191">
        <v>54167</v>
      </c>
      <c r="E4191" t="s">
        <v>187</v>
      </c>
      <c r="F4191">
        <v>11781</v>
      </c>
      <c r="G4191">
        <v>0.65410671986475855</v>
      </c>
      <c r="H4191">
        <v>0</v>
      </c>
      <c r="I4191">
        <v>0</v>
      </c>
      <c r="J4191">
        <v>0.55875904465427817</v>
      </c>
      <c r="K4191">
        <v>0</v>
      </c>
      <c r="L4191">
        <v>0</v>
      </c>
      <c r="M4191">
        <v>0.39398250662638129</v>
      </c>
      <c r="N4191">
        <v>0</v>
      </c>
      <c r="O4191">
        <v>0</v>
      </c>
      <c r="P4191">
        <v>0.42785560097223369</v>
      </c>
      <c r="Q4191">
        <v>0.86585091405334147</v>
      </c>
      <c r="R4191">
        <v>-9.1686574468683286</v>
      </c>
      <c r="S4191">
        <v>0.20150946495302369</v>
      </c>
      <c r="T4191">
        <v>0.15816440828500869</v>
      </c>
      <c r="U4191">
        <v>4.4286210779220783</v>
      </c>
      <c r="V4191">
        <v>0.20126420786155011</v>
      </c>
      <c r="W4191">
        <v>-5.3341318385536027</v>
      </c>
      <c r="X4191">
        <v>0.26641646240719769</v>
      </c>
      <c r="Z4191" t="s">
        <v>392</v>
      </c>
      <c r="AA4191">
        <v>161</v>
      </c>
      <c r="AB4191" t="s">
        <v>4582</v>
      </c>
      <c r="AC4191" t="str">
        <f>HYPERLINK("plots/3FT6Y578R04_015_S31P_20251219032831_M5358ACSA301811_RBGEUFRF04/dpll_52046/txpa_54167.png","plot")</f>
        <v>plot</v>
      </c>
    </row>
    <row r="4192" spans="1:29" x14ac:dyDescent="0.35">
      <c r="A4192" s="3" t="s">
        <v>50</v>
      </c>
      <c r="B4192">
        <v>52046</v>
      </c>
      <c r="C4192" t="s">
        <v>51</v>
      </c>
      <c r="D4192">
        <v>54168</v>
      </c>
      <c r="E4192" t="s">
        <v>188</v>
      </c>
      <c r="F4192">
        <v>11782</v>
      </c>
      <c r="G4192">
        <v>0.65928566480542139</v>
      </c>
      <c r="H4192">
        <v>0</v>
      </c>
      <c r="I4192">
        <v>0</v>
      </c>
      <c r="J4192">
        <v>0.57296033066291396</v>
      </c>
      <c r="K4192">
        <v>0</v>
      </c>
      <c r="L4192">
        <v>0</v>
      </c>
      <c r="M4192">
        <v>0.40604829271816439</v>
      </c>
      <c r="N4192">
        <v>0</v>
      </c>
      <c r="O4192">
        <v>0</v>
      </c>
      <c r="P4192">
        <v>0.43465758781792652</v>
      </c>
      <c r="Q4192">
        <v>0.8760818965998981</v>
      </c>
      <c r="R4192">
        <v>-9.2161188054679091</v>
      </c>
      <c r="S4192">
        <v>0.20109507401812071</v>
      </c>
      <c r="T4192">
        <v>0.15723261538864841</v>
      </c>
      <c r="U4192">
        <v>4.4286477380750293</v>
      </c>
      <c r="V4192">
        <v>0.20127646963296911</v>
      </c>
      <c r="W4192">
        <v>-5.3362606957222889</v>
      </c>
      <c r="X4192">
        <v>0.26746322674712802</v>
      </c>
      <c r="Z4192" t="s">
        <v>392</v>
      </c>
      <c r="AA4192">
        <v>161</v>
      </c>
      <c r="AB4192" t="s">
        <v>4583</v>
      </c>
      <c r="AC4192" t="str">
        <f>HYPERLINK("plots/3FT6Y578R04_015_S31P_20251219032831_M5358ACSA301811_RBGEUFRF04/dpll_52046/txpa_54168.png","plot")</f>
        <v>plot</v>
      </c>
    </row>
    <row r="4193" spans="1:29" x14ac:dyDescent="0.35">
      <c r="A4193" s="3" t="s">
        <v>50</v>
      </c>
      <c r="B4193">
        <v>52046</v>
      </c>
      <c r="C4193" t="s">
        <v>51</v>
      </c>
      <c r="D4193">
        <v>54169</v>
      </c>
      <c r="E4193" t="s">
        <v>189</v>
      </c>
      <c r="F4193">
        <v>11782</v>
      </c>
      <c r="G4193">
        <v>0.6548944968210243</v>
      </c>
      <c r="H4193">
        <v>0</v>
      </c>
      <c r="I4193">
        <v>0</v>
      </c>
      <c r="J4193">
        <v>0.56197734119424259</v>
      </c>
      <c r="K4193">
        <v>0</v>
      </c>
      <c r="L4193">
        <v>0</v>
      </c>
      <c r="M4193">
        <v>0.39650210518011902</v>
      </c>
      <c r="N4193">
        <v>0</v>
      </c>
      <c r="O4193">
        <v>0</v>
      </c>
      <c r="P4193">
        <v>0.42888680196646262</v>
      </c>
      <c r="Q4193">
        <v>0.85853801546937902</v>
      </c>
      <c r="R4193">
        <v>-9.1377161670465128</v>
      </c>
      <c r="S4193">
        <v>0.1993994070820769</v>
      </c>
      <c r="T4193">
        <v>0.15668661115707169</v>
      </c>
      <c r="U4193">
        <v>4.4286477380750293</v>
      </c>
      <c r="V4193">
        <v>0.20127646963296911</v>
      </c>
      <c r="W4193">
        <v>-5.3355537267866238</v>
      </c>
      <c r="X4193">
        <v>0.26386464024081929</v>
      </c>
      <c r="Z4193" t="s">
        <v>392</v>
      </c>
      <c r="AA4193">
        <v>161</v>
      </c>
      <c r="AB4193" t="s">
        <v>4584</v>
      </c>
      <c r="AC4193" t="str">
        <f>HYPERLINK("plots/3FT6Y578R04_015_S31P_20251219032831_M5358ACSA301811_RBGEUFRF04/dpll_52046/txpa_54169.png","plot")</f>
        <v>plot</v>
      </c>
    </row>
    <row r="4194" spans="1:29" x14ac:dyDescent="0.35">
      <c r="A4194" s="3" t="s">
        <v>50</v>
      </c>
      <c r="B4194">
        <v>52046</v>
      </c>
      <c r="C4194" t="s">
        <v>51</v>
      </c>
      <c r="D4194">
        <v>54170</v>
      </c>
      <c r="E4194" t="s">
        <v>190</v>
      </c>
      <c r="F4194">
        <v>11781</v>
      </c>
      <c r="G4194">
        <v>0.64239118919854099</v>
      </c>
      <c r="H4194">
        <v>0</v>
      </c>
      <c r="I4194">
        <v>0</v>
      </c>
      <c r="J4194">
        <v>0.55257074729541766</v>
      </c>
      <c r="K4194">
        <v>0</v>
      </c>
      <c r="L4194">
        <v>0</v>
      </c>
      <c r="M4194">
        <v>0.39073290217764278</v>
      </c>
      <c r="N4194">
        <v>0</v>
      </c>
      <c r="O4194">
        <v>0</v>
      </c>
      <c r="P4194">
        <v>0.4126664399599157</v>
      </c>
      <c r="Q4194">
        <v>0.84956208476203954</v>
      </c>
      <c r="R4194">
        <v>-9.1428971897269982</v>
      </c>
      <c r="S4194">
        <v>0.20398541933542749</v>
      </c>
      <c r="T4194">
        <v>0.15887792639512069</v>
      </c>
      <c r="U4194">
        <v>4.4286701896273666</v>
      </c>
      <c r="V4194">
        <v>0.20127025814248481</v>
      </c>
      <c r="W4194">
        <v>-5.3804669107036753</v>
      </c>
      <c r="X4194">
        <v>0.26617983400652728</v>
      </c>
      <c r="Z4194" t="s">
        <v>392</v>
      </c>
      <c r="AA4194">
        <v>161</v>
      </c>
      <c r="AB4194" t="s">
        <v>4585</v>
      </c>
      <c r="AC4194" t="str">
        <f>HYPERLINK("plots/3FT6Y578R04_015_S31P_20251219032831_M5358ACSA301811_RBGEUFRF04/dpll_52046/txpa_54170.png","plot")</f>
        <v>plot</v>
      </c>
    </row>
    <row r="4195" spans="1:29" x14ac:dyDescent="0.35">
      <c r="A4195" s="3" t="s">
        <v>50</v>
      </c>
      <c r="B4195">
        <v>52046</v>
      </c>
      <c r="C4195" t="s">
        <v>51</v>
      </c>
      <c r="D4195">
        <v>54171</v>
      </c>
      <c r="E4195" t="s">
        <v>191</v>
      </c>
      <c r="F4195">
        <v>11782</v>
      </c>
      <c r="G4195">
        <v>0.63191051290712696</v>
      </c>
      <c r="H4195">
        <v>0</v>
      </c>
      <c r="I4195">
        <v>0</v>
      </c>
      <c r="J4195">
        <v>0.55849505465371196</v>
      </c>
      <c r="K4195">
        <v>0</v>
      </c>
      <c r="L4195">
        <v>0</v>
      </c>
      <c r="M4195">
        <v>0.39275025928300439</v>
      </c>
      <c r="N4195">
        <v>0</v>
      </c>
      <c r="O4195">
        <v>0</v>
      </c>
      <c r="P4195">
        <v>0.39931089632254829</v>
      </c>
      <c r="Q4195">
        <v>0.83958974655720631</v>
      </c>
      <c r="R4195">
        <v>-6.0576291979665902</v>
      </c>
      <c r="S4195">
        <v>0.2072578542953088</v>
      </c>
      <c r="T4195">
        <v>0.1595623064973973</v>
      </c>
      <c r="U4195">
        <v>4.4286477380750293</v>
      </c>
      <c r="V4195">
        <v>0.20127646963296911</v>
      </c>
      <c r="W4195">
        <v>-2.339381965965031</v>
      </c>
      <c r="X4195">
        <v>0.26742656859692182</v>
      </c>
      <c r="Z4195" t="s">
        <v>392</v>
      </c>
      <c r="AA4195">
        <v>161</v>
      </c>
      <c r="AB4195" t="s">
        <v>4586</v>
      </c>
      <c r="AC4195" t="str">
        <f>HYPERLINK("plots/3FT6Y578R04_015_S31P_20251219032831_M5358ACSA301811_RBGEUFRF04/dpll_52046/txpa_54171.png","plot")</f>
        <v>plot</v>
      </c>
    </row>
    <row r="4196" spans="1:29" x14ac:dyDescent="0.35">
      <c r="A4196" s="3" t="s">
        <v>50</v>
      </c>
      <c r="B4196">
        <v>52046</v>
      </c>
      <c r="C4196" t="s">
        <v>51</v>
      </c>
      <c r="D4196">
        <v>54172</v>
      </c>
      <c r="E4196" t="s">
        <v>192</v>
      </c>
      <c r="F4196">
        <v>11782</v>
      </c>
      <c r="G4196">
        <v>0.65715561006156709</v>
      </c>
      <c r="H4196">
        <v>0</v>
      </c>
      <c r="I4196">
        <v>0</v>
      </c>
      <c r="J4196">
        <v>0.57653864629327456</v>
      </c>
      <c r="K4196">
        <v>0</v>
      </c>
      <c r="L4196">
        <v>0</v>
      </c>
      <c r="M4196">
        <v>0.4087443964928148</v>
      </c>
      <c r="N4196">
        <v>0</v>
      </c>
      <c r="O4196">
        <v>0</v>
      </c>
      <c r="P4196">
        <v>0.4318534958353904</v>
      </c>
      <c r="Q4196">
        <v>0.87533421417304869</v>
      </c>
      <c r="R4196">
        <v>-6.1759499345082842</v>
      </c>
      <c r="S4196">
        <v>0.20207399559851921</v>
      </c>
      <c r="T4196">
        <v>0.15686903549539469</v>
      </c>
      <c r="U4196">
        <v>4.4286477380750293</v>
      </c>
      <c r="V4196">
        <v>0.20127646963296911</v>
      </c>
      <c r="W4196">
        <v>-2.2994030468511291</v>
      </c>
      <c r="X4196">
        <v>0.26810115850824767</v>
      </c>
      <c r="Z4196" t="s">
        <v>392</v>
      </c>
      <c r="AA4196">
        <v>161</v>
      </c>
      <c r="AB4196" t="s">
        <v>4587</v>
      </c>
      <c r="AC4196" t="str">
        <f>HYPERLINK("plots/3FT6Y578R04_015_S31P_20251219032831_M5358ACSA301811_RBGEUFRF04/dpll_52046/txpa_54172.png","plot")</f>
        <v>plot</v>
      </c>
    </row>
    <row r="4197" spans="1:29" x14ac:dyDescent="0.35">
      <c r="A4197" s="3" t="s">
        <v>50</v>
      </c>
      <c r="B4197">
        <v>52046</v>
      </c>
      <c r="C4197" t="s">
        <v>51</v>
      </c>
      <c r="D4197">
        <v>54173</v>
      </c>
      <c r="E4197" t="s">
        <v>193</v>
      </c>
      <c r="F4197">
        <v>11782</v>
      </c>
      <c r="G4197">
        <v>0.64655444964162279</v>
      </c>
      <c r="H4197">
        <v>0</v>
      </c>
      <c r="I4197">
        <v>0</v>
      </c>
      <c r="J4197">
        <v>0.56485936198618059</v>
      </c>
      <c r="K4197">
        <v>0</v>
      </c>
      <c r="L4197">
        <v>0</v>
      </c>
      <c r="M4197">
        <v>0.39932995592877629</v>
      </c>
      <c r="N4197">
        <v>0</v>
      </c>
      <c r="O4197">
        <v>0</v>
      </c>
      <c r="P4197">
        <v>0.41803265635138181</v>
      </c>
      <c r="Q4197">
        <v>0.84649068928295268</v>
      </c>
      <c r="R4197">
        <v>-6.0421297098183882</v>
      </c>
      <c r="S4197">
        <v>0.20102078451296251</v>
      </c>
      <c r="T4197">
        <v>0.15626742762205831</v>
      </c>
      <c r="U4197">
        <v>4.4286477380750293</v>
      </c>
      <c r="V4197">
        <v>0.20127646963296911</v>
      </c>
      <c r="W4197">
        <v>-2.2933206334238672</v>
      </c>
      <c r="X4197">
        <v>0.26351787944617822</v>
      </c>
      <c r="Z4197" t="s">
        <v>392</v>
      </c>
      <c r="AA4197">
        <v>161</v>
      </c>
      <c r="AB4197" t="s">
        <v>4588</v>
      </c>
      <c r="AC4197" t="str">
        <f>HYPERLINK("plots/3FT6Y578R04_015_S31P_20251219032831_M5358ACSA301811_RBGEUFRF04/dpll_52046/txpa_54173.png","plot")</f>
        <v>plot</v>
      </c>
    </row>
    <row r="4198" spans="1:29" x14ac:dyDescent="0.35">
      <c r="A4198" s="3" t="s">
        <v>50</v>
      </c>
      <c r="B4198">
        <v>52046</v>
      </c>
      <c r="C4198" t="s">
        <v>51</v>
      </c>
      <c r="D4198">
        <v>54174</v>
      </c>
      <c r="E4198" t="s">
        <v>194</v>
      </c>
      <c r="F4198">
        <v>11781</v>
      </c>
      <c r="G4198">
        <v>0.66593953263113004</v>
      </c>
      <c r="H4198">
        <v>0</v>
      </c>
      <c r="I4198">
        <v>0</v>
      </c>
      <c r="J4198">
        <v>0.57849891599233705</v>
      </c>
      <c r="K4198">
        <v>0</v>
      </c>
      <c r="L4198">
        <v>0</v>
      </c>
      <c r="M4198">
        <v>0.4105839550683279</v>
      </c>
      <c r="N4198">
        <v>0</v>
      </c>
      <c r="O4198">
        <v>0</v>
      </c>
      <c r="P4198">
        <v>0.44347546112096792</v>
      </c>
      <c r="Q4198">
        <v>0.88411591280280022</v>
      </c>
      <c r="R4198">
        <v>-6.183346713319728</v>
      </c>
      <c r="S4198">
        <v>0.19934553539102021</v>
      </c>
      <c r="T4198">
        <v>0.15568744784273911</v>
      </c>
      <c r="U4198">
        <v>4.4286547017231142</v>
      </c>
      <c r="V4198">
        <v>0.20128359324518649</v>
      </c>
      <c r="W4198">
        <v>-2.2679026192173839</v>
      </c>
      <c r="X4198">
        <v>0.26722850807652571</v>
      </c>
      <c r="Z4198" t="s">
        <v>392</v>
      </c>
      <c r="AA4198">
        <v>161</v>
      </c>
      <c r="AB4198" t="s">
        <v>4589</v>
      </c>
      <c r="AC4198" t="str">
        <f>HYPERLINK("plots/3FT6Y578R04_015_S31P_20251219032831_M5358ACSA301811_RBGEUFRF04/dpll_52046/txpa_54174.png","plot")</f>
        <v>plot</v>
      </c>
    </row>
    <row r="4199" spans="1:29" x14ac:dyDescent="0.35">
      <c r="A4199" s="3" t="s">
        <v>50</v>
      </c>
      <c r="B4199">
        <v>52046</v>
      </c>
      <c r="C4199" t="s">
        <v>51</v>
      </c>
      <c r="D4199">
        <v>54175</v>
      </c>
      <c r="E4199" t="s">
        <v>195</v>
      </c>
      <c r="F4199">
        <v>11781</v>
      </c>
      <c r="G4199">
        <v>0.66488276930433576</v>
      </c>
      <c r="H4199">
        <v>0</v>
      </c>
      <c r="I4199">
        <v>0</v>
      </c>
      <c r="J4199">
        <v>0.57212287941364481</v>
      </c>
      <c r="K4199">
        <v>0</v>
      </c>
      <c r="L4199">
        <v>0</v>
      </c>
      <c r="M4199">
        <v>0.40430815385287028</v>
      </c>
      <c r="N4199">
        <v>0</v>
      </c>
      <c r="O4199">
        <v>0</v>
      </c>
      <c r="P4199">
        <v>0.44206909691780261</v>
      </c>
      <c r="Q4199">
        <v>0.8766936031223842</v>
      </c>
      <c r="R4199">
        <v>-6.1708342533273743</v>
      </c>
      <c r="S4199">
        <v>0.19821708432701421</v>
      </c>
      <c r="T4199">
        <v>0.1550897216432138</v>
      </c>
      <c r="U4199">
        <v>4.4286210779220783</v>
      </c>
      <c r="V4199">
        <v>0.20126420786155011</v>
      </c>
      <c r="W4199">
        <v>-2.288290483660131</v>
      </c>
      <c r="X4199">
        <v>0.26538068320574859</v>
      </c>
      <c r="Z4199" t="s">
        <v>392</v>
      </c>
      <c r="AA4199">
        <v>161</v>
      </c>
      <c r="AB4199" t="s">
        <v>4590</v>
      </c>
      <c r="AC4199" t="str">
        <f>HYPERLINK("plots/3FT6Y578R04_015_S31P_20251219032831_M5358ACSA301811_RBGEUFRF04/dpll_52046/txpa_54175.png","plot")</f>
        <v>plot</v>
      </c>
    </row>
    <row r="4200" spans="1:29" x14ac:dyDescent="0.35">
      <c r="A4200" s="3" t="s">
        <v>50</v>
      </c>
      <c r="B4200">
        <v>52046</v>
      </c>
      <c r="C4200" t="s">
        <v>51</v>
      </c>
      <c r="D4200">
        <v>54176</v>
      </c>
      <c r="E4200" t="s">
        <v>196</v>
      </c>
      <c r="F4200">
        <v>11782</v>
      </c>
      <c r="G4200">
        <v>0.67154826151954294</v>
      </c>
      <c r="H4200">
        <v>0</v>
      </c>
      <c r="I4200">
        <v>0</v>
      </c>
      <c r="J4200">
        <v>0.58845883218476347</v>
      </c>
      <c r="K4200">
        <v>0</v>
      </c>
      <c r="L4200">
        <v>0</v>
      </c>
      <c r="M4200">
        <v>0.41786077304213459</v>
      </c>
      <c r="N4200">
        <v>0</v>
      </c>
      <c r="O4200">
        <v>0</v>
      </c>
      <c r="P4200">
        <v>0.45097706754992051</v>
      </c>
      <c r="Q4200">
        <v>0.89071726932757511</v>
      </c>
      <c r="R4200">
        <v>-6.2308325329729666</v>
      </c>
      <c r="S4200">
        <v>0.19780281190503049</v>
      </c>
      <c r="T4200">
        <v>0.15478522621208279</v>
      </c>
      <c r="U4200">
        <v>4.4286477380750293</v>
      </c>
      <c r="V4200">
        <v>0.20127646963296911</v>
      </c>
      <c r="W4200">
        <v>-2.286159512901035</v>
      </c>
      <c r="X4200">
        <v>0.26696581271122161</v>
      </c>
      <c r="Z4200" t="s">
        <v>392</v>
      </c>
      <c r="AA4200">
        <v>161</v>
      </c>
      <c r="AB4200" t="s">
        <v>4591</v>
      </c>
      <c r="AC4200" t="str">
        <f>HYPERLINK("plots/3FT6Y578R04_015_S31P_20251219032831_M5358ACSA301811_RBGEUFRF04/dpll_52046/txpa_54176.png","plot")</f>
        <v>plot</v>
      </c>
    </row>
    <row r="4201" spans="1:29" x14ac:dyDescent="0.35">
      <c r="A4201" s="3" t="s">
        <v>50</v>
      </c>
      <c r="B4201">
        <v>52046</v>
      </c>
      <c r="C4201" t="s">
        <v>51</v>
      </c>
      <c r="D4201">
        <v>54177</v>
      </c>
      <c r="E4201" t="s">
        <v>197</v>
      </c>
      <c r="F4201">
        <v>11782</v>
      </c>
      <c r="G4201">
        <v>0.66759335077672688</v>
      </c>
      <c r="H4201">
        <v>0</v>
      </c>
      <c r="I4201">
        <v>0</v>
      </c>
      <c r="J4201">
        <v>0.5787554643171402</v>
      </c>
      <c r="K4201">
        <v>0</v>
      </c>
      <c r="L4201">
        <v>0</v>
      </c>
      <c r="M4201">
        <v>0.4094878511184985</v>
      </c>
      <c r="N4201">
        <v>0</v>
      </c>
      <c r="O4201">
        <v>0</v>
      </c>
      <c r="P4201">
        <v>0.44568088200129791</v>
      </c>
      <c r="Q4201">
        <v>0.87308446358401504</v>
      </c>
      <c r="R4201">
        <v>-6.1500626439493491</v>
      </c>
      <c r="S4201">
        <v>0.19597413734916519</v>
      </c>
      <c r="T4201">
        <v>0.15403933391927599</v>
      </c>
      <c r="U4201">
        <v>4.4286477380750293</v>
      </c>
      <c r="V4201">
        <v>0.20127646963296911</v>
      </c>
      <c r="W4201">
        <v>-2.2834791091495501</v>
      </c>
      <c r="X4201">
        <v>0.26323113961085209</v>
      </c>
      <c r="Z4201" t="s">
        <v>392</v>
      </c>
      <c r="AA4201">
        <v>161</v>
      </c>
      <c r="AB4201" t="s">
        <v>4592</v>
      </c>
      <c r="AC4201" t="str">
        <f>HYPERLINK("plots/3FT6Y578R04_015_S31P_20251219032831_M5358ACSA301811_RBGEUFRF04/dpll_52046/txpa_54177.png","plot")</f>
        <v>plot</v>
      </c>
    </row>
    <row r="4202" spans="1:29" x14ac:dyDescent="0.35">
      <c r="A4202" s="3" t="s">
        <v>50</v>
      </c>
      <c r="B4202">
        <v>52046</v>
      </c>
      <c r="C4202" t="s">
        <v>51</v>
      </c>
      <c r="D4202">
        <v>54178</v>
      </c>
      <c r="E4202" t="s">
        <v>198</v>
      </c>
      <c r="F4202">
        <v>11781</v>
      </c>
      <c r="G4202">
        <v>0.65517058879040357</v>
      </c>
      <c r="H4202">
        <v>0</v>
      </c>
      <c r="I4202">
        <v>0</v>
      </c>
      <c r="J4202">
        <v>0.56870434515478951</v>
      </c>
      <c r="K4202">
        <v>0</v>
      </c>
      <c r="L4202">
        <v>0</v>
      </c>
      <c r="M4202">
        <v>0.40303756393405332</v>
      </c>
      <c r="N4202">
        <v>0</v>
      </c>
      <c r="O4202">
        <v>0</v>
      </c>
      <c r="P4202">
        <v>0.42924850041596407</v>
      </c>
      <c r="Q4202">
        <v>0.86425290529974652</v>
      </c>
      <c r="R4202">
        <v>-6.1489316114859527</v>
      </c>
      <c r="S4202">
        <v>0.2005723931174829</v>
      </c>
      <c r="T4202">
        <v>0.15608300556144819</v>
      </c>
      <c r="U4202">
        <v>4.4286701896273666</v>
      </c>
      <c r="V4202">
        <v>0.20127025814248481</v>
      </c>
      <c r="W4202">
        <v>-2.3214405334861219</v>
      </c>
      <c r="X4202">
        <v>0.26550093720052581</v>
      </c>
      <c r="Z4202" t="s">
        <v>392</v>
      </c>
      <c r="AA4202">
        <v>161</v>
      </c>
      <c r="AB4202" t="s">
        <v>4593</v>
      </c>
      <c r="AC4202" t="str">
        <f>HYPERLINK("plots/3FT6Y578R04_015_S31P_20251219032831_M5358ACSA301811_RBGEUFRF04/dpll_52046/txpa_54178.png","plot")</f>
        <v>plot</v>
      </c>
    </row>
    <row r="4203" spans="1:29" x14ac:dyDescent="0.35">
      <c r="A4203" s="3" t="s">
        <v>50</v>
      </c>
      <c r="B4203">
        <v>52046</v>
      </c>
      <c r="C4203" t="s">
        <v>51</v>
      </c>
      <c r="D4203">
        <v>54179</v>
      </c>
      <c r="E4203" t="s">
        <v>199</v>
      </c>
      <c r="F4203">
        <v>11782</v>
      </c>
      <c r="G4203">
        <v>0.67186564012833061</v>
      </c>
      <c r="H4203">
        <v>0</v>
      </c>
      <c r="I4203">
        <v>0</v>
      </c>
      <c r="J4203">
        <v>0.60300305721514225</v>
      </c>
      <c r="K4203">
        <v>0</v>
      </c>
      <c r="L4203">
        <v>0</v>
      </c>
      <c r="M4203">
        <v>0.42761268507277927</v>
      </c>
      <c r="N4203">
        <v>0</v>
      </c>
      <c r="O4203">
        <v>0</v>
      </c>
      <c r="P4203">
        <v>0.45140343838505148</v>
      </c>
      <c r="Q4203">
        <v>0.91699861074482603</v>
      </c>
      <c r="R4203">
        <v>-2.8259530850244721</v>
      </c>
      <c r="S4203">
        <v>0.2034638987318432</v>
      </c>
      <c r="T4203">
        <v>0.15600540818260389</v>
      </c>
      <c r="U4203">
        <v>4.4286477380750293</v>
      </c>
      <c r="V4203">
        <v>0.20127646963296911</v>
      </c>
      <c r="W4203">
        <v>1.2351107382685449</v>
      </c>
      <c r="X4203">
        <v>0.2747130259463807</v>
      </c>
      <c r="Z4203" t="s">
        <v>392</v>
      </c>
      <c r="AA4203">
        <v>161</v>
      </c>
      <c r="AB4203" t="s">
        <v>4594</v>
      </c>
      <c r="AC4203" t="str">
        <f>HYPERLINK("plots/3FT6Y578R04_015_S31P_20251219032831_M5358ACSA301811_RBGEUFRF04/dpll_52046/txpa_54179.png","plot")</f>
        <v>plot</v>
      </c>
    </row>
    <row r="4204" spans="1:29" x14ac:dyDescent="0.35">
      <c r="A4204" s="3" t="s">
        <v>50</v>
      </c>
      <c r="B4204">
        <v>52046</v>
      </c>
      <c r="C4204" t="s">
        <v>51</v>
      </c>
      <c r="D4204">
        <v>54180</v>
      </c>
      <c r="E4204" t="s">
        <v>200</v>
      </c>
      <c r="F4204">
        <v>11782</v>
      </c>
      <c r="G4204">
        <v>0.69573801660285917</v>
      </c>
      <c r="H4204">
        <v>0</v>
      </c>
      <c r="I4204">
        <v>0</v>
      </c>
      <c r="J4204">
        <v>0.61972248978817923</v>
      </c>
      <c r="K4204">
        <v>0</v>
      </c>
      <c r="L4204">
        <v>0</v>
      </c>
      <c r="M4204">
        <v>0.44332145751610652</v>
      </c>
      <c r="N4204">
        <v>0</v>
      </c>
      <c r="O4204">
        <v>0</v>
      </c>
      <c r="P4204">
        <v>0.48405138774648032</v>
      </c>
      <c r="Q4204">
        <v>0.95095197843951473</v>
      </c>
      <c r="R4204">
        <v>-2.9407310324047469</v>
      </c>
      <c r="S4204">
        <v>0.19760168837147499</v>
      </c>
      <c r="T4204">
        <v>0.15330115375676401</v>
      </c>
      <c r="U4204">
        <v>4.4286477380750293</v>
      </c>
      <c r="V4204">
        <v>0.20127646963296911</v>
      </c>
      <c r="W4204">
        <v>1.270700295929384</v>
      </c>
      <c r="X4204">
        <v>0.27510967123139141</v>
      </c>
      <c r="Z4204" t="s">
        <v>392</v>
      </c>
      <c r="AA4204">
        <v>161</v>
      </c>
      <c r="AB4204" t="s">
        <v>4595</v>
      </c>
      <c r="AC4204" t="str">
        <f>HYPERLINK("plots/3FT6Y578R04_015_S31P_20251219032831_M5358ACSA301811_RBGEUFRF04/dpll_52046/txpa_54180.png","plot")</f>
        <v>plot</v>
      </c>
    </row>
    <row r="4205" spans="1:29" x14ac:dyDescent="0.35">
      <c r="A4205" s="3" t="s">
        <v>50</v>
      </c>
      <c r="B4205">
        <v>52046</v>
      </c>
      <c r="C4205" t="s">
        <v>51</v>
      </c>
      <c r="D4205">
        <v>54181</v>
      </c>
      <c r="E4205" t="s">
        <v>201</v>
      </c>
      <c r="F4205">
        <v>11782</v>
      </c>
      <c r="G4205">
        <v>0.68561321358031546</v>
      </c>
      <c r="H4205">
        <v>0</v>
      </c>
      <c r="I4205">
        <v>0</v>
      </c>
      <c r="J4205">
        <v>0.60871372241388877</v>
      </c>
      <c r="K4205">
        <v>0</v>
      </c>
      <c r="L4205">
        <v>0</v>
      </c>
      <c r="M4205">
        <v>0.43396364582535291</v>
      </c>
      <c r="N4205">
        <v>0</v>
      </c>
      <c r="O4205">
        <v>0</v>
      </c>
      <c r="P4205">
        <v>0.47006547863592729</v>
      </c>
      <c r="Q4205">
        <v>0.92336947229181299</v>
      </c>
      <c r="R4205">
        <v>-2.8109495288448318</v>
      </c>
      <c r="S4205">
        <v>0.19732495574611639</v>
      </c>
      <c r="T4205">
        <v>0.15283212277422989</v>
      </c>
      <c r="U4205">
        <v>4.4286477380750293</v>
      </c>
      <c r="V4205">
        <v>0.20127646963296911</v>
      </c>
      <c r="W4205">
        <v>1.278328596027839</v>
      </c>
      <c r="X4205">
        <v>0.27107492076942341</v>
      </c>
      <c r="Z4205" t="s">
        <v>392</v>
      </c>
      <c r="AA4205">
        <v>161</v>
      </c>
      <c r="AB4205" t="s">
        <v>4596</v>
      </c>
      <c r="AC4205" t="str">
        <f>HYPERLINK("plots/3FT6Y578R04_015_S31P_20251219032831_M5358ACSA301811_RBGEUFRF04/dpll_52046/txpa_54181.png","plot")</f>
        <v>plot</v>
      </c>
    </row>
    <row r="4206" spans="1:29" x14ac:dyDescent="0.35">
      <c r="A4206" s="3" t="s">
        <v>50</v>
      </c>
      <c r="B4206">
        <v>52046</v>
      </c>
      <c r="C4206" t="s">
        <v>51</v>
      </c>
      <c r="D4206">
        <v>54182</v>
      </c>
      <c r="E4206" t="s">
        <v>202</v>
      </c>
      <c r="F4206">
        <v>11781</v>
      </c>
      <c r="G4206">
        <v>0.70357541948868274</v>
      </c>
      <c r="H4206">
        <v>0</v>
      </c>
      <c r="I4206">
        <v>0</v>
      </c>
      <c r="J4206">
        <v>0.62143611367328044</v>
      </c>
      <c r="K4206">
        <v>0</v>
      </c>
      <c r="L4206">
        <v>0</v>
      </c>
      <c r="M4206">
        <v>0.44502220851071339</v>
      </c>
      <c r="N4206">
        <v>0</v>
      </c>
      <c r="O4206">
        <v>0</v>
      </c>
      <c r="P4206">
        <v>0.4950183709086759</v>
      </c>
      <c r="Q4206">
        <v>0.95659782974993657</v>
      </c>
      <c r="R4206">
        <v>-2.9400822153072692</v>
      </c>
      <c r="S4206">
        <v>0.19446724714362679</v>
      </c>
      <c r="T4206">
        <v>0.15174763467295321</v>
      </c>
      <c r="U4206">
        <v>4.4286547017231142</v>
      </c>
      <c r="V4206">
        <v>0.20128359324518649</v>
      </c>
      <c r="W4206">
        <v>1.296359261072914</v>
      </c>
      <c r="X4206">
        <v>0.27366994799583338</v>
      </c>
      <c r="Z4206" t="s">
        <v>392</v>
      </c>
      <c r="AA4206">
        <v>161</v>
      </c>
      <c r="AB4206" t="s">
        <v>4597</v>
      </c>
      <c r="AC4206" t="str">
        <f>HYPERLINK("plots/3FT6Y578R04_015_S31P_20251219032831_M5358ACSA301811_RBGEUFRF04/dpll_52046/txpa_54182.png","plot")</f>
        <v>plot</v>
      </c>
    </row>
    <row r="4207" spans="1:29" x14ac:dyDescent="0.35">
      <c r="A4207" s="3" t="s">
        <v>50</v>
      </c>
      <c r="B4207">
        <v>52046</v>
      </c>
      <c r="C4207" t="s">
        <v>51</v>
      </c>
      <c r="D4207">
        <v>54183</v>
      </c>
      <c r="E4207" t="s">
        <v>203</v>
      </c>
      <c r="F4207">
        <v>11781</v>
      </c>
      <c r="G4207">
        <v>0.70324434441363526</v>
      </c>
      <c r="H4207">
        <v>0</v>
      </c>
      <c r="I4207">
        <v>0</v>
      </c>
      <c r="J4207">
        <v>0.6154461799445321</v>
      </c>
      <c r="K4207">
        <v>0</v>
      </c>
      <c r="L4207">
        <v>0</v>
      </c>
      <c r="M4207">
        <v>0.43866808920483491</v>
      </c>
      <c r="N4207">
        <v>0</v>
      </c>
      <c r="O4207">
        <v>0</v>
      </c>
      <c r="P4207">
        <v>0.49455260794976358</v>
      </c>
      <c r="Q4207">
        <v>0.95082583734443327</v>
      </c>
      <c r="R4207">
        <v>-2.935122064424843</v>
      </c>
      <c r="S4207">
        <v>0.19345538443718421</v>
      </c>
      <c r="T4207">
        <v>0.15128534877173561</v>
      </c>
      <c r="U4207">
        <v>4.4286210779220783</v>
      </c>
      <c r="V4207">
        <v>0.20126420786155011</v>
      </c>
      <c r="W4207">
        <v>1.2757252802716239</v>
      </c>
      <c r="X4207">
        <v>0.27212050902021018</v>
      </c>
      <c r="Z4207" t="s">
        <v>392</v>
      </c>
      <c r="AA4207">
        <v>161</v>
      </c>
      <c r="AB4207" t="s">
        <v>4598</v>
      </c>
      <c r="AC4207" t="str">
        <f>HYPERLINK("plots/3FT6Y578R04_015_S31P_20251219032831_M5358ACSA301811_RBGEUFRF04/dpll_52046/txpa_54183.png","plot")</f>
        <v>plot</v>
      </c>
    </row>
    <row r="4208" spans="1:29" x14ac:dyDescent="0.35">
      <c r="A4208" s="3" t="s">
        <v>50</v>
      </c>
      <c r="B4208">
        <v>52046</v>
      </c>
      <c r="C4208" t="s">
        <v>51</v>
      </c>
      <c r="D4208">
        <v>54184</v>
      </c>
      <c r="E4208" t="s">
        <v>204</v>
      </c>
      <c r="F4208">
        <v>11782</v>
      </c>
      <c r="G4208">
        <v>0.70862050179912162</v>
      </c>
      <c r="H4208">
        <v>0</v>
      </c>
      <c r="I4208">
        <v>0</v>
      </c>
      <c r="J4208">
        <v>0.63043876529369902</v>
      </c>
      <c r="K4208">
        <v>0</v>
      </c>
      <c r="L4208">
        <v>0</v>
      </c>
      <c r="M4208">
        <v>0.45154621447217891</v>
      </c>
      <c r="N4208">
        <v>0</v>
      </c>
      <c r="O4208">
        <v>0</v>
      </c>
      <c r="P4208">
        <v>0.50214301557003893</v>
      </c>
      <c r="Q4208">
        <v>0.96563415978637523</v>
      </c>
      <c r="R4208">
        <v>-2.9942605351422449</v>
      </c>
      <c r="S4208">
        <v>0.19351996857110401</v>
      </c>
      <c r="T4208">
        <v>0.15111250827589351</v>
      </c>
      <c r="U4208">
        <v>4.4286477380750293</v>
      </c>
      <c r="V4208">
        <v>0.20127646963296911</v>
      </c>
      <c r="W4208">
        <v>1.282193002403667</v>
      </c>
      <c r="X4208">
        <v>0.274278593612998</v>
      </c>
      <c r="Z4208" t="s">
        <v>392</v>
      </c>
      <c r="AA4208">
        <v>161</v>
      </c>
      <c r="AB4208" t="s">
        <v>4599</v>
      </c>
      <c r="AC4208" t="str">
        <f>HYPERLINK("plots/3FT6Y578R04_015_S31P_20251219032831_M5358ACSA301811_RBGEUFRF04/dpll_52046/txpa_54184.png","plot")</f>
        <v>plot</v>
      </c>
    </row>
    <row r="4209" spans="1:29" x14ac:dyDescent="0.35">
      <c r="A4209" s="3" t="s">
        <v>50</v>
      </c>
      <c r="B4209">
        <v>52046</v>
      </c>
      <c r="C4209" t="s">
        <v>51</v>
      </c>
      <c r="D4209">
        <v>54185</v>
      </c>
      <c r="E4209" t="s">
        <v>205</v>
      </c>
      <c r="F4209">
        <v>11782</v>
      </c>
      <c r="G4209">
        <v>0.70563188410844002</v>
      </c>
      <c r="H4209">
        <v>0</v>
      </c>
      <c r="I4209">
        <v>0</v>
      </c>
      <c r="J4209">
        <v>0.62095681043932061</v>
      </c>
      <c r="K4209">
        <v>0</v>
      </c>
      <c r="L4209">
        <v>0</v>
      </c>
      <c r="M4209">
        <v>0.44340307914918747</v>
      </c>
      <c r="N4209">
        <v>0</v>
      </c>
      <c r="O4209">
        <v>0</v>
      </c>
      <c r="P4209">
        <v>0.49791635587042687</v>
      </c>
      <c r="Q4209">
        <v>0.94862077774763265</v>
      </c>
      <c r="R4209">
        <v>-2.9148177014864882</v>
      </c>
      <c r="S4209">
        <v>0.1917242505300974</v>
      </c>
      <c r="T4209">
        <v>0.15049832490782189</v>
      </c>
      <c r="U4209">
        <v>4.4286477380750293</v>
      </c>
      <c r="V4209">
        <v>0.20127646963296911</v>
      </c>
      <c r="W4209">
        <v>1.2862895601765409</v>
      </c>
      <c r="X4209">
        <v>0.27058732104597238</v>
      </c>
      <c r="Z4209" t="s">
        <v>392</v>
      </c>
      <c r="AA4209">
        <v>161</v>
      </c>
      <c r="AB4209" t="s">
        <v>4600</v>
      </c>
      <c r="AC4209" t="str">
        <f>HYPERLINK("plots/3FT6Y578R04_015_S31P_20251219032831_M5358ACSA301811_RBGEUFRF04/dpll_52046/txpa_54185.png","plot")</f>
        <v>plot</v>
      </c>
    </row>
    <row r="4210" spans="1:29" x14ac:dyDescent="0.35">
      <c r="A4210" s="3" t="s">
        <v>50</v>
      </c>
      <c r="B4210">
        <v>52046</v>
      </c>
      <c r="C4210" t="s">
        <v>51</v>
      </c>
      <c r="D4210">
        <v>54186</v>
      </c>
      <c r="E4210" t="s">
        <v>206</v>
      </c>
      <c r="F4210">
        <v>11781</v>
      </c>
      <c r="G4210">
        <v>0.69483975938803866</v>
      </c>
      <c r="H4210">
        <v>0</v>
      </c>
      <c r="I4210">
        <v>0</v>
      </c>
      <c r="J4210">
        <v>0.61200273461204735</v>
      </c>
      <c r="K4210">
        <v>0</v>
      </c>
      <c r="L4210">
        <v>0</v>
      </c>
      <c r="M4210">
        <v>0.43741518642767391</v>
      </c>
      <c r="N4210">
        <v>0</v>
      </c>
      <c r="O4210">
        <v>0</v>
      </c>
      <c r="P4210">
        <v>0.48280229122642748</v>
      </c>
      <c r="Q4210">
        <v>0.9413987456545676</v>
      </c>
      <c r="R4210">
        <v>-2.9156447893728821</v>
      </c>
      <c r="S4210">
        <v>0.19610037359085641</v>
      </c>
      <c r="T4210">
        <v>0.15224527314156769</v>
      </c>
      <c r="U4210">
        <v>4.4286701896273666</v>
      </c>
      <c r="V4210">
        <v>0.20127025814248481</v>
      </c>
      <c r="W4210">
        <v>1.2534997720600971</v>
      </c>
      <c r="X4210">
        <v>0.27268958920799491</v>
      </c>
      <c r="Z4210" t="s">
        <v>392</v>
      </c>
      <c r="AA4210">
        <v>161</v>
      </c>
      <c r="AB4210" t="s">
        <v>4601</v>
      </c>
      <c r="AC4210" t="str">
        <f>HYPERLINK("plots/3FT6Y578R04_015_S31P_20251219032831_M5358ACSA301811_RBGEUFRF04/dpll_52046/txpa_54186.png","plot")</f>
        <v>plot</v>
      </c>
    </row>
    <row r="4211" spans="1:29" x14ac:dyDescent="0.35">
      <c r="A4211" s="3" t="s">
        <v>50</v>
      </c>
      <c r="B4211">
        <v>52046</v>
      </c>
      <c r="C4211" t="s">
        <v>51</v>
      </c>
      <c r="D4211">
        <v>54187</v>
      </c>
      <c r="E4211" t="s">
        <v>207</v>
      </c>
      <c r="F4211">
        <v>11782</v>
      </c>
      <c r="G4211">
        <v>0.70268032228351651</v>
      </c>
      <c r="H4211">
        <v>0</v>
      </c>
      <c r="I4211">
        <v>0</v>
      </c>
      <c r="J4211">
        <v>0.6340430021197343</v>
      </c>
      <c r="K4211">
        <v>0</v>
      </c>
      <c r="L4211">
        <v>0</v>
      </c>
      <c r="M4211">
        <v>0.45264071340054768</v>
      </c>
      <c r="N4211">
        <v>0</v>
      </c>
      <c r="O4211">
        <v>0</v>
      </c>
      <c r="P4211">
        <v>0.49375963532446671</v>
      </c>
      <c r="Q4211">
        <v>0.9905398096846596</v>
      </c>
      <c r="R4211">
        <v>-1.1396371157778651</v>
      </c>
      <c r="S4211">
        <v>0.20186782461820801</v>
      </c>
      <c r="T4211">
        <v>0.1544962049917718</v>
      </c>
      <c r="U4211">
        <v>4.4286477380750293</v>
      </c>
      <c r="V4211">
        <v>0.20127646963296911</v>
      </c>
      <c r="W4211">
        <v>3.2471147718553719</v>
      </c>
      <c r="X4211">
        <v>0.28373123538785938</v>
      </c>
      <c r="Z4211" t="s">
        <v>392</v>
      </c>
      <c r="AA4211">
        <v>161</v>
      </c>
      <c r="AB4211" t="s">
        <v>4602</v>
      </c>
      <c r="AC4211" t="str">
        <f>HYPERLINK("plots/3FT6Y578R04_015_S31P_20251219032831_M5358ACSA301811_RBGEUFRF04/dpll_52046/txpa_54187.png","plot")</f>
        <v>plot</v>
      </c>
    </row>
    <row r="4212" spans="1:29" x14ac:dyDescent="0.35">
      <c r="A4212" s="3" t="s">
        <v>50</v>
      </c>
      <c r="B4212">
        <v>52046</v>
      </c>
      <c r="C4212" t="s">
        <v>51</v>
      </c>
      <c r="D4212">
        <v>54188</v>
      </c>
      <c r="E4212" t="s">
        <v>208</v>
      </c>
      <c r="F4212">
        <v>11782</v>
      </c>
      <c r="G4212">
        <v>0.72507270828991266</v>
      </c>
      <c r="H4212">
        <v>0</v>
      </c>
      <c r="I4212">
        <v>0</v>
      </c>
      <c r="J4212">
        <v>0.6493096402609968</v>
      </c>
      <c r="K4212">
        <v>0</v>
      </c>
      <c r="L4212">
        <v>0</v>
      </c>
      <c r="M4212">
        <v>0.46782902800714848</v>
      </c>
      <c r="N4212">
        <v>0</v>
      </c>
      <c r="O4212">
        <v>0</v>
      </c>
      <c r="P4212">
        <v>0.52573043230686878</v>
      </c>
      <c r="Q4212">
        <v>1.02426149359562</v>
      </c>
      <c r="R4212">
        <v>-1.2545596745128711</v>
      </c>
      <c r="S4212">
        <v>0.19580171514012809</v>
      </c>
      <c r="T4212">
        <v>0.1519750882586163</v>
      </c>
      <c r="U4212">
        <v>4.4286477380750293</v>
      </c>
      <c r="V4212">
        <v>0.20127646963296911</v>
      </c>
      <c r="W4212">
        <v>3.2815336722967241</v>
      </c>
      <c r="X4212">
        <v>0.2843297438378935</v>
      </c>
      <c r="Z4212" t="s">
        <v>392</v>
      </c>
      <c r="AA4212">
        <v>161</v>
      </c>
      <c r="AB4212" t="s">
        <v>4603</v>
      </c>
      <c r="AC4212" t="str">
        <f>HYPERLINK("plots/3FT6Y578R04_015_S31P_20251219032831_M5358ACSA301811_RBGEUFRF04/dpll_52046/txpa_54188.png","plot")</f>
        <v>plot</v>
      </c>
    </row>
    <row r="4213" spans="1:29" x14ac:dyDescent="0.35">
      <c r="A4213" s="3" t="s">
        <v>50</v>
      </c>
      <c r="B4213">
        <v>52046</v>
      </c>
      <c r="C4213" t="s">
        <v>51</v>
      </c>
      <c r="D4213">
        <v>54189</v>
      </c>
      <c r="E4213" t="s">
        <v>209</v>
      </c>
      <c r="F4213">
        <v>11782</v>
      </c>
      <c r="G4213">
        <v>0.71568302724579524</v>
      </c>
      <c r="H4213">
        <v>0</v>
      </c>
      <c r="I4213">
        <v>0</v>
      </c>
      <c r="J4213">
        <v>0.63907856424680365</v>
      </c>
      <c r="K4213">
        <v>0</v>
      </c>
      <c r="L4213">
        <v>0</v>
      </c>
      <c r="M4213">
        <v>0.45871378198488572</v>
      </c>
      <c r="N4213">
        <v>0</v>
      </c>
      <c r="O4213">
        <v>0</v>
      </c>
      <c r="P4213">
        <v>0.51220219548770574</v>
      </c>
      <c r="Q4213">
        <v>0.99656403899308732</v>
      </c>
      <c r="R4213">
        <v>-1.123333750024502</v>
      </c>
      <c r="S4213">
        <v>0.19573973209088691</v>
      </c>
      <c r="T4213">
        <v>0.15127566555779931</v>
      </c>
      <c r="U4213">
        <v>4.4286477380750293</v>
      </c>
      <c r="V4213">
        <v>0.20127646963296911</v>
      </c>
      <c r="W4213">
        <v>3.2900973271091489</v>
      </c>
      <c r="X4213">
        <v>0.28027057216044882</v>
      </c>
      <c r="Z4213" t="s">
        <v>392</v>
      </c>
      <c r="AA4213">
        <v>161</v>
      </c>
      <c r="AB4213" t="s">
        <v>4604</v>
      </c>
      <c r="AC4213" t="str">
        <f>HYPERLINK("plots/3FT6Y578R04_015_S31P_20251219032831_M5358ACSA301811_RBGEUFRF04/dpll_52046/txpa_54189.png","plot")</f>
        <v>plot</v>
      </c>
    </row>
    <row r="4214" spans="1:29" x14ac:dyDescent="0.35">
      <c r="A4214" s="3" t="s">
        <v>50</v>
      </c>
      <c r="B4214">
        <v>52046</v>
      </c>
      <c r="C4214" t="s">
        <v>51</v>
      </c>
      <c r="D4214">
        <v>54190</v>
      </c>
      <c r="E4214" t="s">
        <v>210</v>
      </c>
      <c r="F4214">
        <v>11781</v>
      </c>
      <c r="G4214">
        <v>0.73236778108402822</v>
      </c>
      <c r="H4214">
        <v>0</v>
      </c>
      <c r="I4214">
        <v>0</v>
      </c>
      <c r="J4214">
        <v>0.65136086693710604</v>
      </c>
      <c r="K4214">
        <v>0</v>
      </c>
      <c r="L4214">
        <v>0</v>
      </c>
      <c r="M4214">
        <v>0.46972503788440201</v>
      </c>
      <c r="N4214">
        <v>0</v>
      </c>
      <c r="O4214">
        <v>0</v>
      </c>
      <c r="P4214">
        <v>0.53636256676994309</v>
      </c>
      <c r="Q4214">
        <v>1.027928425088946</v>
      </c>
      <c r="R4214">
        <v>-1.247921267642448</v>
      </c>
      <c r="S4214">
        <v>0.1923591440146557</v>
      </c>
      <c r="T4214">
        <v>0.15000306675893249</v>
      </c>
      <c r="U4214">
        <v>4.4286547017231142</v>
      </c>
      <c r="V4214">
        <v>0.20128359324518649</v>
      </c>
      <c r="W4214">
        <v>3.3044187851625502</v>
      </c>
      <c r="X4214">
        <v>0.28251533224811459</v>
      </c>
      <c r="Z4214" t="s">
        <v>392</v>
      </c>
      <c r="AA4214">
        <v>161</v>
      </c>
      <c r="AB4214" t="s">
        <v>4605</v>
      </c>
      <c r="AC4214" t="str">
        <f>HYPERLINK("plots/3FT6Y578R04_015_S31P_20251219032831_M5358ACSA301811_RBGEUFRF04/dpll_52046/txpa_54190.png","plot")</f>
        <v>plot</v>
      </c>
    </row>
    <row r="4215" spans="1:29" x14ac:dyDescent="0.35">
      <c r="A4215" s="3" t="s">
        <v>50</v>
      </c>
      <c r="B4215">
        <v>52046</v>
      </c>
      <c r="C4215" t="s">
        <v>51</v>
      </c>
      <c r="D4215">
        <v>54191</v>
      </c>
      <c r="E4215" t="s">
        <v>211</v>
      </c>
      <c r="F4215">
        <v>11781</v>
      </c>
      <c r="G4215">
        <v>0.73258233224355673</v>
      </c>
      <c r="H4215">
        <v>0</v>
      </c>
      <c r="I4215">
        <v>0</v>
      </c>
      <c r="J4215">
        <v>0.64565514660031997</v>
      </c>
      <c r="K4215">
        <v>0</v>
      </c>
      <c r="L4215">
        <v>0</v>
      </c>
      <c r="M4215">
        <v>0.46333593275359669</v>
      </c>
      <c r="N4215">
        <v>0</v>
      </c>
      <c r="O4215">
        <v>0</v>
      </c>
      <c r="P4215">
        <v>0.53667687351540894</v>
      </c>
      <c r="Q4215">
        <v>1.022611761865601</v>
      </c>
      <c r="R4215">
        <v>-1.246161047098139</v>
      </c>
      <c r="S4215">
        <v>0.19122490231062581</v>
      </c>
      <c r="T4215">
        <v>0.14942689337383039</v>
      </c>
      <c r="U4215">
        <v>4.4286210779220783</v>
      </c>
      <c r="V4215">
        <v>0.20126420786155011</v>
      </c>
      <c r="W4215">
        <v>3.2825989560308968</v>
      </c>
      <c r="X4215">
        <v>0.28094473091027039</v>
      </c>
      <c r="Z4215" t="s">
        <v>392</v>
      </c>
      <c r="AA4215">
        <v>161</v>
      </c>
      <c r="AB4215" t="s">
        <v>4606</v>
      </c>
      <c r="AC4215" t="str">
        <f>HYPERLINK("plots/3FT6Y578R04_015_S31P_20251219032831_M5358ACSA301811_RBGEUFRF04/dpll_52046/txpa_54191.png","plot")</f>
        <v>plot</v>
      </c>
    </row>
    <row r="4216" spans="1:29" x14ac:dyDescent="0.35">
      <c r="A4216" s="3" t="s">
        <v>50</v>
      </c>
      <c r="B4216">
        <v>52046</v>
      </c>
      <c r="C4216" t="s">
        <v>51</v>
      </c>
      <c r="D4216">
        <v>54192</v>
      </c>
      <c r="E4216" t="s">
        <v>212</v>
      </c>
      <c r="F4216">
        <v>11781</v>
      </c>
      <c r="G4216">
        <v>0.73901168194772127</v>
      </c>
      <c r="H4216">
        <v>0</v>
      </c>
      <c r="I4216">
        <v>0</v>
      </c>
      <c r="J4216">
        <v>0.66052204994214991</v>
      </c>
      <c r="K4216">
        <v>0</v>
      </c>
      <c r="L4216">
        <v>0</v>
      </c>
      <c r="M4216">
        <v>0.47657628232427351</v>
      </c>
      <c r="N4216">
        <v>0</v>
      </c>
      <c r="O4216">
        <v>0</v>
      </c>
      <c r="P4216">
        <v>0.54613826605519988</v>
      </c>
      <c r="Q4216">
        <v>1.0398919499641439</v>
      </c>
      <c r="R4216">
        <v>-1.312895762208147</v>
      </c>
      <c r="S4216">
        <v>0.19078337770415851</v>
      </c>
      <c r="T4216">
        <v>0.1493463955994552</v>
      </c>
      <c r="U4216">
        <v>4.4286192746795683</v>
      </c>
      <c r="V4216">
        <v>0.20126129812424351</v>
      </c>
      <c r="W4216">
        <v>3.292389770987183</v>
      </c>
      <c r="X4216">
        <v>0.28320256481891443</v>
      </c>
      <c r="Z4216" t="s">
        <v>392</v>
      </c>
      <c r="AA4216">
        <v>161</v>
      </c>
      <c r="AB4216" t="s">
        <v>4607</v>
      </c>
      <c r="AC4216" t="str">
        <f>HYPERLINK("plots/3FT6Y578R04_015_S31P_20251219032831_M5358ACSA301811_RBGEUFRF04/dpll_52046/txpa_54192.png","plot")</f>
        <v>plot</v>
      </c>
    </row>
    <row r="4217" spans="1:29" x14ac:dyDescent="0.35">
      <c r="A4217" s="3" t="s">
        <v>50</v>
      </c>
      <c r="B4217">
        <v>52046</v>
      </c>
      <c r="C4217" t="s">
        <v>51</v>
      </c>
      <c r="D4217">
        <v>54193</v>
      </c>
      <c r="E4217" t="s">
        <v>213</v>
      </c>
      <c r="F4217">
        <v>11782</v>
      </c>
      <c r="G4217">
        <v>0.73454635652156752</v>
      </c>
      <c r="H4217">
        <v>0</v>
      </c>
      <c r="I4217">
        <v>0</v>
      </c>
      <c r="J4217">
        <v>0.65048419040331196</v>
      </c>
      <c r="K4217">
        <v>0</v>
      </c>
      <c r="L4217">
        <v>0</v>
      </c>
      <c r="M4217">
        <v>0.46784064660924229</v>
      </c>
      <c r="N4217">
        <v>0</v>
      </c>
      <c r="O4217">
        <v>0</v>
      </c>
      <c r="P4217">
        <v>0.53955834987910978</v>
      </c>
      <c r="Q4217">
        <v>1.0220893794151791</v>
      </c>
      <c r="R4217">
        <v>-1.2303107877024571</v>
      </c>
      <c r="S4217">
        <v>0.19003410184800301</v>
      </c>
      <c r="T4217">
        <v>0.14921266438091749</v>
      </c>
      <c r="U4217">
        <v>4.4286477380750293</v>
      </c>
      <c r="V4217">
        <v>0.20127646963296911</v>
      </c>
      <c r="W4217">
        <v>3.2961630305550842</v>
      </c>
      <c r="X4217">
        <v>0.28006747308942531</v>
      </c>
      <c r="Z4217" t="s">
        <v>392</v>
      </c>
      <c r="AA4217">
        <v>161</v>
      </c>
      <c r="AB4217" t="s">
        <v>4608</v>
      </c>
      <c r="AC4217" t="str">
        <f>HYPERLINK("plots/3FT6Y578R04_015_S31P_20251219032831_M5358ACSA301811_RBGEUFRF04/dpll_52046/txpa_54193.png","plot")</f>
        <v>plot</v>
      </c>
    </row>
    <row r="4218" spans="1:29" x14ac:dyDescent="0.35">
      <c r="A4218" s="3" t="s">
        <v>50</v>
      </c>
      <c r="B4218">
        <v>52046</v>
      </c>
      <c r="C4218" t="s">
        <v>51</v>
      </c>
      <c r="D4218">
        <v>54194</v>
      </c>
      <c r="E4218" t="s">
        <v>214</v>
      </c>
      <c r="F4218">
        <v>11781</v>
      </c>
      <c r="G4218">
        <v>0.72515077720655585</v>
      </c>
      <c r="H4218">
        <v>0</v>
      </c>
      <c r="I4218">
        <v>0</v>
      </c>
      <c r="J4218">
        <v>0.64292563680860249</v>
      </c>
      <c r="K4218">
        <v>0</v>
      </c>
      <c r="L4218">
        <v>0</v>
      </c>
      <c r="M4218">
        <v>0.46269316119431758</v>
      </c>
      <c r="N4218">
        <v>0</v>
      </c>
      <c r="O4218">
        <v>0</v>
      </c>
      <c r="P4218">
        <v>0.52584364968327202</v>
      </c>
      <c r="Q4218">
        <v>1.0145731799702531</v>
      </c>
      <c r="R4218">
        <v>-1.2275871299160701</v>
      </c>
      <c r="S4218">
        <v>0.19389964653917549</v>
      </c>
      <c r="T4218">
        <v>0.15039198666915149</v>
      </c>
      <c r="U4218">
        <v>4.4286701896273666</v>
      </c>
      <c r="V4218">
        <v>0.20127025814248481</v>
      </c>
      <c r="W4218">
        <v>3.2656228674136321</v>
      </c>
      <c r="X4218">
        <v>0.28160130590177701</v>
      </c>
      <c r="Z4218" t="s">
        <v>392</v>
      </c>
      <c r="AA4218">
        <v>161</v>
      </c>
      <c r="AB4218" t="s">
        <v>4609</v>
      </c>
      <c r="AC4218" t="str">
        <f>HYPERLINK("plots/3FT6Y578R04_015_S31P_20251219032831_M5358ACSA301811_RBGEUFRF04/dpll_52046/txpa_54194.png","plot")</f>
        <v>plot</v>
      </c>
    </row>
    <row r="4219" spans="1:29" x14ac:dyDescent="0.35">
      <c r="A4219" s="3" t="s">
        <v>50</v>
      </c>
      <c r="B4219">
        <v>52046</v>
      </c>
      <c r="C4219" t="s">
        <v>51</v>
      </c>
      <c r="D4219">
        <v>54195</v>
      </c>
      <c r="E4219" t="s">
        <v>215</v>
      </c>
      <c r="F4219">
        <v>11782</v>
      </c>
      <c r="G4219">
        <v>0.73983846490544269</v>
      </c>
      <c r="H4219">
        <v>0</v>
      </c>
      <c r="I4219">
        <v>0</v>
      </c>
      <c r="J4219">
        <v>0.66650627600652734</v>
      </c>
      <c r="K4219">
        <v>0</v>
      </c>
      <c r="L4219">
        <v>0</v>
      </c>
      <c r="M4219">
        <v>0.47996944537599329</v>
      </c>
      <c r="N4219">
        <v>0</v>
      </c>
      <c r="O4219">
        <v>0</v>
      </c>
      <c r="P4219">
        <v>0.54736095415364194</v>
      </c>
      <c r="Q4219">
        <v>1.105933227788173</v>
      </c>
      <c r="R4219">
        <v>0.76647431696202872</v>
      </c>
      <c r="S4219">
        <v>0.20241494841864829</v>
      </c>
      <c r="T4219">
        <v>0.15426766240479789</v>
      </c>
      <c r="U4219">
        <v>4.4286477380750293</v>
      </c>
      <c r="V4219">
        <v>0.20127646963296911</v>
      </c>
      <c r="W4219">
        <v>5.6642630046681388</v>
      </c>
      <c r="X4219">
        <v>0.30087423984835338</v>
      </c>
      <c r="Z4219" t="s">
        <v>392</v>
      </c>
      <c r="AA4219">
        <v>161</v>
      </c>
      <c r="AB4219" t="s">
        <v>4610</v>
      </c>
      <c r="AC4219" t="str">
        <f>HYPERLINK("plots/3FT6Y578R04_015_S31P_20251219032831_M5358ACSA301811_RBGEUFRF04/dpll_52046/txpa_54195.png","plot")</f>
        <v>plot</v>
      </c>
    </row>
    <row r="4220" spans="1:29" x14ac:dyDescent="0.35">
      <c r="A4220" s="3" t="s">
        <v>50</v>
      </c>
      <c r="B4220">
        <v>52046</v>
      </c>
      <c r="C4220" t="s">
        <v>51</v>
      </c>
      <c r="D4220">
        <v>54196</v>
      </c>
      <c r="E4220" t="s">
        <v>216</v>
      </c>
      <c r="F4220">
        <v>11782</v>
      </c>
      <c r="G4220">
        <v>0.75949602233967828</v>
      </c>
      <c r="H4220">
        <v>0</v>
      </c>
      <c r="I4220">
        <v>0</v>
      </c>
      <c r="J4220">
        <v>0.67963738432414145</v>
      </c>
      <c r="K4220">
        <v>0</v>
      </c>
      <c r="L4220">
        <v>0</v>
      </c>
      <c r="M4220">
        <v>0.49396114486750098</v>
      </c>
      <c r="N4220">
        <v>0</v>
      </c>
      <c r="O4220">
        <v>0</v>
      </c>
      <c r="P4220">
        <v>0.57683420794979312</v>
      </c>
      <c r="Q4220">
        <v>1.137499045807338</v>
      </c>
      <c r="R4220">
        <v>0.66074475134123034</v>
      </c>
      <c r="S4220">
        <v>0.1960899739859287</v>
      </c>
      <c r="T4220">
        <v>0.1517473972433161</v>
      </c>
      <c r="U4220">
        <v>4.4286477380750293</v>
      </c>
      <c r="V4220">
        <v>0.20127646963296911</v>
      </c>
      <c r="W4220">
        <v>5.6983273276184008</v>
      </c>
      <c r="X4220">
        <v>0.3014522596782937</v>
      </c>
      <c r="Z4220" t="s">
        <v>392</v>
      </c>
      <c r="AA4220">
        <v>161</v>
      </c>
      <c r="AB4220" t="s">
        <v>4611</v>
      </c>
      <c r="AC4220" t="str">
        <f>HYPERLINK("plots/3FT6Y578R04_015_S31P_20251219032831_M5358ACSA301811_RBGEUFRF04/dpll_52046/txpa_54196.png","plot")</f>
        <v>plot</v>
      </c>
    </row>
    <row r="4221" spans="1:29" x14ac:dyDescent="0.35">
      <c r="A4221" s="3" t="s">
        <v>50</v>
      </c>
      <c r="B4221">
        <v>52046</v>
      </c>
      <c r="C4221" t="s">
        <v>51</v>
      </c>
      <c r="D4221">
        <v>54197</v>
      </c>
      <c r="E4221" t="s">
        <v>217</v>
      </c>
      <c r="F4221">
        <v>11782</v>
      </c>
      <c r="G4221">
        <v>0.75138340049057939</v>
      </c>
      <c r="H4221">
        <v>0</v>
      </c>
      <c r="I4221">
        <v>0</v>
      </c>
      <c r="J4221">
        <v>0.67063322976717832</v>
      </c>
      <c r="K4221">
        <v>0</v>
      </c>
      <c r="L4221">
        <v>0</v>
      </c>
      <c r="M4221">
        <v>0.48550186575485821</v>
      </c>
      <c r="N4221">
        <v>0</v>
      </c>
      <c r="O4221">
        <v>0</v>
      </c>
      <c r="P4221">
        <v>0.56457701453278641</v>
      </c>
      <c r="Q4221">
        <v>1.109871480466583</v>
      </c>
      <c r="R4221">
        <v>0.79249283159260475</v>
      </c>
      <c r="S4221">
        <v>0.1961739542229696</v>
      </c>
      <c r="T4221">
        <v>0.15096626836229571</v>
      </c>
      <c r="U4221">
        <v>4.4286477380750293</v>
      </c>
      <c r="V4221">
        <v>0.20127646963296911</v>
      </c>
      <c r="W4221">
        <v>5.7077226531149208</v>
      </c>
      <c r="X4221">
        <v>0.29730629288426941</v>
      </c>
      <c r="Z4221" t="s">
        <v>392</v>
      </c>
      <c r="AA4221">
        <v>161</v>
      </c>
      <c r="AB4221" t="s">
        <v>4612</v>
      </c>
      <c r="AC4221" t="str">
        <f>HYPERLINK("plots/3FT6Y578R04_015_S31P_20251219032831_M5358ACSA301811_RBGEUFRF04/dpll_52046/txpa_54197.png","plot")</f>
        <v>plot</v>
      </c>
    </row>
    <row r="4222" spans="1:29" x14ac:dyDescent="0.35">
      <c r="A4222" s="3" t="s">
        <v>50</v>
      </c>
      <c r="B4222">
        <v>52046</v>
      </c>
      <c r="C4222" t="s">
        <v>51</v>
      </c>
      <c r="D4222">
        <v>54198</v>
      </c>
      <c r="E4222" t="s">
        <v>218</v>
      </c>
      <c r="F4222">
        <v>11781</v>
      </c>
      <c r="G4222">
        <v>0.76643778647435745</v>
      </c>
      <c r="H4222">
        <v>0</v>
      </c>
      <c r="I4222">
        <v>0</v>
      </c>
      <c r="J4222">
        <v>0.68188904198422495</v>
      </c>
      <c r="K4222">
        <v>0</v>
      </c>
      <c r="L4222">
        <v>0</v>
      </c>
      <c r="M4222">
        <v>0.4959501245532576</v>
      </c>
      <c r="N4222">
        <v>0</v>
      </c>
      <c r="O4222">
        <v>0</v>
      </c>
      <c r="P4222">
        <v>0.58742688053571279</v>
      </c>
      <c r="Q4222">
        <v>1.140287089763234</v>
      </c>
      <c r="R4222">
        <v>0.66853394681232015</v>
      </c>
      <c r="S4222">
        <v>0.1923435855838769</v>
      </c>
      <c r="T4222">
        <v>0.1495667171934732</v>
      </c>
      <c r="U4222">
        <v>4.4286547017231142</v>
      </c>
      <c r="V4222">
        <v>0.20128359324518649</v>
      </c>
      <c r="W4222">
        <v>5.7184717282064339</v>
      </c>
      <c r="X4222">
        <v>0.29946472735177371</v>
      </c>
      <c r="Z4222" t="s">
        <v>392</v>
      </c>
      <c r="AA4222">
        <v>161</v>
      </c>
      <c r="AB4222" t="s">
        <v>4613</v>
      </c>
      <c r="AC4222" t="str">
        <f>HYPERLINK("plots/3FT6Y578R04_015_S31P_20251219032831_M5358ACSA301811_RBGEUFRF04/dpll_52046/txpa_54198.png","plot")</f>
        <v>plot</v>
      </c>
    </row>
    <row r="4223" spans="1:29" x14ac:dyDescent="0.35">
      <c r="A4223" s="3" t="s">
        <v>50</v>
      </c>
      <c r="B4223">
        <v>52046</v>
      </c>
      <c r="C4223" t="s">
        <v>51</v>
      </c>
      <c r="D4223">
        <v>54199</v>
      </c>
      <c r="E4223" t="s">
        <v>219</v>
      </c>
      <c r="F4223">
        <v>11781</v>
      </c>
      <c r="G4223">
        <v>0.76750251174600626</v>
      </c>
      <c r="H4223">
        <v>0</v>
      </c>
      <c r="I4223">
        <v>0</v>
      </c>
      <c r="J4223">
        <v>0.6775069196196436</v>
      </c>
      <c r="K4223">
        <v>0</v>
      </c>
      <c r="L4223">
        <v>0</v>
      </c>
      <c r="M4223">
        <v>0.49060658018647701</v>
      </c>
      <c r="N4223">
        <v>0</v>
      </c>
      <c r="O4223">
        <v>0</v>
      </c>
      <c r="P4223">
        <v>0.58906010553642851</v>
      </c>
      <c r="Q4223">
        <v>1.1363624045947209</v>
      </c>
      <c r="R4223">
        <v>0.66310199678450932</v>
      </c>
      <c r="S4223">
        <v>0.19101801149492861</v>
      </c>
      <c r="T4223">
        <v>0.14884199294912021</v>
      </c>
      <c r="U4223">
        <v>4.4286210779220783</v>
      </c>
      <c r="V4223">
        <v>0.20126420786155011</v>
      </c>
      <c r="W4223">
        <v>5.6956204939309067</v>
      </c>
      <c r="X4223">
        <v>0.29799131039207688</v>
      </c>
      <c r="Z4223" t="s">
        <v>392</v>
      </c>
      <c r="AA4223">
        <v>161</v>
      </c>
      <c r="AB4223" t="s">
        <v>4614</v>
      </c>
      <c r="AC4223" t="str">
        <f>HYPERLINK("plots/3FT6Y578R04_015_S31P_20251219032831_M5358ACSA301811_RBGEUFRF04/dpll_52046/txpa_54199.png","plot")</f>
        <v>plot</v>
      </c>
    </row>
    <row r="4224" spans="1:29" x14ac:dyDescent="0.35">
      <c r="A4224" s="3" t="s">
        <v>50</v>
      </c>
      <c r="B4224">
        <v>52046</v>
      </c>
      <c r="C4224" t="s">
        <v>51</v>
      </c>
      <c r="D4224">
        <v>54200</v>
      </c>
      <c r="E4224" t="s">
        <v>220</v>
      </c>
      <c r="F4224">
        <v>11781</v>
      </c>
      <c r="G4224">
        <v>0.77233693107422741</v>
      </c>
      <c r="H4224">
        <v>0</v>
      </c>
      <c r="I4224">
        <v>0</v>
      </c>
      <c r="J4224">
        <v>0.69002484710428336</v>
      </c>
      <c r="K4224">
        <v>0</v>
      </c>
      <c r="L4224">
        <v>0</v>
      </c>
      <c r="M4224">
        <v>0.50234398987371931</v>
      </c>
      <c r="N4224">
        <v>0</v>
      </c>
      <c r="O4224">
        <v>0</v>
      </c>
      <c r="P4224">
        <v>0.59650433510115586</v>
      </c>
      <c r="Q4224">
        <v>1.1530565045985539</v>
      </c>
      <c r="R4224">
        <v>0.6015680888256032</v>
      </c>
      <c r="S4224">
        <v>0.19085566763293549</v>
      </c>
      <c r="T4224">
        <v>0.14896723036773341</v>
      </c>
      <c r="U4224">
        <v>4.4286192746795683</v>
      </c>
      <c r="V4224">
        <v>0.20126129812424351</v>
      </c>
      <c r="W4224">
        <v>5.7080163498854093</v>
      </c>
      <c r="X4224">
        <v>0.30047203440515591</v>
      </c>
      <c r="Z4224" t="s">
        <v>392</v>
      </c>
      <c r="AA4224">
        <v>161</v>
      </c>
      <c r="AB4224" t="s">
        <v>4615</v>
      </c>
      <c r="AC4224" t="str">
        <f>HYPERLINK("plots/3FT6Y578R04_015_S31P_20251219032831_M5358ACSA301811_RBGEUFRF04/dpll_52046/txpa_54200.png","plot")</f>
        <v>plot</v>
      </c>
    </row>
    <row r="4225" spans="1:29" x14ac:dyDescent="0.35">
      <c r="A4225" s="3" t="s">
        <v>50</v>
      </c>
      <c r="B4225">
        <v>52046</v>
      </c>
      <c r="C4225" t="s">
        <v>51</v>
      </c>
      <c r="D4225">
        <v>54201</v>
      </c>
      <c r="E4225" t="s">
        <v>221</v>
      </c>
      <c r="F4225">
        <v>11782</v>
      </c>
      <c r="G4225">
        <v>0.76833815001060668</v>
      </c>
      <c r="H4225">
        <v>0</v>
      </c>
      <c r="I4225">
        <v>0</v>
      </c>
      <c r="J4225">
        <v>0.68026425175494731</v>
      </c>
      <c r="K4225">
        <v>0</v>
      </c>
      <c r="L4225">
        <v>0</v>
      </c>
      <c r="M4225">
        <v>0.49367740169832652</v>
      </c>
      <c r="N4225">
        <v>0</v>
      </c>
      <c r="O4225">
        <v>0</v>
      </c>
      <c r="P4225">
        <v>0.59034351276172159</v>
      </c>
      <c r="Q4225">
        <v>1.13534961421132</v>
      </c>
      <c r="R4225">
        <v>0.68415670492111857</v>
      </c>
      <c r="S4225">
        <v>0.19035387084174821</v>
      </c>
      <c r="T4225">
        <v>0.14900317153701989</v>
      </c>
      <c r="U4225">
        <v>4.4286477380750293</v>
      </c>
      <c r="V4225">
        <v>0.20127646963296911</v>
      </c>
      <c r="W4225">
        <v>5.7122202058224403</v>
      </c>
      <c r="X4225">
        <v>0.29742003848755039</v>
      </c>
      <c r="Z4225" t="s">
        <v>392</v>
      </c>
      <c r="AA4225">
        <v>161</v>
      </c>
      <c r="AB4225" t="s">
        <v>4616</v>
      </c>
      <c r="AC4225" t="str">
        <f>HYPERLINK("plots/3FT6Y578R04_015_S31P_20251219032831_M5358ACSA301811_RBGEUFRF04/dpll_52046/txpa_54201.png","plot")</f>
        <v>plot</v>
      </c>
    </row>
    <row r="4226" spans="1:29" x14ac:dyDescent="0.35">
      <c r="A4226" s="3" t="s">
        <v>50</v>
      </c>
      <c r="B4226">
        <v>52046</v>
      </c>
      <c r="C4226" t="s">
        <v>51</v>
      </c>
      <c r="D4226">
        <v>54202</v>
      </c>
      <c r="E4226" t="s">
        <v>222</v>
      </c>
      <c r="F4226">
        <v>11781</v>
      </c>
      <c r="G4226">
        <v>0.76070605304534111</v>
      </c>
      <c r="H4226">
        <v>0</v>
      </c>
      <c r="I4226">
        <v>0</v>
      </c>
      <c r="J4226">
        <v>0.67401581648295628</v>
      </c>
      <c r="K4226">
        <v>0</v>
      </c>
      <c r="L4226">
        <v>0</v>
      </c>
      <c r="M4226">
        <v>0.48931655268974822</v>
      </c>
      <c r="N4226">
        <v>0</v>
      </c>
      <c r="O4226">
        <v>0</v>
      </c>
      <c r="P4226">
        <v>0.57867369913982136</v>
      </c>
      <c r="Q4226">
        <v>1.129165732808022</v>
      </c>
      <c r="R4226">
        <v>0.68316137614466488</v>
      </c>
      <c r="S4226">
        <v>0.19391494169757881</v>
      </c>
      <c r="T4226">
        <v>0.14990044790555879</v>
      </c>
      <c r="U4226">
        <v>4.4286701896273666</v>
      </c>
      <c r="V4226">
        <v>0.20127025814248481</v>
      </c>
      <c r="W4226">
        <v>5.6838639961802908</v>
      </c>
      <c r="X4226">
        <v>0.29875860408642319</v>
      </c>
      <c r="Z4226" t="s">
        <v>392</v>
      </c>
      <c r="AA4226">
        <v>161</v>
      </c>
      <c r="AB4226" t="s">
        <v>4617</v>
      </c>
      <c r="AC4226" t="str">
        <f>HYPERLINK("plots/3FT6Y578R04_015_S31P_20251219032831_M5358ACSA301811_RBGEUFRF04/dpll_52046/txpa_54202.png","plot")</f>
        <v>plot</v>
      </c>
    </row>
    <row r="4227" spans="1:29" x14ac:dyDescent="0.35">
      <c r="A4227" s="3" t="s">
        <v>50</v>
      </c>
      <c r="B4227">
        <v>52046</v>
      </c>
      <c r="C4227" t="s">
        <v>51</v>
      </c>
      <c r="D4227">
        <v>54203</v>
      </c>
      <c r="E4227" t="s">
        <v>223</v>
      </c>
      <c r="F4227">
        <v>11782</v>
      </c>
      <c r="G4227">
        <v>0.75286857111957839</v>
      </c>
      <c r="H4227">
        <v>0</v>
      </c>
      <c r="I4227">
        <v>0</v>
      </c>
      <c r="J4227">
        <v>0.67631465958125747</v>
      </c>
      <c r="K4227">
        <v>0</v>
      </c>
      <c r="L4227">
        <v>0</v>
      </c>
      <c r="M4227">
        <v>0.48836075833348108</v>
      </c>
      <c r="N4227">
        <v>0</v>
      </c>
      <c r="O4227">
        <v>0</v>
      </c>
      <c r="P4227">
        <v>0.56681108537963565</v>
      </c>
      <c r="Q4227">
        <v>1.1620657617686041</v>
      </c>
      <c r="R4227">
        <v>1.5826466821924099</v>
      </c>
      <c r="S4227">
        <v>0.20446773228648921</v>
      </c>
      <c r="T4227">
        <v>0.15545434609682501</v>
      </c>
      <c r="U4227">
        <v>4.4286477380750293</v>
      </c>
      <c r="V4227">
        <v>0.20127646963296911</v>
      </c>
      <c r="W4227">
        <v>6.7290265895433734</v>
      </c>
      <c r="X4227">
        <v>0.31067373905953832</v>
      </c>
      <c r="Z4227" t="s">
        <v>392</v>
      </c>
      <c r="AA4227">
        <v>161</v>
      </c>
      <c r="AB4227" t="s">
        <v>4618</v>
      </c>
      <c r="AC4227" t="str">
        <f>HYPERLINK("plots/3FT6Y578R04_015_S31P_20251219032831_M5358ACSA301811_RBGEUFRF04/dpll_52046/txpa_54203.png","plot")</f>
        <v>plot</v>
      </c>
    </row>
    <row r="4228" spans="1:29" x14ac:dyDescent="0.35">
      <c r="A4228" s="3" t="s">
        <v>50</v>
      </c>
      <c r="B4228">
        <v>52046</v>
      </c>
      <c r="C4228" t="s">
        <v>51</v>
      </c>
      <c r="D4228">
        <v>54204</v>
      </c>
      <c r="E4228" t="s">
        <v>224</v>
      </c>
      <c r="F4228">
        <v>11782</v>
      </c>
      <c r="G4228">
        <v>0.77134709931126733</v>
      </c>
      <c r="H4228">
        <v>0</v>
      </c>
      <c r="I4228">
        <v>0</v>
      </c>
      <c r="J4228">
        <v>0.68883617387697538</v>
      </c>
      <c r="K4228">
        <v>0</v>
      </c>
      <c r="L4228">
        <v>0</v>
      </c>
      <c r="M4228">
        <v>0.50201335967092509</v>
      </c>
      <c r="N4228">
        <v>0</v>
      </c>
      <c r="O4228">
        <v>0</v>
      </c>
      <c r="P4228">
        <v>0.59497634761590612</v>
      </c>
      <c r="Q4228">
        <v>1.192945918830282</v>
      </c>
      <c r="R4228">
        <v>1.479253461343</v>
      </c>
      <c r="S4228">
        <v>0.1981005462444565</v>
      </c>
      <c r="T4228">
        <v>0.15296566584119539</v>
      </c>
      <c r="U4228">
        <v>4.4286477380750293</v>
      </c>
      <c r="V4228">
        <v>0.20127646963296911</v>
      </c>
      <c r="W4228">
        <v>6.7623907064165678</v>
      </c>
      <c r="X4228">
        <v>0.31128909827963652</v>
      </c>
      <c r="Z4228" t="s">
        <v>392</v>
      </c>
      <c r="AA4228">
        <v>161</v>
      </c>
      <c r="AB4228" t="s">
        <v>4619</v>
      </c>
      <c r="AC4228" t="str">
        <f>HYPERLINK("plots/3FT6Y578R04_015_S31P_20251219032831_M5358ACSA301811_RBGEUFRF04/dpll_52046/txpa_54204.png","plot")</f>
        <v>plot</v>
      </c>
    </row>
    <row r="4229" spans="1:29" x14ac:dyDescent="0.35">
      <c r="A4229" s="3" t="s">
        <v>50</v>
      </c>
      <c r="B4229">
        <v>52046</v>
      </c>
      <c r="C4229" t="s">
        <v>51</v>
      </c>
      <c r="D4229">
        <v>54205</v>
      </c>
      <c r="E4229" t="s">
        <v>225</v>
      </c>
      <c r="F4229">
        <v>11782</v>
      </c>
      <c r="G4229">
        <v>0.76406140596512706</v>
      </c>
      <c r="H4229">
        <v>0</v>
      </c>
      <c r="I4229">
        <v>0</v>
      </c>
      <c r="J4229">
        <v>0.6803987439036242</v>
      </c>
      <c r="K4229">
        <v>0</v>
      </c>
      <c r="L4229">
        <v>0</v>
      </c>
      <c r="M4229">
        <v>0.49390716763752479</v>
      </c>
      <c r="N4229">
        <v>0</v>
      </c>
      <c r="O4229">
        <v>0</v>
      </c>
      <c r="P4229">
        <v>0.58378983208540669</v>
      </c>
      <c r="Q4229">
        <v>1.166164630264418</v>
      </c>
      <c r="R4229">
        <v>1.6077091612817931</v>
      </c>
      <c r="S4229">
        <v>0.19818123016447509</v>
      </c>
      <c r="T4229">
        <v>0.15208613460014531</v>
      </c>
      <c r="U4229">
        <v>4.4286477380750293</v>
      </c>
      <c r="V4229">
        <v>0.20127646963296911</v>
      </c>
      <c r="W4229">
        <v>6.7722415133254126</v>
      </c>
      <c r="X4229">
        <v>0.3072024027885159</v>
      </c>
      <c r="Z4229" t="s">
        <v>392</v>
      </c>
      <c r="AA4229">
        <v>161</v>
      </c>
      <c r="AB4229" t="s">
        <v>4620</v>
      </c>
      <c r="AC4229" t="str">
        <f>HYPERLINK("plots/3FT6Y578R04_015_S31P_20251219032831_M5358ACSA301811_RBGEUFRF04/dpll_52046/txpa_54205.png","plot")</f>
        <v>plot</v>
      </c>
    </row>
    <row r="4230" spans="1:29" x14ac:dyDescent="0.35">
      <c r="A4230" s="3" t="s">
        <v>50</v>
      </c>
      <c r="B4230">
        <v>52046</v>
      </c>
      <c r="C4230" t="s">
        <v>51</v>
      </c>
      <c r="D4230">
        <v>54206</v>
      </c>
      <c r="E4230" t="s">
        <v>226</v>
      </c>
      <c r="F4230">
        <v>11781</v>
      </c>
      <c r="G4230">
        <v>0.77825356507255716</v>
      </c>
      <c r="H4230">
        <v>0</v>
      </c>
      <c r="I4230">
        <v>0</v>
      </c>
      <c r="J4230">
        <v>0.6913413780868144</v>
      </c>
      <c r="K4230">
        <v>0</v>
      </c>
      <c r="L4230">
        <v>0</v>
      </c>
      <c r="M4230">
        <v>0.50418521903986102</v>
      </c>
      <c r="N4230">
        <v>0</v>
      </c>
      <c r="O4230">
        <v>0</v>
      </c>
      <c r="P4230">
        <v>0.60567861154814495</v>
      </c>
      <c r="Q4230">
        <v>1.1960376653861871</v>
      </c>
      <c r="R4230">
        <v>1.484999235957825</v>
      </c>
      <c r="S4230">
        <v>0.19424008028361911</v>
      </c>
      <c r="T4230">
        <v>0.15074256479339809</v>
      </c>
      <c r="U4230">
        <v>4.4286547017231142</v>
      </c>
      <c r="V4230">
        <v>0.20128359324518649</v>
      </c>
      <c r="W4230">
        <v>6.7818370662083014</v>
      </c>
      <c r="X4230">
        <v>0.30933717460461779</v>
      </c>
      <c r="Z4230" t="s">
        <v>392</v>
      </c>
      <c r="AA4230">
        <v>161</v>
      </c>
      <c r="AB4230" t="s">
        <v>4621</v>
      </c>
      <c r="AC4230" t="str">
        <f>HYPERLINK("plots/3FT6Y578R04_015_S31P_20251219032831_M5358ACSA301811_RBGEUFRF04/dpll_52046/txpa_54206.png","plot")</f>
        <v>plot</v>
      </c>
    </row>
    <row r="4231" spans="1:29" x14ac:dyDescent="0.35">
      <c r="A4231" s="3" t="s">
        <v>50</v>
      </c>
      <c r="B4231">
        <v>52046</v>
      </c>
      <c r="C4231" t="s">
        <v>51</v>
      </c>
      <c r="D4231">
        <v>54207</v>
      </c>
      <c r="E4231" t="s">
        <v>227</v>
      </c>
      <c r="F4231">
        <v>11781</v>
      </c>
      <c r="G4231">
        <v>0.77968982101213247</v>
      </c>
      <c r="H4231">
        <v>0</v>
      </c>
      <c r="I4231">
        <v>0</v>
      </c>
      <c r="J4231">
        <v>0.68715691627062958</v>
      </c>
      <c r="K4231">
        <v>0</v>
      </c>
      <c r="L4231">
        <v>0</v>
      </c>
      <c r="M4231">
        <v>0.49898815341342662</v>
      </c>
      <c r="N4231">
        <v>0</v>
      </c>
      <c r="O4231">
        <v>0</v>
      </c>
      <c r="P4231">
        <v>0.60791621698993115</v>
      </c>
      <c r="Q4231">
        <v>1.1929907581320169</v>
      </c>
      <c r="R4231">
        <v>1.4751258463642349</v>
      </c>
      <c r="S4231">
        <v>0.19282030712141959</v>
      </c>
      <c r="T4231">
        <v>0.14997976687887141</v>
      </c>
      <c r="U4231">
        <v>4.4286210779220783</v>
      </c>
      <c r="V4231">
        <v>0.20126420786155011</v>
      </c>
      <c r="W4231">
        <v>6.7584298635939239</v>
      </c>
      <c r="X4231">
        <v>0.30795110241390988</v>
      </c>
      <c r="Z4231" t="s">
        <v>392</v>
      </c>
      <c r="AA4231">
        <v>161</v>
      </c>
      <c r="AB4231" t="s">
        <v>4622</v>
      </c>
      <c r="AC4231" t="str">
        <f>HYPERLINK("plots/3FT6Y578R04_015_S31P_20251219032831_M5358ACSA301811_RBGEUFRF04/dpll_52046/txpa_54207.png","plot")</f>
        <v>plot</v>
      </c>
    </row>
    <row r="4232" spans="1:29" x14ac:dyDescent="0.35">
      <c r="A4232" s="3" t="s">
        <v>50</v>
      </c>
      <c r="B4232">
        <v>52046</v>
      </c>
      <c r="C4232" t="s">
        <v>51</v>
      </c>
      <c r="D4232">
        <v>54208</v>
      </c>
      <c r="E4232" t="s">
        <v>228</v>
      </c>
      <c r="F4232">
        <v>11781</v>
      </c>
      <c r="G4232">
        <v>0.78394420061282566</v>
      </c>
      <c r="H4232">
        <v>0</v>
      </c>
      <c r="I4232">
        <v>0</v>
      </c>
      <c r="J4232">
        <v>0.69878392065720363</v>
      </c>
      <c r="K4232">
        <v>0</v>
      </c>
      <c r="L4232">
        <v>0</v>
      </c>
      <c r="M4232">
        <v>0.5101535252398971</v>
      </c>
      <c r="N4232">
        <v>0</v>
      </c>
      <c r="O4232">
        <v>0</v>
      </c>
      <c r="P4232">
        <v>0.61456850967448229</v>
      </c>
      <c r="Q4232">
        <v>1.2087700827501739</v>
      </c>
      <c r="R4232">
        <v>1.418280768033171</v>
      </c>
      <c r="S4232">
        <v>0.19265220532857269</v>
      </c>
      <c r="T4232">
        <v>0.15015380210623841</v>
      </c>
      <c r="U4232">
        <v>4.4286192746795683</v>
      </c>
      <c r="V4232">
        <v>0.20126129812424351</v>
      </c>
      <c r="W4232">
        <v>6.7714632551566094</v>
      </c>
      <c r="X4232">
        <v>0.3103264694067171</v>
      </c>
      <c r="Z4232" t="s">
        <v>392</v>
      </c>
      <c r="AA4232">
        <v>161</v>
      </c>
      <c r="AB4232" t="s">
        <v>4623</v>
      </c>
      <c r="AC4232" t="str">
        <f>HYPERLINK("plots/3FT6Y578R04_015_S31P_20251219032831_M5358ACSA301811_RBGEUFRF04/dpll_52046/txpa_54208.png","plot")</f>
        <v>plot</v>
      </c>
    </row>
    <row r="4233" spans="1:29" x14ac:dyDescent="0.35">
      <c r="A4233" s="3" t="s">
        <v>50</v>
      </c>
      <c r="B4233">
        <v>52046</v>
      </c>
      <c r="C4233" t="s">
        <v>51</v>
      </c>
      <c r="D4233">
        <v>54209</v>
      </c>
      <c r="E4233" t="s">
        <v>229</v>
      </c>
      <c r="F4233">
        <v>11782</v>
      </c>
      <c r="G4233">
        <v>0.78037804285889512</v>
      </c>
      <c r="H4233">
        <v>0</v>
      </c>
      <c r="I4233">
        <v>0</v>
      </c>
      <c r="J4233">
        <v>0.68943775059252044</v>
      </c>
      <c r="K4233">
        <v>0</v>
      </c>
      <c r="L4233">
        <v>0</v>
      </c>
      <c r="M4233">
        <v>0.50180328735794499</v>
      </c>
      <c r="N4233">
        <v>0</v>
      </c>
      <c r="O4233">
        <v>0</v>
      </c>
      <c r="P4233">
        <v>0.60898988977627955</v>
      </c>
      <c r="Q4233">
        <v>1.191756772997596</v>
      </c>
      <c r="R4233">
        <v>1.49785140073203</v>
      </c>
      <c r="S4233">
        <v>0.19219901431187211</v>
      </c>
      <c r="T4233">
        <v>0.1501452198590946</v>
      </c>
      <c r="U4233">
        <v>4.4286477380750293</v>
      </c>
      <c r="V4233">
        <v>0.20127646963296911</v>
      </c>
      <c r="W4233">
        <v>6.7757223378034279</v>
      </c>
      <c r="X4233">
        <v>0.30737999117885029</v>
      </c>
      <c r="Z4233" t="s">
        <v>392</v>
      </c>
      <c r="AA4233">
        <v>161</v>
      </c>
      <c r="AB4233" t="s">
        <v>4624</v>
      </c>
      <c r="AC4233" t="str">
        <f>HYPERLINK("plots/3FT6Y578R04_015_S31P_20251219032831_M5358ACSA301811_RBGEUFRF04/dpll_52046/txpa_54209.png","plot")</f>
        <v>plot</v>
      </c>
    </row>
    <row r="4234" spans="1:29" x14ac:dyDescent="0.35">
      <c r="A4234" s="3" t="s">
        <v>50</v>
      </c>
      <c r="B4234">
        <v>52046</v>
      </c>
      <c r="C4234" t="s">
        <v>51</v>
      </c>
      <c r="D4234">
        <v>54210</v>
      </c>
      <c r="E4234" t="s">
        <v>230</v>
      </c>
      <c r="F4234">
        <v>11781</v>
      </c>
      <c r="G4234">
        <v>0.77296690958930936</v>
      </c>
      <c r="H4234">
        <v>0</v>
      </c>
      <c r="I4234">
        <v>0</v>
      </c>
      <c r="J4234">
        <v>0.68344415749123721</v>
      </c>
      <c r="K4234">
        <v>0</v>
      </c>
      <c r="L4234">
        <v>0</v>
      </c>
      <c r="M4234">
        <v>0.49753006086612539</v>
      </c>
      <c r="N4234">
        <v>0</v>
      </c>
      <c r="O4234">
        <v>0</v>
      </c>
      <c r="P4234">
        <v>0.5974778433200475</v>
      </c>
      <c r="Q4234">
        <v>1.184881565910594</v>
      </c>
      <c r="R4234">
        <v>1.5011662288689489</v>
      </c>
      <c r="S4234">
        <v>0.19573572862767569</v>
      </c>
      <c r="T4234">
        <v>0.1509736550371745</v>
      </c>
      <c r="U4234">
        <v>4.4286701896273666</v>
      </c>
      <c r="V4234">
        <v>0.20127025814248481</v>
      </c>
      <c r="W4234">
        <v>6.7486158980561921</v>
      </c>
      <c r="X4234">
        <v>0.30852733238710872</v>
      </c>
      <c r="Z4234" t="s">
        <v>392</v>
      </c>
      <c r="AA4234">
        <v>161</v>
      </c>
      <c r="AB4234" t="s">
        <v>4625</v>
      </c>
      <c r="AC4234" t="str">
        <f>HYPERLINK("plots/3FT6Y578R04_015_S31P_20251219032831_M5358ACSA301811_RBGEUFRF04/dpll_52046/txpa_54210.png","plot")</f>
        <v>plot</v>
      </c>
    </row>
    <row r="4235" spans="1:29" x14ac:dyDescent="0.35">
      <c r="A4235" s="3" t="s">
        <v>50</v>
      </c>
      <c r="B4235">
        <v>52046</v>
      </c>
      <c r="C4235" t="s">
        <v>51</v>
      </c>
      <c r="D4235">
        <v>54211</v>
      </c>
      <c r="E4235" t="s">
        <v>231</v>
      </c>
      <c r="F4235">
        <v>11782</v>
      </c>
      <c r="G4235">
        <v>0.76343661248794525</v>
      </c>
      <c r="H4235">
        <v>0</v>
      </c>
      <c r="I4235">
        <v>0</v>
      </c>
      <c r="J4235">
        <v>0.68403954945713563</v>
      </c>
      <c r="K4235">
        <v>0</v>
      </c>
      <c r="L4235">
        <v>0</v>
      </c>
      <c r="M4235">
        <v>0.4950263933514083</v>
      </c>
      <c r="N4235">
        <v>0</v>
      </c>
      <c r="O4235">
        <v>0</v>
      </c>
      <c r="P4235">
        <v>0.58283546128706909</v>
      </c>
      <c r="Q4235">
        <v>1.2201505738348759</v>
      </c>
      <c r="R4235">
        <v>2.3587959488294268</v>
      </c>
      <c r="S4235">
        <v>0.20776324118136921</v>
      </c>
      <c r="T4235">
        <v>0.1576203918053351</v>
      </c>
      <c r="U4235">
        <v>4.4286477380750293</v>
      </c>
      <c r="V4235">
        <v>0.20127646963296911</v>
      </c>
      <c r="W4235">
        <v>7.7624130277542003</v>
      </c>
      <c r="X4235">
        <v>0.32168695593703012</v>
      </c>
      <c r="Z4235" t="s">
        <v>392</v>
      </c>
      <c r="AA4235">
        <v>161</v>
      </c>
      <c r="AB4235" t="s">
        <v>4626</v>
      </c>
      <c r="AC4235" t="str">
        <f>HYPERLINK("plots/3FT6Y578R04_015_S31P_20251219032831_M5358ACSA301811_RBGEUFRF04/dpll_52046/txpa_54211.png","plot")</f>
        <v>plot</v>
      </c>
    </row>
    <row r="4236" spans="1:29" x14ac:dyDescent="0.35">
      <c r="A4236" s="3" t="s">
        <v>50</v>
      </c>
      <c r="B4236">
        <v>52046</v>
      </c>
      <c r="C4236" t="s">
        <v>51</v>
      </c>
      <c r="D4236">
        <v>54212</v>
      </c>
      <c r="E4236" t="s">
        <v>232</v>
      </c>
      <c r="F4236">
        <v>11782</v>
      </c>
      <c r="G4236">
        <v>0.78108108051394542</v>
      </c>
      <c r="H4236">
        <v>0</v>
      </c>
      <c r="I4236">
        <v>0</v>
      </c>
      <c r="J4236">
        <v>0.69626657719099072</v>
      </c>
      <c r="K4236">
        <v>0</v>
      </c>
      <c r="L4236">
        <v>0</v>
      </c>
      <c r="M4236">
        <v>0.50849786632427985</v>
      </c>
      <c r="N4236">
        <v>0</v>
      </c>
      <c r="O4236">
        <v>0</v>
      </c>
      <c r="P4236">
        <v>0.61008765433683254</v>
      </c>
      <c r="Q4236">
        <v>1.2506684134527051</v>
      </c>
      <c r="R4236">
        <v>2.256496428226034</v>
      </c>
      <c r="S4236">
        <v>0.2012352842437026</v>
      </c>
      <c r="T4236">
        <v>0.1551158427072539</v>
      </c>
      <c r="U4236">
        <v>4.4286477380750293</v>
      </c>
      <c r="V4236">
        <v>0.20127646963296911</v>
      </c>
      <c r="W4236">
        <v>7.7952662685452392</v>
      </c>
      <c r="X4236">
        <v>0.32228424067779288</v>
      </c>
      <c r="Z4236" t="s">
        <v>392</v>
      </c>
      <c r="AA4236">
        <v>161</v>
      </c>
      <c r="AB4236" t="s">
        <v>4627</v>
      </c>
      <c r="AC4236" t="str">
        <f>HYPERLINK("plots/3FT6Y578R04_015_S31P_20251219032831_M5358ACSA301811_RBGEUFRF04/dpll_52046/txpa_54212.png","plot")</f>
        <v>plot</v>
      </c>
    </row>
    <row r="4237" spans="1:29" x14ac:dyDescent="0.35">
      <c r="A4237" s="3" t="s">
        <v>50</v>
      </c>
      <c r="B4237">
        <v>52046</v>
      </c>
      <c r="C4237" t="s">
        <v>51</v>
      </c>
      <c r="D4237">
        <v>54213</v>
      </c>
      <c r="E4237" t="s">
        <v>233</v>
      </c>
      <c r="F4237">
        <v>11782</v>
      </c>
      <c r="G4237">
        <v>0.77449013701560698</v>
      </c>
      <c r="H4237">
        <v>0</v>
      </c>
      <c r="I4237">
        <v>0</v>
      </c>
      <c r="J4237">
        <v>0.68837056977805944</v>
      </c>
      <c r="K4237">
        <v>0</v>
      </c>
      <c r="L4237">
        <v>0</v>
      </c>
      <c r="M4237">
        <v>0.50074159834253484</v>
      </c>
      <c r="N4237">
        <v>0</v>
      </c>
      <c r="O4237">
        <v>0</v>
      </c>
      <c r="P4237">
        <v>0.59983497233445371</v>
      </c>
      <c r="Q4237">
        <v>1.2241077001076759</v>
      </c>
      <c r="R4237">
        <v>2.3843170894494778</v>
      </c>
      <c r="S4237">
        <v>0.20123238707294891</v>
      </c>
      <c r="T4237">
        <v>0.1540773585040239</v>
      </c>
      <c r="U4237">
        <v>4.4286477380750293</v>
      </c>
      <c r="V4237">
        <v>0.20127646963296911</v>
      </c>
      <c r="W4237">
        <v>7.8054588866915626</v>
      </c>
      <c r="X4237">
        <v>0.31812422722078021</v>
      </c>
      <c r="Z4237" t="s">
        <v>392</v>
      </c>
      <c r="AA4237">
        <v>161</v>
      </c>
      <c r="AB4237" t="s">
        <v>4628</v>
      </c>
      <c r="AC4237" t="str">
        <f>HYPERLINK("plots/3FT6Y578R04_015_S31P_20251219032831_M5358ACSA301811_RBGEUFRF04/dpll_52046/txpa_54213.png","plot")</f>
        <v>plot</v>
      </c>
    </row>
    <row r="4238" spans="1:29" x14ac:dyDescent="0.35">
      <c r="A4238" s="3" t="s">
        <v>50</v>
      </c>
      <c r="B4238">
        <v>52046</v>
      </c>
      <c r="C4238" t="s">
        <v>51</v>
      </c>
      <c r="D4238">
        <v>54214</v>
      </c>
      <c r="E4238" t="s">
        <v>234</v>
      </c>
      <c r="F4238">
        <v>11781</v>
      </c>
      <c r="G4238">
        <v>0.78795010973368296</v>
      </c>
      <c r="H4238">
        <v>0</v>
      </c>
      <c r="I4238">
        <v>0</v>
      </c>
      <c r="J4238">
        <v>0.69889348665047424</v>
      </c>
      <c r="K4238">
        <v>0</v>
      </c>
      <c r="L4238">
        <v>0</v>
      </c>
      <c r="M4238">
        <v>0.51077613681802259</v>
      </c>
      <c r="N4238">
        <v>0</v>
      </c>
      <c r="O4238">
        <v>0</v>
      </c>
      <c r="P4238">
        <v>0.62086537542932296</v>
      </c>
      <c r="Q4238">
        <v>1.253588433385102</v>
      </c>
      <c r="R4238">
        <v>2.2623432369364909</v>
      </c>
      <c r="S4238">
        <v>0.1971709477912926</v>
      </c>
      <c r="T4238">
        <v>0.15276793501770489</v>
      </c>
      <c r="U4238">
        <v>4.4286547017231142</v>
      </c>
      <c r="V4238">
        <v>0.20128359324518649</v>
      </c>
      <c r="W4238">
        <v>7.8140535464731347</v>
      </c>
      <c r="X4238">
        <v>0.32023192992211241</v>
      </c>
      <c r="Z4238" t="s">
        <v>392</v>
      </c>
      <c r="AA4238">
        <v>161</v>
      </c>
      <c r="AB4238" t="s">
        <v>4629</v>
      </c>
      <c r="AC4238" t="str">
        <f>HYPERLINK("plots/3FT6Y578R04_015_S31P_20251219032831_M5358ACSA301811_RBGEUFRF04/dpll_52046/txpa_54214.png","plot")</f>
        <v>plot</v>
      </c>
    </row>
    <row r="4239" spans="1:29" x14ac:dyDescent="0.35">
      <c r="A4239" s="3" t="s">
        <v>50</v>
      </c>
      <c r="B4239">
        <v>52046</v>
      </c>
      <c r="C4239" t="s">
        <v>51</v>
      </c>
      <c r="D4239">
        <v>54215</v>
      </c>
      <c r="E4239" t="s">
        <v>235</v>
      </c>
      <c r="F4239">
        <v>11781</v>
      </c>
      <c r="G4239">
        <v>0.78948393179598098</v>
      </c>
      <c r="H4239">
        <v>0</v>
      </c>
      <c r="I4239">
        <v>0</v>
      </c>
      <c r="J4239">
        <v>0.69469647092835152</v>
      </c>
      <c r="K4239">
        <v>0</v>
      </c>
      <c r="L4239">
        <v>0</v>
      </c>
      <c r="M4239">
        <v>0.50559808447745147</v>
      </c>
      <c r="N4239">
        <v>0</v>
      </c>
      <c r="O4239">
        <v>0</v>
      </c>
      <c r="P4239">
        <v>0.62328487856404113</v>
      </c>
      <c r="Q4239">
        <v>1.2511879291991339</v>
      </c>
      <c r="R4239">
        <v>2.2490564273237621</v>
      </c>
      <c r="S4239">
        <v>0.19576447891477269</v>
      </c>
      <c r="T4239">
        <v>0.15201565035345371</v>
      </c>
      <c r="U4239">
        <v>4.4286210779220783</v>
      </c>
      <c r="V4239">
        <v>0.20126420786155011</v>
      </c>
      <c r="W4239">
        <v>7.7900936630167221</v>
      </c>
      <c r="X4239">
        <v>0.31896703316473862</v>
      </c>
      <c r="Z4239" t="s">
        <v>392</v>
      </c>
      <c r="AA4239">
        <v>161</v>
      </c>
      <c r="AB4239" t="s">
        <v>4630</v>
      </c>
      <c r="AC4239" t="str">
        <f>HYPERLINK("plots/3FT6Y578R04_015_S31P_20251219032831_M5358ACSA301811_RBGEUFRF04/dpll_52046/txpa_54215.png","plot")</f>
        <v>plot</v>
      </c>
    </row>
    <row r="4240" spans="1:29" x14ac:dyDescent="0.35">
      <c r="A4240" s="3" t="s">
        <v>50</v>
      </c>
      <c r="B4240">
        <v>52046</v>
      </c>
      <c r="C4240" t="s">
        <v>51</v>
      </c>
      <c r="D4240">
        <v>54216</v>
      </c>
      <c r="E4240" t="s">
        <v>236</v>
      </c>
      <c r="F4240">
        <v>11781</v>
      </c>
      <c r="G4240">
        <v>0.79325360441289616</v>
      </c>
      <c r="H4240">
        <v>0</v>
      </c>
      <c r="I4240">
        <v>0</v>
      </c>
      <c r="J4240">
        <v>0.70560578033385468</v>
      </c>
      <c r="K4240">
        <v>0</v>
      </c>
      <c r="L4240">
        <v>0</v>
      </c>
      <c r="M4240">
        <v>0.51625080849105276</v>
      </c>
      <c r="N4240">
        <v>0</v>
      </c>
      <c r="O4240">
        <v>0</v>
      </c>
      <c r="P4240">
        <v>0.62925128091405158</v>
      </c>
      <c r="Q4240">
        <v>1.266384829511906</v>
      </c>
      <c r="R4240">
        <v>2.195329487514349</v>
      </c>
      <c r="S4240">
        <v>0.1956299354211688</v>
      </c>
      <c r="T4240">
        <v>0.15221619049863189</v>
      </c>
      <c r="U4240">
        <v>4.4286192746795683</v>
      </c>
      <c r="V4240">
        <v>0.20126129812424351</v>
      </c>
      <c r="W4240">
        <v>7.8036657526525746</v>
      </c>
      <c r="X4240">
        <v>0.32130235941512408</v>
      </c>
      <c r="Z4240" t="s">
        <v>392</v>
      </c>
      <c r="AA4240">
        <v>161</v>
      </c>
      <c r="AB4240" t="s">
        <v>4631</v>
      </c>
      <c r="AC4240" t="str">
        <f>HYPERLINK("plots/3FT6Y578R04_015_S31P_20251219032831_M5358ACSA301811_RBGEUFRF04/dpll_52046/txpa_54216.png","plot")</f>
        <v>plot</v>
      </c>
    </row>
    <row r="4241" spans="1:29" x14ac:dyDescent="0.35">
      <c r="A4241" s="3" t="s">
        <v>50</v>
      </c>
      <c r="B4241">
        <v>52046</v>
      </c>
      <c r="C4241" t="s">
        <v>51</v>
      </c>
      <c r="D4241">
        <v>54217</v>
      </c>
      <c r="E4241" t="s">
        <v>237</v>
      </c>
      <c r="F4241">
        <v>11782</v>
      </c>
      <c r="G4241">
        <v>0.79027723832511643</v>
      </c>
      <c r="H4241">
        <v>0</v>
      </c>
      <c r="I4241">
        <v>0</v>
      </c>
      <c r="J4241">
        <v>0.69673028098378853</v>
      </c>
      <c r="K4241">
        <v>0</v>
      </c>
      <c r="L4241">
        <v>0</v>
      </c>
      <c r="M4241">
        <v>0.50819604916730488</v>
      </c>
      <c r="N4241">
        <v>0</v>
      </c>
      <c r="O4241">
        <v>0</v>
      </c>
      <c r="P4241">
        <v>0.62453811341477283</v>
      </c>
      <c r="Q4241">
        <v>1.2505151286481251</v>
      </c>
      <c r="R4241">
        <v>2.2702889170018872</v>
      </c>
      <c r="S4241">
        <v>0.19514929236493789</v>
      </c>
      <c r="T4241">
        <v>0.1521600342767245</v>
      </c>
      <c r="U4241">
        <v>4.4286477380750293</v>
      </c>
      <c r="V4241">
        <v>0.20127646963296911</v>
      </c>
      <c r="W4241">
        <v>7.80837991291801</v>
      </c>
      <c r="X4241">
        <v>0.31849490041033529</v>
      </c>
      <c r="Z4241" t="s">
        <v>392</v>
      </c>
      <c r="AA4241">
        <v>161</v>
      </c>
      <c r="AB4241" t="s">
        <v>4632</v>
      </c>
      <c r="AC4241" t="str">
        <f>HYPERLINK("plots/3FT6Y578R04_015_S31P_20251219032831_M5358ACSA301811_RBGEUFRF04/dpll_52046/txpa_54217.png","plot")</f>
        <v>plot</v>
      </c>
    </row>
    <row r="4242" spans="1:29" x14ac:dyDescent="0.35">
      <c r="A4242" s="3" t="s">
        <v>50</v>
      </c>
      <c r="B4242">
        <v>52046</v>
      </c>
      <c r="C4242" t="s">
        <v>51</v>
      </c>
      <c r="D4242">
        <v>54218</v>
      </c>
      <c r="E4242" t="s">
        <v>238</v>
      </c>
      <c r="F4242">
        <v>11781</v>
      </c>
      <c r="G4242">
        <v>0.78293763447136444</v>
      </c>
      <c r="H4242">
        <v>0</v>
      </c>
      <c r="I4242">
        <v>0</v>
      </c>
      <c r="J4242">
        <v>0.69063806674191874</v>
      </c>
      <c r="K4242">
        <v>0</v>
      </c>
      <c r="L4242">
        <v>0</v>
      </c>
      <c r="M4242">
        <v>0.50377086583344854</v>
      </c>
      <c r="N4242">
        <v>0</v>
      </c>
      <c r="O4242">
        <v>0</v>
      </c>
      <c r="P4242">
        <v>0.61299133947161588</v>
      </c>
      <c r="Q4242">
        <v>1.2424089463908179</v>
      </c>
      <c r="R4242">
        <v>2.2797034194188179</v>
      </c>
      <c r="S4242">
        <v>0.19868217855968989</v>
      </c>
      <c r="T4242">
        <v>0.15295723186215759</v>
      </c>
      <c r="U4242">
        <v>4.4286701896273666</v>
      </c>
      <c r="V4242">
        <v>0.20127025814248481</v>
      </c>
      <c r="W4242">
        <v>7.7819228836261782</v>
      </c>
      <c r="X4242">
        <v>0.31938683025175008</v>
      </c>
      <c r="Z4242" t="s">
        <v>392</v>
      </c>
      <c r="AA4242">
        <v>161</v>
      </c>
      <c r="AB4242" t="s">
        <v>4633</v>
      </c>
      <c r="AC4242" t="str">
        <f>HYPERLINK("plots/3FT6Y578R04_015_S31P_20251219032831_M5358ACSA301811_RBGEUFRF04/dpll_52046/txpa_54218.png","plot")</f>
        <v>plot</v>
      </c>
    </row>
    <row r="4243" spans="1:29" x14ac:dyDescent="0.35">
      <c r="A4243" s="3" t="s">
        <v>50</v>
      </c>
      <c r="B4243">
        <v>52046</v>
      </c>
      <c r="C4243" t="s">
        <v>51</v>
      </c>
      <c r="D4243">
        <v>54219</v>
      </c>
      <c r="E4243" t="s">
        <v>239</v>
      </c>
      <c r="F4243">
        <v>11782</v>
      </c>
      <c r="G4243">
        <v>0.77407839112194132</v>
      </c>
      <c r="H4243">
        <v>0</v>
      </c>
      <c r="I4243">
        <v>0</v>
      </c>
      <c r="J4243">
        <v>0.69200123877080888</v>
      </c>
      <c r="K4243">
        <v>0</v>
      </c>
      <c r="L4243">
        <v>0</v>
      </c>
      <c r="M4243">
        <v>0.50194845446396985</v>
      </c>
      <c r="N4243">
        <v>0</v>
      </c>
      <c r="O4243">
        <v>0</v>
      </c>
      <c r="P4243">
        <v>0.59919735560193321</v>
      </c>
      <c r="Q4243">
        <v>1.280267013071287</v>
      </c>
      <c r="R4243">
        <v>3.1252316989033719</v>
      </c>
      <c r="S4243">
        <v>0.2107441247723589</v>
      </c>
      <c r="T4243">
        <v>0.15948335474933831</v>
      </c>
      <c r="U4243">
        <v>4.4286477380750293</v>
      </c>
      <c r="V4243">
        <v>0.20127646963296911</v>
      </c>
      <c r="W4243">
        <v>8.7950833104736024</v>
      </c>
      <c r="X4243">
        <v>0.33289603163452869</v>
      </c>
      <c r="Z4243" t="s">
        <v>392</v>
      </c>
      <c r="AA4243">
        <v>161</v>
      </c>
      <c r="AB4243" t="s">
        <v>4634</v>
      </c>
      <c r="AC4243" t="str">
        <f>HYPERLINK("plots/3FT6Y578R04_015_S31P_20251219032831_M5358ACSA301811_RBGEUFRF04/dpll_52046/txpa_54219.png","plot")</f>
        <v>plot</v>
      </c>
    </row>
    <row r="4244" spans="1:29" x14ac:dyDescent="0.35">
      <c r="A4244" s="3" t="s">
        <v>50</v>
      </c>
      <c r="B4244">
        <v>52046</v>
      </c>
      <c r="C4244" t="s">
        <v>51</v>
      </c>
      <c r="D4244">
        <v>54220</v>
      </c>
      <c r="E4244" t="s">
        <v>240</v>
      </c>
      <c r="F4244">
        <v>11782</v>
      </c>
      <c r="G4244">
        <v>0.79098052194628432</v>
      </c>
      <c r="H4244">
        <v>0</v>
      </c>
      <c r="I4244">
        <v>0</v>
      </c>
      <c r="J4244">
        <v>0.70389412015620645</v>
      </c>
      <c r="K4244">
        <v>0</v>
      </c>
      <c r="L4244">
        <v>0</v>
      </c>
      <c r="M4244">
        <v>0.51527972321048054</v>
      </c>
      <c r="N4244">
        <v>0</v>
      </c>
      <c r="O4244">
        <v>0</v>
      </c>
      <c r="P4244">
        <v>0.62565018609841638</v>
      </c>
      <c r="Q4244">
        <v>1.3108307674724651</v>
      </c>
      <c r="R4244">
        <v>3.0211336476931558</v>
      </c>
      <c r="S4244">
        <v>0.20407707612082659</v>
      </c>
      <c r="T4244">
        <v>0.15696457743769729</v>
      </c>
      <c r="U4244">
        <v>4.4286477380750293</v>
      </c>
      <c r="V4244">
        <v>0.20127646963296911</v>
      </c>
      <c r="W4244">
        <v>8.8263413610592423</v>
      </c>
      <c r="X4244">
        <v>0.33355990677738911</v>
      </c>
      <c r="Z4244" t="s">
        <v>392</v>
      </c>
      <c r="AA4244">
        <v>161</v>
      </c>
      <c r="AB4244" t="s">
        <v>4635</v>
      </c>
      <c r="AC4244" t="str">
        <f>HYPERLINK("plots/3FT6Y578R04_015_S31P_20251219032831_M5358ACSA301811_RBGEUFRF04/dpll_52046/txpa_54220.png","plot")</f>
        <v>plot</v>
      </c>
    </row>
    <row r="4245" spans="1:29" x14ac:dyDescent="0.35">
      <c r="A4245" s="3" t="s">
        <v>50</v>
      </c>
      <c r="B4245">
        <v>52046</v>
      </c>
      <c r="C4245" t="s">
        <v>51</v>
      </c>
      <c r="D4245">
        <v>54221</v>
      </c>
      <c r="E4245" t="s">
        <v>241</v>
      </c>
      <c r="F4245">
        <v>11782</v>
      </c>
      <c r="G4245">
        <v>0.78491858282287652</v>
      </c>
      <c r="H4245">
        <v>0</v>
      </c>
      <c r="I4245">
        <v>0</v>
      </c>
      <c r="J4245">
        <v>0.69615517383998071</v>
      </c>
      <c r="K4245">
        <v>0</v>
      </c>
      <c r="L4245">
        <v>0</v>
      </c>
      <c r="M4245">
        <v>0.50752694697922873</v>
      </c>
      <c r="N4245">
        <v>0</v>
      </c>
      <c r="O4245">
        <v>0</v>
      </c>
      <c r="P4245">
        <v>0.61609718166067284</v>
      </c>
      <c r="Q4245">
        <v>1.2841713697204311</v>
      </c>
      <c r="R4245">
        <v>3.1496475151908072</v>
      </c>
      <c r="S4245">
        <v>0.2040250991102644</v>
      </c>
      <c r="T4245">
        <v>0.1558195786660023</v>
      </c>
      <c r="U4245">
        <v>4.4286477380750293</v>
      </c>
      <c r="V4245">
        <v>0.20127646963296911</v>
      </c>
      <c r="W4245">
        <v>8.8367901470039047</v>
      </c>
      <c r="X4245">
        <v>0.32929973293725567</v>
      </c>
      <c r="Z4245" t="s">
        <v>392</v>
      </c>
      <c r="AA4245">
        <v>161</v>
      </c>
      <c r="AB4245" t="s">
        <v>4636</v>
      </c>
      <c r="AC4245" t="str">
        <f>HYPERLINK("plots/3FT6Y578R04_015_S31P_20251219032831_M5358ACSA301811_RBGEUFRF04/dpll_52046/txpa_54221.png","plot")</f>
        <v>plot</v>
      </c>
    </row>
    <row r="4246" spans="1:29" x14ac:dyDescent="0.35">
      <c r="A4246" s="3" t="s">
        <v>50</v>
      </c>
      <c r="B4246">
        <v>52046</v>
      </c>
      <c r="C4246" t="s">
        <v>51</v>
      </c>
      <c r="D4246">
        <v>54222</v>
      </c>
      <c r="E4246" t="s">
        <v>242</v>
      </c>
      <c r="F4246">
        <v>11781</v>
      </c>
      <c r="G4246">
        <v>0.79768058181360524</v>
      </c>
      <c r="H4246">
        <v>0</v>
      </c>
      <c r="I4246">
        <v>0</v>
      </c>
      <c r="J4246">
        <v>0.70637167129816458</v>
      </c>
      <c r="K4246">
        <v>0</v>
      </c>
      <c r="L4246">
        <v>0</v>
      </c>
      <c r="M4246">
        <v>0.51741119161285776</v>
      </c>
      <c r="N4246">
        <v>0</v>
      </c>
      <c r="O4246">
        <v>0</v>
      </c>
      <c r="P4246">
        <v>0.63629431060249175</v>
      </c>
      <c r="Q4246">
        <v>1.3136260082279601</v>
      </c>
      <c r="R4246">
        <v>3.0272224634368818</v>
      </c>
      <c r="S4246">
        <v>0.19989765970348619</v>
      </c>
      <c r="T4246">
        <v>0.15454632812812341</v>
      </c>
      <c r="U4246">
        <v>4.4286547017231142</v>
      </c>
      <c r="V4246">
        <v>0.20128359324518649</v>
      </c>
      <c r="W4246">
        <v>8.8448184610814025</v>
      </c>
      <c r="X4246">
        <v>0.33147524102353038</v>
      </c>
      <c r="Z4246" t="s">
        <v>392</v>
      </c>
      <c r="AA4246">
        <v>161</v>
      </c>
      <c r="AB4246" t="s">
        <v>4637</v>
      </c>
      <c r="AC4246" t="str">
        <f>HYPERLINK("plots/3FT6Y578R04_015_S31P_20251219032831_M5358ACSA301811_RBGEUFRF04/dpll_52046/txpa_54222.png","plot")</f>
        <v>plot</v>
      </c>
    </row>
    <row r="4247" spans="1:29" x14ac:dyDescent="0.35">
      <c r="A4247" s="3" t="s">
        <v>50</v>
      </c>
      <c r="B4247">
        <v>52046</v>
      </c>
      <c r="C4247" t="s">
        <v>51</v>
      </c>
      <c r="D4247">
        <v>54223</v>
      </c>
      <c r="E4247" t="s">
        <v>243</v>
      </c>
      <c r="F4247">
        <v>11781</v>
      </c>
      <c r="G4247">
        <v>0.79929905767263754</v>
      </c>
      <c r="H4247">
        <v>0</v>
      </c>
      <c r="I4247">
        <v>0</v>
      </c>
      <c r="J4247">
        <v>0.70253329561917188</v>
      </c>
      <c r="K4247">
        <v>0</v>
      </c>
      <c r="L4247">
        <v>0</v>
      </c>
      <c r="M4247">
        <v>0.51258509993127344</v>
      </c>
      <c r="N4247">
        <v>0</v>
      </c>
      <c r="O4247">
        <v>0</v>
      </c>
      <c r="P4247">
        <v>0.6388789835963663</v>
      </c>
      <c r="Q4247">
        <v>1.3119325897398799</v>
      </c>
      <c r="R4247">
        <v>3.0101784950515889</v>
      </c>
      <c r="S4247">
        <v>0.1985074073217627</v>
      </c>
      <c r="T4247">
        <v>0.153812780625147</v>
      </c>
      <c r="U4247">
        <v>4.4286210779220783</v>
      </c>
      <c r="V4247">
        <v>0.20126420786155011</v>
      </c>
      <c r="W4247">
        <v>8.8202308147865196</v>
      </c>
      <c r="X4247">
        <v>0.33034578348006971</v>
      </c>
      <c r="Z4247" t="s">
        <v>392</v>
      </c>
      <c r="AA4247">
        <v>161</v>
      </c>
      <c r="AB4247" t="s">
        <v>4638</v>
      </c>
      <c r="AC4247" t="str">
        <f>HYPERLINK("plots/3FT6Y578R04_015_S31P_20251219032831_M5358ACSA301811_RBGEUFRF04/dpll_52046/txpa_54223.png","plot")</f>
        <v>plot</v>
      </c>
    </row>
    <row r="4248" spans="1:29" x14ac:dyDescent="0.35">
      <c r="A4248" s="3" t="s">
        <v>50</v>
      </c>
      <c r="B4248">
        <v>52046</v>
      </c>
      <c r="C4248" t="s">
        <v>51</v>
      </c>
      <c r="D4248">
        <v>54224</v>
      </c>
      <c r="E4248" t="s">
        <v>244</v>
      </c>
      <c r="F4248">
        <v>11781</v>
      </c>
      <c r="G4248">
        <v>0.80268628622372362</v>
      </c>
      <c r="H4248">
        <v>0</v>
      </c>
      <c r="I4248">
        <v>0</v>
      </c>
      <c r="J4248">
        <v>0.71247740310277519</v>
      </c>
      <c r="K4248">
        <v>0</v>
      </c>
      <c r="L4248">
        <v>0</v>
      </c>
      <c r="M4248">
        <v>0.52252509398872304</v>
      </c>
      <c r="N4248">
        <v>0</v>
      </c>
      <c r="O4248">
        <v>0</v>
      </c>
      <c r="P4248">
        <v>0.64430527409163352</v>
      </c>
      <c r="Q4248">
        <v>1.3261592877126349</v>
      </c>
      <c r="R4248">
        <v>2.9614342064622878</v>
      </c>
      <c r="S4248">
        <v>0.19830350830624349</v>
      </c>
      <c r="T4248">
        <v>0.1540062003464685</v>
      </c>
      <c r="U4248">
        <v>4.4286192746795683</v>
      </c>
      <c r="V4248">
        <v>0.20126129812424351</v>
      </c>
      <c r="W4248">
        <v>8.8344887893217887</v>
      </c>
      <c r="X4248">
        <v>0.33251413951549152</v>
      </c>
      <c r="Z4248" t="s">
        <v>392</v>
      </c>
      <c r="AA4248">
        <v>161</v>
      </c>
      <c r="AB4248" t="s">
        <v>4639</v>
      </c>
      <c r="AC4248" t="str">
        <f>HYPERLINK("plots/3FT6Y578R04_015_S31P_20251219032831_M5358ACSA301811_RBGEUFRF04/dpll_52046/txpa_54224.png","plot")</f>
        <v>plot</v>
      </c>
    </row>
    <row r="4249" spans="1:29" x14ac:dyDescent="0.35">
      <c r="A4249" s="3" t="s">
        <v>50</v>
      </c>
      <c r="B4249">
        <v>52046</v>
      </c>
      <c r="C4249" t="s">
        <v>51</v>
      </c>
      <c r="D4249">
        <v>54225</v>
      </c>
      <c r="E4249" t="s">
        <v>245</v>
      </c>
      <c r="F4249">
        <v>11782</v>
      </c>
      <c r="G4249">
        <v>0.79986506511401623</v>
      </c>
      <c r="H4249">
        <v>0</v>
      </c>
      <c r="I4249">
        <v>0</v>
      </c>
      <c r="J4249">
        <v>0.70374729100734135</v>
      </c>
      <c r="K4249">
        <v>0</v>
      </c>
      <c r="L4249">
        <v>0</v>
      </c>
      <c r="M4249">
        <v>0.51453109962553467</v>
      </c>
      <c r="N4249">
        <v>0</v>
      </c>
      <c r="O4249">
        <v>0</v>
      </c>
      <c r="P4249">
        <v>0.63978412238984939</v>
      </c>
      <c r="Q4249">
        <v>1.3103762896640401</v>
      </c>
      <c r="R4249">
        <v>3.0363425185977291</v>
      </c>
      <c r="S4249">
        <v>0.1978952172637751</v>
      </c>
      <c r="T4249">
        <v>0.1538661301212427</v>
      </c>
      <c r="U4249">
        <v>4.4286477380750293</v>
      </c>
      <c r="V4249">
        <v>0.20127646963296911</v>
      </c>
      <c r="W4249">
        <v>8.8395375098455276</v>
      </c>
      <c r="X4249">
        <v>0.32974050871534327</v>
      </c>
      <c r="Z4249" t="s">
        <v>392</v>
      </c>
      <c r="AA4249">
        <v>161</v>
      </c>
      <c r="AB4249" t="s">
        <v>4640</v>
      </c>
      <c r="AC4249" t="str">
        <f>HYPERLINK("plots/3FT6Y578R04_015_S31P_20251219032831_M5358ACSA301811_RBGEUFRF04/dpll_52046/txpa_54225.png","plot")</f>
        <v>plot</v>
      </c>
    </row>
    <row r="4250" spans="1:29" x14ac:dyDescent="0.35">
      <c r="A4250" s="3" t="s">
        <v>50</v>
      </c>
      <c r="B4250">
        <v>52046</v>
      </c>
      <c r="C4250" t="s">
        <v>51</v>
      </c>
      <c r="D4250">
        <v>54226</v>
      </c>
      <c r="E4250" t="s">
        <v>246</v>
      </c>
      <c r="F4250">
        <v>11781</v>
      </c>
      <c r="G4250">
        <v>0.79279607450750755</v>
      </c>
      <c r="H4250">
        <v>0</v>
      </c>
      <c r="I4250">
        <v>0</v>
      </c>
      <c r="J4250">
        <v>0.69783231717816774</v>
      </c>
      <c r="K4250">
        <v>0</v>
      </c>
      <c r="L4250">
        <v>0</v>
      </c>
      <c r="M4250">
        <v>0.51007572729113493</v>
      </c>
      <c r="N4250">
        <v>0</v>
      </c>
      <c r="O4250">
        <v>0</v>
      </c>
      <c r="P4250">
        <v>0.62852561575451349</v>
      </c>
      <c r="Q4250">
        <v>1.30157415041363</v>
      </c>
      <c r="R4250">
        <v>3.0506013743094309</v>
      </c>
      <c r="S4250">
        <v>0.20138774096710049</v>
      </c>
      <c r="T4250">
        <v>0.15474682240597371</v>
      </c>
      <c r="U4250">
        <v>4.4286701896273666</v>
      </c>
      <c r="V4250">
        <v>0.20127025814248481</v>
      </c>
      <c r="W4250">
        <v>8.8148440138358382</v>
      </c>
      <c r="X4250">
        <v>0.33043574970785999</v>
      </c>
      <c r="Z4250" t="s">
        <v>392</v>
      </c>
      <c r="AA4250">
        <v>161</v>
      </c>
      <c r="AB4250" t="s">
        <v>4641</v>
      </c>
      <c r="AC4250" t="str">
        <f>HYPERLINK("plots/3FT6Y578R04_015_S31P_20251219032831_M5358ACSA301811_RBGEUFRF04/dpll_52046/txpa_54226.png","plot")</f>
        <v>plot</v>
      </c>
    </row>
    <row r="4251" spans="1:29" x14ac:dyDescent="0.35">
      <c r="A4251" s="3" t="s">
        <v>50</v>
      </c>
      <c r="B4251">
        <v>52046</v>
      </c>
      <c r="C4251" t="s">
        <v>51</v>
      </c>
      <c r="D4251">
        <v>54227</v>
      </c>
      <c r="E4251" t="s">
        <v>247</v>
      </c>
      <c r="F4251">
        <v>11782</v>
      </c>
      <c r="G4251">
        <v>0.77713608298211467</v>
      </c>
      <c r="H4251">
        <v>0</v>
      </c>
      <c r="I4251">
        <v>0</v>
      </c>
      <c r="J4251">
        <v>0.69409810835722663</v>
      </c>
      <c r="K4251">
        <v>0</v>
      </c>
      <c r="L4251">
        <v>0</v>
      </c>
      <c r="M4251">
        <v>0.50380884046733554</v>
      </c>
      <c r="N4251">
        <v>0</v>
      </c>
      <c r="O4251">
        <v>0</v>
      </c>
      <c r="P4251">
        <v>0.60394049147278417</v>
      </c>
      <c r="Q4251">
        <v>1.3039305265138841</v>
      </c>
      <c r="R4251">
        <v>3.5277050054932571</v>
      </c>
      <c r="S4251">
        <v>0.2125260526865444</v>
      </c>
      <c r="T4251">
        <v>0.1606085581577622</v>
      </c>
      <c r="U4251">
        <v>4.4286477380750293</v>
      </c>
      <c r="V4251">
        <v>0.20127646963296911</v>
      </c>
      <c r="W4251">
        <v>9.3023539823459505</v>
      </c>
      <c r="X4251">
        <v>0.33771502671226922</v>
      </c>
      <c r="Z4251" t="s">
        <v>392</v>
      </c>
      <c r="AA4251">
        <v>161</v>
      </c>
      <c r="AB4251" t="s">
        <v>4642</v>
      </c>
      <c r="AC4251" t="str">
        <f>HYPERLINK("plots/3FT6Y578R04_015_S31P_20251219032831_M5358ACSA301811_RBGEUFRF04/dpll_52046/txpa_54227.png","plot")</f>
        <v>plot</v>
      </c>
    </row>
    <row r="4252" spans="1:29" x14ac:dyDescent="0.35">
      <c r="A4252" s="3" t="s">
        <v>50</v>
      </c>
      <c r="B4252">
        <v>52046</v>
      </c>
      <c r="C4252" t="s">
        <v>51</v>
      </c>
      <c r="D4252">
        <v>54228</v>
      </c>
      <c r="E4252" t="s">
        <v>248</v>
      </c>
      <c r="F4252">
        <v>11782</v>
      </c>
      <c r="G4252">
        <v>0.79371011709720118</v>
      </c>
      <c r="H4252">
        <v>0</v>
      </c>
      <c r="I4252">
        <v>0</v>
      </c>
      <c r="J4252">
        <v>0.70572645153588842</v>
      </c>
      <c r="K4252">
        <v>0</v>
      </c>
      <c r="L4252">
        <v>0</v>
      </c>
      <c r="M4252">
        <v>0.51693637703022544</v>
      </c>
      <c r="N4252">
        <v>0</v>
      </c>
      <c r="O4252">
        <v>0</v>
      </c>
      <c r="P4252">
        <v>0.62997574998245287</v>
      </c>
      <c r="Q4252">
        <v>1.334410559853046</v>
      </c>
      <c r="R4252">
        <v>3.4234955552001218</v>
      </c>
      <c r="S4252">
        <v>0.20583405157707479</v>
      </c>
      <c r="T4252">
        <v>0.15807486754931521</v>
      </c>
      <c r="U4252">
        <v>4.4286477380750293</v>
      </c>
      <c r="V4252">
        <v>0.20127646963296911</v>
      </c>
      <c r="W4252">
        <v>9.3331298627567474</v>
      </c>
      <c r="X4252">
        <v>0.33839236862755351</v>
      </c>
      <c r="Z4252" t="s">
        <v>392</v>
      </c>
      <c r="AA4252">
        <v>161</v>
      </c>
      <c r="AB4252" t="s">
        <v>4643</v>
      </c>
      <c r="AC4252" t="str">
        <f>HYPERLINK("plots/3FT6Y578R04_015_S31P_20251219032831_M5358ACSA301811_RBGEUFRF04/dpll_52046/txpa_54228.png","plot")</f>
        <v>plot</v>
      </c>
    </row>
    <row r="4253" spans="1:29" x14ac:dyDescent="0.35">
      <c r="A4253" s="3" t="s">
        <v>50</v>
      </c>
      <c r="B4253">
        <v>52046</v>
      </c>
      <c r="C4253" t="s">
        <v>51</v>
      </c>
      <c r="D4253">
        <v>54229</v>
      </c>
      <c r="E4253" t="s">
        <v>249</v>
      </c>
      <c r="F4253">
        <v>11782</v>
      </c>
      <c r="G4253">
        <v>0.78784218626467517</v>
      </c>
      <c r="H4253">
        <v>0</v>
      </c>
      <c r="I4253">
        <v>0</v>
      </c>
      <c r="J4253">
        <v>0.69821286452274856</v>
      </c>
      <c r="K4253">
        <v>0</v>
      </c>
      <c r="L4253">
        <v>0</v>
      </c>
      <c r="M4253">
        <v>0.50933713884016496</v>
      </c>
      <c r="N4253">
        <v>0</v>
      </c>
      <c r="O4253">
        <v>0</v>
      </c>
      <c r="P4253">
        <v>0.62069531045830317</v>
      </c>
      <c r="Q4253">
        <v>1.3076317995406319</v>
      </c>
      <c r="R4253">
        <v>3.5526997859454932</v>
      </c>
      <c r="S4253">
        <v>0.20573819367547469</v>
      </c>
      <c r="T4253">
        <v>0.1569122413547992</v>
      </c>
      <c r="U4253">
        <v>4.4286477380750293</v>
      </c>
      <c r="V4253">
        <v>0.20127646963296911</v>
      </c>
      <c r="W4253">
        <v>9.3437403972160915</v>
      </c>
      <c r="X4253">
        <v>0.33407136198076631</v>
      </c>
      <c r="Z4253" t="s">
        <v>392</v>
      </c>
      <c r="AA4253">
        <v>161</v>
      </c>
      <c r="AB4253" t="s">
        <v>4644</v>
      </c>
      <c r="AC4253" t="str">
        <f>HYPERLINK("plots/3FT6Y578R04_015_S31P_20251219032831_M5358ACSA301811_RBGEUFRF04/dpll_52046/txpa_54229.png","plot")</f>
        <v>plot</v>
      </c>
    </row>
    <row r="4254" spans="1:29" x14ac:dyDescent="0.35">
      <c r="A4254" s="3" t="s">
        <v>50</v>
      </c>
      <c r="B4254">
        <v>52046</v>
      </c>
      <c r="C4254" t="s">
        <v>51</v>
      </c>
      <c r="D4254">
        <v>54230</v>
      </c>
      <c r="E4254" t="s">
        <v>250</v>
      </c>
      <c r="F4254">
        <v>11781</v>
      </c>
      <c r="G4254">
        <v>0.80038024086603621</v>
      </c>
      <c r="H4254">
        <v>0</v>
      </c>
      <c r="I4254">
        <v>0</v>
      </c>
      <c r="J4254">
        <v>0.70822979669725272</v>
      </c>
      <c r="K4254">
        <v>0</v>
      </c>
      <c r="L4254">
        <v>0</v>
      </c>
      <c r="M4254">
        <v>0.51910291861092883</v>
      </c>
      <c r="N4254">
        <v>0</v>
      </c>
      <c r="O4254">
        <v>0</v>
      </c>
      <c r="P4254">
        <v>0.64060852996877415</v>
      </c>
      <c r="Q4254">
        <v>1.337035033551484</v>
      </c>
      <c r="R4254">
        <v>3.4302202346432451</v>
      </c>
      <c r="S4254">
        <v>0.20156738188965101</v>
      </c>
      <c r="T4254">
        <v>0.15565892936310249</v>
      </c>
      <c r="U4254">
        <v>4.4286547017231142</v>
      </c>
      <c r="V4254">
        <v>0.20128359324518649</v>
      </c>
      <c r="W4254">
        <v>9.3514867223495468</v>
      </c>
      <c r="X4254">
        <v>0.33624420257644239</v>
      </c>
      <c r="Z4254" t="s">
        <v>392</v>
      </c>
      <c r="AA4254">
        <v>161</v>
      </c>
      <c r="AB4254" t="s">
        <v>4645</v>
      </c>
      <c r="AC4254" t="str">
        <f>HYPERLINK("plots/3FT6Y578R04_015_S31P_20251219032831_M5358ACSA301811_RBGEUFRF04/dpll_52046/txpa_54230.png","plot")</f>
        <v>plot</v>
      </c>
    </row>
    <row r="4255" spans="1:29" x14ac:dyDescent="0.35">
      <c r="A4255" s="3" t="s">
        <v>50</v>
      </c>
      <c r="B4255">
        <v>52046</v>
      </c>
      <c r="C4255" t="s">
        <v>51</v>
      </c>
      <c r="D4255">
        <v>54231</v>
      </c>
      <c r="E4255" t="s">
        <v>251</v>
      </c>
      <c r="F4255">
        <v>11781</v>
      </c>
      <c r="G4255">
        <v>0.80208394753791989</v>
      </c>
      <c r="H4255">
        <v>0</v>
      </c>
      <c r="I4255">
        <v>0</v>
      </c>
      <c r="J4255">
        <v>0.70446047727569594</v>
      </c>
      <c r="K4255">
        <v>0</v>
      </c>
      <c r="L4255">
        <v>0</v>
      </c>
      <c r="M4255">
        <v>0.51432599298044535</v>
      </c>
      <c r="N4255">
        <v>0</v>
      </c>
      <c r="O4255">
        <v>0</v>
      </c>
      <c r="P4255">
        <v>0.64333865889801267</v>
      </c>
      <c r="Q4255">
        <v>1.335806195575221</v>
      </c>
      <c r="R4255">
        <v>3.4107137876097</v>
      </c>
      <c r="S4255">
        <v>0.20017035684505191</v>
      </c>
      <c r="T4255">
        <v>0.15490715870255689</v>
      </c>
      <c r="U4255">
        <v>4.4286210779220783</v>
      </c>
      <c r="V4255">
        <v>0.20126420786155011</v>
      </c>
      <c r="W4255">
        <v>9.3264932613530274</v>
      </c>
      <c r="X4255">
        <v>0.3351893235542997</v>
      </c>
      <c r="Z4255" t="s">
        <v>392</v>
      </c>
      <c r="AA4255">
        <v>161</v>
      </c>
      <c r="AB4255" t="s">
        <v>4646</v>
      </c>
      <c r="AC4255" t="str">
        <f>HYPERLINK("plots/3FT6Y578R04_015_S31P_20251219032831_M5358ACSA301811_RBGEUFRF04/dpll_52046/txpa_54231.png","plot")</f>
        <v>plot</v>
      </c>
    </row>
    <row r="4256" spans="1:29" x14ac:dyDescent="0.35">
      <c r="A4256" s="3" t="s">
        <v>50</v>
      </c>
      <c r="B4256">
        <v>52046</v>
      </c>
      <c r="C4256" t="s">
        <v>51</v>
      </c>
      <c r="D4256">
        <v>54232</v>
      </c>
      <c r="E4256" t="s">
        <v>252</v>
      </c>
      <c r="F4256">
        <v>11781</v>
      </c>
      <c r="G4256">
        <v>0.80536652378542217</v>
      </c>
      <c r="H4256">
        <v>0</v>
      </c>
      <c r="I4256">
        <v>0</v>
      </c>
      <c r="J4256">
        <v>0.71409806574441881</v>
      </c>
      <c r="K4256">
        <v>0</v>
      </c>
      <c r="L4256">
        <v>0</v>
      </c>
      <c r="M4256">
        <v>0.52407159030655215</v>
      </c>
      <c r="N4256">
        <v>0</v>
      </c>
      <c r="O4256">
        <v>0</v>
      </c>
      <c r="P4256">
        <v>0.64861523763421502</v>
      </c>
      <c r="Q4256">
        <v>1.3496437445264451</v>
      </c>
      <c r="R4256">
        <v>3.3639949590343838</v>
      </c>
      <c r="S4256">
        <v>0.19992120998580359</v>
      </c>
      <c r="T4256">
        <v>0.1550918692863206</v>
      </c>
      <c r="U4256">
        <v>4.4286192746795683</v>
      </c>
      <c r="V4256">
        <v>0.20126129812424351</v>
      </c>
      <c r="W4256">
        <v>9.3410532599949061</v>
      </c>
      <c r="X4256">
        <v>0.33727631333858288</v>
      </c>
      <c r="Z4256" t="s">
        <v>392</v>
      </c>
      <c r="AA4256">
        <v>161</v>
      </c>
      <c r="AB4256" t="s">
        <v>4647</v>
      </c>
      <c r="AC4256" t="str">
        <f>HYPERLINK("plots/3FT6Y578R04_015_S31P_20251219032831_M5358ACSA301811_RBGEUFRF04/dpll_52046/txpa_54232.png","plot")</f>
        <v>plot</v>
      </c>
    </row>
    <row r="4257" spans="1:29" x14ac:dyDescent="0.35">
      <c r="A4257" s="3" t="s">
        <v>50</v>
      </c>
      <c r="B4257">
        <v>52046</v>
      </c>
      <c r="C4257" t="s">
        <v>51</v>
      </c>
      <c r="D4257">
        <v>54233</v>
      </c>
      <c r="E4257" t="s">
        <v>253</v>
      </c>
      <c r="F4257">
        <v>11782</v>
      </c>
      <c r="G4257">
        <v>0.80254057633567311</v>
      </c>
      <c r="H4257">
        <v>0</v>
      </c>
      <c r="I4257">
        <v>0</v>
      </c>
      <c r="J4257">
        <v>0.70554398235304872</v>
      </c>
      <c r="K4257">
        <v>0</v>
      </c>
      <c r="L4257">
        <v>0</v>
      </c>
      <c r="M4257">
        <v>0.51616038851694768</v>
      </c>
      <c r="N4257">
        <v>0</v>
      </c>
      <c r="O4257">
        <v>0</v>
      </c>
      <c r="P4257">
        <v>0.64407137666519432</v>
      </c>
      <c r="Q4257">
        <v>1.333846750376021</v>
      </c>
      <c r="R4257">
        <v>3.4391300856384501</v>
      </c>
      <c r="S4257">
        <v>0.19956986710592539</v>
      </c>
      <c r="T4257">
        <v>0.15496334791761029</v>
      </c>
      <c r="U4257">
        <v>4.4286477380750293</v>
      </c>
      <c r="V4257">
        <v>0.20127646963296911</v>
      </c>
      <c r="W4257">
        <v>9.3462674796299439</v>
      </c>
      <c r="X4257">
        <v>0.33452759008511718</v>
      </c>
      <c r="Z4257" t="s">
        <v>392</v>
      </c>
      <c r="AA4257">
        <v>161</v>
      </c>
      <c r="AB4257" t="s">
        <v>4648</v>
      </c>
      <c r="AC4257" t="str">
        <f>HYPERLINK("plots/3FT6Y578R04_015_S31P_20251219032831_M5358ACSA301811_RBGEUFRF04/dpll_52046/txpa_54233.png","plot")</f>
        <v>plot</v>
      </c>
    </row>
    <row r="4258" spans="1:29" x14ac:dyDescent="0.35">
      <c r="A4258" s="3" t="s">
        <v>50</v>
      </c>
      <c r="B4258">
        <v>52046</v>
      </c>
      <c r="C4258" t="s">
        <v>51</v>
      </c>
      <c r="D4258">
        <v>54234</v>
      </c>
      <c r="E4258" t="s">
        <v>254</v>
      </c>
      <c r="F4258">
        <v>11781</v>
      </c>
      <c r="G4258">
        <v>0.7954926266155582</v>
      </c>
      <c r="H4258">
        <v>0</v>
      </c>
      <c r="I4258">
        <v>0</v>
      </c>
      <c r="J4258">
        <v>0.69949088871296172</v>
      </c>
      <c r="K4258">
        <v>0</v>
      </c>
      <c r="L4258">
        <v>0</v>
      </c>
      <c r="M4258">
        <v>0.51159549333735255</v>
      </c>
      <c r="N4258">
        <v>0</v>
      </c>
      <c r="O4258">
        <v>0</v>
      </c>
      <c r="P4258">
        <v>0.6328085189997199</v>
      </c>
      <c r="Q4258">
        <v>1.324506781017212</v>
      </c>
      <c r="R4258">
        <v>3.4563786179484981</v>
      </c>
      <c r="S4258">
        <v>0.20306052130281971</v>
      </c>
      <c r="T4258">
        <v>0.15585473262220989</v>
      </c>
      <c r="U4258">
        <v>4.4286701896273666</v>
      </c>
      <c r="V4258">
        <v>0.20127025814248481</v>
      </c>
      <c r="W4258">
        <v>9.3221823149987255</v>
      </c>
      <c r="X4258">
        <v>0.33511790406027142</v>
      </c>
      <c r="Z4258" t="s">
        <v>392</v>
      </c>
      <c r="AA4258">
        <v>161</v>
      </c>
      <c r="AB4258" t="s">
        <v>4649</v>
      </c>
      <c r="AC4258" t="str">
        <f>HYPERLINK("plots/3FT6Y578R04_015_S31P_20251219032831_M5358ACSA301811_RBGEUFRF04/dpll_52046/txpa_54234.png","plot")</f>
        <v>plot</v>
      </c>
    </row>
    <row r="4259" spans="1:29" x14ac:dyDescent="0.35">
      <c r="A4259" s="3" t="s">
        <v>50</v>
      </c>
      <c r="B4259">
        <v>52046</v>
      </c>
      <c r="C4259" t="s">
        <v>51</v>
      </c>
      <c r="D4259">
        <v>54235</v>
      </c>
      <c r="E4259" t="s">
        <v>255</v>
      </c>
      <c r="F4259">
        <v>11782</v>
      </c>
      <c r="G4259">
        <v>0.77980484083233736</v>
      </c>
      <c r="H4259">
        <v>0</v>
      </c>
      <c r="I4259">
        <v>0</v>
      </c>
      <c r="J4259">
        <v>0.69587027100492804</v>
      </c>
      <c r="K4259">
        <v>0</v>
      </c>
      <c r="L4259">
        <v>0</v>
      </c>
      <c r="M4259">
        <v>0.50537537225525242</v>
      </c>
      <c r="N4259">
        <v>0</v>
      </c>
      <c r="O4259">
        <v>0</v>
      </c>
      <c r="P4259">
        <v>0.60809558978554701</v>
      </c>
      <c r="Q4259">
        <v>1.324290696603549</v>
      </c>
      <c r="R4259">
        <v>3.9183082720058828</v>
      </c>
      <c r="S4259">
        <v>0.21397451552461649</v>
      </c>
      <c r="T4259">
        <v>0.16148922550098341</v>
      </c>
      <c r="U4259">
        <v>4.4286477380750293</v>
      </c>
      <c r="V4259">
        <v>0.20127646963296911</v>
      </c>
      <c r="W4259">
        <v>9.7831252700729934</v>
      </c>
      <c r="X4259">
        <v>0.34181444154109469</v>
      </c>
      <c r="Z4259" t="s">
        <v>392</v>
      </c>
      <c r="AA4259">
        <v>161</v>
      </c>
      <c r="AB4259" t="s">
        <v>4650</v>
      </c>
      <c r="AC4259" t="str">
        <f>HYPERLINK("plots/3FT6Y578R04_015_S31P_20251219032831_M5358ACSA301811_RBGEUFRF04/dpll_52046/txpa_54235.png","plot")</f>
        <v>plot</v>
      </c>
    </row>
    <row r="4260" spans="1:29" x14ac:dyDescent="0.35">
      <c r="A4260" s="3" t="s">
        <v>50</v>
      </c>
      <c r="B4260">
        <v>52046</v>
      </c>
      <c r="C4260" t="s">
        <v>51</v>
      </c>
      <c r="D4260">
        <v>54236</v>
      </c>
      <c r="E4260" t="s">
        <v>256</v>
      </c>
      <c r="F4260">
        <v>11782</v>
      </c>
      <c r="G4260">
        <v>0.79611214343545778</v>
      </c>
      <c r="H4260">
        <v>0</v>
      </c>
      <c r="I4260">
        <v>0</v>
      </c>
      <c r="J4260">
        <v>0.70728684147969101</v>
      </c>
      <c r="K4260">
        <v>0</v>
      </c>
      <c r="L4260">
        <v>0</v>
      </c>
      <c r="M4260">
        <v>0.51837292862347661</v>
      </c>
      <c r="N4260">
        <v>0</v>
      </c>
      <c r="O4260">
        <v>0</v>
      </c>
      <c r="P4260">
        <v>0.63379454492539888</v>
      </c>
      <c r="Q4260">
        <v>1.354858679253135</v>
      </c>
      <c r="R4260">
        <v>3.8137743199358058</v>
      </c>
      <c r="S4260">
        <v>0.2072796798319323</v>
      </c>
      <c r="T4260">
        <v>0.15896221758095011</v>
      </c>
      <c r="U4260">
        <v>4.4286477380750293</v>
      </c>
      <c r="V4260">
        <v>0.20127646963296911</v>
      </c>
      <c r="W4260">
        <v>9.8139661452215243</v>
      </c>
      <c r="X4260">
        <v>0.34254115335419011</v>
      </c>
      <c r="Z4260" t="s">
        <v>392</v>
      </c>
      <c r="AA4260">
        <v>161</v>
      </c>
      <c r="AB4260" t="s">
        <v>4651</v>
      </c>
      <c r="AC4260" t="str">
        <f>HYPERLINK("plots/3FT6Y578R04_015_S31P_20251219032831_M5358ACSA301811_RBGEUFRF04/dpll_52046/txpa_54236.png","plot")</f>
        <v>plot</v>
      </c>
    </row>
    <row r="4261" spans="1:29" x14ac:dyDescent="0.35">
      <c r="A4261" s="3" t="s">
        <v>50</v>
      </c>
      <c r="B4261">
        <v>52046</v>
      </c>
      <c r="C4261" t="s">
        <v>51</v>
      </c>
      <c r="D4261">
        <v>54237</v>
      </c>
      <c r="E4261" t="s">
        <v>257</v>
      </c>
      <c r="F4261">
        <v>11782</v>
      </c>
      <c r="G4261">
        <v>0.79058624896915275</v>
      </c>
      <c r="H4261">
        <v>0</v>
      </c>
      <c r="I4261">
        <v>0</v>
      </c>
      <c r="J4261">
        <v>0.70005870418677474</v>
      </c>
      <c r="K4261">
        <v>0</v>
      </c>
      <c r="L4261">
        <v>0</v>
      </c>
      <c r="M4261">
        <v>0.51097508158841776</v>
      </c>
      <c r="N4261">
        <v>0</v>
      </c>
      <c r="O4261">
        <v>0</v>
      </c>
      <c r="P4261">
        <v>0.62502661705911522</v>
      </c>
      <c r="Q4261">
        <v>1.328561252948856</v>
      </c>
      <c r="R4261">
        <v>3.9412180295824211</v>
      </c>
      <c r="S4261">
        <v>0.20711288662109051</v>
      </c>
      <c r="T4261">
        <v>0.15773868704609001</v>
      </c>
      <c r="U4261">
        <v>4.4286477380750293</v>
      </c>
      <c r="V4261">
        <v>0.20127646963296911</v>
      </c>
      <c r="W4261">
        <v>9.8249478173484981</v>
      </c>
      <c r="X4261">
        <v>0.33824028565305031</v>
      </c>
      <c r="Z4261" t="s">
        <v>392</v>
      </c>
      <c r="AA4261">
        <v>161</v>
      </c>
      <c r="AB4261" t="s">
        <v>4652</v>
      </c>
      <c r="AC4261" t="str">
        <f>HYPERLINK("plots/3FT6Y578R04_015_S31P_20251219032831_M5358ACSA301811_RBGEUFRF04/dpll_52046/txpa_54237.png","plot")</f>
        <v>plot</v>
      </c>
    </row>
    <row r="4262" spans="1:29" x14ac:dyDescent="0.35">
      <c r="A4262" s="3" t="s">
        <v>50</v>
      </c>
      <c r="B4262">
        <v>52046</v>
      </c>
      <c r="C4262" t="s">
        <v>51</v>
      </c>
      <c r="D4262">
        <v>54238</v>
      </c>
      <c r="E4262" t="s">
        <v>258</v>
      </c>
      <c r="F4262">
        <v>11781</v>
      </c>
      <c r="G4262">
        <v>0.80267037787043483</v>
      </c>
      <c r="H4262">
        <v>0</v>
      </c>
      <c r="I4262">
        <v>0</v>
      </c>
      <c r="J4262">
        <v>0.70970382374381891</v>
      </c>
      <c r="K4262">
        <v>0</v>
      </c>
      <c r="L4262">
        <v>0</v>
      </c>
      <c r="M4262">
        <v>0.52043845790622756</v>
      </c>
      <c r="N4262">
        <v>0</v>
      </c>
      <c r="O4262">
        <v>0</v>
      </c>
      <c r="P4262">
        <v>0.64427973551066664</v>
      </c>
      <c r="Q4262">
        <v>1.3574481507162399</v>
      </c>
      <c r="R4262">
        <v>3.8204609046252749</v>
      </c>
      <c r="S4262">
        <v>0.20301599761019201</v>
      </c>
      <c r="T4262">
        <v>0.15656423682305459</v>
      </c>
      <c r="U4262">
        <v>4.4286547017231142</v>
      </c>
      <c r="V4262">
        <v>0.20128359324518649</v>
      </c>
      <c r="W4262">
        <v>9.8321300396400986</v>
      </c>
      <c r="X4262">
        <v>0.34040379332934928</v>
      </c>
      <c r="Z4262" t="s">
        <v>392</v>
      </c>
      <c r="AA4262">
        <v>161</v>
      </c>
      <c r="AB4262" t="s">
        <v>4653</v>
      </c>
      <c r="AC4262" t="str">
        <f>HYPERLINK("plots/3FT6Y578R04_015_S31P_20251219032831_M5358ACSA301811_RBGEUFRF04/dpll_52046/txpa_54238.png","plot")</f>
        <v>plot</v>
      </c>
    </row>
    <row r="4263" spans="1:29" x14ac:dyDescent="0.35">
      <c r="A4263" s="3" t="s">
        <v>50</v>
      </c>
      <c r="B4263">
        <v>52046</v>
      </c>
      <c r="C4263" t="s">
        <v>51</v>
      </c>
      <c r="D4263">
        <v>54239</v>
      </c>
      <c r="E4263" t="s">
        <v>259</v>
      </c>
      <c r="F4263">
        <v>11781</v>
      </c>
      <c r="G4263">
        <v>0.80443373194769952</v>
      </c>
      <c r="H4263">
        <v>0</v>
      </c>
      <c r="I4263">
        <v>0</v>
      </c>
      <c r="J4263">
        <v>0.70601635316857925</v>
      </c>
      <c r="K4263">
        <v>0</v>
      </c>
      <c r="L4263">
        <v>0</v>
      </c>
      <c r="M4263">
        <v>0.51574745770590835</v>
      </c>
      <c r="N4263">
        <v>0</v>
      </c>
      <c r="O4263">
        <v>0</v>
      </c>
      <c r="P4263">
        <v>0.64711362909530323</v>
      </c>
      <c r="Q4263">
        <v>1.3565646228906461</v>
      </c>
      <c r="R4263">
        <v>3.7990877083018142</v>
      </c>
      <c r="S4263">
        <v>0.20161171875985179</v>
      </c>
      <c r="T4263">
        <v>0.1558787179656996</v>
      </c>
      <c r="U4263">
        <v>4.4286210779220783</v>
      </c>
      <c r="V4263">
        <v>0.20126420786155011</v>
      </c>
      <c r="W4263">
        <v>9.8067983907987433</v>
      </c>
      <c r="X4263">
        <v>0.33940384819273001</v>
      </c>
      <c r="Z4263" t="s">
        <v>392</v>
      </c>
      <c r="AA4263">
        <v>161</v>
      </c>
      <c r="AB4263" t="s">
        <v>4654</v>
      </c>
      <c r="AC4263" t="str">
        <f>HYPERLINK("plots/3FT6Y578R04_015_S31P_20251219032831_M5358ACSA301811_RBGEUFRF04/dpll_52046/txpa_54239.png","plot")</f>
        <v>plot</v>
      </c>
    </row>
    <row r="4264" spans="1:29" x14ac:dyDescent="0.35">
      <c r="A4264" s="3" t="s">
        <v>50</v>
      </c>
      <c r="B4264">
        <v>52046</v>
      </c>
      <c r="C4264" t="s">
        <v>51</v>
      </c>
      <c r="D4264">
        <v>54240</v>
      </c>
      <c r="E4264" t="s">
        <v>260</v>
      </c>
      <c r="F4264">
        <v>11781</v>
      </c>
      <c r="G4264">
        <v>0.80752467855649934</v>
      </c>
      <c r="H4264">
        <v>0</v>
      </c>
      <c r="I4264">
        <v>0</v>
      </c>
      <c r="J4264">
        <v>0.71530817383899392</v>
      </c>
      <c r="K4264">
        <v>0</v>
      </c>
      <c r="L4264">
        <v>0</v>
      </c>
      <c r="M4264">
        <v>0.52521676542291573</v>
      </c>
      <c r="N4264">
        <v>0</v>
      </c>
      <c r="O4264">
        <v>0</v>
      </c>
      <c r="P4264">
        <v>0.6520961064777776</v>
      </c>
      <c r="Q4264">
        <v>1.3701617409706841</v>
      </c>
      <c r="R4264">
        <v>3.753978348902228</v>
      </c>
      <c r="S4264">
        <v>0.2014130074600658</v>
      </c>
      <c r="T4264">
        <v>0.15603785727805311</v>
      </c>
      <c r="U4264">
        <v>4.4286192746795683</v>
      </c>
      <c r="V4264">
        <v>0.20126129812424351</v>
      </c>
      <c r="W4264">
        <v>9.8219030443935136</v>
      </c>
      <c r="X4264">
        <v>0.34148867266926453</v>
      </c>
      <c r="Z4264" t="s">
        <v>392</v>
      </c>
      <c r="AA4264">
        <v>161</v>
      </c>
      <c r="AB4264" t="s">
        <v>4655</v>
      </c>
      <c r="AC4264" t="str">
        <f>HYPERLINK("plots/3FT6Y578R04_015_S31P_20251219032831_M5358ACSA301811_RBGEUFRF04/dpll_52046/txpa_54240.png","plot")</f>
        <v>plot</v>
      </c>
    </row>
    <row r="4265" spans="1:29" x14ac:dyDescent="0.35">
      <c r="A4265" s="3" t="s">
        <v>50</v>
      </c>
      <c r="B4265">
        <v>52046</v>
      </c>
      <c r="C4265" t="s">
        <v>51</v>
      </c>
      <c r="D4265">
        <v>54241</v>
      </c>
      <c r="E4265" t="s">
        <v>261</v>
      </c>
      <c r="F4265">
        <v>11782</v>
      </c>
      <c r="G4265">
        <v>0.80491992068114593</v>
      </c>
      <c r="H4265">
        <v>0</v>
      </c>
      <c r="I4265">
        <v>0</v>
      </c>
      <c r="J4265">
        <v>0.70694007032661099</v>
      </c>
      <c r="K4265">
        <v>0</v>
      </c>
      <c r="L4265">
        <v>0</v>
      </c>
      <c r="M4265">
        <v>0.51743065979335523</v>
      </c>
      <c r="N4265">
        <v>0</v>
      </c>
      <c r="O4265">
        <v>0</v>
      </c>
      <c r="P4265">
        <v>0.64789607870934229</v>
      </c>
      <c r="Q4265">
        <v>1.354484588396756</v>
      </c>
      <c r="R4265">
        <v>3.8285894577965269</v>
      </c>
      <c r="S4265">
        <v>0.20097007666832309</v>
      </c>
      <c r="T4265">
        <v>0.1557937838270127</v>
      </c>
      <c r="U4265">
        <v>4.4286477380750293</v>
      </c>
      <c r="V4265">
        <v>0.20127646963296911</v>
      </c>
      <c r="W4265">
        <v>9.8271245664573073</v>
      </c>
      <c r="X4265">
        <v>0.33869937756548563</v>
      </c>
      <c r="Z4265" t="s">
        <v>392</v>
      </c>
      <c r="AA4265">
        <v>161</v>
      </c>
      <c r="AB4265" t="s">
        <v>4656</v>
      </c>
      <c r="AC4265" t="str">
        <f>HYPERLINK("plots/3FT6Y578R04_015_S31P_20251219032831_M5358ACSA301811_RBGEUFRF04/dpll_52046/txpa_54241.png","plot")</f>
        <v>plot</v>
      </c>
    </row>
    <row r="4266" spans="1:29" x14ac:dyDescent="0.35">
      <c r="A4266" s="3" t="s">
        <v>50</v>
      </c>
      <c r="B4266">
        <v>52046</v>
      </c>
      <c r="C4266" t="s">
        <v>51</v>
      </c>
      <c r="D4266">
        <v>54242</v>
      </c>
      <c r="E4266" t="s">
        <v>262</v>
      </c>
      <c r="F4266">
        <v>11781</v>
      </c>
      <c r="G4266">
        <v>0.79768571089818874</v>
      </c>
      <c r="H4266">
        <v>0</v>
      </c>
      <c r="I4266">
        <v>0</v>
      </c>
      <c r="J4266">
        <v>0.70071313394354695</v>
      </c>
      <c r="K4266">
        <v>0</v>
      </c>
      <c r="L4266">
        <v>0</v>
      </c>
      <c r="M4266">
        <v>0.51271477102638474</v>
      </c>
      <c r="N4266">
        <v>0</v>
      </c>
      <c r="O4266">
        <v>0</v>
      </c>
      <c r="P4266">
        <v>0.63630249337114875</v>
      </c>
      <c r="Q4266">
        <v>1.3443219606160599</v>
      </c>
      <c r="R4266">
        <v>3.8498074170104259</v>
      </c>
      <c r="S4266">
        <v>0.20455156822280021</v>
      </c>
      <c r="T4266">
        <v>0.15678238036885569</v>
      </c>
      <c r="U4266">
        <v>4.4286701896273666</v>
      </c>
      <c r="V4266">
        <v>0.20127025814248481</v>
      </c>
      <c r="W4266">
        <v>9.8033660092521853</v>
      </c>
      <c r="X4266">
        <v>0.33919628287580011</v>
      </c>
      <c r="Z4266" t="s">
        <v>392</v>
      </c>
      <c r="AA4266">
        <v>161</v>
      </c>
      <c r="AB4266" t="s">
        <v>4657</v>
      </c>
      <c r="AC4266" t="str">
        <f>HYPERLINK("plots/3FT6Y578R04_015_S31P_20251219032831_M5358ACSA301811_RBGEUFRF04/dpll_52046/txpa_54242.png","plot")</f>
        <v>plot</v>
      </c>
    </row>
    <row r="4267" spans="1:29" x14ac:dyDescent="0.35">
      <c r="A4267" s="3" t="s">
        <v>50</v>
      </c>
      <c r="B4267">
        <v>52046</v>
      </c>
      <c r="C4267" t="s">
        <v>51</v>
      </c>
      <c r="D4267">
        <v>54243</v>
      </c>
      <c r="E4267" t="s">
        <v>263</v>
      </c>
      <c r="F4267">
        <v>11782</v>
      </c>
      <c r="G4267">
        <v>0.78610160852263178</v>
      </c>
      <c r="H4267">
        <v>0</v>
      </c>
      <c r="I4267">
        <v>0</v>
      </c>
      <c r="J4267">
        <v>0.69985722588435484</v>
      </c>
      <c r="K4267">
        <v>0</v>
      </c>
      <c r="L4267">
        <v>0</v>
      </c>
      <c r="M4267">
        <v>0.50912351033785097</v>
      </c>
      <c r="N4267">
        <v>0</v>
      </c>
      <c r="O4267">
        <v>0</v>
      </c>
      <c r="P4267">
        <v>0.61795573892186906</v>
      </c>
      <c r="Q4267">
        <v>1.377847095068673</v>
      </c>
      <c r="R4267">
        <v>5.2530535353850034</v>
      </c>
      <c r="S4267">
        <v>0.2180488272864243</v>
      </c>
      <c r="T4267">
        <v>0.16384691291907391</v>
      </c>
      <c r="U4267">
        <v>4.4286477380750293</v>
      </c>
      <c r="V4267">
        <v>0.20127646963296911</v>
      </c>
      <c r="W4267">
        <v>11.355052956374131</v>
      </c>
      <c r="X4267">
        <v>0.35278925266501371</v>
      </c>
      <c r="Z4267" t="s">
        <v>392</v>
      </c>
      <c r="AA4267">
        <v>161</v>
      </c>
      <c r="AB4267" t="s">
        <v>4658</v>
      </c>
      <c r="AC4267" t="str">
        <f>HYPERLINK("plots/3FT6Y578R04_015_S31P_20251219032831_M5358ACSA301811_RBGEUFRF04/dpll_52046/txpa_54243.png","plot")</f>
        <v>plot</v>
      </c>
    </row>
    <row r="4268" spans="1:29" x14ac:dyDescent="0.35">
      <c r="A4268" s="3" t="s">
        <v>50</v>
      </c>
      <c r="B4268">
        <v>52046</v>
      </c>
      <c r="C4268" t="s">
        <v>51</v>
      </c>
      <c r="D4268">
        <v>54244</v>
      </c>
      <c r="E4268" t="s">
        <v>264</v>
      </c>
      <c r="F4268">
        <v>11782</v>
      </c>
      <c r="G4268">
        <v>0.8020455944960786</v>
      </c>
      <c r="H4268">
        <v>0</v>
      </c>
      <c r="I4268">
        <v>0</v>
      </c>
      <c r="J4268">
        <v>0.7112572235548229</v>
      </c>
      <c r="K4268">
        <v>0</v>
      </c>
      <c r="L4268">
        <v>0</v>
      </c>
      <c r="M4268">
        <v>0.52222998938502074</v>
      </c>
      <c r="N4268">
        <v>0</v>
      </c>
      <c r="O4268">
        <v>0</v>
      </c>
      <c r="P4268">
        <v>0.6432771356505681</v>
      </c>
      <c r="Q4268">
        <v>1.409158840769718</v>
      </c>
      <c r="R4268">
        <v>5.1448870288086432</v>
      </c>
      <c r="S4268">
        <v>0.21120341709665241</v>
      </c>
      <c r="T4268">
        <v>0.16128204914011149</v>
      </c>
      <c r="U4268">
        <v>4.4286477380750293</v>
      </c>
      <c r="V4268">
        <v>0.20127646963296911</v>
      </c>
      <c r="W4268">
        <v>11.38555514157189</v>
      </c>
      <c r="X4268">
        <v>0.35363390631229619</v>
      </c>
      <c r="Z4268" t="s">
        <v>392</v>
      </c>
      <c r="AA4268">
        <v>161</v>
      </c>
      <c r="AB4268" t="s">
        <v>4659</v>
      </c>
      <c r="AC4268" t="str">
        <f>HYPERLINK("plots/3FT6Y578R04_015_S31P_20251219032831_M5358ACSA301811_RBGEUFRF04/dpll_52046/txpa_54244.png","plot")</f>
        <v>plot</v>
      </c>
    </row>
    <row r="4269" spans="1:29" x14ac:dyDescent="0.35">
      <c r="A4269" s="3" t="s">
        <v>50</v>
      </c>
      <c r="B4269">
        <v>52046</v>
      </c>
      <c r="C4269" t="s">
        <v>51</v>
      </c>
      <c r="D4269">
        <v>54245</v>
      </c>
      <c r="E4269" t="s">
        <v>265</v>
      </c>
      <c r="F4269">
        <v>11782</v>
      </c>
      <c r="G4269">
        <v>0.79696345290195669</v>
      </c>
      <c r="H4269">
        <v>0</v>
      </c>
      <c r="I4269">
        <v>0</v>
      </c>
      <c r="J4269">
        <v>0.70414287805446563</v>
      </c>
      <c r="K4269">
        <v>0</v>
      </c>
      <c r="L4269">
        <v>0</v>
      </c>
      <c r="M4269">
        <v>0.5148936421297291</v>
      </c>
      <c r="N4269">
        <v>0</v>
      </c>
      <c r="O4269">
        <v>0</v>
      </c>
      <c r="P4269">
        <v>0.63515074526140936</v>
      </c>
      <c r="Q4269">
        <v>1.3828656233427721</v>
      </c>
      <c r="R4269">
        <v>5.2727245888897754</v>
      </c>
      <c r="S4269">
        <v>0.2109467707912458</v>
      </c>
      <c r="T4269">
        <v>0.16002729625841</v>
      </c>
      <c r="U4269">
        <v>4.4286477380750293</v>
      </c>
      <c r="V4269">
        <v>0.20127646963296911</v>
      </c>
      <c r="W4269">
        <v>11.39694930376846</v>
      </c>
      <c r="X4269">
        <v>0.34924852529902611</v>
      </c>
      <c r="Z4269" t="s">
        <v>392</v>
      </c>
      <c r="AA4269">
        <v>161</v>
      </c>
      <c r="AB4269" t="s">
        <v>4660</v>
      </c>
      <c r="AC4269" t="str">
        <f>HYPERLINK("plots/3FT6Y578R04_015_S31P_20251219032831_M5358ACSA301811_RBGEUFRF04/dpll_52046/txpa_54245.png","plot")</f>
        <v>plot</v>
      </c>
    </row>
    <row r="4270" spans="1:29" x14ac:dyDescent="0.35">
      <c r="A4270" s="3" t="s">
        <v>50</v>
      </c>
      <c r="B4270">
        <v>52046</v>
      </c>
      <c r="C4270" t="s">
        <v>51</v>
      </c>
      <c r="D4270">
        <v>54246</v>
      </c>
      <c r="E4270" t="s">
        <v>266</v>
      </c>
      <c r="F4270">
        <v>11781</v>
      </c>
      <c r="G4270">
        <v>0.80836551975481241</v>
      </c>
      <c r="H4270">
        <v>0</v>
      </c>
      <c r="I4270">
        <v>0</v>
      </c>
      <c r="J4270">
        <v>0.71326929394452998</v>
      </c>
      <c r="K4270">
        <v>0</v>
      </c>
      <c r="L4270">
        <v>0</v>
      </c>
      <c r="M4270">
        <v>0.52393148467655282</v>
      </c>
      <c r="N4270">
        <v>0</v>
      </c>
      <c r="O4270">
        <v>0</v>
      </c>
      <c r="P4270">
        <v>0.65345481352846801</v>
      </c>
      <c r="Q4270">
        <v>1.4111834818909419</v>
      </c>
      <c r="R4270">
        <v>5.1537381910236526</v>
      </c>
      <c r="S4270">
        <v>0.20684526466307401</v>
      </c>
      <c r="T4270">
        <v>0.1589690490037968</v>
      </c>
      <c r="U4270">
        <v>4.4286547017231142</v>
      </c>
      <c r="V4270">
        <v>0.20128359324518649</v>
      </c>
      <c r="W4270">
        <v>11.403382553093969</v>
      </c>
      <c r="X4270">
        <v>0.35138569746198212</v>
      </c>
      <c r="Z4270" t="s">
        <v>392</v>
      </c>
      <c r="AA4270">
        <v>161</v>
      </c>
      <c r="AB4270" t="s">
        <v>4661</v>
      </c>
      <c r="AC4270" t="str">
        <f>HYPERLINK("plots/3FT6Y578R04_015_S31P_20251219032831_M5358ACSA301811_RBGEUFRF04/dpll_52046/txpa_54246.png","plot")</f>
        <v>plot</v>
      </c>
    </row>
    <row r="4271" spans="1:29" x14ac:dyDescent="0.35">
      <c r="A4271" s="3" t="s">
        <v>50</v>
      </c>
      <c r="B4271">
        <v>52046</v>
      </c>
      <c r="C4271" t="s">
        <v>51</v>
      </c>
      <c r="D4271">
        <v>54247</v>
      </c>
      <c r="E4271" t="s">
        <v>267</v>
      </c>
      <c r="F4271">
        <v>11781</v>
      </c>
      <c r="G4271">
        <v>0.81021886979435864</v>
      </c>
      <c r="H4271">
        <v>0</v>
      </c>
      <c r="I4271">
        <v>0</v>
      </c>
      <c r="J4271">
        <v>0.70971320844689645</v>
      </c>
      <c r="K4271">
        <v>0</v>
      </c>
      <c r="L4271">
        <v>0</v>
      </c>
      <c r="M4271">
        <v>0.51936588770505288</v>
      </c>
      <c r="N4271">
        <v>0</v>
      </c>
      <c r="O4271">
        <v>0</v>
      </c>
      <c r="P4271">
        <v>0.65645461697084784</v>
      </c>
      <c r="Q4271">
        <v>1.4117150419201701</v>
      </c>
      <c r="R4271">
        <v>5.1246818904123863</v>
      </c>
      <c r="S4271">
        <v>0.2055345622202481</v>
      </c>
      <c r="T4271">
        <v>0.15834130894711601</v>
      </c>
      <c r="U4271">
        <v>4.4286210779220783</v>
      </c>
      <c r="V4271">
        <v>0.20126420786155011</v>
      </c>
      <c r="W4271">
        <v>11.376632881079701</v>
      </c>
      <c r="X4271">
        <v>0.35068019300810932</v>
      </c>
      <c r="Z4271" t="s">
        <v>392</v>
      </c>
      <c r="AA4271">
        <v>161</v>
      </c>
      <c r="AB4271" t="s">
        <v>4662</v>
      </c>
      <c r="AC4271" t="str">
        <f>HYPERLINK("plots/3FT6Y578R04_015_S31P_20251219032831_M5358ACSA301811_RBGEUFRF04/dpll_52046/txpa_54247.png","plot")</f>
        <v>plot</v>
      </c>
    </row>
    <row r="4272" spans="1:29" x14ac:dyDescent="0.35">
      <c r="A4272" s="3" t="s">
        <v>50</v>
      </c>
      <c r="B4272">
        <v>52046</v>
      </c>
      <c r="C4272" t="s">
        <v>51</v>
      </c>
      <c r="D4272">
        <v>54248</v>
      </c>
      <c r="E4272" t="s">
        <v>268</v>
      </c>
      <c r="F4272">
        <v>11781</v>
      </c>
      <c r="G4272">
        <v>0.81295343067096248</v>
      </c>
      <c r="H4272">
        <v>0</v>
      </c>
      <c r="I4272">
        <v>0</v>
      </c>
      <c r="J4272">
        <v>0.71849269700301521</v>
      </c>
      <c r="K4272">
        <v>0</v>
      </c>
      <c r="L4272">
        <v>0</v>
      </c>
      <c r="M4272">
        <v>0.52854071636161082</v>
      </c>
      <c r="N4272">
        <v>0</v>
      </c>
      <c r="O4272">
        <v>0</v>
      </c>
      <c r="P4272">
        <v>0.66089328043968742</v>
      </c>
      <c r="Q4272">
        <v>1.423933228000408</v>
      </c>
      <c r="R4272">
        <v>5.0876831137401259</v>
      </c>
      <c r="S4272">
        <v>0.20527402168817299</v>
      </c>
      <c r="T4272">
        <v>0.15835568883602319</v>
      </c>
      <c r="U4272">
        <v>4.4286192746795683</v>
      </c>
      <c r="V4272">
        <v>0.20126129812424351</v>
      </c>
      <c r="W4272">
        <v>11.39374125311943</v>
      </c>
      <c r="X4272">
        <v>0.35252037705662748</v>
      </c>
      <c r="Z4272" t="s">
        <v>392</v>
      </c>
      <c r="AA4272">
        <v>161</v>
      </c>
      <c r="AB4272" t="s">
        <v>4663</v>
      </c>
      <c r="AC4272" t="str">
        <f>HYPERLINK("plots/3FT6Y578R04_015_S31P_20251219032831_M5358ACSA301811_RBGEUFRF04/dpll_52046/txpa_54248.png","plot")</f>
        <v>plot</v>
      </c>
    </row>
    <row r="4273" spans="1:29" x14ac:dyDescent="0.35">
      <c r="A4273" s="3" t="s">
        <v>50</v>
      </c>
      <c r="B4273">
        <v>52046</v>
      </c>
      <c r="C4273" t="s">
        <v>51</v>
      </c>
      <c r="D4273">
        <v>54249</v>
      </c>
      <c r="E4273" t="s">
        <v>269</v>
      </c>
      <c r="F4273">
        <v>11782</v>
      </c>
      <c r="G4273">
        <v>0.81066631306234305</v>
      </c>
      <c r="H4273">
        <v>0</v>
      </c>
      <c r="I4273">
        <v>0</v>
      </c>
      <c r="J4273">
        <v>0.71050867286450381</v>
      </c>
      <c r="K4273">
        <v>0</v>
      </c>
      <c r="L4273">
        <v>0</v>
      </c>
      <c r="M4273">
        <v>0.52097214441569883</v>
      </c>
      <c r="N4273">
        <v>0</v>
      </c>
      <c r="O4273">
        <v>0</v>
      </c>
      <c r="P4273">
        <v>0.65717987113409282</v>
      </c>
      <c r="Q4273">
        <v>1.4089028537327311</v>
      </c>
      <c r="R4273">
        <v>5.1602581255231303</v>
      </c>
      <c r="S4273">
        <v>0.204807876354861</v>
      </c>
      <c r="T4273">
        <v>0.15804007341513401</v>
      </c>
      <c r="U4273">
        <v>4.4286477380750293</v>
      </c>
      <c r="V4273">
        <v>0.20127646963296911</v>
      </c>
      <c r="W4273">
        <v>11.39979256187404</v>
      </c>
      <c r="X4273">
        <v>0.34980976498690569</v>
      </c>
      <c r="Z4273" t="s">
        <v>392</v>
      </c>
      <c r="AA4273">
        <v>161</v>
      </c>
      <c r="AB4273" t="s">
        <v>4664</v>
      </c>
      <c r="AC4273" t="str">
        <f>HYPERLINK("plots/3FT6Y578R04_015_S31P_20251219032831_M5358ACSA301811_RBGEUFRF04/dpll_52046/txpa_54249.png","plot")</f>
        <v>plot</v>
      </c>
    </row>
    <row r="4274" spans="1:29" x14ac:dyDescent="0.35">
      <c r="A4274" s="3" t="s">
        <v>50</v>
      </c>
      <c r="B4274">
        <v>52046</v>
      </c>
      <c r="C4274" t="s">
        <v>51</v>
      </c>
      <c r="D4274">
        <v>54250</v>
      </c>
      <c r="E4274" t="s">
        <v>270</v>
      </c>
      <c r="F4274">
        <v>11781</v>
      </c>
      <c r="G4274">
        <v>0.80302750507984144</v>
      </c>
      <c r="H4274">
        <v>0</v>
      </c>
      <c r="I4274">
        <v>0</v>
      </c>
      <c r="J4274">
        <v>0.70361713575659812</v>
      </c>
      <c r="K4274">
        <v>0</v>
      </c>
      <c r="L4274">
        <v>0</v>
      </c>
      <c r="M4274">
        <v>0.51559097584632052</v>
      </c>
      <c r="N4274">
        <v>0</v>
      </c>
      <c r="O4274">
        <v>0</v>
      </c>
      <c r="P4274">
        <v>0.64485317391475472</v>
      </c>
      <c r="Q4274">
        <v>1.3965953887607181</v>
      </c>
      <c r="R4274">
        <v>5.1927593380753621</v>
      </c>
      <c r="S4274">
        <v>0.2085956860722265</v>
      </c>
      <c r="T4274">
        <v>0.15928725314886619</v>
      </c>
      <c r="U4274">
        <v>4.4286701896273666</v>
      </c>
      <c r="V4274">
        <v>0.20127025814248481</v>
      </c>
      <c r="W4274">
        <v>11.377819703250999</v>
      </c>
      <c r="X4274">
        <v>0.35004170173290128</v>
      </c>
      <c r="Z4274" t="s">
        <v>392</v>
      </c>
      <c r="AA4274">
        <v>161</v>
      </c>
      <c r="AB4274" t="s">
        <v>4665</v>
      </c>
      <c r="AC4274" t="str">
        <f>HYPERLINK("plots/3FT6Y578R04_015_S31P_20251219032831_M5358ACSA301811_RBGEUFRF04/dpll_52046/txpa_54250.png","plot")</f>
        <v>plot</v>
      </c>
    </row>
    <row r="4275" spans="1:29" x14ac:dyDescent="0.35">
      <c r="A4275" s="3" t="s">
        <v>50</v>
      </c>
      <c r="B4275">
        <v>52046</v>
      </c>
      <c r="C4275" t="s">
        <v>51</v>
      </c>
      <c r="D4275">
        <v>54251</v>
      </c>
      <c r="E4275" t="s">
        <v>271</v>
      </c>
      <c r="F4275">
        <v>11782</v>
      </c>
      <c r="G4275">
        <v>0.78810761529212048</v>
      </c>
      <c r="H4275">
        <v>0</v>
      </c>
      <c r="I4275">
        <v>0</v>
      </c>
      <c r="J4275">
        <v>0.70069116669582976</v>
      </c>
      <c r="K4275">
        <v>0</v>
      </c>
      <c r="L4275">
        <v>0</v>
      </c>
      <c r="M4275">
        <v>0.50998043699413032</v>
      </c>
      <c r="N4275">
        <v>0</v>
      </c>
      <c r="O4275">
        <v>0</v>
      </c>
      <c r="P4275">
        <v>0.621113613281433</v>
      </c>
      <c r="Q4275">
        <v>1.395105311526059</v>
      </c>
      <c r="R4275">
        <v>5.7351897003002836</v>
      </c>
      <c r="S4275">
        <v>0.21930601532704899</v>
      </c>
      <c r="T4275">
        <v>0.16450285632009631</v>
      </c>
      <c r="U4275">
        <v>4.4286477380750293</v>
      </c>
      <c r="V4275">
        <v>0.20127646963296911</v>
      </c>
      <c r="W4275">
        <v>11.91361968256663</v>
      </c>
      <c r="X4275">
        <v>0.35629889423931838</v>
      </c>
      <c r="Z4275" t="s">
        <v>392</v>
      </c>
      <c r="AA4275">
        <v>161</v>
      </c>
      <c r="AB4275" t="s">
        <v>4666</v>
      </c>
      <c r="AC4275" t="str">
        <f>HYPERLINK("plots/3FT6Y578R04_015_S31P_20251219032831_M5358ACSA301811_RBGEUFRF04/dpll_52046/txpa_54251.png","plot")</f>
        <v>plot</v>
      </c>
    </row>
    <row r="4276" spans="1:29" x14ac:dyDescent="0.35">
      <c r="A4276" s="3" t="s">
        <v>50</v>
      </c>
      <c r="B4276">
        <v>52046</v>
      </c>
      <c r="C4276" t="s">
        <v>51</v>
      </c>
      <c r="D4276">
        <v>54252</v>
      </c>
      <c r="E4276" t="s">
        <v>272</v>
      </c>
      <c r="F4276">
        <v>11782</v>
      </c>
      <c r="G4276">
        <v>0.80398785818237306</v>
      </c>
      <c r="H4276">
        <v>0</v>
      </c>
      <c r="I4276">
        <v>0</v>
      </c>
      <c r="J4276">
        <v>0.7122393217322579</v>
      </c>
      <c r="K4276">
        <v>0</v>
      </c>
      <c r="L4276">
        <v>0</v>
      </c>
      <c r="M4276">
        <v>0.52321276148775098</v>
      </c>
      <c r="N4276">
        <v>0</v>
      </c>
      <c r="O4276">
        <v>0</v>
      </c>
      <c r="P4276">
        <v>0.64639647610467965</v>
      </c>
      <c r="Q4276">
        <v>1.4271407967841589</v>
      </c>
      <c r="R4276">
        <v>5.6238317053737941</v>
      </c>
      <c r="S4276">
        <v>0.21244680225579149</v>
      </c>
      <c r="T4276">
        <v>0.1619388856532939</v>
      </c>
      <c r="U4276">
        <v>4.4286477380750293</v>
      </c>
      <c r="V4276">
        <v>0.20127646963296911</v>
      </c>
      <c r="W4276">
        <v>11.94413556696656</v>
      </c>
      <c r="X4276">
        <v>0.35728134240149151</v>
      </c>
      <c r="Z4276" t="s">
        <v>392</v>
      </c>
      <c r="AA4276">
        <v>161</v>
      </c>
      <c r="AB4276" t="s">
        <v>4667</v>
      </c>
      <c r="AC4276" t="str">
        <f>HYPERLINK("plots/3FT6Y578R04_015_S31P_20251219032831_M5358ACSA301811_RBGEUFRF04/dpll_52046/txpa_54252.png","plot")</f>
        <v>plot</v>
      </c>
    </row>
    <row r="4277" spans="1:29" x14ac:dyDescent="0.35">
      <c r="A4277" s="3" t="s">
        <v>50</v>
      </c>
      <c r="B4277">
        <v>52046</v>
      </c>
      <c r="C4277" t="s">
        <v>51</v>
      </c>
      <c r="D4277">
        <v>54253</v>
      </c>
      <c r="E4277" t="s">
        <v>273</v>
      </c>
      <c r="F4277">
        <v>11782</v>
      </c>
      <c r="G4277">
        <v>0.79901557454936012</v>
      </c>
      <c r="H4277">
        <v>0</v>
      </c>
      <c r="I4277">
        <v>0</v>
      </c>
      <c r="J4277">
        <v>0.70509557451959182</v>
      </c>
      <c r="K4277">
        <v>0</v>
      </c>
      <c r="L4277">
        <v>0</v>
      </c>
      <c r="M4277">
        <v>0.51586730276678527</v>
      </c>
      <c r="N4277">
        <v>0</v>
      </c>
      <c r="O4277">
        <v>0</v>
      </c>
      <c r="P4277">
        <v>0.63842588837244407</v>
      </c>
      <c r="Q4277">
        <v>1.4005020896618541</v>
      </c>
      <c r="R4277">
        <v>5.7536167400368434</v>
      </c>
      <c r="S4277">
        <v>0.21212983564996629</v>
      </c>
      <c r="T4277">
        <v>0.16067072366122029</v>
      </c>
      <c r="U4277">
        <v>4.4286477380750293</v>
      </c>
      <c r="V4277">
        <v>0.20127646963296911</v>
      </c>
      <c r="W4277">
        <v>11.95594715158717</v>
      </c>
      <c r="X4277">
        <v>0.35279426997367003</v>
      </c>
      <c r="Z4277" t="s">
        <v>392</v>
      </c>
      <c r="AA4277">
        <v>161</v>
      </c>
      <c r="AB4277" t="s">
        <v>4668</v>
      </c>
      <c r="AC4277" t="str">
        <f>HYPERLINK("plots/3FT6Y578R04_015_S31P_20251219032831_M5358ACSA301811_RBGEUFRF04/dpll_52046/txpa_54253.png","plot")</f>
        <v>plot</v>
      </c>
    </row>
    <row r="4278" spans="1:29" x14ac:dyDescent="0.35">
      <c r="A4278" s="3" t="s">
        <v>50</v>
      </c>
      <c r="B4278">
        <v>52046</v>
      </c>
      <c r="C4278" t="s">
        <v>51</v>
      </c>
      <c r="D4278">
        <v>54254</v>
      </c>
      <c r="E4278" t="s">
        <v>274</v>
      </c>
      <c r="F4278">
        <v>11781</v>
      </c>
      <c r="G4278">
        <v>0.81022130428478023</v>
      </c>
      <c r="H4278">
        <v>0</v>
      </c>
      <c r="I4278">
        <v>0</v>
      </c>
      <c r="J4278">
        <v>0.71412381196962937</v>
      </c>
      <c r="K4278">
        <v>0</v>
      </c>
      <c r="L4278">
        <v>0</v>
      </c>
      <c r="M4278">
        <v>0.52481145902495452</v>
      </c>
      <c r="N4278">
        <v>0</v>
      </c>
      <c r="O4278">
        <v>0</v>
      </c>
      <c r="P4278">
        <v>0.65645856191693042</v>
      </c>
      <c r="Q4278">
        <v>1.4291385092356239</v>
      </c>
      <c r="R4278">
        <v>5.6329257791509653</v>
      </c>
      <c r="S4278">
        <v>0.20808950248423419</v>
      </c>
      <c r="T4278">
        <v>0.159658539715088</v>
      </c>
      <c r="U4278">
        <v>4.4286547017231142</v>
      </c>
      <c r="V4278">
        <v>0.20128359324518649</v>
      </c>
      <c r="W4278">
        <v>11.962086757490869</v>
      </c>
      <c r="X4278">
        <v>0.3550414348064424</v>
      </c>
      <c r="Z4278" t="s">
        <v>392</v>
      </c>
      <c r="AA4278">
        <v>161</v>
      </c>
      <c r="AB4278" t="s">
        <v>4669</v>
      </c>
      <c r="AC4278" t="str">
        <f>HYPERLINK("plots/3FT6Y578R04_015_S31P_20251219032831_M5358ACSA301811_RBGEUFRF04/dpll_52046/txpa_54254.png","plot")</f>
        <v>plot</v>
      </c>
    </row>
    <row r="4279" spans="1:29" x14ac:dyDescent="0.35">
      <c r="A4279" s="3" t="s">
        <v>50</v>
      </c>
      <c r="B4279">
        <v>52046</v>
      </c>
      <c r="C4279" t="s">
        <v>51</v>
      </c>
      <c r="D4279">
        <v>54255</v>
      </c>
      <c r="E4279" t="s">
        <v>275</v>
      </c>
      <c r="F4279">
        <v>11781</v>
      </c>
      <c r="G4279">
        <v>0.8119383831090522</v>
      </c>
      <c r="H4279">
        <v>0</v>
      </c>
      <c r="I4279">
        <v>0</v>
      </c>
      <c r="J4279">
        <v>0.71038744463517201</v>
      </c>
      <c r="K4279">
        <v>0</v>
      </c>
      <c r="L4279">
        <v>0</v>
      </c>
      <c r="M4279">
        <v>0.520122564645773</v>
      </c>
      <c r="N4279">
        <v>0</v>
      </c>
      <c r="O4279">
        <v>0</v>
      </c>
      <c r="P4279">
        <v>0.65924393796574199</v>
      </c>
      <c r="Q4279">
        <v>1.429658479485848</v>
      </c>
      <c r="R4279">
        <v>5.6030299962122632</v>
      </c>
      <c r="S4279">
        <v>0.20686124913694681</v>
      </c>
      <c r="T4279">
        <v>0.15909574186735059</v>
      </c>
      <c r="U4279">
        <v>4.4286210779220783</v>
      </c>
      <c r="V4279">
        <v>0.20126420786155011</v>
      </c>
      <c r="W4279">
        <v>11.93444567269332</v>
      </c>
      <c r="X4279">
        <v>0.35438536639253942</v>
      </c>
      <c r="Z4279" t="s">
        <v>392</v>
      </c>
      <c r="AA4279">
        <v>161</v>
      </c>
      <c r="AB4279" t="s">
        <v>4670</v>
      </c>
      <c r="AC4279" t="str">
        <f>HYPERLINK("plots/3FT6Y578R04_015_S31P_20251219032831_M5358ACSA301811_RBGEUFRF04/dpll_52046/txpa_54255.png","plot")</f>
        <v>plot</v>
      </c>
    </row>
    <row r="4280" spans="1:29" x14ac:dyDescent="0.35">
      <c r="A4280" s="3" t="s">
        <v>50</v>
      </c>
      <c r="B4280">
        <v>52046</v>
      </c>
      <c r="C4280" t="s">
        <v>51</v>
      </c>
      <c r="D4280">
        <v>54256</v>
      </c>
      <c r="E4280" t="s">
        <v>276</v>
      </c>
      <c r="F4280">
        <v>11781</v>
      </c>
      <c r="G4280">
        <v>0.81481867207094238</v>
      </c>
      <c r="H4280">
        <v>0</v>
      </c>
      <c r="I4280">
        <v>0</v>
      </c>
      <c r="J4280">
        <v>0.71933748679920162</v>
      </c>
      <c r="K4280">
        <v>0</v>
      </c>
      <c r="L4280">
        <v>0</v>
      </c>
      <c r="M4280">
        <v>0.52952387161659409</v>
      </c>
      <c r="N4280">
        <v>0</v>
      </c>
      <c r="O4280">
        <v>0</v>
      </c>
      <c r="P4280">
        <v>0.66392946835545397</v>
      </c>
      <c r="Q4280">
        <v>1.4420793327539769</v>
      </c>
      <c r="R4280">
        <v>5.565701503960522</v>
      </c>
      <c r="S4280">
        <v>0.20648344312426159</v>
      </c>
      <c r="T4280">
        <v>0.1589973879924006</v>
      </c>
      <c r="U4280">
        <v>4.4286192746795683</v>
      </c>
      <c r="V4280">
        <v>0.20126129812424351</v>
      </c>
      <c r="W4280">
        <v>11.95212183261183</v>
      </c>
      <c r="X4280">
        <v>0.35619551742788108</v>
      </c>
      <c r="Z4280" t="s">
        <v>392</v>
      </c>
      <c r="AA4280">
        <v>161</v>
      </c>
      <c r="AB4280" t="s">
        <v>4671</v>
      </c>
      <c r="AC4280" t="str">
        <f>HYPERLINK("plots/3FT6Y578R04_015_S31P_20251219032831_M5358ACSA301811_RBGEUFRF04/dpll_52046/txpa_54256.png","plot")</f>
        <v>plot</v>
      </c>
    </row>
    <row r="4281" spans="1:29" x14ac:dyDescent="0.35">
      <c r="A4281" s="3" t="s">
        <v>50</v>
      </c>
      <c r="B4281">
        <v>52046</v>
      </c>
      <c r="C4281" t="s">
        <v>51</v>
      </c>
      <c r="D4281">
        <v>54257</v>
      </c>
      <c r="E4281" t="s">
        <v>277</v>
      </c>
      <c r="F4281">
        <v>11782</v>
      </c>
      <c r="G4281">
        <v>0.81246263455627721</v>
      </c>
      <c r="H4281">
        <v>0</v>
      </c>
      <c r="I4281">
        <v>0</v>
      </c>
      <c r="J4281">
        <v>0.71119572012846921</v>
      </c>
      <c r="K4281">
        <v>0</v>
      </c>
      <c r="L4281">
        <v>0</v>
      </c>
      <c r="M4281">
        <v>0.52174113516358278</v>
      </c>
      <c r="N4281">
        <v>0</v>
      </c>
      <c r="O4281">
        <v>0</v>
      </c>
      <c r="P4281">
        <v>0.66009553255012687</v>
      </c>
      <c r="Q4281">
        <v>1.426799620108492</v>
      </c>
      <c r="R4281">
        <v>5.6397330861554549</v>
      </c>
      <c r="S4281">
        <v>0.20606896971772379</v>
      </c>
      <c r="T4281">
        <v>0.15871021450130909</v>
      </c>
      <c r="U4281">
        <v>4.4286477380750293</v>
      </c>
      <c r="V4281">
        <v>0.20127646963296911</v>
      </c>
      <c r="W4281">
        <v>11.95852599643524</v>
      </c>
      <c r="X4281">
        <v>0.35347002827513591</v>
      </c>
      <c r="Z4281" t="s">
        <v>392</v>
      </c>
      <c r="AA4281">
        <v>161</v>
      </c>
      <c r="AB4281" t="s">
        <v>4672</v>
      </c>
      <c r="AC4281" t="str">
        <f>HYPERLINK("plots/3FT6Y578R04_015_S31P_20251219032831_M5358ACSA301811_RBGEUFRF04/dpll_52046/txpa_54257.png","plot")</f>
        <v>plot</v>
      </c>
    </row>
    <row r="4282" spans="1:29" x14ac:dyDescent="0.35">
      <c r="A4282" s="3" t="s">
        <v>50</v>
      </c>
      <c r="B4282">
        <v>52046</v>
      </c>
      <c r="C4282" t="s">
        <v>51</v>
      </c>
      <c r="D4282">
        <v>54258</v>
      </c>
      <c r="E4282" t="s">
        <v>278</v>
      </c>
      <c r="F4282">
        <v>11781</v>
      </c>
      <c r="G4282">
        <v>0.80461944912160022</v>
      </c>
      <c r="H4282">
        <v>0</v>
      </c>
      <c r="I4282">
        <v>0</v>
      </c>
      <c r="J4282">
        <v>0.70402196329706246</v>
      </c>
      <c r="K4282">
        <v>0</v>
      </c>
      <c r="L4282">
        <v>0</v>
      </c>
      <c r="M4282">
        <v>0.51610302242152695</v>
      </c>
      <c r="N4282">
        <v>0</v>
      </c>
      <c r="O4282">
        <v>0</v>
      </c>
      <c r="P4282">
        <v>0.64741245790474744</v>
      </c>
      <c r="Q4282">
        <v>1.413768374921228</v>
      </c>
      <c r="R4282">
        <v>5.6758951090803391</v>
      </c>
      <c r="S4282">
        <v>0.20998215526887981</v>
      </c>
      <c r="T4282">
        <v>0.16007003761985911</v>
      </c>
      <c r="U4282">
        <v>4.4286701896273666</v>
      </c>
      <c r="V4282">
        <v>0.20127025814248481</v>
      </c>
      <c r="W4282">
        <v>11.937008966131909</v>
      </c>
      <c r="X4282">
        <v>0.35364485171806193</v>
      </c>
      <c r="Z4282" t="s">
        <v>392</v>
      </c>
      <c r="AA4282">
        <v>161</v>
      </c>
      <c r="AB4282" t="s">
        <v>4673</v>
      </c>
      <c r="AC4282" t="str">
        <f>HYPERLINK("plots/3FT6Y578R04_015_S31P_20251219032831_M5358ACSA301811_RBGEUFRF04/dpll_52046/txpa_54258.png","plot")</f>
        <v>plot</v>
      </c>
    </row>
    <row r="4283" spans="1:29" hidden="1" x14ac:dyDescent="0.35">
      <c r="A4283" s="3" t="s">
        <v>50</v>
      </c>
      <c r="B4283">
        <v>52046</v>
      </c>
      <c r="C4283" t="s">
        <v>51</v>
      </c>
      <c r="D4283">
        <v>55146</v>
      </c>
      <c r="E4283" t="s">
        <v>279</v>
      </c>
      <c r="F4283">
        <v>11782</v>
      </c>
      <c r="G4283">
        <v>-1.1550890715583319E-2</v>
      </c>
      <c r="H4283">
        <v>0.20995131494833649</v>
      </c>
      <c r="I4283">
        <v>0.21078280530456761</v>
      </c>
      <c r="J4283">
        <v>-1.151854998186135E-2</v>
      </c>
      <c r="K4283">
        <v>0.21123054319286139</v>
      </c>
      <c r="L4283">
        <v>0.21227727531968429</v>
      </c>
      <c r="M4283">
        <v>-7.654637806181583E-3</v>
      </c>
      <c r="N4283">
        <v>0.2127271480625206</v>
      </c>
      <c r="O4283">
        <v>0.21378129646719121</v>
      </c>
      <c r="P4283">
        <v>1.3342307632334901E-4</v>
      </c>
      <c r="Q4283">
        <v>-0.26092196737929058</v>
      </c>
      <c r="R4283">
        <v>-10.183331333899231</v>
      </c>
      <c r="S4283">
        <v>4.5461186921217136</v>
      </c>
      <c r="T4283">
        <v>3.490558846219201</v>
      </c>
      <c r="U4283">
        <v>4.4286477380750293</v>
      </c>
      <c r="V4283">
        <v>0.20127646963296911</v>
      </c>
      <c r="W4283">
        <v>-11.33886281454761</v>
      </c>
      <c r="X4283">
        <v>4.5466149526409234</v>
      </c>
      <c r="Z4283" t="s">
        <v>392</v>
      </c>
      <c r="AA4283">
        <v>161</v>
      </c>
      <c r="AB4283" t="s">
        <v>4674</v>
      </c>
      <c r="AC4283" t="str">
        <f>HYPERLINK("plots/3FT6Y578R04_015_S31P_20251219032831_M5358ACSA301811_RBGEUFRF04/dpll_52046/txpa_55146.png","plot")</f>
        <v>plot</v>
      </c>
    </row>
    <row r="4284" spans="1:29" x14ac:dyDescent="0.35">
      <c r="A4284" s="3" t="s">
        <v>50</v>
      </c>
      <c r="B4284">
        <v>52046</v>
      </c>
      <c r="C4284" t="s">
        <v>51</v>
      </c>
      <c r="D4284">
        <v>55147</v>
      </c>
      <c r="E4284" t="s">
        <v>280</v>
      </c>
      <c r="F4284">
        <v>11782</v>
      </c>
      <c r="G4284">
        <v>0.24691555049778449</v>
      </c>
      <c r="H4284">
        <v>3.653346210999501E-163</v>
      </c>
      <c r="I4284">
        <v>3.6787418648992002E-163</v>
      </c>
      <c r="J4284">
        <v>0.22339275673679021</v>
      </c>
      <c r="K4284">
        <v>3.6832622212031609E-133</v>
      </c>
      <c r="L4284">
        <v>3.7051864010912752E-133</v>
      </c>
      <c r="M4284">
        <v>0.15078813459194779</v>
      </c>
      <c r="N4284">
        <v>7.0115037639374093E-132</v>
      </c>
      <c r="O4284">
        <v>7.0532389053894174E-132</v>
      </c>
      <c r="P4284">
        <v>6.0967289077623991E-2</v>
      </c>
      <c r="Q4284">
        <v>1.4165416130474831</v>
      </c>
      <c r="R4284">
        <v>-28.449690992654141</v>
      </c>
      <c r="S4284">
        <v>1.118911739755557</v>
      </c>
      <c r="T4284">
        <v>0.90956632608318488</v>
      </c>
      <c r="U4284">
        <v>4.4286477380750293</v>
      </c>
      <c r="V4284">
        <v>0.20127646963296911</v>
      </c>
      <c r="W4284">
        <v>-22.176327182142249</v>
      </c>
      <c r="X4284">
        <v>1.154712590550051</v>
      </c>
      <c r="Z4284" t="s">
        <v>392</v>
      </c>
      <c r="AA4284">
        <v>161</v>
      </c>
      <c r="AB4284" t="s">
        <v>4675</v>
      </c>
      <c r="AC4284" t="str">
        <f>HYPERLINK("plots/3FT6Y578R04_015_S31P_20251219032831_M5358ACSA301811_RBGEUFRF04/dpll_52046/txpa_55147.png","plot")</f>
        <v>plot</v>
      </c>
    </row>
    <row r="4285" spans="1:29" x14ac:dyDescent="0.35">
      <c r="A4285" s="3" t="s">
        <v>50</v>
      </c>
      <c r="B4285">
        <v>52046</v>
      </c>
      <c r="C4285" t="s">
        <v>51</v>
      </c>
      <c r="D4285">
        <v>55148</v>
      </c>
      <c r="E4285" t="s">
        <v>281</v>
      </c>
      <c r="F4285">
        <v>11782</v>
      </c>
      <c r="G4285">
        <v>0.28133034637391469</v>
      </c>
      <c r="H4285">
        <v>3.1497782557056137E-213</v>
      </c>
      <c r="I4285">
        <v>3.2791325988557418E-213</v>
      </c>
      <c r="J4285">
        <v>0.25736138364132533</v>
      </c>
      <c r="K4285">
        <v>1.4290051589301349E-177</v>
      </c>
      <c r="L4285">
        <v>1.4922875707056199E-177</v>
      </c>
      <c r="M4285">
        <v>0.17398968531700931</v>
      </c>
      <c r="N4285">
        <v>3.1298767805067431E-175</v>
      </c>
      <c r="O4285">
        <v>3.2684810045662589E-175</v>
      </c>
      <c r="P4285">
        <v>7.9146763790866811E-2</v>
      </c>
      <c r="Q4285">
        <v>1.608467262411226</v>
      </c>
      <c r="R4285">
        <v>-29.196485587539591</v>
      </c>
      <c r="S4285">
        <v>1.1042449698556001</v>
      </c>
      <c r="T4285">
        <v>0.89309171067047366</v>
      </c>
      <c r="U4285">
        <v>4.4286477380750293</v>
      </c>
      <c r="V4285">
        <v>0.20127646963296911</v>
      </c>
      <c r="W4285">
        <v>-22.073150684094379</v>
      </c>
      <c r="X4285">
        <v>1.150770317781673</v>
      </c>
      <c r="Z4285" t="s">
        <v>392</v>
      </c>
      <c r="AA4285">
        <v>161</v>
      </c>
      <c r="AB4285" t="s">
        <v>4676</v>
      </c>
      <c r="AC4285" t="str">
        <f>HYPERLINK("plots/3FT6Y578R04_015_S31P_20251219032831_M5358ACSA301811_RBGEUFRF04/dpll_52046/txpa_55148.png","plot")</f>
        <v>plot</v>
      </c>
    </row>
    <row r="4286" spans="1:29" x14ac:dyDescent="0.35">
      <c r="A4286" s="3" t="s">
        <v>50</v>
      </c>
      <c r="B4286">
        <v>52046</v>
      </c>
      <c r="C4286" t="s">
        <v>51</v>
      </c>
      <c r="D4286">
        <v>55149</v>
      </c>
      <c r="E4286" t="s">
        <v>282</v>
      </c>
      <c r="F4286">
        <v>11782</v>
      </c>
      <c r="G4286">
        <v>0.25606602184957927</v>
      </c>
      <c r="H4286">
        <v>9.5170592520019302E-176</v>
      </c>
      <c r="I4286">
        <v>9.6502980815299573E-176</v>
      </c>
      <c r="J4286">
        <v>0.23068615516365731</v>
      </c>
      <c r="K4286">
        <v>4.171261164808102E-142</v>
      </c>
      <c r="L4286">
        <v>4.2086157424033987E-142</v>
      </c>
      <c r="M4286">
        <v>0.15537464985362709</v>
      </c>
      <c r="N4286">
        <v>2.787044835064027E-140</v>
      </c>
      <c r="O4286">
        <v>2.8120034455272868E-140</v>
      </c>
      <c r="P4286">
        <v>6.5569807545869205E-2</v>
      </c>
      <c r="Q4286">
        <v>1.4654330734040291</v>
      </c>
      <c r="R4286">
        <v>-28.53233530497555</v>
      </c>
      <c r="S4286">
        <v>1.1134277494924021</v>
      </c>
      <c r="T4286">
        <v>0.89828476141073299</v>
      </c>
      <c r="U4286">
        <v>4.4286477380750293</v>
      </c>
      <c r="V4286">
        <v>0.20127646963296911</v>
      </c>
      <c r="W4286">
        <v>-22.042448439144462</v>
      </c>
      <c r="X4286">
        <v>1.151879477674008</v>
      </c>
      <c r="Z4286" t="s">
        <v>392</v>
      </c>
      <c r="AA4286">
        <v>161</v>
      </c>
      <c r="AB4286" t="s">
        <v>4677</v>
      </c>
      <c r="AC4286" t="str">
        <f>HYPERLINK("plots/3FT6Y578R04_015_S31P_20251219032831_M5358ACSA301811_RBGEUFRF04/dpll_52046/txpa_55149.png","plot")</f>
        <v>plot</v>
      </c>
    </row>
    <row r="4287" spans="1:29" x14ac:dyDescent="0.35">
      <c r="A4287" s="3" t="s">
        <v>50</v>
      </c>
      <c r="B4287">
        <v>52046</v>
      </c>
      <c r="C4287" t="s">
        <v>51</v>
      </c>
      <c r="D4287">
        <v>55150</v>
      </c>
      <c r="E4287" t="s">
        <v>283</v>
      </c>
      <c r="F4287">
        <v>11782</v>
      </c>
      <c r="G4287">
        <v>0.27578314040817942</v>
      </c>
      <c r="H4287">
        <v>1.1947495493952059E-204</v>
      </c>
      <c r="I4287">
        <v>1.23620004396606E-204</v>
      </c>
      <c r="J4287">
        <v>0.25061549577949188</v>
      </c>
      <c r="K4287">
        <v>3.441514169842116E-168</v>
      </c>
      <c r="L4287">
        <v>3.5500461528178079E-168</v>
      </c>
      <c r="M4287">
        <v>0.16963364413986651</v>
      </c>
      <c r="N4287">
        <v>6.8442860062045443E-167</v>
      </c>
      <c r="O4287">
        <v>7.0601281895131305E-167</v>
      </c>
      <c r="P4287">
        <v>7.6056340533397604E-2</v>
      </c>
      <c r="Q4287">
        <v>1.5785126610378271</v>
      </c>
      <c r="R4287">
        <v>-28.970807383067829</v>
      </c>
      <c r="S4287">
        <v>1.1073315573180269</v>
      </c>
      <c r="T4287">
        <v>0.88847838614580243</v>
      </c>
      <c r="U4287">
        <v>4.4286477380750293</v>
      </c>
      <c r="V4287">
        <v>0.20127646963296911</v>
      </c>
      <c r="W4287">
        <v>-21.98013085723986</v>
      </c>
      <c r="X4287">
        <v>1.1520553983626129</v>
      </c>
      <c r="Z4287" t="s">
        <v>392</v>
      </c>
      <c r="AA4287">
        <v>161</v>
      </c>
      <c r="AB4287" t="s">
        <v>4678</v>
      </c>
      <c r="AC4287" t="str">
        <f>HYPERLINK("plots/3FT6Y578R04_015_S31P_20251219032831_M5358ACSA301811_RBGEUFRF04/dpll_52046/txpa_55150.png","plot")</f>
        <v>plot</v>
      </c>
    </row>
    <row r="4288" spans="1:29" x14ac:dyDescent="0.35">
      <c r="A4288" s="3" t="s">
        <v>50</v>
      </c>
      <c r="B4288">
        <v>52046</v>
      </c>
      <c r="C4288" t="s">
        <v>51</v>
      </c>
      <c r="D4288">
        <v>55151</v>
      </c>
      <c r="E4288" t="s">
        <v>284</v>
      </c>
      <c r="F4288">
        <v>11782</v>
      </c>
      <c r="G4288">
        <v>0.26615827801070469</v>
      </c>
      <c r="H4288">
        <v>3.1130210086396751E-190</v>
      </c>
      <c r="I4288">
        <v>3.175657246238058E-190</v>
      </c>
      <c r="J4288">
        <v>0.2394477674710801</v>
      </c>
      <c r="K4288">
        <v>2.8241874821649658E-153</v>
      </c>
      <c r="L4288">
        <v>2.8781166903671111E-153</v>
      </c>
      <c r="M4288">
        <v>0.16133420437282789</v>
      </c>
      <c r="N4288">
        <v>5.2573546705395951E-151</v>
      </c>
      <c r="O4288">
        <v>5.3577463677659787E-151</v>
      </c>
      <c r="P4288">
        <v>7.084022895362356E-2</v>
      </c>
      <c r="Q4288">
        <v>1.5392006073083631</v>
      </c>
      <c r="R4288">
        <v>-28.85858843721056</v>
      </c>
      <c r="S4288">
        <v>1.1219539251287081</v>
      </c>
      <c r="T4288">
        <v>0.90333391823489728</v>
      </c>
      <c r="U4288">
        <v>4.4286477380750293</v>
      </c>
      <c r="V4288">
        <v>0.20127646963296911</v>
      </c>
      <c r="W4288">
        <v>-22.042011149210659</v>
      </c>
      <c r="X4288">
        <v>1.163987333444835</v>
      </c>
      <c r="Z4288" t="s">
        <v>392</v>
      </c>
      <c r="AA4288">
        <v>161</v>
      </c>
      <c r="AB4288" t="s">
        <v>4679</v>
      </c>
      <c r="AC4288" t="str">
        <f>HYPERLINK("plots/3FT6Y578R04_015_S31P_20251219032831_M5358ACSA301811_RBGEUFRF04/dpll_52046/txpa_55151.png","plot")</f>
        <v>plot</v>
      </c>
    </row>
    <row r="4289" spans="1:29" x14ac:dyDescent="0.35">
      <c r="A4289" s="3" t="s">
        <v>50</v>
      </c>
      <c r="B4289">
        <v>52046</v>
      </c>
      <c r="C4289" t="s">
        <v>51</v>
      </c>
      <c r="D4289">
        <v>55152</v>
      </c>
      <c r="E4289" t="s">
        <v>285</v>
      </c>
      <c r="F4289">
        <v>11782</v>
      </c>
      <c r="G4289">
        <v>0.26924601395596759</v>
      </c>
      <c r="H4289">
        <v>8.5679209997663585E-195</v>
      </c>
      <c r="I4289">
        <v>8.7845014092650022E-195</v>
      </c>
      <c r="J4289">
        <v>0.24460890849822761</v>
      </c>
      <c r="K4289">
        <v>4.5016167530408292E-160</v>
      </c>
      <c r="L4289">
        <v>4.6341516625212192E-160</v>
      </c>
      <c r="M4289">
        <v>0.165532035564771</v>
      </c>
      <c r="N4289">
        <v>6.3653544101451876E-159</v>
      </c>
      <c r="O4289">
        <v>6.5527607836418476E-159</v>
      </c>
      <c r="P4289">
        <v>7.2493416031177121E-2</v>
      </c>
      <c r="Q4289">
        <v>1.5469990041904069</v>
      </c>
      <c r="R4289">
        <v>-28.909330423940819</v>
      </c>
      <c r="S4289">
        <v>1.11371438040698</v>
      </c>
      <c r="T4289">
        <v>0.90295026547517088</v>
      </c>
      <c r="U4289">
        <v>4.4286477380750293</v>
      </c>
      <c r="V4289">
        <v>0.20127646963296911</v>
      </c>
      <c r="W4289">
        <v>-22.058216783228652</v>
      </c>
      <c r="X4289">
        <v>1.1564683670306291</v>
      </c>
      <c r="Z4289" t="s">
        <v>392</v>
      </c>
      <c r="AA4289">
        <v>161</v>
      </c>
      <c r="AB4289" t="s">
        <v>4680</v>
      </c>
      <c r="AC4289" t="str">
        <f>HYPERLINK("plots/3FT6Y578R04_015_S31P_20251219032831_M5358ACSA301811_RBGEUFRF04/dpll_52046/txpa_55152.png","plot")</f>
        <v>plot</v>
      </c>
    </row>
    <row r="4290" spans="1:29" x14ac:dyDescent="0.35">
      <c r="A4290" s="3" t="s">
        <v>50</v>
      </c>
      <c r="B4290">
        <v>52046</v>
      </c>
      <c r="C4290" t="s">
        <v>51</v>
      </c>
      <c r="D4290">
        <v>55153</v>
      </c>
      <c r="E4290" t="s">
        <v>286</v>
      </c>
      <c r="F4290">
        <v>11782</v>
      </c>
      <c r="G4290">
        <v>0.26696889971968307</v>
      </c>
      <c r="H4290">
        <v>2.0036909947991318E-191</v>
      </c>
      <c r="I4290">
        <v>2.0501944184927551E-191</v>
      </c>
      <c r="J4290">
        <v>0.24216861924399949</v>
      </c>
      <c r="K4290">
        <v>7.7203261607519563E-157</v>
      </c>
      <c r="L4290">
        <v>7.8915430715750848E-157</v>
      </c>
      <c r="M4290">
        <v>0.16359808798883191</v>
      </c>
      <c r="N4290">
        <v>3.6193614882852061E-155</v>
      </c>
      <c r="O4290">
        <v>3.6996295858076611E-155</v>
      </c>
      <c r="P4290">
        <v>7.127239341753823E-2</v>
      </c>
      <c r="Q4290">
        <v>1.521041132496824</v>
      </c>
      <c r="R4290">
        <v>-28.814588823675638</v>
      </c>
      <c r="S4290">
        <v>1.1050935387842129</v>
      </c>
      <c r="T4290">
        <v>0.89002884445773256</v>
      </c>
      <c r="U4290">
        <v>4.4286477380750293</v>
      </c>
      <c r="V4290">
        <v>0.20127646963296911</v>
      </c>
      <c r="W4290">
        <v>-22.0784334527245</v>
      </c>
      <c r="X4290">
        <v>1.1467619997570899</v>
      </c>
      <c r="Z4290" t="s">
        <v>392</v>
      </c>
      <c r="AA4290">
        <v>161</v>
      </c>
      <c r="AB4290" t="s">
        <v>4681</v>
      </c>
      <c r="AC4290" t="str">
        <f>HYPERLINK("plots/3FT6Y578R04_015_S31P_20251219032831_M5358ACSA301811_RBGEUFRF04/dpll_52046/txpa_55153.png","plot")</f>
        <v>plot</v>
      </c>
    </row>
    <row r="4291" spans="1:29" x14ac:dyDescent="0.35">
      <c r="A4291" s="3" t="s">
        <v>50</v>
      </c>
      <c r="B4291">
        <v>52046</v>
      </c>
      <c r="C4291" t="s">
        <v>51</v>
      </c>
      <c r="D4291">
        <v>55154</v>
      </c>
      <c r="E4291" t="s">
        <v>287</v>
      </c>
      <c r="F4291">
        <v>11782</v>
      </c>
      <c r="G4291">
        <v>0.2517911262817053</v>
      </c>
      <c r="H4291">
        <v>8.3578496091932452E-170</v>
      </c>
      <c r="I4291">
        <v>8.4495109708095219E-170</v>
      </c>
      <c r="J4291">
        <v>0.23101887832369819</v>
      </c>
      <c r="K4291">
        <v>1.6016351848048349E-142</v>
      </c>
      <c r="L4291">
        <v>1.6175877264861591E-142</v>
      </c>
      <c r="M4291">
        <v>0.1563163914206161</v>
      </c>
      <c r="N4291">
        <v>1.9597477633185771E-141</v>
      </c>
      <c r="O4291">
        <v>1.9832177964122119E-141</v>
      </c>
      <c r="P4291">
        <v>6.3398771274209662E-2</v>
      </c>
      <c r="Q4291">
        <v>1.4568943982557161</v>
      </c>
      <c r="R4291">
        <v>-28.652176592568011</v>
      </c>
      <c r="S4291">
        <v>1.127040674138482</v>
      </c>
      <c r="T4291">
        <v>0.91278260853937443</v>
      </c>
      <c r="U4291">
        <v>4.4286477380750293</v>
      </c>
      <c r="V4291">
        <v>0.20127646963296911</v>
      </c>
      <c r="W4291">
        <v>-22.20010451111866</v>
      </c>
      <c r="X4291">
        <v>1.1646103873449549</v>
      </c>
      <c r="Z4291" t="s">
        <v>392</v>
      </c>
      <c r="AA4291">
        <v>161</v>
      </c>
      <c r="AB4291" t="s">
        <v>4682</v>
      </c>
      <c r="AC4291" t="str">
        <f>HYPERLINK("plots/3FT6Y578R04_015_S31P_20251219032831_M5358ACSA301811_RBGEUFRF04/dpll_52046/txpa_55154.png","plot")</f>
        <v>plot</v>
      </c>
    </row>
    <row r="4292" spans="1:29" x14ac:dyDescent="0.35">
      <c r="A4292" s="3" t="s">
        <v>50</v>
      </c>
      <c r="B4292">
        <v>52046</v>
      </c>
      <c r="C4292" t="s">
        <v>51</v>
      </c>
      <c r="D4292">
        <v>55155</v>
      </c>
      <c r="E4292" t="s">
        <v>288</v>
      </c>
      <c r="F4292">
        <v>11782</v>
      </c>
      <c r="G4292">
        <v>0.58899988983931595</v>
      </c>
      <c r="H4292">
        <v>0</v>
      </c>
      <c r="I4292">
        <v>0</v>
      </c>
      <c r="J4292">
        <v>0.51730375214428892</v>
      </c>
      <c r="K4292">
        <v>0</v>
      </c>
      <c r="L4292">
        <v>0</v>
      </c>
      <c r="M4292">
        <v>0.36164366029803352</v>
      </c>
      <c r="N4292">
        <v>0</v>
      </c>
      <c r="O4292">
        <v>0</v>
      </c>
      <c r="P4292">
        <v>0.34692087023072632</v>
      </c>
      <c r="Q4292">
        <v>0.90075491566704391</v>
      </c>
      <c r="R4292">
        <v>-15.420057666102791</v>
      </c>
      <c r="S4292">
        <v>0.24874187583391069</v>
      </c>
      <c r="T4292">
        <v>0.19242312010979759</v>
      </c>
      <c r="U4292">
        <v>4.4286477380750293</v>
      </c>
      <c r="V4292">
        <v>0.20127646963296911</v>
      </c>
      <c r="W4292">
        <v>-11.430931446273981</v>
      </c>
      <c r="X4292">
        <v>0.30781121110135651</v>
      </c>
      <c r="Z4292" t="s">
        <v>392</v>
      </c>
      <c r="AA4292">
        <v>161</v>
      </c>
      <c r="AB4292" t="s">
        <v>4683</v>
      </c>
      <c r="AC4292" t="str">
        <f>HYPERLINK("plots/3FT6Y578R04_015_S31P_20251219032831_M5358ACSA301811_RBGEUFRF04/dpll_52046/txpa_55155.png","plot")</f>
        <v>plot</v>
      </c>
    </row>
    <row r="4293" spans="1:29" x14ac:dyDescent="0.35">
      <c r="A4293" s="3" t="s">
        <v>50</v>
      </c>
      <c r="B4293">
        <v>52046</v>
      </c>
      <c r="C4293" t="s">
        <v>51</v>
      </c>
      <c r="D4293">
        <v>55156</v>
      </c>
      <c r="E4293" t="s">
        <v>289</v>
      </c>
      <c r="F4293">
        <v>11782</v>
      </c>
      <c r="G4293">
        <v>0.61446342507601326</v>
      </c>
      <c r="H4293">
        <v>0</v>
      </c>
      <c r="I4293">
        <v>0</v>
      </c>
      <c r="J4293">
        <v>0.5380208277896954</v>
      </c>
      <c r="K4293">
        <v>0</v>
      </c>
      <c r="L4293">
        <v>0</v>
      </c>
      <c r="M4293">
        <v>0.37861793650935521</v>
      </c>
      <c r="N4293">
        <v>0</v>
      </c>
      <c r="O4293">
        <v>0</v>
      </c>
      <c r="P4293">
        <v>0.37756530075614542</v>
      </c>
      <c r="Q4293">
        <v>0.94792294345322281</v>
      </c>
      <c r="R4293">
        <v>-15.56750740540271</v>
      </c>
      <c r="S4293">
        <v>0.2449618597974022</v>
      </c>
      <c r="T4293">
        <v>0.190830760159202</v>
      </c>
      <c r="U4293">
        <v>4.4286477380750293</v>
      </c>
      <c r="V4293">
        <v>0.20127646963296911</v>
      </c>
      <c r="W4293">
        <v>-11.369490606009171</v>
      </c>
      <c r="X4293">
        <v>0.31050600533100031</v>
      </c>
      <c r="Z4293" t="s">
        <v>392</v>
      </c>
      <c r="AA4293">
        <v>161</v>
      </c>
      <c r="AB4293" t="s">
        <v>4684</v>
      </c>
      <c r="AC4293" t="str">
        <f>HYPERLINK("plots/3FT6Y578R04_015_S31P_20251219032831_M5358ACSA301811_RBGEUFRF04/dpll_52046/txpa_55156.png","plot")</f>
        <v>plot</v>
      </c>
    </row>
    <row r="4294" spans="1:29" x14ac:dyDescent="0.35">
      <c r="A4294" s="3" t="s">
        <v>50</v>
      </c>
      <c r="B4294">
        <v>52046</v>
      </c>
      <c r="C4294" t="s">
        <v>51</v>
      </c>
      <c r="D4294">
        <v>55157</v>
      </c>
      <c r="E4294" t="s">
        <v>290</v>
      </c>
      <c r="F4294">
        <v>11782</v>
      </c>
      <c r="G4294">
        <v>0.61395483254258754</v>
      </c>
      <c r="H4294">
        <v>0</v>
      </c>
      <c r="I4294">
        <v>0</v>
      </c>
      <c r="J4294">
        <v>0.53298906172832994</v>
      </c>
      <c r="K4294">
        <v>0</v>
      </c>
      <c r="L4294">
        <v>0</v>
      </c>
      <c r="M4294">
        <v>0.37505211669465321</v>
      </c>
      <c r="N4294">
        <v>0</v>
      </c>
      <c r="O4294">
        <v>0</v>
      </c>
      <c r="P4294">
        <v>0.37694053640239672</v>
      </c>
      <c r="Q4294">
        <v>0.92715028379889874</v>
      </c>
      <c r="R4294">
        <v>-15.451211242475759</v>
      </c>
      <c r="S4294">
        <v>0.2399125887940203</v>
      </c>
      <c r="T4294">
        <v>0.18742232626566829</v>
      </c>
      <c r="U4294">
        <v>4.4286477380750293</v>
      </c>
      <c r="V4294">
        <v>0.20127646963296911</v>
      </c>
      <c r="W4294">
        <v>-11.34518923527415</v>
      </c>
      <c r="X4294">
        <v>0.3039531998948849</v>
      </c>
      <c r="Z4294" t="s">
        <v>392</v>
      </c>
      <c r="AA4294">
        <v>161</v>
      </c>
      <c r="AB4294" t="s">
        <v>4685</v>
      </c>
      <c r="AC4294" t="str">
        <f>HYPERLINK("plots/3FT6Y578R04_015_S31P_20251219032831_M5358ACSA301811_RBGEUFRF04/dpll_52046/txpa_55157.png","plot")</f>
        <v>plot</v>
      </c>
    </row>
    <row r="4295" spans="1:29" x14ac:dyDescent="0.35">
      <c r="A4295" s="3" t="s">
        <v>50</v>
      </c>
      <c r="B4295">
        <v>52046</v>
      </c>
      <c r="C4295" t="s">
        <v>51</v>
      </c>
      <c r="D4295">
        <v>55158</v>
      </c>
      <c r="E4295" t="s">
        <v>291</v>
      </c>
      <c r="F4295">
        <v>11781</v>
      </c>
      <c r="G4295">
        <v>0.62484702586293073</v>
      </c>
      <c r="H4295">
        <v>0</v>
      </c>
      <c r="I4295">
        <v>0</v>
      </c>
      <c r="J4295">
        <v>0.5414006321087198</v>
      </c>
      <c r="K4295">
        <v>0</v>
      </c>
      <c r="L4295">
        <v>0</v>
      </c>
      <c r="M4295">
        <v>0.38136399494760881</v>
      </c>
      <c r="N4295">
        <v>0</v>
      </c>
      <c r="O4295">
        <v>0</v>
      </c>
      <c r="P4295">
        <v>0.39043380572975001</v>
      </c>
      <c r="Q4295">
        <v>0.96216523301809864</v>
      </c>
      <c r="R4295">
        <v>-15.57378514827227</v>
      </c>
      <c r="S4295">
        <v>0.24197825121055311</v>
      </c>
      <c r="T4295">
        <v>0.1887864696160603</v>
      </c>
      <c r="U4295">
        <v>4.4286547017231142</v>
      </c>
      <c r="V4295">
        <v>0.20128359324518649</v>
      </c>
      <c r="W4295">
        <v>-11.312687565232149</v>
      </c>
      <c r="X4295">
        <v>0.30994478229293693</v>
      </c>
      <c r="Z4295" t="s">
        <v>392</v>
      </c>
      <c r="AA4295">
        <v>161</v>
      </c>
      <c r="AB4295" t="s">
        <v>4686</v>
      </c>
      <c r="AC4295" t="str">
        <f>HYPERLINK("plots/3FT6Y578R04_015_S31P_20251219032831_M5358ACSA301811_RBGEUFRF04/dpll_52046/txpa_55158.png","plot")</f>
        <v>plot</v>
      </c>
    </row>
    <row r="4296" spans="1:29" x14ac:dyDescent="0.35">
      <c r="A4296" s="3" t="s">
        <v>50</v>
      </c>
      <c r="B4296">
        <v>52046</v>
      </c>
      <c r="C4296" t="s">
        <v>51</v>
      </c>
      <c r="D4296">
        <v>55159</v>
      </c>
      <c r="E4296" t="s">
        <v>292</v>
      </c>
      <c r="F4296">
        <v>11781</v>
      </c>
      <c r="G4296">
        <v>0.63031089089821724</v>
      </c>
      <c r="H4296">
        <v>0</v>
      </c>
      <c r="I4296">
        <v>0</v>
      </c>
      <c r="J4296">
        <v>0.54390391557624351</v>
      </c>
      <c r="K4296">
        <v>0</v>
      </c>
      <c r="L4296">
        <v>0</v>
      </c>
      <c r="M4296">
        <v>0.38269800645778451</v>
      </c>
      <c r="N4296">
        <v>0</v>
      </c>
      <c r="O4296">
        <v>0</v>
      </c>
      <c r="P4296">
        <v>0.3972918191849043</v>
      </c>
      <c r="Q4296">
        <v>0.96950556711513658</v>
      </c>
      <c r="R4296">
        <v>-15.62537157417238</v>
      </c>
      <c r="S4296">
        <v>0.24032400603117179</v>
      </c>
      <c r="T4296">
        <v>0.1888549715701382</v>
      </c>
      <c r="U4296">
        <v>4.4286210779220783</v>
      </c>
      <c r="V4296">
        <v>0.20126420786155011</v>
      </c>
      <c r="W4296">
        <v>-11.331798784483491</v>
      </c>
      <c r="X4296">
        <v>0.3095722647354669</v>
      </c>
      <c r="Z4296" t="s">
        <v>392</v>
      </c>
      <c r="AA4296">
        <v>161</v>
      </c>
      <c r="AB4296" t="s">
        <v>4687</v>
      </c>
      <c r="AC4296" t="str">
        <f>HYPERLINK("plots/3FT6Y578R04_015_S31P_20251219032831_M5358ACSA301811_RBGEUFRF04/dpll_52046/txpa_55159.png","plot")</f>
        <v>plot</v>
      </c>
    </row>
    <row r="4297" spans="1:29" x14ac:dyDescent="0.35">
      <c r="A4297" s="3" t="s">
        <v>50</v>
      </c>
      <c r="B4297">
        <v>52046</v>
      </c>
      <c r="C4297" t="s">
        <v>51</v>
      </c>
      <c r="D4297">
        <v>55160</v>
      </c>
      <c r="E4297" t="s">
        <v>293</v>
      </c>
      <c r="F4297">
        <v>11782</v>
      </c>
      <c r="G4297">
        <v>0.62979898555628988</v>
      </c>
      <c r="H4297">
        <v>0</v>
      </c>
      <c r="I4297">
        <v>0</v>
      </c>
      <c r="J4297">
        <v>0.5454673687415138</v>
      </c>
      <c r="K4297">
        <v>0</v>
      </c>
      <c r="L4297">
        <v>0</v>
      </c>
      <c r="M4297">
        <v>0.38545628508691948</v>
      </c>
      <c r="N4297">
        <v>0</v>
      </c>
      <c r="O4297">
        <v>0</v>
      </c>
      <c r="P4297">
        <v>0.39664676220773182</v>
      </c>
      <c r="Q4297">
        <v>0.95716025196691656</v>
      </c>
      <c r="R4297">
        <v>-15.58386940168786</v>
      </c>
      <c r="S4297">
        <v>0.2375981733952614</v>
      </c>
      <c r="T4297">
        <v>0.18593905504488151</v>
      </c>
      <c r="U4297">
        <v>4.4286477380750293</v>
      </c>
      <c r="V4297">
        <v>0.20127646963296911</v>
      </c>
      <c r="W4297">
        <v>-11.344943816839249</v>
      </c>
      <c r="X4297">
        <v>0.30589734313200978</v>
      </c>
      <c r="Z4297" t="s">
        <v>392</v>
      </c>
      <c r="AA4297">
        <v>161</v>
      </c>
      <c r="AB4297" t="s">
        <v>4688</v>
      </c>
      <c r="AC4297" t="str">
        <f>HYPERLINK("plots/3FT6Y578R04_015_S31P_20251219032831_M5358ACSA301811_RBGEUFRF04/dpll_52046/txpa_55160.png","plot")</f>
        <v>plot</v>
      </c>
    </row>
    <row r="4298" spans="1:29" x14ac:dyDescent="0.35">
      <c r="A4298" s="3" t="s">
        <v>50</v>
      </c>
      <c r="B4298">
        <v>52046</v>
      </c>
      <c r="C4298" t="s">
        <v>51</v>
      </c>
      <c r="D4298">
        <v>55161</v>
      </c>
      <c r="E4298" t="s">
        <v>294</v>
      </c>
      <c r="F4298">
        <v>11781</v>
      </c>
      <c r="G4298">
        <v>0.62387296604273235</v>
      </c>
      <c r="H4298">
        <v>0</v>
      </c>
      <c r="I4298">
        <v>0</v>
      </c>
      <c r="J4298">
        <v>0.5392444560211942</v>
      </c>
      <c r="K4298">
        <v>0</v>
      </c>
      <c r="L4298">
        <v>0</v>
      </c>
      <c r="M4298">
        <v>0.37968380737353719</v>
      </c>
      <c r="N4298">
        <v>0</v>
      </c>
      <c r="O4298">
        <v>0</v>
      </c>
      <c r="P4298">
        <v>0.38921747775895632</v>
      </c>
      <c r="Q4298">
        <v>0.94832385658223262</v>
      </c>
      <c r="R4298">
        <v>-15.54057970682519</v>
      </c>
      <c r="S4298">
        <v>0.23906837140596451</v>
      </c>
      <c r="T4298">
        <v>0.1873080512480855</v>
      </c>
      <c r="U4298">
        <v>4.4286821262201856</v>
      </c>
      <c r="V4298">
        <v>0.20125039720016169</v>
      </c>
      <c r="W4298">
        <v>-11.34075479331127</v>
      </c>
      <c r="X4298">
        <v>0.30591252257994322</v>
      </c>
      <c r="Z4298" t="s">
        <v>392</v>
      </c>
      <c r="AA4298">
        <v>161</v>
      </c>
      <c r="AB4298" t="s">
        <v>4689</v>
      </c>
      <c r="AC4298" t="str">
        <f>HYPERLINK("plots/3FT6Y578R04_015_S31P_20251219032831_M5358ACSA301811_RBGEUFRF04/dpll_52046/txpa_55161.png","plot")</f>
        <v>plot</v>
      </c>
    </row>
    <row r="4299" spans="1:29" x14ac:dyDescent="0.35">
      <c r="A4299" s="3" t="s">
        <v>50</v>
      </c>
      <c r="B4299">
        <v>52046</v>
      </c>
      <c r="C4299" t="s">
        <v>51</v>
      </c>
      <c r="D4299">
        <v>55162</v>
      </c>
      <c r="E4299" t="s">
        <v>295</v>
      </c>
      <c r="F4299">
        <v>11781</v>
      </c>
      <c r="G4299">
        <v>0.6084429761231398</v>
      </c>
      <c r="H4299">
        <v>0</v>
      </c>
      <c r="I4299">
        <v>0</v>
      </c>
      <c r="J4299">
        <v>0.52323457268452711</v>
      </c>
      <c r="K4299">
        <v>0</v>
      </c>
      <c r="L4299">
        <v>0</v>
      </c>
      <c r="M4299">
        <v>0.36785127488254438</v>
      </c>
      <c r="N4299">
        <v>0</v>
      </c>
      <c r="O4299">
        <v>0</v>
      </c>
      <c r="P4299">
        <v>0.37020285519358359</v>
      </c>
      <c r="Q4299">
        <v>0.92581944890695811</v>
      </c>
      <c r="R4299">
        <v>-15.50810553114802</v>
      </c>
      <c r="S4299">
        <v>0.24303450231641649</v>
      </c>
      <c r="T4299">
        <v>0.1899361544298131</v>
      </c>
      <c r="U4299">
        <v>4.4286701896273666</v>
      </c>
      <c r="V4299">
        <v>0.20127025814248481</v>
      </c>
      <c r="W4299">
        <v>-11.407956536796529</v>
      </c>
      <c r="X4299">
        <v>0.30625699825175418</v>
      </c>
      <c r="Z4299" t="s">
        <v>392</v>
      </c>
      <c r="AA4299">
        <v>161</v>
      </c>
      <c r="AB4299" t="s">
        <v>4690</v>
      </c>
      <c r="AC4299" t="str">
        <f>HYPERLINK("plots/3FT6Y578R04_015_S31P_20251219032831_M5358ACSA301811_RBGEUFRF04/dpll_52046/txpa_55162.png","plot")</f>
        <v>plot</v>
      </c>
    </row>
    <row r="4300" spans="1:29" x14ac:dyDescent="0.35">
      <c r="A4300" s="3" t="s">
        <v>50</v>
      </c>
      <c r="B4300">
        <v>52046</v>
      </c>
      <c r="C4300" t="s">
        <v>51</v>
      </c>
      <c r="D4300">
        <v>55163</v>
      </c>
      <c r="E4300" t="s">
        <v>296</v>
      </c>
      <c r="F4300">
        <v>11782</v>
      </c>
      <c r="G4300">
        <v>0.60227552837990084</v>
      </c>
      <c r="H4300">
        <v>0</v>
      </c>
      <c r="I4300">
        <v>0</v>
      </c>
      <c r="J4300">
        <v>0.53160967980686158</v>
      </c>
      <c r="K4300">
        <v>0</v>
      </c>
      <c r="L4300">
        <v>0</v>
      </c>
      <c r="M4300">
        <v>0.37239645490951728</v>
      </c>
      <c r="N4300">
        <v>0</v>
      </c>
      <c r="O4300">
        <v>0</v>
      </c>
      <c r="P4300">
        <v>0.36273581208528871</v>
      </c>
      <c r="Q4300">
        <v>0.81035292238234813</v>
      </c>
      <c r="R4300">
        <v>-9.064850032609165</v>
      </c>
      <c r="S4300">
        <v>0.21617890721375629</v>
      </c>
      <c r="T4300">
        <v>0.165709766709566</v>
      </c>
      <c r="U4300">
        <v>4.4286477380750293</v>
      </c>
      <c r="V4300">
        <v>0.20127646963296911</v>
      </c>
      <c r="W4300">
        <v>-5.4760823958580884</v>
      </c>
      <c r="X4300">
        <v>0.27081454863793802</v>
      </c>
      <c r="Z4300" t="s">
        <v>392</v>
      </c>
      <c r="AA4300">
        <v>161</v>
      </c>
      <c r="AB4300" t="s">
        <v>4691</v>
      </c>
      <c r="AC4300" t="str">
        <f>HYPERLINK("plots/3FT6Y578R04_015_S31P_20251219032831_M5358ACSA301811_RBGEUFRF04/dpll_52046/txpa_55163.png","plot")</f>
        <v>plot</v>
      </c>
    </row>
    <row r="4301" spans="1:29" x14ac:dyDescent="0.35">
      <c r="A4301" s="3" t="s">
        <v>50</v>
      </c>
      <c r="B4301">
        <v>52046</v>
      </c>
      <c r="C4301" t="s">
        <v>51</v>
      </c>
      <c r="D4301">
        <v>55164</v>
      </c>
      <c r="E4301" t="s">
        <v>297</v>
      </c>
      <c r="F4301">
        <v>11782</v>
      </c>
      <c r="G4301">
        <v>0.62984913242158369</v>
      </c>
      <c r="H4301">
        <v>0</v>
      </c>
      <c r="I4301">
        <v>0</v>
      </c>
      <c r="J4301">
        <v>0.55157242307572552</v>
      </c>
      <c r="K4301">
        <v>0</v>
      </c>
      <c r="L4301">
        <v>0</v>
      </c>
      <c r="M4301">
        <v>0.38978574781513459</v>
      </c>
      <c r="N4301">
        <v>0</v>
      </c>
      <c r="O4301">
        <v>0</v>
      </c>
      <c r="P4301">
        <v>0.39670992961222168</v>
      </c>
      <c r="Q4301">
        <v>0.8532229066387248</v>
      </c>
      <c r="R4301">
        <v>-9.2112149035037127</v>
      </c>
      <c r="S4301">
        <v>0.21176960903501449</v>
      </c>
      <c r="T4301">
        <v>0.1641308115990508</v>
      </c>
      <c r="U4301">
        <v>4.4286477380750293</v>
      </c>
      <c r="V4301">
        <v>0.20127646963296911</v>
      </c>
      <c r="W4301">
        <v>-5.4325912079443226</v>
      </c>
      <c r="X4301">
        <v>0.27265845996795701</v>
      </c>
      <c r="Z4301" t="s">
        <v>392</v>
      </c>
      <c r="AA4301">
        <v>161</v>
      </c>
      <c r="AB4301" t="s">
        <v>4692</v>
      </c>
      <c r="AC4301" t="str">
        <f>HYPERLINK("plots/3FT6Y578R04_015_S31P_20251219032831_M5358ACSA301811_RBGEUFRF04/dpll_52046/txpa_55164.png","plot")</f>
        <v>plot</v>
      </c>
    </row>
    <row r="4302" spans="1:29" x14ac:dyDescent="0.35">
      <c r="A4302" s="3" t="s">
        <v>50</v>
      </c>
      <c r="B4302">
        <v>52046</v>
      </c>
      <c r="C4302" t="s">
        <v>51</v>
      </c>
      <c r="D4302">
        <v>55165</v>
      </c>
      <c r="E4302" t="s">
        <v>298</v>
      </c>
      <c r="F4302">
        <v>11782</v>
      </c>
      <c r="G4302">
        <v>0.62022786525860207</v>
      </c>
      <c r="H4302">
        <v>0</v>
      </c>
      <c r="I4302">
        <v>0</v>
      </c>
      <c r="J4302">
        <v>0.53931369238182314</v>
      </c>
      <c r="K4302">
        <v>0</v>
      </c>
      <c r="L4302">
        <v>0</v>
      </c>
      <c r="M4302">
        <v>0.37991719779093808</v>
      </c>
      <c r="N4302">
        <v>0</v>
      </c>
      <c r="O4302">
        <v>0</v>
      </c>
      <c r="P4302">
        <v>0.38468260484324263</v>
      </c>
      <c r="Q4302">
        <v>0.82391901702992287</v>
      </c>
      <c r="R4302">
        <v>-9.0636944962360584</v>
      </c>
      <c r="S4302">
        <v>0.20972848732877439</v>
      </c>
      <c r="T4302">
        <v>0.16295642388120721</v>
      </c>
      <c r="U4302">
        <v>4.4286477380750293</v>
      </c>
      <c r="V4302">
        <v>0.20127646963296911</v>
      </c>
      <c r="W4302">
        <v>-5.414847405109489</v>
      </c>
      <c r="X4302">
        <v>0.26737836253471847</v>
      </c>
      <c r="Z4302" t="s">
        <v>392</v>
      </c>
      <c r="AA4302">
        <v>161</v>
      </c>
      <c r="AB4302" t="s">
        <v>4693</v>
      </c>
      <c r="AC4302" t="str">
        <f>HYPERLINK("plots/3FT6Y578R04_015_S31P_20251219032831_M5358ACSA301811_RBGEUFRF04/dpll_52046/txpa_55165.png","plot")</f>
        <v>plot</v>
      </c>
    </row>
    <row r="4303" spans="1:29" x14ac:dyDescent="0.35">
      <c r="A4303" s="3" t="s">
        <v>50</v>
      </c>
      <c r="B4303">
        <v>52046</v>
      </c>
      <c r="C4303" t="s">
        <v>51</v>
      </c>
      <c r="D4303">
        <v>55166</v>
      </c>
      <c r="E4303" t="s">
        <v>299</v>
      </c>
      <c r="F4303">
        <v>11781</v>
      </c>
      <c r="G4303">
        <v>0.63987063139532507</v>
      </c>
      <c r="H4303">
        <v>0</v>
      </c>
      <c r="I4303">
        <v>0</v>
      </c>
      <c r="J4303">
        <v>0.55407088832648654</v>
      </c>
      <c r="K4303">
        <v>0</v>
      </c>
      <c r="L4303">
        <v>0</v>
      </c>
      <c r="M4303">
        <v>0.39171580068403</v>
      </c>
      <c r="N4303">
        <v>0</v>
      </c>
      <c r="O4303">
        <v>0</v>
      </c>
      <c r="P4303">
        <v>0.40943442492225202</v>
      </c>
      <c r="Q4303">
        <v>0.86313506597944467</v>
      </c>
      <c r="R4303">
        <v>-9.215753523829374</v>
      </c>
      <c r="S4303">
        <v>0.20864625360332231</v>
      </c>
      <c r="T4303">
        <v>0.1626261124574396</v>
      </c>
      <c r="U4303">
        <v>4.4286547017231142</v>
      </c>
      <c r="V4303">
        <v>0.20128359324518649</v>
      </c>
      <c r="W4303">
        <v>-5.3932263556574149</v>
      </c>
      <c r="X4303">
        <v>0.27151570803837499</v>
      </c>
      <c r="Z4303" t="s">
        <v>392</v>
      </c>
      <c r="AA4303">
        <v>161</v>
      </c>
      <c r="AB4303" t="s">
        <v>4694</v>
      </c>
      <c r="AC4303" t="str">
        <f>HYPERLINK("plots/3FT6Y578R04_015_S31P_20251219032831_M5358ACSA301811_RBGEUFRF04/dpll_52046/txpa_55166.png","plot")</f>
        <v>plot</v>
      </c>
    </row>
    <row r="4304" spans="1:29" x14ac:dyDescent="0.35">
      <c r="A4304" s="3" t="s">
        <v>50</v>
      </c>
      <c r="B4304">
        <v>52046</v>
      </c>
      <c r="C4304" t="s">
        <v>51</v>
      </c>
      <c r="D4304">
        <v>55167</v>
      </c>
      <c r="E4304" t="s">
        <v>300</v>
      </c>
      <c r="F4304">
        <v>11781</v>
      </c>
      <c r="G4304">
        <v>0.64014521700113003</v>
      </c>
      <c r="H4304">
        <v>0</v>
      </c>
      <c r="I4304">
        <v>0</v>
      </c>
      <c r="J4304">
        <v>0.55018418797722635</v>
      </c>
      <c r="K4304">
        <v>0</v>
      </c>
      <c r="L4304">
        <v>0</v>
      </c>
      <c r="M4304">
        <v>0.38743628610053582</v>
      </c>
      <c r="N4304">
        <v>0</v>
      </c>
      <c r="O4304">
        <v>0</v>
      </c>
      <c r="P4304">
        <v>0.40978589884942379</v>
      </c>
      <c r="Q4304">
        <v>0.86060723206591838</v>
      </c>
      <c r="R4304">
        <v>-9.2229120910870677</v>
      </c>
      <c r="S4304">
        <v>0.20786405374609179</v>
      </c>
      <c r="T4304">
        <v>0.16256910539821171</v>
      </c>
      <c r="U4304">
        <v>4.4286210779220783</v>
      </c>
      <c r="V4304">
        <v>0.20126420786155011</v>
      </c>
      <c r="W4304">
        <v>-5.411608763347763</v>
      </c>
      <c r="X4304">
        <v>0.27057834416555909</v>
      </c>
      <c r="Z4304" t="s">
        <v>392</v>
      </c>
      <c r="AA4304">
        <v>161</v>
      </c>
      <c r="AB4304" t="s">
        <v>4695</v>
      </c>
      <c r="AC4304" t="str">
        <f>HYPERLINK("plots/3FT6Y578R04_015_S31P_20251219032831_M5358ACSA301811_RBGEUFRF04/dpll_52046/txpa_55167.png","plot")</f>
        <v>plot</v>
      </c>
    </row>
    <row r="4305" spans="1:29" x14ac:dyDescent="0.35">
      <c r="A4305" s="3" t="s">
        <v>50</v>
      </c>
      <c r="B4305">
        <v>52046</v>
      </c>
      <c r="C4305" t="s">
        <v>51</v>
      </c>
      <c r="D4305">
        <v>55168</v>
      </c>
      <c r="E4305" t="s">
        <v>301</v>
      </c>
      <c r="F4305">
        <v>11782</v>
      </c>
      <c r="G4305">
        <v>0.64453091820791342</v>
      </c>
      <c r="H4305">
        <v>0</v>
      </c>
      <c r="I4305">
        <v>0</v>
      </c>
      <c r="J4305">
        <v>0.56221538346559718</v>
      </c>
      <c r="K4305">
        <v>0</v>
      </c>
      <c r="L4305">
        <v>0</v>
      </c>
      <c r="M4305">
        <v>0.39801814016148152</v>
      </c>
      <c r="N4305">
        <v>0</v>
      </c>
      <c r="O4305">
        <v>0</v>
      </c>
      <c r="P4305">
        <v>0.41542010452593597</v>
      </c>
      <c r="Q4305">
        <v>0.86743448299798598</v>
      </c>
      <c r="R4305">
        <v>-9.2561092440822659</v>
      </c>
      <c r="S4305">
        <v>0.20710445452470319</v>
      </c>
      <c r="T4305">
        <v>0.16170891156214981</v>
      </c>
      <c r="U4305">
        <v>4.4286477380750293</v>
      </c>
      <c r="V4305">
        <v>0.20127646963296911</v>
      </c>
      <c r="W4305">
        <v>-5.4145474830249531</v>
      </c>
      <c r="X4305">
        <v>0.27088560912048221</v>
      </c>
      <c r="Z4305" t="s">
        <v>392</v>
      </c>
      <c r="AA4305">
        <v>161</v>
      </c>
      <c r="AB4305" t="s">
        <v>4696</v>
      </c>
      <c r="AC4305" t="str">
        <f>HYPERLINK("plots/3FT6Y578R04_015_S31P_20251219032831_M5358ACSA301811_RBGEUFRF04/dpll_52046/txpa_55168.png","plot")</f>
        <v>plot</v>
      </c>
    </row>
    <row r="4306" spans="1:29" x14ac:dyDescent="0.35">
      <c r="A4306" s="3" t="s">
        <v>50</v>
      </c>
      <c r="B4306">
        <v>52046</v>
      </c>
      <c r="C4306" t="s">
        <v>51</v>
      </c>
      <c r="D4306">
        <v>55169</v>
      </c>
      <c r="E4306" t="s">
        <v>302</v>
      </c>
      <c r="F4306">
        <v>11782</v>
      </c>
      <c r="G4306">
        <v>0.64028334308133672</v>
      </c>
      <c r="H4306">
        <v>0</v>
      </c>
      <c r="I4306">
        <v>0</v>
      </c>
      <c r="J4306">
        <v>0.55244811081596634</v>
      </c>
      <c r="K4306">
        <v>0</v>
      </c>
      <c r="L4306">
        <v>0</v>
      </c>
      <c r="M4306">
        <v>0.38947446895714649</v>
      </c>
      <c r="N4306">
        <v>0</v>
      </c>
      <c r="O4306">
        <v>0</v>
      </c>
      <c r="P4306">
        <v>0.40996275942741273</v>
      </c>
      <c r="Q4306">
        <v>0.8493836848415337</v>
      </c>
      <c r="R4306">
        <v>-9.171649894773882</v>
      </c>
      <c r="S4306">
        <v>0.20509071429487369</v>
      </c>
      <c r="T4306">
        <v>0.16125740234289529</v>
      </c>
      <c r="U4306">
        <v>4.4286477380750293</v>
      </c>
      <c r="V4306">
        <v>0.20127646963296911</v>
      </c>
      <c r="W4306">
        <v>-5.4100287601425903</v>
      </c>
      <c r="X4306">
        <v>0.26700827265941968</v>
      </c>
      <c r="Z4306" t="s">
        <v>392</v>
      </c>
      <c r="AA4306">
        <v>161</v>
      </c>
      <c r="AB4306" t="s">
        <v>4697</v>
      </c>
      <c r="AC4306" t="str">
        <f>HYPERLINK("plots/3FT6Y578R04_015_S31P_20251219032831_M5358ACSA301811_RBGEUFRF04/dpll_52046/txpa_55169.png","plot")</f>
        <v>plot</v>
      </c>
    </row>
    <row r="4307" spans="1:29" x14ac:dyDescent="0.35">
      <c r="A4307" s="3" t="s">
        <v>50</v>
      </c>
      <c r="B4307">
        <v>52046</v>
      </c>
      <c r="C4307" t="s">
        <v>51</v>
      </c>
      <c r="D4307">
        <v>55170</v>
      </c>
      <c r="E4307" t="s">
        <v>303</v>
      </c>
      <c r="F4307">
        <v>11781</v>
      </c>
      <c r="G4307">
        <v>0.62625906908377171</v>
      </c>
      <c r="H4307">
        <v>0</v>
      </c>
      <c r="I4307">
        <v>0</v>
      </c>
      <c r="J4307">
        <v>0.53991523296369648</v>
      </c>
      <c r="K4307">
        <v>0</v>
      </c>
      <c r="L4307">
        <v>0</v>
      </c>
      <c r="M4307">
        <v>0.38079919890593822</v>
      </c>
      <c r="N4307">
        <v>0</v>
      </c>
      <c r="O4307">
        <v>0</v>
      </c>
      <c r="P4307">
        <v>0.39220042160967228</v>
      </c>
      <c r="Q4307">
        <v>0.83780146345151285</v>
      </c>
      <c r="R4307">
        <v>-9.1633766306773374</v>
      </c>
      <c r="S4307">
        <v>0.2099077408992287</v>
      </c>
      <c r="T4307">
        <v>0.16327693779781299</v>
      </c>
      <c r="U4307">
        <v>4.4286701896273666</v>
      </c>
      <c r="V4307">
        <v>0.20127025814248481</v>
      </c>
      <c r="W4307">
        <v>-5.4530302646634414</v>
      </c>
      <c r="X4307">
        <v>0.26925680624112691</v>
      </c>
      <c r="Z4307" t="s">
        <v>392</v>
      </c>
      <c r="AA4307">
        <v>161</v>
      </c>
      <c r="AB4307" t="s">
        <v>4698</v>
      </c>
      <c r="AC4307" t="str">
        <f>HYPERLINK("plots/3FT6Y578R04_015_S31P_20251219032831_M5358ACSA301811_RBGEUFRF04/dpll_52046/txpa_55170.png","plot")</f>
        <v>plot</v>
      </c>
    </row>
    <row r="4308" spans="1:29" x14ac:dyDescent="0.35">
      <c r="A4308" s="3" t="s">
        <v>50</v>
      </c>
      <c r="B4308">
        <v>52046</v>
      </c>
      <c r="C4308" t="s">
        <v>51</v>
      </c>
      <c r="D4308">
        <v>55171</v>
      </c>
      <c r="E4308" t="s">
        <v>304</v>
      </c>
      <c r="F4308">
        <v>11782</v>
      </c>
      <c r="G4308">
        <v>0.61642232515241491</v>
      </c>
      <c r="H4308">
        <v>0</v>
      </c>
      <c r="I4308">
        <v>0</v>
      </c>
      <c r="J4308">
        <v>0.54855700266929286</v>
      </c>
      <c r="K4308">
        <v>0</v>
      </c>
      <c r="L4308">
        <v>0</v>
      </c>
      <c r="M4308">
        <v>0.38499254746146599</v>
      </c>
      <c r="N4308">
        <v>0</v>
      </c>
      <c r="O4308">
        <v>0</v>
      </c>
      <c r="P4308">
        <v>0.37997648294630948</v>
      </c>
      <c r="Q4308">
        <v>0.82944309694401952</v>
      </c>
      <c r="R4308">
        <v>-6.092726999352891</v>
      </c>
      <c r="S4308">
        <v>0.21324894637132949</v>
      </c>
      <c r="T4308">
        <v>0.16329454896477971</v>
      </c>
      <c r="U4308">
        <v>4.4286477380750293</v>
      </c>
      <c r="V4308">
        <v>0.20127646963296911</v>
      </c>
      <c r="W4308">
        <v>-2.4194157042098121</v>
      </c>
      <c r="X4308">
        <v>0.27083279028391749</v>
      </c>
      <c r="Z4308" t="s">
        <v>392</v>
      </c>
      <c r="AA4308">
        <v>161</v>
      </c>
      <c r="AB4308" t="s">
        <v>4699</v>
      </c>
      <c r="AC4308" t="str">
        <f>HYPERLINK("plots/3FT6Y578R04_015_S31P_20251219032831_M5358ACSA301811_RBGEUFRF04/dpll_52046/txpa_55171.png","plot")</f>
        <v>plot</v>
      </c>
    </row>
    <row r="4309" spans="1:29" x14ac:dyDescent="0.35">
      <c r="A4309" s="3" t="s">
        <v>50</v>
      </c>
      <c r="B4309">
        <v>52046</v>
      </c>
      <c r="C4309" t="s">
        <v>51</v>
      </c>
      <c r="D4309">
        <v>55172</v>
      </c>
      <c r="E4309" t="s">
        <v>305</v>
      </c>
      <c r="F4309">
        <v>11782</v>
      </c>
      <c r="G4309">
        <v>0.64235233741829312</v>
      </c>
      <c r="H4309">
        <v>0</v>
      </c>
      <c r="I4309">
        <v>0</v>
      </c>
      <c r="J4309">
        <v>0.56664778303594177</v>
      </c>
      <c r="K4309">
        <v>0</v>
      </c>
      <c r="L4309">
        <v>0</v>
      </c>
      <c r="M4309">
        <v>0.40135481897854708</v>
      </c>
      <c r="N4309">
        <v>0</v>
      </c>
      <c r="O4309">
        <v>0</v>
      </c>
      <c r="P4309">
        <v>0.4126165253867447</v>
      </c>
      <c r="Q4309">
        <v>0.86755841080057172</v>
      </c>
      <c r="R4309">
        <v>-6.2238154157414289</v>
      </c>
      <c r="S4309">
        <v>0.20833433604283871</v>
      </c>
      <c r="T4309">
        <v>0.16138927609164749</v>
      </c>
      <c r="U4309">
        <v>4.4286477380750293</v>
      </c>
      <c r="V4309">
        <v>0.20127646963296911</v>
      </c>
      <c r="W4309">
        <v>-2.38170482210151</v>
      </c>
      <c r="X4309">
        <v>0.27184316761132621</v>
      </c>
      <c r="Z4309" t="s">
        <v>392</v>
      </c>
      <c r="AA4309">
        <v>161</v>
      </c>
      <c r="AB4309" t="s">
        <v>4700</v>
      </c>
      <c r="AC4309" t="str">
        <f>HYPERLINK("plots/3FT6Y578R04_015_S31P_20251219032831_M5358ACSA301811_RBGEUFRF04/dpll_52046/txpa_55172.png","plot")</f>
        <v>plot</v>
      </c>
    </row>
    <row r="4310" spans="1:29" x14ac:dyDescent="0.35">
      <c r="A4310" s="3" t="s">
        <v>50</v>
      </c>
      <c r="B4310">
        <v>52046</v>
      </c>
      <c r="C4310" t="s">
        <v>51</v>
      </c>
      <c r="D4310">
        <v>55173</v>
      </c>
      <c r="E4310" t="s">
        <v>306</v>
      </c>
      <c r="F4310">
        <v>11782</v>
      </c>
      <c r="G4310">
        <v>0.63169336804599041</v>
      </c>
      <c r="H4310">
        <v>0</v>
      </c>
      <c r="I4310">
        <v>0</v>
      </c>
      <c r="J4310">
        <v>0.55473531539092202</v>
      </c>
      <c r="K4310">
        <v>0</v>
      </c>
      <c r="L4310">
        <v>0</v>
      </c>
      <c r="M4310">
        <v>0.3917270246248275</v>
      </c>
      <c r="N4310">
        <v>0</v>
      </c>
      <c r="O4310">
        <v>0</v>
      </c>
      <c r="P4310">
        <v>0.39903651123328709</v>
      </c>
      <c r="Q4310">
        <v>0.83900081637466606</v>
      </c>
      <c r="R4310">
        <v>-6.0811661471239873</v>
      </c>
      <c r="S4310">
        <v>0.20723098196019341</v>
      </c>
      <c r="T4310">
        <v>0.16059314018004081</v>
      </c>
      <c r="U4310">
        <v>4.4286477380750293</v>
      </c>
      <c r="V4310">
        <v>0.20127646963296911</v>
      </c>
      <c r="W4310">
        <v>-2.3655270794432188</v>
      </c>
      <c r="X4310">
        <v>0.26733084575739452</v>
      </c>
      <c r="Z4310" t="s">
        <v>392</v>
      </c>
      <c r="AA4310">
        <v>161</v>
      </c>
      <c r="AB4310" t="s">
        <v>4701</v>
      </c>
      <c r="AC4310" t="str">
        <f>HYPERLINK("plots/3FT6Y578R04_015_S31P_20251219032831_M5358ACSA301811_RBGEUFRF04/dpll_52046/txpa_55173.png","plot")</f>
        <v>plot</v>
      </c>
    </row>
    <row r="4311" spans="1:29" x14ac:dyDescent="0.35">
      <c r="A4311" s="3" t="s">
        <v>50</v>
      </c>
      <c r="B4311">
        <v>52046</v>
      </c>
      <c r="C4311" t="s">
        <v>51</v>
      </c>
      <c r="D4311">
        <v>55174</v>
      </c>
      <c r="E4311" t="s">
        <v>307</v>
      </c>
      <c r="F4311">
        <v>11781</v>
      </c>
      <c r="G4311">
        <v>0.64993607179371726</v>
      </c>
      <c r="H4311">
        <v>0</v>
      </c>
      <c r="I4311">
        <v>0</v>
      </c>
      <c r="J4311">
        <v>0.56750267999575532</v>
      </c>
      <c r="K4311">
        <v>0</v>
      </c>
      <c r="L4311">
        <v>0</v>
      </c>
      <c r="M4311">
        <v>0.40199626886377071</v>
      </c>
      <c r="N4311">
        <v>0</v>
      </c>
      <c r="O4311">
        <v>0</v>
      </c>
      <c r="P4311">
        <v>0.42241689741864802</v>
      </c>
      <c r="Q4311">
        <v>0.87293684295129237</v>
      </c>
      <c r="R4311">
        <v>-6.2142817693006647</v>
      </c>
      <c r="S4311">
        <v>0.20545152345975951</v>
      </c>
      <c r="T4311">
        <v>0.1601721959093505</v>
      </c>
      <c r="U4311">
        <v>4.4286547017231142</v>
      </c>
      <c r="V4311">
        <v>0.20128359324518649</v>
      </c>
      <c r="W4311">
        <v>-2.348345915457092</v>
      </c>
      <c r="X4311">
        <v>0.27034638028386432</v>
      </c>
      <c r="Z4311" t="s">
        <v>392</v>
      </c>
      <c r="AA4311">
        <v>161</v>
      </c>
      <c r="AB4311" t="s">
        <v>4702</v>
      </c>
      <c r="AC4311" t="str">
        <f>HYPERLINK("plots/3FT6Y578R04_015_S31P_20251219032831_M5358ACSA301811_RBGEUFRF04/dpll_52046/txpa_55174.png","plot")</f>
        <v>plot</v>
      </c>
    </row>
    <row r="4312" spans="1:29" x14ac:dyDescent="0.35">
      <c r="A4312" s="3" t="s">
        <v>50</v>
      </c>
      <c r="B4312">
        <v>52046</v>
      </c>
      <c r="C4312" t="s">
        <v>51</v>
      </c>
      <c r="D4312">
        <v>55175</v>
      </c>
      <c r="E4312" t="s">
        <v>308</v>
      </c>
      <c r="F4312">
        <v>11781</v>
      </c>
      <c r="G4312">
        <v>0.65165551098319907</v>
      </c>
      <c r="H4312">
        <v>0</v>
      </c>
      <c r="I4312">
        <v>0</v>
      </c>
      <c r="J4312">
        <v>0.56370329735220792</v>
      </c>
      <c r="K4312">
        <v>0</v>
      </c>
      <c r="L4312">
        <v>0</v>
      </c>
      <c r="M4312">
        <v>0.39775718332728149</v>
      </c>
      <c r="N4312">
        <v>0</v>
      </c>
      <c r="O4312">
        <v>0</v>
      </c>
      <c r="P4312">
        <v>0.42465490499477432</v>
      </c>
      <c r="Q4312">
        <v>0.87154086575432421</v>
      </c>
      <c r="R4312">
        <v>-6.2260200800281824</v>
      </c>
      <c r="S4312">
        <v>0.20416533526932679</v>
      </c>
      <c r="T4312">
        <v>0.15950592263402841</v>
      </c>
      <c r="U4312">
        <v>4.4286210779220783</v>
      </c>
      <c r="V4312">
        <v>0.20126420786155011</v>
      </c>
      <c r="W4312">
        <v>-2.366295831678126</v>
      </c>
      <c r="X4312">
        <v>0.26917593576452697</v>
      </c>
      <c r="Z4312" t="s">
        <v>392</v>
      </c>
      <c r="AA4312">
        <v>161</v>
      </c>
      <c r="AB4312" t="s">
        <v>4703</v>
      </c>
      <c r="AC4312" t="str">
        <f>HYPERLINK("plots/3FT6Y578R04_015_S31P_20251219032831_M5358ACSA301811_RBGEUFRF04/dpll_52046/txpa_55175.png","plot")</f>
        <v>plot</v>
      </c>
    </row>
    <row r="4313" spans="1:29" x14ac:dyDescent="0.35">
      <c r="A4313" s="3" t="s">
        <v>50</v>
      </c>
      <c r="B4313">
        <v>52046</v>
      </c>
      <c r="C4313" t="s">
        <v>51</v>
      </c>
      <c r="D4313">
        <v>55176</v>
      </c>
      <c r="E4313" t="s">
        <v>309</v>
      </c>
      <c r="F4313">
        <v>11782</v>
      </c>
      <c r="G4313">
        <v>0.65570066046762365</v>
      </c>
      <c r="H4313">
        <v>0</v>
      </c>
      <c r="I4313">
        <v>0</v>
      </c>
      <c r="J4313">
        <v>0.57635087107757277</v>
      </c>
      <c r="K4313">
        <v>0</v>
      </c>
      <c r="L4313">
        <v>0</v>
      </c>
      <c r="M4313">
        <v>0.40883753422027053</v>
      </c>
      <c r="N4313">
        <v>0</v>
      </c>
      <c r="O4313">
        <v>0</v>
      </c>
      <c r="P4313">
        <v>0.42994335613767792</v>
      </c>
      <c r="Q4313">
        <v>0.88090448112721864</v>
      </c>
      <c r="R4313">
        <v>-6.2669085892555803</v>
      </c>
      <c r="S4313">
        <v>0.2041534761317125</v>
      </c>
      <c r="T4313">
        <v>0.15915855018878691</v>
      </c>
      <c r="U4313">
        <v>4.4286477380750293</v>
      </c>
      <c r="V4313">
        <v>0.20127646963296911</v>
      </c>
      <c r="W4313">
        <v>-2.3656929514513672</v>
      </c>
      <c r="X4313">
        <v>0.27040592565317972</v>
      </c>
      <c r="Z4313" t="s">
        <v>392</v>
      </c>
      <c r="AA4313">
        <v>161</v>
      </c>
      <c r="AB4313" t="s">
        <v>4704</v>
      </c>
      <c r="AC4313" t="str">
        <f>HYPERLINK("plots/3FT6Y578R04_015_S31P_20251219032831_M5358ACSA301811_RBGEUFRF04/dpll_52046/txpa_55176.png","plot")</f>
        <v>plot</v>
      </c>
    </row>
    <row r="4314" spans="1:29" x14ac:dyDescent="0.35">
      <c r="A4314" s="3" t="s">
        <v>50</v>
      </c>
      <c r="B4314">
        <v>52046</v>
      </c>
      <c r="C4314" t="s">
        <v>51</v>
      </c>
      <c r="D4314">
        <v>55177</v>
      </c>
      <c r="E4314" t="s">
        <v>310</v>
      </c>
      <c r="F4314">
        <v>11782</v>
      </c>
      <c r="G4314">
        <v>0.6521037386896491</v>
      </c>
      <c r="H4314">
        <v>0</v>
      </c>
      <c r="I4314">
        <v>0</v>
      </c>
      <c r="J4314">
        <v>0.56772405652072166</v>
      </c>
      <c r="K4314">
        <v>0</v>
      </c>
      <c r="L4314">
        <v>0</v>
      </c>
      <c r="M4314">
        <v>0.40099552836723412</v>
      </c>
      <c r="N4314">
        <v>0</v>
      </c>
      <c r="O4314">
        <v>0</v>
      </c>
      <c r="P4314">
        <v>0.42523928601301808</v>
      </c>
      <c r="Q4314">
        <v>0.86366832680174588</v>
      </c>
      <c r="R4314">
        <v>-6.1847789369197734</v>
      </c>
      <c r="S4314">
        <v>0.20209167145924459</v>
      </c>
      <c r="T4314">
        <v>0.1586891908427438</v>
      </c>
      <c r="U4314">
        <v>4.4286477380750293</v>
      </c>
      <c r="V4314">
        <v>0.20127646963296911</v>
      </c>
      <c r="W4314">
        <v>-2.359896154982176</v>
      </c>
      <c r="X4314">
        <v>0.26657738859430358</v>
      </c>
      <c r="Z4314" t="s">
        <v>392</v>
      </c>
      <c r="AA4314">
        <v>161</v>
      </c>
      <c r="AB4314" t="s">
        <v>4705</v>
      </c>
      <c r="AC4314" t="str">
        <f>HYPERLINK("plots/3FT6Y578R04_015_S31P_20251219032831_M5358ACSA301811_RBGEUFRF04/dpll_52046/txpa_55177.png","plot")</f>
        <v>plot</v>
      </c>
    </row>
    <row r="4315" spans="1:29" x14ac:dyDescent="0.35">
      <c r="A4315" s="3" t="s">
        <v>50</v>
      </c>
      <c r="B4315">
        <v>52046</v>
      </c>
      <c r="C4315" t="s">
        <v>51</v>
      </c>
      <c r="D4315">
        <v>55178</v>
      </c>
      <c r="E4315" t="s">
        <v>311</v>
      </c>
      <c r="F4315">
        <v>11781</v>
      </c>
      <c r="G4315">
        <v>0.63866147811830298</v>
      </c>
      <c r="H4315">
        <v>0</v>
      </c>
      <c r="I4315">
        <v>0</v>
      </c>
      <c r="J4315">
        <v>0.55558843274896952</v>
      </c>
      <c r="K4315">
        <v>0</v>
      </c>
      <c r="L4315">
        <v>0</v>
      </c>
      <c r="M4315">
        <v>0.39275796376732369</v>
      </c>
      <c r="N4315">
        <v>0</v>
      </c>
      <c r="O4315">
        <v>0</v>
      </c>
      <c r="P4315">
        <v>0.40788848363225561</v>
      </c>
      <c r="Q4315">
        <v>0.85509209709861267</v>
      </c>
      <c r="R4315">
        <v>-6.1829812967491096</v>
      </c>
      <c r="S4315">
        <v>0.20735050418100959</v>
      </c>
      <c r="T4315">
        <v>0.161024489382525</v>
      </c>
      <c r="U4315">
        <v>4.4286701896273666</v>
      </c>
      <c r="V4315">
        <v>0.20127025814248481</v>
      </c>
      <c r="W4315">
        <v>-2.396060416942535</v>
      </c>
      <c r="X4315">
        <v>0.26947704380998633</v>
      </c>
      <c r="Z4315" t="s">
        <v>392</v>
      </c>
      <c r="AA4315">
        <v>161</v>
      </c>
      <c r="AB4315" t="s">
        <v>4706</v>
      </c>
      <c r="AC4315" t="str">
        <f>HYPERLINK("plots/3FT6Y578R04_015_S31P_20251219032831_M5358ACSA301811_RBGEUFRF04/dpll_52046/txpa_55178.png","plot")</f>
        <v>plot</v>
      </c>
    </row>
    <row r="4316" spans="1:29" x14ac:dyDescent="0.35">
      <c r="A4316" s="3" t="s">
        <v>50</v>
      </c>
      <c r="B4316">
        <v>52046</v>
      </c>
      <c r="C4316" t="s">
        <v>51</v>
      </c>
      <c r="D4316">
        <v>55179</v>
      </c>
      <c r="E4316" t="s">
        <v>312</v>
      </c>
      <c r="F4316">
        <v>11782</v>
      </c>
      <c r="G4316">
        <v>0.65526215997334869</v>
      </c>
      <c r="H4316">
        <v>0</v>
      </c>
      <c r="I4316">
        <v>0</v>
      </c>
      <c r="J4316">
        <v>0.59201243564070116</v>
      </c>
      <c r="K4316">
        <v>0</v>
      </c>
      <c r="L4316">
        <v>0</v>
      </c>
      <c r="M4316">
        <v>0.4189128931949892</v>
      </c>
      <c r="N4316">
        <v>0</v>
      </c>
      <c r="O4316">
        <v>0</v>
      </c>
      <c r="P4316">
        <v>0.42936849829293838</v>
      </c>
      <c r="Q4316">
        <v>0.90588173713411613</v>
      </c>
      <c r="R4316">
        <v>-2.8559628144826918</v>
      </c>
      <c r="S4316">
        <v>0.2101884569395423</v>
      </c>
      <c r="T4316">
        <v>0.16035137718549311</v>
      </c>
      <c r="U4316">
        <v>4.4286477380750293</v>
      </c>
      <c r="V4316">
        <v>0.20127646963296911</v>
      </c>
      <c r="W4316">
        <v>1.15586829163979</v>
      </c>
      <c r="X4316">
        <v>0.27825912908316303</v>
      </c>
      <c r="Z4316" t="s">
        <v>392</v>
      </c>
      <c r="AA4316">
        <v>161</v>
      </c>
      <c r="AB4316" t="s">
        <v>4707</v>
      </c>
      <c r="AC4316" t="str">
        <f>HYPERLINK("plots/3FT6Y578R04_015_S31P_20251219032831_M5358ACSA301811_RBGEUFRF04/dpll_52046/txpa_55179.png","plot")</f>
        <v>plot</v>
      </c>
    </row>
    <row r="4317" spans="1:29" x14ac:dyDescent="0.35">
      <c r="A4317" s="3" t="s">
        <v>50</v>
      </c>
      <c r="B4317">
        <v>52046</v>
      </c>
      <c r="C4317" t="s">
        <v>51</v>
      </c>
      <c r="D4317">
        <v>55180</v>
      </c>
      <c r="E4317" t="s">
        <v>313</v>
      </c>
      <c r="F4317">
        <v>11782</v>
      </c>
      <c r="G4317">
        <v>0.6804462317535791</v>
      </c>
      <c r="H4317">
        <v>0</v>
      </c>
      <c r="I4317">
        <v>0</v>
      </c>
      <c r="J4317">
        <v>0.60917728832055729</v>
      </c>
      <c r="K4317">
        <v>0</v>
      </c>
      <c r="L4317">
        <v>0</v>
      </c>
      <c r="M4317">
        <v>0.43504689180259892</v>
      </c>
      <c r="N4317">
        <v>0</v>
      </c>
      <c r="O4317">
        <v>0</v>
      </c>
      <c r="P4317">
        <v>0.46300707430764548</v>
      </c>
      <c r="Q4317">
        <v>0.94146226172516234</v>
      </c>
      <c r="R4317">
        <v>-2.979320674617091</v>
      </c>
      <c r="S4317">
        <v>0.2040647352654798</v>
      </c>
      <c r="T4317">
        <v>0.15780005681292861</v>
      </c>
      <c r="U4317">
        <v>4.4286477380750293</v>
      </c>
      <c r="V4317">
        <v>0.20127646963296911</v>
      </c>
      <c r="W4317">
        <v>1.19008404125505</v>
      </c>
      <c r="X4317">
        <v>0.27848519323027948</v>
      </c>
      <c r="Z4317" t="s">
        <v>392</v>
      </c>
      <c r="AA4317">
        <v>161</v>
      </c>
      <c r="AB4317" t="s">
        <v>4708</v>
      </c>
      <c r="AC4317" t="str">
        <f>HYPERLINK("plots/3FT6Y578R04_015_S31P_20251219032831_M5358ACSA301811_RBGEUFRF04/dpll_52046/txpa_55180.png","plot")</f>
        <v>plot</v>
      </c>
    </row>
    <row r="4318" spans="1:29" x14ac:dyDescent="0.35">
      <c r="A4318" s="3" t="s">
        <v>50</v>
      </c>
      <c r="B4318">
        <v>52046</v>
      </c>
      <c r="C4318" t="s">
        <v>51</v>
      </c>
      <c r="D4318">
        <v>55181</v>
      </c>
      <c r="E4318" t="s">
        <v>314</v>
      </c>
      <c r="F4318">
        <v>11782</v>
      </c>
      <c r="G4318">
        <v>0.6697741156412067</v>
      </c>
      <c r="H4318">
        <v>0</v>
      </c>
      <c r="I4318">
        <v>0</v>
      </c>
      <c r="J4318">
        <v>0.59721992980463701</v>
      </c>
      <c r="K4318">
        <v>0</v>
      </c>
      <c r="L4318">
        <v>0</v>
      </c>
      <c r="M4318">
        <v>0.42480938090264941</v>
      </c>
      <c r="N4318">
        <v>0</v>
      </c>
      <c r="O4318">
        <v>0</v>
      </c>
      <c r="P4318">
        <v>0.44859736598296052</v>
      </c>
      <c r="Q4318">
        <v>0.91385014004309817</v>
      </c>
      <c r="R4318">
        <v>-2.8423730831579661</v>
      </c>
      <c r="S4318">
        <v>0.20391802510746071</v>
      </c>
      <c r="T4318">
        <v>0.1575397853059933</v>
      </c>
      <c r="U4318">
        <v>4.4286477380750293</v>
      </c>
      <c r="V4318">
        <v>0.20127646963296911</v>
      </c>
      <c r="W4318">
        <v>1.2047472724834489</v>
      </c>
      <c r="X4318">
        <v>0.27462472147849137</v>
      </c>
      <c r="Z4318" t="s">
        <v>392</v>
      </c>
      <c r="AA4318">
        <v>161</v>
      </c>
      <c r="AB4318" t="s">
        <v>4709</v>
      </c>
      <c r="AC4318" t="str">
        <f>HYPERLINK("plots/3FT6Y578R04_015_S31P_20251219032831_M5358ACSA301811_RBGEUFRF04/dpll_52046/txpa_55181.png","plot")</f>
        <v>plot</v>
      </c>
    </row>
    <row r="4319" spans="1:29" x14ac:dyDescent="0.35">
      <c r="A4319" s="3" t="s">
        <v>50</v>
      </c>
      <c r="B4319">
        <v>52046</v>
      </c>
      <c r="C4319" t="s">
        <v>51</v>
      </c>
      <c r="D4319">
        <v>55182</v>
      </c>
      <c r="E4319" t="s">
        <v>315</v>
      </c>
      <c r="F4319">
        <v>11781</v>
      </c>
      <c r="G4319">
        <v>0.68743509817581783</v>
      </c>
      <c r="H4319">
        <v>0</v>
      </c>
      <c r="I4319">
        <v>0</v>
      </c>
      <c r="J4319">
        <v>0.60933842209958744</v>
      </c>
      <c r="K4319">
        <v>0</v>
      </c>
      <c r="L4319">
        <v>0</v>
      </c>
      <c r="M4319">
        <v>0.43526845215949961</v>
      </c>
      <c r="N4319">
        <v>0</v>
      </c>
      <c r="O4319">
        <v>0</v>
      </c>
      <c r="P4319">
        <v>0.47256701420399633</v>
      </c>
      <c r="Q4319">
        <v>0.94510926832700615</v>
      </c>
      <c r="R4319">
        <v>-2.9683459299199222</v>
      </c>
      <c r="S4319">
        <v>0.2009666104547517</v>
      </c>
      <c r="T4319">
        <v>0.15641716110592691</v>
      </c>
      <c r="U4319">
        <v>4.4286547017231142</v>
      </c>
      <c r="V4319">
        <v>0.20128359324518649</v>
      </c>
      <c r="W4319">
        <v>1.217216674898566</v>
      </c>
      <c r="X4319">
        <v>0.27673156352213868</v>
      </c>
      <c r="Z4319" t="s">
        <v>392</v>
      </c>
      <c r="AA4319">
        <v>161</v>
      </c>
      <c r="AB4319" t="s">
        <v>4710</v>
      </c>
      <c r="AC4319" t="str">
        <f>HYPERLINK("plots/3FT6Y578R04_015_S31P_20251219032831_M5358ACSA301811_RBGEUFRF04/dpll_52046/txpa_55182.png","plot")</f>
        <v>plot</v>
      </c>
    </row>
    <row r="4320" spans="1:29" x14ac:dyDescent="0.35">
      <c r="A4320" s="3" t="s">
        <v>50</v>
      </c>
      <c r="B4320">
        <v>52046</v>
      </c>
      <c r="C4320" t="s">
        <v>51</v>
      </c>
      <c r="D4320">
        <v>55183</v>
      </c>
      <c r="E4320" t="s">
        <v>316</v>
      </c>
      <c r="F4320">
        <v>11781</v>
      </c>
      <c r="G4320">
        <v>0.68796440813711635</v>
      </c>
      <c r="H4320">
        <v>0</v>
      </c>
      <c r="I4320">
        <v>0</v>
      </c>
      <c r="J4320">
        <v>0.60460783729417156</v>
      </c>
      <c r="K4320">
        <v>0</v>
      </c>
      <c r="L4320">
        <v>0</v>
      </c>
      <c r="M4320">
        <v>0.43008777218718952</v>
      </c>
      <c r="N4320">
        <v>0</v>
      </c>
      <c r="O4320">
        <v>0</v>
      </c>
      <c r="P4320">
        <v>0.47329502686345282</v>
      </c>
      <c r="Q4320">
        <v>0.94239058289256339</v>
      </c>
      <c r="R4320">
        <v>-2.9746666281250378</v>
      </c>
      <c r="S4320">
        <v>0.2000768273518938</v>
      </c>
      <c r="T4320">
        <v>0.15610392364179099</v>
      </c>
      <c r="U4320">
        <v>4.4286210779220783</v>
      </c>
      <c r="V4320">
        <v>0.20126420786155011</v>
      </c>
      <c r="W4320">
        <v>1.1988241709082419</v>
      </c>
      <c r="X4320">
        <v>0.27569666674421012</v>
      </c>
      <c r="Z4320" t="s">
        <v>392</v>
      </c>
      <c r="AA4320">
        <v>161</v>
      </c>
      <c r="AB4320" t="s">
        <v>4711</v>
      </c>
      <c r="AC4320" t="str">
        <f>HYPERLINK("plots/3FT6Y578R04_015_S31P_20251219032831_M5358ACSA301811_RBGEUFRF04/dpll_52046/txpa_55183.png","plot")</f>
        <v>plot</v>
      </c>
    </row>
    <row r="4321" spans="1:29" x14ac:dyDescent="0.35">
      <c r="A4321" s="3" t="s">
        <v>50</v>
      </c>
      <c r="B4321">
        <v>52046</v>
      </c>
      <c r="C4321" t="s">
        <v>51</v>
      </c>
      <c r="D4321">
        <v>55184</v>
      </c>
      <c r="E4321" t="s">
        <v>317</v>
      </c>
      <c r="F4321">
        <v>11782</v>
      </c>
      <c r="G4321">
        <v>0.69303934465212524</v>
      </c>
      <c r="H4321">
        <v>0</v>
      </c>
      <c r="I4321">
        <v>0</v>
      </c>
      <c r="J4321">
        <v>0.61830663428938337</v>
      </c>
      <c r="K4321">
        <v>0</v>
      </c>
      <c r="L4321">
        <v>0</v>
      </c>
      <c r="M4321">
        <v>0.44201653968390658</v>
      </c>
      <c r="N4321">
        <v>0</v>
      </c>
      <c r="O4321">
        <v>0</v>
      </c>
      <c r="P4321">
        <v>0.48030353323584718</v>
      </c>
      <c r="Q4321">
        <v>0.95613422062197917</v>
      </c>
      <c r="R4321">
        <v>-3.0311766120854711</v>
      </c>
      <c r="S4321">
        <v>0.2001752726324921</v>
      </c>
      <c r="T4321">
        <v>0.15586668142725019</v>
      </c>
      <c r="U4321">
        <v>4.4286477380750293</v>
      </c>
      <c r="V4321">
        <v>0.20127646963296911</v>
      </c>
      <c r="W4321">
        <v>1.203205041368189</v>
      </c>
      <c r="X4321">
        <v>0.27768599561784241</v>
      </c>
      <c r="Z4321" t="s">
        <v>392</v>
      </c>
      <c r="AA4321">
        <v>161</v>
      </c>
      <c r="AB4321" t="s">
        <v>4712</v>
      </c>
      <c r="AC4321" t="str">
        <f>HYPERLINK("plots/3FT6Y578R04_015_S31P_20251219032831_M5358ACSA301811_RBGEUFRF04/dpll_52046/txpa_55184.png","plot")</f>
        <v>plot</v>
      </c>
    </row>
    <row r="4322" spans="1:29" x14ac:dyDescent="0.35">
      <c r="A4322" s="3" t="s">
        <v>50</v>
      </c>
      <c r="B4322">
        <v>52046</v>
      </c>
      <c r="C4322" t="s">
        <v>51</v>
      </c>
      <c r="D4322">
        <v>55185</v>
      </c>
      <c r="E4322" t="s">
        <v>318</v>
      </c>
      <c r="F4322">
        <v>11782</v>
      </c>
      <c r="G4322">
        <v>0.6895260420925311</v>
      </c>
      <c r="H4322">
        <v>0</v>
      </c>
      <c r="I4322">
        <v>0</v>
      </c>
      <c r="J4322">
        <v>0.60881233857431849</v>
      </c>
      <c r="K4322">
        <v>0</v>
      </c>
      <c r="L4322">
        <v>0</v>
      </c>
      <c r="M4322">
        <v>0.43353975983495519</v>
      </c>
      <c r="N4322">
        <v>0</v>
      </c>
      <c r="O4322">
        <v>0</v>
      </c>
      <c r="P4322">
        <v>0.47544616272379098</v>
      </c>
      <c r="Q4322">
        <v>0.93822570899234159</v>
      </c>
      <c r="R4322">
        <v>-2.9454892306608338</v>
      </c>
      <c r="S4322">
        <v>0.19834728730415599</v>
      </c>
      <c r="T4322">
        <v>0.15551225832708759</v>
      </c>
      <c r="U4322">
        <v>4.4286477380750293</v>
      </c>
      <c r="V4322">
        <v>0.20127646963296911</v>
      </c>
      <c r="W4322">
        <v>1.20958193327194</v>
      </c>
      <c r="X4322">
        <v>0.27387327946567408</v>
      </c>
      <c r="Z4322" t="s">
        <v>392</v>
      </c>
      <c r="AA4322">
        <v>161</v>
      </c>
      <c r="AB4322" t="s">
        <v>4713</v>
      </c>
      <c r="AC4322" t="str">
        <f>HYPERLINK("plots/3FT6Y578R04_015_S31P_20251219032831_M5358ACSA301811_RBGEUFRF04/dpll_52046/txpa_55185.png","plot")</f>
        <v>plot</v>
      </c>
    </row>
    <row r="4323" spans="1:29" x14ac:dyDescent="0.35">
      <c r="A4323" s="3" t="s">
        <v>50</v>
      </c>
      <c r="B4323">
        <v>52046</v>
      </c>
      <c r="C4323" t="s">
        <v>51</v>
      </c>
      <c r="D4323">
        <v>55186</v>
      </c>
      <c r="E4323" t="s">
        <v>319</v>
      </c>
      <c r="F4323">
        <v>11781</v>
      </c>
      <c r="G4323">
        <v>0.67748781793392832</v>
      </c>
      <c r="H4323">
        <v>0</v>
      </c>
      <c r="I4323">
        <v>0</v>
      </c>
      <c r="J4323">
        <v>0.59832108584841148</v>
      </c>
      <c r="K4323">
        <v>0</v>
      </c>
      <c r="L4323">
        <v>0</v>
      </c>
      <c r="M4323">
        <v>0.42633693655472082</v>
      </c>
      <c r="N4323">
        <v>0</v>
      </c>
      <c r="O4323">
        <v>0</v>
      </c>
      <c r="P4323">
        <v>0.45898974344887561</v>
      </c>
      <c r="Q4323">
        <v>0.93035010879815416</v>
      </c>
      <c r="R4323">
        <v>-2.9415038187501978</v>
      </c>
      <c r="S4323">
        <v>0.2032866421944523</v>
      </c>
      <c r="T4323">
        <v>0.15752323458438189</v>
      </c>
      <c r="U4323">
        <v>4.4286701896273666</v>
      </c>
      <c r="V4323">
        <v>0.20127025814248481</v>
      </c>
      <c r="W4323">
        <v>1.178709974000764</v>
      </c>
      <c r="X4323">
        <v>0.27639140011659208</v>
      </c>
      <c r="Z4323" t="s">
        <v>392</v>
      </c>
      <c r="AA4323">
        <v>161</v>
      </c>
      <c r="AB4323" t="s">
        <v>4714</v>
      </c>
      <c r="AC4323" t="str">
        <f>HYPERLINK("plots/3FT6Y578R04_015_S31P_20251219032831_M5358ACSA301811_RBGEUFRF04/dpll_52046/txpa_55186.png","plot")</f>
        <v>plot</v>
      </c>
    </row>
    <row r="4324" spans="1:29" x14ac:dyDescent="0.35">
      <c r="A4324" s="3" t="s">
        <v>50</v>
      </c>
      <c r="B4324">
        <v>52046</v>
      </c>
      <c r="C4324" t="s">
        <v>51</v>
      </c>
      <c r="D4324">
        <v>55187</v>
      </c>
      <c r="E4324" t="s">
        <v>320</v>
      </c>
      <c r="F4324">
        <v>11782</v>
      </c>
      <c r="G4324">
        <v>0.68706058296808237</v>
      </c>
      <c r="H4324">
        <v>0</v>
      </c>
      <c r="I4324">
        <v>0</v>
      </c>
      <c r="J4324">
        <v>0.62374267906659164</v>
      </c>
      <c r="K4324">
        <v>0</v>
      </c>
      <c r="L4324">
        <v>0</v>
      </c>
      <c r="M4324">
        <v>0.44430205556489311</v>
      </c>
      <c r="N4324">
        <v>0</v>
      </c>
      <c r="O4324">
        <v>0</v>
      </c>
      <c r="P4324">
        <v>0.4720522446684412</v>
      </c>
      <c r="Q4324">
        <v>0.97945903858615457</v>
      </c>
      <c r="R4324">
        <v>-1.168815006034829</v>
      </c>
      <c r="S4324">
        <v>0.2084785096739509</v>
      </c>
      <c r="T4324">
        <v>0.1588019788619944</v>
      </c>
      <c r="U4324">
        <v>4.4286477380750293</v>
      </c>
      <c r="V4324">
        <v>0.20127646963296911</v>
      </c>
      <c r="W4324">
        <v>3.1688640497368872</v>
      </c>
      <c r="X4324">
        <v>0.28693547894288313</v>
      </c>
      <c r="Z4324" t="s">
        <v>392</v>
      </c>
      <c r="AA4324">
        <v>161</v>
      </c>
      <c r="AB4324" t="s">
        <v>4715</v>
      </c>
      <c r="AC4324" t="str">
        <f>HYPERLINK("plots/3FT6Y578R04_015_S31P_20251219032831_M5358ACSA301811_RBGEUFRF04/dpll_52046/txpa_55187.png","plot")</f>
        <v>plot</v>
      </c>
    </row>
    <row r="4325" spans="1:29" x14ac:dyDescent="0.35">
      <c r="A4325" s="3" t="s">
        <v>50</v>
      </c>
      <c r="B4325">
        <v>52046</v>
      </c>
      <c r="C4325" t="s">
        <v>51</v>
      </c>
      <c r="D4325">
        <v>55188</v>
      </c>
      <c r="E4325" t="s">
        <v>321</v>
      </c>
      <c r="F4325">
        <v>11782</v>
      </c>
      <c r="G4325">
        <v>0.71068892594543298</v>
      </c>
      <c r="H4325">
        <v>0</v>
      </c>
      <c r="I4325">
        <v>0</v>
      </c>
      <c r="J4325">
        <v>0.63953352268100139</v>
      </c>
      <c r="K4325">
        <v>0</v>
      </c>
      <c r="L4325">
        <v>0</v>
      </c>
      <c r="M4325">
        <v>0.45996771574861678</v>
      </c>
      <c r="N4325">
        <v>0</v>
      </c>
      <c r="O4325">
        <v>0</v>
      </c>
      <c r="P4325">
        <v>0.50507874946147313</v>
      </c>
      <c r="Q4325">
        <v>1.013767908732355</v>
      </c>
      <c r="R4325">
        <v>-1.287304348149048</v>
      </c>
      <c r="S4325">
        <v>0.20197686036684809</v>
      </c>
      <c r="T4325">
        <v>0.1561833913194941</v>
      </c>
      <c r="U4325">
        <v>4.4286477380750293</v>
      </c>
      <c r="V4325">
        <v>0.20127646963296911</v>
      </c>
      <c r="W4325">
        <v>3.202316607791547</v>
      </c>
      <c r="X4325">
        <v>0.28711243168085199</v>
      </c>
      <c r="Z4325" t="s">
        <v>392</v>
      </c>
      <c r="AA4325">
        <v>161</v>
      </c>
      <c r="AB4325" t="s">
        <v>4716</v>
      </c>
      <c r="AC4325" t="str">
        <f>HYPERLINK("plots/3FT6Y578R04_015_S31P_20251219032831_M5358ACSA301811_RBGEUFRF04/dpll_52046/txpa_55188.png","plot")</f>
        <v>plot</v>
      </c>
    </row>
    <row r="4326" spans="1:29" x14ac:dyDescent="0.35">
      <c r="A4326" s="3" t="s">
        <v>50</v>
      </c>
      <c r="B4326">
        <v>52046</v>
      </c>
      <c r="C4326" t="s">
        <v>51</v>
      </c>
      <c r="D4326">
        <v>55189</v>
      </c>
      <c r="E4326" t="s">
        <v>322</v>
      </c>
      <c r="F4326">
        <v>11782</v>
      </c>
      <c r="G4326">
        <v>0.70050574893684114</v>
      </c>
      <c r="H4326">
        <v>0</v>
      </c>
      <c r="I4326">
        <v>0</v>
      </c>
      <c r="J4326">
        <v>0.6287188815340119</v>
      </c>
      <c r="K4326">
        <v>0</v>
      </c>
      <c r="L4326">
        <v>0</v>
      </c>
      <c r="M4326">
        <v>0.4502684647896763</v>
      </c>
      <c r="N4326">
        <v>0</v>
      </c>
      <c r="O4326">
        <v>0</v>
      </c>
      <c r="P4326">
        <v>0.49070830429356471</v>
      </c>
      <c r="Q4326">
        <v>0.98657861494718513</v>
      </c>
      <c r="R4326">
        <v>-1.152633067577441</v>
      </c>
      <c r="S4326">
        <v>0.20229160782542141</v>
      </c>
      <c r="T4326">
        <v>0.15585660628644091</v>
      </c>
      <c r="U4326">
        <v>4.4286477380750293</v>
      </c>
      <c r="V4326">
        <v>0.20127646963296911</v>
      </c>
      <c r="W4326">
        <v>3.216576083941606</v>
      </c>
      <c r="X4326">
        <v>0.28347384862055958</v>
      </c>
      <c r="Z4326" t="s">
        <v>392</v>
      </c>
      <c r="AA4326">
        <v>161</v>
      </c>
      <c r="AB4326" t="s">
        <v>4717</v>
      </c>
      <c r="AC4326" t="str">
        <f>HYPERLINK("plots/3FT6Y578R04_015_S31P_20251219032831_M5358ACSA301811_RBGEUFRF04/dpll_52046/txpa_55189.png","plot")</f>
        <v>plot</v>
      </c>
    </row>
    <row r="4327" spans="1:29" x14ac:dyDescent="0.35">
      <c r="A4327" s="3" t="s">
        <v>50</v>
      </c>
      <c r="B4327">
        <v>52046</v>
      </c>
      <c r="C4327" t="s">
        <v>51</v>
      </c>
      <c r="D4327">
        <v>55190</v>
      </c>
      <c r="E4327" t="s">
        <v>323</v>
      </c>
      <c r="F4327">
        <v>11781</v>
      </c>
      <c r="G4327">
        <v>0.71676652673565666</v>
      </c>
      <c r="H4327">
        <v>0</v>
      </c>
      <c r="I4327">
        <v>0</v>
      </c>
      <c r="J4327">
        <v>0.63971808956654119</v>
      </c>
      <c r="K4327">
        <v>0</v>
      </c>
      <c r="L4327">
        <v>0</v>
      </c>
      <c r="M4327">
        <v>0.46001524120226461</v>
      </c>
      <c r="N4327">
        <v>0</v>
      </c>
      <c r="O4327">
        <v>0</v>
      </c>
      <c r="P4327">
        <v>0.51375425384869677</v>
      </c>
      <c r="Q4327">
        <v>1.015744065687876</v>
      </c>
      <c r="R4327">
        <v>-1.272127422095535</v>
      </c>
      <c r="S4327">
        <v>0.19889525836831601</v>
      </c>
      <c r="T4327">
        <v>0.15472798964426621</v>
      </c>
      <c r="U4327">
        <v>4.4286547017231142</v>
      </c>
      <c r="V4327">
        <v>0.20128359324518649</v>
      </c>
      <c r="W4327">
        <v>3.2262523101604281</v>
      </c>
      <c r="X4327">
        <v>0.28524297345505439</v>
      </c>
      <c r="Z4327" t="s">
        <v>392</v>
      </c>
      <c r="AA4327">
        <v>161</v>
      </c>
      <c r="AB4327" t="s">
        <v>4718</v>
      </c>
      <c r="AC4327" t="str">
        <f>HYPERLINK("plots/3FT6Y578R04_015_S31P_20251219032831_M5358ACSA301811_RBGEUFRF04/dpll_52046/txpa_55190.png","plot")</f>
        <v>plot</v>
      </c>
    </row>
    <row r="4328" spans="1:29" x14ac:dyDescent="0.35">
      <c r="A4328" s="3" t="s">
        <v>50</v>
      </c>
      <c r="B4328">
        <v>52046</v>
      </c>
      <c r="C4328" t="s">
        <v>51</v>
      </c>
      <c r="D4328">
        <v>55191</v>
      </c>
      <c r="E4328" t="s">
        <v>324</v>
      </c>
      <c r="F4328">
        <v>11781</v>
      </c>
      <c r="G4328">
        <v>0.71802720786084195</v>
      </c>
      <c r="H4328">
        <v>0</v>
      </c>
      <c r="I4328">
        <v>0</v>
      </c>
      <c r="J4328">
        <v>0.63526543169561533</v>
      </c>
      <c r="K4328">
        <v>0</v>
      </c>
      <c r="L4328">
        <v>0</v>
      </c>
      <c r="M4328">
        <v>0.45485329059111018</v>
      </c>
      <c r="N4328">
        <v>0</v>
      </c>
      <c r="O4328">
        <v>0</v>
      </c>
      <c r="P4328">
        <v>0.5155630712284367</v>
      </c>
      <c r="Q4328">
        <v>1.013131707189999</v>
      </c>
      <c r="R4328">
        <v>-1.280124590035554</v>
      </c>
      <c r="S4328">
        <v>0.19764768998776039</v>
      </c>
      <c r="T4328">
        <v>0.15401316466775711</v>
      </c>
      <c r="U4328">
        <v>4.4286210779220783</v>
      </c>
      <c r="V4328">
        <v>0.20126420786155011</v>
      </c>
      <c r="W4328">
        <v>3.206651843137255</v>
      </c>
      <c r="X4328">
        <v>0.28398248461154912</v>
      </c>
      <c r="Z4328" t="s">
        <v>392</v>
      </c>
      <c r="AA4328">
        <v>161</v>
      </c>
      <c r="AB4328" t="s">
        <v>4719</v>
      </c>
      <c r="AC4328" t="str">
        <f>HYPERLINK("plots/3FT6Y578R04_015_S31P_20251219032831_M5358ACSA301811_RBGEUFRF04/dpll_52046/txpa_55191.png","plot")</f>
        <v>plot</v>
      </c>
    </row>
    <row r="4329" spans="1:29" x14ac:dyDescent="0.35">
      <c r="A4329" s="3" t="s">
        <v>50</v>
      </c>
      <c r="B4329">
        <v>52046</v>
      </c>
      <c r="C4329" t="s">
        <v>51</v>
      </c>
      <c r="D4329">
        <v>55192</v>
      </c>
      <c r="E4329" t="s">
        <v>325</v>
      </c>
      <c r="F4329">
        <v>11782</v>
      </c>
      <c r="G4329">
        <v>0.72228683910857794</v>
      </c>
      <c r="H4329">
        <v>0</v>
      </c>
      <c r="I4329">
        <v>0</v>
      </c>
      <c r="J4329">
        <v>0.64892114850338434</v>
      </c>
      <c r="K4329">
        <v>0</v>
      </c>
      <c r="L4329">
        <v>0</v>
      </c>
      <c r="M4329">
        <v>0.46721103247382362</v>
      </c>
      <c r="N4329">
        <v>0</v>
      </c>
      <c r="O4329">
        <v>0</v>
      </c>
      <c r="P4329">
        <v>0.52169827794946078</v>
      </c>
      <c r="Q4329">
        <v>1.0283212023420889</v>
      </c>
      <c r="R4329">
        <v>-1.339919665612582</v>
      </c>
      <c r="S4329">
        <v>0.19817306947456889</v>
      </c>
      <c r="T4329">
        <v>0.1541925142915844</v>
      </c>
      <c r="U4329">
        <v>4.4286477380750293</v>
      </c>
      <c r="V4329">
        <v>0.20127646963296911</v>
      </c>
      <c r="W4329">
        <v>3.214152701154303</v>
      </c>
      <c r="X4329">
        <v>0.28655770816977583</v>
      </c>
      <c r="Z4329" t="s">
        <v>392</v>
      </c>
      <c r="AA4329">
        <v>161</v>
      </c>
      <c r="AB4329" t="s">
        <v>4720</v>
      </c>
      <c r="AC4329" t="str">
        <f>HYPERLINK("plots/3FT6Y578R04_015_S31P_20251219032831_M5358ACSA301811_RBGEUFRF04/dpll_52046/txpa_55192.png","plot")</f>
        <v>plot</v>
      </c>
    </row>
    <row r="4330" spans="1:29" x14ac:dyDescent="0.35">
      <c r="A4330" s="3" t="s">
        <v>50</v>
      </c>
      <c r="B4330">
        <v>52046</v>
      </c>
      <c r="C4330" t="s">
        <v>51</v>
      </c>
      <c r="D4330">
        <v>55193</v>
      </c>
      <c r="E4330" t="s">
        <v>326</v>
      </c>
      <c r="F4330">
        <v>11782</v>
      </c>
      <c r="G4330">
        <v>0.71912378732812665</v>
      </c>
      <c r="H4330">
        <v>0</v>
      </c>
      <c r="I4330">
        <v>0</v>
      </c>
      <c r="J4330">
        <v>0.63877242666676837</v>
      </c>
      <c r="K4330">
        <v>0</v>
      </c>
      <c r="L4330">
        <v>0</v>
      </c>
      <c r="M4330">
        <v>0.45802895526448228</v>
      </c>
      <c r="N4330">
        <v>0</v>
      </c>
      <c r="O4330">
        <v>0</v>
      </c>
      <c r="P4330">
        <v>0.51713902150114877</v>
      </c>
      <c r="Q4330">
        <v>1.010380856647038</v>
      </c>
      <c r="R4330">
        <v>-1.2544679361243269</v>
      </c>
      <c r="S4330">
        <v>0.19650204965325949</v>
      </c>
      <c r="T4330">
        <v>0.15393153864136749</v>
      </c>
      <c r="U4330">
        <v>4.4286477380750293</v>
      </c>
      <c r="V4330">
        <v>0.20127646963296911</v>
      </c>
      <c r="W4330">
        <v>3.2201529592598881</v>
      </c>
      <c r="X4330">
        <v>0.28279678046285739</v>
      </c>
      <c r="Z4330" t="s">
        <v>392</v>
      </c>
      <c r="AA4330">
        <v>161</v>
      </c>
      <c r="AB4330" t="s">
        <v>4721</v>
      </c>
      <c r="AC4330" t="str">
        <f>HYPERLINK("plots/3FT6Y578R04_015_S31P_20251219032831_M5358ACSA301811_RBGEUFRF04/dpll_52046/txpa_55193.png","plot")</f>
        <v>plot</v>
      </c>
    </row>
    <row r="4331" spans="1:29" x14ac:dyDescent="0.35">
      <c r="A4331" s="3" t="s">
        <v>50</v>
      </c>
      <c r="B4331">
        <v>52046</v>
      </c>
      <c r="C4331" t="s">
        <v>51</v>
      </c>
      <c r="D4331">
        <v>55194</v>
      </c>
      <c r="E4331" t="s">
        <v>327</v>
      </c>
      <c r="F4331">
        <v>11781</v>
      </c>
      <c r="G4331">
        <v>0.70878079243967296</v>
      </c>
      <c r="H4331">
        <v>0</v>
      </c>
      <c r="I4331">
        <v>0</v>
      </c>
      <c r="J4331">
        <v>0.62988696177522441</v>
      </c>
      <c r="K4331">
        <v>0</v>
      </c>
      <c r="L4331">
        <v>0</v>
      </c>
      <c r="M4331">
        <v>0.45188710612185351</v>
      </c>
      <c r="N4331">
        <v>0</v>
      </c>
      <c r="O4331">
        <v>0</v>
      </c>
      <c r="P4331">
        <v>0.50237021173141072</v>
      </c>
      <c r="Q4331">
        <v>1.0033341368846229</v>
      </c>
      <c r="R4331">
        <v>-1.2521575396794049</v>
      </c>
      <c r="S4331">
        <v>0.2009777613307227</v>
      </c>
      <c r="T4331">
        <v>0.15547141282108939</v>
      </c>
      <c r="U4331">
        <v>4.4286701896273666</v>
      </c>
      <c r="V4331">
        <v>0.20127025814248481</v>
      </c>
      <c r="W4331">
        <v>3.1912784425770311</v>
      </c>
      <c r="X4331">
        <v>0.28491364733352792</v>
      </c>
      <c r="Z4331" t="s">
        <v>392</v>
      </c>
      <c r="AA4331">
        <v>161</v>
      </c>
      <c r="AB4331" t="s">
        <v>4722</v>
      </c>
      <c r="AC4331" t="str">
        <f>HYPERLINK("plots/3FT6Y578R04_015_S31P_20251219032831_M5358ACSA301811_RBGEUFRF04/dpll_52046/txpa_55194.png","plot")</f>
        <v>plot</v>
      </c>
    </row>
    <row r="4332" spans="1:29" x14ac:dyDescent="0.35">
      <c r="A4332" s="3" t="s">
        <v>50</v>
      </c>
      <c r="B4332">
        <v>52046</v>
      </c>
      <c r="C4332" t="s">
        <v>51</v>
      </c>
      <c r="D4332">
        <v>55195</v>
      </c>
      <c r="E4332" t="s">
        <v>328</v>
      </c>
      <c r="F4332">
        <v>11782</v>
      </c>
      <c r="G4332">
        <v>0.72518594135734671</v>
      </c>
      <c r="H4332">
        <v>0</v>
      </c>
      <c r="I4332">
        <v>0</v>
      </c>
      <c r="J4332">
        <v>0.65703152499418083</v>
      </c>
      <c r="K4332">
        <v>0</v>
      </c>
      <c r="L4332">
        <v>0</v>
      </c>
      <c r="M4332">
        <v>0.47211202242367539</v>
      </c>
      <c r="N4332">
        <v>0</v>
      </c>
      <c r="O4332">
        <v>0</v>
      </c>
      <c r="P4332">
        <v>0.52589464954234111</v>
      </c>
      <c r="Q4332">
        <v>1.0922317268357</v>
      </c>
      <c r="R4332">
        <v>0.74979691592612152</v>
      </c>
      <c r="S4332">
        <v>0.20872641547491769</v>
      </c>
      <c r="T4332">
        <v>0.1583696552220088</v>
      </c>
      <c r="U4332">
        <v>4.4286477380750293</v>
      </c>
      <c r="V4332">
        <v>0.20127646963296911</v>
      </c>
      <c r="W4332">
        <v>5.5869064824308268</v>
      </c>
      <c r="X4332">
        <v>0.30315059002265088</v>
      </c>
      <c r="Z4332" t="s">
        <v>392</v>
      </c>
      <c r="AA4332">
        <v>161</v>
      </c>
      <c r="AB4332" t="s">
        <v>4723</v>
      </c>
      <c r="AC4332" t="str">
        <f>HYPERLINK("plots/3FT6Y578R04_015_S31P_20251219032831_M5358ACSA301811_RBGEUFRF04/dpll_52046/txpa_55195.png","plot")</f>
        <v>plot</v>
      </c>
    </row>
    <row r="4333" spans="1:29" x14ac:dyDescent="0.35">
      <c r="A4333" s="3" t="s">
        <v>50</v>
      </c>
      <c r="B4333">
        <v>52046</v>
      </c>
      <c r="C4333" t="s">
        <v>51</v>
      </c>
      <c r="D4333">
        <v>55196</v>
      </c>
      <c r="E4333" t="s">
        <v>329</v>
      </c>
      <c r="F4333">
        <v>11782</v>
      </c>
      <c r="G4333">
        <v>0.74615376116095444</v>
      </c>
      <c r="H4333">
        <v>0</v>
      </c>
      <c r="I4333">
        <v>0</v>
      </c>
      <c r="J4333">
        <v>0.67057749683365864</v>
      </c>
      <c r="K4333">
        <v>0</v>
      </c>
      <c r="L4333">
        <v>0</v>
      </c>
      <c r="M4333">
        <v>0.4864085761143489</v>
      </c>
      <c r="N4333">
        <v>0</v>
      </c>
      <c r="O4333">
        <v>0</v>
      </c>
      <c r="P4333">
        <v>0.5567454352946386</v>
      </c>
      <c r="Q4333">
        <v>1.124629327878246</v>
      </c>
      <c r="R4333">
        <v>0.63940547166606887</v>
      </c>
      <c r="S4333">
        <v>0.20196785626612179</v>
      </c>
      <c r="T4333">
        <v>0.1557538875772351</v>
      </c>
      <c r="U4333">
        <v>4.4286477380750293</v>
      </c>
      <c r="V4333">
        <v>0.20127646963296911</v>
      </c>
      <c r="W4333">
        <v>5.6199926007469019</v>
      </c>
      <c r="X4333">
        <v>0.30337101083405682</v>
      </c>
      <c r="Z4333" t="s">
        <v>392</v>
      </c>
      <c r="AA4333">
        <v>161</v>
      </c>
      <c r="AB4333" t="s">
        <v>4724</v>
      </c>
      <c r="AC4333" t="str">
        <f>HYPERLINK("plots/3FT6Y578R04_015_S31P_20251219032831_M5358ACSA301811_RBGEUFRF04/dpll_52046/txpa_55196.png","plot")</f>
        <v>plot</v>
      </c>
    </row>
    <row r="4334" spans="1:29" x14ac:dyDescent="0.35">
      <c r="A4334" s="3" t="s">
        <v>50</v>
      </c>
      <c r="B4334">
        <v>52046</v>
      </c>
      <c r="C4334" t="s">
        <v>51</v>
      </c>
      <c r="D4334">
        <v>55197</v>
      </c>
      <c r="E4334" t="s">
        <v>330</v>
      </c>
      <c r="F4334">
        <v>11782</v>
      </c>
      <c r="G4334">
        <v>0.73720410034107109</v>
      </c>
      <c r="H4334">
        <v>0</v>
      </c>
      <c r="I4334">
        <v>0</v>
      </c>
      <c r="J4334">
        <v>0.66099865647550748</v>
      </c>
      <c r="K4334">
        <v>0</v>
      </c>
      <c r="L4334">
        <v>0</v>
      </c>
      <c r="M4334">
        <v>0.47738742266345752</v>
      </c>
      <c r="N4334">
        <v>0</v>
      </c>
      <c r="O4334">
        <v>0</v>
      </c>
      <c r="P4334">
        <v>0.543469885559688</v>
      </c>
      <c r="Q4334">
        <v>1.0974116712168269</v>
      </c>
      <c r="R4334">
        <v>0.77375746497320907</v>
      </c>
      <c r="S4334">
        <v>0.202437573483783</v>
      </c>
      <c r="T4334">
        <v>0.15525013233942889</v>
      </c>
      <c r="U4334">
        <v>4.4286477380750293</v>
      </c>
      <c r="V4334">
        <v>0.20127646963296911</v>
      </c>
      <c r="W4334">
        <v>5.6338071804447463</v>
      </c>
      <c r="X4334">
        <v>0.29962278670770659</v>
      </c>
      <c r="Z4334" t="s">
        <v>392</v>
      </c>
      <c r="AA4334">
        <v>161</v>
      </c>
      <c r="AB4334" t="s">
        <v>4725</v>
      </c>
      <c r="AC4334" t="str">
        <f>HYPERLINK("plots/3FT6Y578R04_015_S31P_20251219032831_M5358ACSA301811_RBGEUFRF04/dpll_52046/txpa_55197.png","plot")</f>
        <v>plot</v>
      </c>
    </row>
    <row r="4335" spans="1:29" x14ac:dyDescent="0.35">
      <c r="A4335" s="3" t="s">
        <v>50</v>
      </c>
      <c r="B4335">
        <v>52046</v>
      </c>
      <c r="C4335" t="s">
        <v>51</v>
      </c>
      <c r="D4335">
        <v>55198</v>
      </c>
      <c r="E4335" t="s">
        <v>331</v>
      </c>
      <c r="F4335">
        <v>11781</v>
      </c>
      <c r="G4335">
        <v>0.75223834210689222</v>
      </c>
      <c r="H4335">
        <v>0</v>
      </c>
      <c r="I4335">
        <v>0</v>
      </c>
      <c r="J4335">
        <v>0.671927063443024</v>
      </c>
      <c r="K4335">
        <v>0</v>
      </c>
      <c r="L4335">
        <v>0</v>
      </c>
      <c r="M4335">
        <v>0.48742472239763412</v>
      </c>
      <c r="N4335">
        <v>0</v>
      </c>
      <c r="O4335">
        <v>0</v>
      </c>
      <c r="P4335">
        <v>0.56586252333572584</v>
      </c>
      <c r="Q4335">
        <v>1.126145871415601</v>
      </c>
      <c r="R4335">
        <v>0.65362014959358028</v>
      </c>
      <c r="S4335">
        <v>0.1985375991671616</v>
      </c>
      <c r="T4335">
        <v>0.15398011772986611</v>
      </c>
      <c r="U4335">
        <v>4.4286547017231142</v>
      </c>
      <c r="V4335">
        <v>0.20128359324518649</v>
      </c>
      <c r="W4335">
        <v>5.640931357864357</v>
      </c>
      <c r="X4335">
        <v>0.3013335997762181</v>
      </c>
      <c r="Z4335" t="s">
        <v>392</v>
      </c>
      <c r="AA4335">
        <v>161</v>
      </c>
      <c r="AB4335" t="s">
        <v>4726</v>
      </c>
      <c r="AC4335" t="str">
        <f>HYPERLINK("plots/3FT6Y578R04_015_S31P_20251219032831_M5358ACSA301811_RBGEUFRF04/dpll_52046/txpa_55198.png","plot")</f>
        <v>plot</v>
      </c>
    </row>
    <row r="4336" spans="1:29" x14ac:dyDescent="0.35">
      <c r="A4336" s="3" t="s">
        <v>50</v>
      </c>
      <c r="B4336">
        <v>52046</v>
      </c>
      <c r="C4336" t="s">
        <v>51</v>
      </c>
      <c r="D4336">
        <v>55199</v>
      </c>
      <c r="E4336" t="s">
        <v>332</v>
      </c>
      <c r="F4336">
        <v>11781</v>
      </c>
      <c r="G4336">
        <v>0.75377219111374583</v>
      </c>
      <c r="H4336">
        <v>0</v>
      </c>
      <c r="I4336">
        <v>0</v>
      </c>
      <c r="J4336">
        <v>0.6678370655323369</v>
      </c>
      <c r="K4336">
        <v>0</v>
      </c>
      <c r="L4336">
        <v>0</v>
      </c>
      <c r="M4336">
        <v>0.48245288778433221</v>
      </c>
      <c r="N4336">
        <v>0</v>
      </c>
      <c r="O4336">
        <v>0</v>
      </c>
      <c r="P4336">
        <v>0.56817251609641739</v>
      </c>
      <c r="Q4336">
        <v>1.1236774896946431</v>
      </c>
      <c r="R4336">
        <v>0.64393066936998533</v>
      </c>
      <c r="S4336">
        <v>0.19715365159208981</v>
      </c>
      <c r="T4336">
        <v>0.15322199928556099</v>
      </c>
      <c r="U4336">
        <v>4.4286210779220783</v>
      </c>
      <c r="V4336">
        <v>0.20126420786155011</v>
      </c>
      <c r="W4336">
        <v>5.6202724850182486</v>
      </c>
      <c r="X4336">
        <v>0.30003237386761061</v>
      </c>
      <c r="Z4336" t="s">
        <v>392</v>
      </c>
      <c r="AA4336">
        <v>161</v>
      </c>
      <c r="AB4336" t="s">
        <v>4727</v>
      </c>
      <c r="AC4336" t="str">
        <f>HYPERLINK("plots/3FT6Y578R04_015_S31P_20251219032831_M5358ACSA301811_RBGEUFRF04/dpll_52046/txpa_55199.png","plot")</f>
        <v>plot</v>
      </c>
    </row>
    <row r="4337" spans="1:29" x14ac:dyDescent="0.35">
      <c r="A4337" s="3" t="s">
        <v>50</v>
      </c>
      <c r="B4337">
        <v>52046</v>
      </c>
      <c r="C4337" t="s">
        <v>51</v>
      </c>
      <c r="D4337">
        <v>55200</v>
      </c>
      <c r="E4337" t="s">
        <v>333</v>
      </c>
      <c r="F4337">
        <v>11781</v>
      </c>
      <c r="G4337">
        <v>0.75859333170133592</v>
      </c>
      <c r="H4337">
        <v>0</v>
      </c>
      <c r="I4337">
        <v>0</v>
      </c>
      <c r="J4337">
        <v>0.67973584326662673</v>
      </c>
      <c r="K4337">
        <v>0</v>
      </c>
      <c r="L4337">
        <v>0</v>
      </c>
      <c r="M4337">
        <v>0.49367042828509738</v>
      </c>
      <c r="N4337">
        <v>0</v>
      </c>
      <c r="O4337">
        <v>0</v>
      </c>
      <c r="P4337">
        <v>0.57546384290173302</v>
      </c>
      <c r="Q4337">
        <v>1.139891058497088</v>
      </c>
      <c r="R4337">
        <v>0.58244037033690166</v>
      </c>
      <c r="S4337">
        <v>0.19703959453723779</v>
      </c>
      <c r="T4337">
        <v>0.15328171836338769</v>
      </c>
      <c r="U4337">
        <v>4.4286192746795683</v>
      </c>
      <c r="V4337">
        <v>0.20126129812424351</v>
      </c>
      <c r="W4337">
        <v>5.6305838830320019</v>
      </c>
      <c r="X4337">
        <v>0.30242284576746697</v>
      </c>
      <c r="Z4337" t="s">
        <v>392</v>
      </c>
      <c r="AA4337">
        <v>161</v>
      </c>
      <c r="AB4337" t="s">
        <v>4728</v>
      </c>
      <c r="AC4337" t="str">
        <f>HYPERLINK("plots/3FT6Y578R04_015_S31P_20251219032831_M5358ACSA301811_RBGEUFRF04/dpll_52046/txpa_55200.png","plot")</f>
        <v>plot</v>
      </c>
    </row>
    <row r="4338" spans="1:29" x14ac:dyDescent="0.35">
      <c r="A4338" s="3" t="s">
        <v>50</v>
      </c>
      <c r="B4338">
        <v>52046</v>
      </c>
      <c r="C4338" t="s">
        <v>51</v>
      </c>
      <c r="D4338">
        <v>55201</v>
      </c>
      <c r="E4338" t="s">
        <v>334</v>
      </c>
      <c r="F4338">
        <v>11782</v>
      </c>
      <c r="G4338">
        <v>0.7546472119927099</v>
      </c>
      <c r="H4338">
        <v>0</v>
      </c>
      <c r="I4338">
        <v>0</v>
      </c>
      <c r="J4338">
        <v>0.67020871279194461</v>
      </c>
      <c r="K4338">
        <v>0</v>
      </c>
      <c r="L4338">
        <v>0</v>
      </c>
      <c r="M4338">
        <v>0.48499166074407829</v>
      </c>
      <c r="N4338">
        <v>0</v>
      </c>
      <c r="O4338">
        <v>0</v>
      </c>
      <c r="P4338">
        <v>0.56949241456837008</v>
      </c>
      <c r="Q4338">
        <v>1.1220426494438049</v>
      </c>
      <c r="R4338">
        <v>0.66739847182541645</v>
      </c>
      <c r="S4338">
        <v>0.19634975886391359</v>
      </c>
      <c r="T4338">
        <v>0.15333961183784289</v>
      </c>
      <c r="U4338">
        <v>4.4286477380750293</v>
      </c>
      <c r="V4338">
        <v>0.20127646963296911</v>
      </c>
      <c r="W4338">
        <v>5.6365301133084378</v>
      </c>
      <c r="X4338">
        <v>0.29926670326034949</v>
      </c>
      <c r="Z4338" t="s">
        <v>392</v>
      </c>
      <c r="AA4338">
        <v>161</v>
      </c>
      <c r="AB4338" t="s">
        <v>4729</v>
      </c>
      <c r="AC4338" t="str">
        <f>HYPERLINK("plots/3FT6Y578R04_015_S31P_20251219032831_M5358ACSA301811_RBGEUFRF04/dpll_52046/txpa_55201.png","plot")</f>
        <v>plot</v>
      </c>
    </row>
    <row r="4339" spans="1:29" x14ac:dyDescent="0.35">
      <c r="A4339" s="3" t="s">
        <v>50</v>
      </c>
      <c r="B4339">
        <v>52046</v>
      </c>
      <c r="C4339" t="s">
        <v>51</v>
      </c>
      <c r="D4339">
        <v>55202</v>
      </c>
      <c r="E4339" t="s">
        <v>335</v>
      </c>
      <c r="F4339">
        <v>11781</v>
      </c>
      <c r="G4339">
        <v>0.74594522113893147</v>
      </c>
      <c r="H4339">
        <v>0</v>
      </c>
      <c r="I4339">
        <v>0</v>
      </c>
      <c r="J4339">
        <v>0.66288999923723491</v>
      </c>
      <c r="K4339">
        <v>0</v>
      </c>
      <c r="L4339">
        <v>0</v>
      </c>
      <c r="M4339">
        <v>0.47977989187471631</v>
      </c>
      <c r="N4339">
        <v>0</v>
      </c>
      <c r="O4339">
        <v>0</v>
      </c>
      <c r="P4339">
        <v>0.55643427294000936</v>
      </c>
      <c r="Q4339">
        <v>1.1164236889152921</v>
      </c>
      <c r="R4339">
        <v>0.66548452990363316</v>
      </c>
      <c r="S4339">
        <v>0.20061447654463979</v>
      </c>
      <c r="T4339">
        <v>0.15464840396618129</v>
      </c>
      <c r="U4339">
        <v>4.4286701896273666</v>
      </c>
      <c r="V4339">
        <v>0.20127025814248481</v>
      </c>
      <c r="W4339">
        <v>5.6097568399966038</v>
      </c>
      <c r="X4339">
        <v>0.30123241988370542</v>
      </c>
      <c r="Z4339" t="s">
        <v>392</v>
      </c>
      <c r="AA4339">
        <v>161</v>
      </c>
      <c r="AB4339" t="s">
        <v>4730</v>
      </c>
      <c r="AC4339" t="str">
        <f>HYPERLINK("plots/3FT6Y578R04_015_S31P_20251219032831_M5358ACSA301811_RBGEUFRF04/dpll_52046/txpa_55202.png","plot")</f>
        <v>plot</v>
      </c>
    </row>
    <row r="4340" spans="1:29" x14ac:dyDescent="0.35">
      <c r="A4340" s="3" t="s">
        <v>50</v>
      </c>
      <c r="B4340">
        <v>52046</v>
      </c>
      <c r="C4340" t="s">
        <v>51</v>
      </c>
      <c r="D4340">
        <v>55203</v>
      </c>
      <c r="E4340" t="s">
        <v>336</v>
      </c>
      <c r="F4340">
        <v>11782</v>
      </c>
      <c r="G4340">
        <v>0.73841442730470275</v>
      </c>
      <c r="H4340">
        <v>0</v>
      </c>
      <c r="I4340">
        <v>0</v>
      </c>
      <c r="J4340">
        <v>0.66702620453464678</v>
      </c>
      <c r="K4340">
        <v>0</v>
      </c>
      <c r="L4340">
        <v>0</v>
      </c>
      <c r="M4340">
        <v>0.48066442050488328</v>
      </c>
      <c r="N4340">
        <v>0</v>
      </c>
      <c r="O4340">
        <v>0</v>
      </c>
      <c r="P4340">
        <v>0.54525586645173219</v>
      </c>
      <c r="Q4340">
        <v>1.14651179879467</v>
      </c>
      <c r="R4340">
        <v>1.574209808428181</v>
      </c>
      <c r="S4340">
        <v>0.21073490836091299</v>
      </c>
      <c r="T4340">
        <v>0.1595128744729114</v>
      </c>
      <c r="U4340">
        <v>4.4286477380750293</v>
      </c>
      <c r="V4340">
        <v>0.20127646963296911</v>
      </c>
      <c r="W4340">
        <v>6.6517066928365303</v>
      </c>
      <c r="X4340">
        <v>0.31251535549793902</v>
      </c>
      <c r="Z4340" t="s">
        <v>392</v>
      </c>
      <c r="AA4340">
        <v>161</v>
      </c>
      <c r="AB4340" t="s">
        <v>4731</v>
      </c>
      <c r="AC4340" t="str">
        <f>HYPERLINK("plots/3FT6Y578R04_015_S31P_20251219032831_M5358ACSA301811_RBGEUFRF04/dpll_52046/txpa_55203.png","plot")</f>
        <v>plot</v>
      </c>
    </row>
    <row r="4341" spans="1:29" x14ac:dyDescent="0.35">
      <c r="A4341" s="3" t="s">
        <v>50</v>
      </c>
      <c r="B4341">
        <v>52046</v>
      </c>
      <c r="C4341" t="s">
        <v>51</v>
      </c>
      <c r="D4341">
        <v>55204</v>
      </c>
      <c r="E4341" t="s">
        <v>337</v>
      </c>
      <c r="F4341">
        <v>11782</v>
      </c>
      <c r="G4341">
        <v>0.75853388117913734</v>
      </c>
      <c r="H4341">
        <v>0</v>
      </c>
      <c r="I4341">
        <v>0</v>
      </c>
      <c r="J4341">
        <v>0.68052563343109651</v>
      </c>
      <c r="K4341">
        <v>0</v>
      </c>
      <c r="L4341">
        <v>0</v>
      </c>
      <c r="M4341">
        <v>0.49507846462095217</v>
      </c>
      <c r="N4341">
        <v>0</v>
      </c>
      <c r="O4341">
        <v>0</v>
      </c>
      <c r="P4341">
        <v>0.57537364889668563</v>
      </c>
      <c r="Q4341">
        <v>1.1781257610386551</v>
      </c>
      <c r="R4341">
        <v>1.466709376474236</v>
      </c>
      <c r="S4341">
        <v>0.203701728599162</v>
      </c>
      <c r="T4341">
        <v>0.15667423764046229</v>
      </c>
      <c r="U4341">
        <v>4.4286477380750293</v>
      </c>
      <c r="V4341">
        <v>0.20127646963296911</v>
      </c>
      <c r="W4341">
        <v>6.6842133632659984</v>
      </c>
      <c r="X4341">
        <v>0.31261490073047188</v>
      </c>
      <c r="Z4341" t="s">
        <v>392</v>
      </c>
      <c r="AA4341">
        <v>161</v>
      </c>
      <c r="AB4341" t="s">
        <v>4732</v>
      </c>
      <c r="AC4341" t="str">
        <f>HYPERLINK("plots/3FT6Y578R04_015_S31P_20251219032831_M5358ACSA301811_RBGEUFRF04/dpll_52046/txpa_55204.png","plot")</f>
        <v>plot</v>
      </c>
    </row>
    <row r="4342" spans="1:29" x14ac:dyDescent="0.35">
      <c r="A4342" s="3" t="s">
        <v>50</v>
      </c>
      <c r="B4342">
        <v>52046</v>
      </c>
      <c r="C4342" t="s">
        <v>51</v>
      </c>
      <c r="D4342">
        <v>55205</v>
      </c>
      <c r="E4342" t="s">
        <v>338</v>
      </c>
      <c r="F4342">
        <v>11782</v>
      </c>
      <c r="G4342">
        <v>0.75016884813113094</v>
      </c>
      <c r="H4342">
        <v>0</v>
      </c>
      <c r="I4342">
        <v>0</v>
      </c>
      <c r="J4342">
        <v>0.67100044415741378</v>
      </c>
      <c r="K4342">
        <v>0</v>
      </c>
      <c r="L4342">
        <v>0</v>
      </c>
      <c r="M4342">
        <v>0.48598309149240471</v>
      </c>
      <c r="N4342">
        <v>0</v>
      </c>
      <c r="O4342">
        <v>0</v>
      </c>
      <c r="P4342">
        <v>0.56275330070638785</v>
      </c>
      <c r="Q4342">
        <v>1.1514125906004291</v>
      </c>
      <c r="R4342">
        <v>1.598810362444026</v>
      </c>
      <c r="S4342">
        <v>0.20427244807443889</v>
      </c>
      <c r="T4342">
        <v>0.1562310431960624</v>
      </c>
      <c r="U4342">
        <v>4.4286477380750293</v>
      </c>
      <c r="V4342">
        <v>0.20127646963296911</v>
      </c>
      <c r="W4342">
        <v>6.6980111273977254</v>
      </c>
      <c r="X4342">
        <v>0.30893346465180688</v>
      </c>
      <c r="Z4342" t="s">
        <v>392</v>
      </c>
      <c r="AA4342">
        <v>161</v>
      </c>
      <c r="AB4342" t="s">
        <v>4733</v>
      </c>
      <c r="AC4342" t="str">
        <f>HYPERLINK("plots/3FT6Y578R04_015_S31P_20251219032831_M5358ACSA301811_RBGEUFRF04/dpll_52046/txpa_55205.png","plot")</f>
        <v>plot</v>
      </c>
    </row>
    <row r="4343" spans="1:29" x14ac:dyDescent="0.35">
      <c r="A4343" s="3" t="s">
        <v>50</v>
      </c>
      <c r="B4343">
        <v>52046</v>
      </c>
      <c r="C4343" t="s">
        <v>51</v>
      </c>
      <c r="D4343">
        <v>55206</v>
      </c>
      <c r="E4343" t="s">
        <v>339</v>
      </c>
      <c r="F4343">
        <v>11781</v>
      </c>
      <c r="G4343">
        <v>0.76459626472263131</v>
      </c>
      <c r="H4343">
        <v>0</v>
      </c>
      <c r="I4343">
        <v>0</v>
      </c>
      <c r="J4343">
        <v>0.68172695185810228</v>
      </c>
      <c r="K4343">
        <v>0</v>
      </c>
      <c r="L4343">
        <v>0</v>
      </c>
      <c r="M4343">
        <v>0.49589701645795797</v>
      </c>
      <c r="N4343">
        <v>0</v>
      </c>
      <c r="O4343">
        <v>0</v>
      </c>
      <c r="P4343">
        <v>0.58460744802780007</v>
      </c>
      <c r="Q4343">
        <v>1.179763159249307</v>
      </c>
      <c r="R4343">
        <v>1.4794872596092361</v>
      </c>
      <c r="S4343">
        <v>0.20016214886590669</v>
      </c>
      <c r="T4343">
        <v>0.1549099719790562</v>
      </c>
      <c r="U4343">
        <v>4.4286547017231142</v>
      </c>
      <c r="V4343">
        <v>0.20128359324518649</v>
      </c>
      <c r="W4343">
        <v>6.7042509217383923</v>
      </c>
      <c r="X4343">
        <v>0.31057824740765438</v>
      </c>
      <c r="Z4343" t="s">
        <v>392</v>
      </c>
      <c r="AA4343">
        <v>161</v>
      </c>
      <c r="AB4343" t="s">
        <v>4734</v>
      </c>
      <c r="AC4343" t="str">
        <f>HYPERLINK("plots/3FT6Y578R04_015_S31P_20251219032831_M5358ACSA301811_RBGEUFRF04/dpll_52046/txpa_55206.png","plot")</f>
        <v>plot</v>
      </c>
    </row>
    <row r="4344" spans="1:29" x14ac:dyDescent="0.35">
      <c r="A4344" s="3" t="s">
        <v>50</v>
      </c>
      <c r="B4344">
        <v>52046</v>
      </c>
      <c r="C4344" t="s">
        <v>51</v>
      </c>
      <c r="D4344">
        <v>55207</v>
      </c>
      <c r="E4344" t="s">
        <v>340</v>
      </c>
      <c r="F4344">
        <v>11781</v>
      </c>
      <c r="G4344">
        <v>0.7662809568109672</v>
      </c>
      <c r="H4344">
        <v>0</v>
      </c>
      <c r="I4344">
        <v>0</v>
      </c>
      <c r="J4344">
        <v>0.67777861030594755</v>
      </c>
      <c r="K4344">
        <v>0</v>
      </c>
      <c r="L4344">
        <v>0</v>
      </c>
      <c r="M4344">
        <v>0.49099438829955971</v>
      </c>
      <c r="N4344">
        <v>0</v>
      </c>
      <c r="O4344">
        <v>0</v>
      </c>
      <c r="P4344">
        <v>0.58718650477113132</v>
      </c>
      <c r="Q4344">
        <v>1.1778307715233229</v>
      </c>
      <c r="R4344">
        <v>1.466884082566557</v>
      </c>
      <c r="S4344">
        <v>0.19875585093107639</v>
      </c>
      <c r="T4344">
        <v>0.15419292204601939</v>
      </c>
      <c r="U4344">
        <v>4.4286210779220783</v>
      </c>
      <c r="V4344">
        <v>0.20126420786155011</v>
      </c>
      <c r="W4344">
        <v>6.6830502635599691</v>
      </c>
      <c r="X4344">
        <v>0.30935804305010128</v>
      </c>
      <c r="Z4344" t="s">
        <v>392</v>
      </c>
      <c r="AA4344">
        <v>161</v>
      </c>
      <c r="AB4344" t="s">
        <v>4735</v>
      </c>
      <c r="AC4344" t="str">
        <f>HYPERLINK("plots/3FT6Y578R04_015_S31P_20251219032831_M5358ACSA301811_RBGEUFRF04/dpll_52046/txpa_55207.png","plot")</f>
        <v>plot</v>
      </c>
    </row>
    <row r="4345" spans="1:29" x14ac:dyDescent="0.35">
      <c r="A4345" s="3" t="s">
        <v>50</v>
      </c>
      <c r="B4345">
        <v>52046</v>
      </c>
      <c r="C4345" t="s">
        <v>51</v>
      </c>
      <c r="D4345">
        <v>55208</v>
      </c>
      <c r="E4345" t="s">
        <v>341</v>
      </c>
      <c r="F4345">
        <v>11781</v>
      </c>
      <c r="G4345">
        <v>0.77053736714769672</v>
      </c>
      <c r="H4345">
        <v>0</v>
      </c>
      <c r="I4345">
        <v>0</v>
      </c>
      <c r="J4345">
        <v>0.68882255594860509</v>
      </c>
      <c r="K4345">
        <v>0</v>
      </c>
      <c r="L4345">
        <v>0</v>
      </c>
      <c r="M4345">
        <v>0.50168125051339285</v>
      </c>
      <c r="N4345">
        <v>0</v>
      </c>
      <c r="O4345">
        <v>0</v>
      </c>
      <c r="P4345">
        <v>0.59372783417090436</v>
      </c>
      <c r="Q4345">
        <v>1.193640961588275</v>
      </c>
      <c r="R4345">
        <v>1.407795373863501</v>
      </c>
      <c r="S4345">
        <v>0.1987148762699511</v>
      </c>
      <c r="T4345">
        <v>0.15433638623466961</v>
      </c>
      <c r="U4345">
        <v>4.4286192746795683</v>
      </c>
      <c r="V4345">
        <v>0.20126129812424351</v>
      </c>
      <c r="W4345">
        <v>6.6939767434003903</v>
      </c>
      <c r="X4345">
        <v>0.31177427554591081</v>
      </c>
      <c r="Z4345" t="s">
        <v>392</v>
      </c>
      <c r="AA4345">
        <v>161</v>
      </c>
      <c r="AB4345" t="s">
        <v>4736</v>
      </c>
      <c r="AC4345" t="str">
        <f>HYPERLINK("plots/3FT6Y578R04_015_S31P_20251219032831_M5358ACSA301811_RBGEUFRF04/dpll_52046/txpa_55208.png","plot")</f>
        <v>plot</v>
      </c>
    </row>
    <row r="4346" spans="1:29" x14ac:dyDescent="0.35">
      <c r="A4346" s="3" t="s">
        <v>50</v>
      </c>
      <c r="B4346">
        <v>52046</v>
      </c>
      <c r="C4346" t="s">
        <v>51</v>
      </c>
      <c r="D4346">
        <v>55209</v>
      </c>
      <c r="E4346" t="s">
        <v>342</v>
      </c>
      <c r="F4346">
        <v>11782</v>
      </c>
      <c r="G4346">
        <v>0.76701433170950606</v>
      </c>
      <c r="H4346">
        <v>0</v>
      </c>
      <c r="I4346">
        <v>0</v>
      </c>
      <c r="J4346">
        <v>0.67972831328812489</v>
      </c>
      <c r="K4346">
        <v>0</v>
      </c>
      <c r="L4346">
        <v>0</v>
      </c>
      <c r="M4346">
        <v>0.49330268440651731</v>
      </c>
      <c r="N4346">
        <v>0</v>
      </c>
      <c r="O4346">
        <v>0</v>
      </c>
      <c r="P4346">
        <v>0.58831098504778023</v>
      </c>
      <c r="Q4346">
        <v>1.176368870963999</v>
      </c>
      <c r="R4346">
        <v>1.490122560565261</v>
      </c>
      <c r="S4346">
        <v>0.1980611331758155</v>
      </c>
      <c r="T4346">
        <v>0.15436313566459711</v>
      </c>
      <c r="U4346">
        <v>4.4286477380750293</v>
      </c>
      <c r="V4346">
        <v>0.20127646963296911</v>
      </c>
      <c r="W4346">
        <v>6.6998459001018498</v>
      </c>
      <c r="X4346">
        <v>0.30869745654691372</v>
      </c>
      <c r="Z4346" t="s">
        <v>392</v>
      </c>
      <c r="AA4346">
        <v>161</v>
      </c>
      <c r="AB4346" t="s">
        <v>4737</v>
      </c>
      <c r="AC4346" t="str">
        <f>HYPERLINK("plots/3FT6Y578R04_015_S31P_20251219032831_M5358ACSA301811_RBGEUFRF04/dpll_52046/txpa_55209.png","plot")</f>
        <v>plot</v>
      </c>
    </row>
    <row r="4347" spans="1:29" x14ac:dyDescent="0.35">
      <c r="A4347" s="3" t="s">
        <v>50</v>
      </c>
      <c r="B4347">
        <v>52046</v>
      </c>
      <c r="C4347" t="s">
        <v>51</v>
      </c>
      <c r="D4347">
        <v>55210</v>
      </c>
      <c r="E4347" t="s">
        <v>343</v>
      </c>
      <c r="F4347">
        <v>11781</v>
      </c>
      <c r="G4347">
        <v>0.75870601894278322</v>
      </c>
      <c r="H4347">
        <v>0</v>
      </c>
      <c r="I4347">
        <v>0</v>
      </c>
      <c r="J4347">
        <v>0.67285039722522344</v>
      </c>
      <c r="K4347">
        <v>0</v>
      </c>
      <c r="L4347">
        <v>0</v>
      </c>
      <c r="M4347">
        <v>0.48836233546579438</v>
      </c>
      <c r="N4347">
        <v>0</v>
      </c>
      <c r="O4347">
        <v>0</v>
      </c>
      <c r="P4347">
        <v>0.57563482318000692</v>
      </c>
      <c r="Q4347">
        <v>1.1700558954799041</v>
      </c>
      <c r="R4347">
        <v>1.4925389429091189</v>
      </c>
      <c r="S4347">
        <v>0.20219207069109621</v>
      </c>
      <c r="T4347">
        <v>0.1554533974556625</v>
      </c>
      <c r="U4347">
        <v>4.4286701896273666</v>
      </c>
      <c r="V4347">
        <v>0.20127025814248481</v>
      </c>
      <c r="W4347">
        <v>6.6743306074187254</v>
      </c>
      <c r="X4347">
        <v>0.31039354670275288</v>
      </c>
      <c r="Z4347" t="s">
        <v>392</v>
      </c>
      <c r="AA4347">
        <v>161</v>
      </c>
      <c r="AB4347" t="s">
        <v>4738</v>
      </c>
      <c r="AC4347" t="str">
        <f>HYPERLINK("plots/3FT6Y578R04_015_S31P_20251219032831_M5358ACSA301811_RBGEUFRF04/dpll_52046/txpa_55210.png","plot")</f>
        <v>plot</v>
      </c>
    </row>
    <row r="4348" spans="1:29" x14ac:dyDescent="0.35">
      <c r="A4348" s="3" t="s">
        <v>50</v>
      </c>
      <c r="B4348">
        <v>52046</v>
      </c>
      <c r="C4348" t="s">
        <v>51</v>
      </c>
      <c r="D4348">
        <v>55211</v>
      </c>
      <c r="E4348" t="s">
        <v>344</v>
      </c>
      <c r="F4348">
        <v>11782</v>
      </c>
      <c r="G4348">
        <v>0.7495161284088564</v>
      </c>
      <c r="H4348">
        <v>0</v>
      </c>
      <c r="I4348">
        <v>0</v>
      </c>
      <c r="J4348">
        <v>0.67545186297141879</v>
      </c>
      <c r="K4348">
        <v>0</v>
      </c>
      <c r="L4348">
        <v>0</v>
      </c>
      <c r="M4348">
        <v>0.48782115212719612</v>
      </c>
      <c r="N4348">
        <v>0</v>
      </c>
      <c r="O4348">
        <v>0</v>
      </c>
      <c r="P4348">
        <v>0.56177442674500133</v>
      </c>
      <c r="Q4348">
        <v>1.2025508804291529</v>
      </c>
      <c r="R4348">
        <v>2.3596675303999048</v>
      </c>
      <c r="S4348">
        <v>0.2137695839793505</v>
      </c>
      <c r="T4348">
        <v>0.161448283109212</v>
      </c>
      <c r="U4348">
        <v>4.4286477380750293</v>
      </c>
      <c r="V4348">
        <v>0.20127646963296911</v>
      </c>
      <c r="W4348">
        <v>7.6853417669326101</v>
      </c>
      <c r="X4348">
        <v>0.32293527329509952</v>
      </c>
      <c r="Z4348" t="s">
        <v>392</v>
      </c>
      <c r="AA4348">
        <v>161</v>
      </c>
      <c r="AB4348" t="s">
        <v>4739</v>
      </c>
      <c r="AC4348" t="str">
        <f>HYPERLINK("plots/3FT6Y578R04_015_S31P_20251219032831_M5358ACSA301811_RBGEUFRF04/dpll_52046/txpa_55211.png","plot")</f>
        <v>plot</v>
      </c>
    </row>
    <row r="4349" spans="1:29" x14ac:dyDescent="0.35">
      <c r="A4349" s="3" t="s">
        <v>50</v>
      </c>
      <c r="B4349">
        <v>52046</v>
      </c>
      <c r="C4349" t="s">
        <v>51</v>
      </c>
      <c r="D4349">
        <v>55212</v>
      </c>
      <c r="E4349" t="s">
        <v>345</v>
      </c>
      <c r="F4349">
        <v>11782</v>
      </c>
      <c r="G4349">
        <v>0.76859174487979276</v>
      </c>
      <c r="H4349">
        <v>0</v>
      </c>
      <c r="I4349">
        <v>0</v>
      </c>
      <c r="J4349">
        <v>0.68820015175405225</v>
      </c>
      <c r="K4349">
        <v>0</v>
      </c>
      <c r="L4349">
        <v>0</v>
      </c>
      <c r="M4349">
        <v>0.50172845607049354</v>
      </c>
      <c r="N4349">
        <v>0</v>
      </c>
      <c r="O4349">
        <v>0</v>
      </c>
      <c r="P4349">
        <v>0.59073327029736444</v>
      </c>
      <c r="Q4349">
        <v>1.2332067206118931</v>
      </c>
      <c r="R4349">
        <v>2.2556894711195579</v>
      </c>
      <c r="S4349">
        <v>0.20659412303194721</v>
      </c>
      <c r="T4349">
        <v>0.15864220925913439</v>
      </c>
      <c r="U4349">
        <v>4.4286477380750293</v>
      </c>
      <c r="V4349">
        <v>0.20127646963296911</v>
      </c>
      <c r="W4349">
        <v>7.7171276249363423</v>
      </c>
      <c r="X4349">
        <v>0.32294842704982968</v>
      </c>
      <c r="Z4349" t="s">
        <v>392</v>
      </c>
      <c r="AA4349">
        <v>161</v>
      </c>
      <c r="AB4349" t="s">
        <v>4740</v>
      </c>
      <c r="AC4349" t="str">
        <f>HYPERLINK("plots/3FT6Y578R04_015_S31P_20251219032831_M5358ACSA301811_RBGEUFRF04/dpll_52046/txpa_55212.png","plot")</f>
        <v>plot</v>
      </c>
    </row>
    <row r="4350" spans="1:29" x14ac:dyDescent="0.35">
      <c r="A4350" s="3" t="s">
        <v>50</v>
      </c>
      <c r="B4350">
        <v>52046</v>
      </c>
      <c r="C4350" t="s">
        <v>51</v>
      </c>
      <c r="D4350">
        <v>55213</v>
      </c>
      <c r="E4350" t="s">
        <v>346</v>
      </c>
      <c r="F4350">
        <v>11782</v>
      </c>
      <c r="G4350">
        <v>0.76071567482356273</v>
      </c>
      <c r="H4350">
        <v>0</v>
      </c>
      <c r="I4350">
        <v>0</v>
      </c>
      <c r="J4350">
        <v>0.67897729181515498</v>
      </c>
      <c r="K4350">
        <v>0</v>
      </c>
      <c r="L4350">
        <v>0</v>
      </c>
      <c r="M4350">
        <v>0.49275949433190791</v>
      </c>
      <c r="N4350">
        <v>0</v>
      </c>
      <c r="O4350">
        <v>0</v>
      </c>
      <c r="P4350">
        <v>0.57868833792226848</v>
      </c>
      <c r="Q4350">
        <v>1.2063623089389941</v>
      </c>
      <c r="R4350">
        <v>2.3883512487328691</v>
      </c>
      <c r="S4350">
        <v>0.20717231080616391</v>
      </c>
      <c r="T4350">
        <v>0.15810579066025479</v>
      </c>
      <c r="U4350">
        <v>4.4286477380750293</v>
      </c>
      <c r="V4350">
        <v>0.20127646963296911</v>
      </c>
      <c r="W4350">
        <v>7.730904959514513</v>
      </c>
      <c r="X4350">
        <v>0.319189356388423</v>
      </c>
      <c r="Z4350" t="s">
        <v>392</v>
      </c>
      <c r="AA4350">
        <v>161</v>
      </c>
      <c r="AB4350" t="s">
        <v>4741</v>
      </c>
      <c r="AC4350" t="str">
        <f>HYPERLINK("plots/3FT6Y578R04_015_S31P_20251219032831_M5358ACSA301811_RBGEUFRF04/dpll_52046/txpa_55213.png","plot")</f>
        <v>plot</v>
      </c>
    </row>
    <row r="4351" spans="1:29" x14ac:dyDescent="0.35">
      <c r="A4351" s="3" t="s">
        <v>50</v>
      </c>
      <c r="B4351">
        <v>52046</v>
      </c>
      <c r="C4351" t="s">
        <v>51</v>
      </c>
      <c r="D4351">
        <v>55214</v>
      </c>
      <c r="E4351" t="s">
        <v>347</v>
      </c>
      <c r="F4351">
        <v>11781</v>
      </c>
      <c r="G4351">
        <v>0.77455663727188917</v>
      </c>
      <c r="H4351">
        <v>0</v>
      </c>
      <c r="I4351">
        <v>0</v>
      </c>
      <c r="J4351">
        <v>0.68949325551159313</v>
      </c>
      <c r="K4351">
        <v>0</v>
      </c>
      <c r="L4351">
        <v>0</v>
      </c>
      <c r="M4351">
        <v>0.50261730215467515</v>
      </c>
      <c r="N4351">
        <v>0</v>
      </c>
      <c r="O4351">
        <v>0</v>
      </c>
      <c r="P4351">
        <v>0.5999379843419369</v>
      </c>
      <c r="Q4351">
        <v>1.2343731414344421</v>
      </c>
      <c r="R4351">
        <v>2.269703588853222</v>
      </c>
      <c r="S4351">
        <v>0.20288357404379509</v>
      </c>
      <c r="T4351">
        <v>0.1567449275076799</v>
      </c>
      <c r="U4351">
        <v>4.4286547017231142</v>
      </c>
      <c r="V4351">
        <v>0.20128359324518649</v>
      </c>
      <c r="W4351">
        <v>7.736316005347593</v>
      </c>
      <c r="X4351">
        <v>0.32077584692629513</v>
      </c>
      <c r="Z4351" t="s">
        <v>392</v>
      </c>
      <c r="AA4351">
        <v>161</v>
      </c>
      <c r="AB4351" t="s">
        <v>4742</v>
      </c>
      <c r="AC4351" t="str">
        <f>HYPERLINK("plots/3FT6Y578R04_015_S31P_20251219032831_M5358ACSA301811_RBGEUFRF04/dpll_52046/txpa_55214.png","plot")</f>
        <v>plot</v>
      </c>
    </row>
    <row r="4352" spans="1:29" x14ac:dyDescent="0.35">
      <c r="A4352" s="3" t="s">
        <v>50</v>
      </c>
      <c r="B4352">
        <v>52046</v>
      </c>
      <c r="C4352" t="s">
        <v>51</v>
      </c>
      <c r="D4352">
        <v>55215</v>
      </c>
      <c r="E4352" t="s">
        <v>348</v>
      </c>
      <c r="F4352">
        <v>11781</v>
      </c>
      <c r="G4352">
        <v>0.77646025536141039</v>
      </c>
      <c r="H4352">
        <v>0</v>
      </c>
      <c r="I4352">
        <v>0</v>
      </c>
      <c r="J4352">
        <v>0.68561991368196218</v>
      </c>
      <c r="K4352">
        <v>0</v>
      </c>
      <c r="L4352">
        <v>0</v>
      </c>
      <c r="M4352">
        <v>0.49782222303118417</v>
      </c>
      <c r="N4352">
        <v>0</v>
      </c>
      <c r="O4352">
        <v>0</v>
      </c>
      <c r="P4352">
        <v>0.6028905281559066</v>
      </c>
      <c r="Q4352">
        <v>1.2334139198172911</v>
      </c>
      <c r="R4352">
        <v>2.2522600776789661</v>
      </c>
      <c r="S4352">
        <v>0.2014618666018356</v>
      </c>
      <c r="T4352">
        <v>0.15600697687307541</v>
      </c>
      <c r="U4352">
        <v>4.4286210779220783</v>
      </c>
      <c r="V4352">
        <v>0.20126420786155011</v>
      </c>
      <c r="W4352">
        <v>7.7145829607843126</v>
      </c>
      <c r="X4352">
        <v>0.31970995788044559</v>
      </c>
      <c r="Z4352" t="s">
        <v>392</v>
      </c>
      <c r="AA4352">
        <v>161</v>
      </c>
      <c r="AB4352" t="s">
        <v>4743</v>
      </c>
      <c r="AC4352" t="str">
        <f>HYPERLINK("plots/3FT6Y578R04_015_S31P_20251219032831_M5358ACSA301811_RBGEUFRF04/dpll_52046/txpa_55215.png","plot")</f>
        <v>plot</v>
      </c>
    </row>
    <row r="4353" spans="1:29" x14ac:dyDescent="0.35">
      <c r="A4353" s="3" t="s">
        <v>50</v>
      </c>
      <c r="B4353">
        <v>52046</v>
      </c>
      <c r="C4353" t="s">
        <v>51</v>
      </c>
      <c r="D4353">
        <v>55216</v>
      </c>
      <c r="E4353" t="s">
        <v>349</v>
      </c>
      <c r="F4353">
        <v>11781</v>
      </c>
      <c r="G4353">
        <v>0.78034261594953114</v>
      </c>
      <c r="H4353">
        <v>0</v>
      </c>
      <c r="I4353">
        <v>0</v>
      </c>
      <c r="J4353">
        <v>0.69617413841157172</v>
      </c>
      <c r="K4353">
        <v>0</v>
      </c>
      <c r="L4353">
        <v>0</v>
      </c>
      <c r="M4353">
        <v>0.50818007055305536</v>
      </c>
      <c r="N4353">
        <v>0</v>
      </c>
      <c r="O4353">
        <v>0</v>
      </c>
      <c r="P4353">
        <v>0.60893459826695739</v>
      </c>
      <c r="Q4353">
        <v>1.2487603004412731</v>
      </c>
      <c r="R4353">
        <v>2.1958669960202988</v>
      </c>
      <c r="S4353">
        <v>0.20140038319918871</v>
      </c>
      <c r="T4353">
        <v>0.1561614424375565</v>
      </c>
      <c r="U4353">
        <v>4.4286192746795683</v>
      </c>
      <c r="V4353">
        <v>0.20126129812424351</v>
      </c>
      <c r="W4353">
        <v>7.7261509320091672</v>
      </c>
      <c r="X4353">
        <v>0.32207278441023329</v>
      </c>
      <c r="Z4353" t="s">
        <v>392</v>
      </c>
      <c r="AA4353">
        <v>161</v>
      </c>
      <c r="AB4353" t="s">
        <v>4744</v>
      </c>
      <c r="AC4353" t="str">
        <f>HYPERLINK("plots/3FT6Y578R04_015_S31P_20251219032831_M5358ACSA301811_RBGEUFRF04/dpll_52046/txpa_55216.png","plot")</f>
        <v>plot</v>
      </c>
    </row>
    <row r="4354" spans="1:29" x14ac:dyDescent="0.35">
      <c r="A4354" s="3" t="s">
        <v>50</v>
      </c>
      <c r="B4354">
        <v>52046</v>
      </c>
      <c r="C4354" t="s">
        <v>51</v>
      </c>
      <c r="D4354">
        <v>55217</v>
      </c>
      <c r="E4354" t="s">
        <v>350</v>
      </c>
      <c r="F4354">
        <v>11782</v>
      </c>
      <c r="G4354">
        <v>0.77723300482423507</v>
      </c>
      <c r="H4354">
        <v>0</v>
      </c>
      <c r="I4354">
        <v>0</v>
      </c>
      <c r="J4354">
        <v>0.6873621914853012</v>
      </c>
      <c r="K4354">
        <v>0</v>
      </c>
      <c r="L4354">
        <v>0</v>
      </c>
      <c r="M4354">
        <v>0.4999936600423317</v>
      </c>
      <c r="N4354">
        <v>0</v>
      </c>
      <c r="O4354">
        <v>0</v>
      </c>
      <c r="P4354">
        <v>0.60409114378810946</v>
      </c>
      <c r="Q4354">
        <v>1.2319846672557471</v>
      </c>
      <c r="R4354">
        <v>2.2762682662666269</v>
      </c>
      <c r="S4354">
        <v>0.2007364557674067</v>
      </c>
      <c r="T4354">
        <v>0.1561034260182555</v>
      </c>
      <c r="U4354">
        <v>4.4286477380750293</v>
      </c>
      <c r="V4354">
        <v>0.20127646963296911</v>
      </c>
      <c r="W4354">
        <v>7.7322943762519092</v>
      </c>
      <c r="X4354">
        <v>0.31904142377903932</v>
      </c>
      <c r="Z4354" t="s">
        <v>392</v>
      </c>
      <c r="AA4354">
        <v>161</v>
      </c>
      <c r="AB4354" t="s">
        <v>4745</v>
      </c>
      <c r="AC4354" t="str">
        <f>HYPERLINK("plots/3FT6Y578R04_015_S31P_20251219032831_M5358ACSA301811_RBGEUFRF04/dpll_52046/txpa_55217.png","plot")</f>
        <v>plot</v>
      </c>
    </row>
    <row r="4355" spans="1:29" x14ac:dyDescent="0.35">
      <c r="A4355" s="3" t="s">
        <v>50</v>
      </c>
      <c r="B4355">
        <v>52046</v>
      </c>
      <c r="C4355" t="s">
        <v>51</v>
      </c>
      <c r="D4355">
        <v>55218</v>
      </c>
      <c r="E4355" t="s">
        <v>351</v>
      </c>
      <c r="F4355">
        <v>11781</v>
      </c>
      <c r="G4355">
        <v>0.76904636212352417</v>
      </c>
      <c r="H4355">
        <v>0</v>
      </c>
      <c r="I4355">
        <v>0</v>
      </c>
      <c r="J4355">
        <v>0.68043290161004866</v>
      </c>
      <c r="K4355">
        <v>0</v>
      </c>
      <c r="L4355">
        <v>0</v>
      </c>
      <c r="M4355">
        <v>0.49488830543054407</v>
      </c>
      <c r="N4355">
        <v>0</v>
      </c>
      <c r="O4355">
        <v>0</v>
      </c>
      <c r="P4355">
        <v>0.59143230709542671</v>
      </c>
      <c r="Q4355">
        <v>1.225104380277674</v>
      </c>
      <c r="R4355">
        <v>2.281996790079456</v>
      </c>
      <c r="S4355">
        <v>0.20493387522774639</v>
      </c>
      <c r="T4355">
        <v>0.15729153263018</v>
      </c>
      <c r="U4355">
        <v>4.4286701896273666</v>
      </c>
      <c r="V4355">
        <v>0.20127025814248481</v>
      </c>
      <c r="W4355">
        <v>7.7075800381970971</v>
      </c>
      <c r="X4355">
        <v>0.32062706101244298</v>
      </c>
      <c r="Z4355" t="s">
        <v>392</v>
      </c>
      <c r="AA4355">
        <v>161</v>
      </c>
      <c r="AB4355" t="s">
        <v>4746</v>
      </c>
      <c r="AC4355" t="str">
        <f>HYPERLINK("plots/3FT6Y578R04_015_S31P_20251219032831_M5358ACSA301811_RBGEUFRF04/dpll_52046/txpa_55218.png","plot")</f>
        <v>plot</v>
      </c>
    </row>
    <row r="4356" spans="1:29" x14ac:dyDescent="0.35">
      <c r="A4356" s="3" t="s">
        <v>50</v>
      </c>
      <c r="B4356">
        <v>52046</v>
      </c>
      <c r="C4356" t="s">
        <v>51</v>
      </c>
      <c r="D4356">
        <v>55219</v>
      </c>
      <c r="E4356" t="s">
        <v>352</v>
      </c>
      <c r="F4356">
        <v>11782</v>
      </c>
      <c r="G4356">
        <v>0.76042369613077798</v>
      </c>
      <c r="H4356">
        <v>0</v>
      </c>
      <c r="I4356">
        <v>0</v>
      </c>
      <c r="J4356">
        <v>0.68362811702429904</v>
      </c>
      <c r="K4356">
        <v>0</v>
      </c>
      <c r="L4356">
        <v>0</v>
      </c>
      <c r="M4356">
        <v>0.49491622716105782</v>
      </c>
      <c r="N4356">
        <v>0</v>
      </c>
      <c r="O4356">
        <v>0</v>
      </c>
      <c r="P4356">
        <v>0.57824419763719381</v>
      </c>
      <c r="Q4356">
        <v>1.259542701891029</v>
      </c>
      <c r="R4356">
        <v>3.1405426210799199</v>
      </c>
      <c r="S4356">
        <v>0.2165022241631695</v>
      </c>
      <c r="T4356">
        <v>0.16308969711707419</v>
      </c>
      <c r="U4356">
        <v>4.4286477380750293</v>
      </c>
      <c r="V4356">
        <v>0.20127646963296911</v>
      </c>
      <c r="W4356">
        <v>8.7186135588185358</v>
      </c>
      <c r="X4356">
        <v>0.33338822774533522</v>
      </c>
      <c r="Z4356" t="s">
        <v>392</v>
      </c>
      <c r="AA4356">
        <v>161</v>
      </c>
      <c r="AB4356" t="s">
        <v>4747</v>
      </c>
      <c r="AC4356" t="str">
        <f>HYPERLINK("plots/3FT6Y578R04_015_S31P_20251219032831_M5358ACSA301811_RBGEUFRF04/dpll_52046/txpa_55219.png","plot")</f>
        <v>plot</v>
      </c>
    </row>
    <row r="4357" spans="1:29" x14ac:dyDescent="0.35">
      <c r="A4357" s="3" t="s">
        <v>50</v>
      </c>
      <c r="B4357">
        <v>52046</v>
      </c>
      <c r="C4357" t="s">
        <v>51</v>
      </c>
      <c r="D4357">
        <v>55220</v>
      </c>
      <c r="E4357" t="s">
        <v>353</v>
      </c>
      <c r="F4357">
        <v>11782</v>
      </c>
      <c r="G4357">
        <v>0.77864873991737915</v>
      </c>
      <c r="H4357">
        <v>0</v>
      </c>
      <c r="I4357">
        <v>0</v>
      </c>
      <c r="J4357">
        <v>0.69588607609276509</v>
      </c>
      <c r="K4357">
        <v>0</v>
      </c>
      <c r="L4357">
        <v>0</v>
      </c>
      <c r="M4357">
        <v>0.50852946789203846</v>
      </c>
      <c r="N4357">
        <v>0</v>
      </c>
      <c r="O4357">
        <v>0</v>
      </c>
      <c r="P4357">
        <v>0.60629386017492237</v>
      </c>
      <c r="Q4357">
        <v>1.2899251670252541</v>
      </c>
      <c r="R4357">
        <v>3.0360487612438738</v>
      </c>
      <c r="S4357">
        <v>0.2092105590404213</v>
      </c>
      <c r="T4357">
        <v>0.16029425201432579</v>
      </c>
      <c r="U4357">
        <v>4.4286477380750293</v>
      </c>
      <c r="V4357">
        <v>0.20127646963296911</v>
      </c>
      <c r="W4357">
        <v>8.7486729344763194</v>
      </c>
      <c r="X4357">
        <v>0.33343864877648161</v>
      </c>
      <c r="Z4357" t="s">
        <v>392</v>
      </c>
      <c r="AA4357">
        <v>161</v>
      </c>
      <c r="AB4357" t="s">
        <v>4748</v>
      </c>
      <c r="AC4357" t="str">
        <f>HYPERLINK("plots/3FT6Y578R04_015_S31P_20251219032831_M5358ACSA301811_RBGEUFRF04/dpll_52046/txpa_55220.png","plot")</f>
        <v>plot</v>
      </c>
    </row>
    <row r="4358" spans="1:29" x14ac:dyDescent="0.35">
      <c r="A4358" s="3" t="s">
        <v>50</v>
      </c>
      <c r="B4358">
        <v>52046</v>
      </c>
      <c r="C4358" t="s">
        <v>51</v>
      </c>
      <c r="D4358">
        <v>55221</v>
      </c>
      <c r="E4358" t="s">
        <v>354</v>
      </c>
      <c r="F4358">
        <v>11782</v>
      </c>
      <c r="G4358">
        <v>0.77146287513844125</v>
      </c>
      <c r="H4358">
        <v>0</v>
      </c>
      <c r="I4358">
        <v>0</v>
      </c>
      <c r="J4358">
        <v>0.68725702125670951</v>
      </c>
      <c r="K4358">
        <v>0</v>
      </c>
      <c r="L4358">
        <v>0</v>
      </c>
      <c r="M4358">
        <v>0.49997797227724411</v>
      </c>
      <c r="N4358">
        <v>0</v>
      </c>
      <c r="O4358">
        <v>0</v>
      </c>
      <c r="P4358">
        <v>0.59515496771687015</v>
      </c>
      <c r="Q4358">
        <v>1.2628862076687011</v>
      </c>
      <c r="R4358">
        <v>3.1694867734337611</v>
      </c>
      <c r="S4358">
        <v>0.2096371134572183</v>
      </c>
      <c r="T4358">
        <v>0.1595158989818681</v>
      </c>
      <c r="U4358">
        <v>4.4286477380750293</v>
      </c>
      <c r="V4358">
        <v>0.20127646963296911</v>
      </c>
      <c r="W4358">
        <v>8.7623649204719065</v>
      </c>
      <c r="X4358">
        <v>0.32948996720303608</v>
      </c>
      <c r="Z4358" t="s">
        <v>392</v>
      </c>
      <c r="AA4358">
        <v>161</v>
      </c>
      <c r="AB4358" t="s">
        <v>4749</v>
      </c>
      <c r="AC4358" t="str">
        <f>HYPERLINK("plots/3FT6Y578R04_015_S31P_20251219032831_M5358ACSA301811_RBGEUFRF04/dpll_52046/txpa_55221.png","plot")</f>
        <v>plot</v>
      </c>
    </row>
    <row r="4359" spans="1:29" x14ac:dyDescent="0.35">
      <c r="A4359" s="3" t="s">
        <v>50</v>
      </c>
      <c r="B4359">
        <v>52046</v>
      </c>
      <c r="C4359" t="s">
        <v>51</v>
      </c>
      <c r="D4359">
        <v>55222</v>
      </c>
      <c r="E4359" t="s">
        <v>355</v>
      </c>
      <c r="F4359">
        <v>11781</v>
      </c>
      <c r="G4359">
        <v>0.78446268053493073</v>
      </c>
      <c r="H4359">
        <v>0</v>
      </c>
      <c r="I4359">
        <v>0</v>
      </c>
      <c r="J4359">
        <v>0.6970732425675783</v>
      </c>
      <c r="K4359">
        <v>0</v>
      </c>
      <c r="L4359">
        <v>0</v>
      </c>
      <c r="M4359">
        <v>0.50931529681962995</v>
      </c>
      <c r="N4359">
        <v>0</v>
      </c>
      <c r="O4359">
        <v>0</v>
      </c>
      <c r="P4359">
        <v>0.61538169715204882</v>
      </c>
      <c r="Q4359">
        <v>1.2909769768328889</v>
      </c>
      <c r="R4359">
        <v>3.0500295182372761</v>
      </c>
      <c r="S4359">
        <v>0.2054239742614643</v>
      </c>
      <c r="T4359">
        <v>0.15834078612924721</v>
      </c>
      <c r="U4359">
        <v>4.4286547017231142</v>
      </c>
      <c r="V4359">
        <v>0.20128359324518649</v>
      </c>
      <c r="W4359">
        <v>8.7673207765045422</v>
      </c>
      <c r="X4359">
        <v>0.33124900794074319</v>
      </c>
      <c r="Z4359" t="s">
        <v>392</v>
      </c>
      <c r="AA4359">
        <v>161</v>
      </c>
      <c r="AB4359" t="s">
        <v>4750</v>
      </c>
      <c r="AC4359" t="str">
        <f>HYPERLINK("plots/3FT6Y578R04_015_S31P_20251219032831_M5358ACSA301811_RBGEUFRF04/dpll_52046/txpa_55222.png","plot")</f>
        <v>plot</v>
      </c>
    </row>
    <row r="4360" spans="1:29" x14ac:dyDescent="0.35">
      <c r="A4360" s="3" t="s">
        <v>50</v>
      </c>
      <c r="B4360">
        <v>52046</v>
      </c>
      <c r="C4360" t="s">
        <v>51</v>
      </c>
      <c r="D4360">
        <v>55223</v>
      </c>
      <c r="E4360" t="s">
        <v>356</v>
      </c>
      <c r="F4360">
        <v>11781</v>
      </c>
      <c r="G4360">
        <v>0.78655961524095608</v>
      </c>
      <c r="H4360">
        <v>0</v>
      </c>
      <c r="I4360">
        <v>0</v>
      </c>
      <c r="J4360">
        <v>0.69346865613527975</v>
      </c>
      <c r="K4360">
        <v>0</v>
      </c>
      <c r="L4360">
        <v>0</v>
      </c>
      <c r="M4360">
        <v>0.50475428351805374</v>
      </c>
      <c r="N4360">
        <v>0</v>
      </c>
      <c r="O4360">
        <v>0</v>
      </c>
      <c r="P4360">
        <v>0.61867602832800084</v>
      </c>
      <c r="Q4360">
        <v>1.290509993503234</v>
      </c>
      <c r="R4360">
        <v>3.0298402736729382</v>
      </c>
      <c r="S4360">
        <v>0.20390360164445159</v>
      </c>
      <c r="T4360">
        <v>0.15755107453718081</v>
      </c>
      <c r="U4360">
        <v>4.4286210779220783</v>
      </c>
      <c r="V4360">
        <v>0.20126420786155011</v>
      </c>
      <c r="W4360">
        <v>8.7450200321704443</v>
      </c>
      <c r="X4360">
        <v>0.33021460363214211</v>
      </c>
      <c r="Z4360" t="s">
        <v>392</v>
      </c>
      <c r="AA4360">
        <v>161</v>
      </c>
      <c r="AB4360" t="s">
        <v>4751</v>
      </c>
      <c r="AC4360" t="str">
        <f>HYPERLINK("plots/3FT6Y578R04_015_S31P_20251219032831_M5358ACSA301811_RBGEUFRF04/dpll_52046/txpa_55223.png","plot")</f>
        <v>plot</v>
      </c>
    </row>
    <row r="4361" spans="1:29" x14ac:dyDescent="0.35">
      <c r="A4361" s="3" t="s">
        <v>50</v>
      </c>
      <c r="B4361">
        <v>52046</v>
      </c>
      <c r="C4361" t="s">
        <v>51</v>
      </c>
      <c r="D4361">
        <v>55224</v>
      </c>
      <c r="E4361" t="s">
        <v>357</v>
      </c>
      <c r="F4361">
        <v>11781</v>
      </c>
      <c r="G4361">
        <v>0.78994065625621379</v>
      </c>
      <c r="H4361">
        <v>0</v>
      </c>
      <c r="I4361">
        <v>0</v>
      </c>
      <c r="J4361">
        <v>0.70323706502304584</v>
      </c>
      <c r="K4361">
        <v>0</v>
      </c>
      <c r="L4361">
        <v>0</v>
      </c>
      <c r="M4361">
        <v>0.51454492069386371</v>
      </c>
      <c r="N4361">
        <v>0</v>
      </c>
      <c r="O4361">
        <v>0</v>
      </c>
      <c r="P4361">
        <v>0.62400624040649777</v>
      </c>
      <c r="Q4361">
        <v>1.305201245466985</v>
      </c>
      <c r="R4361">
        <v>2.977186707829468</v>
      </c>
      <c r="S4361">
        <v>0.20389903404009241</v>
      </c>
      <c r="T4361">
        <v>0.157815206551947</v>
      </c>
      <c r="U4361">
        <v>4.4286192746795683</v>
      </c>
      <c r="V4361">
        <v>0.20126129812424351</v>
      </c>
      <c r="W4361">
        <v>8.7574261008403358</v>
      </c>
      <c r="X4361">
        <v>0.332539533059384</v>
      </c>
      <c r="Z4361" t="s">
        <v>392</v>
      </c>
      <c r="AA4361">
        <v>161</v>
      </c>
      <c r="AB4361" t="s">
        <v>4752</v>
      </c>
      <c r="AC4361" t="str">
        <f>HYPERLINK("plots/3FT6Y578R04_015_S31P_20251219032831_M5358ACSA301811_RBGEUFRF04/dpll_52046/txpa_55224.png","plot")</f>
        <v>plot</v>
      </c>
    </row>
    <row r="4362" spans="1:29" x14ac:dyDescent="0.35">
      <c r="A4362" s="3" t="s">
        <v>50</v>
      </c>
      <c r="B4362">
        <v>52046</v>
      </c>
      <c r="C4362" t="s">
        <v>51</v>
      </c>
      <c r="D4362">
        <v>55225</v>
      </c>
      <c r="E4362" t="s">
        <v>358</v>
      </c>
      <c r="F4362">
        <v>11782</v>
      </c>
      <c r="G4362">
        <v>0.78724091746754488</v>
      </c>
      <c r="H4362">
        <v>0</v>
      </c>
      <c r="I4362">
        <v>0</v>
      </c>
      <c r="J4362">
        <v>0.69473047214632966</v>
      </c>
      <c r="K4362">
        <v>0</v>
      </c>
      <c r="L4362">
        <v>0</v>
      </c>
      <c r="M4362">
        <v>0.50654913150142356</v>
      </c>
      <c r="N4362">
        <v>0</v>
      </c>
      <c r="O4362">
        <v>0</v>
      </c>
      <c r="P4362">
        <v>0.61974826213514178</v>
      </c>
      <c r="Q4362">
        <v>1.2887137654034611</v>
      </c>
      <c r="R4362">
        <v>3.056505215643607</v>
      </c>
      <c r="S4362">
        <v>0.20316972258437099</v>
      </c>
      <c r="T4362">
        <v>0.15759121930182951</v>
      </c>
      <c r="U4362">
        <v>4.4286477380750293</v>
      </c>
      <c r="V4362">
        <v>0.20127646963296911</v>
      </c>
      <c r="W4362">
        <v>8.7637645178237982</v>
      </c>
      <c r="X4362">
        <v>0.32948967884219832</v>
      </c>
      <c r="Z4362" t="s">
        <v>392</v>
      </c>
      <c r="AA4362">
        <v>161</v>
      </c>
      <c r="AB4362" t="s">
        <v>4753</v>
      </c>
      <c r="AC4362" t="str">
        <f>HYPERLINK("plots/3FT6Y578R04_015_S31P_20251219032831_M5358ACSA301811_RBGEUFRF04/dpll_52046/txpa_55225.png","plot")</f>
        <v>plot</v>
      </c>
    </row>
    <row r="4363" spans="1:29" x14ac:dyDescent="0.35">
      <c r="A4363" s="3" t="s">
        <v>50</v>
      </c>
      <c r="B4363">
        <v>52046</v>
      </c>
      <c r="C4363" t="s">
        <v>51</v>
      </c>
      <c r="D4363">
        <v>55226</v>
      </c>
      <c r="E4363" t="s">
        <v>359</v>
      </c>
      <c r="F4363">
        <v>11781</v>
      </c>
      <c r="G4363">
        <v>0.77931675585849181</v>
      </c>
      <c r="H4363">
        <v>0</v>
      </c>
      <c r="I4363">
        <v>0</v>
      </c>
      <c r="J4363">
        <v>0.68791277630633796</v>
      </c>
      <c r="K4363">
        <v>0</v>
      </c>
      <c r="L4363">
        <v>0</v>
      </c>
      <c r="M4363">
        <v>0.50142800722101111</v>
      </c>
      <c r="N4363">
        <v>0</v>
      </c>
      <c r="O4363">
        <v>0</v>
      </c>
      <c r="P4363">
        <v>0.60733460596180411</v>
      </c>
      <c r="Q4363">
        <v>1.281192783232378</v>
      </c>
      <c r="R4363">
        <v>3.0667539022569481</v>
      </c>
      <c r="S4363">
        <v>0.20733515924689541</v>
      </c>
      <c r="T4363">
        <v>0.15881270155452179</v>
      </c>
      <c r="U4363">
        <v>4.4286701896273666</v>
      </c>
      <c r="V4363">
        <v>0.20127025814248481</v>
      </c>
      <c r="W4363">
        <v>8.7407341885238949</v>
      </c>
      <c r="X4363">
        <v>0.33088728077892449</v>
      </c>
      <c r="Z4363" t="s">
        <v>392</v>
      </c>
      <c r="AA4363">
        <v>161</v>
      </c>
      <c r="AB4363" t="s">
        <v>4754</v>
      </c>
      <c r="AC4363" t="str">
        <f>HYPERLINK("plots/3FT6Y578R04_015_S31P_20251219032831_M5358ACSA301811_RBGEUFRF04/dpll_52046/txpa_55226.png","plot")</f>
        <v>plot</v>
      </c>
    </row>
    <row r="4364" spans="1:29" x14ac:dyDescent="0.35">
      <c r="A4364" s="3" t="s">
        <v>50</v>
      </c>
      <c r="B4364">
        <v>52046</v>
      </c>
      <c r="C4364" t="s">
        <v>51</v>
      </c>
      <c r="D4364">
        <v>55227</v>
      </c>
      <c r="E4364" t="s">
        <v>360</v>
      </c>
      <c r="F4364">
        <v>11782</v>
      </c>
      <c r="G4364">
        <v>0.76351911304127573</v>
      </c>
      <c r="H4364">
        <v>0</v>
      </c>
      <c r="I4364">
        <v>0</v>
      </c>
      <c r="J4364">
        <v>0.68568443396783574</v>
      </c>
      <c r="K4364">
        <v>0</v>
      </c>
      <c r="L4364">
        <v>0</v>
      </c>
      <c r="M4364">
        <v>0.49673696390372563</v>
      </c>
      <c r="N4364">
        <v>0</v>
      </c>
      <c r="O4364">
        <v>0</v>
      </c>
      <c r="P4364">
        <v>0.58296143597933636</v>
      </c>
      <c r="Q4364">
        <v>1.2814036409093821</v>
      </c>
      <c r="R4364">
        <v>3.5514583549250842</v>
      </c>
      <c r="S4364">
        <v>0.2181366925245985</v>
      </c>
      <c r="T4364">
        <v>0.16409343975733751</v>
      </c>
      <c r="U4364">
        <v>4.4286477380750293</v>
      </c>
      <c r="V4364">
        <v>0.20127646963296911</v>
      </c>
      <c r="W4364">
        <v>9.2263436907995242</v>
      </c>
      <c r="X4364">
        <v>0.33779953456532558</v>
      </c>
      <c r="Z4364" t="s">
        <v>392</v>
      </c>
      <c r="AA4364">
        <v>161</v>
      </c>
      <c r="AB4364" t="s">
        <v>4755</v>
      </c>
      <c r="AC4364" t="str">
        <f>HYPERLINK("plots/3FT6Y578R04_015_S31P_20251219032831_M5358ACSA301811_RBGEUFRF04/dpll_52046/txpa_55227.png","plot")</f>
        <v>plot</v>
      </c>
    </row>
    <row r="4365" spans="1:29" x14ac:dyDescent="0.35">
      <c r="A4365" s="3" t="s">
        <v>50</v>
      </c>
      <c r="B4365">
        <v>52046</v>
      </c>
      <c r="C4365" t="s">
        <v>51</v>
      </c>
      <c r="D4365">
        <v>55228</v>
      </c>
      <c r="E4365" t="s">
        <v>361</v>
      </c>
      <c r="F4365">
        <v>11782</v>
      </c>
      <c r="G4365">
        <v>0.78137473496335474</v>
      </c>
      <c r="H4365">
        <v>0</v>
      </c>
      <c r="I4365">
        <v>0</v>
      </c>
      <c r="J4365">
        <v>0.69786188648110115</v>
      </c>
      <c r="K4365">
        <v>0</v>
      </c>
      <c r="L4365">
        <v>0</v>
      </c>
      <c r="M4365">
        <v>0.5103155448795309</v>
      </c>
      <c r="N4365">
        <v>0</v>
      </c>
      <c r="O4365">
        <v>0</v>
      </c>
      <c r="P4365">
        <v>0.61054647643905291</v>
      </c>
      <c r="Q4365">
        <v>1.3116507371386721</v>
      </c>
      <c r="R4365">
        <v>3.4470185779336591</v>
      </c>
      <c r="S4365">
        <v>0.21084399521653771</v>
      </c>
      <c r="T4365">
        <v>0.16131428013969071</v>
      </c>
      <c r="U4365">
        <v>4.4286477380750293</v>
      </c>
      <c r="V4365">
        <v>0.20127646963296911</v>
      </c>
      <c r="W4365">
        <v>9.2558576481072823</v>
      </c>
      <c r="X4365">
        <v>0.33787172524222281</v>
      </c>
      <c r="Z4365" t="s">
        <v>392</v>
      </c>
      <c r="AA4365">
        <v>161</v>
      </c>
      <c r="AB4365" t="s">
        <v>4756</v>
      </c>
      <c r="AC4365" t="str">
        <f>HYPERLINK("plots/3FT6Y578R04_015_S31P_20251219032831_M5358ACSA301811_RBGEUFRF04/dpll_52046/txpa_55228.png","plot")</f>
        <v>plot</v>
      </c>
    </row>
    <row r="4366" spans="1:29" x14ac:dyDescent="0.35">
      <c r="A4366" s="3" t="s">
        <v>50</v>
      </c>
      <c r="B4366">
        <v>52046</v>
      </c>
      <c r="C4366" t="s">
        <v>51</v>
      </c>
      <c r="D4366">
        <v>55229</v>
      </c>
      <c r="E4366" t="s">
        <v>362</v>
      </c>
      <c r="F4366">
        <v>11782</v>
      </c>
      <c r="G4366">
        <v>0.77441725553738283</v>
      </c>
      <c r="H4366">
        <v>0</v>
      </c>
      <c r="I4366">
        <v>0</v>
      </c>
      <c r="J4366">
        <v>0.68926544752212004</v>
      </c>
      <c r="K4366">
        <v>0</v>
      </c>
      <c r="L4366">
        <v>0</v>
      </c>
      <c r="M4366">
        <v>0.50174628099418395</v>
      </c>
      <c r="N4366">
        <v>0</v>
      </c>
      <c r="O4366">
        <v>0</v>
      </c>
      <c r="P4366">
        <v>0.59972208567405205</v>
      </c>
      <c r="Q4366">
        <v>1.284933213187353</v>
      </c>
      <c r="R4366">
        <v>3.5790225879259019</v>
      </c>
      <c r="S4366">
        <v>0.21128123310656061</v>
      </c>
      <c r="T4366">
        <v>0.16054415750281259</v>
      </c>
      <c r="U4366">
        <v>4.4286477380750293</v>
      </c>
      <c r="V4366">
        <v>0.20127646963296911</v>
      </c>
      <c r="W4366">
        <v>9.2695391560855533</v>
      </c>
      <c r="X4366">
        <v>0.33396314327349469</v>
      </c>
      <c r="Z4366" t="s">
        <v>392</v>
      </c>
      <c r="AA4366">
        <v>161</v>
      </c>
      <c r="AB4366" t="s">
        <v>4757</v>
      </c>
      <c r="AC4366" t="str">
        <f>HYPERLINK("plots/3FT6Y578R04_015_S31P_20251219032831_M5358ACSA301811_RBGEUFRF04/dpll_52046/txpa_55229.png","plot")</f>
        <v>plot</v>
      </c>
    </row>
    <row r="4367" spans="1:29" x14ac:dyDescent="0.35">
      <c r="A4367" s="3" t="s">
        <v>50</v>
      </c>
      <c r="B4367">
        <v>52046</v>
      </c>
      <c r="C4367" t="s">
        <v>51</v>
      </c>
      <c r="D4367">
        <v>55230</v>
      </c>
      <c r="E4367" t="s">
        <v>363</v>
      </c>
      <c r="F4367">
        <v>11781</v>
      </c>
      <c r="G4367">
        <v>0.78721045931957079</v>
      </c>
      <c r="H4367">
        <v>0</v>
      </c>
      <c r="I4367">
        <v>0</v>
      </c>
      <c r="J4367">
        <v>0.69905293504667632</v>
      </c>
      <c r="K4367">
        <v>0</v>
      </c>
      <c r="L4367">
        <v>0</v>
      </c>
      <c r="M4367">
        <v>0.51111687952092344</v>
      </c>
      <c r="N4367">
        <v>0</v>
      </c>
      <c r="O4367">
        <v>0</v>
      </c>
      <c r="P4367">
        <v>0.61970030726212966</v>
      </c>
      <c r="Q4367">
        <v>1.312746760314313</v>
      </c>
      <c r="R4367">
        <v>3.46061704479474</v>
      </c>
      <c r="S4367">
        <v>0.20698698120835851</v>
      </c>
      <c r="T4367">
        <v>0.159334382776435</v>
      </c>
      <c r="U4367">
        <v>4.4286547017231142</v>
      </c>
      <c r="V4367">
        <v>0.20128359324518649</v>
      </c>
      <c r="W4367">
        <v>9.2743191570325099</v>
      </c>
      <c r="X4367">
        <v>0.33565913893653671</v>
      </c>
      <c r="Z4367" t="s">
        <v>392</v>
      </c>
      <c r="AA4367">
        <v>161</v>
      </c>
      <c r="AB4367" t="s">
        <v>4758</v>
      </c>
      <c r="AC4367" t="str">
        <f>HYPERLINK("plots/3FT6Y578R04_015_S31P_20251219032831_M5358ACSA301811_RBGEUFRF04/dpll_52046/txpa_55230.png","plot")</f>
        <v>plot</v>
      </c>
    </row>
    <row r="4368" spans="1:29" x14ac:dyDescent="0.35">
      <c r="A4368" s="3" t="s">
        <v>50</v>
      </c>
      <c r="B4368">
        <v>52046</v>
      </c>
      <c r="C4368" t="s">
        <v>51</v>
      </c>
      <c r="D4368">
        <v>55231</v>
      </c>
      <c r="E4368" t="s">
        <v>364</v>
      </c>
      <c r="F4368">
        <v>11781</v>
      </c>
      <c r="G4368">
        <v>0.78934267980073591</v>
      </c>
      <c r="H4368">
        <v>0</v>
      </c>
      <c r="I4368">
        <v>0</v>
      </c>
      <c r="J4368">
        <v>0.69546997077445483</v>
      </c>
      <c r="K4368">
        <v>0</v>
      </c>
      <c r="L4368">
        <v>0</v>
      </c>
      <c r="M4368">
        <v>0.5065759949698494</v>
      </c>
      <c r="N4368">
        <v>0</v>
      </c>
      <c r="O4368">
        <v>0</v>
      </c>
      <c r="P4368">
        <v>0.62306186615500714</v>
      </c>
      <c r="Q4368">
        <v>1.312596786199407</v>
      </c>
      <c r="R4368">
        <v>3.4386079179032989</v>
      </c>
      <c r="S4368">
        <v>0.2054702287413615</v>
      </c>
      <c r="T4368">
        <v>0.15857810898303951</v>
      </c>
      <c r="U4368">
        <v>4.4286210779220783</v>
      </c>
      <c r="V4368">
        <v>0.20126420786155011</v>
      </c>
      <c r="W4368">
        <v>9.2516017120787719</v>
      </c>
      <c r="X4368">
        <v>0.33468195648907528</v>
      </c>
      <c r="Z4368" t="s">
        <v>392</v>
      </c>
      <c r="AA4368">
        <v>161</v>
      </c>
      <c r="AB4368" t="s">
        <v>4759</v>
      </c>
      <c r="AC4368" t="str">
        <f>HYPERLINK("plots/3FT6Y578R04_015_S31P_20251219032831_M5358ACSA301811_RBGEUFRF04/dpll_52046/txpa_55231.png","plot")</f>
        <v>plot</v>
      </c>
    </row>
    <row r="4369" spans="1:29" x14ac:dyDescent="0.35">
      <c r="A4369" s="3" t="s">
        <v>50</v>
      </c>
      <c r="B4369">
        <v>52046</v>
      </c>
      <c r="C4369" t="s">
        <v>51</v>
      </c>
      <c r="D4369">
        <v>55232</v>
      </c>
      <c r="E4369" t="s">
        <v>365</v>
      </c>
      <c r="F4369">
        <v>11781</v>
      </c>
      <c r="G4369">
        <v>0.79259559201046725</v>
      </c>
      <c r="H4369">
        <v>0</v>
      </c>
      <c r="I4369">
        <v>0</v>
      </c>
      <c r="J4369">
        <v>0.70487858384705215</v>
      </c>
      <c r="K4369">
        <v>0</v>
      </c>
      <c r="L4369">
        <v>0</v>
      </c>
      <c r="M4369">
        <v>0.51609230266373907</v>
      </c>
      <c r="N4369">
        <v>0</v>
      </c>
      <c r="O4369">
        <v>0</v>
      </c>
      <c r="P4369">
        <v>0.62820777247442305</v>
      </c>
      <c r="Q4369">
        <v>1.32695951736635</v>
      </c>
      <c r="R4369">
        <v>3.3876848253577361</v>
      </c>
      <c r="S4369">
        <v>0.20544615182270451</v>
      </c>
      <c r="T4369">
        <v>0.15880181386552231</v>
      </c>
      <c r="U4369">
        <v>4.4286192746795683</v>
      </c>
      <c r="V4369">
        <v>0.20126129812424351</v>
      </c>
      <c r="W4369">
        <v>9.2642833206858501</v>
      </c>
      <c r="X4369">
        <v>0.33695064382839041</v>
      </c>
      <c r="Z4369" t="s">
        <v>392</v>
      </c>
      <c r="AA4369">
        <v>161</v>
      </c>
      <c r="AB4369" t="s">
        <v>4760</v>
      </c>
      <c r="AC4369" t="str">
        <f>HYPERLINK("plots/3FT6Y578R04_015_S31P_20251219032831_M5358ACSA301811_RBGEUFRF04/dpll_52046/txpa_55232.png","plot")</f>
        <v>plot</v>
      </c>
    </row>
    <row r="4370" spans="1:29" x14ac:dyDescent="0.35">
      <c r="A4370" s="3" t="s">
        <v>50</v>
      </c>
      <c r="B4370">
        <v>52046</v>
      </c>
      <c r="C4370" t="s">
        <v>51</v>
      </c>
      <c r="D4370">
        <v>55233</v>
      </c>
      <c r="E4370" t="s">
        <v>366</v>
      </c>
      <c r="F4370">
        <v>11782</v>
      </c>
      <c r="G4370">
        <v>0.79002282502186949</v>
      </c>
      <c r="H4370">
        <v>0</v>
      </c>
      <c r="I4370">
        <v>0</v>
      </c>
      <c r="J4370">
        <v>0.69672199654860834</v>
      </c>
      <c r="K4370">
        <v>0</v>
      </c>
      <c r="L4370">
        <v>0</v>
      </c>
      <c r="M4370">
        <v>0.50837403359447975</v>
      </c>
      <c r="N4370">
        <v>0</v>
      </c>
      <c r="O4370">
        <v>0</v>
      </c>
      <c r="P4370">
        <v>0.62413606405553546</v>
      </c>
      <c r="Q4370">
        <v>1.3107024449602991</v>
      </c>
      <c r="R4370">
        <v>3.4661216398069472</v>
      </c>
      <c r="S4370">
        <v>0.2047172195637561</v>
      </c>
      <c r="T4370">
        <v>0.15855749192659099</v>
      </c>
      <c r="U4370">
        <v>4.4286477380750293</v>
      </c>
      <c r="V4370">
        <v>0.20127646963296911</v>
      </c>
      <c r="W4370">
        <v>9.2707610579697857</v>
      </c>
      <c r="X4370">
        <v>0.33393156818425718</v>
      </c>
      <c r="Z4370" t="s">
        <v>392</v>
      </c>
      <c r="AA4370">
        <v>161</v>
      </c>
      <c r="AB4370" t="s">
        <v>4761</v>
      </c>
      <c r="AC4370" t="str">
        <f>HYPERLINK("plots/3FT6Y578R04_015_S31P_20251219032831_M5358ACSA301811_RBGEUFRF04/dpll_52046/txpa_55233.png","plot")</f>
        <v>plot</v>
      </c>
    </row>
    <row r="4371" spans="1:29" x14ac:dyDescent="0.35">
      <c r="A4371" s="3" t="s">
        <v>50</v>
      </c>
      <c r="B4371">
        <v>52046</v>
      </c>
      <c r="C4371" t="s">
        <v>51</v>
      </c>
      <c r="D4371">
        <v>55234</v>
      </c>
      <c r="E4371" t="s">
        <v>367</v>
      </c>
      <c r="F4371">
        <v>11781</v>
      </c>
      <c r="G4371">
        <v>0.78206557208878247</v>
      </c>
      <c r="H4371">
        <v>0</v>
      </c>
      <c r="I4371">
        <v>0</v>
      </c>
      <c r="J4371">
        <v>0.68952345846596286</v>
      </c>
      <c r="K4371">
        <v>0</v>
      </c>
      <c r="L4371">
        <v>0</v>
      </c>
      <c r="M4371">
        <v>0.50291066112572202</v>
      </c>
      <c r="N4371">
        <v>0</v>
      </c>
      <c r="O4371">
        <v>0</v>
      </c>
      <c r="P4371">
        <v>0.61162655904655461</v>
      </c>
      <c r="Q4371">
        <v>1.302655712305635</v>
      </c>
      <c r="R4371">
        <v>3.4793461250102888</v>
      </c>
      <c r="S4371">
        <v>0.20891634182485719</v>
      </c>
      <c r="T4371">
        <v>0.15978954536912929</v>
      </c>
      <c r="U4371">
        <v>4.4286701896273666</v>
      </c>
      <c r="V4371">
        <v>0.20127025814248481</v>
      </c>
      <c r="W4371">
        <v>9.2483786454460581</v>
      </c>
      <c r="X4371">
        <v>0.3352479137858963</v>
      </c>
      <c r="Z4371" t="s">
        <v>392</v>
      </c>
      <c r="AA4371">
        <v>161</v>
      </c>
      <c r="AB4371" t="s">
        <v>4762</v>
      </c>
      <c r="AC4371" t="str">
        <f>HYPERLINK("plots/3FT6Y578R04_015_S31P_20251219032831_M5358ACSA301811_RBGEUFRF04/dpll_52046/txpa_55234.png","plot")</f>
        <v>plot</v>
      </c>
    </row>
    <row r="4372" spans="1:29" x14ac:dyDescent="0.35">
      <c r="A4372" s="3" t="s">
        <v>50</v>
      </c>
      <c r="B4372">
        <v>52046</v>
      </c>
      <c r="C4372" t="s">
        <v>51</v>
      </c>
      <c r="D4372">
        <v>55235</v>
      </c>
      <c r="E4372" t="s">
        <v>368</v>
      </c>
      <c r="F4372">
        <v>11782</v>
      </c>
      <c r="G4372">
        <v>0.76609526790238058</v>
      </c>
      <c r="H4372">
        <v>0</v>
      </c>
      <c r="I4372">
        <v>0</v>
      </c>
      <c r="J4372">
        <v>0.68739530673820159</v>
      </c>
      <c r="K4372">
        <v>0</v>
      </c>
      <c r="L4372">
        <v>0</v>
      </c>
      <c r="M4372">
        <v>0.49822661567847137</v>
      </c>
      <c r="N4372">
        <v>0</v>
      </c>
      <c r="O4372">
        <v>0</v>
      </c>
      <c r="P4372">
        <v>0.5869019595024203</v>
      </c>
      <c r="Q4372">
        <v>1.3000708937961689</v>
      </c>
      <c r="R4372">
        <v>3.9500239832180579</v>
      </c>
      <c r="S4372">
        <v>0.21952571392449721</v>
      </c>
      <c r="T4372">
        <v>0.1649011065133652</v>
      </c>
      <c r="U4372">
        <v>4.4286477380750293</v>
      </c>
      <c r="V4372">
        <v>0.20127646963296911</v>
      </c>
      <c r="W4372">
        <v>9.7075800063656423</v>
      </c>
      <c r="X4372">
        <v>0.3415680669746875</v>
      </c>
      <c r="Z4372" t="s">
        <v>392</v>
      </c>
      <c r="AA4372">
        <v>161</v>
      </c>
      <c r="AB4372" t="s">
        <v>4763</v>
      </c>
      <c r="AC4372" t="str">
        <f>HYPERLINK("plots/3FT6Y578R04_015_S31P_20251219032831_M5358ACSA301811_RBGEUFRF04/dpll_52046/txpa_55235.png","plot")</f>
        <v>plot</v>
      </c>
    </row>
    <row r="4373" spans="1:29" x14ac:dyDescent="0.35">
      <c r="A4373" s="3" t="s">
        <v>50</v>
      </c>
      <c r="B4373">
        <v>52046</v>
      </c>
      <c r="C4373" t="s">
        <v>51</v>
      </c>
      <c r="D4373">
        <v>55236</v>
      </c>
      <c r="E4373" t="s">
        <v>369</v>
      </c>
      <c r="F4373">
        <v>11782</v>
      </c>
      <c r="G4373">
        <v>0.78370697093062802</v>
      </c>
      <c r="H4373">
        <v>0</v>
      </c>
      <c r="I4373">
        <v>0</v>
      </c>
      <c r="J4373">
        <v>0.69936523936235884</v>
      </c>
      <c r="K4373">
        <v>0</v>
      </c>
      <c r="L4373">
        <v>0</v>
      </c>
      <c r="M4373">
        <v>0.51165741086760264</v>
      </c>
      <c r="N4373">
        <v>0</v>
      </c>
      <c r="O4373">
        <v>0</v>
      </c>
      <c r="P4373">
        <v>0.61419661628526023</v>
      </c>
      <c r="Q4373">
        <v>1.3304744692571679</v>
      </c>
      <c r="R4373">
        <v>3.844951081322324</v>
      </c>
      <c r="S4373">
        <v>0.21223178499830761</v>
      </c>
      <c r="T4373">
        <v>0.16216283437925449</v>
      </c>
      <c r="U4373">
        <v>4.4286477380750293</v>
      </c>
      <c r="V4373">
        <v>0.20127646963296911</v>
      </c>
      <c r="W4373">
        <v>9.7371538301646581</v>
      </c>
      <c r="X4373">
        <v>0.34170067900619128</v>
      </c>
      <c r="Z4373" t="s">
        <v>392</v>
      </c>
      <c r="AA4373">
        <v>161</v>
      </c>
      <c r="AB4373" t="s">
        <v>4764</v>
      </c>
      <c r="AC4373" t="str">
        <f>HYPERLINK("plots/3FT6Y578R04_015_S31P_20251219032831_M5358ACSA301811_RBGEUFRF04/dpll_52046/txpa_55236.png","plot")</f>
        <v>plot</v>
      </c>
    </row>
    <row r="4374" spans="1:29" x14ac:dyDescent="0.35">
      <c r="A4374" s="3" t="s">
        <v>50</v>
      </c>
      <c r="B4374">
        <v>52046</v>
      </c>
      <c r="C4374" t="s">
        <v>51</v>
      </c>
      <c r="D4374">
        <v>55237</v>
      </c>
      <c r="E4374" t="s">
        <v>370</v>
      </c>
      <c r="F4374">
        <v>11782</v>
      </c>
      <c r="G4374">
        <v>0.77705500044578457</v>
      </c>
      <c r="H4374">
        <v>0</v>
      </c>
      <c r="I4374">
        <v>0</v>
      </c>
      <c r="J4374">
        <v>0.69096512602479832</v>
      </c>
      <c r="K4374">
        <v>0</v>
      </c>
      <c r="L4374">
        <v>0</v>
      </c>
      <c r="M4374">
        <v>0.50321857602809739</v>
      </c>
      <c r="N4374">
        <v>0</v>
      </c>
      <c r="O4374">
        <v>0</v>
      </c>
      <c r="P4374">
        <v>0.60381447371779828</v>
      </c>
      <c r="Q4374">
        <v>1.303675916708845</v>
      </c>
      <c r="R4374">
        <v>3.9775770048847221</v>
      </c>
      <c r="S4374">
        <v>0.2125405309277405</v>
      </c>
      <c r="T4374">
        <v>0.16128322490295721</v>
      </c>
      <c r="U4374">
        <v>4.4286477380750293</v>
      </c>
      <c r="V4374">
        <v>0.20127646963296911</v>
      </c>
      <c r="W4374">
        <v>9.7510984046002385</v>
      </c>
      <c r="X4374">
        <v>0.33768431566638979</v>
      </c>
      <c r="Z4374" t="s">
        <v>392</v>
      </c>
      <c r="AA4374">
        <v>161</v>
      </c>
      <c r="AB4374" t="s">
        <v>4765</v>
      </c>
      <c r="AC4374" t="str">
        <f>HYPERLINK("plots/3FT6Y578R04_015_S31P_20251219032831_M5358ACSA301811_RBGEUFRF04/dpll_52046/txpa_55237.png","plot")</f>
        <v>plot</v>
      </c>
    </row>
    <row r="4375" spans="1:29" x14ac:dyDescent="0.35">
      <c r="A4375" s="3" t="s">
        <v>50</v>
      </c>
      <c r="B4375">
        <v>52046</v>
      </c>
      <c r="C4375" t="s">
        <v>51</v>
      </c>
      <c r="D4375">
        <v>55238</v>
      </c>
      <c r="E4375" t="s">
        <v>371</v>
      </c>
      <c r="F4375">
        <v>11781</v>
      </c>
      <c r="G4375">
        <v>0.78962982187475239</v>
      </c>
      <c r="H4375">
        <v>0</v>
      </c>
      <c r="I4375">
        <v>0</v>
      </c>
      <c r="J4375">
        <v>0.70064484917891456</v>
      </c>
      <c r="K4375">
        <v>0</v>
      </c>
      <c r="L4375">
        <v>0</v>
      </c>
      <c r="M4375">
        <v>0.51254169503670155</v>
      </c>
      <c r="N4375">
        <v>0</v>
      </c>
      <c r="O4375">
        <v>0</v>
      </c>
      <c r="P4375">
        <v>0.62351525559395315</v>
      </c>
      <c r="Q4375">
        <v>1.331523989045917</v>
      </c>
      <c r="R4375">
        <v>3.8585238418539731</v>
      </c>
      <c r="S4375">
        <v>0.2082519557131296</v>
      </c>
      <c r="T4375">
        <v>0.16009597031399569</v>
      </c>
      <c r="U4375">
        <v>4.4286547017231142</v>
      </c>
      <c r="V4375">
        <v>0.20128359324518649</v>
      </c>
      <c r="W4375">
        <v>9.7553838163992879</v>
      </c>
      <c r="X4375">
        <v>0.33941718712067281</v>
      </c>
      <c r="Z4375" t="s">
        <v>392</v>
      </c>
      <c r="AA4375">
        <v>161</v>
      </c>
      <c r="AB4375" t="s">
        <v>4766</v>
      </c>
      <c r="AC4375" t="str">
        <f>HYPERLINK("plots/3FT6Y578R04_015_S31P_20251219032831_M5358ACSA301811_RBGEUFRF04/dpll_52046/txpa_55238.png","plot")</f>
        <v>plot</v>
      </c>
    </row>
    <row r="4376" spans="1:29" x14ac:dyDescent="0.35">
      <c r="A4376" s="3" t="s">
        <v>50</v>
      </c>
      <c r="B4376">
        <v>52046</v>
      </c>
      <c r="C4376" t="s">
        <v>51</v>
      </c>
      <c r="D4376">
        <v>55239</v>
      </c>
      <c r="E4376" t="s">
        <v>372</v>
      </c>
      <c r="F4376">
        <v>11781</v>
      </c>
      <c r="G4376">
        <v>0.79178452906117658</v>
      </c>
      <c r="H4376">
        <v>0</v>
      </c>
      <c r="I4376">
        <v>0</v>
      </c>
      <c r="J4376">
        <v>0.69710006797724156</v>
      </c>
      <c r="K4376">
        <v>0</v>
      </c>
      <c r="L4376">
        <v>0</v>
      </c>
      <c r="M4376">
        <v>0.50800782641200826</v>
      </c>
      <c r="N4376">
        <v>0</v>
      </c>
      <c r="O4376">
        <v>0</v>
      </c>
      <c r="P4376">
        <v>0.62692274046062912</v>
      </c>
      <c r="Q4376">
        <v>1.3316656120996839</v>
      </c>
      <c r="R4376">
        <v>3.8348376186575872</v>
      </c>
      <c r="S4376">
        <v>0.2067453154513435</v>
      </c>
      <c r="T4376">
        <v>0.15936946321228401</v>
      </c>
      <c r="U4376">
        <v>4.4286210779220783</v>
      </c>
      <c r="V4376">
        <v>0.20126420786155011</v>
      </c>
      <c r="W4376">
        <v>9.7322800171462536</v>
      </c>
      <c r="X4376">
        <v>0.33849692020820099</v>
      </c>
      <c r="Z4376" t="s">
        <v>392</v>
      </c>
      <c r="AA4376">
        <v>161</v>
      </c>
      <c r="AB4376" t="s">
        <v>4767</v>
      </c>
      <c r="AC4376" t="str">
        <f>HYPERLINK("plots/3FT6Y578R04_015_S31P_20251219032831_M5358ACSA301811_RBGEUFRF04/dpll_52046/txpa_55239.png","plot")</f>
        <v>plot</v>
      </c>
    </row>
    <row r="4377" spans="1:29" x14ac:dyDescent="0.35">
      <c r="A4377" s="3" t="s">
        <v>50</v>
      </c>
      <c r="B4377">
        <v>52046</v>
      </c>
      <c r="C4377" t="s">
        <v>51</v>
      </c>
      <c r="D4377">
        <v>55240</v>
      </c>
      <c r="E4377" t="s">
        <v>373</v>
      </c>
      <c r="F4377">
        <v>11781</v>
      </c>
      <c r="G4377">
        <v>0.79480144997345215</v>
      </c>
      <c r="H4377">
        <v>0</v>
      </c>
      <c r="I4377">
        <v>0</v>
      </c>
      <c r="J4377">
        <v>0.70620710025631528</v>
      </c>
      <c r="K4377">
        <v>0</v>
      </c>
      <c r="L4377">
        <v>0</v>
      </c>
      <c r="M4377">
        <v>0.51731735779666033</v>
      </c>
      <c r="N4377">
        <v>0</v>
      </c>
      <c r="O4377">
        <v>0</v>
      </c>
      <c r="P4377">
        <v>0.63170934487990194</v>
      </c>
      <c r="Q4377">
        <v>1.345547836113161</v>
      </c>
      <c r="R4377">
        <v>3.7866526339692319</v>
      </c>
      <c r="S4377">
        <v>0.20676531046959881</v>
      </c>
      <c r="T4377">
        <v>0.15960709715688801</v>
      </c>
      <c r="U4377">
        <v>4.4286192746795683</v>
      </c>
      <c r="V4377">
        <v>0.20126129812424351</v>
      </c>
      <c r="W4377">
        <v>9.7455717159833615</v>
      </c>
      <c r="X4377">
        <v>0.34072245866366652</v>
      </c>
      <c r="Z4377" t="s">
        <v>392</v>
      </c>
      <c r="AA4377">
        <v>161</v>
      </c>
      <c r="AB4377" t="s">
        <v>4768</v>
      </c>
      <c r="AC4377" t="str">
        <f>HYPERLINK("plots/3FT6Y578R04_015_S31P_20251219032831_M5358ACSA301811_RBGEUFRF04/dpll_52046/txpa_55240.png","plot")</f>
        <v>plot</v>
      </c>
    </row>
    <row r="4378" spans="1:29" x14ac:dyDescent="0.35">
      <c r="A4378" s="3" t="s">
        <v>50</v>
      </c>
      <c r="B4378">
        <v>52046</v>
      </c>
      <c r="C4378" t="s">
        <v>51</v>
      </c>
      <c r="D4378">
        <v>55241</v>
      </c>
      <c r="E4378" t="s">
        <v>374</v>
      </c>
      <c r="F4378">
        <v>11782</v>
      </c>
      <c r="G4378">
        <v>0.79234573319035206</v>
      </c>
      <c r="H4378">
        <v>0</v>
      </c>
      <c r="I4378">
        <v>0</v>
      </c>
      <c r="J4378">
        <v>0.69815508735699106</v>
      </c>
      <c r="K4378">
        <v>0</v>
      </c>
      <c r="L4378">
        <v>0</v>
      </c>
      <c r="M4378">
        <v>0.50966735984908285</v>
      </c>
      <c r="N4378">
        <v>0</v>
      </c>
      <c r="O4378">
        <v>0</v>
      </c>
      <c r="P4378">
        <v>0.62781176090495661</v>
      </c>
      <c r="Q4378">
        <v>1.329723141666632</v>
      </c>
      <c r="R4378">
        <v>3.8630888018444351</v>
      </c>
      <c r="S4378">
        <v>0.20606413073034779</v>
      </c>
      <c r="T4378">
        <v>0.1593743209020782</v>
      </c>
      <c r="U4378">
        <v>4.4286477380750293</v>
      </c>
      <c r="V4378">
        <v>0.20127646963296911</v>
      </c>
      <c r="W4378">
        <v>9.7519641854523851</v>
      </c>
      <c r="X4378">
        <v>0.337784338746003</v>
      </c>
      <c r="Z4378" t="s">
        <v>392</v>
      </c>
      <c r="AA4378">
        <v>161</v>
      </c>
      <c r="AB4378" t="s">
        <v>4769</v>
      </c>
      <c r="AC4378" t="str">
        <f>HYPERLINK("plots/3FT6Y578R04_015_S31P_20251219032831_M5358ACSA301811_RBGEUFRF04/dpll_52046/txpa_55241.png","plot")</f>
        <v>plot</v>
      </c>
    </row>
    <row r="4379" spans="1:29" x14ac:dyDescent="0.35">
      <c r="A4379" s="3" t="s">
        <v>50</v>
      </c>
      <c r="B4379">
        <v>52046</v>
      </c>
      <c r="C4379" t="s">
        <v>51</v>
      </c>
      <c r="D4379">
        <v>55242</v>
      </c>
      <c r="E4379" t="s">
        <v>375</v>
      </c>
      <c r="F4379">
        <v>11781</v>
      </c>
      <c r="G4379">
        <v>0.78432448896581342</v>
      </c>
      <c r="H4379">
        <v>0</v>
      </c>
      <c r="I4379">
        <v>0</v>
      </c>
      <c r="J4379">
        <v>0.69101203298230118</v>
      </c>
      <c r="K4379">
        <v>0</v>
      </c>
      <c r="L4379">
        <v>0</v>
      </c>
      <c r="M4379">
        <v>0.50425705517372221</v>
      </c>
      <c r="N4379">
        <v>0</v>
      </c>
      <c r="O4379">
        <v>0</v>
      </c>
      <c r="P4379">
        <v>0.61516490399148438</v>
      </c>
      <c r="Q4379">
        <v>1.321037798715309</v>
      </c>
      <c r="R4379">
        <v>3.8794838370141078</v>
      </c>
      <c r="S4379">
        <v>0.21028968754998101</v>
      </c>
      <c r="T4379">
        <v>0.16059506669272389</v>
      </c>
      <c r="U4379">
        <v>4.4286701896273666</v>
      </c>
      <c r="V4379">
        <v>0.20127025814248481</v>
      </c>
      <c r="W4379">
        <v>9.7299245555555558</v>
      </c>
      <c r="X4379">
        <v>0.33899951168680081</v>
      </c>
      <c r="Z4379" t="s">
        <v>392</v>
      </c>
      <c r="AA4379">
        <v>161</v>
      </c>
      <c r="AB4379" t="s">
        <v>4770</v>
      </c>
      <c r="AC4379" t="str">
        <f>HYPERLINK("plots/3FT6Y578R04_015_S31P_20251219032831_M5358ACSA301811_RBGEUFRF04/dpll_52046/txpa_55242.png","plot")</f>
        <v>plot</v>
      </c>
    </row>
    <row r="4380" spans="1:29" x14ac:dyDescent="0.35">
      <c r="A4380" s="3" t="s">
        <v>50</v>
      </c>
      <c r="B4380">
        <v>52046</v>
      </c>
      <c r="C4380" t="s">
        <v>51</v>
      </c>
      <c r="D4380">
        <v>55243</v>
      </c>
      <c r="E4380" t="s">
        <v>376</v>
      </c>
      <c r="F4380">
        <v>11782</v>
      </c>
      <c r="G4380">
        <v>0.77212384548667212</v>
      </c>
      <c r="H4380">
        <v>0</v>
      </c>
      <c r="I4380">
        <v>0</v>
      </c>
      <c r="J4380">
        <v>0.69110760750184619</v>
      </c>
      <c r="K4380">
        <v>0</v>
      </c>
      <c r="L4380">
        <v>0</v>
      </c>
      <c r="M4380">
        <v>0.50178469716560259</v>
      </c>
      <c r="N4380">
        <v>0</v>
      </c>
      <c r="O4380">
        <v>0</v>
      </c>
      <c r="P4380">
        <v>0.59617523276912632</v>
      </c>
      <c r="Q4380">
        <v>1.348160704484197</v>
      </c>
      <c r="R4380">
        <v>5.3123806333023884</v>
      </c>
      <c r="S4380">
        <v>0.22331903898670871</v>
      </c>
      <c r="T4380">
        <v>0.16702414834353471</v>
      </c>
      <c r="U4380">
        <v>4.4286477380750293</v>
      </c>
      <c r="V4380">
        <v>0.20127646963296911</v>
      </c>
      <c r="W4380">
        <v>11.282909487777969</v>
      </c>
      <c r="X4380">
        <v>0.35143718029513921</v>
      </c>
      <c r="Z4380" t="s">
        <v>392</v>
      </c>
      <c r="AA4380">
        <v>161</v>
      </c>
      <c r="AB4380" t="s">
        <v>4771</v>
      </c>
      <c r="AC4380" t="str">
        <f>HYPERLINK("plots/3FT6Y578R04_015_S31P_20251219032831_M5358ACSA301811_RBGEUFRF04/dpll_52046/txpa_55243.png","plot")</f>
        <v>plot</v>
      </c>
    </row>
    <row r="4381" spans="1:29" x14ac:dyDescent="0.35">
      <c r="A4381" s="3" t="s">
        <v>50</v>
      </c>
      <c r="B4381">
        <v>52046</v>
      </c>
      <c r="C4381" t="s">
        <v>51</v>
      </c>
      <c r="D4381">
        <v>55244</v>
      </c>
      <c r="E4381" t="s">
        <v>377</v>
      </c>
      <c r="F4381">
        <v>11782</v>
      </c>
      <c r="G4381">
        <v>0.7893649142004272</v>
      </c>
      <c r="H4381">
        <v>0</v>
      </c>
      <c r="I4381">
        <v>0</v>
      </c>
      <c r="J4381">
        <v>0.7030692532801448</v>
      </c>
      <c r="K4381">
        <v>0</v>
      </c>
      <c r="L4381">
        <v>0</v>
      </c>
      <c r="M4381">
        <v>0.5152723705350194</v>
      </c>
      <c r="N4381">
        <v>0</v>
      </c>
      <c r="O4381">
        <v>0</v>
      </c>
      <c r="P4381">
        <v>0.62309696777064782</v>
      </c>
      <c r="Q4381">
        <v>1.379089691419227</v>
      </c>
      <c r="R4381">
        <v>5.2043465506187561</v>
      </c>
      <c r="S4381">
        <v>0.21587586169354031</v>
      </c>
      <c r="T4381">
        <v>0.16425674343954971</v>
      </c>
      <c r="U4381">
        <v>4.4286477380750293</v>
      </c>
      <c r="V4381">
        <v>0.20127646963296911</v>
      </c>
      <c r="W4381">
        <v>11.31184899312511</v>
      </c>
      <c r="X4381">
        <v>0.35164763394285198</v>
      </c>
      <c r="Z4381" t="s">
        <v>392</v>
      </c>
      <c r="AA4381">
        <v>161</v>
      </c>
      <c r="AB4381" t="s">
        <v>4772</v>
      </c>
      <c r="AC4381" t="str">
        <f>HYPERLINK("plots/3FT6Y578R04_015_S31P_20251219032831_M5358ACSA301811_RBGEUFRF04/dpll_52046/txpa_55244.png","plot")</f>
        <v>plot</v>
      </c>
    </row>
    <row r="4382" spans="1:29" x14ac:dyDescent="0.35">
      <c r="A4382" s="3" t="s">
        <v>50</v>
      </c>
      <c r="B4382">
        <v>52046</v>
      </c>
      <c r="C4382" t="s">
        <v>51</v>
      </c>
      <c r="D4382">
        <v>55245</v>
      </c>
      <c r="E4382" t="s">
        <v>378</v>
      </c>
      <c r="F4382">
        <v>11782</v>
      </c>
      <c r="G4382">
        <v>0.78314324337084573</v>
      </c>
      <c r="H4382">
        <v>0</v>
      </c>
      <c r="I4382">
        <v>0</v>
      </c>
      <c r="J4382">
        <v>0.69493243416953643</v>
      </c>
      <c r="K4382">
        <v>0</v>
      </c>
      <c r="L4382">
        <v>0</v>
      </c>
      <c r="M4382">
        <v>0.507043347386545</v>
      </c>
      <c r="N4382">
        <v>0</v>
      </c>
      <c r="O4382">
        <v>0</v>
      </c>
      <c r="P4382">
        <v>0.61331333963740775</v>
      </c>
      <c r="Q4382">
        <v>1.3521842450132331</v>
      </c>
      <c r="R4382">
        <v>5.3375732175803474</v>
      </c>
      <c r="S4382">
        <v>0.21609704907761559</v>
      </c>
      <c r="T4382">
        <v>0.1632670642355544</v>
      </c>
      <c r="U4382">
        <v>4.4286477380750293</v>
      </c>
      <c r="V4382">
        <v>0.20127646963296911</v>
      </c>
      <c r="W4382">
        <v>11.325920915718889</v>
      </c>
      <c r="X4382">
        <v>0.34752629666844559</v>
      </c>
      <c r="Z4382" t="s">
        <v>392</v>
      </c>
      <c r="AA4382">
        <v>161</v>
      </c>
      <c r="AB4382" t="s">
        <v>4773</v>
      </c>
      <c r="AC4382" t="str">
        <f>HYPERLINK("plots/3FT6Y578R04_015_S31P_20251219032831_M5358ACSA301811_RBGEUFRF04/dpll_52046/txpa_55245.png","plot")</f>
        <v>plot</v>
      </c>
    </row>
    <row r="4383" spans="1:29" x14ac:dyDescent="0.35">
      <c r="A4383" s="3" t="s">
        <v>50</v>
      </c>
      <c r="B4383">
        <v>52046</v>
      </c>
      <c r="C4383" t="s">
        <v>51</v>
      </c>
      <c r="D4383">
        <v>55246</v>
      </c>
      <c r="E4383" t="s">
        <v>379</v>
      </c>
      <c r="F4383">
        <v>11781</v>
      </c>
      <c r="G4383">
        <v>0.79510735779151742</v>
      </c>
      <c r="H4383">
        <v>0</v>
      </c>
      <c r="I4383">
        <v>0</v>
      </c>
      <c r="J4383">
        <v>0.70405061494174426</v>
      </c>
      <c r="K4383">
        <v>0</v>
      </c>
      <c r="L4383">
        <v>0</v>
      </c>
      <c r="M4383">
        <v>0.51588485469396017</v>
      </c>
      <c r="N4383">
        <v>0</v>
      </c>
      <c r="O4383">
        <v>0</v>
      </c>
      <c r="P4383">
        <v>0.63219571041420808</v>
      </c>
      <c r="Q4383">
        <v>1.3793878642824431</v>
      </c>
      <c r="R4383">
        <v>5.2207397005977683</v>
      </c>
      <c r="S4383">
        <v>0.21176733310230239</v>
      </c>
      <c r="T4383">
        <v>0.1621760608822749</v>
      </c>
      <c r="U4383">
        <v>4.4286547017231142</v>
      </c>
      <c r="V4383">
        <v>0.20128359324518649</v>
      </c>
      <c r="W4383">
        <v>11.329572251252021</v>
      </c>
      <c r="X4383">
        <v>0.34919579485815189</v>
      </c>
      <c r="Z4383" t="s">
        <v>392</v>
      </c>
      <c r="AA4383">
        <v>161</v>
      </c>
      <c r="AB4383" t="s">
        <v>4774</v>
      </c>
      <c r="AC4383" t="str">
        <f>HYPERLINK("plots/3FT6Y578R04_015_S31P_20251219032831_M5358ACSA301811_RBGEUFRF04/dpll_52046/txpa_55246.png","plot")</f>
        <v>plot</v>
      </c>
    </row>
    <row r="4384" spans="1:29" x14ac:dyDescent="0.35">
      <c r="A4384" s="3" t="s">
        <v>50</v>
      </c>
      <c r="B4384">
        <v>52046</v>
      </c>
      <c r="C4384" t="s">
        <v>51</v>
      </c>
      <c r="D4384">
        <v>55247</v>
      </c>
      <c r="E4384" t="s">
        <v>380</v>
      </c>
      <c r="F4384">
        <v>11781</v>
      </c>
      <c r="G4384">
        <v>0.79715935965340889</v>
      </c>
      <c r="H4384">
        <v>0</v>
      </c>
      <c r="I4384">
        <v>0</v>
      </c>
      <c r="J4384">
        <v>0.70049424148844597</v>
      </c>
      <c r="K4384">
        <v>0</v>
      </c>
      <c r="L4384">
        <v>0</v>
      </c>
      <c r="M4384">
        <v>0.51139408372232886</v>
      </c>
      <c r="N4384">
        <v>0</v>
      </c>
      <c r="O4384">
        <v>0</v>
      </c>
      <c r="P4384">
        <v>0.63546304468303294</v>
      </c>
      <c r="Q4384">
        <v>1.3802496523481551</v>
      </c>
      <c r="R4384">
        <v>5.1925220634745166</v>
      </c>
      <c r="S4384">
        <v>0.21039305185022431</v>
      </c>
      <c r="T4384">
        <v>0.16156437905017371</v>
      </c>
      <c r="U4384">
        <v>4.4286210779220783</v>
      </c>
      <c r="V4384">
        <v>0.20126420786155011</v>
      </c>
      <c r="W4384">
        <v>11.30512476665818</v>
      </c>
      <c r="X4384">
        <v>0.34848095248083372</v>
      </c>
      <c r="Z4384" t="s">
        <v>392</v>
      </c>
      <c r="AA4384">
        <v>161</v>
      </c>
      <c r="AB4384" t="s">
        <v>4775</v>
      </c>
      <c r="AC4384" t="str">
        <f>HYPERLINK("plots/3FT6Y578R04_015_S31P_20251219032831_M5358ACSA301811_RBGEUFRF04/dpll_52046/txpa_55247.png","plot")</f>
        <v>plot</v>
      </c>
    </row>
    <row r="4385" spans="1:29" x14ac:dyDescent="0.35">
      <c r="A4385" s="3" t="s">
        <v>50</v>
      </c>
      <c r="B4385">
        <v>52046</v>
      </c>
      <c r="C4385" t="s">
        <v>51</v>
      </c>
      <c r="D4385">
        <v>55248</v>
      </c>
      <c r="E4385" t="s">
        <v>381</v>
      </c>
      <c r="F4385">
        <v>11781</v>
      </c>
      <c r="G4385">
        <v>0.80010470935865674</v>
      </c>
      <c r="H4385">
        <v>0</v>
      </c>
      <c r="I4385">
        <v>0</v>
      </c>
      <c r="J4385">
        <v>0.70926637769582068</v>
      </c>
      <c r="K4385">
        <v>0</v>
      </c>
      <c r="L4385">
        <v>0</v>
      </c>
      <c r="M4385">
        <v>0.52053509297293354</v>
      </c>
      <c r="N4385">
        <v>0</v>
      </c>
      <c r="O4385">
        <v>0</v>
      </c>
      <c r="P4385">
        <v>0.6401675459379006</v>
      </c>
      <c r="Q4385">
        <v>1.393740619359072</v>
      </c>
      <c r="R4385">
        <v>5.1481528432591048</v>
      </c>
      <c r="S4385">
        <v>0.21029412156555399</v>
      </c>
      <c r="T4385">
        <v>0.16164235560444079</v>
      </c>
      <c r="U4385">
        <v>4.4286192746795683</v>
      </c>
      <c r="V4385">
        <v>0.20126129812424351</v>
      </c>
      <c r="W4385">
        <v>11.320499414056529</v>
      </c>
      <c r="X4385">
        <v>0.35058667074405853</v>
      </c>
      <c r="Z4385" t="s">
        <v>392</v>
      </c>
      <c r="AA4385">
        <v>161</v>
      </c>
      <c r="AB4385" t="s">
        <v>4776</v>
      </c>
      <c r="AC4385" t="str">
        <f>HYPERLINK("plots/3FT6Y578R04_015_S31P_20251219032831_M5358ACSA301811_RBGEUFRF04/dpll_52046/txpa_55248.png","plot")</f>
        <v>plot</v>
      </c>
    </row>
    <row r="4386" spans="1:29" x14ac:dyDescent="0.35">
      <c r="A4386" s="3" t="s">
        <v>50</v>
      </c>
      <c r="B4386">
        <v>52046</v>
      </c>
      <c r="C4386" t="s">
        <v>51</v>
      </c>
      <c r="D4386">
        <v>55249</v>
      </c>
      <c r="E4386" t="s">
        <v>382</v>
      </c>
      <c r="F4386">
        <v>11782</v>
      </c>
      <c r="G4386">
        <v>0.79788272122739956</v>
      </c>
      <c r="H4386">
        <v>0</v>
      </c>
      <c r="I4386">
        <v>0</v>
      </c>
      <c r="J4386">
        <v>0.70148782216218419</v>
      </c>
      <c r="K4386">
        <v>0</v>
      </c>
      <c r="L4386">
        <v>0</v>
      </c>
      <c r="M4386">
        <v>0.51300695254496109</v>
      </c>
      <c r="N4386">
        <v>0</v>
      </c>
      <c r="O4386">
        <v>0</v>
      </c>
      <c r="P4386">
        <v>0.63661683683324022</v>
      </c>
      <c r="Q4386">
        <v>1.378179482195933</v>
      </c>
      <c r="R4386">
        <v>5.2240172669727798</v>
      </c>
      <c r="S4386">
        <v>0.2095673855944864</v>
      </c>
      <c r="T4386">
        <v>0.16132308900770331</v>
      </c>
      <c r="U4386">
        <v>4.4286477380750293</v>
      </c>
      <c r="V4386">
        <v>0.20127646963296911</v>
      </c>
      <c r="W4386">
        <v>11.327488713461211</v>
      </c>
      <c r="X4386">
        <v>0.34766400288787802</v>
      </c>
      <c r="Z4386" t="s">
        <v>392</v>
      </c>
      <c r="AA4386">
        <v>161</v>
      </c>
      <c r="AB4386" t="s">
        <v>4777</v>
      </c>
      <c r="AC4386" t="str">
        <f>HYPERLINK("plots/3FT6Y578R04_015_S31P_20251219032831_M5358ACSA301811_RBGEUFRF04/dpll_52046/txpa_55249.png","plot")</f>
        <v>plot</v>
      </c>
    </row>
    <row r="4387" spans="1:29" x14ac:dyDescent="0.35">
      <c r="A4387" s="3" t="s">
        <v>50</v>
      </c>
      <c r="B4387">
        <v>52046</v>
      </c>
      <c r="C4387" t="s">
        <v>51</v>
      </c>
      <c r="D4387">
        <v>55250</v>
      </c>
      <c r="E4387" t="s">
        <v>383</v>
      </c>
      <c r="F4387">
        <v>11781</v>
      </c>
      <c r="G4387">
        <v>0.78952804972240087</v>
      </c>
      <c r="H4387">
        <v>0</v>
      </c>
      <c r="I4387">
        <v>0</v>
      </c>
      <c r="J4387">
        <v>0.69374433849363848</v>
      </c>
      <c r="K4387">
        <v>0</v>
      </c>
      <c r="L4387">
        <v>0</v>
      </c>
      <c r="M4387">
        <v>0.50700600166911558</v>
      </c>
      <c r="N4387">
        <v>0</v>
      </c>
      <c r="O4387">
        <v>0</v>
      </c>
      <c r="P4387">
        <v>0.62335454129845791</v>
      </c>
      <c r="Q4387">
        <v>1.3679155618963099</v>
      </c>
      <c r="R4387">
        <v>5.2493553902857064</v>
      </c>
      <c r="S4387">
        <v>0.2140027060099389</v>
      </c>
      <c r="T4387">
        <v>0.16281917576028729</v>
      </c>
      <c r="U4387">
        <v>4.4286701896273666</v>
      </c>
      <c r="V4387">
        <v>0.20127025814248481</v>
      </c>
      <c r="W4387">
        <v>11.30740226118326</v>
      </c>
      <c r="X4387">
        <v>0.34871556286923022</v>
      </c>
      <c r="Z4387" t="s">
        <v>392</v>
      </c>
      <c r="AA4387">
        <v>161</v>
      </c>
      <c r="AB4387" t="s">
        <v>4778</v>
      </c>
      <c r="AC4387" t="str">
        <f>HYPERLINK("plots/3FT6Y578R04_015_S31P_20251219032831_M5358ACSA301811_RBGEUFRF04/dpll_52046/txpa_55250.png","plot")</f>
        <v>plot</v>
      </c>
    </row>
    <row r="4388" spans="1:29" x14ac:dyDescent="0.35">
      <c r="A4388" s="3" t="s">
        <v>50</v>
      </c>
      <c r="B4388">
        <v>52046</v>
      </c>
      <c r="C4388" t="s">
        <v>51</v>
      </c>
      <c r="D4388">
        <v>55251</v>
      </c>
      <c r="E4388" t="s">
        <v>384</v>
      </c>
      <c r="F4388">
        <v>11782</v>
      </c>
      <c r="G4388">
        <v>0.77401774718704541</v>
      </c>
      <c r="H4388">
        <v>0</v>
      </c>
      <c r="I4388">
        <v>0</v>
      </c>
      <c r="J4388">
        <v>0.69185162221824525</v>
      </c>
      <c r="K4388">
        <v>0</v>
      </c>
      <c r="L4388">
        <v>0</v>
      </c>
      <c r="M4388">
        <v>0.50255577586977085</v>
      </c>
      <c r="N4388">
        <v>0</v>
      </c>
      <c r="O4388">
        <v>0</v>
      </c>
      <c r="P4388">
        <v>0.59910347296050892</v>
      </c>
      <c r="Q4388">
        <v>1.3630547963799939</v>
      </c>
      <c r="R4388">
        <v>5.8070004761144673</v>
      </c>
      <c r="S4388">
        <v>0.2244156391430274</v>
      </c>
      <c r="T4388">
        <v>0.16755056171321689</v>
      </c>
      <c r="U4388">
        <v>4.4286477380750293</v>
      </c>
      <c r="V4388">
        <v>0.20127646963296911</v>
      </c>
      <c r="W4388">
        <v>11.84349001697505</v>
      </c>
      <c r="X4388">
        <v>0.35445034474817089</v>
      </c>
      <c r="Z4388" t="s">
        <v>392</v>
      </c>
      <c r="AA4388">
        <v>161</v>
      </c>
      <c r="AB4388" t="s">
        <v>4779</v>
      </c>
      <c r="AC4388" t="str">
        <f>HYPERLINK("plots/3FT6Y578R04_015_S31P_20251219032831_M5358ACSA301811_RBGEUFRF04/dpll_52046/txpa_55251.png","plot")</f>
        <v>plot</v>
      </c>
    </row>
    <row r="4389" spans="1:29" x14ac:dyDescent="0.35">
      <c r="A4389" s="3" t="s">
        <v>50</v>
      </c>
      <c r="B4389">
        <v>52046</v>
      </c>
      <c r="C4389" t="s">
        <v>51</v>
      </c>
      <c r="D4389">
        <v>55252</v>
      </c>
      <c r="E4389" t="s">
        <v>385</v>
      </c>
      <c r="F4389">
        <v>11782</v>
      </c>
      <c r="G4389">
        <v>0.79113664189006194</v>
      </c>
      <c r="H4389">
        <v>0</v>
      </c>
      <c r="I4389">
        <v>0</v>
      </c>
      <c r="J4389">
        <v>0.70388221261556128</v>
      </c>
      <c r="K4389">
        <v>0</v>
      </c>
      <c r="L4389">
        <v>0</v>
      </c>
      <c r="M4389">
        <v>0.5161425715897896</v>
      </c>
      <c r="N4389">
        <v>0</v>
      </c>
      <c r="O4389">
        <v>0</v>
      </c>
      <c r="P4389">
        <v>0.62589718614108414</v>
      </c>
      <c r="Q4389">
        <v>1.3943045777638481</v>
      </c>
      <c r="R4389">
        <v>5.6974655922205946</v>
      </c>
      <c r="S4389">
        <v>0.2169582735280286</v>
      </c>
      <c r="T4389">
        <v>0.16475908635135811</v>
      </c>
      <c r="U4389">
        <v>4.4286477380750293</v>
      </c>
      <c r="V4389">
        <v>0.20127646963296911</v>
      </c>
      <c r="W4389">
        <v>11.872349406722121</v>
      </c>
      <c r="X4389">
        <v>0.35473101376638477</v>
      </c>
      <c r="Z4389" t="s">
        <v>392</v>
      </c>
      <c r="AA4389">
        <v>161</v>
      </c>
      <c r="AB4389" t="s">
        <v>4780</v>
      </c>
      <c r="AC4389" t="str">
        <f>HYPERLINK("plots/3FT6Y578R04_015_S31P_20251219032831_M5358ACSA301811_RBGEUFRF04/dpll_52046/txpa_55252.png","plot")</f>
        <v>plot</v>
      </c>
    </row>
    <row r="4390" spans="1:29" x14ac:dyDescent="0.35">
      <c r="A4390" s="3" t="s">
        <v>50</v>
      </c>
      <c r="B4390">
        <v>52046</v>
      </c>
      <c r="C4390" t="s">
        <v>51</v>
      </c>
      <c r="D4390">
        <v>55253</v>
      </c>
      <c r="E4390" t="s">
        <v>386</v>
      </c>
      <c r="F4390">
        <v>11782</v>
      </c>
      <c r="G4390">
        <v>0.78506035360179705</v>
      </c>
      <c r="H4390">
        <v>0</v>
      </c>
      <c r="I4390">
        <v>0</v>
      </c>
      <c r="J4390">
        <v>0.69575031290683864</v>
      </c>
      <c r="K4390">
        <v>0</v>
      </c>
      <c r="L4390">
        <v>0</v>
      </c>
      <c r="M4390">
        <v>0.50790941515973675</v>
      </c>
      <c r="N4390">
        <v>0</v>
      </c>
      <c r="O4390">
        <v>0</v>
      </c>
      <c r="P4390">
        <v>0.61631975879737866</v>
      </c>
      <c r="Q4390">
        <v>1.3672948027741789</v>
      </c>
      <c r="R4390">
        <v>5.8313906897561312</v>
      </c>
      <c r="S4390">
        <v>0.21712928877756069</v>
      </c>
      <c r="T4390">
        <v>0.16377979481138119</v>
      </c>
      <c r="U4390">
        <v>4.4286477380750293</v>
      </c>
      <c r="V4390">
        <v>0.20127646963296911</v>
      </c>
      <c r="W4390">
        <v>11.88665772534374</v>
      </c>
      <c r="X4390">
        <v>0.35055173731201339</v>
      </c>
      <c r="Z4390" t="s">
        <v>392</v>
      </c>
      <c r="AA4390">
        <v>161</v>
      </c>
      <c r="AB4390" t="s">
        <v>4781</v>
      </c>
      <c r="AC4390" t="str">
        <f>HYPERLINK("plots/3FT6Y578R04_015_S31P_20251219032831_M5358ACSA301811_RBGEUFRF04/dpll_52046/txpa_55253.png","plot")</f>
        <v>plot</v>
      </c>
    </row>
    <row r="4391" spans="1:29" x14ac:dyDescent="0.35">
      <c r="A4391" s="3" t="s">
        <v>50</v>
      </c>
      <c r="B4391">
        <v>52046</v>
      </c>
      <c r="C4391" t="s">
        <v>51</v>
      </c>
      <c r="D4391">
        <v>55254</v>
      </c>
      <c r="E4391" t="s">
        <v>387</v>
      </c>
      <c r="F4391">
        <v>11781</v>
      </c>
      <c r="G4391">
        <v>0.79681700536100097</v>
      </c>
      <c r="H4391">
        <v>0</v>
      </c>
      <c r="I4391">
        <v>0</v>
      </c>
      <c r="J4391">
        <v>0.70471628688995824</v>
      </c>
      <c r="K4391">
        <v>0</v>
      </c>
      <c r="L4391">
        <v>0</v>
      </c>
      <c r="M4391">
        <v>0.5166207160440025</v>
      </c>
      <c r="N4391">
        <v>0</v>
      </c>
      <c r="O4391">
        <v>0</v>
      </c>
      <c r="P4391">
        <v>0.63491734003247347</v>
      </c>
      <c r="Q4391">
        <v>1.3942201087638619</v>
      </c>
      <c r="R4391">
        <v>5.7154723477101497</v>
      </c>
      <c r="S4391">
        <v>0.21279346929861881</v>
      </c>
      <c r="T4391">
        <v>0.16268521523520549</v>
      </c>
      <c r="U4391">
        <v>4.4286547017231142</v>
      </c>
      <c r="V4391">
        <v>0.20128359324518649</v>
      </c>
      <c r="W4391">
        <v>11.88999178762414</v>
      </c>
      <c r="X4391">
        <v>0.35219332842870599</v>
      </c>
      <c r="Z4391" t="s">
        <v>392</v>
      </c>
      <c r="AA4391">
        <v>161</v>
      </c>
      <c r="AB4391" t="s">
        <v>4782</v>
      </c>
      <c r="AC4391" t="str">
        <f>HYPERLINK("plots/3FT6Y578R04_015_S31P_20251219032831_M5358ACSA301811_RBGEUFRF04/dpll_52046/txpa_55254.png","plot")</f>
        <v>plot</v>
      </c>
    </row>
    <row r="4392" spans="1:29" x14ac:dyDescent="0.35">
      <c r="A4392" s="3" t="s">
        <v>50</v>
      </c>
      <c r="B4392">
        <v>52046</v>
      </c>
      <c r="C4392" t="s">
        <v>51</v>
      </c>
      <c r="D4392">
        <v>55255</v>
      </c>
      <c r="E4392" t="s">
        <v>388</v>
      </c>
      <c r="F4392">
        <v>11781</v>
      </c>
      <c r="G4392">
        <v>0.79886569097834348</v>
      </c>
      <c r="H4392">
        <v>0</v>
      </c>
      <c r="I4392">
        <v>0</v>
      </c>
      <c r="J4392">
        <v>0.70112961424780895</v>
      </c>
      <c r="K4392">
        <v>0</v>
      </c>
      <c r="L4392">
        <v>0</v>
      </c>
      <c r="M4392">
        <v>0.5121243459965612</v>
      </c>
      <c r="N4392">
        <v>0</v>
      </c>
      <c r="O4392">
        <v>0</v>
      </c>
      <c r="P4392">
        <v>0.63818639222230622</v>
      </c>
      <c r="Q4392">
        <v>1.3958020415104551</v>
      </c>
      <c r="R4392">
        <v>5.6832761503387426</v>
      </c>
      <c r="S4392">
        <v>0.2115147328885435</v>
      </c>
      <c r="T4392">
        <v>0.16214852459352599</v>
      </c>
      <c r="U4392">
        <v>4.4286210779220783</v>
      </c>
      <c r="V4392">
        <v>0.20126420786155011</v>
      </c>
      <c r="W4392">
        <v>11.86475449197861</v>
      </c>
      <c r="X4392">
        <v>0.35165484685178661</v>
      </c>
      <c r="Z4392" t="s">
        <v>392</v>
      </c>
      <c r="AA4392">
        <v>161</v>
      </c>
      <c r="AB4392" t="s">
        <v>4783</v>
      </c>
      <c r="AC4392" t="str">
        <f>HYPERLINK("plots/3FT6Y578R04_015_S31P_20251219032831_M5358ACSA301811_RBGEUFRF04/dpll_52046/txpa_55255.png","plot")</f>
        <v>plot</v>
      </c>
    </row>
    <row r="4393" spans="1:29" x14ac:dyDescent="0.35">
      <c r="A4393" s="3" t="s">
        <v>50</v>
      </c>
      <c r="B4393">
        <v>52046</v>
      </c>
      <c r="C4393" t="s">
        <v>51</v>
      </c>
      <c r="D4393">
        <v>55256</v>
      </c>
      <c r="E4393" t="s">
        <v>389</v>
      </c>
      <c r="F4393">
        <v>11781</v>
      </c>
      <c r="G4393">
        <v>0.80180710449244397</v>
      </c>
      <c r="H4393">
        <v>0</v>
      </c>
      <c r="I4393">
        <v>0</v>
      </c>
      <c r="J4393">
        <v>0.7099326252101652</v>
      </c>
      <c r="K4393">
        <v>0</v>
      </c>
      <c r="L4393">
        <v>0</v>
      </c>
      <c r="M4393">
        <v>0.52132215626701961</v>
      </c>
      <c r="N4393">
        <v>0</v>
      </c>
      <c r="O4393">
        <v>0</v>
      </c>
      <c r="P4393">
        <v>0.64289463281455694</v>
      </c>
      <c r="Q4393">
        <v>1.4090015163361489</v>
      </c>
      <c r="R4393">
        <v>5.6408409871203116</v>
      </c>
      <c r="S4393">
        <v>0.21133994301861991</v>
      </c>
      <c r="T4393">
        <v>0.1621410755958998</v>
      </c>
      <c r="U4393">
        <v>4.4286192746795683</v>
      </c>
      <c r="V4393">
        <v>0.20126129812424351</v>
      </c>
      <c r="W4393">
        <v>11.88077226041932</v>
      </c>
      <c r="X4393">
        <v>0.3536729378524896</v>
      </c>
      <c r="Z4393" t="s">
        <v>392</v>
      </c>
      <c r="AA4393">
        <v>161</v>
      </c>
      <c r="AB4393" t="s">
        <v>4784</v>
      </c>
      <c r="AC4393" t="str">
        <f>HYPERLINK("plots/3FT6Y578R04_015_S31P_20251219032831_M5358ACSA301811_RBGEUFRF04/dpll_52046/txpa_55256.png","plot")</f>
        <v>plot</v>
      </c>
    </row>
    <row r="4394" spans="1:29" x14ac:dyDescent="0.35">
      <c r="A4394" s="3" t="s">
        <v>50</v>
      </c>
      <c r="B4394">
        <v>52046</v>
      </c>
      <c r="C4394" t="s">
        <v>51</v>
      </c>
      <c r="D4394">
        <v>55257</v>
      </c>
      <c r="E4394" t="s">
        <v>390</v>
      </c>
      <c r="F4394">
        <v>11782</v>
      </c>
      <c r="G4394">
        <v>0.79963098145627687</v>
      </c>
      <c r="H4394">
        <v>0</v>
      </c>
      <c r="I4394">
        <v>0</v>
      </c>
      <c r="J4394">
        <v>0.70212589698403871</v>
      </c>
      <c r="K4394">
        <v>0</v>
      </c>
      <c r="L4394">
        <v>0</v>
      </c>
      <c r="M4394">
        <v>0.51375939233507095</v>
      </c>
      <c r="N4394">
        <v>0</v>
      </c>
      <c r="O4394">
        <v>0</v>
      </c>
      <c r="P4394">
        <v>0.63940970650472861</v>
      </c>
      <c r="Q4394">
        <v>1.3935736481795129</v>
      </c>
      <c r="R4394">
        <v>5.7163655178139168</v>
      </c>
      <c r="S4394">
        <v>0.21063081308142381</v>
      </c>
      <c r="T4394">
        <v>0.16180950400358679</v>
      </c>
      <c r="U4394">
        <v>4.4286477380750293</v>
      </c>
      <c r="V4394">
        <v>0.20127646963296911</v>
      </c>
      <c r="W4394">
        <v>11.88801230266508</v>
      </c>
      <c r="X4394">
        <v>0.35077878494437348</v>
      </c>
      <c r="Z4394" t="s">
        <v>392</v>
      </c>
      <c r="AA4394">
        <v>161</v>
      </c>
      <c r="AB4394" t="s">
        <v>4785</v>
      </c>
      <c r="AC4394" t="str">
        <f>HYPERLINK("plots/3FT6Y578R04_015_S31P_20251219032831_M5358ACSA301811_RBGEUFRF04/dpll_52046/txpa_55257.png","plot")</f>
        <v>plot</v>
      </c>
    </row>
    <row r="4395" spans="1:29" x14ac:dyDescent="0.35">
      <c r="A4395" s="3" t="s">
        <v>50</v>
      </c>
      <c r="B4395">
        <v>52046</v>
      </c>
      <c r="C4395" t="s">
        <v>51</v>
      </c>
      <c r="D4395">
        <v>55258</v>
      </c>
      <c r="E4395" t="s">
        <v>391</v>
      </c>
      <c r="F4395">
        <v>11781</v>
      </c>
      <c r="G4395">
        <v>0.79104108763411118</v>
      </c>
      <c r="H4395">
        <v>0</v>
      </c>
      <c r="I4395">
        <v>0</v>
      </c>
      <c r="J4395">
        <v>0.69416268206447695</v>
      </c>
      <c r="K4395">
        <v>0</v>
      </c>
      <c r="L4395">
        <v>0</v>
      </c>
      <c r="M4395">
        <v>0.50751868338053263</v>
      </c>
      <c r="N4395">
        <v>0</v>
      </c>
      <c r="O4395">
        <v>0</v>
      </c>
      <c r="P4395">
        <v>0.6257460023253576</v>
      </c>
      <c r="Q4395">
        <v>1.3824133390205311</v>
      </c>
      <c r="R4395">
        <v>5.7462359349658092</v>
      </c>
      <c r="S4395">
        <v>0.21517076736606441</v>
      </c>
      <c r="T4395">
        <v>0.16345281684320179</v>
      </c>
      <c r="U4395">
        <v>4.4286701896273666</v>
      </c>
      <c r="V4395">
        <v>0.20127025814248481</v>
      </c>
      <c r="W4395">
        <v>11.868488679229269</v>
      </c>
      <c r="X4395">
        <v>0.35173734203421508</v>
      </c>
      <c r="Z4395" t="s">
        <v>392</v>
      </c>
      <c r="AA4395">
        <v>161</v>
      </c>
      <c r="AB4395" t="s">
        <v>4786</v>
      </c>
      <c r="AC4395" t="str">
        <f>HYPERLINK("plots/3FT6Y578R04_015_S31P_20251219032831_M5358ACSA301811_RBGEUFRF04/dpll_52046/txpa_55258.png","plot")</f>
        <v>plot</v>
      </c>
    </row>
    <row r="4396" spans="1:29" hidden="1" x14ac:dyDescent="0.35">
      <c r="A4396" t="s">
        <v>50</v>
      </c>
      <c r="B4396">
        <v>52084</v>
      </c>
      <c r="C4396" t="s">
        <v>52</v>
      </c>
      <c r="D4396">
        <v>53179</v>
      </c>
      <c r="E4396" t="s">
        <v>54</v>
      </c>
      <c r="F4396">
        <v>11782</v>
      </c>
      <c r="G4396">
        <v>0.32102296861475232</v>
      </c>
      <c r="H4396">
        <v>1.4060905522245539E-280</v>
      </c>
      <c r="I4396">
        <v>1.502398124294729E-280</v>
      </c>
      <c r="J4396">
        <v>0.27776079744744703</v>
      </c>
      <c r="K4396">
        <v>1.100485047419637E-207</v>
      </c>
      <c r="L4396">
        <v>1.1709253285241469E-207</v>
      </c>
      <c r="M4396">
        <v>0.18875945061623781</v>
      </c>
      <c r="N4396">
        <v>5.6557376828556433E-207</v>
      </c>
      <c r="O4396">
        <v>6.0177523718946723E-207</v>
      </c>
      <c r="P4396">
        <v>0.1030557463782283</v>
      </c>
      <c r="Q4396">
        <v>1.8511979225511619</v>
      </c>
      <c r="R4396">
        <v>-29.296249408609189</v>
      </c>
      <c r="S4396">
        <v>1.055727088899717</v>
      </c>
      <c r="T4396">
        <v>0.82106544503827994</v>
      </c>
      <c r="U4396">
        <v>4.2695416864708866</v>
      </c>
      <c r="V4396">
        <v>0.1933172563537221</v>
      </c>
      <c r="W4396">
        <v>-21.3924827083687</v>
      </c>
      <c r="X4396">
        <v>1.114775384763093</v>
      </c>
      <c r="Z4396" t="s">
        <v>392</v>
      </c>
      <c r="AA4396">
        <v>161</v>
      </c>
      <c r="AB4396" t="s">
        <v>4787</v>
      </c>
      <c r="AC4396" t="str">
        <f>HYPERLINK("plots/3FT6Y578R04_015_S31P_20251219032831_M5358ACSA301811_RBGEUFRF04/dpll_52084/txpa_53179.png","plot")</f>
        <v>plot</v>
      </c>
    </row>
    <row r="4397" spans="1:29" hidden="1" x14ac:dyDescent="0.35">
      <c r="A4397" t="s">
        <v>50</v>
      </c>
      <c r="B4397">
        <v>52084</v>
      </c>
      <c r="C4397" t="s">
        <v>52</v>
      </c>
      <c r="D4397">
        <v>53180</v>
      </c>
      <c r="E4397" t="s">
        <v>55</v>
      </c>
      <c r="F4397">
        <v>11782</v>
      </c>
      <c r="G4397">
        <v>0.30940482376882461</v>
      </c>
      <c r="H4397">
        <v>9.2816073045407905E-260</v>
      </c>
      <c r="I4397">
        <v>9.8139205493267593E-260</v>
      </c>
      <c r="J4397">
        <v>0.27144674423291898</v>
      </c>
      <c r="K4397">
        <v>4.4211278147215691E-198</v>
      </c>
      <c r="L4397">
        <v>4.6893552344431708E-198</v>
      </c>
      <c r="M4397">
        <v>0.18405930491537201</v>
      </c>
      <c r="N4397">
        <v>5.8119985817505089E-197</v>
      </c>
      <c r="O4397">
        <v>6.1646093743671719E-197</v>
      </c>
      <c r="P4397">
        <v>9.5731344971417387E-2</v>
      </c>
      <c r="Q4397">
        <v>1.7347491810947799</v>
      </c>
      <c r="R4397">
        <v>-28.708064040164409</v>
      </c>
      <c r="S4397">
        <v>1.030648418010961</v>
      </c>
      <c r="T4397">
        <v>0.79713014242122293</v>
      </c>
      <c r="U4397">
        <v>4.2695416864708866</v>
      </c>
      <c r="V4397">
        <v>0.1933172563537221</v>
      </c>
      <c r="W4397">
        <v>-21.30148009590901</v>
      </c>
      <c r="X4397">
        <v>1.083877581694314</v>
      </c>
      <c r="Z4397" t="s">
        <v>392</v>
      </c>
      <c r="AA4397">
        <v>161</v>
      </c>
      <c r="AB4397" t="s">
        <v>4788</v>
      </c>
      <c r="AC4397" t="str">
        <f>HYPERLINK("plots/3FT6Y578R04_015_S31P_20251219032831_M5358ACSA301811_RBGEUFRF04/dpll_52084/txpa_53180.png","plot")</f>
        <v>plot</v>
      </c>
    </row>
    <row r="4398" spans="1:29" hidden="1" x14ac:dyDescent="0.35">
      <c r="A4398" t="s">
        <v>50</v>
      </c>
      <c r="B4398">
        <v>52084</v>
      </c>
      <c r="C4398" t="s">
        <v>52</v>
      </c>
      <c r="D4398">
        <v>53181</v>
      </c>
      <c r="E4398" t="s">
        <v>56</v>
      </c>
      <c r="F4398">
        <v>11782</v>
      </c>
      <c r="G4398">
        <v>0.32034623755652147</v>
      </c>
      <c r="H4398">
        <v>2.4347330445188501E-279</v>
      </c>
      <c r="I4398">
        <v>2.5932975915358342E-279</v>
      </c>
      <c r="J4398">
        <v>0.28614074112139898</v>
      </c>
      <c r="K4398">
        <v>7.884973265877259E-221</v>
      </c>
      <c r="L4398">
        <v>8.460701472592106E-221</v>
      </c>
      <c r="M4398">
        <v>0.19373233224518061</v>
      </c>
      <c r="N4398">
        <v>5.183897798730028E-218</v>
      </c>
      <c r="O4398">
        <v>5.5624046221293634E-218</v>
      </c>
      <c r="P4398">
        <v>0.1026217119166193</v>
      </c>
      <c r="Q4398">
        <v>1.7902618768435219</v>
      </c>
      <c r="R4398">
        <v>-28.892200013001851</v>
      </c>
      <c r="S4398">
        <v>1.0233799555417999</v>
      </c>
      <c r="T4398">
        <v>0.79147587104824846</v>
      </c>
      <c r="U4398">
        <v>4.2695416864708866</v>
      </c>
      <c r="V4398">
        <v>0.1933172563537221</v>
      </c>
      <c r="W4398">
        <v>-21.248602300118829</v>
      </c>
      <c r="X4398">
        <v>1.080357668084025</v>
      </c>
      <c r="Z4398" t="s">
        <v>392</v>
      </c>
      <c r="AA4398">
        <v>161</v>
      </c>
      <c r="AB4398" t="s">
        <v>4789</v>
      </c>
      <c r="AC4398" t="str">
        <f>HYPERLINK("plots/3FT6Y578R04_015_S31P_20251219032831_M5358ACSA301811_RBGEUFRF04/dpll_52084/txpa_53181.png","plot")</f>
        <v>plot</v>
      </c>
    </row>
    <row r="4399" spans="1:29" hidden="1" x14ac:dyDescent="0.35">
      <c r="A4399" t="s">
        <v>50</v>
      </c>
      <c r="B4399">
        <v>52084</v>
      </c>
      <c r="C4399" t="s">
        <v>52</v>
      </c>
      <c r="D4399">
        <v>53182</v>
      </c>
      <c r="E4399" t="s">
        <v>57</v>
      </c>
      <c r="F4399">
        <v>11782</v>
      </c>
      <c r="G4399">
        <v>0.32259337458275489</v>
      </c>
      <c r="H4399">
        <v>1.827033873518925E-283</v>
      </c>
      <c r="I4399">
        <v>1.9583640039621459E-283</v>
      </c>
      <c r="J4399">
        <v>0.28345764796485368</v>
      </c>
      <c r="K4399">
        <v>1.429938673466678E-216</v>
      </c>
      <c r="L4399">
        <v>1.529491365923218E-216</v>
      </c>
      <c r="M4399">
        <v>0.19211206025088731</v>
      </c>
      <c r="N4399">
        <v>1.9092326697442968E-214</v>
      </c>
      <c r="O4399">
        <v>2.042153931561938E-214</v>
      </c>
      <c r="P4399">
        <v>0.10406648532468959</v>
      </c>
      <c r="Q4399">
        <v>1.7911894321225721</v>
      </c>
      <c r="R4399">
        <v>-28.783067195121369</v>
      </c>
      <c r="S4399">
        <v>1.0159589432157521</v>
      </c>
      <c r="T4399">
        <v>0.78016660114234693</v>
      </c>
      <c r="U4399">
        <v>4.2695416864708866</v>
      </c>
      <c r="V4399">
        <v>0.1933172563537221</v>
      </c>
      <c r="W4399">
        <v>-21.135509246307929</v>
      </c>
      <c r="X4399">
        <v>1.073387905364092</v>
      </c>
      <c r="Z4399" t="s">
        <v>392</v>
      </c>
      <c r="AA4399">
        <v>161</v>
      </c>
      <c r="AB4399" t="s">
        <v>4790</v>
      </c>
      <c r="AC4399" t="str">
        <f>HYPERLINK("plots/3FT6Y578R04_015_S31P_20251219032831_M5358ACSA301811_RBGEUFRF04/dpll_52084/txpa_53182.png","plot")</f>
        <v>plot</v>
      </c>
    </row>
    <row r="4400" spans="1:29" hidden="1" x14ac:dyDescent="0.35">
      <c r="A4400" t="s">
        <v>50</v>
      </c>
      <c r="B4400">
        <v>52084</v>
      </c>
      <c r="C4400" t="s">
        <v>52</v>
      </c>
      <c r="D4400">
        <v>53183</v>
      </c>
      <c r="E4400" t="s">
        <v>58</v>
      </c>
      <c r="F4400">
        <v>11782</v>
      </c>
      <c r="G4400">
        <v>0.325601162389341</v>
      </c>
      <c r="H4400">
        <v>4.8443106016520452E-289</v>
      </c>
      <c r="I4400">
        <v>5.2256712234842269E-289</v>
      </c>
      <c r="J4400">
        <v>0.27960711787462361</v>
      </c>
      <c r="K4400">
        <v>1.529930233420512E-210</v>
      </c>
      <c r="L4400">
        <v>1.631282078536697E-210</v>
      </c>
      <c r="M4400">
        <v>0.18953987971063399</v>
      </c>
      <c r="N4400">
        <v>8.8112712422879491E-209</v>
      </c>
      <c r="O4400">
        <v>9.3949832173291068E-209</v>
      </c>
      <c r="P4400">
        <v>0.10601611694929</v>
      </c>
      <c r="Q4400">
        <v>1.8264199355271169</v>
      </c>
      <c r="R4400">
        <v>-28.98848785448445</v>
      </c>
      <c r="S4400">
        <v>1.025254604653822</v>
      </c>
      <c r="T4400">
        <v>0.7934285286128635</v>
      </c>
      <c r="U4400">
        <v>4.2695416864708866</v>
      </c>
      <c r="V4400">
        <v>0.1933172563537221</v>
      </c>
      <c r="W4400">
        <v>-21.19051180274996</v>
      </c>
      <c r="X4400">
        <v>1.0843895282647891</v>
      </c>
      <c r="Z4400" t="s">
        <v>392</v>
      </c>
      <c r="AA4400">
        <v>161</v>
      </c>
      <c r="AB4400" t="s">
        <v>4791</v>
      </c>
      <c r="AC4400" t="str">
        <f>HYPERLINK("plots/3FT6Y578R04_015_S31P_20251219032831_M5358ACSA301811_RBGEUFRF04/dpll_52084/txpa_53183.png","plot")</f>
        <v>plot</v>
      </c>
    </row>
    <row r="4401" spans="1:29" hidden="1" x14ac:dyDescent="0.35">
      <c r="A4401" t="s">
        <v>50</v>
      </c>
      <c r="B4401">
        <v>52084</v>
      </c>
      <c r="C4401" t="s">
        <v>52</v>
      </c>
      <c r="D4401">
        <v>53184</v>
      </c>
      <c r="E4401" t="s">
        <v>59</v>
      </c>
      <c r="F4401">
        <v>11782</v>
      </c>
      <c r="G4401">
        <v>0.32594640361252603</v>
      </c>
      <c r="H4401">
        <v>1.0991523826985549E-289</v>
      </c>
      <c r="I4401">
        <v>1.1894776051828539E-289</v>
      </c>
      <c r="J4401">
        <v>0.29725988464334119</v>
      </c>
      <c r="K4401">
        <v>5.5316733449409428E-239</v>
      </c>
      <c r="L4401">
        <v>5.9798686266205932E-239</v>
      </c>
      <c r="M4401">
        <v>0.2020627062431726</v>
      </c>
      <c r="N4401">
        <v>5.9500133676685406E-237</v>
      </c>
      <c r="O4401">
        <v>6.4321040030020264E-237</v>
      </c>
      <c r="P4401">
        <v>0.10624105802793971</v>
      </c>
      <c r="Q4401">
        <v>1.840183675147208</v>
      </c>
      <c r="R4401">
        <v>-29.133397754445529</v>
      </c>
      <c r="S4401">
        <v>1.0317568754806219</v>
      </c>
      <c r="T4401">
        <v>0.79655988873435424</v>
      </c>
      <c r="U4401">
        <v>4.2695416864708866</v>
      </c>
      <c r="V4401">
        <v>0.1933172563537221</v>
      </c>
      <c r="W4401">
        <v>-21.276656842641319</v>
      </c>
      <c r="X4401">
        <v>1.091404155172879</v>
      </c>
      <c r="Z4401" t="s">
        <v>392</v>
      </c>
      <c r="AA4401">
        <v>161</v>
      </c>
      <c r="AB4401" t="s">
        <v>4792</v>
      </c>
      <c r="AC4401" t="str">
        <f>HYPERLINK("plots/3FT6Y578R04_015_S31P_20251219032831_M5358ACSA301811_RBGEUFRF04/dpll_52084/txpa_53184.png","plot")</f>
        <v>plot</v>
      </c>
    </row>
    <row r="4402" spans="1:29" hidden="1" x14ac:dyDescent="0.35">
      <c r="A4402" t="s">
        <v>50</v>
      </c>
      <c r="B4402">
        <v>52084</v>
      </c>
      <c r="C4402" t="s">
        <v>52</v>
      </c>
      <c r="D4402">
        <v>53185</v>
      </c>
      <c r="E4402" t="s">
        <v>60</v>
      </c>
      <c r="F4402">
        <v>11782</v>
      </c>
      <c r="G4402">
        <v>0.3248091958150236</v>
      </c>
      <c r="H4402">
        <v>1.4446098284633149E-287</v>
      </c>
      <c r="I4402">
        <v>1.5533768463009559E-287</v>
      </c>
      <c r="J4402">
        <v>0.28841883249265932</v>
      </c>
      <c r="K4402">
        <v>1.7539699065744789E-224</v>
      </c>
      <c r="L4402">
        <v>1.8900377101663361E-224</v>
      </c>
      <c r="M4402">
        <v>0.19513070818941111</v>
      </c>
      <c r="N4402">
        <v>3.9468370857162879E-221</v>
      </c>
      <c r="O4402">
        <v>4.248506162331546E-221</v>
      </c>
      <c r="P4402">
        <v>0.1055010136860023</v>
      </c>
      <c r="Q4402">
        <v>1.8181819461084789</v>
      </c>
      <c r="R4402">
        <v>-29.027422123787321</v>
      </c>
      <c r="S4402">
        <v>1.023413503001146</v>
      </c>
      <c r="T4402">
        <v>0.79085893486021197</v>
      </c>
      <c r="U4402">
        <v>4.2695416864708866</v>
      </c>
      <c r="V4402">
        <v>0.1933172563537221</v>
      </c>
      <c r="W4402">
        <v>-21.264618511288411</v>
      </c>
      <c r="X4402">
        <v>1.08213052432706</v>
      </c>
      <c r="Z4402" t="s">
        <v>392</v>
      </c>
      <c r="AA4402">
        <v>161</v>
      </c>
      <c r="AB4402" t="s">
        <v>4793</v>
      </c>
      <c r="AC4402" t="str">
        <f>HYPERLINK("plots/3FT6Y578R04_015_S31P_20251219032831_M5358ACSA301811_RBGEUFRF04/dpll_52084/txpa_53185.png","plot")</f>
        <v>plot</v>
      </c>
    </row>
    <row r="4403" spans="1:29" hidden="1" x14ac:dyDescent="0.35">
      <c r="A4403" t="s">
        <v>50</v>
      </c>
      <c r="B4403">
        <v>52084</v>
      </c>
      <c r="C4403" t="s">
        <v>52</v>
      </c>
      <c r="D4403">
        <v>53186</v>
      </c>
      <c r="E4403" t="s">
        <v>61</v>
      </c>
      <c r="F4403">
        <v>11782</v>
      </c>
      <c r="G4403">
        <v>0.31245644798512789</v>
      </c>
      <c r="H4403">
        <v>3.8864421879505482E-265</v>
      </c>
      <c r="I4403">
        <v>4.1265469932794297E-265</v>
      </c>
      <c r="J4403">
        <v>0.26926789105044119</v>
      </c>
      <c r="K4403">
        <v>7.949660596019855E-195</v>
      </c>
      <c r="L4403">
        <v>8.4143589189604728E-195</v>
      </c>
      <c r="M4403">
        <v>0.18191572945119661</v>
      </c>
      <c r="N4403">
        <v>2.0791353516110431E-192</v>
      </c>
      <c r="O4403">
        <v>2.2006714473210831E-192</v>
      </c>
      <c r="P4403">
        <v>9.7629031887482967E-2</v>
      </c>
      <c r="Q4403">
        <v>1.8035709456523159</v>
      </c>
      <c r="R4403">
        <v>-29.11312350213748</v>
      </c>
      <c r="S4403">
        <v>1.0599575871806799</v>
      </c>
      <c r="T4403">
        <v>0.83090139174303956</v>
      </c>
      <c r="U4403">
        <v>4.2695416864708866</v>
      </c>
      <c r="V4403">
        <v>0.1933172563537221</v>
      </c>
      <c r="W4403">
        <v>-21.4127021651672</v>
      </c>
      <c r="X4403">
        <v>1.1158719530390011</v>
      </c>
      <c r="Z4403" t="s">
        <v>392</v>
      </c>
      <c r="AA4403">
        <v>161</v>
      </c>
      <c r="AB4403" t="s">
        <v>4794</v>
      </c>
      <c r="AC4403" t="str">
        <f>HYPERLINK("plots/3FT6Y578R04_015_S31P_20251219032831_M5358ACSA301811_RBGEUFRF04/dpll_52084/txpa_53186.png","plot")</f>
        <v>plot</v>
      </c>
    </row>
    <row r="4404" spans="1:29" hidden="1" x14ac:dyDescent="0.35">
      <c r="A4404" t="s">
        <v>50</v>
      </c>
      <c r="B4404">
        <v>52084</v>
      </c>
      <c r="C4404" t="s">
        <v>52</v>
      </c>
      <c r="D4404">
        <v>53187</v>
      </c>
      <c r="E4404" t="s">
        <v>62</v>
      </c>
      <c r="F4404">
        <v>11782</v>
      </c>
      <c r="G4404">
        <v>0.66451231694722057</v>
      </c>
      <c r="H4404">
        <v>0</v>
      </c>
      <c r="I4404">
        <v>0</v>
      </c>
      <c r="J4404">
        <v>0.55203634756552433</v>
      </c>
      <c r="K4404">
        <v>0</v>
      </c>
      <c r="L4404">
        <v>0</v>
      </c>
      <c r="M4404">
        <v>0.38807730139418811</v>
      </c>
      <c r="N4404">
        <v>0</v>
      </c>
      <c r="O4404">
        <v>0</v>
      </c>
      <c r="P4404">
        <v>0.44157661937456327</v>
      </c>
      <c r="Q4404">
        <v>1.0081426742499691</v>
      </c>
      <c r="R4404">
        <v>-15.19168571206896</v>
      </c>
      <c r="S4404">
        <v>0.21915579142122599</v>
      </c>
      <c r="T4404">
        <v>0.1718391506187068</v>
      </c>
      <c r="U4404">
        <v>4.2695416864708866</v>
      </c>
      <c r="V4404">
        <v>0.1933172563537221</v>
      </c>
      <c r="W4404">
        <v>-10.88737853844848</v>
      </c>
      <c r="X4404">
        <v>0.29328482080579338</v>
      </c>
      <c r="Z4404" t="s">
        <v>392</v>
      </c>
      <c r="AA4404">
        <v>161</v>
      </c>
      <c r="AB4404" t="s">
        <v>4795</v>
      </c>
      <c r="AC4404" t="str">
        <f>HYPERLINK("plots/3FT6Y578R04_015_S31P_20251219032831_M5358ACSA301811_RBGEUFRF04/dpll_52084/txpa_53187.png","plot")</f>
        <v>plot</v>
      </c>
    </row>
    <row r="4405" spans="1:29" hidden="1" x14ac:dyDescent="0.35">
      <c r="A4405" t="s">
        <v>50</v>
      </c>
      <c r="B4405">
        <v>52084</v>
      </c>
      <c r="C4405" t="s">
        <v>52</v>
      </c>
      <c r="D4405">
        <v>53188</v>
      </c>
      <c r="E4405" t="s">
        <v>63</v>
      </c>
      <c r="F4405">
        <v>11782</v>
      </c>
      <c r="G4405">
        <v>0.68631058614442009</v>
      </c>
      <c r="H4405">
        <v>0</v>
      </c>
      <c r="I4405">
        <v>0</v>
      </c>
      <c r="J4405">
        <v>0.57270014093195365</v>
      </c>
      <c r="K4405">
        <v>0</v>
      </c>
      <c r="L4405">
        <v>0</v>
      </c>
      <c r="M4405">
        <v>0.40607034623397081</v>
      </c>
      <c r="N4405">
        <v>0</v>
      </c>
      <c r="O4405">
        <v>0</v>
      </c>
      <c r="P4405">
        <v>0.47102222065389748</v>
      </c>
      <c r="Q4405">
        <v>1.0330608581107319</v>
      </c>
      <c r="R4405">
        <v>-15.232156232858451</v>
      </c>
      <c r="S4405">
        <v>0.2116294557749395</v>
      </c>
      <c r="T4405">
        <v>0.16661282554193141</v>
      </c>
      <c r="U4405">
        <v>4.2695416864708866</v>
      </c>
      <c r="V4405">
        <v>0.1933172563537221</v>
      </c>
      <c r="W4405">
        <v>-10.82145983449329</v>
      </c>
      <c r="X4405">
        <v>0.29098850399251142</v>
      </c>
      <c r="Z4405" t="s">
        <v>392</v>
      </c>
      <c r="AA4405">
        <v>161</v>
      </c>
      <c r="AB4405" t="s">
        <v>4796</v>
      </c>
      <c r="AC4405" t="str">
        <f>HYPERLINK("plots/3FT6Y578R04_015_S31P_20251219032831_M5358ACSA301811_RBGEUFRF04/dpll_52084/txpa_53188.png","plot")</f>
        <v>plot</v>
      </c>
    </row>
    <row r="4406" spans="1:29" hidden="1" x14ac:dyDescent="0.35">
      <c r="A4406" t="s">
        <v>50</v>
      </c>
      <c r="B4406">
        <v>52084</v>
      </c>
      <c r="C4406" t="s">
        <v>52</v>
      </c>
      <c r="D4406">
        <v>53189</v>
      </c>
      <c r="E4406" t="s">
        <v>64</v>
      </c>
      <c r="F4406">
        <v>11782</v>
      </c>
      <c r="G4406">
        <v>0.67377832694885054</v>
      </c>
      <c r="H4406">
        <v>0</v>
      </c>
      <c r="I4406">
        <v>0</v>
      </c>
      <c r="J4406">
        <v>0.55613940035344167</v>
      </c>
      <c r="K4406">
        <v>0</v>
      </c>
      <c r="L4406">
        <v>0</v>
      </c>
      <c r="M4406">
        <v>0.39194109825663392</v>
      </c>
      <c r="N4406">
        <v>0</v>
      </c>
      <c r="O4406">
        <v>0</v>
      </c>
      <c r="P4406">
        <v>0.45397723386599209</v>
      </c>
      <c r="Q4406">
        <v>0.99127019771407199</v>
      </c>
      <c r="R4406">
        <v>-15.034052690735679</v>
      </c>
      <c r="S4406">
        <v>0.21015154114210391</v>
      </c>
      <c r="T4406">
        <v>0.16497133227492869</v>
      </c>
      <c r="U4406">
        <v>4.2695416864708866</v>
      </c>
      <c r="V4406">
        <v>0.1933172563537221</v>
      </c>
      <c r="W4406">
        <v>-10.80178325903921</v>
      </c>
      <c r="X4406">
        <v>0.28441050604146773</v>
      </c>
      <c r="Z4406" t="s">
        <v>392</v>
      </c>
      <c r="AA4406">
        <v>161</v>
      </c>
      <c r="AB4406" t="s">
        <v>4797</v>
      </c>
      <c r="AC4406" t="str">
        <f>HYPERLINK("plots/3FT6Y578R04_015_S31P_20251219032831_M5358ACSA301811_RBGEUFRF04/dpll_52084/txpa_53189.png","plot")</f>
        <v>plot</v>
      </c>
    </row>
    <row r="4407" spans="1:29" hidden="1" x14ac:dyDescent="0.35">
      <c r="A4407" t="s">
        <v>50</v>
      </c>
      <c r="B4407">
        <v>52084</v>
      </c>
      <c r="C4407" t="s">
        <v>52</v>
      </c>
      <c r="D4407">
        <v>53190</v>
      </c>
      <c r="E4407" t="s">
        <v>65</v>
      </c>
      <c r="F4407">
        <v>11781</v>
      </c>
      <c r="G4407">
        <v>0.69197821564088158</v>
      </c>
      <c r="H4407">
        <v>0</v>
      </c>
      <c r="I4407">
        <v>0</v>
      </c>
      <c r="J4407">
        <v>0.56944435484427025</v>
      </c>
      <c r="K4407">
        <v>0</v>
      </c>
      <c r="L4407">
        <v>0</v>
      </c>
      <c r="M4407">
        <v>0.40322821128344599</v>
      </c>
      <c r="N4407">
        <v>0</v>
      </c>
      <c r="O4407">
        <v>0</v>
      </c>
      <c r="P4407">
        <v>0.47883385092153841</v>
      </c>
      <c r="Q4407">
        <v>1.0289438245763789</v>
      </c>
      <c r="R4407">
        <v>-15.149431452910401</v>
      </c>
      <c r="S4407">
        <v>0.2075173097862269</v>
      </c>
      <c r="T4407">
        <v>0.16392218953748941</v>
      </c>
      <c r="U4407">
        <v>4.2695489746201511</v>
      </c>
      <c r="V4407">
        <v>0.19332384277072681</v>
      </c>
      <c r="W4407">
        <v>-10.75630540174858</v>
      </c>
      <c r="X4407">
        <v>0.28746479248350809</v>
      </c>
      <c r="Z4407" t="s">
        <v>392</v>
      </c>
      <c r="AA4407">
        <v>161</v>
      </c>
      <c r="AB4407" t="s">
        <v>4798</v>
      </c>
      <c r="AC4407" t="str">
        <f>HYPERLINK("plots/3FT6Y578R04_015_S31P_20251219032831_M5358ACSA301811_RBGEUFRF04/dpll_52084/txpa_53190.png","plot")</f>
        <v>plot</v>
      </c>
    </row>
    <row r="4408" spans="1:29" hidden="1" x14ac:dyDescent="0.35">
      <c r="A4408" t="s">
        <v>50</v>
      </c>
      <c r="B4408">
        <v>52084</v>
      </c>
      <c r="C4408" t="s">
        <v>52</v>
      </c>
      <c r="D4408">
        <v>53191</v>
      </c>
      <c r="E4408" t="s">
        <v>66</v>
      </c>
      <c r="F4408">
        <v>11781</v>
      </c>
      <c r="G4408">
        <v>0.69916250416288817</v>
      </c>
      <c r="H4408">
        <v>0</v>
      </c>
      <c r="I4408">
        <v>0</v>
      </c>
      <c r="J4408">
        <v>0.56997339318669193</v>
      </c>
      <c r="K4408">
        <v>0</v>
      </c>
      <c r="L4408">
        <v>0</v>
      </c>
      <c r="M4408">
        <v>0.40294064874950802</v>
      </c>
      <c r="N4408">
        <v>0</v>
      </c>
      <c r="O4408">
        <v>0</v>
      </c>
      <c r="P4408">
        <v>0.48882820722732062</v>
      </c>
      <c r="Q4408">
        <v>1.047770130859627</v>
      </c>
      <c r="R4408">
        <v>-15.243266384382819</v>
      </c>
      <c r="S4408">
        <v>0.20711023988674959</v>
      </c>
      <c r="T4408">
        <v>0.1636996836628726</v>
      </c>
      <c r="U4408">
        <v>4.2695174021729896</v>
      </c>
      <c r="V4408">
        <v>0.19330748901132719</v>
      </c>
      <c r="W4408">
        <v>-10.769793577200581</v>
      </c>
      <c r="X4408">
        <v>0.28969204133744092</v>
      </c>
      <c r="Z4408" t="s">
        <v>392</v>
      </c>
      <c r="AA4408">
        <v>161</v>
      </c>
      <c r="AB4408" t="s">
        <v>4799</v>
      </c>
      <c r="AC4408" t="str">
        <f>HYPERLINK("plots/3FT6Y578R04_015_S31P_20251219032831_M5358ACSA301811_RBGEUFRF04/dpll_52084/txpa_53191.png","plot")</f>
        <v>plot</v>
      </c>
    </row>
    <row r="4409" spans="1:29" hidden="1" x14ac:dyDescent="0.35">
      <c r="A4409" t="s">
        <v>50</v>
      </c>
      <c r="B4409">
        <v>52084</v>
      </c>
      <c r="C4409" t="s">
        <v>52</v>
      </c>
      <c r="D4409">
        <v>53192</v>
      </c>
      <c r="E4409" t="s">
        <v>67</v>
      </c>
      <c r="F4409">
        <v>11782</v>
      </c>
      <c r="G4409">
        <v>0.69664584354942438</v>
      </c>
      <c r="H4409">
        <v>0</v>
      </c>
      <c r="I4409">
        <v>0</v>
      </c>
      <c r="J4409">
        <v>0.5848012360488577</v>
      </c>
      <c r="K4409">
        <v>0</v>
      </c>
      <c r="L4409">
        <v>0</v>
      </c>
      <c r="M4409">
        <v>0.41512705282338702</v>
      </c>
      <c r="N4409">
        <v>0</v>
      </c>
      <c r="O4409">
        <v>0</v>
      </c>
      <c r="P4409">
        <v>0.48531543133468907</v>
      </c>
      <c r="Q4409">
        <v>1.037035052488865</v>
      </c>
      <c r="R4409">
        <v>-15.234103743323841</v>
      </c>
      <c r="S4409">
        <v>0.20644489644446279</v>
      </c>
      <c r="T4409">
        <v>0.16182888052994221</v>
      </c>
      <c r="U4409">
        <v>4.2695416864708866</v>
      </c>
      <c r="V4409">
        <v>0.1933172563537221</v>
      </c>
      <c r="W4409">
        <v>-10.806439356391101</v>
      </c>
      <c r="X4409">
        <v>0.28777430159972323</v>
      </c>
      <c r="Z4409" t="s">
        <v>392</v>
      </c>
      <c r="AA4409">
        <v>161</v>
      </c>
      <c r="AB4409" t="s">
        <v>4800</v>
      </c>
      <c r="AC4409" t="str">
        <f>HYPERLINK("plots/3FT6Y578R04_015_S31P_20251219032831_M5358ACSA301811_RBGEUFRF04/dpll_52084/txpa_53192.png","plot")</f>
        <v>plot</v>
      </c>
    </row>
    <row r="4410" spans="1:29" hidden="1" x14ac:dyDescent="0.35">
      <c r="A4410" t="s">
        <v>50</v>
      </c>
      <c r="B4410">
        <v>52084</v>
      </c>
      <c r="C4410" t="s">
        <v>52</v>
      </c>
      <c r="D4410">
        <v>53193</v>
      </c>
      <c r="E4410" t="s">
        <v>68</v>
      </c>
      <c r="F4410">
        <v>11782</v>
      </c>
      <c r="G4410">
        <v>0.69601373625197804</v>
      </c>
      <c r="H4410">
        <v>0</v>
      </c>
      <c r="I4410">
        <v>0</v>
      </c>
      <c r="J4410">
        <v>0.5811443462123177</v>
      </c>
      <c r="K4410">
        <v>0</v>
      </c>
      <c r="L4410">
        <v>0</v>
      </c>
      <c r="M4410">
        <v>0.41215338971746962</v>
      </c>
      <c r="N4410">
        <v>0</v>
      </c>
      <c r="O4410">
        <v>0</v>
      </c>
      <c r="P4410">
        <v>0.48443512105143799</v>
      </c>
      <c r="Q4410">
        <v>1.0339536210143401</v>
      </c>
      <c r="R4410">
        <v>-15.20946062762323</v>
      </c>
      <c r="S4410">
        <v>0.2061945118647811</v>
      </c>
      <c r="T4410">
        <v>0.1623068692272697</v>
      </c>
      <c r="U4410">
        <v>4.2695416864708866</v>
      </c>
      <c r="V4410">
        <v>0.1933172563537221</v>
      </c>
      <c r="W4410">
        <v>-10.79495254082499</v>
      </c>
      <c r="X4410">
        <v>0.28717978798499649</v>
      </c>
      <c r="Z4410" t="s">
        <v>392</v>
      </c>
      <c r="AA4410">
        <v>161</v>
      </c>
      <c r="AB4410" t="s">
        <v>4801</v>
      </c>
      <c r="AC4410" t="str">
        <f>HYPERLINK("plots/3FT6Y578R04_015_S31P_20251219032831_M5358ACSA301811_RBGEUFRF04/dpll_52084/txpa_53193.png","plot")</f>
        <v>plot</v>
      </c>
    </row>
    <row r="4411" spans="1:29" hidden="1" x14ac:dyDescent="0.35">
      <c r="A4411" t="s">
        <v>50</v>
      </c>
      <c r="B4411">
        <v>52084</v>
      </c>
      <c r="C4411" t="s">
        <v>52</v>
      </c>
      <c r="D4411">
        <v>53194</v>
      </c>
      <c r="E4411" t="s">
        <v>69</v>
      </c>
      <c r="F4411">
        <v>11781</v>
      </c>
      <c r="G4411">
        <v>0.68714764412599294</v>
      </c>
      <c r="H4411">
        <v>0</v>
      </c>
      <c r="I4411">
        <v>0</v>
      </c>
      <c r="J4411">
        <v>0.56832685578261988</v>
      </c>
      <c r="K4411">
        <v>0</v>
      </c>
      <c r="L4411">
        <v>0</v>
      </c>
      <c r="M4411">
        <v>0.40302761607088639</v>
      </c>
      <c r="N4411">
        <v>0</v>
      </c>
      <c r="O4411">
        <v>0</v>
      </c>
      <c r="P4411">
        <v>0.47217188482790218</v>
      </c>
      <c r="Q4411">
        <v>1.030935153848898</v>
      </c>
      <c r="R4411">
        <v>-15.26819813391571</v>
      </c>
      <c r="S4411">
        <v>0.21070079761867219</v>
      </c>
      <c r="T4411">
        <v>0.1653653691531721</v>
      </c>
      <c r="U4411">
        <v>4.2695633024361257</v>
      </c>
      <c r="V4411">
        <v>0.19331122175495491</v>
      </c>
      <c r="W4411">
        <v>-10.86655523385112</v>
      </c>
      <c r="X4411">
        <v>0.29002694813011892</v>
      </c>
      <c r="Z4411" t="s">
        <v>392</v>
      </c>
      <c r="AA4411">
        <v>161</v>
      </c>
      <c r="AB4411" t="s">
        <v>4802</v>
      </c>
      <c r="AC4411" t="str">
        <f>HYPERLINK("plots/3FT6Y578R04_015_S31P_20251219032831_M5358ACSA301811_RBGEUFRF04/dpll_52084/txpa_53194.png","plot")</f>
        <v>plot</v>
      </c>
    </row>
    <row r="4412" spans="1:29" hidden="1" x14ac:dyDescent="0.35">
      <c r="A4412" t="s">
        <v>50</v>
      </c>
      <c r="B4412">
        <v>52084</v>
      </c>
      <c r="C4412" t="s">
        <v>52</v>
      </c>
      <c r="D4412">
        <v>53195</v>
      </c>
      <c r="E4412" t="s">
        <v>70</v>
      </c>
      <c r="F4412">
        <v>11782</v>
      </c>
      <c r="G4412">
        <v>0.68866305709967701</v>
      </c>
      <c r="H4412">
        <v>0</v>
      </c>
      <c r="I4412">
        <v>0</v>
      </c>
      <c r="J4412">
        <v>0.58020979433175934</v>
      </c>
      <c r="K4412">
        <v>0</v>
      </c>
      <c r="L4412">
        <v>0</v>
      </c>
      <c r="M4412">
        <v>0.41046131263249241</v>
      </c>
      <c r="N4412">
        <v>0</v>
      </c>
      <c r="O4412">
        <v>0</v>
      </c>
      <c r="P4412">
        <v>0.47425680621387301</v>
      </c>
      <c r="Q4412">
        <v>0.90728082146680011</v>
      </c>
      <c r="R4412">
        <v>-8.7913936813057596</v>
      </c>
      <c r="S4412">
        <v>0.18466048234529581</v>
      </c>
      <c r="T4412">
        <v>0.1443626631212078</v>
      </c>
      <c r="U4412">
        <v>4.2695416864708866</v>
      </c>
      <c r="V4412">
        <v>0.1933172563537221</v>
      </c>
      <c r="W4412">
        <v>-4.9177203927177047</v>
      </c>
      <c r="X4412">
        <v>0.25468629010968802</v>
      </c>
      <c r="Z4412" t="s">
        <v>392</v>
      </c>
      <c r="AA4412">
        <v>161</v>
      </c>
      <c r="AB4412" t="s">
        <v>4803</v>
      </c>
      <c r="AC4412" t="str">
        <f>HYPERLINK("plots/3FT6Y578R04_015_S31P_20251219032831_M5358ACSA301811_RBGEUFRF04/dpll_52084/txpa_53195.png","plot")</f>
        <v>plot</v>
      </c>
    </row>
    <row r="4413" spans="1:29" hidden="1" x14ac:dyDescent="0.35">
      <c r="A4413" t="s">
        <v>50</v>
      </c>
      <c r="B4413">
        <v>52084</v>
      </c>
      <c r="C4413" t="s">
        <v>52</v>
      </c>
      <c r="D4413">
        <v>53196</v>
      </c>
      <c r="E4413" t="s">
        <v>71</v>
      </c>
      <c r="F4413">
        <v>11782</v>
      </c>
      <c r="G4413">
        <v>0.70979901233357123</v>
      </c>
      <c r="H4413">
        <v>0</v>
      </c>
      <c r="I4413">
        <v>0</v>
      </c>
      <c r="J4413">
        <v>0.59918485701507129</v>
      </c>
      <c r="K4413">
        <v>0</v>
      </c>
      <c r="L4413">
        <v>0</v>
      </c>
      <c r="M4413">
        <v>0.42738610902723168</v>
      </c>
      <c r="N4413">
        <v>0</v>
      </c>
      <c r="O4413">
        <v>0</v>
      </c>
      <c r="P4413">
        <v>0.50381463790971326</v>
      </c>
      <c r="Q4413">
        <v>0.93565767850000447</v>
      </c>
      <c r="R4413">
        <v>-8.8665369740804998</v>
      </c>
      <c r="S4413">
        <v>0.17949640751081061</v>
      </c>
      <c r="T4413">
        <v>0.14105163236354859</v>
      </c>
      <c r="U4413">
        <v>4.2695416864708866</v>
      </c>
      <c r="V4413">
        <v>0.1933172563537221</v>
      </c>
      <c r="W4413">
        <v>-4.8717075114581556</v>
      </c>
      <c r="X4413">
        <v>0.25483097630588081</v>
      </c>
      <c r="Z4413" t="s">
        <v>392</v>
      </c>
      <c r="AA4413">
        <v>161</v>
      </c>
      <c r="AB4413" t="s">
        <v>4804</v>
      </c>
      <c r="AC4413" t="str">
        <f>HYPERLINK("plots/3FT6Y578R04_015_S31P_20251219032831_M5358ACSA301811_RBGEUFRF04/dpll_52084/txpa_53196.png","plot")</f>
        <v>plot</v>
      </c>
    </row>
    <row r="4414" spans="1:29" hidden="1" x14ac:dyDescent="0.35">
      <c r="A4414" t="s">
        <v>50</v>
      </c>
      <c r="B4414">
        <v>52084</v>
      </c>
      <c r="C4414" t="s">
        <v>52</v>
      </c>
      <c r="D4414">
        <v>53197</v>
      </c>
      <c r="E4414" t="s">
        <v>72</v>
      </c>
      <c r="F4414">
        <v>11782</v>
      </c>
      <c r="G4414">
        <v>0.69843735120361439</v>
      </c>
      <c r="H4414">
        <v>0</v>
      </c>
      <c r="I4414">
        <v>0</v>
      </c>
      <c r="J4414">
        <v>0.58479860333201095</v>
      </c>
      <c r="K4414">
        <v>0</v>
      </c>
      <c r="L4414">
        <v>0</v>
      </c>
      <c r="M4414">
        <v>0.41522881514462839</v>
      </c>
      <c r="N4414">
        <v>0</v>
      </c>
      <c r="O4414">
        <v>0</v>
      </c>
      <c r="P4414">
        <v>0.48781473355632099</v>
      </c>
      <c r="Q4414">
        <v>0.90059111635779976</v>
      </c>
      <c r="R4414">
        <v>-8.6996935956256305</v>
      </c>
      <c r="S4414">
        <v>0.17838812236383231</v>
      </c>
      <c r="T4414">
        <v>0.14034855732957929</v>
      </c>
      <c r="U4414">
        <v>4.2695416864708866</v>
      </c>
      <c r="V4414">
        <v>0.1933172563537221</v>
      </c>
      <c r="W4414">
        <v>-4.854582281870651</v>
      </c>
      <c r="X4414">
        <v>0.24927046557690541</v>
      </c>
      <c r="Z4414" t="s">
        <v>392</v>
      </c>
      <c r="AA4414">
        <v>161</v>
      </c>
      <c r="AB4414" t="s">
        <v>4805</v>
      </c>
      <c r="AC4414" t="str">
        <f>HYPERLINK("plots/3FT6Y578R04_015_S31P_20251219032831_M5358ACSA301811_RBGEUFRF04/dpll_52084/txpa_53197.png","plot")</f>
        <v>plot</v>
      </c>
    </row>
    <row r="4415" spans="1:29" hidden="1" x14ac:dyDescent="0.35">
      <c r="A4415" t="s">
        <v>50</v>
      </c>
      <c r="B4415">
        <v>52084</v>
      </c>
      <c r="C4415" t="s">
        <v>52</v>
      </c>
      <c r="D4415">
        <v>53198</v>
      </c>
      <c r="E4415" t="s">
        <v>73</v>
      </c>
      <c r="F4415">
        <v>11781</v>
      </c>
      <c r="G4415">
        <v>0.71623327423245686</v>
      </c>
      <c r="H4415">
        <v>0</v>
      </c>
      <c r="I4415">
        <v>0</v>
      </c>
      <c r="J4415">
        <v>0.59860459564444801</v>
      </c>
      <c r="K4415">
        <v>0</v>
      </c>
      <c r="L4415">
        <v>0</v>
      </c>
      <c r="M4415">
        <v>0.42713149332036637</v>
      </c>
      <c r="N4415">
        <v>0</v>
      </c>
      <c r="O4415">
        <v>0</v>
      </c>
      <c r="P4415">
        <v>0.51299010311774573</v>
      </c>
      <c r="Q4415">
        <v>0.93895392507958153</v>
      </c>
      <c r="R4415">
        <v>-8.833627253651521</v>
      </c>
      <c r="S4415">
        <v>0.1768583904808492</v>
      </c>
      <c r="T4415">
        <v>0.13951049059359399</v>
      </c>
      <c r="U4415">
        <v>4.2695489746201511</v>
      </c>
      <c r="V4415">
        <v>0.19332384277072681</v>
      </c>
      <c r="W4415">
        <v>-4.8247174856124273</v>
      </c>
      <c r="X4415">
        <v>0.25344002786741232</v>
      </c>
      <c r="Z4415" t="s">
        <v>392</v>
      </c>
      <c r="AA4415">
        <v>161</v>
      </c>
      <c r="AB4415" t="s">
        <v>4806</v>
      </c>
      <c r="AC4415" t="str">
        <f>HYPERLINK("plots/3FT6Y578R04_015_S31P_20251219032831_M5358ACSA301811_RBGEUFRF04/dpll_52084/txpa_53198.png","plot")</f>
        <v>plot</v>
      </c>
    </row>
    <row r="4416" spans="1:29" hidden="1" x14ac:dyDescent="0.35">
      <c r="A4416" t="s">
        <v>50</v>
      </c>
      <c r="B4416">
        <v>52084</v>
      </c>
      <c r="C4416" t="s">
        <v>52</v>
      </c>
      <c r="D4416">
        <v>53199</v>
      </c>
      <c r="E4416" t="s">
        <v>74</v>
      </c>
      <c r="F4416">
        <v>11781</v>
      </c>
      <c r="G4416">
        <v>0.71885479691371046</v>
      </c>
      <c r="H4416">
        <v>0</v>
      </c>
      <c r="I4416">
        <v>0</v>
      </c>
      <c r="J4416">
        <v>0.59467033158561367</v>
      </c>
      <c r="K4416">
        <v>0</v>
      </c>
      <c r="L4416">
        <v>0</v>
      </c>
      <c r="M4416">
        <v>0.42305835549816823</v>
      </c>
      <c r="N4416">
        <v>0</v>
      </c>
      <c r="O4416">
        <v>0</v>
      </c>
      <c r="P4416">
        <v>0.51675221904585189</v>
      </c>
      <c r="Q4416">
        <v>0.94409826755843529</v>
      </c>
      <c r="R4416">
        <v>-8.8707308809280683</v>
      </c>
      <c r="S4416">
        <v>0.17647825732222319</v>
      </c>
      <c r="T4416">
        <v>0.1396148931516282</v>
      </c>
      <c r="U4416">
        <v>4.2695174021729896</v>
      </c>
      <c r="V4416">
        <v>0.19330748901132719</v>
      </c>
      <c r="W4416">
        <v>-4.8398868982259566</v>
      </c>
      <c r="X4416">
        <v>0.25387778764947472</v>
      </c>
      <c r="Z4416" t="s">
        <v>392</v>
      </c>
      <c r="AA4416">
        <v>161</v>
      </c>
      <c r="AB4416" t="s">
        <v>4807</v>
      </c>
      <c r="AC4416" t="str">
        <f>HYPERLINK("plots/3FT6Y578R04_015_S31P_20251219032831_M5358ACSA301811_RBGEUFRF04/dpll_52084/txpa_53199.png","plot")</f>
        <v>plot</v>
      </c>
    </row>
    <row r="4417" spans="1:29" hidden="1" x14ac:dyDescent="0.35">
      <c r="A4417" t="s">
        <v>50</v>
      </c>
      <c r="B4417">
        <v>52084</v>
      </c>
      <c r="C4417" t="s">
        <v>52</v>
      </c>
      <c r="D4417">
        <v>53200</v>
      </c>
      <c r="E4417" t="s">
        <v>75</v>
      </c>
      <c r="F4417">
        <v>11781</v>
      </c>
      <c r="G4417">
        <v>0.7249157473524086</v>
      </c>
      <c r="H4417">
        <v>0</v>
      </c>
      <c r="I4417">
        <v>0</v>
      </c>
      <c r="J4417">
        <v>0.61629051957687497</v>
      </c>
      <c r="K4417">
        <v>0</v>
      </c>
      <c r="L4417">
        <v>0</v>
      </c>
      <c r="M4417">
        <v>0.44072544512109818</v>
      </c>
      <c r="N4417">
        <v>0</v>
      </c>
      <c r="O4417">
        <v>0</v>
      </c>
      <c r="P4417">
        <v>0.52550284075950104</v>
      </c>
      <c r="Q4417">
        <v>0.95041978795056559</v>
      </c>
      <c r="R4417">
        <v>-8.9143136389213531</v>
      </c>
      <c r="S4417">
        <v>0.17456565472507979</v>
      </c>
      <c r="T4417">
        <v>0.13809277541821471</v>
      </c>
      <c r="U4417">
        <v>4.2695129435531793</v>
      </c>
      <c r="V4417">
        <v>0.1933002831720991</v>
      </c>
      <c r="W4417">
        <v>-4.856484052457346</v>
      </c>
      <c r="X4417">
        <v>0.25343140194456182</v>
      </c>
      <c r="Z4417" t="s">
        <v>392</v>
      </c>
      <c r="AA4417">
        <v>161</v>
      </c>
      <c r="AB4417" t="s">
        <v>4808</v>
      </c>
      <c r="AC4417" t="str">
        <f>HYPERLINK("plots/3FT6Y578R04_015_S31P_20251219032831_M5358ACSA301811_RBGEUFRF04/dpll_52084/txpa_53200.png","plot")</f>
        <v>plot</v>
      </c>
    </row>
    <row r="4418" spans="1:29" hidden="1" x14ac:dyDescent="0.35">
      <c r="A4418" t="s">
        <v>50</v>
      </c>
      <c r="B4418">
        <v>52084</v>
      </c>
      <c r="C4418" t="s">
        <v>52</v>
      </c>
      <c r="D4418">
        <v>53201</v>
      </c>
      <c r="E4418" t="s">
        <v>76</v>
      </c>
      <c r="F4418">
        <v>11782</v>
      </c>
      <c r="G4418">
        <v>0.7192494722171483</v>
      </c>
      <c r="H4418">
        <v>0</v>
      </c>
      <c r="I4418">
        <v>0</v>
      </c>
      <c r="J4418">
        <v>0.60530428442874118</v>
      </c>
      <c r="K4418">
        <v>0</v>
      </c>
      <c r="L4418">
        <v>0</v>
      </c>
      <c r="M4418">
        <v>0.43196680604306459</v>
      </c>
      <c r="N4418">
        <v>0</v>
      </c>
      <c r="O4418">
        <v>0</v>
      </c>
      <c r="P4418">
        <v>0.51731980328464644</v>
      </c>
      <c r="Q4418">
        <v>0.93400399698712966</v>
      </c>
      <c r="R4418">
        <v>-8.8357132002632781</v>
      </c>
      <c r="S4418">
        <v>0.1744018610550836</v>
      </c>
      <c r="T4418">
        <v>0.13792161732954339</v>
      </c>
      <c r="U4418">
        <v>4.2695416864708866</v>
      </c>
      <c r="V4418">
        <v>0.1933172563537221</v>
      </c>
      <c r="W4418">
        <v>-4.8479441997963004</v>
      </c>
      <c r="X4418">
        <v>0.25103819619689549</v>
      </c>
      <c r="Z4418" t="s">
        <v>392</v>
      </c>
      <c r="AA4418">
        <v>161</v>
      </c>
      <c r="AB4418" t="s">
        <v>4809</v>
      </c>
      <c r="AC4418" t="str">
        <f>HYPERLINK("plots/3FT6Y578R04_015_S31P_20251219032831_M5358ACSA301811_RBGEUFRF04/dpll_52084/txpa_53201.png","plot")</f>
        <v>plot</v>
      </c>
    </row>
    <row r="4419" spans="1:29" hidden="1" x14ac:dyDescent="0.35">
      <c r="A4419" t="s">
        <v>50</v>
      </c>
      <c r="B4419">
        <v>52084</v>
      </c>
      <c r="C4419" t="s">
        <v>52</v>
      </c>
      <c r="D4419">
        <v>53202</v>
      </c>
      <c r="E4419" t="s">
        <v>77</v>
      </c>
      <c r="F4419">
        <v>11781</v>
      </c>
      <c r="G4419">
        <v>0.71160284891857317</v>
      </c>
      <c r="H4419">
        <v>0</v>
      </c>
      <c r="I4419">
        <v>0</v>
      </c>
      <c r="J4419">
        <v>0.59775392725175491</v>
      </c>
      <c r="K4419">
        <v>0</v>
      </c>
      <c r="L4419">
        <v>0</v>
      </c>
      <c r="M4419">
        <v>0.42621416994501882</v>
      </c>
      <c r="N4419">
        <v>0</v>
      </c>
      <c r="O4419">
        <v>0</v>
      </c>
      <c r="P4419">
        <v>0.50637861458902966</v>
      </c>
      <c r="Q4419">
        <v>0.93270674741985116</v>
      </c>
      <c r="R4419">
        <v>-8.877390918679481</v>
      </c>
      <c r="S4419">
        <v>0.1780094492893127</v>
      </c>
      <c r="T4419">
        <v>0.14011996376851091</v>
      </c>
      <c r="U4419">
        <v>4.2695633024361257</v>
      </c>
      <c r="V4419">
        <v>0.19331122175495491</v>
      </c>
      <c r="W4419">
        <v>-4.895140417961124</v>
      </c>
      <c r="X4419">
        <v>0.25337543428448678</v>
      </c>
      <c r="Z4419" t="s">
        <v>392</v>
      </c>
      <c r="AA4419">
        <v>161</v>
      </c>
      <c r="AB4419" t="s">
        <v>4810</v>
      </c>
      <c r="AC4419" t="str">
        <f>HYPERLINK("plots/3FT6Y578R04_015_S31P_20251219032831_M5358ACSA301811_RBGEUFRF04/dpll_52084/txpa_53202.png","plot")</f>
        <v>plot</v>
      </c>
    </row>
    <row r="4420" spans="1:29" hidden="1" x14ac:dyDescent="0.35">
      <c r="A4420" t="s">
        <v>50</v>
      </c>
      <c r="B4420">
        <v>52084</v>
      </c>
      <c r="C4420" t="s">
        <v>52</v>
      </c>
      <c r="D4420">
        <v>53203</v>
      </c>
      <c r="E4420" t="s">
        <v>78</v>
      </c>
      <c r="F4420">
        <v>11782</v>
      </c>
      <c r="G4420">
        <v>0.7071288612372556</v>
      </c>
      <c r="H4420">
        <v>0</v>
      </c>
      <c r="I4420">
        <v>0</v>
      </c>
      <c r="J4420">
        <v>0.60471942805742473</v>
      </c>
      <c r="K4420">
        <v>0</v>
      </c>
      <c r="L4420">
        <v>0</v>
      </c>
      <c r="M4420">
        <v>0.42996009066177981</v>
      </c>
      <c r="N4420">
        <v>0</v>
      </c>
      <c r="O4420">
        <v>0</v>
      </c>
      <c r="P4420">
        <v>0.50003122639469788</v>
      </c>
      <c r="Q4420">
        <v>0.93090370655689569</v>
      </c>
      <c r="R4420">
        <v>-5.8332546281879081</v>
      </c>
      <c r="S4420">
        <v>0.17994087509560611</v>
      </c>
      <c r="T4420">
        <v>0.14059246152920499</v>
      </c>
      <c r="U4420">
        <v>4.2695416864708866</v>
      </c>
      <c r="V4420">
        <v>0.1933172563537221</v>
      </c>
      <c r="W4420">
        <v>-1.8587224469529791</v>
      </c>
      <c r="X4420">
        <v>0.2544935730189487</v>
      </c>
      <c r="Z4420" t="s">
        <v>392</v>
      </c>
      <c r="AA4420">
        <v>161</v>
      </c>
      <c r="AB4420" t="s">
        <v>4811</v>
      </c>
      <c r="AC4420" t="str">
        <f>HYPERLINK("plots/3FT6Y578R04_015_S31P_20251219032831_M5358ACSA301811_RBGEUFRF04/dpll_52084/txpa_53203.png","plot")</f>
        <v>plot</v>
      </c>
    </row>
    <row r="4421" spans="1:29" hidden="1" x14ac:dyDescent="0.35">
      <c r="A4421" t="s">
        <v>50</v>
      </c>
      <c r="B4421">
        <v>52084</v>
      </c>
      <c r="C4421" t="s">
        <v>52</v>
      </c>
      <c r="D4421">
        <v>53204</v>
      </c>
      <c r="E4421" t="s">
        <v>79</v>
      </c>
      <c r="F4421">
        <v>11782</v>
      </c>
      <c r="G4421">
        <v>0.72825291223348987</v>
      </c>
      <c r="H4421">
        <v>0</v>
      </c>
      <c r="I4421">
        <v>0</v>
      </c>
      <c r="J4421">
        <v>0.62340281033198508</v>
      </c>
      <c r="K4421">
        <v>0</v>
      </c>
      <c r="L4421">
        <v>0</v>
      </c>
      <c r="M4421">
        <v>0.44697069289024782</v>
      </c>
      <c r="N4421">
        <v>0</v>
      </c>
      <c r="O4421">
        <v>0</v>
      </c>
      <c r="P4421">
        <v>0.5303523041765591</v>
      </c>
      <c r="Q4421">
        <v>0.9629175115586267</v>
      </c>
      <c r="R4421">
        <v>-5.9285044103997429</v>
      </c>
      <c r="S4421">
        <v>0.17516411709457691</v>
      </c>
      <c r="T4421">
        <v>0.13771141042433849</v>
      </c>
      <c r="U4421">
        <v>4.2695416864708866</v>
      </c>
      <c r="V4421">
        <v>0.1933172563537221</v>
      </c>
      <c r="W4421">
        <v>-1.8172879541673741</v>
      </c>
      <c r="X4421">
        <v>0.25560978652123112</v>
      </c>
      <c r="Z4421" t="s">
        <v>392</v>
      </c>
      <c r="AA4421">
        <v>161</v>
      </c>
      <c r="AB4421" t="s">
        <v>4812</v>
      </c>
      <c r="AC4421" t="str">
        <f>HYPERLINK("plots/3FT6Y578R04_015_S31P_20251219032831_M5358ACSA301811_RBGEUFRF04/dpll_52084/txpa_53204.png","plot")</f>
        <v>plot</v>
      </c>
    </row>
    <row r="4422" spans="1:29" hidden="1" x14ac:dyDescent="0.35">
      <c r="A4422" t="s">
        <v>50</v>
      </c>
      <c r="B4422">
        <v>52084</v>
      </c>
      <c r="C4422" t="s">
        <v>52</v>
      </c>
      <c r="D4422">
        <v>53205</v>
      </c>
      <c r="E4422" t="s">
        <v>80</v>
      </c>
      <c r="F4422">
        <v>11782</v>
      </c>
      <c r="G4422">
        <v>0.71733857507735155</v>
      </c>
      <c r="H4422">
        <v>0</v>
      </c>
      <c r="I4422">
        <v>0</v>
      </c>
      <c r="J4422">
        <v>0.61041662781450423</v>
      </c>
      <c r="K4422">
        <v>0</v>
      </c>
      <c r="L4422">
        <v>0</v>
      </c>
      <c r="M4422">
        <v>0.43581071169920182</v>
      </c>
      <c r="N4422">
        <v>0</v>
      </c>
      <c r="O4422">
        <v>0</v>
      </c>
      <c r="P4422">
        <v>0.51457463129400516</v>
      </c>
      <c r="Q4422">
        <v>0.92734117572819963</v>
      </c>
      <c r="R4422">
        <v>-5.7606862506558167</v>
      </c>
      <c r="S4422">
        <v>0.17411203203459169</v>
      </c>
      <c r="T4422">
        <v>0.13678785288840381</v>
      </c>
      <c r="U4422">
        <v>4.2695416864708866</v>
      </c>
      <c r="V4422">
        <v>0.1933172563537221</v>
      </c>
      <c r="W4422">
        <v>-1.801364443303344</v>
      </c>
      <c r="X4422">
        <v>0.24991135012679239</v>
      </c>
      <c r="Z4422" t="s">
        <v>392</v>
      </c>
      <c r="AA4422">
        <v>161</v>
      </c>
      <c r="AB4422" t="s">
        <v>4813</v>
      </c>
      <c r="AC4422" t="str">
        <f>HYPERLINK("plots/3FT6Y578R04_015_S31P_20251219032831_M5358ACSA301811_RBGEUFRF04/dpll_52084/txpa_53205.png","plot")</f>
        <v>plot</v>
      </c>
    </row>
    <row r="4423" spans="1:29" hidden="1" x14ac:dyDescent="0.35">
      <c r="A4423" t="s">
        <v>50</v>
      </c>
      <c r="B4423">
        <v>52084</v>
      </c>
      <c r="C4423" t="s">
        <v>52</v>
      </c>
      <c r="D4423">
        <v>53206</v>
      </c>
      <c r="E4423" t="s">
        <v>81</v>
      </c>
      <c r="F4423">
        <v>11781</v>
      </c>
      <c r="G4423">
        <v>0.73306470851019223</v>
      </c>
      <c r="H4423">
        <v>0</v>
      </c>
      <c r="I4423">
        <v>0</v>
      </c>
      <c r="J4423">
        <v>0.62201162257316822</v>
      </c>
      <c r="K4423">
        <v>0</v>
      </c>
      <c r="L4423">
        <v>0</v>
      </c>
      <c r="M4423">
        <v>0.44616445445895048</v>
      </c>
      <c r="N4423">
        <v>0</v>
      </c>
      <c r="O4423">
        <v>0</v>
      </c>
      <c r="P4423">
        <v>0.53738386686313311</v>
      </c>
      <c r="Q4423">
        <v>0.96336635648750635</v>
      </c>
      <c r="R4423">
        <v>-5.890839587423943</v>
      </c>
      <c r="S4423">
        <v>0.17279315598884901</v>
      </c>
      <c r="T4423">
        <v>0.13628000513277089</v>
      </c>
      <c r="U4423">
        <v>4.2695489746201511</v>
      </c>
      <c r="V4423">
        <v>0.19332384277072681</v>
      </c>
      <c r="W4423">
        <v>-1.7776997478991601</v>
      </c>
      <c r="X4423">
        <v>0.25405899898072798</v>
      </c>
      <c r="Z4423" t="s">
        <v>392</v>
      </c>
      <c r="AA4423">
        <v>161</v>
      </c>
      <c r="AB4423" t="s">
        <v>4814</v>
      </c>
      <c r="AC4423" t="str">
        <f>HYPERLINK("plots/3FT6Y578R04_015_S31P_20251219032831_M5358ACSA301811_RBGEUFRF04/dpll_52084/txpa_53206.png","plot")</f>
        <v>plot</v>
      </c>
    </row>
    <row r="4424" spans="1:29" hidden="1" x14ac:dyDescent="0.35">
      <c r="A4424" t="s">
        <v>50</v>
      </c>
      <c r="B4424">
        <v>52084</v>
      </c>
      <c r="C4424" t="s">
        <v>52</v>
      </c>
      <c r="D4424">
        <v>53207</v>
      </c>
      <c r="E4424" t="s">
        <v>82</v>
      </c>
      <c r="F4424">
        <v>11781</v>
      </c>
      <c r="G4424">
        <v>0.73586290868678617</v>
      </c>
      <c r="H4424">
        <v>0</v>
      </c>
      <c r="I4424">
        <v>0</v>
      </c>
      <c r="J4424">
        <v>0.61820232539513964</v>
      </c>
      <c r="K4424">
        <v>0</v>
      </c>
      <c r="L4424">
        <v>0</v>
      </c>
      <c r="M4424">
        <v>0.44199731547434129</v>
      </c>
      <c r="N4424">
        <v>0</v>
      </c>
      <c r="O4424">
        <v>0</v>
      </c>
      <c r="P4424">
        <v>0.54149422038097739</v>
      </c>
      <c r="Q4424">
        <v>0.96589847150903874</v>
      </c>
      <c r="R4424">
        <v>-5.9167340328655982</v>
      </c>
      <c r="S4424">
        <v>0.1718055622226651</v>
      </c>
      <c r="T4424">
        <v>0.1357168599579775</v>
      </c>
      <c r="U4424">
        <v>4.2695174021729896</v>
      </c>
      <c r="V4424">
        <v>0.19330748901132719</v>
      </c>
      <c r="W4424">
        <v>-1.7928137000254649</v>
      </c>
      <c r="X4424">
        <v>0.25373667562685248</v>
      </c>
      <c r="Z4424" t="s">
        <v>392</v>
      </c>
      <c r="AA4424">
        <v>161</v>
      </c>
      <c r="AB4424" t="s">
        <v>4815</v>
      </c>
      <c r="AC4424" t="str">
        <f>HYPERLINK("plots/3FT6Y578R04_015_S31P_20251219032831_M5358ACSA301811_RBGEUFRF04/dpll_52084/txpa_53207.png","plot")</f>
        <v>plot</v>
      </c>
    </row>
    <row r="4425" spans="1:29" hidden="1" x14ac:dyDescent="0.35">
      <c r="A4425" t="s">
        <v>50</v>
      </c>
      <c r="B4425">
        <v>52084</v>
      </c>
      <c r="C4425" t="s">
        <v>52</v>
      </c>
      <c r="D4425">
        <v>53208</v>
      </c>
      <c r="E4425" t="s">
        <v>83</v>
      </c>
      <c r="F4425">
        <v>11781</v>
      </c>
      <c r="G4425">
        <v>0.74232806938459461</v>
      </c>
      <c r="H4425">
        <v>0</v>
      </c>
      <c r="I4425">
        <v>0</v>
      </c>
      <c r="J4425">
        <v>0.63946117160014537</v>
      </c>
      <c r="K4425">
        <v>0</v>
      </c>
      <c r="L4425">
        <v>0</v>
      </c>
      <c r="M4425">
        <v>0.45966452379821748</v>
      </c>
      <c r="N4425">
        <v>0</v>
      </c>
      <c r="O4425">
        <v>0</v>
      </c>
      <c r="P4425">
        <v>0.55105096259625952</v>
      </c>
      <c r="Q4425">
        <v>0.97606998108429033</v>
      </c>
      <c r="R4425">
        <v>-5.9705872722250568</v>
      </c>
      <c r="S4425">
        <v>0.17029333606873251</v>
      </c>
      <c r="T4425">
        <v>0.13490491459561299</v>
      </c>
      <c r="U4425">
        <v>4.2695129435531793</v>
      </c>
      <c r="V4425">
        <v>0.1933002831720991</v>
      </c>
      <c r="W4425">
        <v>-1.803243854171972</v>
      </c>
      <c r="X4425">
        <v>0.25416606419826482</v>
      </c>
      <c r="Z4425" t="s">
        <v>392</v>
      </c>
      <c r="AA4425">
        <v>161</v>
      </c>
      <c r="AB4425" t="s">
        <v>4816</v>
      </c>
      <c r="AC4425" t="str">
        <f>HYPERLINK("plots/3FT6Y578R04_015_S31P_20251219032831_M5358ACSA301811_RBGEUFRF04/dpll_52084/txpa_53208.png","plot")</f>
        <v>plot</v>
      </c>
    </row>
    <row r="4426" spans="1:29" hidden="1" x14ac:dyDescent="0.35">
      <c r="A4426" t="s">
        <v>50</v>
      </c>
      <c r="B4426">
        <v>52084</v>
      </c>
      <c r="C4426" t="s">
        <v>52</v>
      </c>
      <c r="D4426">
        <v>53209</v>
      </c>
      <c r="E4426" t="s">
        <v>84</v>
      </c>
      <c r="F4426">
        <v>11782</v>
      </c>
      <c r="G4426">
        <v>0.73709868091730979</v>
      </c>
      <c r="H4426">
        <v>0</v>
      </c>
      <c r="I4426">
        <v>0</v>
      </c>
      <c r="J4426">
        <v>0.62857985701937513</v>
      </c>
      <c r="K4426">
        <v>0</v>
      </c>
      <c r="L4426">
        <v>0</v>
      </c>
      <c r="M4426">
        <v>0.45077971124732702</v>
      </c>
      <c r="N4426">
        <v>0</v>
      </c>
      <c r="O4426">
        <v>0</v>
      </c>
      <c r="P4426">
        <v>0.54331446541003803</v>
      </c>
      <c r="Q4426">
        <v>0.95909620518473904</v>
      </c>
      <c r="R4426">
        <v>-5.8895328595708856</v>
      </c>
      <c r="S4426">
        <v>0.16997981728052561</v>
      </c>
      <c r="T4426">
        <v>0.13449525396592049</v>
      </c>
      <c r="U4426">
        <v>4.2695416864708866</v>
      </c>
      <c r="V4426">
        <v>0.1933172563537221</v>
      </c>
      <c r="W4426">
        <v>-1.7946316301986081</v>
      </c>
      <c r="X4426">
        <v>0.25154006073493462</v>
      </c>
      <c r="Z4426" t="s">
        <v>392</v>
      </c>
      <c r="AA4426">
        <v>161</v>
      </c>
      <c r="AB4426" t="s">
        <v>4817</v>
      </c>
      <c r="AC4426" t="str">
        <f>HYPERLINK("plots/3FT6Y578R04_015_S31P_20251219032831_M5358ACSA301811_RBGEUFRF04/dpll_52084/txpa_53209.png","plot")</f>
        <v>plot</v>
      </c>
    </row>
    <row r="4427" spans="1:29" hidden="1" x14ac:dyDescent="0.35">
      <c r="A4427" t="s">
        <v>50</v>
      </c>
      <c r="B4427">
        <v>52084</v>
      </c>
      <c r="C4427" t="s">
        <v>52</v>
      </c>
      <c r="D4427">
        <v>53210</v>
      </c>
      <c r="E4427" t="s">
        <v>85</v>
      </c>
      <c r="F4427">
        <v>11781</v>
      </c>
      <c r="G4427">
        <v>0.72869648738041837</v>
      </c>
      <c r="H4427">
        <v>0</v>
      </c>
      <c r="I4427">
        <v>0</v>
      </c>
      <c r="J4427">
        <v>0.62075247289619828</v>
      </c>
      <c r="K4427">
        <v>0</v>
      </c>
      <c r="L4427">
        <v>0</v>
      </c>
      <c r="M4427">
        <v>0.44511009164671211</v>
      </c>
      <c r="N4427">
        <v>0</v>
      </c>
      <c r="O4427">
        <v>0</v>
      </c>
      <c r="P4427">
        <v>0.53099857072056023</v>
      </c>
      <c r="Q4427">
        <v>0.95528731372292097</v>
      </c>
      <c r="R4427">
        <v>-5.9142228454594754</v>
      </c>
      <c r="S4427">
        <v>0.17354537743224169</v>
      </c>
      <c r="T4427">
        <v>0.13646885967973879</v>
      </c>
      <c r="U4427">
        <v>4.2695633024361257</v>
      </c>
      <c r="V4427">
        <v>0.19331122175495491</v>
      </c>
      <c r="W4427">
        <v>-1.8355631875053049</v>
      </c>
      <c r="X4427">
        <v>0.25342205011395952</v>
      </c>
      <c r="Z4427" t="s">
        <v>392</v>
      </c>
      <c r="AA4427">
        <v>161</v>
      </c>
      <c r="AB4427" t="s">
        <v>4818</v>
      </c>
      <c r="AC4427" t="str">
        <f>HYPERLINK("plots/3FT6Y578R04_015_S31P_20251219032831_M5358ACSA301811_RBGEUFRF04/dpll_52084/txpa_53210.png","plot")</f>
        <v>plot</v>
      </c>
    </row>
    <row r="4428" spans="1:29" hidden="1" x14ac:dyDescent="0.35">
      <c r="A4428" t="s">
        <v>50</v>
      </c>
      <c r="B4428">
        <v>52084</v>
      </c>
      <c r="C4428" t="s">
        <v>52</v>
      </c>
      <c r="D4428">
        <v>53211</v>
      </c>
      <c r="E4428" t="s">
        <v>86</v>
      </c>
      <c r="F4428">
        <v>11782</v>
      </c>
      <c r="G4428">
        <v>0.74684996039214135</v>
      </c>
      <c r="H4428">
        <v>0</v>
      </c>
      <c r="I4428">
        <v>0</v>
      </c>
      <c r="J4428">
        <v>0.65186526407988765</v>
      </c>
      <c r="K4428">
        <v>0</v>
      </c>
      <c r="L4428">
        <v>0</v>
      </c>
      <c r="M4428">
        <v>0.46860185246848729</v>
      </c>
      <c r="N4428">
        <v>0</v>
      </c>
      <c r="O4428">
        <v>0</v>
      </c>
      <c r="P4428">
        <v>0.55778486333774313</v>
      </c>
      <c r="Q4428">
        <v>1.0193076292271961</v>
      </c>
      <c r="R4428">
        <v>-2.6470896857628081</v>
      </c>
      <c r="S4428">
        <v>0.17544496377570179</v>
      </c>
      <c r="T4428">
        <v>0.13674860604737579</v>
      </c>
      <c r="U4428">
        <v>4.2695416864708866</v>
      </c>
      <c r="V4428">
        <v>0.1933172563537221</v>
      </c>
      <c r="W4428">
        <v>1.704886728560516</v>
      </c>
      <c r="X4428">
        <v>0.26384115245738993</v>
      </c>
      <c r="Z4428" t="s">
        <v>392</v>
      </c>
      <c r="AA4428">
        <v>161</v>
      </c>
      <c r="AB4428" t="s">
        <v>4819</v>
      </c>
      <c r="AC4428" t="str">
        <f>HYPERLINK("plots/3FT6Y578R04_015_S31P_20251219032831_M5358ACSA301811_RBGEUFRF04/dpll_52084/txpa_53211.png","plot")</f>
        <v>plot</v>
      </c>
    </row>
    <row r="4429" spans="1:29" hidden="1" x14ac:dyDescent="0.35">
      <c r="A4429" t="s">
        <v>50</v>
      </c>
      <c r="B4429">
        <v>52084</v>
      </c>
      <c r="C4429" t="s">
        <v>52</v>
      </c>
      <c r="D4429">
        <v>53212</v>
      </c>
      <c r="E4429" t="s">
        <v>87</v>
      </c>
      <c r="F4429">
        <v>11782</v>
      </c>
      <c r="G4429">
        <v>0.76701036097648523</v>
      </c>
      <c r="H4429">
        <v>0</v>
      </c>
      <c r="I4429">
        <v>0</v>
      </c>
      <c r="J4429">
        <v>0.66953002710018239</v>
      </c>
      <c r="K4429">
        <v>0</v>
      </c>
      <c r="L4429">
        <v>0</v>
      </c>
      <c r="M4429">
        <v>0.48574305564543541</v>
      </c>
      <c r="N4429">
        <v>0</v>
      </c>
      <c r="O4429">
        <v>0</v>
      </c>
      <c r="P4429">
        <v>0.58830489384527818</v>
      </c>
      <c r="Q4429">
        <v>1.0543805248987019</v>
      </c>
      <c r="R4429">
        <v>-2.758634225439224</v>
      </c>
      <c r="S4429">
        <v>0.1705046348369573</v>
      </c>
      <c r="T4429">
        <v>0.13395609001503461</v>
      </c>
      <c r="U4429">
        <v>4.2695416864708866</v>
      </c>
      <c r="V4429">
        <v>0.1933172563537221</v>
      </c>
      <c r="W4429">
        <v>1.7430873790188419</v>
      </c>
      <c r="X4429">
        <v>0.26574601934544601</v>
      </c>
      <c r="Z4429" t="s">
        <v>392</v>
      </c>
      <c r="AA4429">
        <v>161</v>
      </c>
      <c r="AB4429" t="s">
        <v>4820</v>
      </c>
      <c r="AC4429" t="str">
        <f>HYPERLINK("plots/3FT6Y578R04_015_S31P_20251219032831_M5358ACSA301811_RBGEUFRF04/dpll_52084/txpa_53212.png","plot")</f>
        <v>plot</v>
      </c>
    </row>
    <row r="4430" spans="1:29" hidden="1" x14ac:dyDescent="0.35">
      <c r="A4430" t="s">
        <v>50</v>
      </c>
      <c r="B4430">
        <v>52084</v>
      </c>
      <c r="C4430" t="s">
        <v>52</v>
      </c>
      <c r="D4430">
        <v>53213</v>
      </c>
      <c r="E4430" t="s">
        <v>88</v>
      </c>
      <c r="F4430">
        <v>11782</v>
      </c>
      <c r="G4430">
        <v>0.75762833471520774</v>
      </c>
      <c r="H4430">
        <v>0</v>
      </c>
      <c r="I4430">
        <v>0</v>
      </c>
      <c r="J4430">
        <v>0.65755277185004446</v>
      </c>
      <c r="K4430">
        <v>0</v>
      </c>
      <c r="L4430">
        <v>0</v>
      </c>
      <c r="M4430">
        <v>0.47481734677891102</v>
      </c>
      <c r="N4430">
        <v>0</v>
      </c>
      <c r="O4430">
        <v>0</v>
      </c>
      <c r="P4430">
        <v>0.57400069356333883</v>
      </c>
      <c r="Q4430">
        <v>1.0198826834790939</v>
      </c>
      <c r="R4430">
        <v>-2.5964840340533901</v>
      </c>
      <c r="S4430">
        <v>0.16984417116519851</v>
      </c>
      <c r="T4430">
        <v>0.13334380781084551</v>
      </c>
      <c r="U4430">
        <v>4.2695416864708866</v>
      </c>
      <c r="V4430">
        <v>0.1933172563537221</v>
      </c>
      <c r="W4430">
        <v>1.757947598370396</v>
      </c>
      <c r="X4430">
        <v>0.26023435652913213</v>
      </c>
      <c r="Z4430" t="s">
        <v>392</v>
      </c>
      <c r="AA4430">
        <v>161</v>
      </c>
      <c r="AB4430" t="s">
        <v>4821</v>
      </c>
      <c r="AC4430" t="str">
        <f>HYPERLINK("plots/3FT6Y578R04_015_S31P_20251219032831_M5358ACSA301811_RBGEUFRF04/dpll_52084/txpa_53213.png","plot")</f>
        <v>plot</v>
      </c>
    </row>
    <row r="4431" spans="1:29" hidden="1" x14ac:dyDescent="0.35">
      <c r="A4431" t="s">
        <v>50</v>
      </c>
      <c r="B4431">
        <v>52084</v>
      </c>
      <c r="C4431" t="s">
        <v>52</v>
      </c>
      <c r="D4431">
        <v>53214</v>
      </c>
      <c r="E4431" t="s">
        <v>89</v>
      </c>
      <c r="F4431">
        <v>11781</v>
      </c>
      <c r="G4431">
        <v>0.7717581529265668</v>
      </c>
      <c r="H4431">
        <v>0</v>
      </c>
      <c r="I4431">
        <v>0</v>
      </c>
      <c r="J4431">
        <v>0.66920577646429791</v>
      </c>
      <c r="K4431">
        <v>0</v>
      </c>
      <c r="L4431">
        <v>0</v>
      </c>
      <c r="M4431">
        <v>0.48556739230183782</v>
      </c>
      <c r="N4431">
        <v>0</v>
      </c>
      <c r="O4431">
        <v>0</v>
      </c>
      <c r="P4431">
        <v>0.59561064660862606</v>
      </c>
      <c r="Q4431">
        <v>1.052642874031019</v>
      </c>
      <c r="R4431">
        <v>-2.718547663438279</v>
      </c>
      <c r="S4431">
        <v>0.16767436553558651</v>
      </c>
      <c r="T4431">
        <v>0.13226228715330449</v>
      </c>
      <c r="U4431">
        <v>4.2695489746201511</v>
      </c>
      <c r="V4431">
        <v>0.19332384277072681</v>
      </c>
      <c r="W4431">
        <v>1.775762640022069</v>
      </c>
      <c r="X4431">
        <v>0.26368489234769638</v>
      </c>
      <c r="Z4431" t="s">
        <v>392</v>
      </c>
      <c r="AA4431">
        <v>161</v>
      </c>
      <c r="AB4431" t="s">
        <v>4822</v>
      </c>
      <c r="AC4431" t="str">
        <f>HYPERLINK("plots/3FT6Y578R04_015_S31P_20251219032831_M5358ACSA301811_RBGEUFRF04/dpll_52084/txpa_53214.png","plot")</f>
        <v>plot</v>
      </c>
    </row>
    <row r="4432" spans="1:29" hidden="1" x14ac:dyDescent="0.35">
      <c r="A4432" t="s">
        <v>50</v>
      </c>
      <c r="B4432">
        <v>52084</v>
      </c>
      <c r="C4432" t="s">
        <v>52</v>
      </c>
      <c r="D4432">
        <v>53215</v>
      </c>
      <c r="E4432" t="s">
        <v>90</v>
      </c>
      <c r="F4432">
        <v>11781</v>
      </c>
      <c r="G4432">
        <v>0.77432367635538213</v>
      </c>
      <c r="H4432">
        <v>0</v>
      </c>
      <c r="I4432">
        <v>0</v>
      </c>
      <c r="J4432">
        <v>0.66656537949122319</v>
      </c>
      <c r="K4432">
        <v>0</v>
      </c>
      <c r="L4432">
        <v>0</v>
      </c>
      <c r="M4432">
        <v>0.48238620630058071</v>
      </c>
      <c r="N4432">
        <v>0</v>
      </c>
      <c r="O4432">
        <v>0</v>
      </c>
      <c r="P4432">
        <v>0.59957715576451454</v>
      </c>
      <c r="Q4432">
        <v>1.0545240779595031</v>
      </c>
      <c r="R4432">
        <v>-2.7426445111276858</v>
      </c>
      <c r="S4432">
        <v>0.16658029677508079</v>
      </c>
      <c r="T4432">
        <v>0.13149105191483759</v>
      </c>
      <c r="U4432">
        <v>4.2695174021729896</v>
      </c>
      <c r="V4432">
        <v>0.19330748901132719</v>
      </c>
      <c r="W4432">
        <v>1.759664390730838</v>
      </c>
      <c r="X4432">
        <v>0.2632586447205304</v>
      </c>
      <c r="Z4432" t="s">
        <v>392</v>
      </c>
      <c r="AA4432">
        <v>161</v>
      </c>
      <c r="AB4432" t="s">
        <v>4823</v>
      </c>
      <c r="AC4432" t="str">
        <f>HYPERLINK("plots/3FT6Y578R04_015_S31P_20251219032831_M5358ACSA301811_RBGEUFRF04/dpll_52084/txpa_53215.png","plot")</f>
        <v>plot</v>
      </c>
    </row>
    <row r="4433" spans="1:29" hidden="1" x14ac:dyDescent="0.35">
      <c r="A4433" t="s">
        <v>50</v>
      </c>
      <c r="B4433">
        <v>52084</v>
      </c>
      <c r="C4433" t="s">
        <v>52</v>
      </c>
      <c r="D4433">
        <v>53216</v>
      </c>
      <c r="E4433" t="s">
        <v>91</v>
      </c>
      <c r="F4433">
        <v>11781</v>
      </c>
      <c r="G4433">
        <v>0.77929139898946509</v>
      </c>
      <c r="H4433">
        <v>0</v>
      </c>
      <c r="I4433">
        <v>0</v>
      </c>
      <c r="J4433">
        <v>0.68392707228783245</v>
      </c>
      <c r="K4433">
        <v>0</v>
      </c>
      <c r="L4433">
        <v>0</v>
      </c>
      <c r="M4433">
        <v>0.49736446303717557</v>
      </c>
      <c r="N4433">
        <v>0</v>
      </c>
      <c r="O4433">
        <v>0</v>
      </c>
      <c r="P4433">
        <v>0.60729508453895764</v>
      </c>
      <c r="Q4433">
        <v>1.067318185056044</v>
      </c>
      <c r="R4433">
        <v>-2.8013745814893971</v>
      </c>
      <c r="S4433">
        <v>0.16589803889773469</v>
      </c>
      <c r="T4433">
        <v>0.13131891661302431</v>
      </c>
      <c r="U4433">
        <v>4.2695129435531793</v>
      </c>
      <c r="V4433">
        <v>0.1933002831720991</v>
      </c>
      <c r="W4433">
        <v>1.755554224497071</v>
      </c>
      <c r="X4433">
        <v>0.26474423774418337</v>
      </c>
      <c r="Z4433" t="s">
        <v>392</v>
      </c>
      <c r="AA4433">
        <v>161</v>
      </c>
      <c r="AB4433" t="s">
        <v>4824</v>
      </c>
      <c r="AC4433" t="str">
        <f>HYPERLINK("plots/3FT6Y578R04_015_S31P_20251219032831_M5358ACSA301811_RBGEUFRF04/dpll_52084/txpa_53216.png","plot")</f>
        <v>plot</v>
      </c>
    </row>
    <row r="4434" spans="1:29" hidden="1" x14ac:dyDescent="0.35">
      <c r="A4434" t="s">
        <v>50</v>
      </c>
      <c r="B4434">
        <v>52084</v>
      </c>
      <c r="C4434" t="s">
        <v>52</v>
      </c>
      <c r="D4434">
        <v>53217</v>
      </c>
      <c r="E4434" t="s">
        <v>92</v>
      </c>
      <c r="F4434">
        <v>11782</v>
      </c>
      <c r="G4434">
        <v>0.7740385533458336</v>
      </c>
      <c r="H4434">
        <v>0</v>
      </c>
      <c r="I4434">
        <v>0</v>
      </c>
      <c r="J4434">
        <v>0.67256345582249222</v>
      </c>
      <c r="K4434">
        <v>0</v>
      </c>
      <c r="L4434">
        <v>0</v>
      </c>
      <c r="M4434">
        <v>0.48806878225375921</v>
      </c>
      <c r="N4434">
        <v>0</v>
      </c>
      <c r="O4434">
        <v>0</v>
      </c>
      <c r="P4434">
        <v>0.59913568206571088</v>
      </c>
      <c r="Q4434">
        <v>1.049050562122616</v>
      </c>
      <c r="R4434">
        <v>-2.7153495665360312</v>
      </c>
      <c r="S4434">
        <v>0.1658764452955841</v>
      </c>
      <c r="T4434">
        <v>0.13116133662566451</v>
      </c>
      <c r="U4434">
        <v>4.2695416864708866</v>
      </c>
      <c r="V4434">
        <v>0.1933172563537221</v>
      </c>
      <c r="W4434">
        <v>1.763615539662196</v>
      </c>
      <c r="X4434">
        <v>0.26200190619609232</v>
      </c>
      <c r="Z4434" t="s">
        <v>392</v>
      </c>
      <c r="AA4434">
        <v>161</v>
      </c>
      <c r="AB4434" t="s">
        <v>4825</v>
      </c>
      <c r="AC4434" t="str">
        <f>HYPERLINK("plots/3FT6Y578R04_015_S31P_20251219032831_M5358ACSA301811_RBGEUFRF04/dpll_52084/txpa_53217.png","plot")</f>
        <v>plot</v>
      </c>
    </row>
    <row r="4435" spans="1:29" hidden="1" x14ac:dyDescent="0.35">
      <c r="A4435" t="s">
        <v>50</v>
      </c>
      <c r="B4435">
        <v>52084</v>
      </c>
      <c r="C4435" t="s">
        <v>52</v>
      </c>
      <c r="D4435">
        <v>53218</v>
      </c>
      <c r="E4435" t="s">
        <v>93</v>
      </c>
      <c r="F4435">
        <v>11781</v>
      </c>
      <c r="G4435">
        <v>0.76747001834566642</v>
      </c>
      <c r="H4435">
        <v>0</v>
      </c>
      <c r="I4435">
        <v>0</v>
      </c>
      <c r="J4435">
        <v>0.66723413946958543</v>
      </c>
      <c r="K4435">
        <v>0</v>
      </c>
      <c r="L4435">
        <v>0</v>
      </c>
      <c r="M4435">
        <v>0.48399622186029068</v>
      </c>
      <c r="N4435">
        <v>0</v>
      </c>
      <c r="O4435">
        <v>0</v>
      </c>
      <c r="P4435">
        <v>0.58901022905949751</v>
      </c>
      <c r="Q4435">
        <v>1.0436474309372159</v>
      </c>
      <c r="R4435">
        <v>-2.7283926023689551</v>
      </c>
      <c r="S4435">
        <v>0.168518090406269</v>
      </c>
      <c r="T4435">
        <v>0.1324046105397568</v>
      </c>
      <c r="U4435">
        <v>4.2695633024361257</v>
      </c>
      <c r="V4435">
        <v>0.19331122175495491</v>
      </c>
      <c r="W4435">
        <v>1.727526169442323</v>
      </c>
      <c r="X4435">
        <v>0.26287510278352783</v>
      </c>
      <c r="Z4435" t="s">
        <v>392</v>
      </c>
      <c r="AA4435">
        <v>161</v>
      </c>
      <c r="AB4435" t="s">
        <v>4826</v>
      </c>
      <c r="AC4435" t="str">
        <f>HYPERLINK("plots/3FT6Y578R04_015_S31P_20251219032831_M5358ACSA301811_RBGEUFRF04/dpll_52084/txpa_53218.png","plot")</f>
        <v>plot</v>
      </c>
    </row>
    <row r="4436" spans="1:29" hidden="1" x14ac:dyDescent="0.35">
      <c r="A4436" t="s">
        <v>50</v>
      </c>
      <c r="B4436">
        <v>52084</v>
      </c>
      <c r="C4436" t="s">
        <v>52</v>
      </c>
      <c r="D4436">
        <v>53219</v>
      </c>
      <c r="E4436" t="s">
        <v>94</v>
      </c>
      <c r="F4436">
        <v>11782</v>
      </c>
      <c r="G4436">
        <v>0.77241398919536031</v>
      </c>
      <c r="H4436">
        <v>0</v>
      </c>
      <c r="I4436">
        <v>0</v>
      </c>
      <c r="J4436">
        <v>0.67914229510089485</v>
      </c>
      <c r="K4436">
        <v>0</v>
      </c>
      <c r="L4436">
        <v>0</v>
      </c>
      <c r="M4436">
        <v>0.49163438484606081</v>
      </c>
      <c r="N4436">
        <v>0</v>
      </c>
      <c r="O4436">
        <v>0</v>
      </c>
      <c r="P4436">
        <v>0.59662337070469018</v>
      </c>
      <c r="Q4436">
        <v>1.1005895431707451</v>
      </c>
      <c r="R4436">
        <v>-0.99148242441591838</v>
      </c>
      <c r="S4436">
        <v>0.1749374571453631</v>
      </c>
      <c r="T4436">
        <v>0.13612510655177121</v>
      </c>
      <c r="U4436">
        <v>4.2695416864708866</v>
      </c>
      <c r="V4436">
        <v>0.1933172563537221</v>
      </c>
      <c r="W4436">
        <v>3.7075305098455269</v>
      </c>
      <c r="X4436">
        <v>0.27545196466341099</v>
      </c>
      <c r="Z4436" t="s">
        <v>392</v>
      </c>
      <c r="AA4436">
        <v>161</v>
      </c>
      <c r="AB4436" t="s">
        <v>4827</v>
      </c>
      <c r="AC4436" t="str">
        <f>HYPERLINK("plots/3FT6Y578R04_015_S31P_20251219032831_M5358ACSA301811_RBGEUFRF04/dpll_52084/txpa_53219.png","plot")</f>
        <v>plot</v>
      </c>
    </row>
    <row r="4437" spans="1:29" hidden="1" x14ac:dyDescent="0.35">
      <c r="A4437" t="s">
        <v>50</v>
      </c>
      <c r="B4437">
        <v>52084</v>
      </c>
      <c r="C4437" t="s">
        <v>52</v>
      </c>
      <c r="D4437">
        <v>53220</v>
      </c>
      <c r="E4437" t="s">
        <v>95</v>
      </c>
      <c r="F4437">
        <v>11782</v>
      </c>
      <c r="G4437">
        <v>0.79080308750429773</v>
      </c>
      <c r="H4437">
        <v>0</v>
      </c>
      <c r="I4437">
        <v>0</v>
      </c>
      <c r="J4437">
        <v>0.69539912970881168</v>
      </c>
      <c r="K4437">
        <v>0</v>
      </c>
      <c r="L4437">
        <v>0</v>
      </c>
      <c r="M4437">
        <v>0.50824123507245789</v>
      </c>
      <c r="N4437">
        <v>0</v>
      </c>
      <c r="O4437">
        <v>0</v>
      </c>
      <c r="P4437">
        <v>0.62536952320632999</v>
      </c>
      <c r="Q4437">
        <v>1.1350245674902699</v>
      </c>
      <c r="R4437">
        <v>-1.1013992398486381</v>
      </c>
      <c r="S4437">
        <v>0.16982070901499899</v>
      </c>
      <c r="T4437">
        <v>0.13342250055302499</v>
      </c>
      <c r="U4437">
        <v>4.2695416864708866</v>
      </c>
      <c r="V4437">
        <v>0.1933172563537221</v>
      </c>
      <c r="W4437">
        <v>3.7446354662196581</v>
      </c>
      <c r="X4437">
        <v>0.27746456576662842</v>
      </c>
      <c r="Z4437" t="s">
        <v>392</v>
      </c>
      <c r="AA4437">
        <v>161</v>
      </c>
      <c r="AB4437" t="s">
        <v>4828</v>
      </c>
      <c r="AC4437" t="str">
        <f>HYPERLINK("plots/3FT6Y578R04_015_S31P_20251219032831_M5358ACSA301811_RBGEUFRF04/dpll_52084/txpa_53220.png","plot")</f>
        <v>plot</v>
      </c>
    </row>
    <row r="4438" spans="1:29" hidden="1" x14ac:dyDescent="0.35">
      <c r="A4438" t="s">
        <v>50</v>
      </c>
      <c r="B4438">
        <v>52084</v>
      </c>
      <c r="C4438" t="s">
        <v>52</v>
      </c>
      <c r="D4438">
        <v>53221</v>
      </c>
      <c r="E4438" t="s">
        <v>96</v>
      </c>
      <c r="F4438">
        <v>11782</v>
      </c>
      <c r="G4438">
        <v>0.782388227573938</v>
      </c>
      <c r="H4438">
        <v>0</v>
      </c>
      <c r="I4438">
        <v>0</v>
      </c>
      <c r="J4438">
        <v>0.6842413676101774</v>
      </c>
      <c r="K4438">
        <v>0</v>
      </c>
      <c r="L4438">
        <v>0</v>
      </c>
      <c r="M4438">
        <v>0.49771502059119682</v>
      </c>
      <c r="N4438">
        <v>0</v>
      </c>
      <c r="O4438">
        <v>0</v>
      </c>
      <c r="P4438">
        <v>0.61213133864628821</v>
      </c>
      <c r="Q4438">
        <v>1.1019982446611321</v>
      </c>
      <c r="R4438">
        <v>-0.94532213530722142</v>
      </c>
      <c r="S4438">
        <v>0.16957160582137659</v>
      </c>
      <c r="T4438">
        <v>0.1329074992191614</v>
      </c>
      <c r="U4438">
        <v>4.2695416864708866</v>
      </c>
      <c r="V4438">
        <v>0.1933172563537221</v>
      </c>
      <c r="W4438">
        <v>3.759705308691224</v>
      </c>
      <c r="X4438">
        <v>0.27228844920775008</v>
      </c>
      <c r="Z4438" t="s">
        <v>392</v>
      </c>
      <c r="AA4438">
        <v>161</v>
      </c>
      <c r="AB4438" t="s">
        <v>4829</v>
      </c>
      <c r="AC4438" t="str">
        <f>HYPERLINK("plots/3FT6Y578R04_015_S31P_20251219032831_M5358ACSA301811_RBGEUFRF04/dpll_52084/txpa_53221.png","plot")</f>
        <v>plot</v>
      </c>
    </row>
    <row r="4439" spans="1:29" hidden="1" x14ac:dyDescent="0.35">
      <c r="A4439" t="s">
        <v>50</v>
      </c>
      <c r="B4439">
        <v>52084</v>
      </c>
      <c r="C4439" t="s">
        <v>52</v>
      </c>
      <c r="D4439">
        <v>53222</v>
      </c>
      <c r="E4439" t="s">
        <v>97</v>
      </c>
      <c r="F4439">
        <v>11781</v>
      </c>
      <c r="G4439">
        <v>0.79553364107280933</v>
      </c>
      <c r="H4439">
        <v>0</v>
      </c>
      <c r="I4439">
        <v>0</v>
      </c>
      <c r="J4439">
        <v>0.6955354238329029</v>
      </c>
      <c r="K4439">
        <v>0</v>
      </c>
      <c r="L4439">
        <v>0</v>
      </c>
      <c r="M4439">
        <v>0.50841558771832285</v>
      </c>
      <c r="N4439">
        <v>0</v>
      </c>
      <c r="O4439">
        <v>0</v>
      </c>
      <c r="P4439">
        <v>0.63287377407856138</v>
      </c>
      <c r="Q4439">
        <v>1.132968784557099</v>
      </c>
      <c r="R4439">
        <v>-1.06291971374052</v>
      </c>
      <c r="S4439">
        <v>0.16681461063534159</v>
      </c>
      <c r="T4439">
        <v>0.13153280988818741</v>
      </c>
      <c r="U4439">
        <v>4.2695489746201511</v>
      </c>
      <c r="V4439">
        <v>0.19332384277072681</v>
      </c>
      <c r="W4439">
        <v>3.774345998641881</v>
      </c>
      <c r="X4439">
        <v>0.2753244713504352</v>
      </c>
      <c r="Z4439" t="s">
        <v>392</v>
      </c>
      <c r="AA4439">
        <v>161</v>
      </c>
      <c r="AB4439" t="s">
        <v>4830</v>
      </c>
      <c r="AC4439" t="str">
        <f>HYPERLINK("plots/3FT6Y578R04_015_S31P_20251219032831_M5358ACSA301811_RBGEUFRF04/dpll_52084/txpa_53222.png","plot")</f>
        <v>plot</v>
      </c>
    </row>
    <row r="4440" spans="1:29" hidden="1" x14ac:dyDescent="0.35">
      <c r="A4440" t="s">
        <v>50</v>
      </c>
      <c r="B4440">
        <v>52084</v>
      </c>
      <c r="C4440" t="s">
        <v>52</v>
      </c>
      <c r="D4440">
        <v>53223</v>
      </c>
      <c r="E4440" t="s">
        <v>98</v>
      </c>
      <c r="F4440">
        <v>11781</v>
      </c>
      <c r="G4440">
        <v>0.79821274159522815</v>
      </c>
      <c r="H4440">
        <v>0</v>
      </c>
      <c r="I4440">
        <v>0</v>
      </c>
      <c r="J4440">
        <v>0.69370064167842094</v>
      </c>
      <c r="K4440">
        <v>0</v>
      </c>
      <c r="L4440">
        <v>0</v>
      </c>
      <c r="M4440">
        <v>0.50577892340343977</v>
      </c>
      <c r="N4440">
        <v>0</v>
      </c>
      <c r="O4440">
        <v>0</v>
      </c>
      <c r="P4440">
        <v>0.63714358084497047</v>
      </c>
      <c r="Q4440">
        <v>1.134433407441831</v>
      </c>
      <c r="R4440">
        <v>-1.086812457847113</v>
      </c>
      <c r="S4440">
        <v>0.16548475959406889</v>
      </c>
      <c r="T4440">
        <v>0.13047970631967129</v>
      </c>
      <c r="U4440">
        <v>4.2695174021729896</v>
      </c>
      <c r="V4440">
        <v>0.19330748901132719</v>
      </c>
      <c r="W4440">
        <v>3.7566707168321871</v>
      </c>
      <c r="X4440">
        <v>0.27473186284258538</v>
      </c>
      <c r="Z4440" t="s">
        <v>392</v>
      </c>
      <c r="AA4440">
        <v>161</v>
      </c>
      <c r="AB4440" t="s">
        <v>4831</v>
      </c>
      <c r="AC4440" t="str">
        <f>HYPERLINK("plots/3FT6Y578R04_015_S31P_20251219032831_M5358ACSA301811_RBGEUFRF04/dpll_52084/txpa_53223.png","plot")</f>
        <v>plot</v>
      </c>
    </row>
    <row r="4441" spans="1:29" hidden="1" x14ac:dyDescent="0.35">
      <c r="A4441" t="s">
        <v>50</v>
      </c>
      <c r="B4441">
        <v>52084</v>
      </c>
      <c r="C4441" t="s">
        <v>52</v>
      </c>
      <c r="D4441">
        <v>53224</v>
      </c>
      <c r="E4441" t="s">
        <v>99</v>
      </c>
      <c r="F4441">
        <v>11781</v>
      </c>
      <c r="G4441">
        <v>0.80210093113668479</v>
      </c>
      <c r="H4441">
        <v>0</v>
      </c>
      <c r="I4441">
        <v>0</v>
      </c>
      <c r="J4441">
        <v>0.70921143633958195</v>
      </c>
      <c r="K4441">
        <v>0</v>
      </c>
      <c r="L4441">
        <v>0</v>
      </c>
      <c r="M4441">
        <v>0.51979551011595149</v>
      </c>
      <c r="N4441">
        <v>0</v>
      </c>
      <c r="O4441">
        <v>0</v>
      </c>
      <c r="P4441">
        <v>0.64336590373033675</v>
      </c>
      <c r="Q4441">
        <v>1.1476322972098509</v>
      </c>
      <c r="R4441">
        <v>-1.1432073202656761</v>
      </c>
      <c r="S4441">
        <v>0.16515785346630771</v>
      </c>
      <c r="T4441">
        <v>0.1306654342777134</v>
      </c>
      <c r="U4441">
        <v>4.2695129435531793</v>
      </c>
      <c r="V4441">
        <v>0.1933002831720991</v>
      </c>
      <c r="W4441">
        <v>3.756623627111451</v>
      </c>
      <c r="X4441">
        <v>0.27657073993635339</v>
      </c>
      <c r="Z4441" t="s">
        <v>392</v>
      </c>
      <c r="AA4441">
        <v>161</v>
      </c>
      <c r="AB4441" t="s">
        <v>4832</v>
      </c>
      <c r="AC4441" t="str">
        <f>HYPERLINK("plots/3FT6Y578R04_015_S31P_20251219032831_M5358ACSA301811_RBGEUFRF04/dpll_52084/txpa_53224.png","plot")</f>
        <v>plot</v>
      </c>
    </row>
    <row r="4442" spans="1:29" hidden="1" x14ac:dyDescent="0.35">
      <c r="A4442" t="s">
        <v>50</v>
      </c>
      <c r="B4442">
        <v>52084</v>
      </c>
      <c r="C4442" t="s">
        <v>52</v>
      </c>
      <c r="D4442">
        <v>53225</v>
      </c>
      <c r="E4442" t="s">
        <v>100</v>
      </c>
      <c r="F4442">
        <v>11782</v>
      </c>
      <c r="G4442">
        <v>0.79743457326402845</v>
      </c>
      <c r="H4442">
        <v>0</v>
      </c>
      <c r="I4442">
        <v>0</v>
      </c>
      <c r="J4442">
        <v>0.69827823775515518</v>
      </c>
      <c r="K4442">
        <v>0</v>
      </c>
      <c r="L4442">
        <v>0</v>
      </c>
      <c r="M4442">
        <v>0.51056108458248328</v>
      </c>
      <c r="N4442">
        <v>0</v>
      </c>
      <c r="O4442">
        <v>0</v>
      </c>
      <c r="P4442">
        <v>0.63590189863678315</v>
      </c>
      <c r="Q4442">
        <v>1.1302181724599401</v>
      </c>
      <c r="R4442">
        <v>-1.06151290461999</v>
      </c>
      <c r="S4442">
        <v>0.165321228480652</v>
      </c>
      <c r="T4442">
        <v>0.13080792884850981</v>
      </c>
      <c r="U4442">
        <v>4.2695416864708866</v>
      </c>
      <c r="V4442">
        <v>0.1933172563537221</v>
      </c>
      <c r="W4442">
        <v>3.764000697504668</v>
      </c>
      <c r="X4442">
        <v>0.27399197815910581</v>
      </c>
      <c r="Z4442" t="s">
        <v>392</v>
      </c>
      <c r="AA4442">
        <v>161</v>
      </c>
      <c r="AB4442" t="s">
        <v>4833</v>
      </c>
      <c r="AC4442" t="str">
        <f>HYPERLINK("plots/3FT6Y578R04_015_S31P_20251219032831_M5358ACSA301811_RBGEUFRF04/dpll_52084/txpa_53225.png","plot")</f>
        <v>plot</v>
      </c>
    </row>
    <row r="4443" spans="1:29" hidden="1" x14ac:dyDescent="0.35">
      <c r="A4443" t="s">
        <v>50</v>
      </c>
      <c r="B4443">
        <v>52084</v>
      </c>
      <c r="C4443" t="s">
        <v>52</v>
      </c>
      <c r="D4443">
        <v>53226</v>
      </c>
      <c r="E4443" t="s">
        <v>101</v>
      </c>
      <c r="F4443">
        <v>11781</v>
      </c>
      <c r="G4443">
        <v>0.79220245001181899</v>
      </c>
      <c r="H4443">
        <v>0</v>
      </c>
      <c r="I4443">
        <v>0</v>
      </c>
      <c r="J4443">
        <v>0.69414093691518242</v>
      </c>
      <c r="K4443">
        <v>0</v>
      </c>
      <c r="L4443">
        <v>0</v>
      </c>
      <c r="M4443">
        <v>0.50729434923377437</v>
      </c>
      <c r="N4443">
        <v>0</v>
      </c>
      <c r="O4443">
        <v>0</v>
      </c>
      <c r="P4443">
        <v>0.62758472180472857</v>
      </c>
      <c r="Q4443">
        <v>1.1247529940026371</v>
      </c>
      <c r="R4443">
        <v>-1.072371681134334</v>
      </c>
      <c r="S4443">
        <v>0.1674840114724197</v>
      </c>
      <c r="T4443">
        <v>0.1314175728526262</v>
      </c>
      <c r="U4443">
        <v>4.2695633024361257</v>
      </c>
      <c r="V4443">
        <v>0.19331122175495491</v>
      </c>
      <c r="W4443">
        <v>3.7298324263644851</v>
      </c>
      <c r="X4443">
        <v>0.2744593575038165</v>
      </c>
      <c r="Z4443" t="s">
        <v>392</v>
      </c>
      <c r="AA4443">
        <v>161</v>
      </c>
      <c r="AB4443" t="s">
        <v>4834</v>
      </c>
      <c r="AC4443" t="str">
        <f>HYPERLINK("plots/3FT6Y578R04_015_S31P_20251219032831_M5358ACSA301811_RBGEUFRF04/dpll_52084/txpa_53226.png","plot")</f>
        <v>plot</v>
      </c>
    </row>
    <row r="4444" spans="1:29" hidden="1" x14ac:dyDescent="0.35">
      <c r="A4444" t="s">
        <v>50</v>
      </c>
      <c r="B4444">
        <v>52084</v>
      </c>
      <c r="C4444" t="s">
        <v>52</v>
      </c>
      <c r="D4444">
        <v>53227</v>
      </c>
      <c r="E4444" t="s">
        <v>102</v>
      </c>
      <c r="F4444">
        <v>11782</v>
      </c>
      <c r="G4444">
        <v>0.80077926978919967</v>
      </c>
      <c r="H4444">
        <v>0</v>
      </c>
      <c r="I4444">
        <v>0</v>
      </c>
      <c r="J4444">
        <v>0.70479358633951206</v>
      </c>
      <c r="K4444">
        <v>0</v>
      </c>
      <c r="L4444">
        <v>0</v>
      </c>
      <c r="M4444">
        <v>0.51412378369184308</v>
      </c>
      <c r="N4444">
        <v>0</v>
      </c>
      <c r="O4444">
        <v>0</v>
      </c>
      <c r="P4444">
        <v>0.64124743892412384</v>
      </c>
      <c r="Q4444">
        <v>1.2300348893448081</v>
      </c>
      <c r="R4444">
        <v>0.86301610931631156</v>
      </c>
      <c r="S4444">
        <v>0.1778501783452241</v>
      </c>
      <c r="T4444">
        <v>0.1377978703186282</v>
      </c>
      <c r="U4444">
        <v>4.2695416864708866</v>
      </c>
      <c r="V4444">
        <v>0.1933172563537221</v>
      </c>
      <c r="W4444">
        <v>6.1147013451875738</v>
      </c>
      <c r="X4444">
        <v>0.29694446272327768</v>
      </c>
      <c r="Z4444" t="s">
        <v>392</v>
      </c>
      <c r="AA4444">
        <v>161</v>
      </c>
      <c r="AB4444" t="s">
        <v>4835</v>
      </c>
      <c r="AC4444" t="str">
        <f>HYPERLINK("plots/3FT6Y578R04_015_S31P_20251219032831_M5358ACSA301811_RBGEUFRF04/dpll_52084/txpa_53227.png","plot")</f>
        <v>plot</v>
      </c>
    </row>
    <row r="4445" spans="1:29" hidden="1" x14ac:dyDescent="0.35">
      <c r="A4445" t="s">
        <v>50</v>
      </c>
      <c r="B4445">
        <v>52084</v>
      </c>
      <c r="C4445" t="s">
        <v>52</v>
      </c>
      <c r="D4445">
        <v>53228</v>
      </c>
      <c r="E4445" t="s">
        <v>103</v>
      </c>
      <c r="F4445">
        <v>11782</v>
      </c>
      <c r="G4445">
        <v>0.81638101789359563</v>
      </c>
      <c r="H4445">
        <v>0</v>
      </c>
      <c r="I4445">
        <v>0</v>
      </c>
      <c r="J4445">
        <v>0.71874837615588449</v>
      </c>
      <c r="K4445">
        <v>0</v>
      </c>
      <c r="L4445">
        <v>0</v>
      </c>
      <c r="M4445">
        <v>0.52918406529296536</v>
      </c>
      <c r="N4445">
        <v>0</v>
      </c>
      <c r="O4445">
        <v>0</v>
      </c>
      <c r="P4445">
        <v>0.66647796637698331</v>
      </c>
      <c r="Q4445">
        <v>1.2627820519466251</v>
      </c>
      <c r="R4445">
        <v>0.75996369027271982</v>
      </c>
      <c r="S4445">
        <v>0.1726831487680888</v>
      </c>
      <c r="T4445">
        <v>0.13529396812006511</v>
      </c>
      <c r="U4445">
        <v>4.2695416864708866</v>
      </c>
      <c r="V4445">
        <v>0.1933172563537221</v>
      </c>
      <c r="W4445">
        <v>6.1514643019860804</v>
      </c>
      <c r="X4445">
        <v>0.29902405409291682</v>
      </c>
      <c r="Z4445" t="s">
        <v>392</v>
      </c>
      <c r="AA4445">
        <v>161</v>
      </c>
      <c r="AB4445" t="s">
        <v>4836</v>
      </c>
      <c r="AC4445" t="str">
        <f>HYPERLINK("plots/3FT6Y578R04_015_S31P_20251219032831_M5358ACSA301811_RBGEUFRF04/dpll_52084/txpa_53228.png","plot")</f>
        <v>plot</v>
      </c>
    </row>
    <row r="4446" spans="1:29" hidden="1" x14ac:dyDescent="0.35">
      <c r="A4446" t="s">
        <v>50</v>
      </c>
      <c r="B4446">
        <v>52084</v>
      </c>
      <c r="C4446" t="s">
        <v>52</v>
      </c>
      <c r="D4446">
        <v>53229</v>
      </c>
      <c r="E4446" t="s">
        <v>104</v>
      </c>
      <c r="F4446">
        <v>11782</v>
      </c>
      <c r="G4446">
        <v>0.80966048174269445</v>
      </c>
      <c r="H4446">
        <v>0</v>
      </c>
      <c r="I4446">
        <v>0</v>
      </c>
      <c r="J4446">
        <v>0.70914959668499278</v>
      </c>
      <c r="K4446">
        <v>0</v>
      </c>
      <c r="L4446">
        <v>0</v>
      </c>
      <c r="M4446">
        <v>0.51961313393429231</v>
      </c>
      <c r="N4446">
        <v>0</v>
      </c>
      <c r="O4446">
        <v>0</v>
      </c>
      <c r="P4446">
        <v>0.65555009569581202</v>
      </c>
      <c r="Q4446">
        <v>1.230179770222797</v>
      </c>
      <c r="R4446">
        <v>0.91427327049106388</v>
      </c>
      <c r="S4446">
        <v>0.17237761367241711</v>
      </c>
      <c r="T4446">
        <v>0.13463543698242661</v>
      </c>
      <c r="U4446">
        <v>4.2695416864708866</v>
      </c>
      <c r="V4446">
        <v>0.1933172563537221</v>
      </c>
      <c r="W4446">
        <v>6.1665770813104741</v>
      </c>
      <c r="X4446">
        <v>0.29372185423877423</v>
      </c>
      <c r="Z4446" t="s">
        <v>392</v>
      </c>
      <c r="AA4446">
        <v>161</v>
      </c>
      <c r="AB4446" t="s">
        <v>4837</v>
      </c>
      <c r="AC4446" t="str">
        <f>HYPERLINK("plots/3FT6Y578R04_015_S31P_20251219032831_M5358ACSA301811_RBGEUFRF04/dpll_52084/txpa_53229.png","plot")</f>
        <v>plot</v>
      </c>
    </row>
    <row r="4447" spans="1:29" hidden="1" x14ac:dyDescent="0.35">
      <c r="A4447" t="s">
        <v>50</v>
      </c>
      <c r="B4447">
        <v>52084</v>
      </c>
      <c r="C4447" t="s">
        <v>52</v>
      </c>
      <c r="D4447">
        <v>53230</v>
      </c>
      <c r="E4447" t="s">
        <v>105</v>
      </c>
      <c r="F4447">
        <v>11781</v>
      </c>
      <c r="G4447">
        <v>0.8212764285550096</v>
      </c>
      <c r="H4447">
        <v>0</v>
      </c>
      <c r="I4447">
        <v>0</v>
      </c>
      <c r="J4447">
        <v>0.71984068461206996</v>
      </c>
      <c r="K4447">
        <v>0</v>
      </c>
      <c r="L4447">
        <v>0</v>
      </c>
      <c r="M4447">
        <v>0.53014263877642831</v>
      </c>
      <c r="N4447">
        <v>0</v>
      </c>
      <c r="O4447">
        <v>0</v>
      </c>
      <c r="P4447">
        <v>0.67449497210007181</v>
      </c>
      <c r="Q4447">
        <v>1.2610189806213059</v>
      </c>
      <c r="R4447">
        <v>0.7945910739747708</v>
      </c>
      <c r="S4447">
        <v>0.16934723193073339</v>
      </c>
      <c r="T4447">
        <v>0.1331689915434176</v>
      </c>
      <c r="U4447">
        <v>4.2695489746201511</v>
      </c>
      <c r="V4447">
        <v>0.19332384277072681</v>
      </c>
      <c r="W4447">
        <v>6.1785733696630167</v>
      </c>
      <c r="X4447">
        <v>0.2968367612467116</v>
      </c>
      <c r="Z4447" t="s">
        <v>392</v>
      </c>
      <c r="AA4447">
        <v>161</v>
      </c>
      <c r="AB4447" t="s">
        <v>4838</v>
      </c>
      <c r="AC4447" t="str">
        <f>HYPERLINK("plots/3FT6Y578R04_015_S31P_20251219032831_M5358ACSA301811_RBGEUFRF04/dpll_52084/txpa_53230.png","plot")</f>
        <v>plot</v>
      </c>
    </row>
    <row r="4448" spans="1:29" hidden="1" x14ac:dyDescent="0.35">
      <c r="A4448" t="s">
        <v>50</v>
      </c>
      <c r="B4448">
        <v>52084</v>
      </c>
      <c r="C4448" t="s">
        <v>52</v>
      </c>
      <c r="D4448">
        <v>53231</v>
      </c>
      <c r="E4448" t="s">
        <v>106</v>
      </c>
      <c r="F4448">
        <v>11781</v>
      </c>
      <c r="G4448">
        <v>0.8239240271837085</v>
      </c>
      <c r="H4448">
        <v>0</v>
      </c>
      <c r="I4448">
        <v>0</v>
      </c>
      <c r="J4448">
        <v>0.71896417457195627</v>
      </c>
      <c r="K4448">
        <v>0</v>
      </c>
      <c r="L4448">
        <v>0</v>
      </c>
      <c r="M4448">
        <v>0.52830752467202124</v>
      </c>
      <c r="N4448">
        <v>0</v>
      </c>
      <c r="O4448">
        <v>0</v>
      </c>
      <c r="P4448">
        <v>0.67885080257062047</v>
      </c>
      <c r="Q4448">
        <v>1.262314088349757</v>
      </c>
      <c r="R4448">
        <v>0.77002708422133548</v>
      </c>
      <c r="S4448">
        <v>0.1678278104732876</v>
      </c>
      <c r="T4448">
        <v>0.1320746826635284</v>
      </c>
      <c r="U4448">
        <v>4.2695174021729896</v>
      </c>
      <c r="V4448">
        <v>0.19330748901132719</v>
      </c>
      <c r="W4448">
        <v>6.1594990514387584</v>
      </c>
      <c r="X4448">
        <v>0.29616173180019029</v>
      </c>
      <c r="Z4448" t="s">
        <v>392</v>
      </c>
      <c r="AA4448">
        <v>161</v>
      </c>
      <c r="AB4448" t="s">
        <v>4839</v>
      </c>
      <c r="AC4448" t="str">
        <f>HYPERLINK("plots/3FT6Y578R04_015_S31P_20251219032831_M5358ACSA301811_RBGEUFRF04/dpll_52084/txpa_53231.png","plot")</f>
        <v>plot</v>
      </c>
    </row>
    <row r="4449" spans="1:29" hidden="1" x14ac:dyDescent="0.35">
      <c r="A4449" t="s">
        <v>50</v>
      </c>
      <c r="B4449">
        <v>52084</v>
      </c>
      <c r="C4449" t="s">
        <v>52</v>
      </c>
      <c r="D4449">
        <v>53232</v>
      </c>
      <c r="E4449" t="s">
        <v>107</v>
      </c>
      <c r="F4449">
        <v>11781</v>
      </c>
      <c r="G4449">
        <v>0.82658275871017728</v>
      </c>
      <c r="H4449">
        <v>0</v>
      </c>
      <c r="I4449">
        <v>0</v>
      </c>
      <c r="J4449">
        <v>0.73131938260890872</v>
      </c>
      <c r="K4449">
        <v>0</v>
      </c>
      <c r="L4449">
        <v>0</v>
      </c>
      <c r="M4449">
        <v>0.54004874359770849</v>
      </c>
      <c r="N4449">
        <v>0</v>
      </c>
      <c r="O4449">
        <v>0</v>
      </c>
      <c r="P4449">
        <v>0.68323905699692711</v>
      </c>
      <c r="Q4449">
        <v>1.2754919473953561</v>
      </c>
      <c r="R4449">
        <v>0.716913084316257</v>
      </c>
      <c r="S4449">
        <v>0.1678692885644458</v>
      </c>
      <c r="T4449">
        <v>0.13260357273462101</v>
      </c>
      <c r="U4449">
        <v>4.2695129435531793</v>
      </c>
      <c r="V4449">
        <v>0.1933002831720991</v>
      </c>
      <c r="W4449">
        <v>6.1626424631185817</v>
      </c>
      <c r="X4449">
        <v>0.29827981774018952</v>
      </c>
      <c r="Z4449" t="s">
        <v>392</v>
      </c>
      <c r="AA4449">
        <v>161</v>
      </c>
      <c r="AB4449" t="s">
        <v>4840</v>
      </c>
      <c r="AC4449" t="str">
        <f>HYPERLINK("plots/3FT6Y578R04_015_S31P_20251219032831_M5358ACSA301811_RBGEUFRF04/dpll_52084/txpa_53232.png","plot")</f>
        <v>plot</v>
      </c>
    </row>
    <row r="4450" spans="1:29" hidden="1" x14ac:dyDescent="0.35">
      <c r="A4450" t="s">
        <v>50</v>
      </c>
      <c r="B4450">
        <v>52084</v>
      </c>
      <c r="C4450" t="s">
        <v>52</v>
      </c>
      <c r="D4450">
        <v>53233</v>
      </c>
      <c r="E4450" t="s">
        <v>108</v>
      </c>
      <c r="F4450">
        <v>11782</v>
      </c>
      <c r="G4450">
        <v>0.8227085677864846</v>
      </c>
      <c r="H4450">
        <v>0</v>
      </c>
      <c r="I4450">
        <v>0</v>
      </c>
      <c r="J4450">
        <v>0.72065471500673361</v>
      </c>
      <c r="K4450">
        <v>0</v>
      </c>
      <c r="L4450">
        <v>0</v>
      </c>
      <c r="M4450">
        <v>0.5308785715082619</v>
      </c>
      <c r="N4450">
        <v>0</v>
      </c>
      <c r="O4450">
        <v>0</v>
      </c>
      <c r="P4450">
        <v>0.67684938750928869</v>
      </c>
      <c r="Q4450">
        <v>1.2589210591414131</v>
      </c>
      <c r="R4450">
        <v>0.79474015689930155</v>
      </c>
      <c r="S4450">
        <v>0.16815398411939869</v>
      </c>
      <c r="T4450">
        <v>0.13283584534369419</v>
      </c>
      <c r="U4450">
        <v>4.2695416864708866</v>
      </c>
      <c r="V4450">
        <v>0.1933172563537221</v>
      </c>
      <c r="W4450">
        <v>6.1697560988796472</v>
      </c>
      <c r="X4450">
        <v>0.29581698142993151</v>
      </c>
      <c r="Z4450" t="s">
        <v>392</v>
      </c>
      <c r="AA4450">
        <v>161</v>
      </c>
      <c r="AB4450" t="s">
        <v>4841</v>
      </c>
      <c r="AC4450" t="str">
        <f>HYPERLINK("plots/3FT6Y578R04_015_S31P_20251219032831_M5358ACSA301811_RBGEUFRF04/dpll_52084/txpa_53233.png","plot")</f>
        <v>plot</v>
      </c>
    </row>
    <row r="4451" spans="1:29" hidden="1" x14ac:dyDescent="0.35">
      <c r="A4451" t="s">
        <v>50</v>
      </c>
      <c r="B4451">
        <v>52084</v>
      </c>
      <c r="C4451" t="s">
        <v>52</v>
      </c>
      <c r="D4451">
        <v>53234</v>
      </c>
      <c r="E4451" t="s">
        <v>109</v>
      </c>
      <c r="F4451">
        <v>11781</v>
      </c>
      <c r="G4451">
        <v>0.81837132420186287</v>
      </c>
      <c r="H4451">
        <v>0</v>
      </c>
      <c r="I4451">
        <v>0</v>
      </c>
      <c r="J4451">
        <v>0.71771765748958605</v>
      </c>
      <c r="K4451">
        <v>0</v>
      </c>
      <c r="L4451">
        <v>0</v>
      </c>
      <c r="M4451">
        <v>0.52839385316028153</v>
      </c>
      <c r="N4451">
        <v>0</v>
      </c>
      <c r="O4451">
        <v>0</v>
      </c>
      <c r="P4451">
        <v>0.6697316242759106</v>
      </c>
      <c r="Q4451">
        <v>1.2528477195220351</v>
      </c>
      <c r="R4451">
        <v>0.78826843153442194</v>
      </c>
      <c r="S4451">
        <v>0.1700669846987054</v>
      </c>
      <c r="T4451">
        <v>0.13316125007806501</v>
      </c>
      <c r="U4451">
        <v>4.2695633024361257</v>
      </c>
      <c r="V4451">
        <v>0.19331122175495491</v>
      </c>
      <c r="W4451">
        <v>6.1373810783464897</v>
      </c>
      <c r="X4451">
        <v>0.29594087203619318</v>
      </c>
      <c r="Z4451" t="s">
        <v>392</v>
      </c>
      <c r="AA4451">
        <v>161</v>
      </c>
      <c r="AB4451" t="s">
        <v>4842</v>
      </c>
      <c r="AC4451" t="str">
        <f>HYPERLINK("plots/3FT6Y578R04_015_S31P_20251219032831_M5358ACSA301811_RBGEUFRF04/dpll_52084/txpa_53234.png","plot")</f>
        <v>plot</v>
      </c>
    </row>
    <row r="4452" spans="1:29" hidden="1" x14ac:dyDescent="0.35">
      <c r="A4452" t="s">
        <v>50</v>
      </c>
      <c r="B4452">
        <v>52084</v>
      </c>
      <c r="C4452" t="s">
        <v>52</v>
      </c>
      <c r="D4452">
        <v>53235</v>
      </c>
      <c r="E4452" t="s">
        <v>110</v>
      </c>
      <c r="F4452">
        <v>11782</v>
      </c>
      <c r="G4452">
        <v>0.81024170956793473</v>
      </c>
      <c r="H4452">
        <v>0</v>
      </c>
      <c r="I4452">
        <v>0</v>
      </c>
      <c r="J4452">
        <v>0.71183427881879002</v>
      </c>
      <c r="K4452">
        <v>0</v>
      </c>
      <c r="L4452">
        <v>0</v>
      </c>
      <c r="M4452">
        <v>0.52027808218864602</v>
      </c>
      <c r="N4452">
        <v>0</v>
      </c>
      <c r="O4452">
        <v>0</v>
      </c>
      <c r="P4452">
        <v>0.65649162792356952</v>
      </c>
      <c r="Q4452">
        <v>1.2954686712885091</v>
      </c>
      <c r="R4452">
        <v>1.6445814754742081</v>
      </c>
      <c r="S4452">
        <v>0.18114784567745201</v>
      </c>
      <c r="T4452">
        <v>0.140025193439622</v>
      </c>
      <c r="U4452">
        <v>4.2695416864708866</v>
      </c>
      <c r="V4452">
        <v>0.1933172563537221</v>
      </c>
      <c r="W4452">
        <v>7.1756389710575474</v>
      </c>
      <c r="X4452">
        <v>0.30908856736003237</v>
      </c>
      <c r="Z4452" t="s">
        <v>392</v>
      </c>
      <c r="AA4452">
        <v>161</v>
      </c>
      <c r="AB4452" t="s">
        <v>4843</v>
      </c>
      <c r="AC4452" t="str">
        <f>HYPERLINK("plots/3FT6Y578R04_015_S31P_20251219032831_M5358ACSA301811_RBGEUFRF04/dpll_52084/txpa_53235.png","plot")</f>
        <v>plot</v>
      </c>
    </row>
    <row r="4453" spans="1:29" hidden="1" x14ac:dyDescent="0.35">
      <c r="A4453" t="s">
        <v>50</v>
      </c>
      <c r="B4453">
        <v>52084</v>
      </c>
      <c r="C4453" t="s">
        <v>52</v>
      </c>
      <c r="D4453">
        <v>53236</v>
      </c>
      <c r="E4453" t="s">
        <v>111</v>
      </c>
      <c r="F4453">
        <v>11782</v>
      </c>
      <c r="G4453">
        <v>0.8251878530101221</v>
      </c>
      <c r="H4453">
        <v>0</v>
      </c>
      <c r="I4453">
        <v>0</v>
      </c>
      <c r="J4453">
        <v>0.72557638837729144</v>
      </c>
      <c r="K4453">
        <v>0</v>
      </c>
      <c r="L4453">
        <v>0</v>
      </c>
      <c r="M4453">
        <v>0.53537424786266463</v>
      </c>
      <c r="N4453">
        <v>0</v>
      </c>
      <c r="O4453">
        <v>0</v>
      </c>
      <c r="P4453">
        <v>0.68093499275545488</v>
      </c>
      <c r="Q4453">
        <v>1.3283679715157981</v>
      </c>
      <c r="R4453">
        <v>1.540591916252479</v>
      </c>
      <c r="S4453">
        <v>0.17577509816695999</v>
      </c>
      <c r="T4453">
        <v>0.1374632365352767</v>
      </c>
      <c r="U4453">
        <v>4.2695416864708866</v>
      </c>
      <c r="V4453">
        <v>0.1933172563537221</v>
      </c>
      <c r="W4453">
        <v>7.2121143456119512</v>
      </c>
      <c r="X4453">
        <v>0.31119756640242691</v>
      </c>
      <c r="Z4453" t="s">
        <v>392</v>
      </c>
      <c r="AA4453">
        <v>161</v>
      </c>
      <c r="AB4453" t="s">
        <v>4844</v>
      </c>
      <c r="AC4453" t="str">
        <f>HYPERLINK("plots/3FT6Y578R04_015_S31P_20251219032831_M5358ACSA301811_RBGEUFRF04/dpll_52084/txpa_53236.png","plot")</f>
        <v>plot</v>
      </c>
    </row>
    <row r="4454" spans="1:29" hidden="1" x14ac:dyDescent="0.35">
      <c r="A4454" t="s">
        <v>50</v>
      </c>
      <c r="B4454">
        <v>52084</v>
      </c>
      <c r="C4454" t="s">
        <v>52</v>
      </c>
      <c r="D4454">
        <v>53237</v>
      </c>
      <c r="E4454" t="s">
        <v>112</v>
      </c>
      <c r="F4454">
        <v>11782</v>
      </c>
      <c r="G4454">
        <v>0.8190654500929333</v>
      </c>
      <c r="H4454">
        <v>0</v>
      </c>
      <c r="I4454">
        <v>0</v>
      </c>
      <c r="J4454">
        <v>0.716417203917047</v>
      </c>
      <c r="K4454">
        <v>0</v>
      </c>
      <c r="L4454">
        <v>0</v>
      </c>
      <c r="M4454">
        <v>0.52605979079134291</v>
      </c>
      <c r="N4454">
        <v>0</v>
      </c>
      <c r="O4454">
        <v>0</v>
      </c>
      <c r="P4454">
        <v>0.67086821153593945</v>
      </c>
      <c r="Q4454">
        <v>1.296238768826016</v>
      </c>
      <c r="R4454">
        <v>1.693081310101864</v>
      </c>
      <c r="S4454">
        <v>0.175510662712658</v>
      </c>
      <c r="T4454">
        <v>0.13677940478219039</v>
      </c>
      <c r="U4454">
        <v>4.2695416864708866</v>
      </c>
      <c r="V4454">
        <v>0.1933172563537221</v>
      </c>
      <c r="W4454">
        <v>7.2274267692242393</v>
      </c>
      <c r="X4454">
        <v>0.30594053544846778</v>
      </c>
      <c r="Z4454" t="s">
        <v>392</v>
      </c>
      <c r="AA4454">
        <v>161</v>
      </c>
      <c r="AB4454" t="s">
        <v>4845</v>
      </c>
      <c r="AC4454" t="str">
        <f>HYPERLINK("plots/3FT6Y578R04_015_S31P_20251219032831_M5358ACSA301811_RBGEUFRF04/dpll_52084/txpa_53237.png","plot")</f>
        <v>plot</v>
      </c>
    </row>
    <row r="4455" spans="1:29" hidden="1" x14ac:dyDescent="0.35">
      <c r="A4455" t="s">
        <v>50</v>
      </c>
      <c r="B4455">
        <v>52084</v>
      </c>
      <c r="C4455" t="s">
        <v>52</v>
      </c>
      <c r="D4455">
        <v>53238</v>
      </c>
      <c r="E4455" t="s">
        <v>113</v>
      </c>
      <c r="F4455">
        <v>11781</v>
      </c>
      <c r="G4455">
        <v>0.83006888593784811</v>
      </c>
      <c r="H4455">
        <v>0</v>
      </c>
      <c r="I4455">
        <v>0</v>
      </c>
      <c r="J4455">
        <v>0.72721944576734354</v>
      </c>
      <c r="K4455">
        <v>0</v>
      </c>
      <c r="L4455">
        <v>0</v>
      </c>
      <c r="M4455">
        <v>0.53674315578294285</v>
      </c>
      <c r="N4455">
        <v>0</v>
      </c>
      <c r="O4455">
        <v>0</v>
      </c>
      <c r="P4455">
        <v>0.68901435540210032</v>
      </c>
      <c r="Q4455">
        <v>1.3269583706530399</v>
      </c>
      <c r="R4455">
        <v>1.573368383838232</v>
      </c>
      <c r="S4455">
        <v>0.17233771112024271</v>
      </c>
      <c r="T4455">
        <v>0.13532059972021049</v>
      </c>
      <c r="U4455">
        <v>4.2695489746201511</v>
      </c>
      <c r="V4455">
        <v>0.19332384277072681</v>
      </c>
      <c r="W4455">
        <v>7.2388821346235463</v>
      </c>
      <c r="X4455">
        <v>0.30904988219331481</v>
      </c>
      <c r="Z4455" t="s">
        <v>392</v>
      </c>
      <c r="AA4455">
        <v>161</v>
      </c>
      <c r="AB4455" t="s">
        <v>4846</v>
      </c>
      <c r="AC4455" t="str">
        <f>HYPERLINK("plots/3FT6Y578R04_015_S31P_20251219032831_M5358ACSA301811_RBGEUFRF04/dpll_52084/txpa_53238.png","plot")</f>
        <v>plot</v>
      </c>
    </row>
    <row r="4456" spans="1:29" hidden="1" x14ac:dyDescent="0.35">
      <c r="A4456" t="s">
        <v>50</v>
      </c>
      <c r="B4456">
        <v>52084</v>
      </c>
      <c r="C4456" t="s">
        <v>52</v>
      </c>
      <c r="D4456">
        <v>53239</v>
      </c>
      <c r="E4456" t="s">
        <v>114</v>
      </c>
      <c r="F4456">
        <v>11781</v>
      </c>
      <c r="G4456">
        <v>0.83238719457662791</v>
      </c>
      <c r="H4456">
        <v>0</v>
      </c>
      <c r="I4456">
        <v>0</v>
      </c>
      <c r="J4456">
        <v>0.72594934625461616</v>
      </c>
      <c r="K4456">
        <v>0</v>
      </c>
      <c r="L4456">
        <v>0</v>
      </c>
      <c r="M4456">
        <v>0.53462399636866864</v>
      </c>
      <c r="N4456">
        <v>0</v>
      </c>
      <c r="O4456">
        <v>0</v>
      </c>
      <c r="P4456">
        <v>0.69286844169514905</v>
      </c>
      <c r="Q4456">
        <v>1.3281931874123889</v>
      </c>
      <c r="R4456">
        <v>1.548285141225556</v>
      </c>
      <c r="S4456">
        <v>0.17093394911136961</v>
      </c>
      <c r="T4456">
        <v>0.13436420330267279</v>
      </c>
      <c r="U4456">
        <v>4.2695174021729896</v>
      </c>
      <c r="V4456">
        <v>0.19330748901132719</v>
      </c>
      <c r="W4456">
        <v>7.2190290683303626</v>
      </c>
      <c r="X4456">
        <v>0.30844983158496209</v>
      </c>
      <c r="Z4456" t="s">
        <v>392</v>
      </c>
      <c r="AA4456">
        <v>161</v>
      </c>
      <c r="AB4456" t="s">
        <v>4847</v>
      </c>
      <c r="AC4456" t="str">
        <f>HYPERLINK("plots/3FT6Y578R04_015_S31P_20251219032831_M5358ACSA301811_RBGEUFRF04/dpll_52084/txpa_53239.png","plot")</f>
        <v>plot</v>
      </c>
    </row>
    <row r="4457" spans="1:29" hidden="1" x14ac:dyDescent="0.35">
      <c r="A4457" t="s">
        <v>50</v>
      </c>
      <c r="B4457">
        <v>52084</v>
      </c>
      <c r="C4457" t="s">
        <v>52</v>
      </c>
      <c r="D4457">
        <v>53240</v>
      </c>
      <c r="E4457" t="s">
        <v>115</v>
      </c>
      <c r="F4457">
        <v>11781</v>
      </c>
      <c r="G4457">
        <v>0.83504565394327146</v>
      </c>
      <c r="H4457">
        <v>0</v>
      </c>
      <c r="I4457">
        <v>0</v>
      </c>
      <c r="J4457">
        <v>0.73760852673841593</v>
      </c>
      <c r="K4457">
        <v>0</v>
      </c>
      <c r="L4457">
        <v>0</v>
      </c>
      <c r="M4457">
        <v>0.54590330742267812</v>
      </c>
      <c r="N4457">
        <v>0</v>
      </c>
      <c r="O4457">
        <v>0</v>
      </c>
      <c r="P4457">
        <v>0.69730124416954586</v>
      </c>
      <c r="Q4457">
        <v>1.341292941295821</v>
      </c>
      <c r="R4457">
        <v>1.4961079227730021</v>
      </c>
      <c r="S4457">
        <v>0.17081767030134609</v>
      </c>
      <c r="T4457">
        <v>0.13472604405911839</v>
      </c>
      <c r="U4457">
        <v>4.2695129435531793</v>
      </c>
      <c r="V4457">
        <v>0.1933002831720991</v>
      </c>
      <c r="W4457">
        <v>7.2227754967320248</v>
      </c>
      <c r="X4457">
        <v>0.31048877884086751</v>
      </c>
      <c r="Z4457" t="s">
        <v>392</v>
      </c>
      <c r="AA4457">
        <v>161</v>
      </c>
      <c r="AB4457" t="s">
        <v>4848</v>
      </c>
      <c r="AC4457" t="str">
        <f>HYPERLINK("plots/3FT6Y578R04_015_S31P_20251219032831_M5358ACSA301811_RBGEUFRF04/dpll_52084/txpa_53240.png","plot")</f>
        <v>plot</v>
      </c>
    </row>
    <row r="4458" spans="1:29" hidden="1" x14ac:dyDescent="0.35">
      <c r="A4458" t="s">
        <v>50</v>
      </c>
      <c r="B4458">
        <v>52084</v>
      </c>
      <c r="C4458" t="s">
        <v>52</v>
      </c>
      <c r="D4458">
        <v>53241</v>
      </c>
      <c r="E4458" t="s">
        <v>116</v>
      </c>
      <c r="F4458">
        <v>11782</v>
      </c>
      <c r="G4458">
        <v>0.83144520397151778</v>
      </c>
      <c r="H4458">
        <v>0</v>
      </c>
      <c r="I4458">
        <v>0</v>
      </c>
      <c r="J4458">
        <v>0.72742946561795141</v>
      </c>
      <c r="K4458">
        <v>0</v>
      </c>
      <c r="L4458">
        <v>0</v>
      </c>
      <c r="M4458">
        <v>0.53696633527192128</v>
      </c>
      <c r="N4458">
        <v>0</v>
      </c>
      <c r="O4458">
        <v>0</v>
      </c>
      <c r="P4458">
        <v>0.6913011272072388</v>
      </c>
      <c r="Q4458">
        <v>1.325063271515998</v>
      </c>
      <c r="R4458">
        <v>1.572328874159763</v>
      </c>
      <c r="S4458">
        <v>0.1711680476711627</v>
      </c>
      <c r="T4458">
        <v>0.13498809924560529</v>
      </c>
      <c r="U4458">
        <v>4.2695416864708866</v>
      </c>
      <c r="V4458">
        <v>0.1933172563537221</v>
      </c>
      <c r="W4458">
        <v>7.2297417491088094</v>
      </c>
      <c r="X4458">
        <v>0.30808716548124432</v>
      </c>
      <c r="Z4458" t="s">
        <v>392</v>
      </c>
      <c r="AA4458">
        <v>161</v>
      </c>
      <c r="AB4458" t="s">
        <v>4849</v>
      </c>
      <c r="AC4458" t="str">
        <f>HYPERLINK("plots/3FT6Y578R04_015_S31P_20251219032831_M5358ACSA301811_RBGEUFRF04/dpll_52084/txpa_53241.png","plot")</f>
        <v>plot</v>
      </c>
    </row>
    <row r="4459" spans="1:29" hidden="1" x14ac:dyDescent="0.35">
      <c r="A4459" t="s">
        <v>50</v>
      </c>
      <c r="B4459">
        <v>52084</v>
      </c>
      <c r="C4459" t="s">
        <v>52</v>
      </c>
      <c r="D4459">
        <v>53242</v>
      </c>
      <c r="E4459" t="s">
        <v>117</v>
      </c>
      <c r="F4459">
        <v>11781</v>
      </c>
      <c r="G4459">
        <v>0.8271834877881945</v>
      </c>
      <c r="H4459">
        <v>0</v>
      </c>
      <c r="I4459">
        <v>0</v>
      </c>
      <c r="J4459">
        <v>0.72439788609172628</v>
      </c>
      <c r="K4459">
        <v>0</v>
      </c>
      <c r="L4459">
        <v>0</v>
      </c>
      <c r="M4459">
        <v>0.53446446378644852</v>
      </c>
      <c r="N4459">
        <v>0</v>
      </c>
      <c r="O4459">
        <v>0</v>
      </c>
      <c r="P4459">
        <v>0.68423252246944211</v>
      </c>
      <c r="Q4459">
        <v>1.318142795586686</v>
      </c>
      <c r="R4459">
        <v>1.5702831754208031</v>
      </c>
      <c r="S4459">
        <v>0.17309436729840891</v>
      </c>
      <c r="T4459">
        <v>0.13525859270170409</v>
      </c>
      <c r="U4459">
        <v>4.2695633024361257</v>
      </c>
      <c r="V4459">
        <v>0.19331122175495491</v>
      </c>
      <c r="W4459">
        <v>7.198177282828282</v>
      </c>
      <c r="X4459">
        <v>0.3080474864696528</v>
      </c>
      <c r="Z4459" t="s">
        <v>392</v>
      </c>
      <c r="AA4459">
        <v>161</v>
      </c>
      <c r="AB4459" t="s">
        <v>4850</v>
      </c>
      <c r="AC4459" t="str">
        <f>HYPERLINK("plots/3FT6Y578R04_015_S31P_20251219032831_M5358ACSA301811_RBGEUFRF04/dpll_52084/txpa_53242.png","plot")</f>
        <v>plot</v>
      </c>
    </row>
    <row r="4460" spans="1:29" hidden="1" x14ac:dyDescent="0.35">
      <c r="A4460" t="s">
        <v>50</v>
      </c>
      <c r="B4460">
        <v>52084</v>
      </c>
      <c r="C4460" t="s">
        <v>52</v>
      </c>
      <c r="D4460">
        <v>53243</v>
      </c>
      <c r="E4460" t="s">
        <v>118</v>
      </c>
      <c r="F4460">
        <v>11782</v>
      </c>
      <c r="G4460">
        <v>0.8182642543825186</v>
      </c>
      <c r="H4460">
        <v>0</v>
      </c>
      <c r="I4460">
        <v>0</v>
      </c>
      <c r="J4460">
        <v>0.71822038307614477</v>
      </c>
      <c r="K4460">
        <v>0</v>
      </c>
      <c r="L4460">
        <v>0</v>
      </c>
      <c r="M4460">
        <v>0.52584342106166526</v>
      </c>
      <c r="N4460">
        <v>0</v>
      </c>
      <c r="O4460">
        <v>0</v>
      </c>
      <c r="P4460">
        <v>0.66955639000017908</v>
      </c>
      <c r="Q4460">
        <v>1.365216861966785</v>
      </c>
      <c r="R4460">
        <v>2.376798931185236</v>
      </c>
      <c r="S4460">
        <v>0.185399660579006</v>
      </c>
      <c r="T4460">
        <v>0.14303950651434499</v>
      </c>
      <c r="U4460">
        <v>4.2695416864708866</v>
      </c>
      <c r="V4460">
        <v>0.1933172563537221</v>
      </c>
      <c r="W4460">
        <v>8.2056492344253957</v>
      </c>
      <c r="X4460">
        <v>0.32253636483536391</v>
      </c>
      <c r="Z4460" t="s">
        <v>392</v>
      </c>
      <c r="AA4460">
        <v>161</v>
      </c>
      <c r="AB4460" t="s">
        <v>4851</v>
      </c>
      <c r="AC4460" t="str">
        <f>HYPERLINK("plots/3FT6Y578R04_015_S31P_20251219032831_M5358ACSA301811_RBGEUFRF04/dpll_52084/txpa_53243.png","plot")</f>
        <v>plot</v>
      </c>
    </row>
    <row r="4461" spans="1:29" hidden="1" x14ac:dyDescent="0.35">
      <c r="A4461" t="s">
        <v>50</v>
      </c>
      <c r="B4461">
        <v>52084</v>
      </c>
      <c r="C4461" t="s">
        <v>52</v>
      </c>
      <c r="D4461">
        <v>53244</v>
      </c>
      <c r="E4461" t="s">
        <v>119</v>
      </c>
      <c r="F4461">
        <v>11782</v>
      </c>
      <c r="G4461">
        <v>0.83226183428460832</v>
      </c>
      <c r="H4461">
        <v>0</v>
      </c>
      <c r="I4461">
        <v>0</v>
      </c>
      <c r="J4461">
        <v>0.73123638648273404</v>
      </c>
      <c r="K4461">
        <v>0</v>
      </c>
      <c r="L4461">
        <v>0</v>
      </c>
      <c r="M4461">
        <v>0.54049172953307345</v>
      </c>
      <c r="N4461">
        <v>0</v>
      </c>
      <c r="O4461">
        <v>0</v>
      </c>
      <c r="P4461">
        <v>0.69265976080678082</v>
      </c>
      <c r="Q4461">
        <v>1.3976571303032439</v>
      </c>
      <c r="R4461">
        <v>2.2745205015643308</v>
      </c>
      <c r="S4461">
        <v>0.17997101634168411</v>
      </c>
      <c r="T4461">
        <v>0.1404931659039432</v>
      </c>
      <c r="U4461">
        <v>4.2695416864708866</v>
      </c>
      <c r="V4461">
        <v>0.1933172563537221</v>
      </c>
      <c r="W4461">
        <v>8.2418758827873031</v>
      </c>
      <c r="X4461">
        <v>0.32464692074422608</v>
      </c>
      <c r="Z4461" t="s">
        <v>392</v>
      </c>
      <c r="AA4461">
        <v>161</v>
      </c>
      <c r="AB4461" t="s">
        <v>4852</v>
      </c>
      <c r="AC4461" t="str">
        <f>HYPERLINK("plots/3FT6Y578R04_015_S31P_20251219032831_M5358ACSA301811_RBGEUFRF04/dpll_52084/txpa_53244.png","plot")</f>
        <v>plot</v>
      </c>
    </row>
    <row r="4462" spans="1:29" hidden="1" x14ac:dyDescent="0.35">
      <c r="A4462" t="s">
        <v>50</v>
      </c>
      <c r="B4462">
        <v>52084</v>
      </c>
      <c r="C4462" t="s">
        <v>52</v>
      </c>
      <c r="D4462">
        <v>53245</v>
      </c>
      <c r="E4462" t="s">
        <v>120</v>
      </c>
      <c r="F4462">
        <v>11782</v>
      </c>
      <c r="G4462">
        <v>0.82696427062660538</v>
      </c>
      <c r="H4462">
        <v>0</v>
      </c>
      <c r="I4462">
        <v>0</v>
      </c>
      <c r="J4462">
        <v>0.72266022704628952</v>
      </c>
      <c r="K4462">
        <v>0</v>
      </c>
      <c r="L4462">
        <v>0</v>
      </c>
      <c r="M4462">
        <v>0.53158124188587619</v>
      </c>
      <c r="N4462">
        <v>0</v>
      </c>
      <c r="O4462">
        <v>0</v>
      </c>
      <c r="P4462">
        <v>0.68386990489299337</v>
      </c>
      <c r="Q4462">
        <v>1.3663656927425749</v>
      </c>
      <c r="R4462">
        <v>2.423711115294751</v>
      </c>
      <c r="S4462">
        <v>0.1795830385545629</v>
      </c>
      <c r="T4462">
        <v>0.13970042831853799</v>
      </c>
      <c r="U4462">
        <v>4.2695416864708866</v>
      </c>
      <c r="V4462">
        <v>0.1933172563537221</v>
      </c>
      <c r="W4462">
        <v>8.2574663994228494</v>
      </c>
      <c r="X4462">
        <v>0.31941170408330022</v>
      </c>
      <c r="Z4462" t="s">
        <v>392</v>
      </c>
      <c r="AA4462">
        <v>161</v>
      </c>
      <c r="AB4462" t="s">
        <v>4853</v>
      </c>
      <c r="AC4462" t="str">
        <f>HYPERLINK("plots/3FT6Y578R04_015_S31P_20251219032831_M5358ACSA301811_RBGEUFRF04/dpll_52084/txpa_53245.png","plot")</f>
        <v>plot</v>
      </c>
    </row>
    <row r="4463" spans="1:29" hidden="1" x14ac:dyDescent="0.35">
      <c r="A4463" t="s">
        <v>50</v>
      </c>
      <c r="B4463">
        <v>52084</v>
      </c>
      <c r="C4463" t="s">
        <v>52</v>
      </c>
      <c r="D4463">
        <v>53246</v>
      </c>
      <c r="E4463" t="s">
        <v>121</v>
      </c>
      <c r="F4463">
        <v>11781</v>
      </c>
      <c r="G4463">
        <v>0.83726920960134898</v>
      </c>
      <c r="H4463">
        <v>0</v>
      </c>
      <c r="I4463">
        <v>0</v>
      </c>
      <c r="J4463">
        <v>0.73305191122738167</v>
      </c>
      <c r="K4463">
        <v>0</v>
      </c>
      <c r="L4463">
        <v>0</v>
      </c>
      <c r="M4463">
        <v>0.54198722715832881</v>
      </c>
      <c r="N4463">
        <v>0</v>
      </c>
      <c r="O4463">
        <v>0</v>
      </c>
      <c r="P4463">
        <v>0.70101972934646761</v>
      </c>
      <c r="Q4463">
        <v>1.397025562247693</v>
      </c>
      <c r="R4463">
        <v>2.3037248549094862</v>
      </c>
      <c r="S4463">
        <v>0.1763711245909024</v>
      </c>
      <c r="T4463">
        <v>0.13832468295648581</v>
      </c>
      <c r="U4463">
        <v>4.2695489746201511</v>
      </c>
      <c r="V4463">
        <v>0.19332384277072681</v>
      </c>
      <c r="W4463">
        <v>8.2683939117222653</v>
      </c>
      <c r="X4463">
        <v>0.32257050306585661</v>
      </c>
      <c r="Z4463" t="s">
        <v>392</v>
      </c>
      <c r="AA4463">
        <v>161</v>
      </c>
      <c r="AB4463" t="s">
        <v>4854</v>
      </c>
      <c r="AC4463" t="str">
        <f>HYPERLINK("plots/3FT6Y578R04_015_S31P_20251219032831_M5358ACSA301811_RBGEUFRF04/dpll_52084/txpa_53246.png","plot")</f>
        <v>plot</v>
      </c>
    </row>
    <row r="4464" spans="1:29" hidden="1" x14ac:dyDescent="0.35">
      <c r="A4464" t="s">
        <v>50</v>
      </c>
      <c r="B4464">
        <v>52084</v>
      </c>
      <c r="C4464" t="s">
        <v>52</v>
      </c>
      <c r="D4464">
        <v>53247</v>
      </c>
      <c r="E4464" t="s">
        <v>122</v>
      </c>
      <c r="F4464">
        <v>11781</v>
      </c>
      <c r="G4464">
        <v>0.83961417367688718</v>
      </c>
      <c r="H4464">
        <v>0</v>
      </c>
      <c r="I4464">
        <v>0</v>
      </c>
      <c r="J4464">
        <v>0.73211778296874652</v>
      </c>
      <c r="K4464">
        <v>0</v>
      </c>
      <c r="L4464">
        <v>0</v>
      </c>
      <c r="M4464">
        <v>0.54020046378177511</v>
      </c>
      <c r="N4464">
        <v>0</v>
      </c>
      <c r="O4464">
        <v>0</v>
      </c>
      <c r="P4464">
        <v>0.70495196063912202</v>
      </c>
      <c r="Q4464">
        <v>1.398817921870593</v>
      </c>
      <c r="R4464">
        <v>2.275606987517373</v>
      </c>
      <c r="S4464">
        <v>0.17492748003600281</v>
      </c>
      <c r="T4464">
        <v>0.13737890015424581</v>
      </c>
      <c r="U4464">
        <v>4.2695174021729896</v>
      </c>
      <c r="V4464">
        <v>0.19330748901132719</v>
      </c>
      <c r="W4464">
        <v>8.2478844474153288</v>
      </c>
      <c r="X4464">
        <v>0.32205504449345701</v>
      </c>
      <c r="Z4464" t="s">
        <v>392</v>
      </c>
      <c r="AA4464">
        <v>161</v>
      </c>
      <c r="AB4464" t="s">
        <v>4855</v>
      </c>
      <c r="AC4464" t="str">
        <f>HYPERLINK("plots/3FT6Y578R04_015_S31P_20251219032831_M5358ACSA301811_RBGEUFRF04/dpll_52084/txpa_53247.png","plot")</f>
        <v>plot</v>
      </c>
    </row>
    <row r="4465" spans="1:29" hidden="1" x14ac:dyDescent="0.35">
      <c r="A4465" t="s">
        <v>50</v>
      </c>
      <c r="B4465">
        <v>52084</v>
      </c>
      <c r="C4465" t="s">
        <v>52</v>
      </c>
      <c r="D4465">
        <v>53248</v>
      </c>
      <c r="E4465" t="s">
        <v>123</v>
      </c>
      <c r="F4465">
        <v>11781</v>
      </c>
      <c r="G4465">
        <v>0.84184386152510471</v>
      </c>
      <c r="H4465">
        <v>0</v>
      </c>
      <c r="I4465">
        <v>0</v>
      </c>
      <c r="J4465">
        <v>0.74268080831020078</v>
      </c>
      <c r="K4465">
        <v>0</v>
      </c>
      <c r="L4465">
        <v>0</v>
      </c>
      <c r="M4465">
        <v>0.55059607057009585</v>
      </c>
      <c r="N4465">
        <v>0</v>
      </c>
      <c r="O4465">
        <v>0</v>
      </c>
      <c r="P4465">
        <v>0.70870108718749969</v>
      </c>
      <c r="Q4465">
        <v>1.410761835367023</v>
      </c>
      <c r="R4465">
        <v>2.2288039942484459</v>
      </c>
      <c r="S4465">
        <v>0.17482584750679639</v>
      </c>
      <c r="T4465">
        <v>0.1377028153775621</v>
      </c>
      <c r="U4465">
        <v>4.2695129435531793</v>
      </c>
      <c r="V4465">
        <v>0.1933002831720991</v>
      </c>
      <c r="W4465">
        <v>8.2520699106187916</v>
      </c>
      <c r="X4465">
        <v>0.32393258979260697</v>
      </c>
      <c r="Z4465" t="s">
        <v>392</v>
      </c>
      <c r="AA4465">
        <v>161</v>
      </c>
      <c r="AB4465" t="s">
        <v>4856</v>
      </c>
      <c r="AC4465" t="str">
        <f>HYPERLINK("plots/3FT6Y578R04_015_S31P_20251219032831_M5358ACSA301811_RBGEUFRF04/dpll_52084/txpa_53248.png","plot")</f>
        <v>plot</v>
      </c>
    </row>
    <row r="4466" spans="1:29" hidden="1" x14ac:dyDescent="0.35">
      <c r="A4466" t="s">
        <v>50</v>
      </c>
      <c r="B4466">
        <v>52084</v>
      </c>
      <c r="C4466" t="s">
        <v>52</v>
      </c>
      <c r="D4466">
        <v>53249</v>
      </c>
      <c r="E4466" t="s">
        <v>124</v>
      </c>
      <c r="F4466">
        <v>11782</v>
      </c>
      <c r="G4466">
        <v>0.83877699869100031</v>
      </c>
      <c r="H4466">
        <v>0</v>
      </c>
      <c r="I4466">
        <v>0</v>
      </c>
      <c r="J4466">
        <v>0.73303948411703113</v>
      </c>
      <c r="K4466">
        <v>0</v>
      </c>
      <c r="L4466">
        <v>0</v>
      </c>
      <c r="M4466">
        <v>0.54208233697284203</v>
      </c>
      <c r="N4466">
        <v>0</v>
      </c>
      <c r="O4466">
        <v>0</v>
      </c>
      <c r="P4466">
        <v>0.70354685353308233</v>
      </c>
      <c r="Q4466">
        <v>1.395550247972446</v>
      </c>
      <c r="R4466">
        <v>2.3010262286306231</v>
      </c>
      <c r="S4466">
        <v>0.17511735517659671</v>
      </c>
      <c r="T4466">
        <v>0.13790729773788571</v>
      </c>
      <c r="U4466">
        <v>4.2695416864708866</v>
      </c>
      <c r="V4466">
        <v>0.1933172563537221</v>
      </c>
      <c r="W4466">
        <v>8.2593861879137673</v>
      </c>
      <c r="X4466">
        <v>0.32163965566868918</v>
      </c>
      <c r="Z4466" t="s">
        <v>392</v>
      </c>
      <c r="AA4466">
        <v>161</v>
      </c>
      <c r="AB4466" t="s">
        <v>4857</v>
      </c>
      <c r="AC4466" t="str">
        <f>HYPERLINK("plots/3FT6Y578R04_015_S31P_20251219032831_M5358ACSA301811_RBGEUFRF04/dpll_52084/txpa_53249.png","plot")</f>
        <v>plot</v>
      </c>
    </row>
    <row r="4467" spans="1:29" hidden="1" x14ac:dyDescent="0.35">
      <c r="A4467" t="s">
        <v>50</v>
      </c>
      <c r="B4467">
        <v>52084</v>
      </c>
      <c r="C4467" t="s">
        <v>52</v>
      </c>
      <c r="D4467">
        <v>53250</v>
      </c>
      <c r="E4467" t="s">
        <v>125</v>
      </c>
      <c r="F4467">
        <v>11781</v>
      </c>
      <c r="G4467">
        <v>0.83453266595483322</v>
      </c>
      <c r="H4467">
        <v>0</v>
      </c>
      <c r="I4467">
        <v>0</v>
      </c>
      <c r="J4467">
        <v>0.72993505294232863</v>
      </c>
      <c r="K4467">
        <v>0</v>
      </c>
      <c r="L4467">
        <v>0</v>
      </c>
      <c r="M4467">
        <v>0.53945019072478384</v>
      </c>
      <c r="N4467">
        <v>0</v>
      </c>
      <c r="O4467">
        <v>0</v>
      </c>
      <c r="P4467">
        <v>0.69644477054568121</v>
      </c>
      <c r="Q4467">
        <v>1.386821100754674</v>
      </c>
      <c r="R4467">
        <v>2.306702701803601</v>
      </c>
      <c r="S4467">
        <v>0.17698423885130679</v>
      </c>
      <c r="T4467">
        <v>0.13821352809937551</v>
      </c>
      <c r="U4467">
        <v>4.2695633024361257</v>
      </c>
      <c r="V4467">
        <v>0.19331122175495491</v>
      </c>
      <c r="W4467">
        <v>8.2278231806298283</v>
      </c>
      <c r="X4467">
        <v>0.32124336443523549</v>
      </c>
      <c r="Z4467" t="s">
        <v>392</v>
      </c>
      <c r="AA4467">
        <v>161</v>
      </c>
      <c r="AB4467" t="s">
        <v>4858</v>
      </c>
      <c r="AC4467" t="str">
        <f>HYPERLINK("plots/3FT6Y578R04_015_S31P_20251219032831_M5358ACSA301811_RBGEUFRF04/dpll_52084/txpa_53250.png","plot")</f>
        <v>plot</v>
      </c>
    </row>
    <row r="4468" spans="1:29" hidden="1" x14ac:dyDescent="0.35">
      <c r="A4468" t="s">
        <v>50</v>
      </c>
      <c r="B4468">
        <v>52084</v>
      </c>
      <c r="C4468" t="s">
        <v>52</v>
      </c>
      <c r="D4468">
        <v>53251</v>
      </c>
      <c r="E4468" t="s">
        <v>126</v>
      </c>
      <c r="F4468">
        <v>11782</v>
      </c>
      <c r="G4468">
        <v>0.8263035506753823</v>
      </c>
      <c r="H4468">
        <v>0</v>
      </c>
      <c r="I4468">
        <v>0</v>
      </c>
      <c r="J4468">
        <v>0.72483392133823676</v>
      </c>
      <c r="K4468">
        <v>0</v>
      </c>
      <c r="L4468">
        <v>0</v>
      </c>
      <c r="M4468">
        <v>0.53179222284607797</v>
      </c>
      <c r="N4468">
        <v>0</v>
      </c>
      <c r="O4468">
        <v>0</v>
      </c>
      <c r="P4468">
        <v>0.68277755785874406</v>
      </c>
      <c r="Q4468">
        <v>1.4385864376469171</v>
      </c>
      <c r="R4468">
        <v>3.091833706017256</v>
      </c>
      <c r="S4468">
        <v>0.18955292324528281</v>
      </c>
      <c r="T4468">
        <v>0.1459370203814927</v>
      </c>
      <c r="U4468">
        <v>4.2695416864708866</v>
      </c>
      <c r="V4468">
        <v>0.1933172563537221</v>
      </c>
      <c r="W4468">
        <v>9.2339384711424213</v>
      </c>
      <c r="X4468">
        <v>0.33656346136509752</v>
      </c>
      <c r="Z4468" t="s">
        <v>392</v>
      </c>
      <c r="AA4468">
        <v>161</v>
      </c>
      <c r="AB4468" t="s">
        <v>4859</v>
      </c>
      <c r="AC4468" t="str">
        <f>HYPERLINK("plots/3FT6Y578R04_015_S31P_20251219032831_M5358ACSA301811_RBGEUFRF04/dpll_52084/txpa_53251.png","plot")</f>
        <v>plot</v>
      </c>
    </row>
    <row r="4469" spans="1:29" hidden="1" x14ac:dyDescent="0.35">
      <c r="A4469" t="s">
        <v>50</v>
      </c>
      <c r="B4469">
        <v>52084</v>
      </c>
      <c r="C4469" t="s">
        <v>52</v>
      </c>
      <c r="D4469">
        <v>53252</v>
      </c>
      <c r="E4469" t="s">
        <v>127</v>
      </c>
      <c r="F4469">
        <v>11782</v>
      </c>
      <c r="G4469">
        <v>0.83951440805254451</v>
      </c>
      <c r="H4469">
        <v>0</v>
      </c>
      <c r="I4469">
        <v>0</v>
      </c>
      <c r="J4469">
        <v>0.73729586762316002</v>
      </c>
      <c r="K4469">
        <v>0</v>
      </c>
      <c r="L4469">
        <v>0</v>
      </c>
      <c r="M4469">
        <v>0.54609079229238477</v>
      </c>
      <c r="N4469">
        <v>0</v>
      </c>
      <c r="O4469">
        <v>0</v>
      </c>
      <c r="P4469">
        <v>0.70478444132781426</v>
      </c>
      <c r="Q4469">
        <v>1.471471878827938</v>
      </c>
      <c r="R4469">
        <v>2.9866560858434141</v>
      </c>
      <c r="S4469">
        <v>0.18409653965609721</v>
      </c>
      <c r="T4469">
        <v>0.14348310676697529</v>
      </c>
      <c r="U4469">
        <v>4.2695416864708866</v>
      </c>
      <c r="V4469">
        <v>0.1933172563537221</v>
      </c>
      <c r="W4469">
        <v>9.2691666129689345</v>
      </c>
      <c r="X4469">
        <v>0.33883981464540808</v>
      </c>
      <c r="Z4469" t="s">
        <v>392</v>
      </c>
      <c r="AA4469">
        <v>161</v>
      </c>
      <c r="AB4469" t="s">
        <v>4860</v>
      </c>
      <c r="AC4469" t="str">
        <f>HYPERLINK("plots/3FT6Y578R04_015_S31P_20251219032831_M5358ACSA301811_RBGEUFRF04/dpll_52084/txpa_53252.png","plot")</f>
        <v>plot</v>
      </c>
    </row>
    <row r="4470" spans="1:29" hidden="1" x14ac:dyDescent="0.35">
      <c r="A4470" t="s">
        <v>50</v>
      </c>
      <c r="B4470">
        <v>52084</v>
      </c>
      <c r="C4470" t="s">
        <v>52</v>
      </c>
      <c r="D4470">
        <v>53253</v>
      </c>
      <c r="E4470" t="s">
        <v>128</v>
      </c>
      <c r="F4470">
        <v>11782</v>
      </c>
      <c r="G4470">
        <v>0.83486560763045958</v>
      </c>
      <c r="H4470">
        <v>0</v>
      </c>
      <c r="I4470">
        <v>0</v>
      </c>
      <c r="J4470">
        <v>0.72929534750112512</v>
      </c>
      <c r="K4470">
        <v>0</v>
      </c>
      <c r="L4470">
        <v>0</v>
      </c>
      <c r="M4470">
        <v>0.53757062907847208</v>
      </c>
      <c r="N4470">
        <v>0</v>
      </c>
      <c r="O4470">
        <v>0</v>
      </c>
      <c r="P4470">
        <v>0.69700058280417654</v>
      </c>
      <c r="Q4470">
        <v>1.440137704704902</v>
      </c>
      <c r="R4470">
        <v>3.1361346259809202</v>
      </c>
      <c r="S4470">
        <v>0.18355259910772931</v>
      </c>
      <c r="T4470">
        <v>0.14249596099558279</v>
      </c>
      <c r="U4470">
        <v>4.2695416864708866</v>
      </c>
      <c r="V4470">
        <v>0.1933172563537221</v>
      </c>
      <c r="W4470">
        <v>9.2848625904769992</v>
      </c>
      <c r="X4470">
        <v>0.33347100096178539</v>
      </c>
      <c r="Z4470" t="s">
        <v>392</v>
      </c>
      <c r="AA4470">
        <v>161</v>
      </c>
      <c r="AB4470" t="s">
        <v>4861</v>
      </c>
      <c r="AC4470" t="str">
        <f>HYPERLINK("plots/3FT6Y578R04_015_S31P_20251219032831_M5358ACSA301811_RBGEUFRF04/dpll_52084/txpa_53253.png","plot")</f>
        <v>plot</v>
      </c>
    </row>
    <row r="4471" spans="1:29" hidden="1" x14ac:dyDescent="0.35">
      <c r="A4471" t="s">
        <v>50</v>
      </c>
      <c r="B4471">
        <v>52084</v>
      </c>
      <c r="C4471" t="s">
        <v>52</v>
      </c>
      <c r="D4471">
        <v>53254</v>
      </c>
      <c r="E4471" t="s">
        <v>129</v>
      </c>
      <c r="F4471">
        <v>11781</v>
      </c>
      <c r="G4471">
        <v>0.84435190120082915</v>
      </c>
      <c r="H4471">
        <v>0</v>
      </c>
      <c r="I4471">
        <v>0</v>
      </c>
      <c r="J4471">
        <v>0.73898244672260849</v>
      </c>
      <c r="K4471">
        <v>0</v>
      </c>
      <c r="L4471">
        <v>0</v>
      </c>
      <c r="M4471">
        <v>0.54743613151987214</v>
      </c>
      <c r="N4471">
        <v>0</v>
      </c>
      <c r="O4471">
        <v>0</v>
      </c>
      <c r="P4471">
        <v>0.7129301330614547</v>
      </c>
      <c r="Q4471">
        <v>1.4707770099787369</v>
      </c>
      <c r="R4471">
        <v>3.0164261261180489</v>
      </c>
      <c r="S4471">
        <v>0.1804197752643496</v>
      </c>
      <c r="T4471">
        <v>0.14130184995367201</v>
      </c>
      <c r="U4471">
        <v>4.2695489746201511</v>
      </c>
      <c r="V4471">
        <v>0.19332384277072681</v>
      </c>
      <c r="W4471">
        <v>9.2959806009676598</v>
      </c>
      <c r="X4471">
        <v>0.33675090092596333</v>
      </c>
      <c r="Z4471" t="s">
        <v>392</v>
      </c>
      <c r="AA4471">
        <v>161</v>
      </c>
      <c r="AB4471" t="s">
        <v>4862</v>
      </c>
      <c r="AC4471" t="str">
        <f>HYPERLINK("plots/3FT6Y578R04_015_S31P_20251219032831_M5358ACSA301811_RBGEUFRF04/dpll_52084/txpa_53254.png","plot")</f>
        <v>plot</v>
      </c>
    </row>
    <row r="4472" spans="1:29" hidden="1" x14ac:dyDescent="0.35">
      <c r="A4472" t="s">
        <v>50</v>
      </c>
      <c r="B4472">
        <v>52084</v>
      </c>
      <c r="C4472" t="s">
        <v>52</v>
      </c>
      <c r="D4472">
        <v>53255</v>
      </c>
      <c r="E4472" t="s">
        <v>130</v>
      </c>
      <c r="F4472">
        <v>11781</v>
      </c>
      <c r="G4472">
        <v>0.84652455322373377</v>
      </c>
      <c r="H4472">
        <v>0</v>
      </c>
      <c r="I4472">
        <v>0</v>
      </c>
      <c r="J4472">
        <v>0.73829492811882302</v>
      </c>
      <c r="K4472">
        <v>0</v>
      </c>
      <c r="L4472">
        <v>0</v>
      </c>
      <c r="M4472">
        <v>0.54587955922784115</v>
      </c>
      <c r="N4472">
        <v>0</v>
      </c>
      <c r="O4472">
        <v>0</v>
      </c>
      <c r="P4472">
        <v>0.71660381921064209</v>
      </c>
      <c r="Q4472">
        <v>1.472934019296932</v>
      </c>
      <c r="R4472">
        <v>2.985871892620577</v>
      </c>
      <c r="S4472">
        <v>0.17904861955628931</v>
      </c>
      <c r="T4472">
        <v>0.14048572662698511</v>
      </c>
      <c r="U4472">
        <v>4.2695174021729896</v>
      </c>
      <c r="V4472">
        <v>0.19330748901132719</v>
      </c>
      <c r="W4472">
        <v>9.2745893202614376</v>
      </c>
      <c r="X4472">
        <v>0.33635075989863089</v>
      </c>
      <c r="Z4472" t="s">
        <v>392</v>
      </c>
      <c r="AA4472">
        <v>161</v>
      </c>
      <c r="AB4472" t="s">
        <v>4863</v>
      </c>
      <c r="AC4472" t="str">
        <f>HYPERLINK("plots/3FT6Y578R04_015_S31P_20251219032831_M5358ACSA301811_RBGEUFRF04/dpll_52084/txpa_53255.png","plot")</f>
        <v>plot</v>
      </c>
    </row>
    <row r="4473" spans="1:29" hidden="1" x14ac:dyDescent="0.35">
      <c r="A4473" t="s">
        <v>50</v>
      </c>
      <c r="B4473">
        <v>52084</v>
      </c>
      <c r="C4473" t="s">
        <v>52</v>
      </c>
      <c r="D4473">
        <v>53256</v>
      </c>
      <c r="E4473" t="s">
        <v>131</v>
      </c>
      <c r="F4473">
        <v>11781</v>
      </c>
      <c r="G4473">
        <v>0.84873720130445451</v>
      </c>
      <c r="H4473">
        <v>0</v>
      </c>
      <c r="I4473">
        <v>0</v>
      </c>
      <c r="J4473">
        <v>0.74808780251520435</v>
      </c>
      <c r="K4473">
        <v>0</v>
      </c>
      <c r="L4473">
        <v>0</v>
      </c>
      <c r="M4473">
        <v>0.55563119151745055</v>
      </c>
      <c r="N4473">
        <v>0</v>
      </c>
      <c r="O4473">
        <v>0</v>
      </c>
      <c r="P4473">
        <v>0.72035483687811819</v>
      </c>
      <c r="Q4473">
        <v>1.484305259294024</v>
      </c>
      <c r="R4473">
        <v>2.94200477491616</v>
      </c>
      <c r="S4473">
        <v>0.1787589114713177</v>
      </c>
      <c r="T4473">
        <v>0.14062815682635699</v>
      </c>
      <c r="U4473">
        <v>4.2695129435531793</v>
      </c>
      <c r="V4473">
        <v>0.1933002831720991</v>
      </c>
      <c r="W4473">
        <v>9.2792652916560563</v>
      </c>
      <c r="X4473">
        <v>0.33805119711307419</v>
      </c>
      <c r="Z4473" t="s">
        <v>392</v>
      </c>
      <c r="AA4473">
        <v>161</v>
      </c>
      <c r="AB4473" t="s">
        <v>4864</v>
      </c>
      <c r="AC4473" t="str">
        <f>HYPERLINK("plots/3FT6Y578R04_015_S31P_20251219032831_M5358ACSA301811_RBGEUFRF04/dpll_52084/txpa_53256.png","plot")</f>
        <v>plot</v>
      </c>
    </row>
    <row r="4474" spans="1:29" hidden="1" x14ac:dyDescent="0.35">
      <c r="A4474" t="s">
        <v>50</v>
      </c>
      <c r="B4474">
        <v>52084</v>
      </c>
      <c r="C4474" t="s">
        <v>52</v>
      </c>
      <c r="D4474">
        <v>53257</v>
      </c>
      <c r="E4474" t="s">
        <v>132</v>
      </c>
      <c r="F4474">
        <v>11782</v>
      </c>
      <c r="G4474">
        <v>0.84580641415014346</v>
      </c>
      <c r="H4474">
        <v>0</v>
      </c>
      <c r="I4474">
        <v>0</v>
      </c>
      <c r="J4474">
        <v>0.73887908879482833</v>
      </c>
      <c r="K4474">
        <v>0</v>
      </c>
      <c r="L4474">
        <v>0</v>
      </c>
      <c r="M4474">
        <v>0.54743805266807521</v>
      </c>
      <c r="N4474">
        <v>0</v>
      </c>
      <c r="O4474">
        <v>0</v>
      </c>
      <c r="P4474">
        <v>0.71538849021752404</v>
      </c>
      <c r="Q4474">
        <v>1.468854358629351</v>
      </c>
      <c r="R4474">
        <v>3.0155237577927561</v>
      </c>
      <c r="S4474">
        <v>0.17909612244820439</v>
      </c>
      <c r="T4474">
        <v>0.14075686383634961</v>
      </c>
      <c r="U4474">
        <v>4.2695416864708866</v>
      </c>
      <c r="V4474">
        <v>0.1933172563537221</v>
      </c>
      <c r="W4474">
        <v>9.2868586733152263</v>
      </c>
      <c r="X4474">
        <v>0.33572090474006022</v>
      </c>
      <c r="Z4474" t="s">
        <v>392</v>
      </c>
      <c r="AA4474">
        <v>161</v>
      </c>
      <c r="AB4474" t="s">
        <v>4865</v>
      </c>
      <c r="AC4474" t="str">
        <f>HYPERLINK("plots/3FT6Y578R04_015_S31P_20251219032831_M5358ACSA301811_RBGEUFRF04/dpll_52084/txpa_53257.png","plot")</f>
        <v>plot</v>
      </c>
    </row>
    <row r="4475" spans="1:29" hidden="1" x14ac:dyDescent="0.35">
      <c r="A4475" t="s">
        <v>50</v>
      </c>
      <c r="B4475">
        <v>52084</v>
      </c>
      <c r="C4475" t="s">
        <v>52</v>
      </c>
      <c r="D4475">
        <v>53258</v>
      </c>
      <c r="E4475" t="s">
        <v>133</v>
      </c>
      <c r="F4475">
        <v>11781</v>
      </c>
      <c r="G4475">
        <v>0.84164154118870915</v>
      </c>
      <c r="H4475">
        <v>0</v>
      </c>
      <c r="I4475">
        <v>0</v>
      </c>
      <c r="J4475">
        <v>0.73550602628062411</v>
      </c>
      <c r="K4475">
        <v>0</v>
      </c>
      <c r="L4475">
        <v>0</v>
      </c>
      <c r="M4475">
        <v>0.54450009814178779</v>
      </c>
      <c r="N4475">
        <v>0</v>
      </c>
      <c r="O4475">
        <v>0</v>
      </c>
      <c r="P4475">
        <v>0.70836048385450556</v>
      </c>
      <c r="Q4475">
        <v>1.458920842089577</v>
      </c>
      <c r="R4475">
        <v>3.0273215756771852</v>
      </c>
      <c r="S4475">
        <v>0.1809532481007671</v>
      </c>
      <c r="T4475">
        <v>0.14115227962731811</v>
      </c>
      <c r="U4475">
        <v>4.2695633024361257</v>
      </c>
      <c r="V4475">
        <v>0.19331122175495491</v>
      </c>
      <c r="W4475">
        <v>9.2562764642220525</v>
      </c>
      <c r="X4475">
        <v>0.33509012640913488</v>
      </c>
      <c r="Z4475" t="s">
        <v>392</v>
      </c>
      <c r="AA4475">
        <v>161</v>
      </c>
      <c r="AB4475" t="s">
        <v>4866</v>
      </c>
      <c r="AC4475" t="str">
        <f>HYPERLINK("plots/3FT6Y578R04_015_S31P_20251219032831_M5358ACSA301811_RBGEUFRF04/dpll_52084/txpa_53258.png","plot")</f>
        <v>plot</v>
      </c>
    </row>
    <row r="4476" spans="1:29" hidden="1" x14ac:dyDescent="0.35">
      <c r="A4476" t="s">
        <v>50</v>
      </c>
      <c r="B4476">
        <v>52084</v>
      </c>
      <c r="C4476" t="s">
        <v>52</v>
      </c>
      <c r="D4476">
        <v>53259</v>
      </c>
      <c r="E4476" t="s">
        <v>134</v>
      </c>
      <c r="F4476">
        <v>11782</v>
      </c>
      <c r="G4476">
        <v>0.82879035117736655</v>
      </c>
      <c r="H4476">
        <v>0</v>
      </c>
      <c r="I4476">
        <v>0</v>
      </c>
      <c r="J4476">
        <v>0.72693294212561288</v>
      </c>
      <c r="K4476">
        <v>0</v>
      </c>
      <c r="L4476">
        <v>0</v>
      </c>
      <c r="M4476">
        <v>0.5337021368715098</v>
      </c>
      <c r="N4476">
        <v>0</v>
      </c>
      <c r="O4476">
        <v>0</v>
      </c>
      <c r="P4476">
        <v>0.68689344620470261</v>
      </c>
      <c r="Q4476">
        <v>1.468518475094015</v>
      </c>
      <c r="R4476">
        <v>3.4690207363262981</v>
      </c>
      <c r="S4476">
        <v>0.19166066866527989</v>
      </c>
      <c r="T4476">
        <v>0.14739121476482631</v>
      </c>
      <c r="U4476">
        <v>4.2695416864708866</v>
      </c>
      <c r="V4476">
        <v>0.1933172563537221</v>
      </c>
      <c r="W4476">
        <v>9.7389215830928535</v>
      </c>
      <c r="X4476">
        <v>0.34253531319064839</v>
      </c>
      <c r="Z4476" t="s">
        <v>392</v>
      </c>
      <c r="AA4476">
        <v>161</v>
      </c>
      <c r="AB4476" t="s">
        <v>4867</v>
      </c>
      <c r="AC4476" t="str">
        <f>HYPERLINK("plots/3FT6Y578R04_015_S31P_20251219032831_M5358ACSA301811_RBGEUFRF04/dpll_52084/txpa_53259.png","plot")</f>
        <v>plot</v>
      </c>
    </row>
    <row r="4477" spans="1:29" hidden="1" x14ac:dyDescent="0.35">
      <c r="A4477" t="s">
        <v>50</v>
      </c>
      <c r="B4477">
        <v>52084</v>
      </c>
      <c r="C4477" t="s">
        <v>52</v>
      </c>
      <c r="D4477">
        <v>53260</v>
      </c>
      <c r="E4477" t="s">
        <v>135</v>
      </c>
      <c r="F4477">
        <v>11782</v>
      </c>
      <c r="G4477">
        <v>0.84171677615822027</v>
      </c>
      <c r="H4477">
        <v>0</v>
      </c>
      <c r="I4477">
        <v>0</v>
      </c>
      <c r="J4477">
        <v>0.73903211992007589</v>
      </c>
      <c r="K4477">
        <v>0</v>
      </c>
      <c r="L4477">
        <v>0</v>
      </c>
      <c r="M4477">
        <v>0.547697052324151</v>
      </c>
      <c r="N4477">
        <v>0</v>
      </c>
      <c r="O4477">
        <v>0</v>
      </c>
      <c r="P4477">
        <v>0.70848713126618745</v>
      </c>
      <c r="Q4477">
        <v>1.501936269749752</v>
      </c>
      <c r="R4477">
        <v>3.3613916058944322</v>
      </c>
      <c r="S4477">
        <v>0.18623726243085151</v>
      </c>
      <c r="T4477">
        <v>0.14502278031817839</v>
      </c>
      <c r="U4477">
        <v>4.2695416864708866</v>
      </c>
      <c r="V4477">
        <v>0.1933172563537221</v>
      </c>
      <c r="W4477">
        <v>9.7739711200135808</v>
      </c>
      <c r="X4477">
        <v>0.3449499963769142</v>
      </c>
      <c r="Z4477" t="s">
        <v>392</v>
      </c>
      <c r="AA4477">
        <v>161</v>
      </c>
      <c r="AB4477" t="s">
        <v>4868</v>
      </c>
      <c r="AC4477" t="str">
        <f>HYPERLINK("plots/3FT6Y578R04_015_S31P_20251219032831_M5358ACSA301811_RBGEUFRF04/dpll_52084/txpa_53260.png","plot")</f>
        <v>plot</v>
      </c>
    </row>
    <row r="4478" spans="1:29" hidden="1" x14ac:dyDescent="0.35">
      <c r="A4478" t="s">
        <v>50</v>
      </c>
      <c r="B4478">
        <v>52084</v>
      </c>
      <c r="C4478" t="s">
        <v>52</v>
      </c>
      <c r="D4478">
        <v>53261</v>
      </c>
      <c r="E4478" t="s">
        <v>136</v>
      </c>
      <c r="F4478">
        <v>11782</v>
      </c>
      <c r="G4478">
        <v>0.83741401956771533</v>
      </c>
      <c r="H4478">
        <v>0</v>
      </c>
      <c r="I4478">
        <v>0</v>
      </c>
      <c r="J4478">
        <v>0.73145527410013844</v>
      </c>
      <c r="K4478">
        <v>0</v>
      </c>
      <c r="L4478">
        <v>0</v>
      </c>
      <c r="M4478">
        <v>0.53951492326824257</v>
      </c>
      <c r="N4478">
        <v>0</v>
      </c>
      <c r="O4478">
        <v>0</v>
      </c>
      <c r="P4478">
        <v>0.70126224016855787</v>
      </c>
      <c r="Q4478">
        <v>1.470583337173448</v>
      </c>
      <c r="R4478">
        <v>3.5111095095830129</v>
      </c>
      <c r="S4478">
        <v>0.18554389320723561</v>
      </c>
      <c r="T4478">
        <v>0.14385630943982261</v>
      </c>
      <c r="U4478">
        <v>4.2695416864708866</v>
      </c>
      <c r="V4478">
        <v>0.1933172563537221</v>
      </c>
      <c r="W4478">
        <v>9.7898263710745201</v>
      </c>
      <c r="X4478">
        <v>0.33948456717816289</v>
      </c>
      <c r="Z4478" t="s">
        <v>392</v>
      </c>
      <c r="AA4478">
        <v>161</v>
      </c>
      <c r="AB4478" t="s">
        <v>4869</v>
      </c>
      <c r="AC4478" t="str">
        <f>HYPERLINK("plots/3FT6Y578R04_015_S31P_20251219032831_M5358ACSA301811_RBGEUFRF04/dpll_52084/txpa_53261.png","plot")</f>
        <v>plot</v>
      </c>
    </row>
    <row r="4479" spans="1:29" hidden="1" x14ac:dyDescent="0.35">
      <c r="A4479" t="s">
        <v>50</v>
      </c>
      <c r="B4479">
        <v>52084</v>
      </c>
      <c r="C4479" t="s">
        <v>52</v>
      </c>
      <c r="D4479">
        <v>53262</v>
      </c>
      <c r="E4479" t="s">
        <v>137</v>
      </c>
      <c r="F4479">
        <v>11781</v>
      </c>
      <c r="G4479">
        <v>0.84650457339762142</v>
      </c>
      <c r="H4479">
        <v>0</v>
      </c>
      <c r="I4479">
        <v>0</v>
      </c>
      <c r="J4479">
        <v>0.74068470038326728</v>
      </c>
      <c r="K4479">
        <v>0</v>
      </c>
      <c r="L4479">
        <v>0</v>
      </c>
      <c r="M4479">
        <v>0.54898698151396597</v>
      </c>
      <c r="N4479">
        <v>0</v>
      </c>
      <c r="O4479">
        <v>0</v>
      </c>
      <c r="P4479">
        <v>0.71656999278308897</v>
      </c>
      <c r="Q4479">
        <v>1.5010265846796449</v>
      </c>
      <c r="R4479">
        <v>3.3922676701413268</v>
      </c>
      <c r="S4479">
        <v>0.1824941618843795</v>
      </c>
      <c r="T4479">
        <v>0.14284445402693091</v>
      </c>
      <c r="U4479">
        <v>4.2695489746201511</v>
      </c>
      <c r="V4479">
        <v>0.19332384277072681</v>
      </c>
      <c r="W4479">
        <v>9.8009741856378909</v>
      </c>
      <c r="X4479">
        <v>0.34280290570265209</v>
      </c>
      <c r="Z4479" t="s">
        <v>392</v>
      </c>
      <c r="AA4479">
        <v>161</v>
      </c>
      <c r="AB4479" t="s">
        <v>4870</v>
      </c>
      <c r="AC4479" t="str">
        <f>HYPERLINK("plots/3FT6Y578R04_015_S31P_20251219032831_M5358ACSA301811_RBGEUFRF04/dpll_52084/txpa_53262.png","plot")</f>
        <v>plot</v>
      </c>
    </row>
    <row r="4480" spans="1:29" hidden="1" x14ac:dyDescent="0.35">
      <c r="A4480" t="s">
        <v>50</v>
      </c>
      <c r="B4480">
        <v>52084</v>
      </c>
      <c r="C4480" t="s">
        <v>52</v>
      </c>
      <c r="D4480">
        <v>53263</v>
      </c>
      <c r="E4480" t="s">
        <v>138</v>
      </c>
      <c r="F4480">
        <v>11781</v>
      </c>
      <c r="G4480">
        <v>0.8486556292164168</v>
      </c>
      <c r="H4480">
        <v>0</v>
      </c>
      <c r="I4480">
        <v>0</v>
      </c>
      <c r="J4480">
        <v>0.74010696335300652</v>
      </c>
      <c r="K4480">
        <v>0</v>
      </c>
      <c r="L4480">
        <v>0</v>
      </c>
      <c r="M4480">
        <v>0.54753748791642809</v>
      </c>
      <c r="N4480">
        <v>0</v>
      </c>
      <c r="O4480">
        <v>0</v>
      </c>
      <c r="P4480">
        <v>0.72021637700071228</v>
      </c>
      <c r="Q4480">
        <v>1.503586734051821</v>
      </c>
      <c r="R4480">
        <v>3.359556219558717</v>
      </c>
      <c r="S4480">
        <v>0.1811500176440167</v>
      </c>
      <c r="T4480">
        <v>0.14204780430878969</v>
      </c>
      <c r="U4480">
        <v>4.2695174021729896</v>
      </c>
      <c r="V4480">
        <v>0.19330748901132719</v>
      </c>
      <c r="W4480">
        <v>9.7791459462694164</v>
      </c>
      <c r="X4480">
        <v>0.34248824383415399</v>
      </c>
      <c r="Z4480" t="s">
        <v>392</v>
      </c>
      <c r="AA4480">
        <v>161</v>
      </c>
      <c r="AB4480" t="s">
        <v>4871</v>
      </c>
      <c r="AC4480" t="str">
        <f>HYPERLINK("plots/3FT6Y578R04_015_S31P_20251219032831_M5358ACSA301811_RBGEUFRF04/dpll_52084/txpa_53263.png","plot")</f>
        <v>plot</v>
      </c>
    </row>
    <row r="4481" spans="1:29" hidden="1" x14ac:dyDescent="0.35">
      <c r="A4481" t="s">
        <v>50</v>
      </c>
      <c r="B4481">
        <v>52084</v>
      </c>
      <c r="C4481" t="s">
        <v>52</v>
      </c>
      <c r="D4481">
        <v>53264</v>
      </c>
      <c r="E4481" t="s">
        <v>139</v>
      </c>
      <c r="F4481">
        <v>11781</v>
      </c>
      <c r="G4481">
        <v>0.850860809369825</v>
      </c>
      <c r="H4481">
        <v>0</v>
      </c>
      <c r="I4481">
        <v>0</v>
      </c>
      <c r="J4481">
        <v>0.74973185684998589</v>
      </c>
      <c r="K4481">
        <v>0</v>
      </c>
      <c r="L4481">
        <v>0</v>
      </c>
      <c r="M4481">
        <v>0.55721127484687583</v>
      </c>
      <c r="N4481">
        <v>0</v>
      </c>
      <c r="O4481">
        <v>0</v>
      </c>
      <c r="P4481">
        <v>0.72396411692147367</v>
      </c>
      <c r="Q4481">
        <v>1.5144501716698699</v>
      </c>
      <c r="R4481">
        <v>3.3179283025997721</v>
      </c>
      <c r="S4481">
        <v>0.18075623904669161</v>
      </c>
      <c r="T4481">
        <v>0.1420960543108192</v>
      </c>
      <c r="U4481">
        <v>4.2695129435531793</v>
      </c>
      <c r="V4481">
        <v>0.1933002831720991</v>
      </c>
      <c r="W4481">
        <v>9.783892912910618</v>
      </c>
      <c r="X4481">
        <v>0.34405585944266909</v>
      </c>
      <c r="Z4481" t="s">
        <v>392</v>
      </c>
      <c r="AA4481">
        <v>161</v>
      </c>
      <c r="AB4481" t="s">
        <v>4872</v>
      </c>
      <c r="AC4481" t="str">
        <f>HYPERLINK("plots/3FT6Y578R04_015_S31P_20251219032831_M5358ACSA301811_RBGEUFRF04/dpll_52084/txpa_53264.png","plot")</f>
        <v>plot</v>
      </c>
    </row>
    <row r="4482" spans="1:29" hidden="1" x14ac:dyDescent="0.35">
      <c r="A4482" t="s">
        <v>50</v>
      </c>
      <c r="B4482">
        <v>52084</v>
      </c>
      <c r="C4482" t="s">
        <v>52</v>
      </c>
      <c r="D4482">
        <v>53265</v>
      </c>
      <c r="E4482" t="s">
        <v>140</v>
      </c>
      <c r="F4482">
        <v>11782</v>
      </c>
      <c r="G4482">
        <v>0.84804779463023805</v>
      </c>
      <c r="H4482">
        <v>0</v>
      </c>
      <c r="I4482">
        <v>0</v>
      </c>
      <c r="J4482">
        <v>0.74078647804295406</v>
      </c>
      <c r="K4482">
        <v>0</v>
      </c>
      <c r="L4482">
        <v>0</v>
      </c>
      <c r="M4482">
        <v>0.54918679259564129</v>
      </c>
      <c r="N4482">
        <v>0</v>
      </c>
      <c r="O4482">
        <v>0</v>
      </c>
      <c r="P4482">
        <v>0.71918506197721044</v>
      </c>
      <c r="Q4482">
        <v>1.4993588147887229</v>
      </c>
      <c r="R4482">
        <v>3.3900112839293941</v>
      </c>
      <c r="S4482">
        <v>0.1811121319944114</v>
      </c>
      <c r="T4482">
        <v>0.14218143348138451</v>
      </c>
      <c r="U4482">
        <v>4.2695416864708866</v>
      </c>
      <c r="V4482">
        <v>0.1933172563537221</v>
      </c>
      <c r="W4482">
        <v>9.7915862466474284</v>
      </c>
      <c r="X4482">
        <v>0.34178726034079748</v>
      </c>
      <c r="Z4482" t="s">
        <v>392</v>
      </c>
      <c r="AA4482">
        <v>161</v>
      </c>
      <c r="AB4482" t="s">
        <v>4873</v>
      </c>
      <c r="AC4482" t="str">
        <f>HYPERLINK("plots/3FT6Y578R04_015_S31P_20251219032831_M5358ACSA301811_RBGEUFRF04/dpll_52084/txpa_53265.png","plot")</f>
        <v>plot</v>
      </c>
    </row>
    <row r="4483" spans="1:29" hidden="1" x14ac:dyDescent="0.35">
      <c r="A4483" t="s">
        <v>50</v>
      </c>
      <c r="B4483">
        <v>52084</v>
      </c>
      <c r="C4483" t="s">
        <v>52</v>
      </c>
      <c r="D4483">
        <v>53266</v>
      </c>
      <c r="E4483" t="s">
        <v>141</v>
      </c>
      <c r="F4483">
        <v>11781</v>
      </c>
      <c r="G4483">
        <v>0.84371981420350417</v>
      </c>
      <c r="H4483">
        <v>0</v>
      </c>
      <c r="I4483">
        <v>0</v>
      </c>
      <c r="J4483">
        <v>0.73706830992800032</v>
      </c>
      <c r="K4483">
        <v>0</v>
      </c>
      <c r="L4483">
        <v>0</v>
      </c>
      <c r="M4483">
        <v>0.54594804752057369</v>
      </c>
      <c r="N4483">
        <v>0</v>
      </c>
      <c r="O4483">
        <v>0</v>
      </c>
      <c r="P4483">
        <v>0.71186312487959558</v>
      </c>
      <c r="Q4483">
        <v>1.4883007623555169</v>
      </c>
      <c r="R4483">
        <v>3.406793352375789</v>
      </c>
      <c r="S4483">
        <v>0.18303346848977009</v>
      </c>
      <c r="T4483">
        <v>0.14260046410478469</v>
      </c>
      <c r="U4483">
        <v>4.2695633024361257</v>
      </c>
      <c r="V4483">
        <v>0.19331122175495491</v>
      </c>
      <c r="W4483">
        <v>9.7611876703166125</v>
      </c>
      <c r="X4483">
        <v>0.34099618601629927</v>
      </c>
      <c r="Z4483" t="s">
        <v>392</v>
      </c>
      <c r="AA4483">
        <v>161</v>
      </c>
      <c r="AB4483" t="s">
        <v>4874</v>
      </c>
      <c r="AC4483" t="str">
        <f>HYPERLINK("plots/3FT6Y578R04_015_S31P_20251219032831_M5358ACSA301811_RBGEUFRF04/dpll_52084/txpa_53266.png","plot")</f>
        <v>plot</v>
      </c>
    </row>
    <row r="4484" spans="1:29" hidden="1" x14ac:dyDescent="0.35">
      <c r="A4484" t="s">
        <v>50</v>
      </c>
      <c r="B4484">
        <v>52084</v>
      </c>
      <c r="C4484" t="s">
        <v>52</v>
      </c>
      <c r="D4484">
        <v>53267</v>
      </c>
      <c r="E4484" t="s">
        <v>142</v>
      </c>
      <c r="F4484">
        <v>11782</v>
      </c>
      <c r="G4484">
        <v>0.83097062086980933</v>
      </c>
      <c r="H4484">
        <v>0</v>
      </c>
      <c r="I4484">
        <v>0</v>
      </c>
      <c r="J4484">
        <v>0.72859636936785344</v>
      </c>
      <c r="K4484">
        <v>0</v>
      </c>
      <c r="L4484">
        <v>0</v>
      </c>
      <c r="M4484">
        <v>0.53521559091089166</v>
      </c>
      <c r="N4484">
        <v>0</v>
      </c>
      <c r="O4484">
        <v>0</v>
      </c>
      <c r="P4484">
        <v>0.69051217274875643</v>
      </c>
      <c r="Q4484">
        <v>1.495748085959512</v>
      </c>
      <c r="R4484">
        <v>3.8313099921093912</v>
      </c>
      <c r="S4484">
        <v>0.19357388390149069</v>
      </c>
      <c r="T4484">
        <v>0.14869301905883431</v>
      </c>
      <c r="U4484">
        <v>4.2695416864708866</v>
      </c>
      <c r="V4484">
        <v>0.1933172563537221</v>
      </c>
      <c r="W4484">
        <v>10.21746879757257</v>
      </c>
      <c r="X4484">
        <v>0.34797128672413868</v>
      </c>
      <c r="Z4484" t="s">
        <v>392</v>
      </c>
      <c r="AA4484">
        <v>161</v>
      </c>
      <c r="AB4484" t="s">
        <v>4875</v>
      </c>
      <c r="AC4484" t="str">
        <f>HYPERLINK("plots/3FT6Y578R04_015_S31P_20251219032831_M5358ACSA301811_RBGEUFRF04/dpll_52084/txpa_53267.png","plot")</f>
        <v>plot</v>
      </c>
    </row>
    <row r="4485" spans="1:29" hidden="1" x14ac:dyDescent="0.35">
      <c r="A4485" t="s">
        <v>50</v>
      </c>
      <c r="B4485">
        <v>52084</v>
      </c>
      <c r="C4485" t="s">
        <v>52</v>
      </c>
      <c r="D4485">
        <v>53268</v>
      </c>
      <c r="E4485" t="s">
        <v>143</v>
      </c>
      <c r="F4485">
        <v>11782</v>
      </c>
      <c r="G4485">
        <v>0.84367784759742193</v>
      </c>
      <c r="H4485">
        <v>0</v>
      </c>
      <c r="I4485">
        <v>0</v>
      </c>
      <c r="J4485">
        <v>0.74067576311563121</v>
      </c>
      <c r="K4485">
        <v>0</v>
      </c>
      <c r="L4485">
        <v>0</v>
      </c>
      <c r="M4485">
        <v>0.54923865520149251</v>
      </c>
      <c r="N4485">
        <v>0</v>
      </c>
      <c r="O4485">
        <v>0</v>
      </c>
      <c r="P4485">
        <v>0.71179231052661873</v>
      </c>
      <c r="Q4485">
        <v>1.5294977360129629</v>
      </c>
      <c r="R4485">
        <v>3.722647322745769</v>
      </c>
      <c r="S4485">
        <v>0.18813827854494261</v>
      </c>
      <c r="T4485">
        <v>0.14634275347698181</v>
      </c>
      <c r="U4485">
        <v>4.2695416864708866</v>
      </c>
      <c r="V4485">
        <v>0.1933172563537221</v>
      </c>
      <c r="W4485">
        <v>10.25290166601596</v>
      </c>
      <c r="X4485">
        <v>0.35046351728597769</v>
      </c>
      <c r="Z4485" t="s">
        <v>392</v>
      </c>
      <c r="AA4485">
        <v>161</v>
      </c>
      <c r="AB4485" t="s">
        <v>4876</v>
      </c>
      <c r="AC4485" t="str">
        <f>HYPERLINK("plots/3FT6Y578R04_015_S31P_20251219032831_M5358ACSA301811_RBGEUFRF04/dpll_52084/txpa_53268.png","plot")</f>
        <v>plot</v>
      </c>
    </row>
    <row r="4486" spans="1:29" hidden="1" x14ac:dyDescent="0.35">
      <c r="A4486" t="s">
        <v>50</v>
      </c>
      <c r="B4486">
        <v>52084</v>
      </c>
      <c r="C4486" t="s">
        <v>52</v>
      </c>
      <c r="D4486">
        <v>53269</v>
      </c>
      <c r="E4486" t="s">
        <v>144</v>
      </c>
      <c r="F4486">
        <v>11782</v>
      </c>
      <c r="G4486">
        <v>0.83954394730803306</v>
      </c>
      <c r="H4486">
        <v>0</v>
      </c>
      <c r="I4486">
        <v>0</v>
      </c>
      <c r="J4486">
        <v>0.73312614973708501</v>
      </c>
      <c r="K4486">
        <v>0</v>
      </c>
      <c r="L4486">
        <v>0</v>
      </c>
      <c r="M4486">
        <v>0.54102718548486006</v>
      </c>
      <c r="N4486">
        <v>0</v>
      </c>
      <c r="O4486">
        <v>0</v>
      </c>
      <c r="P4486">
        <v>0.70483403946155343</v>
      </c>
      <c r="Q4486">
        <v>1.498176298809663</v>
      </c>
      <c r="R4486">
        <v>3.8725601293320291</v>
      </c>
      <c r="S4486">
        <v>0.18741520177638549</v>
      </c>
      <c r="T4486">
        <v>0.14513260989102261</v>
      </c>
      <c r="U4486">
        <v>4.2695416864708866</v>
      </c>
      <c r="V4486">
        <v>0.1933172563537221</v>
      </c>
      <c r="W4486">
        <v>10.26908629078255</v>
      </c>
      <c r="X4486">
        <v>0.34497697535516142</v>
      </c>
      <c r="Z4486" t="s">
        <v>392</v>
      </c>
      <c r="AA4486">
        <v>161</v>
      </c>
      <c r="AB4486" t="s">
        <v>4877</v>
      </c>
      <c r="AC4486" t="str">
        <f>HYPERLINK("plots/3FT6Y578R04_015_S31P_20251219032831_M5358ACSA301811_RBGEUFRF04/dpll_52084/txpa_53269.png","plot")</f>
        <v>plot</v>
      </c>
    </row>
    <row r="4487" spans="1:29" hidden="1" x14ac:dyDescent="0.35">
      <c r="A4487" t="s">
        <v>50</v>
      </c>
      <c r="B4487">
        <v>52084</v>
      </c>
      <c r="C4487" t="s">
        <v>52</v>
      </c>
      <c r="D4487">
        <v>53270</v>
      </c>
      <c r="E4487" t="s">
        <v>145</v>
      </c>
      <c r="F4487">
        <v>11781</v>
      </c>
      <c r="G4487">
        <v>0.84849915590636915</v>
      </c>
      <c r="H4487">
        <v>0</v>
      </c>
      <c r="I4487">
        <v>0</v>
      </c>
      <c r="J4487">
        <v>0.74225072348911736</v>
      </c>
      <c r="K4487">
        <v>0</v>
      </c>
      <c r="L4487">
        <v>0</v>
      </c>
      <c r="M4487">
        <v>0.55047496442026833</v>
      </c>
      <c r="N4487">
        <v>0</v>
      </c>
      <c r="O4487">
        <v>0</v>
      </c>
      <c r="P4487">
        <v>0.71995081757382096</v>
      </c>
      <c r="Q4487">
        <v>1.5290798101804239</v>
      </c>
      <c r="R4487">
        <v>3.7516178918337042</v>
      </c>
      <c r="S4487">
        <v>0.18435837877343661</v>
      </c>
      <c r="T4487">
        <v>0.14418326020055361</v>
      </c>
      <c r="U4487">
        <v>4.2695489746201511</v>
      </c>
      <c r="V4487">
        <v>0.19332384277072681</v>
      </c>
      <c r="W4487">
        <v>10.28009902750191</v>
      </c>
      <c r="X4487">
        <v>0.34838877888033259</v>
      </c>
      <c r="Z4487" t="s">
        <v>392</v>
      </c>
      <c r="AA4487">
        <v>161</v>
      </c>
      <c r="AB4487" t="s">
        <v>4878</v>
      </c>
      <c r="AC4487" t="str">
        <f>HYPERLINK("plots/3FT6Y578R04_015_S31P_20251219032831_M5358ACSA301811_RBGEUFRF04/dpll_52084/txpa_53270.png","plot")</f>
        <v>plot</v>
      </c>
    </row>
    <row r="4488" spans="1:29" hidden="1" x14ac:dyDescent="0.35">
      <c r="A4488" t="s">
        <v>50</v>
      </c>
      <c r="B4488">
        <v>52084</v>
      </c>
      <c r="C4488" t="s">
        <v>52</v>
      </c>
      <c r="D4488">
        <v>53271</v>
      </c>
      <c r="E4488" t="s">
        <v>146</v>
      </c>
      <c r="F4488">
        <v>11781</v>
      </c>
      <c r="G4488">
        <v>0.85059034197507566</v>
      </c>
      <c r="H4488">
        <v>0</v>
      </c>
      <c r="I4488">
        <v>0</v>
      </c>
      <c r="J4488">
        <v>0.74166604180179407</v>
      </c>
      <c r="K4488">
        <v>0</v>
      </c>
      <c r="L4488">
        <v>0</v>
      </c>
      <c r="M4488">
        <v>0.54900152658156975</v>
      </c>
      <c r="N4488">
        <v>0</v>
      </c>
      <c r="O4488">
        <v>0</v>
      </c>
      <c r="P4488">
        <v>0.72350392986127621</v>
      </c>
      <c r="Q4488">
        <v>1.5314291686241901</v>
      </c>
      <c r="R4488">
        <v>3.7193352508037361</v>
      </c>
      <c r="S4488">
        <v>0.18300004468653491</v>
      </c>
      <c r="T4488">
        <v>0.14339954604174551</v>
      </c>
      <c r="U4488">
        <v>4.2695174021729896</v>
      </c>
      <c r="V4488">
        <v>0.19330748901132719</v>
      </c>
      <c r="W4488">
        <v>10.25779873644003</v>
      </c>
      <c r="X4488">
        <v>0.34803678407404381</v>
      </c>
      <c r="Z4488" t="s">
        <v>392</v>
      </c>
      <c r="AA4488">
        <v>161</v>
      </c>
      <c r="AB4488" t="s">
        <v>4879</v>
      </c>
      <c r="AC4488" t="str">
        <f>HYPERLINK("plots/3FT6Y578R04_015_S31P_20251219032831_M5358ACSA301811_RBGEUFRF04/dpll_52084/txpa_53271.png","plot")</f>
        <v>plot</v>
      </c>
    </row>
    <row r="4489" spans="1:29" hidden="1" x14ac:dyDescent="0.35">
      <c r="A4489" t="s">
        <v>50</v>
      </c>
      <c r="B4489">
        <v>52084</v>
      </c>
      <c r="C4489" t="s">
        <v>52</v>
      </c>
      <c r="D4489">
        <v>53272</v>
      </c>
      <c r="E4489" t="s">
        <v>147</v>
      </c>
      <c r="F4489">
        <v>11781</v>
      </c>
      <c r="G4489">
        <v>0.85264078537130916</v>
      </c>
      <c r="H4489">
        <v>0</v>
      </c>
      <c r="I4489">
        <v>0</v>
      </c>
      <c r="J4489">
        <v>0.75086057194284839</v>
      </c>
      <c r="K4489">
        <v>0</v>
      </c>
      <c r="L4489">
        <v>0</v>
      </c>
      <c r="M4489">
        <v>0.55828990345515672</v>
      </c>
      <c r="N4489">
        <v>0</v>
      </c>
      <c r="O4489">
        <v>0</v>
      </c>
      <c r="P4489">
        <v>0.72699630887860289</v>
      </c>
      <c r="Q4489">
        <v>1.541771100331411</v>
      </c>
      <c r="R4489">
        <v>3.680275764463659</v>
      </c>
      <c r="S4489">
        <v>0.1826215879568486</v>
      </c>
      <c r="T4489">
        <v>0.14341928946819729</v>
      </c>
      <c r="U4489">
        <v>4.2695129435531793</v>
      </c>
      <c r="V4489">
        <v>0.1933002831720991</v>
      </c>
      <c r="W4489">
        <v>10.262887433324851</v>
      </c>
      <c r="X4489">
        <v>0.34953147373877541</v>
      </c>
      <c r="Z4489" t="s">
        <v>392</v>
      </c>
      <c r="AA4489">
        <v>161</v>
      </c>
      <c r="AB4489" t="s">
        <v>4880</v>
      </c>
      <c r="AC4489" t="str">
        <f>HYPERLINK("plots/3FT6Y578R04_015_S31P_20251219032831_M5358ACSA301811_RBGEUFRF04/dpll_52084/txpa_53272.png","plot")</f>
        <v>plot</v>
      </c>
    </row>
    <row r="4490" spans="1:29" hidden="1" x14ac:dyDescent="0.35">
      <c r="A4490" t="s">
        <v>50</v>
      </c>
      <c r="B4490">
        <v>52084</v>
      </c>
      <c r="C4490" t="s">
        <v>52</v>
      </c>
      <c r="D4490">
        <v>53273</v>
      </c>
      <c r="E4490" t="s">
        <v>148</v>
      </c>
      <c r="F4490">
        <v>11782</v>
      </c>
      <c r="G4490">
        <v>0.84997715258631357</v>
      </c>
      <c r="H4490">
        <v>0</v>
      </c>
      <c r="I4490">
        <v>0</v>
      </c>
      <c r="J4490">
        <v>0.7421595053485085</v>
      </c>
      <c r="K4490">
        <v>0</v>
      </c>
      <c r="L4490">
        <v>0</v>
      </c>
      <c r="M4490">
        <v>0.55051670289702748</v>
      </c>
      <c r="N4490">
        <v>0</v>
      </c>
      <c r="O4490">
        <v>0</v>
      </c>
      <c r="P4490">
        <v>0.72246115991873738</v>
      </c>
      <c r="Q4490">
        <v>1.526907258223724</v>
      </c>
      <c r="R4490">
        <v>3.751354001541745</v>
      </c>
      <c r="S4490">
        <v>0.1829445531121765</v>
      </c>
      <c r="T4490">
        <v>0.14345735919994951</v>
      </c>
      <c r="U4490">
        <v>4.2695416864708866</v>
      </c>
      <c r="V4490">
        <v>0.1933172563537221</v>
      </c>
      <c r="W4490">
        <v>10.2705481919029</v>
      </c>
      <c r="X4490">
        <v>0.3472770073504064</v>
      </c>
      <c r="Z4490" t="s">
        <v>392</v>
      </c>
      <c r="AA4490">
        <v>161</v>
      </c>
      <c r="AB4490" t="s">
        <v>4881</v>
      </c>
      <c r="AC4490" t="str">
        <f>HYPERLINK("plots/3FT6Y578R04_015_S31P_20251219032831_M5358ACSA301811_RBGEUFRF04/dpll_52084/txpa_53273.png","plot")</f>
        <v>plot</v>
      </c>
    </row>
    <row r="4491" spans="1:29" hidden="1" x14ac:dyDescent="0.35">
      <c r="A4491" t="s">
        <v>50</v>
      </c>
      <c r="B4491">
        <v>52084</v>
      </c>
      <c r="C4491" t="s">
        <v>52</v>
      </c>
      <c r="D4491">
        <v>53274</v>
      </c>
      <c r="E4491" t="s">
        <v>149</v>
      </c>
      <c r="F4491">
        <v>11781</v>
      </c>
      <c r="G4491">
        <v>0.84558973392459214</v>
      </c>
      <c r="H4491">
        <v>0</v>
      </c>
      <c r="I4491">
        <v>0</v>
      </c>
      <c r="J4491">
        <v>0.7384028248023653</v>
      </c>
      <c r="K4491">
        <v>0</v>
      </c>
      <c r="L4491">
        <v>0</v>
      </c>
      <c r="M4491">
        <v>0.54720405397044636</v>
      </c>
      <c r="N4491">
        <v>0</v>
      </c>
      <c r="O4491">
        <v>0</v>
      </c>
      <c r="P4491">
        <v>0.71502199811866252</v>
      </c>
      <c r="Q4491">
        <v>1.5151890897039391</v>
      </c>
      <c r="R4491">
        <v>3.7709548881123198</v>
      </c>
      <c r="S4491">
        <v>0.184906183268118</v>
      </c>
      <c r="T4491">
        <v>0.14397006360784581</v>
      </c>
      <c r="U4491">
        <v>4.2695633024361257</v>
      </c>
      <c r="V4491">
        <v>0.19331122175495491</v>
      </c>
      <c r="W4491">
        <v>10.24015062176386</v>
      </c>
      <c r="X4491">
        <v>0.34638908488281939</v>
      </c>
      <c r="Z4491" t="s">
        <v>392</v>
      </c>
      <c r="AA4491">
        <v>161</v>
      </c>
      <c r="AB4491" t="s">
        <v>4882</v>
      </c>
      <c r="AC4491" t="str">
        <f>HYPERLINK("plots/3FT6Y578R04_015_S31P_20251219032831_M5358ACSA301811_RBGEUFRF04/dpll_52084/txpa_53274.png","plot")</f>
        <v>plot</v>
      </c>
    </row>
    <row r="4492" spans="1:29" hidden="1" x14ac:dyDescent="0.35">
      <c r="A4492" t="s">
        <v>50</v>
      </c>
      <c r="B4492">
        <v>52084</v>
      </c>
      <c r="C4492" t="s">
        <v>52</v>
      </c>
      <c r="D4492">
        <v>53275</v>
      </c>
      <c r="E4492" t="s">
        <v>150</v>
      </c>
      <c r="F4492">
        <v>11782</v>
      </c>
      <c r="G4492">
        <v>0.8370260354194301</v>
      </c>
      <c r="H4492">
        <v>0</v>
      </c>
      <c r="I4492">
        <v>0</v>
      </c>
      <c r="J4492">
        <v>0.73366418314936555</v>
      </c>
      <c r="K4492">
        <v>0</v>
      </c>
      <c r="L4492">
        <v>0</v>
      </c>
      <c r="M4492">
        <v>0.53995170656606861</v>
      </c>
      <c r="N4492">
        <v>0</v>
      </c>
      <c r="O4492">
        <v>0</v>
      </c>
      <c r="P4492">
        <v>0.70061258396996906</v>
      </c>
      <c r="Q4492">
        <v>1.57983905152726</v>
      </c>
      <c r="R4492">
        <v>5.0319534962782413</v>
      </c>
      <c r="S4492">
        <v>0.19963783000816709</v>
      </c>
      <c r="T4492">
        <v>0.1528094623742372</v>
      </c>
      <c r="U4492">
        <v>4.2695416864708866</v>
      </c>
      <c r="V4492">
        <v>0.1933172563537221</v>
      </c>
      <c r="W4492">
        <v>11.777142184688509</v>
      </c>
      <c r="X4492">
        <v>0.36487533003519651</v>
      </c>
      <c r="Z4492" t="s">
        <v>392</v>
      </c>
      <c r="AA4492">
        <v>161</v>
      </c>
      <c r="AB4492" t="s">
        <v>4883</v>
      </c>
      <c r="AC4492" t="str">
        <f>HYPERLINK("plots/3FT6Y578R04_015_S31P_20251219032831_M5358ACSA301811_RBGEUFRF04/dpll_52084/txpa_53275.png","plot")</f>
        <v>plot</v>
      </c>
    </row>
    <row r="4493" spans="1:29" hidden="1" x14ac:dyDescent="0.35">
      <c r="A4493" t="s">
        <v>50</v>
      </c>
      <c r="B4493">
        <v>52084</v>
      </c>
      <c r="C4493" t="s">
        <v>52</v>
      </c>
      <c r="D4493">
        <v>53276</v>
      </c>
      <c r="E4493" t="s">
        <v>151</v>
      </c>
      <c r="F4493">
        <v>11782</v>
      </c>
      <c r="G4493">
        <v>0.84904353462803139</v>
      </c>
      <c r="H4493">
        <v>0</v>
      </c>
      <c r="I4493">
        <v>0</v>
      </c>
      <c r="J4493">
        <v>0.745237460469659</v>
      </c>
      <c r="K4493">
        <v>0</v>
      </c>
      <c r="L4493">
        <v>0</v>
      </c>
      <c r="M4493">
        <v>0.55372448349977144</v>
      </c>
      <c r="N4493">
        <v>0</v>
      </c>
      <c r="O4493">
        <v>0</v>
      </c>
      <c r="P4493">
        <v>0.72087492369366113</v>
      </c>
      <c r="Q4493">
        <v>1.614674309675965</v>
      </c>
      <c r="R4493">
        <v>4.9194242411457836</v>
      </c>
      <c r="S4493">
        <v>0.1942256552382427</v>
      </c>
      <c r="T4493">
        <v>0.1505964177451703</v>
      </c>
      <c r="U4493">
        <v>4.2695416864708866</v>
      </c>
      <c r="V4493">
        <v>0.1933172563537221</v>
      </c>
      <c r="W4493">
        <v>11.81334351638092</v>
      </c>
      <c r="X4493">
        <v>0.36764240550768601</v>
      </c>
      <c r="Z4493" t="s">
        <v>392</v>
      </c>
      <c r="AA4493">
        <v>161</v>
      </c>
      <c r="AB4493" t="s">
        <v>4884</v>
      </c>
      <c r="AC4493" t="str">
        <f>HYPERLINK("plots/3FT6Y578R04_015_S31P_20251219032831_M5358ACSA301811_RBGEUFRF04/dpll_52084/txpa_53276.png","plot")</f>
        <v>plot</v>
      </c>
    </row>
    <row r="4494" spans="1:29" hidden="1" x14ac:dyDescent="0.35">
      <c r="A4494" t="s">
        <v>50</v>
      </c>
      <c r="B4494">
        <v>52084</v>
      </c>
      <c r="C4494" t="s">
        <v>52</v>
      </c>
      <c r="D4494">
        <v>53277</v>
      </c>
      <c r="E4494" t="s">
        <v>152</v>
      </c>
      <c r="F4494">
        <v>11782</v>
      </c>
      <c r="G4494">
        <v>0.84558036783128154</v>
      </c>
      <c r="H4494">
        <v>0</v>
      </c>
      <c r="I4494">
        <v>0</v>
      </c>
      <c r="J4494">
        <v>0.73841557946162384</v>
      </c>
      <c r="K4494">
        <v>0</v>
      </c>
      <c r="L4494">
        <v>0</v>
      </c>
      <c r="M4494">
        <v>0.5460601251062126</v>
      </c>
      <c r="N4494">
        <v>0</v>
      </c>
      <c r="O4494">
        <v>0</v>
      </c>
      <c r="P4494">
        <v>0.71500615846168536</v>
      </c>
      <c r="Q4494">
        <v>1.5829551831240869</v>
      </c>
      <c r="R4494">
        <v>5.0714147291657001</v>
      </c>
      <c r="S4494">
        <v>0.1931895617485285</v>
      </c>
      <c r="T4494">
        <v>0.14900733871252961</v>
      </c>
      <c r="U4494">
        <v>4.2695416864708866</v>
      </c>
      <c r="V4494">
        <v>0.1933172563537221</v>
      </c>
      <c r="W4494">
        <v>11.82990787132915</v>
      </c>
      <c r="X4494">
        <v>0.36189647320845902</v>
      </c>
      <c r="Z4494" t="s">
        <v>392</v>
      </c>
      <c r="AA4494">
        <v>161</v>
      </c>
      <c r="AB4494" t="s">
        <v>4885</v>
      </c>
      <c r="AC4494" t="str">
        <f>HYPERLINK("plots/3FT6Y578R04_015_S31P_20251219032831_M5358ACSA301811_RBGEUFRF04/dpll_52084/txpa_53277.png","plot")</f>
        <v>plot</v>
      </c>
    </row>
    <row r="4495" spans="1:29" hidden="1" x14ac:dyDescent="0.35">
      <c r="A4495" t="s">
        <v>50</v>
      </c>
      <c r="B4495">
        <v>52084</v>
      </c>
      <c r="C4495" t="s">
        <v>52</v>
      </c>
      <c r="D4495">
        <v>53278</v>
      </c>
      <c r="E4495" t="s">
        <v>153</v>
      </c>
      <c r="F4495">
        <v>11781</v>
      </c>
      <c r="G4495">
        <v>0.85377924017935247</v>
      </c>
      <c r="H4495">
        <v>0</v>
      </c>
      <c r="I4495">
        <v>0</v>
      </c>
      <c r="J4495">
        <v>0.74666118073500842</v>
      </c>
      <c r="K4495">
        <v>0</v>
      </c>
      <c r="L4495">
        <v>0</v>
      </c>
      <c r="M4495">
        <v>0.55474936736711722</v>
      </c>
      <c r="N4495">
        <v>0</v>
      </c>
      <c r="O4495">
        <v>0</v>
      </c>
      <c r="P4495">
        <v>0.72893899096123238</v>
      </c>
      <c r="Q4495">
        <v>1.614080354181695</v>
      </c>
      <c r="R4495">
        <v>4.9500947727459694</v>
      </c>
      <c r="S4495">
        <v>0.1902742736033079</v>
      </c>
      <c r="T4495">
        <v>0.1484312461789298</v>
      </c>
      <c r="U4495">
        <v>4.2695489746201511</v>
      </c>
      <c r="V4495">
        <v>0.19332384277072681</v>
      </c>
      <c r="W4495">
        <v>11.84148989389695</v>
      </c>
      <c r="X4495">
        <v>0.36548114773274532</v>
      </c>
      <c r="Z4495" t="s">
        <v>392</v>
      </c>
      <c r="AA4495">
        <v>161</v>
      </c>
      <c r="AB4495" t="s">
        <v>4886</v>
      </c>
      <c r="AC4495" t="str">
        <f>HYPERLINK("plots/3FT6Y578R04_015_S31P_20251219032831_M5358ACSA301811_RBGEUFRF04/dpll_52084/txpa_53278.png","plot")</f>
        <v>plot</v>
      </c>
    </row>
    <row r="4496" spans="1:29" hidden="1" x14ac:dyDescent="0.35">
      <c r="A4496" t="s">
        <v>50</v>
      </c>
      <c r="B4496">
        <v>52084</v>
      </c>
      <c r="C4496" t="s">
        <v>52</v>
      </c>
      <c r="D4496">
        <v>53279</v>
      </c>
      <c r="E4496" t="s">
        <v>154</v>
      </c>
      <c r="F4496">
        <v>11781</v>
      </c>
      <c r="G4496">
        <v>0.85559169278409597</v>
      </c>
      <c r="H4496">
        <v>0</v>
      </c>
      <c r="I4496">
        <v>0</v>
      </c>
      <c r="J4496">
        <v>0.74622814828259998</v>
      </c>
      <c r="K4496">
        <v>0</v>
      </c>
      <c r="L4496">
        <v>0</v>
      </c>
      <c r="M4496">
        <v>0.55338840105319897</v>
      </c>
      <c r="N4496">
        <v>0</v>
      </c>
      <c r="O4496">
        <v>0</v>
      </c>
      <c r="P4496">
        <v>0.73203714476115489</v>
      </c>
      <c r="Q4496">
        <v>1.6175506318385151</v>
      </c>
      <c r="R4496">
        <v>4.9110654050419873</v>
      </c>
      <c r="S4496">
        <v>0.18917287734021501</v>
      </c>
      <c r="T4496">
        <v>0.14790710834592791</v>
      </c>
      <c r="U4496">
        <v>4.2695174021729896</v>
      </c>
      <c r="V4496">
        <v>0.19330748901132719</v>
      </c>
      <c r="W4496">
        <v>11.817225976572439</v>
      </c>
      <c r="X4496">
        <v>0.36546012966992819</v>
      </c>
      <c r="Z4496" t="s">
        <v>392</v>
      </c>
      <c r="AA4496">
        <v>161</v>
      </c>
      <c r="AB4496" t="s">
        <v>4887</v>
      </c>
      <c r="AC4496" t="str">
        <f>HYPERLINK("plots/3FT6Y578R04_015_S31P_20251219032831_M5358ACSA301811_RBGEUFRF04/dpll_52084/txpa_53279.png","plot")</f>
        <v>plot</v>
      </c>
    </row>
    <row r="4497" spans="1:29" hidden="1" x14ac:dyDescent="0.35">
      <c r="A4497" t="s">
        <v>50</v>
      </c>
      <c r="B4497">
        <v>52084</v>
      </c>
      <c r="C4497" t="s">
        <v>52</v>
      </c>
      <c r="D4497">
        <v>53280</v>
      </c>
      <c r="E4497" t="s">
        <v>155</v>
      </c>
      <c r="F4497">
        <v>11781</v>
      </c>
      <c r="G4497">
        <v>0.85772665471524479</v>
      </c>
      <c r="H4497">
        <v>0</v>
      </c>
      <c r="I4497">
        <v>0</v>
      </c>
      <c r="J4497">
        <v>0.7547726538402808</v>
      </c>
      <c r="K4497">
        <v>0</v>
      </c>
      <c r="L4497">
        <v>0</v>
      </c>
      <c r="M4497">
        <v>0.56223225545935074</v>
      </c>
      <c r="N4497">
        <v>0</v>
      </c>
      <c r="O4497">
        <v>0</v>
      </c>
      <c r="P4497">
        <v>0.73569501420900474</v>
      </c>
      <c r="Q4497">
        <v>1.626811792814199</v>
      </c>
      <c r="R4497">
        <v>4.8778949370684712</v>
      </c>
      <c r="S4497">
        <v>0.18847560273195979</v>
      </c>
      <c r="T4497">
        <v>0.14752558666126309</v>
      </c>
      <c r="U4497">
        <v>4.2695129435531793</v>
      </c>
      <c r="V4497">
        <v>0.1933002831720991</v>
      </c>
      <c r="W4497">
        <v>11.82358894321365</v>
      </c>
      <c r="X4497">
        <v>0.36662400368459253</v>
      </c>
      <c r="Z4497" t="s">
        <v>392</v>
      </c>
      <c r="AA4497">
        <v>161</v>
      </c>
      <c r="AB4497" t="s">
        <v>4888</v>
      </c>
      <c r="AC4497" t="str">
        <f>HYPERLINK("plots/3FT6Y578R04_015_S31P_20251219032831_M5358ACSA301811_RBGEUFRF04/dpll_52084/txpa_53280.png","plot")</f>
        <v>plot</v>
      </c>
    </row>
    <row r="4498" spans="1:29" hidden="1" x14ac:dyDescent="0.35">
      <c r="A4498" t="s">
        <v>50</v>
      </c>
      <c r="B4498">
        <v>52084</v>
      </c>
      <c r="C4498" t="s">
        <v>52</v>
      </c>
      <c r="D4498">
        <v>53281</v>
      </c>
      <c r="E4498" t="s">
        <v>156</v>
      </c>
      <c r="F4498">
        <v>11782</v>
      </c>
      <c r="G4498">
        <v>0.85520242910798872</v>
      </c>
      <c r="H4498">
        <v>0</v>
      </c>
      <c r="I4498">
        <v>0</v>
      </c>
      <c r="J4498">
        <v>0.74658788356357819</v>
      </c>
      <c r="K4498">
        <v>0</v>
      </c>
      <c r="L4498">
        <v>0</v>
      </c>
      <c r="M4498">
        <v>0.55478379961775903</v>
      </c>
      <c r="N4498">
        <v>0</v>
      </c>
      <c r="O4498">
        <v>0</v>
      </c>
      <c r="P4498">
        <v>0.73137119475220447</v>
      </c>
      <c r="Q4498">
        <v>1.612064980421662</v>
      </c>
      <c r="R4498">
        <v>4.9492849091795863</v>
      </c>
      <c r="S4498">
        <v>0.1888609195089121</v>
      </c>
      <c r="T4498">
        <v>0.1475565612859335</v>
      </c>
      <c r="U4498">
        <v>4.2695416864708866</v>
      </c>
      <c r="V4498">
        <v>0.1933172563537221</v>
      </c>
      <c r="W4498">
        <v>11.832063544389751</v>
      </c>
      <c r="X4498">
        <v>0.3644049273855382</v>
      </c>
      <c r="Z4498" t="s">
        <v>392</v>
      </c>
      <c r="AA4498">
        <v>161</v>
      </c>
      <c r="AB4498" t="s">
        <v>4889</v>
      </c>
      <c r="AC4498" t="str">
        <f>HYPERLINK("plots/3FT6Y578R04_015_S31P_20251219032831_M5358ACSA301811_RBGEUFRF04/dpll_52084/txpa_53281.png","plot")</f>
        <v>plot</v>
      </c>
    </row>
    <row r="4499" spans="1:29" hidden="1" x14ac:dyDescent="0.35">
      <c r="A4499" t="s">
        <v>50</v>
      </c>
      <c r="B4499">
        <v>52084</v>
      </c>
      <c r="C4499" t="s">
        <v>52</v>
      </c>
      <c r="D4499">
        <v>53282</v>
      </c>
      <c r="E4499" t="s">
        <v>157</v>
      </c>
      <c r="F4499">
        <v>11779</v>
      </c>
      <c r="G4499">
        <v>0.85140562219845473</v>
      </c>
      <c r="H4499">
        <v>0</v>
      </c>
      <c r="I4499">
        <v>0</v>
      </c>
      <c r="J4499">
        <v>0.74166792931479009</v>
      </c>
      <c r="K4499">
        <v>0</v>
      </c>
      <c r="L4499">
        <v>0</v>
      </c>
      <c r="M4499">
        <v>0.55044009142605443</v>
      </c>
      <c r="N4499">
        <v>0</v>
      </c>
      <c r="O4499">
        <v>0</v>
      </c>
      <c r="P4499">
        <v>0.72489153351113778</v>
      </c>
      <c r="Q4499">
        <v>1.5965280531407171</v>
      </c>
      <c r="R4499">
        <v>4.9857631867449079</v>
      </c>
      <c r="S4499">
        <v>0.1901276421888568</v>
      </c>
      <c r="T4499">
        <v>0.14803519245752669</v>
      </c>
      <c r="U4499">
        <v>4.2695879625604887</v>
      </c>
      <c r="V4499">
        <v>0.19331772691528579</v>
      </c>
      <c r="W4499">
        <v>11.802280144324641</v>
      </c>
      <c r="X4499">
        <v>0.36250309622422211</v>
      </c>
      <c r="Z4499" t="s">
        <v>392</v>
      </c>
      <c r="AA4499">
        <v>161</v>
      </c>
      <c r="AB4499" t="s">
        <v>4890</v>
      </c>
      <c r="AC4499" t="str">
        <f>HYPERLINK("plots/3FT6Y578R04_015_S31P_20251219032831_M5358ACSA301811_RBGEUFRF04/dpll_52084/txpa_53282.png","plot")</f>
        <v>plot</v>
      </c>
    </row>
    <row r="4500" spans="1:29" hidden="1" x14ac:dyDescent="0.35">
      <c r="A4500" t="s">
        <v>50</v>
      </c>
      <c r="B4500">
        <v>52084</v>
      </c>
      <c r="C4500" t="s">
        <v>52</v>
      </c>
      <c r="D4500">
        <v>53283</v>
      </c>
      <c r="E4500" t="s">
        <v>158</v>
      </c>
      <c r="F4500">
        <v>11782</v>
      </c>
      <c r="G4500">
        <v>0.83909160096069058</v>
      </c>
      <c r="H4500">
        <v>0</v>
      </c>
      <c r="I4500">
        <v>0</v>
      </c>
      <c r="J4500">
        <v>0.73504718268075775</v>
      </c>
      <c r="K4500">
        <v>0</v>
      </c>
      <c r="L4500">
        <v>0</v>
      </c>
      <c r="M4500">
        <v>0.54132726332758929</v>
      </c>
      <c r="N4500">
        <v>0</v>
      </c>
      <c r="O4500">
        <v>0</v>
      </c>
      <c r="P4500">
        <v>0.70407471480277484</v>
      </c>
      <c r="Q4500">
        <v>1.6156943585892769</v>
      </c>
      <c r="R4500">
        <v>5.4294840106691664</v>
      </c>
      <c r="S4500">
        <v>0.20248509662408051</v>
      </c>
      <c r="T4500">
        <v>0.15471310901307939</v>
      </c>
      <c r="U4500">
        <v>4.2695416864708866</v>
      </c>
      <c r="V4500">
        <v>0.1933172563537221</v>
      </c>
      <c r="W4500">
        <v>12.327758427261919</v>
      </c>
      <c r="X4500">
        <v>0.3722377868531403</v>
      </c>
      <c r="Z4500" t="s">
        <v>392</v>
      </c>
      <c r="AA4500">
        <v>161</v>
      </c>
      <c r="AB4500" t="s">
        <v>4891</v>
      </c>
      <c r="AC4500" t="str">
        <f>HYPERLINK("plots/3FT6Y578R04_015_S31P_20251219032831_M5358ACSA301811_RBGEUFRF04/dpll_52084/txpa_53283.png","plot")</f>
        <v>plot</v>
      </c>
    </row>
    <row r="4501" spans="1:29" hidden="1" x14ac:dyDescent="0.35">
      <c r="A4501" t="s">
        <v>50</v>
      </c>
      <c r="B4501">
        <v>52084</v>
      </c>
      <c r="C4501" t="s">
        <v>52</v>
      </c>
      <c r="D4501">
        <v>53284</v>
      </c>
      <c r="E4501" t="s">
        <v>159</v>
      </c>
      <c r="F4501">
        <v>11782</v>
      </c>
      <c r="G4501">
        <v>0.85084795037906891</v>
      </c>
      <c r="H4501">
        <v>0</v>
      </c>
      <c r="I4501">
        <v>0</v>
      </c>
      <c r="J4501">
        <v>0.74642861319021403</v>
      </c>
      <c r="K4501">
        <v>0</v>
      </c>
      <c r="L4501">
        <v>0</v>
      </c>
      <c r="M4501">
        <v>0.55491173729478116</v>
      </c>
      <c r="N4501">
        <v>0</v>
      </c>
      <c r="O4501">
        <v>0</v>
      </c>
      <c r="P4501">
        <v>0.72394223466426255</v>
      </c>
      <c r="Q4501">
        <v>1.650956159931747</v>
      </c>
      <c r="R4501">
        <v>5.3155927976363584</v>
      </c>
      <c r="S4501">
        <v>0.19707691696627891</v>
      </c>
      <c r="T4501">
        <v>0.1525675829699473</v>
      </c>
      <c r="U4501">
        <v>4.2695416864708866</v>
      </c>
      <c r="V4501">
        <v>0.1933172563537221</v>
      </c>
      <c r="W4501">
        <v>12.36441894500085</v>
      </c>
      <c r="X4501">
        <v>0.37510616915289158</v>
      </c>
      <c r="Z4501" t="s">
        <v>392</v>
      </c>
      <c r="AA4501">
        <v>161</v>
      </c>
      <c r="AB4501" t="s">
        <v>4892</v>
      </c>
      <c r="AC4501" t="str">
        <f>HYPERLINK("plots/3FT6Y578R04_015_S31P_20251219032831_M5358ACSA301811_RBGEUFRF04/dpll_52084/txpa_53284.png","plot")</f>
        <v>plot</v>
      </c>
    </row>
    <row r="4502" spans="1:29" hidden="1" x14ac:dyDescent="0.35">
      <c r="A4502" t="s">
        <v>50</v>
      </c>
      <c r="B4502">
        <v>52084</v>
      </c>
      <c r="C4502" t="s">
        <v>52</v>
      </c>
      <c r="D4502">
        <v>53285</v>
      </c>
      <c r="E4502" t="s">
        <v>160</v>
      </c>
      <c r="F4502">
        <v>11782</v>
      </c>
      <c r="G4502">
        <v>0.847646679551468</v>
      </c>
      <c r="H4502">
        <v>0</v>
      </c>
      <c r="I4502">
        <v>0</v>
      </c>
      <c r="J4502">
        <v>0.73984307593955001</v>
      </c>
      <c r="K4502">
        <v>0</v>
      </c>
      <c r="L4502">
        <v>0</v>
      </c>
      <c r="M4502">
        <v>0.54747355219853666</v>
      </c>
      <c r="N4502">
        <v>0</v>
      </c>
      <c r="O4502">
        <v>0</v>
      </c>
      <c r="P4502">
        <v>0.71850489335462908</v>
      </c>
      <c r="Q4502">
        <v>1.6194155961149079</v>
      </c>
      <c r="R4502">
        <v>5.4671300966031504</v>
      </c>
      <c r="S4502">
        <v>0.1959435936605442</v>
      </c>
      <c r="T4502">
        <v>0.15086125313898011</v>
      </c>
      <c r="U4502">
        <v>4.2695416864708866</v>
      </c>
      <c r="V4502">
        <v>0.1933172563537221</v>
      </c>
      <c r="W4502">
        <v>12.381292491936851</v>
      </c>
      <c r="X4502">
        <v>0.36932956559567659</v>
      </c>
      <c r="Z4502" t="s">
        <v>392</v>
      </c>
      <c r="AA4502">
        <v>161</v>
      </c>
      <c r="AB4502" t="s">
        <v>4893</v>
      </c>
      <c r="AC4502" t="str">
        <f>HYPERLINK("plots/3FT6Y578R04_015_S31P_20251219032831_M5358ACSA301811_RBGEUFRF04/dpll_52084/txpa_53285.png","plot")</f>
        <v>plot</v>
      </c>
    </row>
    <row r="4503" spans="1:29" hidden="1" x14ac:dyDescent="0.35">
      <c r="A4503" t="s">
        <v>50</v>
      </c>
      <c r="B4503">
        <v>52084</v>
      </c>
      <c r="C4503" t="s">
        <v>52</v>
      </c>
      <c r="D4503">
        <v>53286</v>
      </c>
      <c r="E4503" t="s">
        <v>161</v>
      </c>
      <c r="F4503">
        <v>11781</v>
      </c>
      <c r="G4503">
        <v>0.85554704631890854</v>
      </c>
      <c r="H4503">
        <v>0</v>
      </c>
      <c r="I4503">
        <v>0</v>
      </c>
      <c r="J4503">
        <v>0.74759952216732728</v>
      </c>
      <c r="K4503">
        <v>0</v>
      </c>
      <c r="L4503">
        <v>0</v>
      </c>
      <c r="M4503">
        <v>0.55574955660541581</v>
      </c>
      <c r="N4503">
        <v>0</v>
      </c>
      <c r="O4503">
        <v>0</v>
      </c>
      <c r="P4503">
        <v>0.73196074846500869</v>
      </c>
      <c r="Q4503">
        <v>1.650538608031225</v>
      </c>
      <c r="R4503">
        <v>5.346056862695713</v>
      </c>
      <c r="S4503">
        <v>0.19308475074528431</v>
      </c>
      <c r="T4503">
        <v>0.1504106499630983</v>
      </c>
      <c r="U4503">
        <v>4.2695489746201511</v>
      </c>
      <c r="V4503">
        <v>0.19332384277072681</v>
      </c>
      <c r="W4503">
        <v>12.393112284186399</v>
      </c>
      <c r="X4503">
        <v>0.37296425453042958</v>
      </c>
      <c r="Z4503" t="s">
        <v>392</v>
      </c>
      <c r="AA4503">
        <v>161</v>
      </c>
      <c r="AB4503" t="s">
        <v>4894</v>
      </c>
      <c r="AC4503" t="str">
        <f>HYPERLINK("plots/3FT6Y578R04_015_S31P_20251219032831_M5358ACSA301811_RBGEUFRF04/dpll_52084/txpa_53286.png","plot")</f>
        <v>plot</v>
      </c>
    </row>
    <row r="4504" spans="1:29" hidden="1" x14ac:dyDescent="0.35">
      <c r="A4504" t="s">
        <v>50</v>
      </c>
      <c r="B4504">
        <v>52084</v>
      </c>
      <c r="C4504" t="s">
        <v>52</v>
      </c>
      <c r="D4504">
        <v>53287</v>
      </c>
      <c r="E4504" t="s">
        <v>162</v>
      </c>
      <c r="F4504">
        <v>11781</v>
      </c>
      <c r="G4504">
        <v>0.85723396729912282</v>
      </c>
      <c r="H4504">
        <v>0</v>
      </c>
      <c r="I4504">
        <v>0</v>
      </c>
      <c r="J4504">
        <v>0.7472612169387608</v>
      </c>
      <c r="K4504">
        <v>0</v>
      </c>
      <c r="L4504">
        <v>0</v>
      </c>
      <c r="M4504">
        <v>0.55444345907859727</v>
      </c>
      <c r="N4504">
        <v>0</v>
      </c>
      <c r="O4504">
        <v>0</v>
      </c>
      <c r="P4504">
        <v>0.73485007469139363</v>
      </c>
      <c r="Q4504">
        <v>1.654345207125332</v>
      </c>
      <c r="R4504">
        <v>5.3046926190728314</v>
      </c>
      <c r="S4504">
        <v>0.19208912027519459</v>
      </c>
      <c r="T4504">
        <v>0.14999497004105919</v>
      </c>
      <c r="U4504">
        <v>4.2695174021729896</v>
      </c>
      <c r="V4504">
        <v>0.19330748901132719</v>
      </c>
      <c r="W4504">
        <v>12.367948270095919</v>
      </c>
      <c r="X4504">
        <v>0.37305721675367531</v>
      </c>
      <c r="Z4504" t="s">
        <v>392</v>
      </c>
      <c r="AA4504">
        <v>161</v>
      </c>
      <c r="AB4504" t="s">
        <v>4895</v>
      </c>
      <c r="AC4504" t="str">
        <f>HYPERLINK("plots/3FT6Y578R04_015_S31P_20251219032831_M5358ACSA301811_RBGEUFRF04/dpll_52084/txpa_53287.png","plot")</f>
        <v>plot</v>
      </c>
    </row>
    <row r="4505" spans="1:29" hidden="1" x14ac:dyDescent="0.35">
      <c r="A4505" t="s">
        <v>50</v>
      </c>
      <c r="B4505">
        <v>52084</v>
      </c>
      <c r="C4505" t="s">
        <v>52</v>
      </c>
      <c r="D4505">
        <v>53288</v>
      </c>
      <c r="E4505" t="s">
        <v>163</v>
      </c>
      <c r="F4505">
        <v>11781</v>
      </c>
      <c r="G4505">
        <v>0.85937896133229175</v>
      </c>
      <c r="H4505">
        <v>0</v>
      </c>
      <c r="I4505">
        <v>0</v>
      </c>
      <c r="J4505">
        <v>0.7557656584484761</v>
      </c>
      <c r="K4505">
        <v>0</v>
      </c>
      <c r="L4505">
        <v>0</v>
      </c>
      <c r="M4505">
        <v>0.56329966437446721</v>
      </c>
      <c r="N4505">
        <v>0</v>
      </c>
      <c r="O4505">
        <v>0</v>
      </c>
      <c r="P4505">
        <v>0.73853219918056856</v>
      </c>
      <c r="Q4505">
        <v>1.6635347214603049</v>
      </c>
      <c r="R4505">
        <v>5.2720348271494197</v>
      </c>
      <c r="S4505">
        <v>0.19132438105941241</v>
      </c>
      <c r="T4505">
        <v>0.1494670015475546</v>
      </c>
      <c r="U4505">
        <v>4.2695129435531793</v>
      </c>
      <c r="V4505">
        <v>0.1933002831720991</v>
      </c>
      <c r="W4505">
        <v>12.37451785247433</v>
      </c>
      <c r="X4505">
        <v>0.37417920055475912</v>
      </c>
      <c r="Z4505" t="s">
        <v>392</v>
      </c>
      <c r="AA4505">
        <v>161</v>
      </c>
      <c r="AB4505" t="s">
        <v>4896</v>
      </c>
      <c r="AC4505" t="str">
        <f>HYPERLINK("plots/3FT6Y578R04_015_S31P_20251219032831_M5358ACSA301811_RBGEUFRF04/dpll_52084/txpa_53288.png","plot")</f>
        <v>plot</v>
      </c>
    </row>
    <row r="4506" spans="1:29" hidden="1" x14ac:dyDescent="0.35">
      <c r="A4506" t="s">
        <v>50</v>
      </c>
      <c r="B4506">
        <v>52084</v>
      </c>
      <c r="C4506" t="s">
        <v>52</v>
      </c>
      <c r="D4506">
        <v>53289</v>
      </c>
      <c r="E4506" t="s">
        <v>164</v>
      </c>
      <c r="F4506">
        <v>11782</v>
      </c>
      <c r="G4506">
        <v>0.85697261290193061</v>
      </c>
      <c r="H4506">
        <v>0</v>
      </c>
      <c r="I4506">
        <v>0</v>
      </c>
      <c r="J4506">
        <v>0.74781514602172006</v>
      </c>
      <c r="K4506">
        <v>0</v>
      </c>
      <c r="L4506">
        <v>0</v>
      </c>
      <c r="M4506">
        <v>0.55603558371081796</v>
      </c>
      <c r="N4506">
        <v>0</v>
      </c>
      <c r="O4506">
        <v>0</v>
      </c>
      <c r="P4506">
        <v>0.73440205926396218</v>
      </c>
      <c r="Q4506">
        <v>1.6489197431437039</v>
      </c>
      <c r="R4506">
        <v>5.3431713760562181</v>
      </c>
      <c r="S4506">
        <v>0.1916889676058669</v>
      </c>
      <c r="T4506">
        <v>0.14947692430740561</v>
      </c>
      <c r="U4506">
        <v>4.2695416864708866</v>
      </c>
      <c r="V4506">
        <v>0.1933172563537221</v>
      </c>
      <c r="W4506">
        <v>12.383302957053131</v>
      </c>
      <c r="X4506">
        <v>0.37196596004696769</v>
      </c>
      <c r="Z4506" t="s">
        <v>392</v>
      </c>
      <c r="AA4506">
        <v>161</v>
      </c>
      <c r="AB4506" t="s">
        <v>4897</v>
      </c>
      <c r="AC4506" t="str">
        <f>HYPERLINK("plots/3FT6Y578R04_015_S31P_20251219032831_M5358ACSA301811_RBGEUFRF04/dpll_52084/txpa_53289.png","plot")</f>
        <v>plot</v>
      </c>
    </row>
    <row r="4507" spans="1:29" hidden="1" x14ac:dyDescent="0.35">
      <c r="A4507" t="s">
        <v>50</v>
      </c>
      <c r="B4507">
        <v>52084</v>
      </c>
      <c r="C4507" t="s">
        <v>52</v>
      </c>
      <c r="D4507">
        <v>53290</v>
      </c>
      <c r="E4507" t="s">
        <v>165</v>
      </c>
      <c r="F4507">
        <v>11778</v>
      </c>
      <c r="G4507">
        <v>0.85319603597637683</v>
      </c>
      <c r="H4507">
        <v>0</v>
      </c>
      <c r="I4507">
        <v>0</v>
      </c>
      <c r="J4507">
        <v>0.74232797976505638</v>
      </c>
      <c r="K4507">
        <v>0</v>
      </c>
      <c r="L4507">
        <v>0</v>
      </c>
      <c r="M4507">
        <v>0.55114529123405742</v>
      </c>
      <c r="N4507">
        <v>0</v>
      </c>
      <c r="O4507">
        <v>0</v>
      </c>
      <c r="P4507">
        <v>0.72794347580580288</v>
      </c>
      <c r="Q4507">
        <v>1.6313715398683899</v>
      </c>
      <c r="R4507">
        <v>5.3882314662730861</v>
      </c>
      <c r="S4507">
        <v>0.19278117408351769</v>
      </c>
      <c r="T4507">
        <v>0.1500324258054693</v>
      </c>
      <c r="U4507">
        <v>4.2696123425029713</v>
      </c>
      <c r="V4507">
        <v>0.19330782448343539</v>
      </c>
      <c r="W4507">
        <v>12.353555528103239</v>
      </c>
      <c r="X4507">
        <v>0.36961831747760471</v>
      </c>
      <c r="Z4507" t="s">
        <v>392</v>
      </c>
      <c r="AA4507">
        <v>161</v>
      </c>
      <c r="AB4507" t="s">
        <v>4898</v>
      </c>
      <c r="AC4507" t="str">
        <f>HYPERLINK("plots/3FT6Y578R04_015_S31P_20251219032831_M5358ACSA301811_RBGEUFRF04/dpll_52084/txpa_53290.png","plot")</f>
        <v>plot</v>
      </c>
    </row>
    <row r="4508" spans="1:29" hidden="1" x14ac:dyDescent="0.35">
      <c r="A4508" t="s">
        <v>50</v>
      </c>
      <c r="B4508">
        <v>52084</v>
      </c>
      <c r="C4508" t="s">
        <v>52</v>
      </c>
      <c r="D4508">
        <v>54146</v>
      </c>
      <c r="E4508" t="s">
        <v>166</v>
      </c>
      <c r="F4508">
        <v>11782</v>
      </c>
      <c r="G4508">
        <v>-8.4396239944875759E-3</v>
      </c>
      <c r="H4508">
        <v>0.35966823715892998</v>
      </c>
      <c r="I4508">
        <v>0.35966823715892998</v>
      </c>
      <c r="J4508">
        <v>-1.026396711428423E-2</v>
      </c>
      <c r="K4508">
        <v>0.26527376351326942</v>
      </c>
      <c r="L4508">
        <v>0.26527376351326942</v>
      </c>
      <c r="M4508">
        <v>-6.8039524276742661E-3</v>
      </c>
      <c r="N4508">
        <v>0.26802666297507022</v>
      </c>
      <c r="O4508">
        <v>0.26802666297507022</v>
      </c>
      <c r="P4508">
        <v>7.122725316833043E-5</v>
      </c>
      <c r="Q4508">
        <v>-0.20042962569601169</v>
      </c>
      <c r="R4508">
        <v>-10.49550728455492</v>
      </c>
      <c r="S4508">
        <v>4.5906643640813636</v>
      </c>
      <c r="T4508">
        <v>3.5043288175039029</v>
      </c>
      <c r="U4508">
        <v>4.2695416864708866</v>
      </c>
      <c r="V4508">
        <v>0.1933172563537221</v>
      </c>
      <c r="W4508">
        <v>-11.3512499266678</v>
      </c>
      <c r="X4508">
        <v>4.5910226992179028</v>
      </c>
      <c r="Z4508" t="s">
        <v>392</v>
      </c>
      <c r="AA4508">
        <v>161</v>
      </c>
      <c r="AB4508" t="s">
        <v>4899</v>
      </c>
      <c r="AC4508" t="str">
        <f>HYPERLINK("plots/3FT6Y578R04_015_S31P_20251219032831_M5358ACSA301811_RBGEUFRF04/dpll_52084/txpa_54146.png","plot")</f>
        <v>plot</v>
      </c>
    </row>
    <row r="4509" spans="1:29" hidden="1" x14ac:dyDescent="0.35">
      <c r="A4509" t="s">
        <v>50</v>
      </c>
      <c r="B4509">
        <v>52084</v>
      </c>
      <c r="C4509" t="s">
        <v>52</v>
      </c>
      <c r="D4509">
        <v>54147</v>
      </c>
      <c r="E4509" t="s">
        <v>167</v>
      </c>
      <c r="F4509">
        <v>11782</v>
      </c>
      <c r="G4509">
        <v>0.27062413532903767</v>
      </c>
      <c r="H4509">
        <v>7.54961534374175E-197</v>
      </c>
      <c r="I4509">
        <v>7.7718882827960755E-197</v>
      </c>
      <c r="J4509">
        <v>0.24334472515741271</v>
      </c>
      <c r="K4509">
        <v>2.154843352592885E-158</v>
      </c>
      <c r="L4509">
        <v>2.2070819793224101E-158</v>
      </c>
      <c r="M4509">
        <v>0.1643351950280694</v>
      </c>
      <c r="N4509">
        <v>9.6810354817370255E-157</v>
      </c>
      <c r="O4509">
        <v>9.9157272509912555E-157</v>
      </c>
      <c r="P4509">
        <v>7.3237422622589324E-2</v>
      </c>
      <c r="Q4509">
        <v>1.6046114775297611</v>
      </c>
      <c r="R4509">
        <v>-28.880939880951001</v>
      </c>
      <c r="S4509">
        <v>1.1034173390886519</v>
      </c>
      <c r="T4509">
        <v>0.88966000434946846</v>
      </c>
      <c r="U4509">
        <v>4.2695416864708866</v>
      </c>
      <c r="V4509">
        <v>0.1933172563537221</v>
      </c>
      <c r="W4509">
        <v>-22.029984287048041</v>
      </c>
      <c r="X4509">
        <v>1.1462358594609121</v>
      </c>
      <c r="Z4509" t="s">
        <v>392</v>
      </c>
      <c r="AA4509">
        <v>161</v>
      </c>
      <c r="AB4509" t="s">
        <v>4900</v>
      </c>
      <c r="AC4509" t="str">
        <f>HYPERLINK("plots/3FT6Y578R04_015_S31P_20251219032831_M5358ACSA301811_RBGEUFRF04/dpll_52084/txpa_54147.png","plot")</f>
        <v>plot</v>
      </c>
    </row>
    <row r="4510" spans="1:29" hidden="1" x14ac:dyDescent="0.35">
      <c r="A4510" t="s">
        <v>50</v>
      </c>
      <c r="B4510">
        <v>52084</v>
      </c>
      <c r="C4510" t="s">
        <v>52</v>
      </c>
      <c r="D4510">
        <v>54148</v>
      </c>
      <c r="E4510" t="s">
        <v>168</v>
      </c>
      <c r="F4510">
        <v>11782</v>
      </c>
      <c r="G4510">
        <v>0.29081962256285498</v>
      </c>
      <c r="H4510">
        <v>2.277729274227645E-228</v>
      </c>
      <c r="I4510">
        <v>2.4008497755372469E-228</v>
      </c>
      <c r="J4510">
        <v>0.26143019872394818</v>
      </c>
      <c r="K4510">
        <v>2.2861084498527222E-183</v>
      </c>
      <c r="L4510">
        <v>2.3997039007770808E-183</v>
      </c>
      <c r="M4510">
        <v>0.1768985044547477</v>
      </c>
      <c r="N4510">
        <v>1.7375716431563039E-181</v>
      </c>
      <c r="O4510">
        <v>1.8239106067913999E-181</v>
      </c>
      <c r="P4510">
        <v>8.4576052867601462E-2</v>
      </c>
      <c r="Q4510">
        <v>1.727969926956809</v>
      </c>
      <c r="R4510">
        <v>-29.262226824193661</v>
      </c>
      <c r="S4510">
        <v>1.098944600785049</v>
      </c>
      <c r="T4510">
        <v>0.8774953951549973</v>
      </c>
      <c r="U4510">
        <v>4.2695416864708866</v>
      </c>
      <c r="V4510">
        <v>0.1933172563537221</v>
      </c>
      <c r="W4510">
        <v>-21.884587188083511</v>
      </c>
      <c r="X4510">
        <v>1.148637778968419</v>
      </c>
      <c r="Z4510" t="s">
        <v>392</v>
      </c>
      <c r="AA4510">
        <v>161</v>
      </c>
      <c r="AB4510" t="s">
        <v>4901</v>
      </c>
      <c r="AC4510" t="str">
        <f>HYPERLINK("plots/3FT6Y578R04_015_S31P_20251219032831_M5358ACSA301811_RBGEUFRF04/dpll_52084/txpa_54148.png","plot")</f>
        <v>plot</v>
      </c>
    </row>
    <row r="4511" spans="1:29" hidden="1" x14ac:dyDescent="0.35">
      <c r="A4511" t="s">
        <v>50</v>
      </c>
      <c r="B4511">
        <v>52084</v>
      </c>
      <c r="C4511" t="s">
        <v>52</v>
      </c>
      <c r="D4511">
        <v>54149</v>
      </c>
      <c r="E4511" t="s">
        <v>169</v>
      </c>
      <c r="F4511">
        <v>11782</v>
      </c>
      <c r="G4511">
        <v>0.28933736669648941</v>
      </c>
      <c r="H4511">
        <v>5.7749219720106037E-226</v>
      </c>
      <c r="I4511">
        <v>6.0681563519365313E-226</v>
      </c>
      <c r="J4511">
        <v>0.260309570700064</v>
      </c>
      <c r="K4511">
        <v>9.2420706082751941E-182</v>
      </c>
      <c r="L4511">
        <v>9.6812599140403369E-182</v>
      </c>
      <c r="M4511">
        <v>0.17608529482646301</v>
      </c>
      <c r="N4511">
        <v>7.2539030481217576E-180</v>
      </c>
      <c r="O4511">
        <v>7.5986133169374601E-180</v>
      </c>
      <c r="P4511">
        <v>8.3716111766858781E-2</v>
      </c>
      <c r="Q4511">
        <v>1.704658635674301</v>
      </c>
      <c r="R4511">
        <v>-29.189908185657242</v>
      </c>
      <c r="S4511">
        <v>1.0901847810676859</v>
      </c>
      <c r="T4511">
        <v>0.86888362413835074</v>
      </c>
      <c r="U4511">
        <v>4.2695416864708866</v>
      </c>
      <c r="V4511">
        <v>0.1933172563537221</v>
      </c>
      <c r="W4511">
        <v>-21.911797079443222</v>
      </c>
      <c r="X4511">
        <v>1.13894701617962</v>
      </c>
      <c r="Z4511" t="s">
        <v>392</v>
      </c>
      <c r="AA4511">
        <v>161</v>
      </c>
      <c r="AB4511" t="s">
        <v>4902</v>
      </c>
      <c r="AC4511" t="str">
        <f>HYPERLINK("plots/3FT6Y578R04_015_S31P_20251219032831_M5358ACSA301811_RBGEUFRF04/dpll_52084/txpa_54149.png","plot")</f>
        <v>plot</v>
      </c>
    </row>
    <row r="4512" spans="1:29" hidden="1" x14ac:dyDescent="0.35">
      <c r="A4512" t="s">
        <v>50</v>
      </c>
      <c r="B4512">
        <v>52084</v>
      </c>
      <c r="C4512" t="s">
        <v>52</v>
      </c>
      <c r="D4512">
        <v>54150</v>
      </c>
      <c r="E4512" t="s">
        <v>170</v>
      </c>
      <c r="F4512">
        <v>11782</v>
      </c>
      <c r="G4512">
        <v>0.28545784097093052</v>
      </c>
      <c r="H4512">
        <v>9.6638181393819415E-220</v>
      </c>
      <c r="I4512">
        <v>1.0123049166666619E-219</v>
      </c>
      <c r="J4512">
        <v>0.2616966692574042</v>
      </c>
      <c r="K4512">
        <v>9.459960188109349E-184</v>
      </c>
      <c r="L4512">
        <v>9.9403104981791497E-184</v>
      </c>
      <c r="M4512">
        <v>0.17686331605501429</v>
      </c>
      <c r="N4512">
        <v>1.3259670238242091E-181</v>
      </c>
      <c r="O4512">
        <v>1.393295919334453E-181</v>
      </c>
      <c r="P4512">
        <v>8.1486178971785062E-2</v>
      </c>
      <c r="Q4512">
        <v>1.6886697913837529</v>
      </c>
      <c r="R4512">
        <v>-29.005057155400021</v>
      </c>
      <c r="S4512">
        <v>1.0959678061631131</v>
      </c>
      <c r="T4512">
        <v>0.87096091536923148</v>
      </c>
      <c r="U4512">
        <v>4.2695416864708866</v>
      </c>
      <c r="V4512">
        <v>0.1933172563537221</v>
      </c>
      <c r="W4512">
        <v>-21.79521108640299</v>
      </c>
      <c r="X4512">
        <v>1.143597982270746</v>
      </c>
      <c r="Z4512" t="s">
        <v>392</v>
      </c>
      <c r="AA4512">
        <v>161</v>
      </c>
      <c r="AB4512" t="s">
        <v>4903</v>
      </c>
      <c r="AC4512" t="str">
        <f>HYPERLINK("plots/3FT6Y578R04_015_S31P_20251219032831_M5358ACSA301811_RBGEUFRF04/dpll_52084/txpa_54150.png","plot")</f>
        <v>plot</v>
      </c>
    </row>
    <row r="4513" spans="1:29" hidden="1" x14ac:dyDescent="0.35">
      <c r="A4513" t="s">
        <v>50</v>
      </c>
      <c r="B4513">
        <v>52084</v>
      </c>
      <c r="C4513" t="s">
        <v>52</v>
      </c>
      <c r="D4513">
        <v>54151</v>
      </c>
      <c r="E4513" t="s">
        <v>171</v>
      </c>
      <c r="F4513">
        <v>11782</v>
      </c>
      <c r="G4513">
        <v>0.28073274638682799</v>
      </c>
      <c r="H4513">
        <v>2.7044640266929082E-212</v>
      </c>
      <c r="I4513">
        <v>2.8068848751961192E-212</v>
      </c>
      <c r="J4513">
        <v>0.25340904321656899</v>
      </c>
      <c r="K4513">
        <v>4.8527030200255297E-172</v>
      </c>
      <c r="L4513">
        <v>5.031330125057145E-172</v>
      </c>
      <c r="M4513">
        <v>0.17131272787162241</v>
      </c>
      <c r="N4513">
        <v>1.6506598255011969E-170</v>
      </c>
      <c r="O4513">
        <v>1.711420309875475E-170</v>
      </c>
      <c r="P4513">
        <v>7.8810874893891089E-2</v>
      </c>
      <c r="Q4513">
        <v>1.640400444591817</v>
      </c>
      <c r="R4513">
        <v>-28.867013568722729</v>
      </c>
      <c r="S4513">
        <v>1.0841350784280339</v>
      </c>
      <c r="T4513">
        <v>0.86418790377224741</v>
      </c>
      <c r="U4513">
        <v>4.2695416864708866</v>
      </c>
      <c r="V4513">
        <v>0.1933172563537221</v>
      </c>
      <c r="W4513">
        <v>-21.863255488032589</v>
      </c>
      <c r="X4513">
        <v>1.1296071347264649</v>
      </c>
      <c r="Z4513" t="s">
        <v>392</v>
      </c>
      <c r="AA4513">
        <v>161</v>
      </c>
      <c r="AB4513" t="s">
        <v>4904</v>
      </c>
      <c r="AC4513" t="str">
        <f>HYPERLINK("plots/3FT6Y578R04_015_S31P_20251219032831_M5358ACSA301811_RBGEUFRF04/dpll_52084/txpa_54151.png","plot")</f>
        <v>plot</v>
      </c>
    </row>
    <row r="4514" spans="1:29" hidden="1" x14ac:dyDescent="0.35">
      <c r="A4514" t="s">
        <v>50</v>
      </c>
      <c r="B4514">
        <v>52084</v>
      </c>
      <c r="C4514" t="s">
        <v>52</v>
      </c>
      <c r="D4514">
        <v>54152</v>
      </c>
      <c r="E4514" t="s">
        <v>172</v>
      </c>
      <c r="F4514">
        <v>11782</v>
      </c>
      <c r="G4514">
        <v>0.27508158982924658</v>
      </c>
      <c r="H4514">
        <v>1.406350483498141E-203</v>
      </c>
      <c r="I4514">
        <v>1.4521786051599951E-203</v>
      </c>
      <c r="J4514">
        <v>0.2528380316147294</v>
      </c>
      <c r="K4514">
        <v>2.999361381639141E-171</v>
      </c>
      <c r="L4514">
        <v>3.103420858144989E-171</v>
      </c>
      <c r="M4514">
        <v>0.17034162323479701</v>
      </c>
      <c r="N4514">
        <v>1.4812496583486211E-168</v>
      </c>
      <c r="O4514">
        <v>1.532639952617858E-168</v>
      </c>
      <c r="P4514">
        <v>7.5669881062985889E-2</v>
      </c>
      <c r="Q4514">
        <v>1.6107812890308859</v>
      </c>
      <c r="R4514">
        <v>-28.775658607357979</v>
      </c>
      <c r="S4514">
        <v>1.088280366950962</v>
      </c>
      <c r="T4514">
        <v>0.86973947293707243</v>
      </c>
      <c r="U4514">
        <v>4.2695416864708866</v>
      </c>
      <c r="V4514">
        <v>0.1933172563537221</v>
      </c>
      <c r="W4514">
        <v>-21.898360746053299</v>
      </c>
      <c r="X4514">
        <v>1.1319980358360411</v>
      </c>
      <c r="Z4514" t="s">
        <v>392</v>
      </c>
      <c r="AA4514">
        <v>161</v>
      </c>
      <c r="AB4514" t="s">
        <v>4905</v>
      </c>
      <c r="AC4514" t="str">
        <f>HYPERLINK("plots/3FT6Y578R04_015_S31P_20251219032831_M5358ACSA301811_RBGEUFRF04/dpll_52084/txpa_54152.png","plot")</f>
        <v>plot</v>
      </c>
    </row>
    <row r="4515" spans="1:29" hidden="1" x14ac:dyDescent="0.35">
      <c r="A4515" t="s">
        <v>50</v>
      </c>
      <c r="B4515">
        <v>52084</v>
      </c>
      <c r="C4515" t="s">
        <v>52</v>
      </c>
      <c r="D4515">
        <v>54153</v>
      </c>
      <c r="E4515" t="s">
        <v>173</v>
      </c>
      <c r="F4515">
        <v>11782</v>
      </c>
      <c r="G4515">
        <v>0.28417992166719669</v>
      </c>
      <c r="H4515">
        <v>1.03176656758158E-217</v>
      </c>
      <c r="I4515">
        <v>1.0774575690295799E-217</v>
      </c>
      <c r="J4515">
        <v>0.25386012450136891</v>
      </c>
      <c r="K4515">
        <v>1.1472319970601599E-172</v>
      </c>
      <c r="L4515">
        <v>1.1931212769425659E-172</v>
      </c>
      <c r="M4515">
        <v>0.17169809679172821</v>
      </c>
      <c r="N4515">
        <v>5.4454258496267314E-171</v>
      </c>
      <c r="O4515">
        <v>5.6632428836118009E-171</v>
      </c>
      <c r="P4515">
        <v>8.0758227878774083E-2</v>
      </c>
      <c r="Q4515">
        <v>1.6975891723487311</v>
      </c>
      <c r="R4515">
        <v>-29.179828526335442</v>
      </c>
      <c r="S4515">
        <v>1.107149513565953</v>
      </c>
      <c r="T4515">
        <v>0.88408964905269638</v>
      </c>
      <c r="U4515">
        <v>4.2695416864708866</v>
      </c>
      <c r="V4515">
        <v>0.1933172563537221</v>
      </c>
      <c r="W4515">
        <v>-21.931900788490921</v>
      </c>
      <c r="X4515">
        <v>1.154808120464494</v>
      </c>
      <c r="Z4515" t="s">
        <v>392</v>
      </c>
      <c r="AA4515">
        <v>161</v>
      </c>
      <c r="AB4515" t="s">
        <v>4906</v>
      </c>
      <c r="AC4515" t="str">
        <f>HYPERLINK("plots/3FT6Y578R04_015_S31P_20251219032831_M5358ACSA301811_RBGEUFRF04/dpll_52084/txpa_54153.png","plot")</f>
        <v>plot</v>
      </c>
    </row>
    <row r="4516" spans="1:29" hidden="1" x14ac:dyDescent="0.35">
      <c r="A4516" t="s">
        <v>50</v>
      </c>
      <c r="B4516">
        <v>52084</v>
      </c>
      <c r="C4516" t="s">
        <v>52</v>
      </c>
      <c r="D4516">
        <v>54154</v>
      </c>
      <c r="E4516" t="s">
        <v>174</v>
      </c>
      <c r="F4516">
        <v>11782</v>
      </c>
      <c r="G4516">
        <v>0.25873088715385878</v>
      </c>
      <c r="H4516">
        <v>1.643582701962223E-179</v>
      </c>
      <c r="I4516">
        <v>1.6716076828382092E-179</v>
      </c>
      <c r="J4516">
        <v>0.23153540426381339</v>
      </c>
      <c r="K4516">
        <v>3.6132629496121391E-143</v>
      </c>
      <c r="L4516">
        <v>3.6675161470537619E-143</v>
      </c>
      <c r="M4516">
        <v>0.1564089586560371</v>
      </c>
      <c r="N4516">
        <v>5.9407694846288423E-142</v>
      </c>
      <c r="O4516">
        <v>6.0299702276412867E-142</v>
      </c>
      <c r="P4516">
        <v>6.6941671967422803E-2</v>
      </c>
      <c r="Q4516">
        <v>1.552446283879954</v>
      </c>
      <c r="R4516">
        <v>-28.714285825083209</v>
      </c>
      <c r="S4516">
        <v>1.1204046247673951</v>
      </c>
      <c r="T4516">
        <v>0.90827722147301493</v>
      </c>
      <c r="U4516">
        <v>4.2695416864708866</v>
      </c>
      <c r="V4516">
        <v>0.1933172563537221</v>
      </c>
      <c r="W4516">
        <v>-22.08605170005093</v>
      </c>
      <c r="X4516">
        <v>1.159949086626584</v>
      </c>
      <c r="Z4516" t="s">
        <v>392</v>
      </c>
      <c r="AA4516">
        <v>161</v>
      </c>
      <c r="AB4516" t="s">
        <v>4907</v>
      </c>
      <c r="AC4516" t="str">
        <f>HYPERLINK("plots/3FT6Y578R04_015_S31P_20251219032831_M5358ACSA301811_RBGEUFRF04/dpll_52084/txpa_54154.png","plot")</f>
        <v>plot</v>
      </c>
    </row>
    <row r="4517" spans="1:29" hidden="1" x14ac:dyDescent="0.35">
      <c r="A4517" t="s">
        <v>50</v>
      </c>
      <c r="B4517">
        <v>52084</v>
      </c>
      <c r="C4517" t="s">
        <v>52</v>
      </c>
      <c r="D4517">
        <v>54155</v>
      </c>
      <c r="E4517" t="s">
        <v>175</v>
      </c>
      <c r="F4517">
        <v>11782</v>
      </c>
      <c r="G4517">
        <v>0.60449796619056206</v>
      </c>
      <c r="H4517">
        <v>0</v>
      </c>
      <c r="I4517">
        <v>0</v>
      </c>
      <c r="J4517">
        <v>0.5248065310719594</v>
      </c>
      <c r="K4517">
        <v>0</v>
      </c>
      <c r="L4517">
        <v>0</v>
      </c>
      <c r="M4517">
        <v>0.36746450314711449</v>
      </c>
      <c r="N4517">
        <v>0</v>
      </c>
      <c r="O4517">
        <v>0</v>
      </c>
      <c r="P4517">
        <v>0.3654177911285259</v>
      </c>
      <c r="Q4517">
        <v>0.9587768354443581</v>
      </c>
      <c r="R4517">
        <v>-15.44572131743611</v>
      </c>
      <c r="S4517">
        <v>0.24424114446158721</v>
      </c>
      <c r="T4517">
        <v>0.18998898054777269</v>
      </c>
      <c r="U4517">
        <v>4.2695416864708866</v>
      </c>
      <c r="V4517">
        <v>0.1933172563537221</v>
      </c>
      <c r="W4517">
        <v>-11.35218365048379</v>
      </c>
      <c r="X4517">
        <v>0.30661493942095103</v>
      </c>
      <c r="Z4517" t="s">
        <v>392</v>
      </c>
      <c r="AA4517">
        <v>161</v>
      </c>
      <c r="AB4517" t="s">
        <v>4908</v>
      </c>
      <c r="AC4517" t="str">
        <f>HYPERLINK("plots/3FT6Y578R04_015_S31P_20251219032831_M5358ACSA301811_RBGEUFRF04/dpll_52084/txpa_54155.png","plot")</f>
        <v>plot</v>
      </c>
    </row>
    <row r="4518" spans="1:29" hidden="1" x14ac:dyDescent="0.35">
      <c r="A4518" t="s">
        <v>50</v>
      </c>
      <c r="B4518">
        <v>52084</v>
      </c>
      <c r="C4518" t="s">
        <v>52</v>
      </c>
      <c r="D4518">
        <v>54156</v>
      </c>
      <c r="E4518" t="s">
        <v>176</v>
      </c>
      <c r="F4518">
        <v>11782</v>
      </c>
      <c r="G4518">
        <v>0.62942902409744217</v>
      </c>
      <c r="H4518">
        <v>0</v>
      </c>
      <c r="I4518">
        <v>0</v>
      </c>
      <c r="J4518">
        <v>0.54651166218365554</v>
      </c>
      <c r="K4518">
        <v>0</v>
      </c>
      <c r="L4518">
        <v>0</v>
      </c>
      <c r="M4518">
        <v>0.38537843156286522</v>
      </c>
      <c r="N4518">
        <v>0</v>
      </c>
      <c r="O4518">
        <v>0</v>
      </c>
      <c r="P4518">
        <v>0.39618089637625842</v>
      </c>
      <c r="Q4518">
        <v>1.0023482550746421</v>
      </c>
      <c r="R4518">
        <v>-15.56535402844005</v>
      </c>
      <c r="S4518">
        <v>0.2392089857775791</v>
      </c>
      <c r="T4518">
        <v>0.18622012816085559</v>
      </c>
      <c r="U4518">
        <v>4.2695416864708866</v>
      </c>
      <c r="V4518">
        <v>0.1933172563537221</v>
      </c>
      <c r="W4518">
        <v>-11.28578636903752</v>
      </c>
      <c r="X4518">
        <v>0.30785236645200009</v>
      </c>
      <c r="Z4518" t="s">
        <v>392</v>
      </c>
      <c r="AA4518">
        <v>161</v>
      </c>
      <c r="AB4518" t="s">
        <v>4909</v>
      </c>
      <c r="AC4518" t="str">
        <f>HYPERLINK("plots/3FT6Y578R04_015_S31P_20251219032831_M5358ACSA301811_RBGEUFRF04/dpll_52084/txpa_54156.png","plot")</f>
        <v>plot</v>
      </c>
    </row>
    <row r="4519" spans="1:29" hidden="1" x14ac:dyDescent="0.35">
      <c r="A4519" t="s">
        <v>50</v>
      </c>
      <c r="B4519">
        <v>52084</v>
      </c>
      <c r="C4519" t="s">
        <v>52</v>
      </c>
      <c r="D4519">
        <v>54157</v>
      </c>
      <c r="E4519" t="s">
        <v>177</v>
      </c>
      <c r="F4519">
        <v>11782</v>
      </c>
      <c r="G4519">
        <v>0.62452730989773619</v>
      </c>
      <c r="H4519">
        <v>0</v>
      </c>
      <c r="I4519">
        <v>0</v>
      </c>
      <c r="J4519">
        <v>0.53600362863820739</v>
      </c>
      <c r="K4519">
        <v>0</v>
      </c>
      <c r="L4519">
        <v>0</v>
      </c>
      <c r="M4519">
        <v>0.37734930881042872</v>
      </c>
      <c r="N4519">
        <v>0</v>
      </c>
      <c r="O4519">
        <v>0</v>
      </c>
      <c r="P4519">
        <v>0.390034360808103</v>
      </c>
      <c r="Q4519">
        <v>0.97512630191903416</v>
      </c>
      <c r="R4519">
        <v>-15.44678096530008</v>
      </c>
      <c r="S4519">
        <v>0.23572970539236129</v>
      </c>
      <c r="T4519">
        <v>0.18345068530581979</v>
      </c>
      <c r="U4519">
        <v>4.2695416864708866</v>
      </c>
      <c r="V4519">
        <v>0.1933172563537221</v>
      </c>
      <c r="W4519">
        <v>-11.28343856968257</v>
      </c>
      <c r="X4519">
        <v>0.30184227062257141</v>
      </c>
      <c r="Z4519" t="s">
        <v>392</v>
      </c>
      <c r="AA4519">
        <v>161</v>
      </c>
      <c r="AB4519" t="s">
        <v>4910</v>
      </c>
      <c r="AC4519" t="str">
        <f>HYPERLINK("plots/3FT6Y578R04_015_S31P_20251219032831_M5358ACSA301811_RBGEUFRF04/dpll_52084/txpa_54157.png","plot")</f>
        <v>plot</v>
      </c>
    </row>
    <row r="4520" spans="1:29" hidden="1" x14ac:dyDescent="0.35">
      <c r="A4520" t="s">
        <v>50</v>
      </c>
      <c r="B4520">
        <v>52084</v>
      </c>
      <c r="C4520" t="s">
        <v>52</v>
      </c>
      <c r="D4520">
        <v>54158</v>
      </c>
      <c r="E4520" t="s">
        <v>178</v>
      </c>
      <c r="F4520">
        <v>11781</v>
      </c>
      <c r="G4520">
        <v>0.640700015648903</v>
      </c>
      <c r="H4520">
        <v>0</v>
      </c>
      <c r="I4520">
        <v>0</v>
      </c>
      <c r="J4520">
        <v>0.54823038794298917</v>
      </c>
      <c r="K4520">
        <v>0</v>
      </c>
      <c r="L4520">
        <v>0</v>
      </c>
      <c r="M4520">
        <v>0.38667640511958751</v>
      </c>
      <c r="N4520">
        <v>0</v>
      </c>
      <c r="O4520">
        <v>0</v>
      </c>
      <c r="P4520">
        <v>0.41049651005250448</v>
      </c>
      <c r="Q4520">
        <v>1.0174437207822029</v>
      </c>
      <c r="R4520">
        <v>-15.575535701428681</v>
      </c>
      <c r="S4520">
        <v>0.2357033949565068</v>
      </c>
      <c r="T4520">
        <v>0.1843183525918598</v>
      </c>
      <c r="U4520">
        <v>4.2695489746201511</v>
      </c>
      <c r="V4520">
        <v>0.19332384277072681</v>
      </c>
      <c r="W4520">
        <v>-11.23150990662932</v>
      </c>
      <c r="X4520">
        <v>0.30700191212785799</v>
      </c>
      <c r="Z4520" t="s">
        <v>392</v>
      </c>
      <c r="AA4520">
        <v>161</v>
      </c>
      <c r="AB4520" t="s">
        <v>4911</v>
      </c>
      <c r="AC4520" t="str">
        <f>HYPERLINK("plots/3FT6Y578R04_015_S31P_20251219032831_M5358ACSA301811_RBGEUFRF04/dpll_52084/txpa_54158.png","plot")</f>
        <v>plot</v>
      </c>
    </row>
    <row r="4521" spans="1:29" hidden="1" x14ac:dyDescent="0.35">
      <c r="A4521" t="s">
        <v>50</v>
      </c>
      <c r="B4521">
        <v>52084</v>
      </c>
      <c r="C4521" t="s">
        <v>52</v>
      </c>
      <c r="D4521">
        <v>54159</v>
      </c>
      <c r="E4521" t="s">
        <v>179</v>
      </c>
      <c r="F4521">
        <v>11781</v>
      </c>
      <c r="G4521">
        <v>0.64000858886650336</v>
      </c>
      <c r="H4521">
        <v>0</v>
      </c>
      <c r="I4521">
        <v>0</v>
      </c>
      <c r="J4521">
        <v>0.54206762984636969</v>
      </c>
      <c r="K4521">
        <v>0</v>
      </c>
      <c r="L4521">
        <v>0</v>
      </c>
      <c r="M4521">
        <v>0.38113908303329402</v>
      </c>
      <c r="N4521">
        <v>0</v>
      </c>
      <c r="O4521">
        <v>0</v>
      </c>
      <c r="P4521">
        <v>0.4096109938228929</v>
      </c>
      <c r="Q4521">
        <v>1.0109847957694329</v>
      </c>
      <c r="R4521">
        <v>-15.569985903086859</v>
      </c>
      <c r="S4521">
        <v>0.23461630983787601</v>
      </c>
      <c r="T4521">
        <v>0.18438061395400951</v>
      </c>
      <c r="U4521">
        <v>4.2695174021729896</v>
      </c>
      <c r="V4521">
        <v>0.19330748901132719</v>
      </c>
      <c r="W4521">
        <v>-11.25356872421696</v>
      </c>
      <c r="X4521">
        <v>0.30535673379780609</v>
      </c>
      <c r="Z4521" t="s">
        <v>392</v>
      </c>
      <c r="AA4521">
        <v>161</v>
      </c>
      <c r="AB4521" t="s">
        <v>4912</v>
      </c>
      <c r="AC4521" t="str">
        <f>HYPERLINK("plots/3FT6Y578R04_015_S31P_20251219032831_M5358ACSA301811_RBGEUFRF04/dpll_52084/txpa_54159.png","plot")</f>
        <v>plot</v>
      </c>
    </row>
    <row r="4522" spans="1:29" hidden="1" x14ac:dyDescent="0.35">
      <c r="A4522" t="s">
        <v>50</v>
      </c>
      <c r="B4522">
        <v>52084</v>
      </c>
      <c r="C4522" t="s">
        <v>52</v>
      </c>
      <c r="D4522">
        <v>54160</v>
      </c>
      <c r="E4522" t="s">
        <v>180</v>
      </c>
      <c r="F4522">
        <v>11782</v>
      </c>
      <c r="G4522">
        <v>0.64277230476184</v>
      </c>
      <c r="H4522">
        <v>0</v>
      </c>
      <c r="I4522">
        <v>0</v>
      </c>
      <c r="J4522">
        <v>0.55756492142797698</v>
      </c>
      <c r="K4522">
        <v>0</v>
      </c>
      <c r="L4522">
        <v>0</v>
      </c>
      <c r="M4522">
        <v>0.3941552630720444</v>
      </c>
      <c r="N4522">
        <v>0</v>
      </c>
      <c r="O4522">
        <v>0</v>
      </c>
      <c r="P4522">
        <v>0.41315623576884769</v>
      </c>
      <c r="Q4522">
        <v>1.0135528013938819</v>
      </c>
      <c r="R4522">
        <v>-15.596293776067091</v>
      </c>
      <c r="S4522">
        <v>0.2335084822555262</v>
      </c>
      <c r="T4522">
        <v>0.18276987362942201</v>
      </c>
      <c r="U4522">
        <v>4.2695416864708866</v>
      </c>
      <c r="V4522">
        <v>0.1933172563537221</v>
      </c>
      <c r="W4522">
        <v>-11.268887839076561</v>
      </c>
      <c r="X4522">
        <v>0.30483150142521009</v>
      </c>
      <c r="Z4522" t="s">
        <v>392</v>
      </c>
      <c r="AA4522">
        <v>161</v>
      </c>
      <c r="AB4522" t="s">
        <v>4913</v>
      </c>
      <c r="AC4522" t="str">
        <f>HYPERLINK("plots/3FT6Y578R04_015_S31P_20251219032831_M5358ACSA301811_RBGEUFRF04/dpll_52084/txpa_54160.png","plot")</f>
        <v>plot</v>
      </c>
    </row>
    <row r="4523" spans="1:29" hidden="1" x14ac:dyDescent="0.35">
      <c r="A4523" t="s">
        <v>50</v>
      </c>
      <c r="B4523">
        <v>52084</v>
      </c>
      <c r="C4523" t="s">
        <v>52</v>
      </c>
      <c r="D4523">
        <v>54161</v>
      </c>
      <c r="E4523" t="s">
        <v>181</v>
      </c>
      <c r="F4523">
        <v>11782</v>
      </c>
      <c r="G4523">
        <v>0.64119985128156387</v>
      </c>
      <c r="H4523">
        <v>0</v>
      </c>
      <c r="I4523">
        <v>0</v>
      </c>
      <c r="J4523">
        <v>0.55062784214661054</v>
      </c>
      <c r="K4523">
        <v>0</v>
      </c>
      <c r="L4523">
        <v>0</v>
      </c>
      <c r="M4523">
        <v>0.38824363262043732</v>
      </c>
      <c r="N4523">
        <v>0</v>
      </c>
      <c r="O4523">
        <v>0</v>
      </c>
      <c r="P4523">
        <v>0.41113724928349971</v>
      </c>
      <c r="Q4523">
        <v>1.0013684413158239</v>
      </c>
      <c r="R4523">
        <v>-15.54703046820249</v>
      </c>
      <c r="S4523">
        <v>0.23166462399593379</v>
      </c>
      <c r="T4523">
        <v>0.18161234072394569</v>
      </c>
      <c r="U4523">
        <v>4.2695416864708866</v>
      </c>
      <c r="V4523">
        <v>0.1933172563537221</v>
      </c>
      <c r="W4523">
        <v>-11.2716461644882</v>
      </c>
      <c r="X4523">
        <v>0.30190555922224099</v>
      </c>
      <c r="Z4523" t="s">
        <v>392</v>
      </c>
      <c r="AA4523">
        <v>161</v>
      </c>
      <c r="AB4523" t="s">
        <v>4914</v>
      </c>
      <c r="AC4523" t="str">
        <f>HYPERLINK("plots/3FT6Y578R04_015_S31P_20251219032831_M5358ACSA301811_RBGEUFRF04/dpll_52084/txpa_54161.png","plot")</f>
        <v>plot</v>
      </c>
    </row>
    <row r="4524" spans="1:29" hidden="1" x14ac:dyDescent="0.35">
      <c r="A4524" t="s">
        <v>50</v>
      </c>
      <c r="B4524">
        <v>52084</v>
      </c>
      <c r="C4524" t="s">
        <v>52</v>
      </c>
      <c r="D4524">
        <v>54162</v>
      </c>
      <c r="E4524" t="s">
        <v>182</v>
      </c>
      <c r="F4524">
        <v>11781</v>
      </c>
      <c r="G4524">
        <v>0.62872808451380791</v>
      </c>
      <c r="H4524">
        <v>0</v>
      </c>
      <c r="I4524">
        <v>0</v>
      </c>
      <c r="J4524">
        <v>0.54082649364534963</v>
      </c>
      <c r="K4524">
        <v>0</v>
      </c>
      <c r="L4524">
        <v>0</v>
      </c>
      <c r="M4524">
        <v>0.381668495004996</v>
      </c>
      <c r="N4524">
        <v>0</v>
      </c>
      <c r="O4524">
        <v>0</v>
      </c>
      <c r="P4524">
        <v>0.39529900425640202</v>
      </c>
      <c r="Q4524">
        <v>0.98894177695821772</v>
      </c>
      <c r="R4524">
        <v>-15.564445353965549</v>
      </c>
      <c r="S4524">
        <v>0.23643776109299591</v>
      </c>
      <c r="T4524">
        <v>0.1849270610557594</v>
      </c>
      <c r="U4524">
        <v>4.2695633024361257</v>
      </c>
      <c r="V4524">
        <v>0.19331122175495491</v>
      </c>
      <c r="W4524">
        <v>-11.34209583481878</v>
      </c>
      <c r="X4524">
        <v>0.3040639472883459</v>
      </c>
      <c r="Z4524" t="s">
        <v>392</v>
      </c>
      <c r="AA4524">
        <v>161</v>
      </c>
      <c r="AB4524" t="s">
        <v>4915</v>
      </c>
      <c r="AC4524" t="str">
        <f>HYPERLINK("plots/3FT6Y578R04_015_S31P_20251219032831_M5358ACSA301811_RBGEUFRF04/dpll_52084/txpa_54162.png","plot")</f>
        <v>plot</v>
      </c>
    </row>
    <row r="4525" spans="1:29" hidden="1" x14ac:dyDescent="0.35">
      <c r="A4525" t="s">
        <v>50</v>
      </c>
      <c r="B4525">
        <v>52084</v>
      </c>
      <c r="C4525" t="s">
        <v>52</v>
      </c>
      <c r="D4525">
        <v>54163</v>
      </c>
      <c r="E4525" t="s">
        <v>183</v>
      </c>
      <c r="F4525">
        <v>11782</v>
      </c>
      <c r="G4525">
        <v>0.62012114277207897</v>
      </c>
      <c r="H4525">
        <v>0</v>
      </c>
      <c r="I4525">
        <v>0</v>
      </c>
      <c r="J4525">
        <v>0.54411179320153225</v>
      </c>
      <c r="K4525">
        <v>0</v>
      </c>
      <c r="L4525">
        <v>0</v>
      </c>
      <c r="M4525">
        <v>0.38247497575718448</v>
      </c>
      <c r="N4525">
        <v>0</v>
      </c>
      <c r="O4525">
        <v>0</v>
      </c>
      <c r="P4525">
        <v>0.38455023171294922</v>
      </c>
      <c r="Q4525">
        <v>0.85953832458893198</v>
      </c>
      <c r="R4525">
        <v>-9.0666391066107614</v>
      </c>
      <c r="S4525">
        <v>0.21020217463767249</v>
      </c>
      <c r="T4525">
        <v>0.16176649851633121</v>
      </c>
      <c r="U4525">
        <v>4.2695416864708866</v>
      </c>
      <c r="V4525">
        <v>0.1933172563537221</v>
      </c>
      <c r="W4525">
        <v>-5.3968043986589711</v>
      </c>
      <c r="X4525">
        <v>0.26795343551361489</v>
      </c>
      <c r="Z4525" t="s">
        <v>392</v>
      </c>
      <c r="AA4525">
        <v>161</v>
      </c>
      <c r="AB4525" t="s">
        <v>4916</v>
      </c>
      <c r="AC4525" t="str">
        <f>HYPERLINK("plots/3FT6Y578R04_015_S31P_20251219032831_M5358ACSA301811_RBGEUFRF04/dpll_52084/txpa_54163.png","plot")</f>
        <v>plot</v>
      </c>
    </row>
    <row r="4526" spans="1:29" hidden="1" x14ac:dyDescent="0.35">
      <c r="A4526" t="s">
        <v>50</v>
      </c>
      <c r="B4526">
        <v>52084</v>
      </c>
      <c r="C4526" t="s">
        <v>52</v>
      </c>
      <c r="D4526">
        <v>54164</v>
      </c>
      <c r="E4526" t="s">
        <v>184</v>
      </c>
      <c r="F4526">
        <v>11782</v>
      </c>
      <c r="G4526">
        <v>0.64465292808834174</v>
      </c>
      <c r="H4526">
        <v>0</v>
      </c>
      <c r="I4526">
        <v>0</v>
      </c>
      <c r="J4526">
        <v>0.56091209361499117</v>
      </c>
      <c r="K4526">
        <v>0</v>
      </c>
      <c r="L4526">
        <v>0</v>
      </c>
      <c r="M4526">
        <v>0.39675120300479921</v>
      </c>
      <c r="N4526">
        <v>0</v>
      </c>
      <c r="O4526">
        <v>0</v>
      </c>
      <c r="P4526">
        <v>0.41557739769287272</v>
      </c>
      <c r="Q4526">
        <v>0.89572644897499376</v>
      </c>
      <c r="R4526">
        <v>-9.1752224414972261</v>
      </c>
      <c r="S4526">
        <v>0.20533601630868031</v>
      </c>
      <c r="T4526">
        <v>0.15955259611430819</v>
      </c>
      <c r="U4526">
        <v>4.2695416864708866</v>
      </c>
      <c r="V4526">
        <v>0.1933172563537221</v>
      </c>
      <c r="W4526">
        <v>-5.3508810279239514</v>
      </c>
      <c r="X4526">
        <v>0.26860869161456541</v>
      </c>
      <c r="Z4526" t="s">
        <v>392</v>
      </c>
      <c r="AA4526">
        <v>161</v>
      </c>
      <c r="AB4526" t="s">
        <v>4917</v>
      </c>
      <c r="AC4526" t="str">
        <f>HYPERLINK("plots/3FT6Y578R04_015_S31P_20251219032831_M5358ACSA301811_RBGEUFRF04/dpll_52084/txpa_54164.png","plot")</f>
        <v>plot</v>
      </c>
    </row>
    <row r="4527" spans="1:29" hidden="1" x14ac:dyDescent="0.35">
      <c r="A4527" t="s">
        <v>50</v>
      </c>
      <c r="B4527">
        <v>52084</v>
      </c>
      <c r="C4527" t="s">
        <v>52</v>
      </c>
      <c r="D4527">
        <v>54165</v>
      </c>
      <c r="E4527" t="s">
        <v>185</v>
      </c>
      <c r="F4527">
        <v>11782</v>
      </c>
      <c r="G4527">
        <v>0.63565356110448179</v>
      </c>
      <c r="H4527">
        <v>0</v>
      </c>
      <c r="I4527">
        <v>0</v>
      </c>
      <c r="J4527">
        <v>0.54968070633778821</v>
      </c>
      <c r="K4527">
        <v>0</v>
      </c>
      <c r="L4527">
        <v>0</v>
      </c>
      <c r="M4527">
        <v>0.38784495999421131</v>
      </c>
      <c r="N4527">
        <v>0</v>
      </c>
      <c r="O4527">
        <v>0</v>
      </c>
      <c r="P4527">
        <v>0.40405544974480923</v>
      </c>
      <c r="Q4527">
        <v>0.86775597003704219</v>
      </c>
      <c r="R4527">
        <v>-9.0510122992152908</v>
      </c>
      <c r="S4527">
        <v>0.20371933215863211</v>
      </c>
      <c r="T4527">
        <v>0.15869246009154059</v>
      </c>
      <c r="U4527">
        <v>4.2695416864708866</v>
      </c>
      <c r="V4527">
        <v>0.1933172563537221</v>
      </c>
      <c r="W4527">
        <v>-5.3460920114581567</v>
      </c>
      <c r="X4527">
        <v>0.26390507908214228</v>
      </c>
      <c r="Z4527" t="s">
        <v>392</v>
      </c>
      <c r="AA4527">
        <v>161</v>
      </c>
      <c r="AB4527" t="s">
        <v>4918</v>
      </c>
      <c r="AC4527" t="str">
        <f>HYPERLINK("plots/3FT6Y578R04_015_S31P_20251219032831_M5358ACSA301811_RBGEUFRF04/dpll_52084/txpa_54165.png","plot")</f>
        <v>plot</v>
      </c>
    </row>
    <row r="4528" spans="1:29" hidden="1" x14ac:dyDescent="0.35">
      <c r="A4528" t="s">
        <v>50</v>
      </c>
      <c r="B4528">
        <v>52084</v>
      </c>
      <c r="C4528" t="s">
        <v>52</v>
      </c>
      <c r="D4528">
        <v>54166</v>
      </c>
      <c r="E4528" t="s">
        <v>186</v>
      </c>
      <c r="F4528">
        <v>11781</v>
      </c>
      <c r="G4528">
        <v>0.65600406513835319</v>
      </c>
      <c r="H4528">
        <v>0</v>
      </c>
      <c r="I4528">
        <v>0</v>
      </c>
      <c r="J4528">
        <v>0.56374930311786597</v>
      </c>
      <c r="K4528">
        <v>0</v>
      </c>
      <c r="L4528">
        <v>0</v>
      </c>
      <c r="M4528">
        <v>0.39935932094219811</v>
      </c>
      <c r="N4528">
        <v>0</v>
      </c>
      <c r="O4528">
        <v>0</v>
      </c>
      <c r="P4528">
        <v>0.43034133347804471</v>
      </c>
      <c r="Q4528">
        <v>0.91253055775978476</v>
      </c>
      <c r="R4528">
        <v>-9.2094073856751457</v>
      </c>
      <c r="S4528">
        <v>0.2029622303833748</v>
      </c>
      <c r="T4528">
        <v>0.15865453251426431</v>
      </c>
      <c r="U4528">
        <v>4.2695489746201511</v>
      </c>
      <c r="V4528">
        <v>0.19332384277072681</v>
      </c>
      <c r="W4528">
        <v>-5.3133134784823017</v>
      </c>
      <c r="X4528">
        <v>0.26892198302861142</v>
      </c>
      <c r="Z4528" t="s">
        <v>392</v>
      </c>
      <c r="AA4528">
        <v>161</v>
      </c>
      <c r="AB4528" t="s">
        <v>4919</v>
      </c>
      <c r="AC4528" t="str">
        <f>HYPERLINK("plots/3FT6Y578R04_015_S31P_20251219032831_M5358ACSA301811_RBGEUFRF04/dpll_52084/txpa_54166.png","plot")</f>
        <v>plot</v>
      </c>
    </row>
    <row r="4529" spans="1:29" hidden="1" x14ac:dyDescent="0.35">
      <c r="A4529" t="s">
        <v>50</v>
      </c>
      <c r="B4529">
        <v>52084</v>
      </c>
      <c r="C4529" t="s">
        <v>52</v>
      </c>
      <c r="D4529">
        <v>54167</v>
      </c>
      <c r="E4529" t="s">
        <v>187</v>
      </c>
      <c r="F4529">
        <v>11781</v>
      </c>
      <c r="G4529">
        <v>0.65499295385242817</v>
      </c>
      <c r="H4529">
        <v>0</v>
      </c>
      <c r="I4529">
        <v>0</v>
      </c>
      <c r="J4529">
        <v>0.55897588306753798</v>
      </c>
      <c r="K4529">
        <v>0</v>
      </c>
      <c r="L4529">
        <v>0</v>
      </c>
      <c r="M4529">
        <v>0.39451660038022879</v>
      </c>
      <c r="N4529">
        <v>0</v>
      </c>
      <c r="O4529">
        <v>0</v>
      </c>
      <c r="P4529">
        <v>0.42901576959632909</v>
      </c>
      <c r="Q4529">
        <v>0.90271156363103777</v>
      </c>
      <c r="R4529">
        <v>-9.188274568619109</v>
      </c>
      <c r="S4529">
        <v>0.2013050553721063</v>
      </c>
      <c r="T4529">
        <v>0.15802944774006589</v>
      </c>
      <c r="U4529">
        <v>4.2695174021729896</v>
      </c>
      <c r="V4529">
        <v>0.19330748901132719</v>
      </c>
      <c r="W4529">
        <v>-5.3341318385536027</v>
      </c>
      <c r="X4529">
        <v>0.26641646240719769</v>
      </c>
      <c r="Z4529" t="s">
        <v>392</v>
      </c>
      <c r="AA4529">
        <v>161</v>
      </c>
      <c r="AB4529" t="s">
        <v>4920</v>
      </c>
      <c r="AC4529" t="str">
        <f>HYPERLINK("plots/3FT6Y578R04_015_S31P_20251219032831_M5358ACSA301811_RBGEUFRF04/dpll_52084/txpa_54167.png","plot")</f>
        <v>plot</v>
      </c>
    </row>
    <row r="4530" spans="1:29" hidden="1" x14ac:dyDescent="0.35">
      <c r="A4530" t="s">
        <v>50</v>
      </c>
      <c r="B4530">
        <v>52084</v>
      </c>
      <c r="C4530" t="s">
        <v>52</v>
      </c>
      <c r="D4530">
        <v>54168</v>
      </c>
      <c r="E4530" t="s">
        <v>188</v>
      </c>
      <c r="F4530">
        <v>11782</v>
      </c>
      <c r="G4530">
        <v>0.66011481262317961</v>
      </c>
      <c r="H4530">
        <v>0</v>
      </c>
      <c r="I4530">
        <v>0</v>
      </c>
      <c r="J4530">
        <v>0.57376670331893964</v>
      </c>
      <c r="K4530">
        <v>0</v>
      </c>
      <c r="L4530">
        <v>0</v>
      </c>
      <c r="M4530">
        <v>0.40710389163324062</v>
      </c>
      <c r="N4530">
        <v>0</v>
      </c>
      <c r="O4530">
        <v>0</v>
      </c>
      <c r="P4530">
        <v>0.43575156584453562</v>
      </c>
      <c r="Q4530">
        <v>0.91329890118405821</v>
      </c>
      <c r="R4530">
        <v>-9.2356284265356816</v>
      </c>
      <c r="S4530">
        <v>0.20090041312197679</v>
      </c>
      <c r="T4530">
        <v>0.1571530229125945</v>
      </c>
      <c r="U4530">
        <v>4.2695416864708866</v>
      </c>
      <c r="V4530">
        <v>0.1933172563537221</v>
      </c>
      <c r="W4530">
        <v>-5.3362606957222889</v>
      </c>
      <c r="X4530">
        <v>0.26746322674712802</v>
      </c>
      <c r="Z4530" t="s">
        <v>392</v>
      </c>
      <c r="AA4530">
        <v>161</v>
      </c>
      <c r="AB4530" t="s">
        <v>4921</v>
      </c>
      <c r="AC4530" t="str">
        <f>HYPERLINK("plots/3FT6Y578R04_015_S31P_20251219032831_M5358ACSA301811_RBGEUFRF04/dpll_52084/txpa_54168.png","plot")</f>
        <v>plot</v>
      </c>
    </row>
    <row r="4531" spans="1:29" hidden="1" x14ac:dyDescent="0.35">
      <c r="A4531" t="s">
        <v>50</v>
      </c>
      <c r="B4531">
        <v>52084</v>
      </c>
      <c r="C4531" t="s">
        <v>52</v>
      </c>
      <c r="D4531">
        <v>54169</v>
      </c>
      <c r="E4531" t="s">
        <v>189</v>
      </c>
      <c r="F4531">
        <v>11782</v>
      </c>
      <c r="G4531">
        <v>0.65570042778280113</v>
      </c>
      <c r="H4531">
        <v>0</v>
      </c>
      <c r="I4531">
        <v>0</v>
      </c>
      <c r="J4531">
        <v>0.56250497595777438</v>
      </c>
      <c r="K4531">
        <v>0</v>
      </c>
      <c r="L4531">
        <v>0</v>
      </c>
      <c r="M4531">
        <v>0.39715386319158319</v>
      </c>
      <c r="N4531">
        <v>0</v>
      </c>
      <c r="O4531">
        <v>0</v>
      </c>
      <c r="P4531">
        <v>0.42994305099454838</v>
      </c>
      <c r="Q4531">
        <v>0.89498558352226898</v>
      </c>
      <c r="R4531">
        <v>-9.1567319844254236</v>
      </c>
      <c r="S4531">
        <v>0.19921493148088951</v>
      </c>
      <c r="T4531">
        <v>0.1566018297730751</v>
      </c>
      <c r="U4531">
        <v>4.2695416864708866</v>
      </c>
      <c r="V4531">
        <v>0.1933172563537221</v>
      </c>
      <c r="W4531">
        <v>-5.3355537267866238</v>
      </c>
      <c r="X4531">
        <v>0.26386464024081929</v>
      </c>
      <c r="Z4531" t="s">
        <v>392</v>
      </c>
      <c r="AA4531">
        <v>161</v>
      </c>
      <c r="AB4531" t="s">
        <v>4922</v>
      </c>
      <c r="AC4531" t="str">
        <f>HYPERLINK("plots/3FT6Y578R04_015_S31P_20251219032831_M5358ACSA301811_RBGEUFRF04/dpll_52084/txpa_54169.png","plot")</f>
        <v>plot</v>
      </c>
    </row>
    <row r="4532" spans="1:29" hidden="1" x14ac:dyDescent="0.35">
      <c r="A4532" t="s">
        <v>50</v>
      </c>
      <c r="B4532">
        <v>52084</v>
      </c>
      <c r="C4532" t="s">
        <v>52</v>
      </c>
      <c r="D4532">
        <v>54170</v>
      </c>
      <c r="E4532" t="s">
        <v>190</v>
      </c>
      <c r="F4532">
        <v>11781</v>
      </c>
      <c r="G4532">
        <v>0.64424121043624882</v>
      </c>
      <c r="H4532">
        <v>0</v>
      </c>
      <c r="I4532">
        <v>0</v>
      </c>
      <c r="J4532">
        <v>0.55406023780681479</v>
      </c>
      <c r="K4532">
        <v>0</v>
      </c>
      <c r="L4532">
        <v>0</v>
      </c>
      <c r="M4532">
        <v>0.39230262605035759</v>
      </c>
      <c r="N4532">
        <v>0</v>
      </c>
      <c r="O4532">
        <v>0</v>
      </c>
      <c r="P4532">
        <v>0.41504673722436303</v>
      </c>
      <c r="Q4532">
        <v>0.887087758782372</v>
      </c>
      <c r="R4532">
        <v>-9.1679442516412006</v>
      </c>
      <c r="S4532">
        <v>0.20357165200347849</v>
      </c>
      <c r="T4532">
        <v>0.15869821001849449</v>
      </c>
      <c r="U4532">
        <v>4.2695633024361257</v>
      </c>
      <c r="V4532">
        <v>0.19331122175495491</v>
      </c>
      <c r="W4532">
        <v>-5.3804669107036753</v>
      </c>
      <c r="X4532">
        <v>0.26617983400652728</v>
      </c>
      <c r="Z4532" t="s">
        <v>392</v>
      </c>
      <c r="AA4532">
        <v>161</v>
      </c>
      <c r="AB4532" t="s">
        <v>4923</v>
      </c>
      <c r="AC4532" t="str">
        <f>HYPERLINK("plots/3FT6Y578R04_015_S31P_20251219032831_M5358ACSA301811_RBGEUFRF04/dpll_52084/txpa_54170.png","plot")</f>
        <v>plot</v>
      </c>
    </row>
    <row r="4533" spans="1:29" hidden="1" x14ac:dyDescent="0.35">
      <c r="A4533" t="s">
        <v>50</v>
      </c>
      <c r="B4533">
        <v>52084</v>
      </c>
      <c r="C4533" t="s">
        <v>52</v>
      </c>
      <c r="D4533">
        <v>54171</v>
      </c>
      <c r="E4533" t="s">
        <v>191</v>
      </c>
      <c r="F4533">
        <v>11782</v>
      </c>
      <c r="G4533">
        <v>0.63285442473189468</v>
      </c>
      <c r="H4533">
        <v>0</v>
      </c>
      <c r="I4533">
        <v>0</v>
      </c>
      <c r="J4533">
        <v>0.55946265756181812</v>
      </c>
      <c r="K4533">
        <v>0</v>
      </c>
      <c r="L4533">
        <v>0</v>
      </c>
      <c r="M4533">
        <v>0.39396912623004632</v>
      </c>
      <c r="N4533">
        <v>0</v>
      </c>
      <c r="O4533">
        <v>0</v>
      </c>
      <c r="P4533">
        <v>0.40050472290273742</v>
      </c>
      <c r="Q4533">
        <v>0.87546290703484297</v>
      </c>
      <c r="R4533">
        <v>-6.077207342509281</v>
      </c>
      <c r="S4533">
        <v>0.20705179679107619</v>
      </c>
      <c r="T4533">
        <v>0.15935372896748051</v>
      </c>
      <c r="U4533">
        <v>4.2695416864708866</v>
      </c>
      <c r="V4533">
        <v>0.1933172563537221</v>
      </c>
      <c r="W4533">
        <v>-2.339381965965031</v>
      </c>
      <c r="X4533">
        <v>0.26742656859692182</v>
      </c>
      <c r="Z4533" t="s">
        <v>392</v>
      </c>
      <c r="AA4533">
        <v>161</v>
      </c>
      <c r="AB4533" t="s">
        <v>4924</v>
      </c>
      <c r="AC4533" t="str">
        <f>HYPERLINK("plots/3FT6Y578R04_015_S31P_20251219032831_M5358ACSA301811_RBGEUFRF04/dpll_52084/txpa_54171.png","plot")</f>
        <v>plot</v>
      </c>
    </row>
    <row r="4534" spans="1:29" hidden="1" x14ac:dyDescent="0.35">
      <c r="A4534" t="s">
        <v>50</v>
      </c>
      <c r="B4534">
        <v>52084</v>
      </c>
      <c r="C4534" t="s">
        <v>52</v>
      </c>
      <c r="D4534">
        <v>54172</v>
      </c>
      <c r="E4534" t="s">
        <v>192</v>
      </c>
      <c r="F4534">
        <v>11782</v>
      </c>
      <c r="G4534">
        <v>0.65777741367302067</v>
      </c>
      <c r="H4534">
        <v>0</v>
      </c>
      <c r="I4534">
        <v>0</v>
      </c>
      <c r="J4534">
        <v>0.57693460278919517</v>
      </c>
      <c r="K4534">
        <v>0</v>
      </c>
      <c r="L4534">
        <v>0</v>
      </c>
      <c r="M4534">
        <v>0.40928944603982342</v>
      </c>
      <c r="N4534">
        <v>0</v>
      </c>
      <c r="O4534">
        <v>0</v>
      </c>
      <c r="P4534">
        <v>0.43267112593836821</v>
      </c>
      <c r="Q4534">
        <v>0.91223561710196166</v>
      </c>
      <c r="R4534">
        <v>-6.1942310419514488</v>
      </c>
      <c r="S4534">
        <v>0.20192853904210459</v>
      </c>
      <c r="T4534">
        <v>0.15683309433050091</v>
      </c>
      <c r="U4534">
        <v>4.2695416864708866</v>
      </c>
      <c r="V4534">
        <v>0.1933172563537221</v>
      </c>
      <c r="W4534">
        <v>-2.2994030468511291</v>
      </c>
      <c r="X4534">
        <v>0.26810115850824767</v>
      </c>
      <c r="Z4534" t="s">
        <v>392</v>
      </c>
      <c r="AA4534">
        <v>161</v>
      </c>
      <c r="AB4534" t="s">
        <v>4925</v>
      </c>
      <c r="AC4534" t="str">
        <f>HYPERLINK("plots/3FT6Y578R04_015_S31P_20251219032831_M5358ACSA301811_RBGEUFRF04/dpll_52084/txpa_54172.png","plot")</f>
        <v>plot</v>
      </c>
    </row>
    <row r="4535" spans="1:29" hidden="1" x14ac:dyDescent="0.35">
      <c r="A4535" t="s">
        <v>50</v>
      </c>
      <c r="B4535">
        <v>52084</v>
      </c>
      <c r="C4535" t="s">
        <v>52</v>
      </c>
      <c r="D4535">
        <v>54173</v>
      </c>
      <c r="E4535" t="s">
        <v>193</v>
      </c>
      <c r="F4535">
        <v>11782</v>
      </c>
      <c r="G4535">
        <v>0.64733482578156676</v>
      </c>
      <c r="H4535">
        <v>0</v>
      </c>
      <c r="I4535">
        <v>0</v>
      </c>
      <c r="J4535">
        <v>0.56535221395245039</v>
      </c>
      <c r="K4535">
        <v>0</v>
      </c>
      <c r="L4535">
        <v>0</v>
      </c>
      <c r="M4535">
        <v>0.40002993991069019</v>
      </c>
      <c r="N4535">
        <v>0</v>
      </c>
      <c r="O4535">
        <v>0</v>
      </c>
      <c r="P4535">
        <v>0.41904237666965138</v>
      </c>
      <c r="Q4535">
        <v>0.88240596726395315</v>
      </c>
      <c r="R4535">
        <v>-6.0607896950479798</v>
      </c>
      <c r="S4535">
        <v>0.20084632207094799</v>
      </c>
      <c r="T4535">
        <v>0.1562210860811406</v>
      </c>
      <c r="U4535">
        <v>4.2695416864708866</v>
      </c>
      <c r="V4535">
        <v>0.1933172563537221</v>
      </c>
      <c r="W4535">
        <v>-2.2933206334238672</v>
      </c>
      <c r="X4535">
        <v>0.26351787944617822</v>
      </c>
      <c r="Z4535" t="s">
        <v>392</v>
      </c>
      <c r="AA4535">
        <v>161</v>
      </c>
      <c r="AB4535" t="s">
        <v>4926</v>
      </c>
      <c r="AC4535" t="str">
        <f>HYPERLINK("plots/3FT6Y578R04_015_S31P_20251219032831_M5358ACSA301811_RBGEUFRF04/dpll_52084/txpa_54173.png","plot")</f>
        <v>plot</v>
      </c>
    </row>
    <row r="4536" spans="1:29" hidden="1" x14ac:dyDescent="0.35">
      <c r="A4536" t="s">
        <v>50</v>
      </c>
      <c r="B4536">
        <v>52084</v>
      </c>
      <c r="C4536" t="s">
        <v>52</v>
      </c>
      <c r="D4536">
        <v>54174</v>
      </c>
      <c r="E4536" t="s">
        <v>194</v>
      </c>
      <c r="F4536">
        <v>11781</v>
      </c>
      <c r="G4536">
        <v>0.66665038836723967</v>
      </c>
      <c r="H4536">
        <v>0</v>
      </c>
      <c r="I4536">
        <v>0</v>
      </c>
      <c r="J4536">
        <v>0.57882500724261698</v>
      </c>
      <c r="K4536">
        <v>0</v>
      </c>
      <c r="L4536">
        <v>0</v>
      </c>
      <c r="M4536">
        <v>0.41106183364891102</v>
      </c>
      <c r="N4536">
        <v>0</v>
      </c>
      <c r="O4536">
        <v>0</v>
      </c>
      <c r="P4536">
        <v>0.44442274031019152</v>
      </c>
      <c r="Q4536">
        <v>0.92150034956262117</v>
      </c>
      <c r="R4536">
        <v>-6.2022934918045838</v>
      </c>
      <c r="S4536">
        <v>0.19917580675518931</v>
      </c>
      <c r="T4536">
        <v>0.15562010747043409</v>
      </c>
      <c r="U4536">
        <v>4.2695489746201511</v>
      </c>
      <c r="V4536">
        <v>0.19332384277072681</v>
      </c>
      <c r="W4536">
        <v>-2.2679026192173839</v>
      </c>
      <c r="X4536">
        <v>0.26722850807652571</v>
      </c>
      <c r="Z4536" t="s">
        <v>392</v>
      </c>
      <c r="AA4536">
        <v>161</v>
      </c>
      <c r="AB4536" t="s">
        <v>4927</v>
      </c>
      <c r="AC4536" t="str">
        <f>HYPERLINK("plots/3FT6Y578R04_015_S31P_20251219032831_M5358ACSA301811_RBGEUFRF04/dpll_52084/txpa_54174.png","plot")</f>
        <v>plot</v>
      </c>
    </row>
    <row r="4537" spans="1:29" hidden="1" x14ac:dyDescent="0.35">
      <c r="A4537" t="s">
        <v>50</v>
      </c>
      <c r="B4537">
        <v>52084</v>
      </c>
      <c r="C4537" t="s">
        <v>52</v>
      </c>
      <c r="D4537">
        <v>54175</v>
      </c>
      <c r="E4537" t="s">
        <v>195</v>
      </c>
      <c r="F4537">
        <v>11781</v>
      </c>
      <c r="G4537">
        <v>0.66568299625424443</v>
      </c>
      <c r="H4537">
        <v>0</v>
      </c>
      <c r="I4537">
        <v>0</v>
      </c>
      <c r="J4537">
        <v>0.57234851842802814</v>
      </c>
      <c r="K4537">
        <v>0</v>
      </c>
      <c r="L4537">
        <v>0</v>
      </c>
      <c r="M4537">
        <v>0.4048471298886458</v>
      </c>
      <c r="N4537">
        <v>0</v>
      </c>
      <c r="O4537">
        <v>0</v>
      </c>
      <c r="P4537">
        <v>0.44313385150202839</v>
      </c>
      <c r="Q4537">
        <v>0.91387772531694089</v>
      </c>
      <c r="R4537">
        <v>-6.1901073353590776</v>
      </c>
      <c r="S4537">
        <v>0.19802785539441811</v>
      </c>
      <c r="T4537">
        <v>0.1549896155290032</v>
      </c>
      <c r="U4537">
        <v>4.2695174021729896</v>
      </c>
      <c r="V4537">
        <v>0.19330748901132719</v>
      </c>
      <c r="W4537">
        <v>-2.288290483660131</v>
      </c>
      <c r="X4537">
        <v>0.26538068320574859</v>
      </c>
      <c r="Z4537" t="s">
        <v>392</v>
      </c>
      <c r="AA4537">
        <v>161</v>
      </c>
      <c r="AB4537" t="s">
        <v>4928</v>
      </c>
      <c r="AC4537" t="str">
        <f>HYPERLINK("plots/3FT6Y578R04_015_S31P_20251219032831_M5358ACSA301811_RBGEUFRF04/dpll_52084/txpa_54175.png","plot")</f>
        <v>plot</v>
      </c>
    </row>
    <row r="4538" spans="1:29" hidden="1" x14ac:dyDescent="0.35">
      <c r="A4538" t="s">
        <v>50</v>
      </c>
      <c r="B4538">
        <v>52084</v>
      </c>
      <c r="C4538" t="s">
        <v>52</v>
      </c>
      <c r="D4538">
        <v>54176</v>
      </c>
      <c r="E4538" t="s">
        <v>196</v>
      </c>
      <c r="F4538">
        <v>11782</v>
      </c>
      <c r="G4538">
        <v>0.67222835586121454</v>
      </c>
      <c r="H4538">
        <v>0</v>
      </c>
      <c r="I4538">
        <v>0</v>
      </c>
      <c r="J4538">
        <v>0.58927576008998139</v>
      </c>
      <c r="K4538">
        <v>0</v>
      </c>
      <c r="L4538">
        <v>0</v>
      </c>
      <c r="M4538">
        <v>0.41890351760665129</v>
      </c>
      <c r="N4538">
        <v>0</v>
      </c>
      <c r="O4538">
        <v>0</v>
      </c>
      <c r="P4538">
        <v>0.45189096242387172</v>
      </c>
      <c r="Q4538">
        <v>0.92832886590138108</v>
      </c>
      <c r="R4538">
        <v>-6.2496983046212247</v>
      </c>
      <c r="S4538">
        <v>0.1976381136247167</v>
      </c>
      <c r="T4538">
        <v>0.15467741154944531</v>
      </c>
      <c r="U4538">
        <v>4.2695416864708866</v>
      </c>
      <c r="V4538">
        <v>0.1933172563537221</v>
      </c>
      <c r="W4538">
        <v>-2.286159512901035</v>
      </c>
      <c r="X4538">
        <v>0.26696581271122161</v>
      </c>
      <c r="Z4538" t="s">
        <v>392</v>
      </c>
      <c r="AA4538">
        <v>161</v>
      </c>
      <c r="AB4538" t="s">
        <v>4929</v>
      </c>
      <c r="AC4538" t="str">
        <f>HYPERLINK("plots/3FT6Y578R04_015_S31P_20251219032831_M5358ACSA301811_RBGEUFRF04/dpll_52084/txpa_54176.png","plot")</f>
        <v>plot</v>
      </c>
    </row>
    <row r="4539" spans="1:29" hidden="1" x14ac:dyDescent="0.35">
      <c r="A4539" t="s">
        <v>50</v>
      </c>
      <c r="B4539">
        <v>52084</v>
      </c>
      <c r="C4539" t="s">
        <v>52</v>
      </c>
      <c r="D4539">
        <v>54177</v>
      </c>
      <c r="E4539" t="s">
        <v>197</v>
      </c>
      <c r="F4539">
        <v>11782</v>
      </c>
      <c r="G4539">
        <v>0.66828068694308707</v>
      </c>
      <c r="H4539">
        <v>0</v>
      </c>
      <c r="I4539">
        <v>0</v>
      </c>
      <c r="J4539">
        <v>0.57927904235336591</v>
      </c>
      <c r="K4539">
        <v>0</v>
      </c>
      <c r="L4539">
        <v>0</v>
      </c>
      <c r="M4539">
        <v>0.41012488965995231</v>
      </c>
      <c r="N4539">
        <v>0</v>
      </c>
      <c r="O4539">
        <v>0</v>
      </c>
      <c r="P4539">
        <v>0.44659907654112441</v>
      </c>
      <c r="Q4539">
        <v>0.90996680856093148</v>
      </c>
      <c r="R4539">
        <v>-6.1686203316053208</v>
      </c>
      <c r="S4539">
        <v>0.19581176070132111</v>
      </c>
      <c r="T4539">
        <v>0.15395608068737179</v>
      </c>
      <c r="U4539">
        <v>4.2695416864708866</v>
      </c>
      <c r="V4539">
        <v>0.1933172563537221</v>
      </c>
      <c r="W4539">
        <v>-2.2834791091495501</v>
      </c>
      <c r="X4539">
        <v>0.26323113961085209</v>
      </c>
      <c r="Z4539" t="s">
        <v>392</v>
      </c>
      <c r="AA4539">
        <v>161</v>
      </c>
      <c r="AB4539" t="s">
        <v>4930</v>
      </c>
      <c r="AC4539" t="str">
        <f>HYPERLINK("plots/3FT6Y578R04_015_S31P_20251219032831_M5358ACSA301811_RBGEUFRF04/dpll_52084/txpa_54177.png","plot")</f>
        <v>plot</v>
      </c>
    </row>
    <row r="4540" spans="1:29" hidden="1" x14ac:dyDescent="0.35">
      <c r="A4540" t="s">
        <v>50</v>
      </c>
      <c r="B4540">
        <v>52084</v>
      </c>
      <c r="C4540" t="s">
        <v>52</v>
      </c>
      <c r="D4540">
        <v>54178</v>
      </c>
      <c r="E4540" t="s">
        <v>198</v>
      </c>
      <c r="F4540">
        <v>11781</v>
      </c>
      <c r="G4540">
        <v>0.6568744361035298</v>
      </c>
      <c r="H4540">
        <v>0</v>
      </c>
      <c r="I4540">
        <v>0</v>
      </c>
      <c r="J4540">
        <v>0.57017091258777453</v>
      </c>
      <c r="K4540">
        <v>0</v>
      </c>
      <c r="L4540">
        <v>0</v>
      </c>
      <c r="M4540">
        <v>0.4046147951299412</v>
      </c>
      <c r="N4540">
        <v>0</v>
      </c>
      <c r="O4540">
        <v>0</v>
      </c>
      <c r="P4540">
        <v>0.43148402480633019</v>
      </c>
      <c r="Q4540">
        <v>0.90217617386758786</v>
      </c>
      <c r="R4540">
        <v>-6.1733388177634083</v>
      </c>
      <c r="S4540">
        <v>0.2001792058913551</v>
      </c>
      <c r="T4540">
        <v>0.15589714408764019</v>
      </c>
      <c r="U4540">
        <v>4.2695633024361257</v>
      </c>
      <c r="V4540">
        <v>0.19331122175495491</v>
      </c>
      <c r="W4540">
        <v>-2.3214405334861219</v>
      </c>
      <c r="X4540">
        <v>0.26550093720052581</v>
      </c>
      <c r="Z4540" t="s">
        <v>392</v>
      </c>
      <c r="AA4540">
        <v>161</v>
      </c>
      <c r="AB4540" t="s">
        <v>4931</v>
      </c>
      <c r="AC4540" t="str">
        <f>HYPERLINK("plots/3FT6Y578R04_015_S31P_20251219032831_M5358ACSA301811_RBGEUFRF04/dpll_52084/txpa_54178.png","plot")</f>
        <v>plot</v>
      </c>
    </row>
    <row r="4541" spans="1:29" hidden="1" x14ac:dyDescent="0.35">
      <c r="A4541" t="s">
        <v>50</v>
      </c>
      <c r="B4541">
        <v>52084</v>
      </c>
      <c r="C4541" t="s">
        <v>52</v>
      </c>
      <c r="D4541">
        <v>54179</v>
      </c>
      <c r="E4541" t="s">
        <v>199</v>
      </c>
      <c r="F4541">
        <v>11782</v>
      </c>
      <c r="G4541">
        <v>0.67244864036649199</v>
      </c>
      <c r="H4541">
        <v>0</v>
      </c>
      <c r="I4541">
        <v>0</v>
      </c>
      <c r="J4541">
        <v>0.60379113163395204</v>
      </c>
      <c r="K4541">
        <v>0</v>
      </c>
      <c r="L4541">
        <v>0</v>
      </c>
      <c r="M4541">
        <v>0.42873601495667552</v>
      </c>
      <c r="N4541">
        <v>0</v>
      </c>
      <c r="O4541">
        <v>0</v>
      </c>
      <c r="P4541">
        <v>0.4521871739307437</v>
      </c>
      <c r="Q4541">
        <v>0.95558153613869945</v>
      </c>
      <c r="R4541">
        <v>-2.844784465097518</v>
      </c>
      <c r="S4541">
        <v>0.20331851057763509</v>
      </c>
      <c r="T4541">
        <v>0.15586672541244101</v>
      </c>
      <c r="U4541">
        <v>4.2695416864708866</v>
      </c>
      <c r="V4541">
        <v>0.1933172563537221</v>
      </c>
      <c r="W4541">
        <v>1.2351107382685449</v>
      </c>
      <c r="X4541">
        <v>0.2747130259463807</v>
      </c>
      <c r="Z4541" t="s">
        <v>392</v>
      </c>
      <c r="AA4541">
        <v>161</v>
      </c>
      <c r="AB4541" t="s">
        <v>4932</v>
      </c>
      <c r="AC4541" t="str">
        <f>HYPERLINK("plots/3FT6Y578R04_015_S31P_20251219032831_M5358ACSA301811_RBGEUFRF04/dpll_52084/txpa_54179.png","plot")</f>
        <v>plot</v>
      </c>
    </row>
    <row r="4542" spans="1:29" hidden="1" x14ac:dyDescent="0.35">
      <c r="A4542" t="s">
        <v>50</v>
      </c>
      <c r="B4542">
        <v>52084</v>
      </c>
      <c r="C4542" t="s">
        <v>52</v>
      </c>
      <c r="D4542">
        <v>54180</v>
      </c>
      <c r="E4542" t="s">
        <v>200</v>
      </c>
      <c r="F4542">
        <v>11782</v>
      </c>
      <c r="G4542">
        <v>0.69596190343410602</v>
      </c>
      <c r="H4542">
        <v>0</v>
      </c>
      <c r="I4542">
        <v>0</v>
      </c>
      <c r="J4542">
        <v>0.61992414048324818</v>
      </c>
      <c r="K4542">
        <v>0</v>
      </c>
      <c r="L4542">
        <v>0</v>
      </c>
      <c r="M4542">
        <v>0.44368213286026681</v>
      </c>
      <c r="N4542">
        <v>0</v>
      </c>
      <c r="O4542">
        <v>0</v>
      </c>
      <c r="P4542">
        <v>0.4843629710316239</v>
      </c>
      <c r="Q4542">
        <v>0.99042296613705116</v>
      </c>
      <c r="R4542">
        <v>-2.9579518452308999</v>
      </c>
      <c r="S4542">
        <v>0.1975420131634669</v>
      </c>
      <c r="T4542">
        <v>0.15336948906061351</v>
      </c>
      <c r="U4542">
        <v>4.2695416864708866</v>
      </c>
      <c r="V4542">
        <v>0.1933172563537221</v>
      </c>
      <c r="W4542">
        <v>1.270700295929384</v>
      </c>
      <c r="X4542">
        <v>0.27510967123139141</v>
      </c>
      <c r="Z4542" t="s">
        <v>392</v>
      </c>
      <c r="AA4542">
        <v>161</v>
      </c>
      <c r="AB4542" t="s">
        <v>4933</v>
      </c>
      <c r="AC4542" t="str">
        <f>HYPERLINK("plots/3FT6Y578R04_015_S31P_20251219032831_M5358ACSA301811_RBGEUFRF04/dpll_52084/txpa_54180.png","plot")</f>
        <v>plot</v>
      </c>
    </row>
    <row r="4543" spans="1:29" hidden="1" x14ac:dyDescent="0.35">
      <c r="A4543" t="s">
        <v>50</v>
      </c>
      <c r="B4543">
        <v>52084</v>
      </c>
      <c r="C4543" t="s">
        <v>52</v>
      </c>
      <c r="D4543">
        <v>54181</v>
      </c>
      <c r="E4543" t="s">
        <v>201</v>
      </c>
      <c r="F4543">
        <v>11782</v>
      </c>
      <c r="G4543">
        <v>0.68592076564306559</v>
      </c>
      <c r="H4543">
        <v>0</v>
      </c>
      <c r="I4543">
        <v>0</v>
      </c>
      <c r="J4543">
        <v>0.6088908492379892</v>
      </c>
      <c r="K4543">
        <v>0</v>
      </c>
      <c r="L4543">
        <v>0</v>
      </c>
      <c r="M4543">
        <v>0.43444654424644391</v>
      </c>
      <c r="N4543">
        <v>0</v>
      </c>
      <c r="O4543">
        <v>0</v>
      </c>
      <c r="P4543">
        <v>0.47048729674036932</v>
      </c>
      <c r="Q4543">
        <v>0.9618174844183599</v>
      </c>
      <c r="R4543">
        <v>-2.8281912484729119</v>
      </c>
      <c r="S4543">
        <v>0.19724640659951451</v>
      </c>
      <c r="T4543">
        <v>0.15286935199229279</v>
      </c>
      <c r="U4543">
        <v>4.2695416864708866</v>
      </c>
      <c r="V4543">
        <v>0.1933172563537221</v>
      </c>
      <c r="W4543">
        <v>1.278328596027839</v>
      </c>
      <c r="X4543">
        <v>0.27107492076942341</v>
      </c>
      <c r="Z4543" t="s">
        <v>392</v>
      </c>
      <c r="AA4543">
        <v>161</v>
      </c>
      <c r="AB4543" t="s">
        <v>4934</v>
      </c>
      <c r="AC4543" t="str">
        <f>HYPERLINK("plots/3FT6Y578R04_015_S31P_20251219032831_M5358ACSA301811_RBGEUFRF04/dpll_52084/txpa_54181.png","plot")</f>
        <v>plot</v>
      </c>
    </row>
    <row r="4544" spans="1:29" hidden="1" x14ac:dyDescent="0.35">
      <c r="A4544" t="s">
        <v>50</v>
      </c>
      <c r="B4544">
        <v>52084</v>
      </c>
      <c r="C4544" t="s">
        <v>52</v>
      </c>
      <c r="D4544">
        <v>54182</v>
      </c>
      <c r="E4544" t="s">
        <v>202</v>
      </c>
      <c r="F4544">
        <v>11781</v>
      </c>
      <c r="G4544">
        <v>0.70389130864066263</v>
      </c>
      <c r="H4544">
        <v>0</v>
      </c>
      <c r="I4544">
        <v>0</v>
      </c>
      <c r="J4544">
        <v>0.62158587441132807</v>
      </c>
      <c r="K4544">
        <v>0</v>
      </c>
      <c r="L4544">
        <v>0</v>
      </c>
      <c r="M4544">
        <v>0.44533773235574009</v>
      </c>
      <c r="N4544">
        <v>0</v>
      </c>
      <c r="O4544">
        <v>0</v>
      </c>
      <c r="P4544">
        <v>0.49546297437986458</v>
      </c>
      <c r="Q4544">
        <v>0.99643114408223465</v>
      </c>
      <c r="R4544">
        <v>-2.9579523084229749</v>
      </c>
      <c r="S4544">
        <v>0.19438162041258039</v>
      </c>
      <c r="T4544">
        <v>0.15173430727862061</v>
      </c>
      <c r="U4544">
        <v>4.2695489746201511</v>
      </c>
      <c r="V4544">
        <v>0.19332384277072681</v>
      </c>
      <c r="W4544">
        <v>1.296359261072914</v>
      </c>
      <c r="X4544">
        <v>0.27366994799583338</v>
      </c>
      <c r="Z4544" t="s">
        <v>392</v>
      </c>
      <c r="AA4544">
        <v>161</v>
      </c>
      <c r="AB4544" t="s">
        <v>4935</v>
      </c>
      <c r="AC4544" t="str">
        <f>HYPERLINK("plots/3FT6Y578R04_015_S31P_20251219032831_M5358ACSA301811_RBGEUFRF04/dpll_52084/txpa_54182.png","plot")</f>
        <v>plot</v>
      </c>
    </row>
    <row r="4545" spans="1:29" hidden="1" x14ac:dyDescent="0.35">
      <c r="A4545" t="s">
        <v>50</v>
      </c>
      <c r="B4545">
        <v>52084</v>
      </c>
      <c r="C4545" t="s">
        <v>52</v>
      </c>
      <c r="D4545">
        <v>54183</v>
      </c>
      <c r="E4545" t="s">
        <v>203</v>
      </c>
      <c r="F4545">
        <v>11781</v>
      </c>
      <c r="G4545">
        <v>0.70363425181119554</v>
      </c>
      <c r="H4545">
        <v>0</v>
      </c>
      <c r="I4545">
        <v>0</v>
      </c>
      <c r="J4545">
        <v>0.61544510187675594</v>
      </c>
      <c r="K4545">
        <v>0</v>
      </c>
      <c r="L4545">
        <v>0</v>
      </c>
      <c r="M4545">
        <v>0.43903139360306259</v>
      </c>
      <c r="N4545">
        <v>0</v>
      </c>
      <c r="O4545">
        <v>0</v>
      </c>
      <c r="P4545">
        <v>0.49510116032190088</v>
      </c>
      <c r="Q4545">
        <v>0.99051160276412076</v>
      </c>
      <c r="R4545">
        <v>-2.95328124478405</v>
      </c>
      <c r="S4545">
        <v>0.1933503792279854</v>
      </c>
      <c r="T4545">
        <v>0.1512981411053794</v>
      </c>
      <c r="U4545">
        <v>4.2695174021729896</v>
      </c>
      <c r="V4545">
        <v>0.19330748901132719</v>
      </c>
      <c r="W4545">
        <v>1.2757252802716239</v>
      </c>
      <c r="X4545">
        <v>0.27212050902021018</v>
      </c>
      <c r="Z4545" t="s">
        <v>392</v>
      </c>
      <c r="AA4545">
        <v>161</v>
      </c>
      <c r="AB4545" t="s">
        <v>4936</v>
      </c>
      <c r="AC4545" t="str">
        <f>HYPERLINK("plots/3FT6Y578R04_015_S31P_20251219032831_M5358ACSA301811_RBGEUFRF04/dpll_52084/txpa_54183.png","plot")</f>
        <v>plot</v>
      </c>
    </row>
    <row r="4546" spans="1:29" hidden="1" x14ac:dyDescent="0.35">
      <c r="A4546" t="s">
        <v>50</v>
      </c>
      <c r="B4546">
        <v>52084</v>
      </c>
      <c r="C4546" t="s">
        <v>52</v>
      </c>
      <c r="D4546">
        <v>54184</v>
      </c>
      <c r="E4546" t="s">
        <v>204</v>
      </c>
      <c r="F4546">
        <v>11782</v>
      </c>
      <c r="G4546">
        <v>0.70893168660515515</v>
      </c>
      <c r="H4546">
        <v>0</v>
      </c>
      <c r="I4546">
        <v>0</v>
      </c>
      <c r="J4546">
        <v>0.631027548799451</v>
      </c>
      <c r="K4546">
        <v>0</v>
      </c>
      <c r="L4546">
        <v>0</v>
      </c>
      <c r="M4546">
        <v>0.45240855500261518</v>
      </c>
      <c r="N4546">
        <v>0</v>
      </c>
      <c r="O4546">
        <v>0</v>
      </c>
      <c r="P4546">
        <v>0.50258413627282994</v>
      </c>
      <c r="Q4546">
        <v>1.005832534752962</v>
      </c>
      <c r="R4546">
        <v>-3.012250934332783</v>
      </c>
      <c r="S4546">
        <v>0.19343421645260481</v>
      </c>
      <c r="T4546">
        <v>0.15108568784046861</v>
      </c>
      <c r="U4546">
        <v>4.2695416864708866</v>
      </c>
      <c r="V4546">
        <v>0.1933172563537221</v>
      </c>
      <c r="W4546">
        <v>1.282193002403667</v>
      </c>
      <c r="X4546">
        <v>0.274278593612998</v>
      </c>
      <c r="Z4546" t="s">
        <v>392</v>
      </c>
      <c r="AA4546">
        <v>161</v>
      </c>
      <c r="AB4546" t="s">
        <v>4937</v>
      </c>
      <c r="AC4546" t="str">
        <f>HYPERLINK("plots/3FT6Y578R04_015_S31P_20251219032831_M5358ACSA301811_RBGEUFRF04/dpll_52084/txpa_54184.png","plot")</f>
        <v>plot</v>
      </c>
    </row>
    <row r="4547" spans="1:29" hidden="1" x14ac:dyDescent="0.35">
      <c r="A4547" t="s">
        <v>50</v>
      </c>
      <c r="B4547">
        <v>52084</v>
      </c>
      <c r="C4547" t="s">
        <v>52</v>
      </c>
      <c r="D4547">
        <v>54185</v>
      </c>
      <c r="E4547" t="s">
        <v>205</v>
      </c>
      <c r="F4547">
        <v>11782</v>
      </c>
      <c r="G4547">
        <v>0.70595076033092818</v>
      </c>
      <c r="H4547">
        <v>0</v>
      </c>
      <c r="I4547">
        <v>0</v>
      </c>
      <c r="J4547">
        <v>0.62125077948516905</v>
      </c>
      <c r="K4547">
        <v>0</v>
      </c>
      <c r="L4547">
        <v>0</v>
      </c>
      <c r="M4547">
        <v>0.44384997922665731</v>
      </c>
      <c r="N4547">
        <v>0</v>
      </c>
      <c r="O4547">
        <v>0</v>
      </c>
      <c r="P4547">
        <v>0.49836647601181561</v>
      </c>
      <c r="Q4547">
        <v>0.98812350553326767</v>
      </c>
      <c r="R4547">
        <v>-2.9325449380794919</v>
      </c>
      <c r="S4547">
        <v>0.19163829045324129</v>
      </c>
      <c r="T4547">
        <v>0.150486363683282</v>
      </c>
      <c r="U4547">
        <v>4.2695416864708866</v>
      </c>
      <c r="V4547">
        <v>0.1933172563537221</v>
      </c>
      <c r="W4547">
        <v>1.2862895601765409</v>
      </c>
      <c r="X4547">
        <v>0.27058732104597238</v>
      </c>
      <c r="Z4547" t="s">
        <v>392</v>
      </c>
      <c r="AA4547">
        <v>161</v>
      </c>
      <c r="AB4547" t="s">
        <v>4938</v>
      </c>
      <c r="AC4547" t="str">
        <f>HYPERLINK("plots/3FT6Y578R04_015_S31P_20251219032831_M5358ACSA301811_RBGEUFRF04/dpll_52084/txpa_54185.png","plot")</f>
        <v>plot</v>
      </c>
    </row>
    <row r="4548" spans="1:29" hidden="1" x14ac:dyDescent="0.35">
      <c r="A4548" t="s">
        <v>50</v>
      </c>
      <c r="B4548">
        <v>52084</v>
      </c>
      <c r="C4548" t="s">
        <v>52</v>
      </c>
      <c r="D4548">
        <v>54186</v>
      </c>
      <c r="E4548" t="s">
        <v>206</v>
      </c>
      <c r="F4548">
        <v>11781</v>
      </c>
      <c r="G4548">
        <v>0.69607042898907756</v>
      </c>
      <c r="H4548">
        <v>0</v>
      </c>
      <c r="I4548">
        <v>0</v>
      </c>
      <c r="J4548">
        <v>0.61320975991323601</v>
      </c>
      <c r="K4548">
        <v>0</v>
      </c>
      <c r="L4548">
        <v>0</v>
      </c>
      <c r="M4548">
        <v>0.43882653108735881</v>
      </c>
      <c r="N4548">
        <v>0</v>
      </c>
      <c r="O4548">
        <v>0</v>
      </c>
      <c r="P4548">
        <v>0.48451404211303839</v>
      </c>
      <c r="Q4548">
        <v>0.98189415812328107</v>
      </c>
      <c r="R4548">
        <v>-2.9387594923394782</v>
      </c>
      <c r="S4548">
        <v>0.19577559141749479</v>
      </c>
      <c r="T4548">
        <v>0.15212158450389721</v>
      </c>
      <c r="U4548">
        <v>4.2695633024361257</v>
      </c>
      <c r="V4548">
        <v>0.19331122175495491</v>
      </c>
      <c r="W4548">
        <v>1.2534997720600971</v>
      </c>
      <c r="X4548">
        <v>0.27268958920799491</v>
      </c>
      <c r="Z4548" t="s">
        <v>392</v>
      </c>
      <c r="AA4548">
        <v>161</v>
      </c>
      <c r="AB4548" t="s">
        <v>4939</v>
      </c>
      <c r="AC4548" t="str">
        <f>HYPERLINK("plots/3FT6Y578R04_015_S31P_20251219032831_M5358ACSA301811_RBGEUFRF04/dpll_52084/txpa_54186.png","plot")</f>
        <v>plot</v>
      </c>
    </row>
    <row r="4549" spans="1:29" hidden="1" x14ac:dyDescent="0.35">
      <c r="A4549" t="s">
        <v>50</v>
      </c>
      <c r="B4549">
        <v>52084</v>
      </c>
      <c r="C4549" t="s">
        <v>52</v>
      </c>
      <c r="D4549">
        <v>54187</v>
      </c>
      <c r="E4549" t="s">
        <v>207</v>
      </c>
      <c r="F4549">
        <v>11782</v>
      </c>
      <c r="G4549">
        <v>0.7029594285270172</v>
      </c>
      <c r="H4549">
        <v>0</v>
      </c>
      <c r="I4549">
        <v>0</v>
      </c>
      <c r="J4549">
        <v>0.63461876598958034</v>
      </c>
      <c r="K4549">
        <v>0</v>
      </c>
      <c r="L4549">
        <v>0</v>
      </c>
      <c r="M4549">
        <v>0.45355918707202231</v>
      </c>
      <c r="N4549">
        <v>0</v>
      </c>
      <c r="O4549">
        <v>0</v>
      </c>
      <c r="P4549">
        <v>0.4941519581550306</v>
      </c>
      <c r="Q4549">
        <v>1.0317317286904171</v>
      </c>
      <c r="R4549">
        <v>-1.1579068530430361</v>
      </c>
      <c r="S4549">
        <v>0.2017895883575386</v>
      </c>
      <c r="T4549">
        <v>0.15441116729335419</v>
      </c>
      <c r="U4549">
        <v>4.2695416864708866</v>
      </c>
      <c r="V4549">
        <v>0.1933172563537221</v>
      </c>
      <c r="W4549">
        <v>3.2471147718553719</v>
      </c>
      <c r="X4549">
        <v>0.28373123538785938</v>
      </c>
      <c r="Z4549" t="s">
        <v>392</v>
      </c>
      <c r="AA4549">
        <v>161</v>
      </c>
      <c r="AB4549" t="s">
        <v>4940</v>
      </c>
      <c r="AC4549" t="str">
        <f>HYPERLINK("plots/3FT6Y578R04_015_S31P_20251219032831_M5358ACSA301811_RBGEUFRF04/dpll_52084/txpa_54187.png","plot")</f>
        <v>plot</v>
      </c>
    </row>
    <row r="4550" spans="1:29" hidden="1" x14ac:dyDescent="0.35">
      <c r="A4550" t="s">
        <v>50</v>
      </c>
      <c r="B4550">
        <v>52084</v>
      </c>
      <c r="C4550" t="s">
        <v>52</v>
      </c>
      <c r="D4550">
        <v>54188</v>
      </c>
      <c r="E4550" t="s">
        <v>208</v>
      </c>
      <c r="F4550">
        <v>11782</v>
      </c>
      <c r="G4550">
        <v>0.72501411750402966</v>
      </c>
      <c r="H4550">
        <v>0</v>
      </c>
      <c r="I4550">
        <v>0</v>
      </c>
      <c r="J4550">
        <v>0.64931041390576283</v>
      </c>
      <c r="K4550">
        <v>0</v>
      </c>
      <c r="L4550">
        <v>0</v>
      </c>
      <c r="M4550">
        <v>0.46799064391320261</v>
      </c>
      <c r="N4550">
        <v>0</v>
      </c>
      <c r="O4550">
        <v>0</v>
      </c>
      <c r="P4550">
        <v>0.52564547058014699</v>
      </c>
      <c r="Q4550">
        <v>1.0663459755066409</v>
      </c>
      <c r="R4550">
        <v>-1.2712749223293429</v>
      </c>
      <c r="S4550">
        <v>0.1958192525365543</v>
      </c>
      <c r="T4550">
        <v>0.15210303659641619</v>
      </c>
      <c r="U4550">
        <v>4.2695416864708866</v>
      </c>
      <c r="V4550">
        <v>0.1933172563537221</v>
      </c>
      <c r="W4550">
        <v>3.2815336722967241</v>
      </c>
      <c r="X4550">
        <v>0.2843297438378935</v>
      </c>
      <c r="Z4550" t="s">
        <v>392</v>
      </c>
      <c r="AA4550">
        <v>161</v>
      </c>
      <c r="AB4550" t="s">
        <v>4941</v>
      </c>
      <c r="AC4550" t="str">
        <f>HYPERLINK("plots/3FT6Y578R04_015_S31P_20251219032831_M5358ACSA301811_RBGEUFRF04/dpll_52084/txpa_54188.png","plot")</f>
        <v>plot</v>
      </c>
    </row>
    <row r="4551" spans="1:29" hidden="1" x14ac:dyDescent="0.35">
      <c r="A4551" t="s">
        <v>50</v>
      </c>
      <c r="B4551">
        <v>52084</v>
      </c>
      <c r="C4551" t="s">
        <v>52</v>
      </c>
      <c r="D4551">
        <v>54189</v>
      </c>
      <c r="E4551" t="s">
        <v>209</v>
      </c>
      <c r="F4551">
        <v>11782</v>
      </c>
      <c r="G4551">
        <v>0.71571885579047168</v>
      </c>
      <c r="H4551">
        <v>0</v>
      </c>
      <c r="I4551">
        <v>0</v>
      </c>
      <c r="J4551">
        <v>0.63908232188990122</v>
      </c>
      <c r="K4551">
        <v>0</v>
      </c>
      <c r="L4551">
        <v>0</v>
      </c>
      <c r="M4551">
        <v>0.45901231710242552</v>
      </c>
      <c r="N4551">
        <v>0</v>
      </c>
      <c r="O4551">
        <v>0</v>
      </c>
      <c r="P4551">
        <v>0.51225348053402198</v>
      </c>
      <c r="Q4551">
        <v>1.0376462867411009</v>
      </c>
      <c r="R4551">
        <v>-1.140176749943705</v>
      </c>
      <c r="S4551">
        <v>0.19572944218695601</v>
      </c>
      <c r="T4551">
        <v>0.1514305293963393</v>
      </c>
      <c r="U4551">
        <v>4.2695416864708866</v>
      </c>
      <c r="V4551">
        <v>0.1933172563537221</v>
      </c>
      <c r="W4551">
        <v>3.2900973271091489</v>
      </c>
      <c r="X4551">
        <v>0.28027057216044882</v>
      </c>
      <c r="Z4551" t="s">
        <v>392</v>
      </c>
      <c r="AA4551">
        <v>161</v>
      </c>
      <c r="AB4551" t="s">
        <v>4942</v>
      </c>
      <c r="AC4551" t="str">
        <f>HYPERLINK("plots/3FT6Y578R04_015_S31P_20251219032831_M5358ACSA301811_RBGEUFRF04/dpll_52084/txpa_54189.png","plot")</f>
        <v>plot</v>
      </c>
    </row>
    <row r="4552" spans="1:29" hidden="1" x14ac:dyDescent="0.35">
      <c r="A4552" t="s">
        <v>50</v>
      </c>
      <c r="B4552">
        <v>52084</v>
      </c>
      <c r="C4552" t="s">
        <v>52</v>
      </c>
      <c r="D4552">
        <v>54190</v>
      </c>
      <c r="E4552" t="s">
        <v>210</v>
      </c>
      <c r="F4552">
        <v>11781</v>
      </c>
      <c r="G4552">
        <v>0.73240456696528966</v>
      </c>
      <c r="H4552">
        <v>0</v>
      </c>
      <c r="I4552">
        <v>0</v>
      </c>
      <c r="J4552">
        <v>0.65133834875371377</v>
      </c>
      <c r="K4552">
        <v>0</v>
      </c>
      <c r="L4552">
        <v>0</v>
      </c>
      <c r="M4552">
        <v>0.46989971937504532</v>
      </c>
      <c r="N4552">
        <v>0</v>
      </c>
      <c r="O4552">
        <v>0</v>
      </c>
      <c r="P4552">
        <v>0.53641644971161351</v>
      </c>
      <c r="Q4552">
        <v>1.0703052278017651</v>
      </c>
      <c r="R4552">
        <v>-1.265301802729063</v>
      </c>
      <c r="S4552">
        <v>0.1923479659076294</v>
      </c>
      <c r="T4552">
        <v>0.15003957383342689</v>
      </c>
      <c r="U4552">
        <v>4.2695489746201511</v>
      </c>
      <c r="V4552">
        <v>0.19332384277072681</v>
      </c>
      <c r="W4552">
        <v>3.3044187851625502</v>
      </c>
      <c r="X4552">
        <v>0.28251533224811459</v>
      </c>
      <c r="Z4552" t="s">
        <v>392</v>
      </c>
      <c r="AA4552">
        <v>161</v>
      </c>
      <c r="AB4552" t="s">
        <v>4943</v>
      </c>
      <c r="AC4552" t="str">
        <f>HYPERLINK("plots/3FT6Y578R04_015_S31P_20251219032831_M5358ACSA301811_RBGEUFRF04/dpll_52084/txpa_54190.png","plot")</f>
        <v>plot</v>
      </c>
    </row>
    <row r="4553" spans="1:29" hidden="1" x14ac:dyDescent="0.35">
      <c r="A4553" t="s">
        <v>50</v>
      </c>
      <c r="B4553">
        <v>52084</v>
      </c>
      <c r="C4553" t="s">
        <v>52</v>
      </c>
      <c r="D4553">
        <v>54191</v>
      </c>
      <c r="E4553" t="s">
        <v>211</v>
      </c>
      <c r="F4553">
        <v>11781</v>
      </c>
      <c r="G4553">
        <v>0.73270037696287982</v>
      </c>
      <c r="H4553">
        <v>0</v>
      </c>
      <c r="I4553">
        <v>0</v>
      </c>
      <c r="J4553">
        <v>0.64552695585702602</v>
      </c>
      <c r="K4553">
        <v>0</v>
      </c>
      <c r="L4553">
        <v>0</v>
      </c>
      <c r="M4553">
        <v>0.4635466928133779</v>
      </c>
      <c r="N4553">
        <v>0</v>
      </c>
      <c r="O4553">
        <v>0</v>
      </c>
      <c r="P4553">
        <v>0.53684984240154621</v>
      </c>
      <c r="Q4553">
        <v>1.064874989047258</v>
      </c>
      <c r="R4553">
        <v>-1.2639033408451421</v>
      </c>
      <c r="S4553">
        <v>0.1911892047120832</v>
      </c>
      <c r="T4553">
        <v>0.1495013431806595</v>
      </c>
      <c r="U4553">
        <v>4.2695174021729896</v>
      </c>
      <c r="V4553">
        <v>0.19330748901132719</v>
      </c>
      <c r="W4553">
        <v>3.2825989560308968</v>
      </c>
      <c r="X4553">
        <v>0.28094473091027039</v>
      </c>
      <c r="Z4553" t="s">
        <v>392</v>
      </c>
      <c r="AA4553">
        <v>161</v>
      </c>
      <c r="AB4553" t="s">
        <v>4944</v>
      </c>
      <c r="AC4553" t="str">
        <f>HYPERLINK("plots/3FT6Y578R04_015_S31P_20251219032831_M5358ACSA301811_RBGEUFRF04/dpll_52084/txpa_54191.png","plot")</f>
        <v>plot</v>
      </c>
    </row>
    <row r="4554" spans="1:29" hidden="1" x14ac:dyDescent="0.35">
      <c r="A4554" t="s">
        <v>50</v>
      </c>
      <c r="B4554">
        <v>52084</v>
      </c>
      <c r="C4554" t="s">
        <v>52</v>
      </c>
      <c r="D4554">
        <v>54192</v>
      </c>
      <c r="E4554" t="s">
        <v>212</v>
      </c>
      <c r="F4554">
        <v>11781</v>
      </c>
      <c r="G4554">
        <v>0.73907953931473536</v>
      </c>
      <c r="H4554">
        <v>0</v>
      </c>
      <c r="I4554">
        <v>0</v>
      </c>
      <c r="J4554">
        <v>0.66092373272271865</v>
      </c>
      <c r="K4554">
        <v>0</v>
      </c>
      <c r="L4554">
        <v>0</v>
      </c>
      <c r="M4554">
        <v>0.47723794377378193</v>
      </c>
      <c r="N4554">
        <v>0</v>
      </c>
      <c r="O4554">
        <v>0</v>
      </c>
      <c r="P4554">
        <v>0.54623856543368143</v>
      </c>
      <c r="Q4554">
        <v>1.082819009389461</v>
      </c>
      <c r="R4554">
        <v>-1.330720005126552</v>
      </c>
      <c r="S4554">
        <v>0.19076229583044579</v>
      </c>
      <c r="T4554">
        <v>0.149376214532006</v>
      </c>
      <c r="U4554">
        <v>4.2695129435531793</v>
      </c>
      <c r="V4554">
        <v>0.1933002831720991</v>
      </c>
      <c r="W4554">
        <v>3.292389770987183</v>
      </c>
      <c r="X4554">
        <v>0.28320256481891443</v>
      </c>
      <c r="Z4554" t="s">
        <v>392</v>
      </c>
      <c r="AA4554">
        <v>161</v>
      </c>
      <c r="AB4554" t="s">
        <v>4945</v>
      </c>
      <c r="AC4554" t="str">
        <f>HYPERLINK("plots/3FT6Y578R04_015_S31P_20251219032831_M5358ACSA301811_RBGEUFRF04/dpll_52084/txpa_54192.png","plot")</f>
        <v>plot</v>
      </c>
    </row>
    <row r="4555" spans="1:29" hidden="1" x14ac:dyDescent="0.35">
      <c r="A4555" t="s">
        <v>50</v>
      </c>
      <c r="B4555">
        <v>52084</v>
      </c>
      <c r="C4555" t="s">
        <v>52</v>
      </c>
      <c r="D4555">
        <v>54193</v>
      </c>
      <c r="E4555" t="s">
        <v>213</v>
      </c>
      <c r="F4555">
        <v>11782</v>
      </c>
      <c r="G4555">
        <v>0.73462788913637644</v>
      </c>
      <c r="H4555">
        <v>0</v>
      </c>
      <c r="I4555">
        <v>0</v>
      </c>
      <c r="J4555">
        <v>0.65067861060043497</v>
      </c>
      <c r="K4555">
        <v>0</v>
      </c>
      <c r="L4555">
        <v>0</v>
      </c>
      <c r="M4555">
        <v>0.46815289493213441</v>
      </c>
      <c r="N4555">
        <v>0</v>
      </c>
      <c r="O4555">
        <v>0</v>
      </c>
      <c r="P4555">
        <v>0.53967813549696819</v>
      </c>
      <c r="Q4555">
        <v>1.0642887264806871</v>
      </c>
      <c r="R4555">
        <v>-1.247862053595221</v>
      </c>
      <c r="S4555">
        <v>0.19000938119883551</v>
      </c>
      <c r="T4555">
        <v>0.1492739339966562</v>
      </c>
      <c r="U4555">
        <v>4.2695416864708866</v>
      </c>
      <c r="V4555">
        <v>0.1933172563537221</v>
      </c>
      <c r="W4555">
        <v>3.2961630305550842</v>
      </c>
      <c r="X4555">
        <v>0.28006747308942531</v>
      </c>
      <c r="Z4555" t="s">
        <v>392</v>
      </c>
      <c r="AA4555">
        <v>161</v>
      </c>
      <c r="AB4555" t="s">
        <v>4946</v>
      </c>
      <c r="AC4555" t="str">
        <f>HYPERLINK("plots/3FT6Y578R04_015_S31P_20251219032831_M5358ACSA301811_RBGEUFRF04/dpll_52084/txpa_54193.png","plot")</f>
        <v>plot</v>
      </c>
    </row>
    <row r="4556" spans="1:29" hidden="1" x14ac:dyDescent="0.35">
      <c r="A4556" t="s">
        <v>50</v>
      </c>
      <c r="B4556">
        <v>52084</v>
      </c>
      <c r="C4556" t="s">
        <v>52</v>
      </c>
      <c r="D4556">
        <v>54194</v>
      </c>
      <c r="E4556" t="s">
        <v>214</v>
      </c>
      <c r="F4556">
        <v>11781</v>
      </c>
      <c r="G4556">
        <v>0.7260367044307976</v>
      </c>
      <c r="H4556">
        <v>0</v>
      </c>
      <c r="I4556">
        <v>0</v>
      </c>
      <c r="J4556">
        <v>0.64391355019403707</v>
      </c>
      <c r="K4556">
        <v>0</v>
      </c>
      <c r="L4556">
        <v>0</v>
      </c>
      <c r="M4556">
        <v>0.46388231882945391</v>
      </c>
      <c r="N4556">
        <v>0</v>
      </c>
      <c r="O4556">
        <v>0</v>
      </c>
      <c r="P4556">
        <v>0.52712929618073334</v>
      </c>
      <c r="Q4556">
        <v>1.05763587982235</v>
      </c>
      <c r="R4556">
        <v>-1.2500204724156181</v>
      </c>
      <c r="S4556">
        <v>0.19363659447625761</v>
      </c>
      <c r="T4556">
        <v>0.15024437035622309</v>
      </c>
      <c r="U4556">
        <v>4.2695633024361257</v>
      </c>
      <c r="V4556">
        <v>0.19331122175495491</v>
      </c>
      <c r="W4556">
        <v>3.2656228674136321</v>
      </c>
      <c r="X4556">
        <v>0.28160130590177701</v>
      </c>
      <c r="Z4556" t="s">
        <v>392</v>
      </c>
      <c r="AA4556">
        <v>161</v>
      </c>
      <c r="AB4556" t="s">
        <v>4947</v>
      </c>
      <c r="AC4556" t="str">
        <f>HYPERLINK("plots/3FT6Y578R04_015_S31P_20251219032831_M5358ACSA301811_RBGEUFRF04/dpll_52084/txpa_54194.png","plot")</f>
        <v>plot</v>
      </c>
    </row>
    <row r="4557" spans="1:29" hidden="1" x14ac:dyDescent="0.35">
      <c r="A4557" t="s">
        <v>50</v>
      </c>
      <c r="B4557">
        <v>52084</v>
      </c>
      <c r="C4557" t="s">
        <v>52</v>
      </c>
      <c r="D4557">
        <v>54195</v>
      </c>
      <c r="E4557" t="s">
        <v>215</v>
      </c>
      <c r="F4557">
        <v>11782</v>
      </c>
      <c r="G4557">
        <v>0.7399214131152827</v>
      </c>
      <c r="H4557">
        <v>0</v>
      </c>
      <c r="I4557">
        <v>0</v>
      </c>
      <c r="J4557">
        <v>0.6669303189559499</v>
      </c>
      <c r="K4557">
        <v>0</v>
      </c>
      <c r="L4557">
        <v>0</v>
      </c>
      <c r="M4557">
        <v>0.48069430373736338</v>
      </c>
      <c r="N4557">
        <v>0</v>
      </c>
      <c r="O4557">
        <v>0</v>
      </c>
      <c r="P4557">
        <v>0.54748369758651683</v>
      </c>
      <c r="Q4557">
        <v>1.151595552914507</v>
      </c>
      <c r="R4557">
        <v>0.74747778554515953</v>
      </c>
      <c r="S4557">
        <v>0.20238750183574719</v>
      </c>
      <c r="T4557">
        <v>0.15424339578833191</v>
      </c>
      <c r="U4557">
        <v>4.2695416864708866</v>
      </c>
      <c r="V4557">
        <v>0.1933172563537221</v>
      </c>
      <c r="W4557">
        <v>5.6642630046681388</v>
      </c>
      <c r="X4557">
        <v>0.30087423984835338</v>
      </c>
      <c r="Z4557" t="s">
        <v>392</v>
      </c>
      <c r="AA4557">
        <v>161</v>
      </c>
      <c r="AB4557" t="s">
        <v>4948</v>
      </c>
      <c r="AC4557" t="str">
        <f>HYPERLINK("plots/3FT6Y578R04_015_S31P_20251219032831_M5358ACSA301811_RBGEUFRF04/dpll_52084/txpa_54195.png","plot")</f>
        <v>plot</v>
      </c>
    </row>
    <row r="4558" spans="1:29" hidden="1" x14ac:dyDescent="0.35">
      <c r="A4558" t="s">
        <v>50</v>
      </c>
      <c r="B4558">
        <v>52084</v>
      </c>
      <c r="C4558" t="s">
        <v>52</v>
      </c>
      <c r="D4558">
        <v>54196</v>
      </c>
      <c r="E4558" t="s">
        <v>216</v>
      </c>
      <c r="F4558">
        <v>11782</v>
      </c>
      <c r="G4558">
        <v>0.75926404004696113</v>
      </c>
      <c r="H4558">
        <v>0</v>
      </c>
      <c r="I4558">
        <v>0</v>
      </c>
      <c r="J4558">
        <v>0.67944999133336992</v>
      </c>
      <c r="K4558">
        <v>0</v>
      </c>
      <c r="L4558">
        <v>0</v>
      </c>
      <c r="M4558">
        <v>0.4938848554543106</v>
      </c>
      <c r="N4558">
        <v>0</v>
      </c>
      <c r="O4558">
        <v>0</v>
      </c>
      <c r="P4558">
        <v>0.57648188250843335</v>
      </c>
      <c r="Q4558">
        <v>1.1839701477338911</v>
      </c>
      <c r="R4558">
        <v>0.64331742633145783</v>
      </c>
      <c r="S4558">
        <v>0.19617158870225199</v>
      </c>
      <c r="T4558">
        <v>0.1519185859155549</v>
      </c>
      <c r="U4558">
        <v>4.2695416864708866</v>
      </c>
      <c r="V4558">
        <v>0.1933172563537221</v>
      </c>
      <c r="W4558">
        <v>5.6983273276184008</v>
      </c>
      <c r="X4558">
        <v>0.3014522596782937</v>
      </c>
      <c r="Z4558" t="s">
        <v>392</v>
      </c>
      <c r="AA4558">
        <v>161</v>
      </c>
      <c r="AB4558" t="s">
        <v>4949</v>
      </c>
      <c r="AC4558" t="str">
        <f>HYPERLINK("plots/3FT6Y578R04_015_S31P_20251219032831_M5358ACSA301811_RBGEUFRF04/dpll_52084/txpa_54196.png","plot")</f>
        <v>plot</v>
      </c>
    </row>
    <row r="4559" spans="1:29" hidden="1" x14ac:dyDescent="0.35">
      <c r="A4559" t="s">
        <v>50</v>
      </c>
      <c r="B4559">
        <v>52084</v>
      </c>
      <c r="C4559" t="s">
        <v>52</v>
      </c>
      <c r="D4559">
        <v>54197</v>
      </c>
      <c r="E4559" t="s">
        <v>217</v>
      </c>
      <c r="F4559">
        <v>11782</v>
      </c>
      <c r="G4559">
        <v>0.75123296519107907</v>
      </c>
      <c r="H4559">
        <v>0</v>
      </c>
      <c r="I4559">
        <v>0</v>
      </c>
      <c r="J4559">
        <v>0.6704592545247976</v>
      </c>
      <c r="K4559">
        <v>0</v>
      </c>
      <c r="L4559">
        <v>0</v>
      </c>
      <c r="M4559">
        <v>0.48556967038802512</v>
      </c>
      <c r="N4559">
        <v>0</v>
      </c>
      <c r="O4559">
        <v>0</v>
      </c>
      <c r="P4559">
        <v>0.56435096798978102</v>
      </c>
      <c r="Q4559">
        <v>1.1553354945445189</v>
      </c>
      <c r="R4559">
        <v>0.7749695972976367</v>
      </c>
      <c r="S4559">
        <v>0.19622486872666209</v>
      </c>
      <c r="T4559">
        <v>0.15112451428396051</v>
      </c>
      <c r="U4559">
        <v>4.2695416864708866</v>
      </c>
      <c r="V4559">
        <v>0.1933172563537221</v>
      </c>
      <c r="W4559">
        <v>5.7077226531149208</v>
      </c>
      <c r="X4559">
        <v>0.29730629288426941</v>
      </c>
      <c r="Z4559" t="s">
        <v>392</v>
      </c>
      <c r="AA4559">
        <v>161</v>
      </c>
      <c r="AB4559" t="s">
        <v>4950</v>
      </c>
      <c r="AC4559" t="str">
        <f>HYPERLINK("plots/3FT6Y578R04_015_S31P_20251219032831_M5358ACSA301811_RBGEUFRF04/dpll_52084/txpa_54197.png","plot")</f>
        <v>plot</v>
      </c>
    </row>
    <row r="4560" spans="1:29" hidden="1" x14ac:dyDescent="0.35">
      <c r="A4560" t="s">
        <v>50</v>
      </c>
      <c r="B4560">
        <v>52084</v>
      </c>
      <c r="C4560" t="s">
        <v>52</v>
      </c>
      <c r="D4560">
        <v>54198</v>
      </c>
      <c r="E4560" t="s">
        <v>218</v>
      </c>
      <c r="F4560">
        <v>11781</v>
      </c>
      <c r="G4560">
        <v>0.76628916606056208</v>
      </c>
      <c r="H4560">
        <v>0</v>
      </c>
      <c r="I4560">
        <v>0</v>
      </c>
      <c r="J4560">
        <v>0.68171044359799682</v>
      </c>
      <c r="K4560">
        <v>0</v>
      </c>
      <c r="L4560">
        <v>0</v>
      </c>
      <c r="M4560">
        <v>0.49589095295039881</v>
      </c>
      <c r="N4560">
        <v>0</v>
      </c>
      <c r="O4560">
        <v>0</v>
      </c>
      <c r="P4560">
        <v>0.58719908602179172</v>
      </c>
      <c r="Q4560">
        <v>1.187006076943613</v>
      </c>
      <c r="R4560">
        <v>0.65049114952394138</v>
      </c>
      <c r="S4560">
        <v>0.19239667770901081</v>
      </c>
      <c r="T4560">
        <v>0.149654316281737</v>
      </c>
      <c r="U4560">
        <v>4.2695489746201511</v>
      </c>
      <c r="V4560">
        <v>0.19332384277072681</v>
      </c>
      <c r="W4560">
        <v>5.7184717282064339</v>
      </c>
      <c r="X4560">
        <v>0.29946472735177371</v>
      </c>
      <c r="Z4560" t="s">
        <v>392</v>
      </c>
      <c r="AA4560">
        <v>161</v>
      </c>
      <c r="AB4560" t="s">
        <v>4951</v>
      </c>
      <c r="AC4560" t="str">
        <f>HYPERLINK("plots/3FT6Y578R04_015_S31P_20251219032831_M5358ACSA301811_RBGEUFRF04/dpll_52084/txpa_54198.png","plot")</f>
        <v>plot</v>
      </c>
    </row>
    <row r="4561" spans="1:29" hidden="1" x14ac:dyDescent="0.35">
      <c r="A4561" t="s">
        <v>50</v>
      </c>
      <c r="B4561">
        <v>52084</v>
      </c>
      <c r="C4561" t="s">
        <v>52</v>
      </c>
      <c r="D4561">
        <v>54199</v>
      </c>
      <c r="E4561" t="s">
        <v>219</v>
      </c>
      <c r="F4561">
        <v>11781</v>
      </c>
      <c r="G4561">
        <v>0.76742810065924183</v>
      </c>
      <c r="H4561">
        <v>0</v>
      </c>
      <c r="I4561">
        <v>0</v>
      </c>
      <c r="J4561">
        <v>0.67722173524220231</v>
      </c>
      <c r="K4561">
        <v>0</v>
      </c>
      <c r="L4561">
        <v>0</v>
      </c>
      <c r="M4561">
        <v>0.49060645835097272</v>
      </c>
      <c r="N4561">
        <v>0</v>
      </c>
      <c r="O4561">
        <v>0</v>
      </c>
      <c r="P4561">
        <v>0.58894588968145145</v>
      </c>
      <c r="Q4561">
        <v>1.1830214469018829</v>
      </c>
      <c r="R4561">
        <v>0.64468983923944645</v>
      </c>
      <c r="S4561">
        <v>0.19104455524261491</v>
      </c>
      <c r="T4561">
        <v>0.14901441421881259</v>
      </c>
      <c r="U4561">
        <v>4.2695174021729896</v>
      </c>
      <c r="V4561">
        <v>0.19330748901132719</v>
      </c>
      <c r="W4561">
        <v>5.6956204939309067</v>
      </c>
      <c r="X4561">
        <v>0.29799131039207688</v>
      </c>
      <c r="Z4561" t="s">
        <v>392</v>
      </c>
      <c r="AA4561">
        <v>161</v>
      </c>
      <c r="AB4561" t="s">
        <v>4952</v>
      </c>
      <c r="AC4561" t="str">
        <f>HYPERLINK("plots/3FT6Y578R04_015_S31P_20251219032831_M5358ACSA301811_RBGEUFRF04/dpll_52084/txpa_54199.png","plot")</f>
        <v>plot</v>
      </c>
    </row>
    <row r="4562" spans="1:29" hidden="1" x14ac:dyDescent="0.35">
      <c r="A4562" t="s">
        <v>50</v>
      </c>
      <c r="B4562">
        <v>52084</v>
      </c>
      <c r="C4562" t="s">
        <v>52</v>
      </c>
      <c r="D4562">
        <v>54200</v>
      </c>
      <c r="E4562" t="s">
        <v>220</v>
      </c>
      <c r="F4562">
        <v>11781</v>
      </c>
      <c r="G4562">
        <v>0.77225978132495687</v>
      </c>
      <c r="H4562">
        <v>0</v>
      </c>
      <c r="I4562">
        <v>0</v>
      </c>
      <c r="J4562">
        <v>0.69030916505657325</v>
      </c>
      <c r="K4562">
        <v>0</v>
      </c>
      <c r="L4562">
        <v>0</v>
      </c>
      <c r="M4562">
        <v>0.50281569408500904</v>
      </c>
      <c r="N4562">
        <v>0</v>
      </c>
      <c r="O4562">
        <v>0</v>
      </c>
      <c r="P4562">
        <v>0.59638516985207024</v>
      </c>
      <c r="Q4562">
        <v>1.200424871480392</v>
      </c>
      <c r="R4562">
        <v>0.58278682333671483</v>
      </c>
      <c r="S4562">
        <v>0.190883848461365</v>
      </c>
      <c r="T4562">
        <v>0.14903208931023659</v>
      </c>
      <c r="U4562">
        <v>4.2695129435531793</v>
      </c>
      <c r="V4562">
        <v>0.1933002831720991</v>
      </c>
      <c r="W4562">
        <v>5.7080163498854093</v>
      </c>
      <c r="X4562">
        <v>0.30047203440515591</v>
      </c>
      <c r="Z4562" t="s">
        <v>392</v>
      </c>
      <c r="AA4562">
        <v>161</v>
      </c>
      <c r="AB4562" t="s">
        <v>4953</v>
      </c>
      <c r="AC4562" t="str">
        <f>HYPERLINK("plots/3FT6Y578R04_015_S31P_20251219032831_M5358ACSA301811_RBGEUFRF04/dpll_52084/txpa_54200.png","plot")</f>
        <v>plot</v>
      </c>
    </row>
    <row r="4563" spans="1:29" hidden="1" x14ac:dyDescent="0.35">
      <c r="A4563" t="s">
        <v>50</v>
      </c>
      <c r="B4563">
        <v>52084</v>
      </c>
      <c r="C4563" t="s">
        <v>52</v>
      </c>
      <c r="D4563">
        <v>54201</v>
      </c>
      <c r="E4563" t="s">
        <v>221</v>
      </c>
      <c r="F4563">
        <v>11782</v>
      </c>
      <c r="G4563">
        <v>0.76823982333517626</v>
      </c>
      <c r="H4563">
        <v>0</v>
      </c>
      <c r="I4563">
        <v>0</v>
      </c>
      <c r="J4563">
        <v>0.6802811294386123</v>
      </c>
      <c r="K4563">
        <v>0</v>
      </c>
      <c r="L4563">
        <v>0</v>
      </c>
      <c r="M4563">
        <v>0.49377295444181668</v>
      </c>
      <c r="N4563">
        <v>0</v>
      </c>
      <c r="O4563">
        <v>0</v>
      </c>
      <c r="P4563">
        <v>0.59019242615806289</v>
      </c>
      <c r="Q4563">
        <v>1.1819426890992999</v>
      </c>
      <c r="R4563">
        <v>0.6658666236934776</v>
      </c>
      <c r="S4563">
        <v>0.19038897008888089</v>
      </c>
      <c r="T4563">
        <v>0.14913785711748609</v>
      </c>
      <c r="U4563">
        <v>4.2695416864708866</v>
      </c>
      <c r="V4563">
        <v>0.1933172563537221</v>
      </c>
      <c r="W4563">
        <v>5.7122202058224403</v>
      </c>
      <c r="X4563">
        <v>0.29742003848755039</v>
      </c>
      <c r="Z4563" t="s">
        <v>392</v>
      </c>
      <c r="AA4563">
        <v>161</v>
      </c>
      <c r="AB4563" t="s">
        <v>4954</v>
      </c>
      <c r="AC4563" t="str">
        <f>HYPERLINK("plots/3FT6Y578R04_015_S31P_20251219032831_M5358ACSA301811_RBGEUFRF04/dpll_52084/txpa_54201.png","plot")</f>
        <v>plot</v>
      </c>
    </row>
    <row r="4564" spans="1:29" hidden="1" x14ac:dyDescent="0.35">
      <c r="A4564" t="s">
        <v>50</v>
      </c>
      <c r="B4564">
        <v>52084</v>
      </c>
      <c r="C4564" t="s">
        <v>52</v>
      </c>
      <c r="D4564">
        <v>54202</v>
      </c>
      <c r="E4564" t="s">
        <v>222</v>
      </c>
      <c r="F4564">
        <v>11781</v>
      </c>
      <c r="G4564">
        <v>0.76135514454713737</v>
      </c>
      <c r="H4564">
        <v>0</v>
      </c>
      <c r="I4564">
        <v>0</v>
      </c>
      <c r="J4564">
        <v>0.67479140235311208</v>
      </c>
      <c r="K4564">
        <v>0</v>
      </c>
      <c r="L4564">
        <v>0</v>
      </c>
      <c r="M4564">
        <v>0.49027629233814202</v>
      </c>
      <c r="N4564">
        <v>0</v>
      </c>
      <c r="O4564">
        <v>0</v>
      </c>
      <c r="P4564">
        <v>0.57966165612839249</v>
      </c>
      <c r="Q4564">
        <v>1.176659058558196</v>
      </c>
      <c r="R4564">
        <v>0.660043660281179</v>
      </c>
      <c r="S4564">
        <v>0.193687455233025</v>
      </c>
      <c r="T4564">
        <v>0.14974960901829579</v>
      </c>
      <c r="U4564">
        <v>4.2695633024361257</v>
      </c>
      <c r="V4564">
        <v>0.19331122175495491</v>
      </c>
      <c r="W4564">
        <v>5.6838639961802908</v>
      </c>
      <c r="X4564">
        <v>0.29875860408642319</v>
      </c>
      <c r="Z4564" t="s">
        <v>392</v>
      </c>
      <c r="AA4564">
        <v>161</v>
      </c>
      <c r="AB4564" t="s">
        <v>4955</v>
      </c>
      <c r="AC4564" t="str">
        <f>HYPERLINK("plots/3FT6Y578R04_015_S31P_20251219032831_M5358ACSA301811_RBGEUFRF04/dpll_52084/txpa_54202.png","plot")</f>
        <v>plot</v>
      </c>
    </row>
    <row r="4565" spans="1:29" hidden="1" x14ac:dyDescent="0.35">
      <c r="A4565" t="s">
        <v>50</v>
      </c>
      <c r="B4565">
        <v>52084</v>
      </c>
      <c r="C4565" t="s">
        <v>52</v>
      </c>
      <c r="D4565">
        <v>54203</v>
      </c>
      <c r="E4565" t="s">
        <v>223</v>
      </c>
      <c r="F4565">
        <v>11782</v>
      </c>
      <c r="G4565">
        <v>0.75291461726417264</v>
      </c>
      <c r="H4565">
        <v>0</v>
      </c>
      <c r="I4565">
        <v>0</v>
      </c>
      <c r="J4565">
        <v>0.67667145574689247</v>
      </c>
      <c r="K4565">
        <v>0</v>
      </c>
      <c r="L4565">
        <v>0</v>
      </c>
      <c r="M4565">
        <v>0.48900731321350849</v>
      </c>
      <c r="N4565">
        <v>0</v>
      </c>
      <c r="O4565">
        <v>0</v>
      </c>
      <c r="P4565">
        <v>0.56688042089005553</v>
      </c>
      <c r="Q4565">
        <v>1.2099840632439121</v>
      </c>
      <c r="R4565">
        <v>1.562949191558062</v>
      </c>
      <c r="S4565">
        <v>0.20445136824596191</v>
      </c>
      <c r="T4565">
        <v>0.15546888917344809</v>
      </c>
      <c r="U4565">
        <v>4.2695416864708866</v>
      </c>
      <c r="V4565">
        <v>0.1933172563537221</v>
      </c>
      <c r="W4565">
        <v>6.7290265895433734</v>
      </c>
      <c r="X4565">
        <v>0.31067373905953832</v>
      </c>
      <c r="Z4565" t="s">
        <v>392</v>
      </c>
      <c r="AA4565">
        <v>161</v>
      </c>
      <c r="AB4565" t="s">
        <v>4956</v>
      </c>
      <c r="AC4565" t="str">
        <f>HYPERLINK("plots/3FT6Y578R04_015_S31P_20251219032831_M5358ACSA301811_RBGEUFRF04/dpll_52084/txpa_54203.png","plot")</f>
        <v>plot</v>
      </c>
    </row>
    <row r="4566" spans="1:29" hidden="1" x14ac:dyDescent="0.35">
      <c r="A4566" t="s">
        <v>50</v>
      </c>
      <c r="B4566">
        <v>52084</v>
      </c>
      <c r="C4566" t="s">
        <v>52</v>
      </c>
      <c r="D4566">
        <v>54204</v>
      </c>
      <c r="E4566" t="s">
        <v>224</v>
      </c>
      <c r="F4566">
        <v>11782</v>
      </c>
      <c r="G4566">
        <v>0.77110029450219442</v>
      </c>
      <c r="H4566">
        <v>0</v>
      </c>
      <c r="I4566">
        <v>0</v>
      </c>
      <c r="J4566">
        <v>0.68860739955225514</v>
      </c>
      <c r="K4566">
        <v>0</v>
      </c>
      <c r="L4566">
        <v>0</v>
      </c>
      <c r="M4566">
        <v>0.50187654890509759</v>
      </c>
      <c r="N4566">
        <v>0</v>
      </c>
      <c r="O4566">
        <v>0</v>
      </c>
      <c r="P4566">
        <v>0.594595664181371</v>
      </c>
      <c r="Q4566">
        <v>1.2416641943207909</v>
      </c>
      <c r="R4566">
        <v>1.4610536681656601</v>
      </c>
      <c r="S4566">
        <v>0.1981936221473298</v>
      </c>
      <c r="T4566">
        <v>0.15316279361828719</v>
      </c>
      <c r="U4566">
        <v>4.2695416864708866</v>
      </c>
      <c r="V4566">
        <v>0.1933172563537221</v>
      </c>
      <c r="W4566">
        <v>6.7623907064165678</v>
      </c>
      <c r="X4566">
        <v>0.31128909827963652</v>
      </c>
      <c r="Z4566" t="s">
        <v>392</v>
      </c>
      <c r="AA4566">
        <v>161</v>
      </c>
      <c r="AB4566" t="s">
        <v>4957</v>
      </c>
      <c r="AC4566" t="str">
        <f>HYPERLINK("plots/3FT6Y578R04_015_S31P_20251219032831_M5358ACSA301811_RBGEUFRF04/dpll_52084/txpa_54204.png","plot")</f>
        <v>plot</v>
      </c>
    </row>
    <row r="4567" spans="1:29" hidden="1" x14ac:dyDescent="0.35">
      <c r="A4567" t="s">
        <v>50</v>
      </c>
      <c r="B4567">
        <v>52084</v>
      </c>
      <c r="C4567" t="s">
        <v>52</v>
      </c>
      <c r="D4567">
        <v>54205</v>
      </c>
      <c r="E4567" t="s">
        <v>225</v>
      </c>
      <c r="F4567">
        <v>11782</v>
      </c>
      <c r="G4567">
        <v>0.7638847750820279</v>
      </c>
      <c r="H4567">
        <v>0</v>
      </c>
      <c r="I4567">
        <v>0</v>
      </c>
      <c r="J4567">
        <v>0.68018402789421761</v>
      </c>
      <c r="K4567">
        <v>0</v>
      </c>
      <c r="L4567">
        <v>0</v>
      </c>
      <c r="M4567">
        <v>0.49392612183534512</v>
      </c>
      <c r="N4567">
        <v>0</v>
      </c>
      <c r="O4567">
        <v>0</v>
      </c>
      <c r="P4567">
        <v>0.58351994960212039</v>
      </c>
      <c r="Q4567">
        <v>1.213897004255956</v>
      </c>
      <c r="R4567">
        <v>1.589457650572478</v>
      </c>
      <c r="S4567">
        <v>0.1982454729185785</v>
      </c>
      <c r="T4567">
        <v>0.1522436478648217</v>
      </c>
      <c r="U4567">
        <v>4.2695416864708866</v>
      </c>
      <c r="V4567">
        <v>0.1933172563537221</v>
      </c>
      <c r="W4567">
        <v>6.7722415133254126</v>
      </c>
      <c r="X4567">
        <v>0.3072024027885159</v>
      </c>
      <c r="Z4567" t="s">
        <v>392</v>
      </c>
      <c r="AA4567">
        <v>161</v>
      </c>
      <c r="AB4567" t="s">
        <v>4958</v>
      </c>
      <c r="AC4567" t="str">
        <f>HYPERLINK("plots/3FT6Y578R04_015_S31P_20251219032831_M5358ACSA301811_RBGEUFRF04/dpll_52084/txpa_54205.png","plot")</f>
        <v>plot</v>
      </c>
    </row>
    <row r="4568" spans="1:29" hidden="1" x14ac:dyDescent="0.35">
      <c r="A4568" t="s">
        <v>50</v>
      </c>
      <c r="B4568">
        <v>52084</v>
      </c>
      <c r="C4568" t="s">
        <v>52</v>
      </c>
      <c r="D4568">
        <v>54206</v>
      </c>
      <c r="E4568" t="s">
        <v>226</v>
      </c>
      <c r="F4568">
        <v>11781</v>
      </c>
      <c r="G4568">
        <v>0.77807734484011637</v>
      </c>
      <c r="H4568">
        <v>0</v>
      </c>
      <c r="I4568">
        <v>0</v>
      </c>
      <c r="J4568">
        <v>0.69110252778847425</v>
      </c>
      <c r="K4568">
        <v>0</v>
      </c>
      <c r="L4568">
        <v>0</v>
      </c>
      <c r="M4568">
        <v>0.50403934445767828</v>
      </c>
      <c r="N4568">
        <v>0</v>
      </c>
      <c r="O4568">
        <v>0</v>
      </c>
      <c r="P4568">
        <v>0.60540435455344532</v>
      </c>
      <c r="Q4568">
        <v>1.2450003270530361</v>
      </c>
      <c r="R4568">
        <v>1.4662471964372601</v>
      </c>
      <c r="S4568">
        <v>0.19430761712363459</v>
      </c>
      <c r="T4568">
        <v>0.1508560824961864</v>
      </c>
      <c r="U4568">
        <v>4.2695489746201511</v>
      </c>
      <c r="V4568">
        <v>0.19332384277072681</v>
      </c>
      <c r="W4568">
        <v>6.7818370662083014</v>
      </c>
      <c r="X4568">
        <v>0.30933717460461779</v>
      </c>
      <c r="Z4568" t="s">
        <v>392</v>
      </c>
      <c r="AA4568">
        <v>161</v>
      </c>
      <c r="AB4568" t="s">
        <v>4959</v>
      </c>
      <c r="AC4568" t="str">
        <f>HYPERLINK("plots/3FT6Y578R04_015_S31P_20251219032831_M5358ACSA301811_RBGEUFRF04/dpll_52084/txpa_54206.png","plot")</f>
        <v>plot</v>
      </c>
    </row>
    <row r="4569" spans="1:29" hidden="1" x14ac:dyDescent="0.35">
      <c r="A4569" t="s">
        <v>50</v>
      </c>
      <c r="B4569">
        <v>52084</v>
      </c>
      <c r="C4569" t="s">
        <v>52</v>
      </c>
      <c r="D4569">
        <v>54207</v>
      </c>
      <c r="E4569" t="s">
        <v>227</v>
      </c>
      <c r="F4569">
        <v>11781</v>
      </c>
      <c r="G4569">
        <v>0.77959971022443453</v>
      </c>
      <c r="H4569">
        <v>0</v>
      </c>
      <c r="I4569">
        <v>0</v>
      </c>
      <c r="J4569">
        <v>0.68683228697998067</v>
      </c>
      <c r="K4569">
        <v>0</v>
      </c>
      <c r="L4569">
        <v>0</v>
      </c>
      <c r="M4569">
        <v>0.49893121782532912</v>
      </c>
      <c r="N4569">
        <v>0</v>
      </c>
      <c r="O4569">
        <v>0</v>
      </c>
      <c r="P4569">
        <v>0.60777570818202231</v>
      </c>
      <c r="Q4569">
        <v>1.241951832456484</v>
      </c>
      <c r="R4569">
        <v>1.455894902260332</v>
      </c>
      <c r="S4569">
        <v>0.1928548539782608</v>
      </c>
      <c r="T4569">
        <v>0.15014691276700801</v>
      </c>
      <c r="U4569">
        <v>4.2695174021729896</v>
      </c>
      <c r="V4569">
        <v>0.19330748901132719</v>
      </c>
      <c r="W4569">
        <v>6.7584298635939239</v>
      </c>
      <c r="X4569">
        <v>0.30795110241390988</v>
      </c>
      <c r="Z4569" t="s">
        <v>392</v>
      </c>
      <c r="AA4569">
        <v>161</v>
      </c>
      <c r="AB4569" t="s">
        <v>4960</v>
      </c>
      <c r="AC4569" t="str">
        <f>HYPERLINK("plots/3FT6Y578R04_015_S31P_20251219032831_M5358ACSA301811_RBGEUFRF04/dpll_52084/txpa_54207.png","plot")</f>
        <v>plot</v>
      </c>
    </row>
    <row r="4570" spans="1:29" hidden="1" x14ac:dyDescent="0.35">
      <c r="A4570" t="s">
        <v>50</v>
      </c>
      <c r="B4570">
        <v>52084</v>
      </c>
      <c r="C4570" t="s">
        <v>52</v>
      </c>
      <c r="D4570">
        <v>54208</v>
      </c>
      <c r="E4570" t="s">
        <v>228</v>
      </c>
      <c r="F4570">
        <v>11781</v>
      </c>
      <c r="G4570">
        <v>0.78385081087012809</v>
      </c>
      <c r="H4570">
        <v>0</v>
      </c>
      <c r="I4570">
        <v>0</v>
      </c>
      <c r="J4570">
        <v>0.69902587251502957</v>
      </c>
      <c r="K4570">
        <v>0</v>
      </c>
      <c r="L4570">
        <v>0</v>
      </c>
      <c r="M4570">
        <v>0.51056824231722131</v>
      </c>
      <c r="N4570">
        <v>0</v>
      </c>
      <c r="O4570">
        <v>0</v>
      </c>
      <c r="P4570">
        <v>0.61442209370175727</v>
      </c>
      <c r="Q4570">
        <v>1.2584029919001669</v>
      </c>
      <c r="R4570">
        <v>1.398695393032797</v>
      </c>
      <c r="S4570">
        <v>0.1926887937787076</v>
      </c>
      <c r="T4570">
        <v>0.15024042150048911</v>
      </c>
      <c r="U4570">
        <v>4.2695129435531793</v>
      </c>
      <c r="V4570">
        <v>0.1933002831720991</v>
      </c>
      <c r="W4570">
        <v>6.7714632551566094</v>
      </c>
      <c r="X4570">
        <v>0.3103264694067171</v>
      </c>
      <c r="Z4570" t="s">
        <v>392</v>
      </c>
      <c r="AA4570">
        <v>161</v>
      </c>
      <c r="AB4570" t="s">
        <v>4961</v>
      </c>
      <c r="AC4570" t="str">
        <f>HYPERLINK("plots/3FT6Y578R04_015_S31P_20251219032831_M5358ACSA301811_RBGEUFRF04/dpll_52084/txpa_54208.png","plot")</f>
        <v>plot</v>
      </c>
    </row>
    <row r="4571" spans="1:29" hidden="1" x14ac:dyDescent="0.35">
      <c r="A4571" t="s">
        <v>50</v>
      </c>
      <c r="B4571">
        <v>52084</v>
      </c>
      <c r="C4571" t="s">
        <v>52</v>
      </c>
      <c r="D4571">
        <v>54209</v>
      </c>
      <c r="E4571" t="s">
        <v>229</v>
      </c>
      <c r="F4571">
        <v>11782</v>
      </c>
      <c r="G4571">
        <v>0.78024983880659782</v>
      </c>
      <c r="H4571">
        <v>0</v>
      </c>
      <c r="I4571">
        <v>0</v>
      </c>
      <c r="J4571">
        <v>0.68940594570448011</v>
      </c>
      <c r="K4571">
        <v>0</v>
      </c>
      <c r="L4571">
        <v>0</v>
      </c>
      <c r="M4571">
        <v>0.50182816007865771</v>
      </c>
      <c r="N4571">
        <v>0</v>
      </c>
      <c r="O4571">
        <v>0</v>
      </c>
      <c r="P4571">
        <v>0.60878981095772189</v>
      </c>
      <c r="Q4571">
        <v>1.2406196585515199</v>
      </c>
      <c r="R4571">
        <v>1.4788449885624351</v>
      </c>
      <c r="S4571">
        <v>0.1922481818815085</v>
      </c>
      <c r="T4571">
        <v>0.15030885341835709</v>
      </c>
      <c r="U4571">
        <v>4.2695416864708866</v>
      </c>
      <c r="V4571">
        <v>0.1933172563537221</v>
      </c>
      <c r="W4571">
        <v>6.7757223378034279</v>
      </c>
      <c r="X4571">
        <v>0.30737999117885029</v>
      </c>
      <c r="Z4571" t="s">
        <v>392</v>
      </c>
      <c r="AA4571">
        <v>161</v>
      </c>
      <c r="AB4571" t="s">
        <v>4962</v>
      </c>
      <c r="AC4571" t="str">
        <f>HYPERLINK("plots/3FT6Y578R04_015_S31P_20251219032831_M5358ACSA301811_RBGEUFRF04/dpll_52084/txpa_54209.png","plot")</f>
        <v>plot</v>
      </c>
    </row>
    <row r="4572" spans="1:29" hidden="1" x14ac:dyDescent="0.35">
      <c r="A4572" t="s">
        <v>50</v>
      </c>
      <c r="B4572">
        <v>52084</v>
      </c>
      <c r="C4572" t="s">
        <v>52</v>
      </c>
      <c r="D4572">
        <v>54210</v>
      </c>
      <c r="E4572" t="s">
        <v>230</v>
      </c>
      <c r="F4572">
        <v>11781</v>
      </c>
      <c r="G4572">
        <v>0.77357615839281191</v>
      </c>
      <c r="H4572">
        <v>0</v>
      </c>
      <c r="I4572">
        <v>0</v>
      </c>
      <c r="J4572">
        <v>0.68416274758972151</v>
      </c>
      <c r="K4572">
        <v>0</v>
      </c>
      <c r="L4572">
        <v>0</v>
      </c>
      <c r="M4572">
        <v>0.4984256360482987</v>
      </c>
      <c r="N4572">
        <v>0</v>
      </c>
      <c r="O4572">
        <v>0</v>
      </c>
      <c r="P4572">
        <v>0.59842007283378085</v>
      </c>
      <c r="Q4572">
        <v>1.2346380431537689</v>
      </c>
      <c r="R4572">
        <v>1.477250617215311</v>
      </c>
      <c r="S4572">
        <v>0.19550650393563249</v>
      </c>
      <c r="T4572">
        <v>0.15083181711787691</v>
      </c>
      <c r="U4572">
        <v>4.2695633024361257</v>
      </c>
      <c r="V4572">
        <v>0.19331122175495491</v>
      </c>
      <c r="W4572">
        <v>6.7486158980561921</v>
      </c>
      <c r="X4572">
        <v>0.30852733238710872</v>
      </c>
      <c r="Z4572" t="s">
        <v>392</v>
      </c>
      <c r="AA4572">
        <v>161</v>
      </c>
      <c r="AB4572" t="s">
        <v>4963</v>
      </c>
      <c r="AC4572" t="str">
        <f>HYPERLINK("plots/3FT6Y578R04_015_S31P_20251219032831_M5358ACSA301811_RBGEUFRF04/dpll_52084/txpa_54210.png","plot")</f>
        <v>plot</v>
      </c>
    </row>
    <row r="4573" spans="1:29" hidden="1" x14ac:dyDescent="0.35">
      <c r="A4573" t="s">
        <v>50</v>
      </c>
      <c r="B4573">
        <v>52084</v>
      </c>
      <c r="C4573" t="s">
        <v>52</v>
      </c>
      <c r="D4573">
        <v>54211</v>
      </c>
      <c r="E4573" t="s">
        <v>231</v>
      </c>
      <c r="F4573">
        <v>11782</v>
      </c>
      <c r="G4573">
        <v>0.76343774699361122</v>
      </c>
      <c r="H4573">
        <v>0</v>
      </c>
      <c r="I4573">
        <v>0</v>
      </c>
      <c r="J4573">
        <v>0.68434271148918491</v>
      </c>
      <c r="K4573">
        <v>0</v>
      </c>
      <c r="L4573">
        <v>0</v>
      </c>
      <c r="M4573">
        <v>0.49559248511929832</v>
      </c>
      <c r="N4573">
        <v>0</v>
      </c>
      <c r="O4573">
        <v>0</v>
      </c>
      <c r="P4573">
        <v>0.58283719353468111</v>
      </c>
      <c r="Q4573">
        <v>1.270388218361816</v>
      </c>
      <c r="R4573">
        <v>2.3384375714569479</v>
      </c>
      <c r="S4573">
        <v>0.20776280981949799</v>
      </c>
      <c r="T4573">
        <v>0.15764591875260259</v>
      </c>
      <c r="U4573">
        <v>4.2695416864708866</v>
      </c>
      <c r="V4573">
        <v>0.1933172563537221</v>
      </c>
      <c r="W4573">
        <v>7.7624130277542003</v>
      </c>
      <c r="X4573">
        <v>0.32168695593703012</v>
      </c>
      <c r="Z4573" t="s">
        <v>392</v>
      </c>
      <c r="AA4573">
        <v>161</v>
      </c>
      <c r="AB4573" t="s">
        <v>4964</v>
      </c>
      <c r="AC4573" t="str">
        <f>HYPERLINK("plots/3FT6Y578R04_015_S31P_20251219032831_M5358ACSA301811_RBGEUFRF04/dpll_52084/txpa_54211.png","plot")</f>
        <v>plot</v>
      </c>
    </row>
    <row r="4574" spans="1:29" hidden="1" x14ac:dyDescent="0.35">
      <c r="A4574" t="s">
        <v>50</v>
      </c>
      <c r="B4574">
        <v>52084</v>
      </c>
      <c r="C4574" t="s">
        <v>52</v>
      </c>
      <c r="D4574">
        <v>54212</v>
      </c>
      <c r="E4574" t="s">
        <v>232</v>
      </c>
      <c r="F4574">
        <v>11782</v>
      </c>
      <c r="G4574">
        <v>0.7808169953538131</v>
      </c>
      <c r="H4574">
        <v>0</v>
      </c>
      <c r="I4574">
        <v>0</v>
      </c>
      <c r="J4574">
        <v>0.69599279602404607</v>
      </c>
      <c r="K4574">
        <v>0</v>
      </c>
      <c r="L4574">
        <v>0</v>
      </c>
      <c r="M4574">
        <v>0.50831335906304365</v>
      </c>
      <c r="N4574">
        <v>0</v>
      </c>
      <c r="O4574">
        <v>0</v>
      </c>
      <c r="P4574">
        <v>0.60967518023335654</v>
      </c>
      <c r="Q4574">
        <v>1.3017203802824111</v>
      </c>
      <c r="R4574">
        <v>2.237516840800748</v>
      </c>
      <c r="S4574">
        <v>0.20134169585667491</v>
      </c>
      <c r="T4574">
        <v>0.15531099041221841</v>
      </c>
      <c r="U4574">
        <v>4.2695416864708866</v>
      </c>
      <c r="V4574">
        <v>0.1933172563537221</v>
      </c>
      <c r="W4574">
        <v>7.7952662685452392</v>
      </c>
      <c r="X4574">
        <v>0.32228424067779288</v>
      </c>
      <c r="Z4574" t="s">
        <v>392</v>
      </c>
      <c r="AA4574">
        <v>161</v>
      </c>
      <c r="AB4574" t="s">
        <v>4965</v>
      </c>
      <c r="AC4574" t="str">
        <f>HYPERLINK("plots/3FT6Y578R04_015_S31P_20251219032831_M5358ACSA301811_RBGEUFRF04/dpll_52084/txpa_54212.png","plot")</f>
        <v>plot</v>
      </c>
    </row>
    <row r="4575" spans="1:29" hidden="1" x14ac:dyDescent="0.35">
      <c r="A4575" t="s">
        <v>50</v>
      </c>
      <c r="B4575">
        <v>52084</v>
      </c>
      <c r="C4575" t="s">
        <v>52</v>
      </c>
      <c r="D4575">
        <v>54213</v>
      </c>
      <c r="E4575" t="s">
        <v>233</v>
      </c>
      <c r="F4575">
        <v>11782</v>
      </c>
      <c r="G4575">
        <v>0.77429819169091862</v>
      </c>
      <c r="H4575">
        <v>0</v>
      </c>
      <c r="I4575">
        <v>0</v>
      </c>
      <c r="J4575">
        <v>0.68811396801319402</v>
      </c>
      <c r="K4575">
        <v>0</v>
      </c>
      <c r="L4575">
        <v>0</v>
      </c>
      <c r="M4575">
        <v>0.500691213389864</v>
      </c>
      <c r="N4575">
        <v>0</v>
      </c>
      <c r="O4575">
        <v>0</v>
      </c>
      <c r="P4575">
        <v>0.59953768965582654</v>
      </c>
      <c r="Q4575">
        <v>1.2741905120948529</v>
      </c>
      <c r="R4575">
        <v>2.3652493787969018</v>
      </c>
      <c r="S4575">
        <v>0.20130712098575221</v>
      </c>
      <c r="T4575">
        <v>0.15424338115374431</v>
      </c>
      <c r="U4575">
        <v>4.2695416864708866</v>
      </c>
      <c r="V4575">
        <v>0.1933172563537221</v>
      </c>
      <c r="W4575">
        <v>7.8054588866915626</v>
      </c>
      <c r="X4575">
        <v>0.31812422722078021</v>
      </c>
      <c r="Z4575" t="s">
        <v>392</v>
      </c>
      <c r="AA4575">
        <v>161</v>
      </c>
      <c r="AB4575" t="s">
        <v>4966</v>
      </c>
      <c r="AC4575" t="str">
        <f>HYPERLINK("plots/3FT6Y578R04_015_S31P_20251219032831_M5358ACSA301811_RBGEUFRF04/dpll_52084/txpa_54213.png","plot")</f>
        <v>plot</v>
      </c>
    </row>
    <row r="4576" spans="1:29" hidden="1" x14ac:dyDescent="0.35">
      <c r="A4576" t="s">
        <v>50</v>
      </c>
      <c r="B4576">
        <v>52084</v>
      </c>
      <c r="C4576" t="s">
        <v>52</v>
      </c>
      <c r="D4576">
        <v>54214</v>
      </c>
      <c r="E4576" t="s">
        <v>234</v>
      </c>
      <c r="F4576">
        <v>11781</v>
      </c>
      <c r="G4576">
        <v>0.78775914780789547</v>
      </c>
      <c r="H4576">
        <v>0</v>
      </c>
      <c r="I4576">
        <v>0</v>
      </c>
      <c r="J4576">
        <v>0.69863999382729514</v>
      </c>
      <c r="K4576">
        <v>0</v>
      </c>
      <c r="L4576">
        <v>0</v>
      </c>
      <c r="M4576">
        <v>0.51058794740467173</v>
      </c>
      <c r="N4576">
        <v>0</v>
      </c>
      <c r="O4576">
        <v>0</v>
      </c>
      <c r="P4576">
        <v>0.62056447495502165</v>
      </c>
      <c r="Q4576">
        <v>1.304886291317396</v>
      </c>
      <c r="R4576">
        <v>2.2427776193830562</v>
      </c>
      <c r="S4576">
        <v>0.1972491747071963</v>
      </c>
      <c r="T4576">
        <v>0.15288485068783561</v>
      </c>
      <c r="U4576">
        <v>4.2695489746201511</v>
      </c>
      <c r="V4576">
        <v>0.19332384277072681</v>
      </c>
      <c r="W4576">
        <v>7.8140535464731347</v>
      </c>
      <c r="X4576">
        <v>0.32023192992211241</v>
      </c>
      <c r="Z4576" t="s">
        <v>392</v>
      </c>
      <c r="AA4576">
        <v>161</v>
      </c>
      <c r="AB4576" t="s">
        <v>4967</v>
      </c>
      <c r="AC4576" t="str">
        <f>HYPERLINK("plots/3FT6Y578R04_015_S31P_20251219032831_M5358ACSA301811_RBGEUFRF04/dpll_52084/txpa_54214.png","plot")</f>
        <v>plot</v>
      </c>
    </row>
    <row r="4577" spans="1:29" hidden="1" x14ac:dyDescent="0.35">
      <c r="A4577" t="s">
        <v>50</v>
      </c>
      <c r="B4577">
        <v>52084</v>
      </c>
      <c r="C4577" t="s">
        <v>52</v>
      </c>
      <c r="D4577">
        <v>54215</v>
      </c>
      <c r="E4577" t="s">
        <v>235</v>
      </c>
      <c r="F4577">
        <v>11781</v>
      </c>
      <c r="G4577">
        <v>0.78938693475639232</v>
      </c>
      <c r="H4577">
        <v>0</v>
      </c>
      <c r="I4577">
        <v>0</v>
      </c>
      <c r="J4577">
        <v>0.69438204913818991</v>
      </c>
      <c r="K4577">
        <v>0</v>
      </c>
      <c r="L4577">
        <v>0</v>
      </c>
      <c r="M4577">
        <v>0.50550667381276637</v>
      </c>
      <c r="N4577">
        <v>0</v>
      </c>
      <c r="O4577">
        <v>0</v>
      </c>
      <c r="P4577">
        <v>0.62313173276409284</v>
      </c>
      <c r="Q4577">
        <v>1.3025279562940251</v>
      </c>
      <c r="R4577">
        <v>2.228927886802563</v>
      </c>
      <c r="S4577">
        <v>0.19580426688670191</v>
      </c>
      <c r="T4577">
        <v>0.15216381079959121</v>
      </c>
      <c r="U4577">
        <v>4.2695174021729896</v>
      </c>
      <c r="V4577">
        <v>0.19330748901132719</v>
      </c>
      <c r="W4577">
        <v>7.7900936630167221</v>
      </c>
      <c r="X4577">
        <v>0.31896703316473862</v>
      </c>
      <c r="Z4577" t="s">
        <v>392</v>
      </c>
      <c r="AA4577">
        <v>161</v>
      </c>
      <c r="AB4577" t="s">
        <v>4968</v>
      </c>
      <c r="AC4577" t="str">
        <f>HYPERLINK("plots/3FT6Y578R04_015_S31P_20251219032831_M5358ACSA301811_RBGEUFRF04/dpll_52084/txpa_54215.png","plot")</f>
        <v>plot</v>
      </c>
    </row>
    <row r="4578" spans="1:29" hidden="1" x14ac:dyDescent="0.35">
      <c r="A4578" t="s">
        <v>50</v>
      </c>
      <c r="B4578">
        <v>52084</v>
      </c>
      <c r="C4578" t="s">
        <v>52</v>
      </c>
      <c r="D4578">
        <v>54216</v>
      </c>
      <c r="E4578" t="s">
        <v>236</v>
      </c>
      <c r="F4578">
        <v>11781</v>
      </c>
      <c r="G4578">
        <v>0.7931458612118063</v>
      </c>
      <c r="H4578">
        <v>0</v>
      </c>
      <c r="I4578">
        <v>0</v>
      </c>
      <c r="J4578">
        <v>0.70582229612527048</v>
      </c>
      <c r="K4578">
        <v>0</v>
      </c>
      <c r="L4578">
        <v>0</v>
      </c>
      <c r="M4578">
        <v>0.51660093057842493</v>
      </c>
      <c r="N4578">
        <v>0</v>
      </c>
      <c r="O4578">
        <v>0</v>
      </c>
      <c r="P4578">
        <v>0.62908035715741795</v>
      </c>
      <c r="Q4578">
        <v>1.3183614239240671</v>
      </c>
      <c r="R4578">
        <v>2.1749045889275722</v>
      </c>
      <c r="S4578">
        <v>0.19567502519321439</v>
      </c>
      <c r="T4578">
        <v>0.1523116078331849</v>
      </c>
      <c r="U4578">
        <v>4.2695129435531793</v>
      </c>
      <c r="V4578">
        <v>0.1933002831720991</v>
      </c>
      <c r="W4578">
        <v>7.8036657526525746</v>
      </c>
      <c r="X4578">
        <v>0.32130235941512408</v>
      </c>
      <c r="Z4578" t="s">
        <v>392</v>
      </c>
      <c r="AA4578">
        <v>161</v>
      </c>
      <c r="AB4578" t="s">
        <v>4969</v>
      </c>
      <c r="AC4578" t="str">
        <f>HYPERLINK("plots/3FT6Y578R04_015_S31P_20251219032831_M5358ACSA301811_RBGEUFRF04/dpll_52084/txpa_54216.png","plot")</f>
        <v>plot</v>
      </c>
    </row>
    <row r="4579" spans="1:29" hidden="1" x14ac:dyDescent="0.35">
      <c r="A4579" t="s">
        <v>50</v>
      </c>
      <c r="B4579">
        <v>52084</v>
      </c>
      <c r="C4579" t="s">
        <v>52</v>
      </c>
      <c r="D4579">
        <v>54217</v>
      </c>
      <c r="E4579" t="s">
        <v>237</v>
      </c>
      <c r="F4579">
        <v>11782</v>
      </c>
      <c r="G4579">
        <v>0.79015026072740568</v>
      </c>
      <c r="H4579">
        <v>0</v>
      </c>
      <c r="I4579">
        <v>0</v>
      </c>
      <c r="J4579">
        <v>0.69668200361926802</v>
      </c>
      <c r="K4579">
        <v>0</v>
      </c>
      <c r="L4579">
        <v>0</v>
      </c>
      <c r="M4579">
        <v>0.50815986807839097</v>
      </c>
      <c r="N4579">
        <v>0</v>
      </c>
      <c r="O4579">
        <v>0</v>
      </c>
      <c r="P4579">
        <v>0.62433743452758717</v>
      </c>
      <c r="Q4579">
        <v>1.3017918490375391</v>
      </c>
      <c r="R4579">
        <v>2.2503253463442232</v>
      </c>
      <c r="S4579">
        <v>0.1952014376194883</v>
      </c>
      <c r="T4579">
        <v>0.1523404210031627</v>
      </c>
      <c r="U4579">
        <v>4.2695416864708866</v>
      </c>
      <c r="V4579">
        <v>0.1933172563537221</v>
      </c>
      <c r="W4579">
        <v>7.80837991291801</v>
      </c>
      <c r="X4579">
        <v>0.31849490041033529</v>
      </c>
      <c r="Z4579" t="s">
        <v>392</v>
      </c>
      <c r="AA4579">
        <v>161</v>
      </c>
      <c r="AB4579" t="s">
        <v>4970</v>
      </c>
      <c r="AC4579" t="str">
        <f>HYPERLINK("plots/3FT6Y578R04_015_S31P_20251219032831_M5358ACSA301811_RBGEUFRF04/dpll_52084/txpa_54217.png","plot")</f>
        <v>plot</v>
      </c>
    </row>
    <row r="4580" spans="1:29" hidden="1" x14ac:dyDescent="0.35">
      <c r="A4580" t="s">
        <v>50</v>
      </c>
      <c r="B4580">
        <v>52084</v>
      </c>
      <c r="C4580" t="s">
        <v>52</v>
      </c>
      <c r="D4580">
        <v>54218</v>
      </c>
      <c r="E4580" t="s">
        <v>238</v>
      </c>
      <c r="F4580">
        <v>11781</v>
      </c>
      <c r="G4580">
        <v>0.78349817924080278</v>
      </c>
      <c r="H4580">
        <v>0</v>
      </c>
      <c r="I4580">
        <v>0</v>
      </c>
      <c r="J4580">
        <v>0.69129354978326019</v>
      </c>
      <c r="K4580">
        <v>0</v>
      </c>
      <c r="L4580">
        <v>0</v>
      </c>
      <c r="M4580">
        <v>0.50459789684701928</v>
      </c>
      <c r="N4580">
        <v>0</v>
      </c>
      <c r="O4580">
        <v>0</v>
      </c>
      <c r="P4580">
        <v>0.61386939687365316</v>
      </c>
      <c r="Q4580">
        <v>1.294487705907448</v>
      </c>
      <c r="R4580">
        <v>2.2550256790290111</v>
      </c>
      <c r="S4580">
        <v>0.19845666238959689</v>
      </c>
      <c r="T4580">
        <v>0.15284668074079519</v>
      </c>
      <c r="U4580">
        <v>4.2695633024361257</v>
      </c>
      <c r="V4580">
        <v>0.19331122175495491</v>
      </c>
      <c r="W4580">
        <v>7.7819228836261782</v>
      </c>
      <c r="X4580">
        <v>0.31938683025175008</v>
      </c>
      <c r="Z4580" t="s">
        <v>392</v>
      </c>
      <c r="AA4580">
        <v>161</v>
      </c>
      <c r="AB4580" t="s">
        <v>4971</v>
      </c>
      <c r="AC4580" t="str">
        <f>HYPERLINK("plots/3FT6Y578R04_015_S31P_20251219032831_M5358ACSA301811_RBGEUFRF04/dpll_52084/txpa_54218.png","plot")</f>
        <v>plot</v>
      </c>
    </row>
    <row r="4581" spans="1:29" hidden="1" x14ac:dyDescent="0.35">
      <c r="A4581" t="s">
        <v>50</v>
      </c>
      <c r="B4581">
        <v>52084</v>
      </c>
      <c r="C4581" t="s">
        <v>52</v>
      </c>
      <c r="D4581">
        <v>54219</v>
      </c>
      <c r="E4581" t="s">
        <v>239</v>
      </c>
      <c r="F4581">
        <v>11782</v>
      </c>
      <c r="G4581">
        <v>0.77407730623467097</v>
      </c>
      <c r="H4581">
        <v>0</v>
      </c>
      <c r="I4581">
        <v>0</v>
      </c>
      <c r="J4581">
        <v>0.6922879421878162</v>
      </c>
      <c r="K4581">
        <v>0</v>
      </c>
      <c r="L4581">
        <v>0</v>
      </c>
      <c r="M4581">
        <v>0.50247566715047642</v>
      </c>
      <c r="N4581">
        <v>0</v>
      </c>
      <c r="O4581">
        <v>0</v>
      </c>
      <c r="P4581">
        <v>0.59919567602752455</v>
      </c>
      <c r="Q4581">
        <v>1.3329760016475971</v>
      </c>
      <c r="R4581">
        <v>3.103886704373902</v>
      </c>
      <c r="S4581">
        <v>0.21074456633639649</v>
      </c>
      <c r="T4581">
        <v>0.15951860641523011</v>
      </c>
      <c r="U4581">
        <v>4.2695416864708866</v>
      </c>
      <c r="V4581">
        <v>0.1933172563537221</v>
      </c>
      <c r="W4581">
        <v>8.7950833104736024</v>
      </c>
      <c r="X4581">
        <v>0.33289603163452869</v>
      </c>
      <c r="Z4581" t="s">
        <v>392</v>
      </c>
      <c r="AA4581">
        <v>161</v>
      </c>
      <c r="AB4581" t="s">
        <v>4972</v>
      </c>
      <c r="AC4581" t="str">
        <f>HYPERLINK("plots/3FT6Y578R04_015_S31P_20251219032831_M5358ACSA301811_RBGEUFRF04/dpll_52084/txpa_54219.png","plot")</f>
        <v>plot</v>
      </c>
    </row>
    <row r="4582" spans="1:29" hidden="1" x14ac:dyDescent="0.35">
      <c r="A4582" t="s">
        <v>50</v>
      </c>
      <c r="B4582">
        <v>52084</v>
      </c>
      <c r="C4582" t="s">
        <v>52</v>
      </c>
      <c r="D4582">
        <v>54220</v>
      </c>
      <c r="E4582" t="s">
        <v>240</v>
      </c>
      <c r="F4582">
        <v>11782</v>
      </c>
      <c r="G4582">
        <v>0.79072343777609821</v>
      </c>
      <c r="H4582">
        <v>0</v>
      </c>
      <c r="I4582">
        <v>0</v>
      </c>
      <c r="J4582">
        <v>0.70357781079222359</v>
      </c>
      <c r="K4582">
        <v>0</v>
      </c>
      <c r="L4582">
        <v>0</v>
      </c>
      <c r="M4582">
        <v>0.51504087671234411</v>
      </c>
      <c r="N4582">
        <v>0</v>
      </c>
      <c r="O4582">
        <v>0</v>
      </c>
      <c r="P4582">
        <v>0.62524355504845108</v>
      </c>
      <c r="Q4582">
        <v>1.3643564013172671</v>
      </c>
      <c r="R4582">
        <v>3.0011648304317671</v>
      </c>
      <c r="S4582">
        <v>0.20418788364614179</v>
      </c>
      <c r="T4582">
        <v>0.1571720403374392</v>
      </c>
      <c r="U4582">
        <v>4.2695416864708866</v>
      </c>
      <c r="V4582">
        <v>0.1933172563537221</v>
      </c>
      <c r="W4582">
        <v>8.8263413610592423</v>
      </c>
      <c r="X4582">
        <v>0.33355990677738911</v>
      </c>
      <c r="Z4582" t="s">
        <v>392</v>
      </c>
      <c r="AA4582">
        <v>161</v>
      </c>
      <c r="AB4582" t="s">
        <v>4973</v>
      </c>
      <c r="AC4582" t="str">
        <f>HYPERLINK("plots/3FT6Y578R04_015_S31P_20251219032831_M5358ACSA301811_RBGEUFRF04/dpll_52084/txpa_54220.png","plot")</f>
        <v>plot</v>
      </c>
    </row>
    <row r="4583" spans="1:29" hidden="1" x14ac:dyDescent="0.35">
      <c r="A4583" t="s">
        <v>50</v>
      </c>
      <c r="B4583">
        <v>52084</v>
      </c>
      <c r="C4583" t="s">
        <v>52</v>
      </c>
      <c r="D4583">
        <v>54221</v>
      </c>
      <c r="E4583" t="s">
        <v>241</v>
      </c>
      <c r="F4583">
        <v>11782</v>
      </c>
      <c r="G4583">
        <v>0.78473867885498061</v>
      </c>
      <c r="H4583">
        <v>0</v>
      </c>
      <c r="I4583">
        <v>0</v>
      </c>
      <c r="J4583">
        <v>0.69587470413059926</v>
      </c>
      <c r="K4583">
        <v>0</v>
      </c>
      <c r="L4583">
        <v>0</v>
      </c>
      <c r="M4583">
        <v>0.50742241003459654</v>
      </c>
      <c r="N4583">
        <v>0</v>
      </c>
      <c r="O4583">
        <v>0</v>
      </c>
      <c r="P4583">
        <v>0.61581479409106044</v>
      </c>
      <c r="Q4583">
        <v>1.336736524439633</v>
      </c>
      <c r="R4583">
        <v>3.129537832080683</v>
      </c>
      <c r="S4583">
        <v>0.20410012273369699</v>
      </c>
      <c r="T4583">
        <v>0.15600689887889199</v>
      </c>
      <c r="U4583">
        <v>4.2695416864708866</v>
      </c>
      <c r="V4583">
        <v>0.1933172563537221</v>
      </c>
      <c r="W4583">
        <v>8.8367901470039047</v>
      </c>
      <c r="X4583">
        <v>0.32929973293725567</v>
      </c>
      <c r="Z4583" t="s">
        <v>392</v>
      </c>
      <c r="AA4583">
        <v>161</v>
      </c>
      <c r="AB4583" t="s">
        <v>4974</v>
      </c>
      <c r="AC4583" t="str">
        <f>HYPERLINK("plots/3FT6Y578R04_015_S31P_20251219032831_M5358ACSA301811_RBGEUFRF04/dpll_52084/txpa_54221.png","plot")</f>
        <v>plot</v>
      </c>
    </row>
    <row r="4584" spans="1:29" hidden="1" x14ac:dyDescent="0.35">
      <c r="A4584" t="s">
        <v>50</v>
      </c>
      <c r="B4584">
        <v>52084</v>
      </c>
      <c r="C4584" t="s">
        <v>52</v>
      </c>
      <c r="D4584">
        <v>54222</v>
      </c>
      <c r="E4584" t="s">
        <v>242</v>
      </c>
      <c r="F4584">
        <v>11781</v>
      </c>
      <c r="G4584">
        <v>0.79750272008510859</v>
      </c>
      <c r="H4584">
        <v>0</v>
      </c>
      <c r="I4584">
        <v>0</v>
      </c>
      <c r="J4584">
        <v>0.70610770040146553</v>
      </c>
      <c r="K4584">
        <v>0</v>
      </c>
      <c r="L4584">
        <v>0</v>
      </c>
      <c r="M4584">
        <v>0.51718169616168241</v>
      </c>
      <c r="N4584">
        <v>0</v>
      </c>
      <c r="O4584">
        <v>0</v>
      </c>
      <c r="P4584">
        <v>0.63601058854314707</v>
      </c>
      <c r="Q4584">
        <v>1.3674071576915761</v>
      </c>
      <c r="R4584">
        <v>3.006606633071081</v>
      </c>
      <c r="S4584">
        <v>0.19997561328092989</v>
      </c>
      <c r="T4584">
        <v>0.1546505798657723</v>
      </c>
      <c r="U4584">
        <v>4.2695489746201511</v>
      </c>
      <c r="V4584">
        <v>0.19332384277072681</v>
      </c>
      <c r="W4584">
        <v>8.8448184610814025</v>
      </c>
      <c r="X4584">
        <v>0.33147524102353038</v>
      </c>
      <c r="Z4584" t="s">
        <v>392</v>
      </c>
      <c r="AA4584">
        <v>161</v>
      </c>
      <c r="AB4584" t="s">
        <v>4975</v>
      </c>
      <c r="AC4584" t="str">
        <f>HYPERLINK("plots/3FT6Y578R04_015_S31P_20251219032831_M5358ACSA301811_RBGEUFRF04/dpll_52084/txpa_54222.png","plot")</f>
        <v>plot</v>
      </c>
    </row>
    <row r="4585" spans="1:29" hidden="1" x14ac:dyDescent="0.35">
      <c r="A4585" t="s">
        <v>50</v>
      </c>
      <c r="B4585">
        <v>52084</v>
      </c>
      <c r="C4585" t="s">
        <v>52</v>
      </c>
      <c r="D4585">
        <v>54223</v>
      </c>
      <c r="E4585" t="s">
        <v>243</v>
      </c>
      <c r="F4585">
        <v>11781</v>
      </c>
      <c r="G4585">
        <v>0.79920429104509971</v>
      </c>
      <c r="H4585">
        <v>0</v>
      </c>
      <c r="I4585">
        <v>0</v>
      </c>
      <c r="J4585">
        <v>0.70220370830569601</v>
      </c>
      <c r="K4585">
        <v>0</v>
      </c>
      <c r="L4585">
        <v>0</v>
      </c>
      <c r="M4585">
        <v>0.5124395280553603</v>
      </c>
      <c r="N4585">
        <v>0</v>
      </c>
      <c r="O4585">
        <v>0</v>
      </c>
      <c r="P4585">
        <v>0.63872749882490043</v>
      </c>
      <c r="Q4585">
        <v>1.365771026442006</v>
      </c>
      <c r="R4585">
        <v>2.9890476500087062</v>
      </c>
      <c r="S4585">
        <v>0.19854903837473639</v>
      </c>
      <c r="T4585">
        <v>0.15394925334417481</v>
      </c>
      <c r="U4585">
        <v>4.2695174021729896</v>
      </c>
      <c r="V4585">
        <v>0.19330748901132719</v>
      </c>
      <c r="W4585">
        <v>8.8202308147865196</v>
      </c>
      <c r="X4585">
        <v>0.33034578348006971</v>
      </c>
      <c r="Z4585" t="s">
        <v>392</v>
      </c>
      <c r="AA4585">
        <v>161</v>
      </c>
      <c r="AB4585" t="s">
        <v>4976</v>
      </c>
      <c r="AC4585" t="str">
        <f>HYPERLINK("plots/3FT6Y578R04_015_S31P_20251219032831_M5358ACSA301811_RBGEUFRF04/dpll_52084/txpa_54223.png","plot")</f>
        <v>plot</v>
      </c>
    </row>
    <row r="4586" spans="1:29" hidden="1" x14ac:dyDescent="0.35">
      <c r="A4586" t="s">
        <v>50</v>
      </c>
      <c r="B4586">
        <v>52084</v>
      </c>
      <c r="C4586" t="s">
        <v>52</v>
      </c>
      <c r="D4586">
        <v>54224</v>
      </c>
      <c r="E4586" t="s">
        <v>244</v>
      </c>
      <c r="F4586">
        <v>11781</v>
      </c>
      <c r="G4586">
        <v>0.80259237526751248</v>
      </c>
      <c r="H4586">
        <v>0</v>
      </c>
      <c r="I4586">
        <v>0</v>
      </c>
      <c r="J4586">
        <v>0.71266889357307639</v>
      </c>
      <c r="K4586">
        <v>0</v>
      </c>
      <c r="L4586">
        <v>0</v>
      </c>
      <c r="M4586">
        <v>0.52281895065571715</v>
      </c>
      <c r="N4586">
        <v>0</v>
      </c>
      <c r="O4586">
        <v>0</v>
      </c>
      <c r="P4586">
        <v>0.64415452083754754</v>
      </c>
      <c r="Q4586">
        <v>1.380615220341755</v>
      </c>
      <c r="R4586">
        <v>2.9399342360061409</v>
      </c>
      <c r="S4586">
        <v>0.19834552710789641</v>
      </c>
      <c r="T4586">
        <v>0.15408964964949101</v>
      </c>
      <c r="U4586">
        <v>4.2695129435531793</v>
      </c>
      <c r="V4586">
        <v>0.1933002831720991</v>
      </c>
      <c r="W4586">
        <v>8.8344887893217887</v>
      </c>
      <c r="X4586">
        <v>0.33251413951549152</v>
      </c>
      <c r="Z4586" t="s">
        <v>392</v>
      </c>
      <c r="AA4586">
        <v>161</v>
      </c>
      <c r="AB4586" t="s">
        <v>4977</v>
      </c>
      <c r="AC4586" t="str">
        <f>HYPERLINK("plots/3FT6Y578R04_015_S31P_20251219032831_M5358ACSA301811_RBGEUFRF04/dpll_52084/txpa_54224.png","plot")</f>
        <v>plot</v>
      </c>
    </row>
    <row r="4587" spans="1:29" hidden="1" x14ac:dyDescent="0.35">
      <c r="A4587" t="s">
        <v>50</v>
      </c>
      <c r="B4587">
        <v>52084</v>
      </c>
      <c r="C4587" t="s">
        <v>52</v>
      </c>
      <c r="D4587">
        <v>54225</v>
      </c>
      <c r="E4587" t="s">
        <v>245</v>
      </c>
      <c r="F4587">
        <v>11782</v>
      </c>
      <c r="G4587">
        <v>0.7997580615442248</v>
      </c>
      <c r="H4587">
        <v>0</v>
      </c>
      <c r="I4587">
        <v>0</v>
      </c>
      <c r="J4587">
        <v>0.7036904123625084</v>
      </c>
      <c r="K4587">
        <v>0</v>
      </c>
      <c r="L4587">
        <v>0</v>
      </c>
      <c r="M4587">
        <v>0.5144688354582857</v>
      </c>
      <c r="N4587">
        <v>0</v>
      </c>
      <c r="O4587">
        <v>0</v>
      </c>
      <c r="P4587">
        <v>0.639612957004976</v>
      </c>
      <c r="Q4587">
        <v>1.364144283013522</v>
      </c>
      <c r="R4587">
        <v>3.0152666271583541</v>
      </c>
      <c r="S4587">
        <v>0.1979422290561679</v>
      </c>
      <c r="T4587">
        <v>0.15406436504087709</v>
      </c>
      <c r="U4587">
        <v>4.2695416864708866</v>
      </c>
      <c r="V4587">
        <v>0.1933172563537221</v>
      </c>
      <c r="W4587">
        <v>8.8395375098455276</v>
      </c>
      <c r="X4587">
        <v>0.32974050871534327</v>
      </c>
      <c r="Z4587" t="s">
        <v>392</v>
      </c>
      <c r="AA4587">
        <v>161</v>
      </c>
      <c r="AB4587" t="s">
        <v>4978</v>
      </c>
      <c r="AC4587" t="str">
        <f>HYPERLINK("plots/3FT6Y578R04_015_S31P_20251219032831_M5358ACSA301811_RBGEUFRF04/dpll_52084/txpa_54225.png","plot")</f>
        <v>plot</v>
      </c>
    </row>
    <row r="4588" spans="1:29" hidden="1" x14ac:dyDescent="0.35">
      <c r="A4588" t="s">
        <v>50</v>
      </c>
      <c r="B4588">
        <v>52084</v>
      </c>
      <c r="C4588" t="s">
        <v>52</v>
      </c>
      <c r="D4588">
        <v>54226</v>
      </c>
      <c r="E4588" t="s">
        <v>246</v>
      </c>
      <c r="F4588">
        <v>11781</v>
      </c>
      <c r="G4588">
        <v>0.79333533801162492</v>
      </c>
      <c r="H4588">
        <v>0</v>
      </c>
      <c r="I4588">
        <v>0</v>
      </c>
      <c r="J4588">
        <v>0.69845349001101253</v>
      </c>
      <c r="K4588">
        <v>0</v>
      </c>
      <c r="L4588">
        <v>0</v>
      </c>
      <c r="M4588">
        <v>0.51085882847449138</v>
      </c>
      <c r="N4588">
        <v>0</v>
      </c>
      <c r="O4588">
        <v>0</v>
      </c>
      <c r="P4588">
        <v>0.62938095853801912</v>
      </c>
      <c r="Q4588">
        <v>1.356084529422259</v>
      </c>
      <c r="R4588">
        <v>3.0249552720132011</v>
      </c>
      <c r="S4588">
        <v>0.201155753473717</v>
      </c>
      <c r="T4588">
        <v>0.15462843925080741</v>
      </c>
      <c r="U4588">
        <v>4.2695633024361257</v>
      </c>
      <c r="V4588">
        <v>0.19331122175495491</v>
      </c>
      <c r="W4588">
        <v>8.8148440138358382</v>
      </c>
      <c r="X4588">
        <v>0.33043574970785999</v>
      </c>
      <c r="Z4588" t="s">
        <v>392</v>
      </c>
      <c r="AA4588">
        <v>161</v>
      </c>
      <c r="AB4588" t="s">
        <v>4979</v>
      </c>
      <c r="AC4588" t="str">
        <f>HYPERLINK("plots/3FT6Y578R04_015_S31P_20251219032831_M5358ACSA301811_RBGEUFRF04/dpll_52084/txpa_54226.png","plot")</f>
        <v>plot</v>
      </c>
    </row>
    <row r="4589" spans="1:29" hidden="1" x14ac:dyDescent="0.35">
      <c r="A4589" t="s">
        <v>50</v>
      </c>
      <c r="B4589">
        <v>52084</v>
      </c>
      <c r="C4589" t="s">
        <v>52</v>
      </c>
      <c r="D4589">
        <v>54227</v>
      </c>
      <c r="E4589" t="s">
        <v>247</v>
      </c>
      <c r="F4589">
        <v>11782</v>
      </c>
      <c r="G4589">
        <v>0.77715635179728737</v>
      </c>
      <c r="H4589">
        <v>0</v>
      </c>
      <c r="I4589">
        <v>0</v>
      </c>
      <c r="J4589">
        <v>0.69438965848521017</v>
      </c>
      <c r="K4589">
        <v>0</v>
      </c>
      <c r="L4589">
        <v>0</v>
      </c>
      <c r="M4589">
        <v>0.50433752191815118</v>
      </c>
      <c r="N4589">
        <v>0</v>
      </c>
      <c r="O4589">
        <v>0</v>
      </c>
      <c r="P4589">
        <v>0.60397199513886912</v>
      </c>
      <c r="Q4589">
        <v>1.3576510605271539</v>
      </c>
      <c r="R4589">
        <v>3.5058061837438572</v>
      </c>
      <c r="S4589">
        <v>0.21251760006414669</v>
      </c>
      <c r="T4589">
        <v>0.16065553475298389</v>
      </c>
      <c r="U4589">
        <v>4.2695416864708866</v>
      </c>
      <c r="V4589">
        <v>0.1933172563537221</v>
      </c>
      <c r="W4589">
        <v>9.3023539823459505</v>
      </c>
      <c r="X4589">
        <v>0.33771502671226922</v>
      </c>
      <c r="Z4589" t="s">
        <v>392</v>
      </c>
      <c r="AA4589">
        <v>161</v>
      </c>
      <c r="AB4589" t="s">
        <v>4980</v>
      </c>
      <c r="AC4589" t="str">
        <f>HYPERLINK("plots/3FT6Y578R04_015_S31P_20251219032831_M5358ACSA301811_RBGEUFRF04/dpll_52084/txpa_54227.png","plot")</f>
        <v>plot</v>
      </c>
    </row>
    <row r="4590" spans="1:29" hidden="1" x14ac:dyDescent="0.35">
      <c r="A4590" t="s">
        <v>50</v>
      </c>
      <c r="B4590">
        <v>52084</v>
      </c>
      <c r="C4590" t="s">
        <v>52</v>
      </c>
      <c r="D4590">
        <v>54228</v>
      </c>
      <c r="E4590" t="s">
        <v>248</v>
      </c>
      <c r="F4590">
        <v>11782</v>
      </c>
      <c r="G4590">
        <v>0.7934808209484886</v>
      </c>
      <c r="H4590">
        <v>0</v>
      </c>
      <c r="I4590">
        <v>0</v>
      </c>
      <c r="J4590">
        <v>0.70541832203207711</v>
      </c>
      <c r="K4590">
        <v>0</v>
      </c>
      <c r="L4590">
        <v>0</v>
      </c>
      <c r="M4590">
        <v>0.51671613182359821</v>
      </c>
      <c r="N4590">
        <v>0</v>
      </c>
      <c r="O4590">
        <v>0</v>
      </c>
      <c r="P4590">
        <v>0.62961181321308746</v>
      </c>
      <c r="Q4590">
        <v>1.3889492305332161</v>
      </c>
      <c r="R4590">
        <v>3.4029532226035202</v>
      </c>
      <c r="S4590">
        <v>0.2059352505785724</v>
      </c>
      <c r="T4590">
        <v>0.15827098973651671</v>
      </c>
      <c r="U4590">
        <v>4.2695416864708866</v>
      </c>
      <c r="V4590">
        <v>0.1933172563537221</v>
      </c>
      <c r="W4590">
        <v>9.3331298627567474</v>
      </c>
      <c r="X4590">
        <v>0.33839236862755351</v>
      </c>
      <c r="Z4590" t="s">
        <v>392</v>
      </c>
      <c r="AA4590">
        <v>161</v>
      </c>
      <c r="AB4590" t="s">
        <v>4981</v>
      </c>
      <c r="AC4590" t="str">
        <f>HYPERLINK("plots/3FT6Y578R04_015_S31P_20251219032831_M5358ACSA301811_RBGEUFRF04/dpll_52084/txpa_54228.png","plot")</f>
        <v>plot</v>
      </c>
    </row>
    <row r="4591" spans="1:29" hidden="1" x14ac:dyDescent="0.35">
      <c r="A4591" t="s">
        <v>50</v>
      </c>
      <c r="B4591">
        <v>52084</v>
      </c>
      <c r="C4591" t="s">
        <v>52</v>
      </c>
      <c r="D4591">
        <v>54229</v>
      </c>
      <c r="E4591" t="s">
        <v>249</v>
      </c>
      <c r="F4591">
        <v>11782</v>
      </c>
      <c r="G4591">
        <v>0.78768518351319061</v>
      </c>
      <c r="H4591">
        <v>0</v>
      </c>
      <c r="I4591">
        <v>0</v>
      </c>
      <c r="J4591">
        <v>0.6979304852036895</v>
      </c>
      <c r="K4591">
        <v>0</v>
      </c>
      <c r="L4591">
        <v>0</v>
      </c>
      <c r="M4591">
        <v>0.50922865307418486</v>
      </c>
      <c r="N4591">
        <v>0</v>
      </c>
      <c r="O4591">
        <v>0</v>
      </c>
      <c r="P4591">
        <v>0.62044794832620875</v>
      </c>
      <c r="Q4591">
        <v>1.3611979966591059</v>
      </c>
      <c r="R4591">
        <v>3.5320488069393772</v>
      </c>
      <c r="S4591">
        <v>0.20580526843768801</v>
      </c>
      <c r="T4591">
        <v>0.15709199868507501</v>
      </c>
      <c r="U4591">
        <v>4.2695416864708866</v>
      </c>
      <c r="V4591">
        <v>0.1933172563537221</v>
      </c>
      <c r="W4591">
        <v>9.3437403972160915</v>
      </c>
      <c r="X4591">
        <v>0.33407136198076631</v>
      </c>
      <c r="Z4591" t="s">
        <v>392</v>
      </c>
      <c r="AA4591">
        <v>161</v>
      </c>
      <c r="AB4591" t="s">
        <v>4982</v>
      </c>
      <c r="AC4591" t="str">
        <f>HYPERLINK("plots/3FT6Y578R04_015_S31P_20251219032831_M5358ACSA301811_RBGEUFRF04/dpll_52084/txpa_54229.png","plot")</f>
        <v>plot</v>
      </c>
    </row>
    <row r="4592" spans="1:29" hidden="1" x14ac:dyDescent="0.35">
      <c r="A4592" t="s">
        <v>50</v>
      </c>
      <c r="B4592">
        <v>52084</v>
      </c>
      <c r="C4592" t="s">
        <v>52</v>
      </c>
      <c r="D4592">
        <v>54230</v>
      </c>
      <c r="E4592" t="s">
        <v>250</v>
      </c>
      <c r="F4592">
        <v>11781</v>
      </c>
      <c r="G4592">
        <v>0.8002231215516562</v>
      </c>
      <c r="H4592">
        <v>0</v>
      </c>
      <c r="I4592">
        <v>0</v>
      </c>
      <c r="J4592">
        <v>0.70796354829582819</v>
      </c>
      <c r="K4592">
        <v>0</v>
      </c>
      <c r="L4592">
        <v>0</v>
      </c>
      <c r="M4592">
        <v>0.51886451622961027</v>
      </c>
      <c r="N4592">
        <v>0</v>
      </c>
      <c r="O4592">
        <v>0</v>
      </c>
      <c r="P4592">
        <v>0.6403570442658767</v>
      </c>
      <c r="Q4592">
        <v>1.3918116955106949</v>
      </c>
      <c r="R4592">
        <v>3.4090785249175259</v>
      </c>
      <c r="S4592">
        <v>0.20163789337111029</v>
      </c>
      <c r="T4592">
        <v>0.1557493297851511</v>
      </c>
      <c r="U4592">
        <v>4.2695489746201511</v>
      </c>
      <c r="V4592">
        <v>0.19332384277072681</v>
      </c>
      <c r="W4592">
        <v>9.3514867223495468</v>
      </c>
      <c r="X4592">
        <v>0.33624420257644239</v>
      </c>
      <c r="Z4592" t="s">
        <v>392</v>
      </c>
      <c r="AA4592">
        <v>161</v>
      </c>
      <c r="AB4592" t="s">
        <v>4983</v>
      </c>
      <c r="AC4592" t="str">
        <f>HYPERLINK("plots/3FT6Y578R04_015_S31P_20251219032831_M5358ACSA301811_RBGEUFRF04/dpll_52084/txpa_54230.png","plot")</f>
        <v>plot</v>
      </c>
    </row>
    <row r="4593" spans="1:29" hidden="1" x14ac:dyDescent="0.35">
      <c r="A4593" t="s">
        <v>50</v>
      </c>
      <c r="B4593">
        <v>52084</v>
      </c>
      <c r="C4593" t="s">
        <v>52</v>
      </c>
      <c r="D4593">
        <v>54231</v>
      </c>
      <c r="E4593" t="s">
        <v>251</v>
      </c>
      <c r="F4593">
        <v>11781</v>
      </c>
      <c r="G4593">
        <v>0.802025590334008</v>
      </c>
      <c r="H4593">
        <v>0</v>
      </c>
      <c r="I4593">
        <v>0</v>
      </c>
      <c r="J4593">
        <v>0.70416320831007184</v>
      </c>
      <c r="K4593">
        <v>0</v>
      </c>
      <c r="L4593">
        <v>0</v>
      </c>
      <c r="M4593">
        <v>0.51421201017983642</v>
      </c>
      <c r="N4593">
        <v>0</v>
      </c>
      <c r="O4593">
        <v>0</v>
      </c>
      <c r="P4593">
        <v>0.64324504755061407</v>
      </c>
      <c r="Q4593">
        <v>1.390688050795287</v>
      </c>
      <c r="R4593">
        <v>3.3889264274885131</v>
      </c>
      <c r="S4593">
        <v>0.2001966240420831</v>
      </c>
      <c r="T4593">
        <v>0.155026118133958</v>
      </c>
      <c r="U4593">
        <v>4.2695174021729896</v>
      </c>
      <c r="V4593">
        <v>0.19330748901132719</v>
      </c>
      <c r="W4593">
        <v>9.3264932613530274</v>
      </c>
      <c r="X4593">
        <v>0.3351893235542997</v>
      </c>
      <c r="Z4593" t="s">
        <v>392</v>
      </c>
      <c r="AA4593">
        <v>161</v>
      </c>
      <c r="AB4593" t="s">
        <v>4984</v>
      </c>
      <c r="AC4593" t="str">
        <f>HYPERLINK("plots/3FT6Y578R04_015_S31P_20251219032831_M5358ACSA301811_RBGEUFRF04/dpll_52084/txpa_54231.png","plot")</f>
        <v>plot</v>
      </c>
    </row>
    <row r="4594" spans="1:29" hidden="1" x14ac:dyDescent="0.35">
      <c r="A4594" t="s">
        <v>50</v>
      </c>
      <c r="B4594">
        <v>52084</v>
      </c>
      <c r="C4594" t="s">
        <v>52</v>
      </c>
      <c r="D4594">
        <v>54232</v>
      </c>
      <c r="E4594" t="s">
        <v>252</v>
      </c>
      <c r="F4594">
        <v>11781</v>
      </c>
      <c r="G4594">
        <v>0.8052998044499623</v>
      </c>
      <c r="H4594">
        <v>0</v>
      </c>
      <c r="I4594">
        <v>0</v>
      </c>
      <c r="J4594">
        <v>0.71430089162846411</v>
      </c>
      <c r="K4594">
        <v>0</v>
      </c>
      <c r="L4594">
        <v>0</v>
      </c>
      <c r="M4594">
        <v>0.52436048855509709</v>
      </c>
      <c r="N4594">
        <v>0</v>
      </c>
      <c r="O4594">
        <v>0</v>
      </c>
      <c r="P4594">
        <v>0.64850777504714752</v>
      </c>
      <c r="Q4594">
        <v>1.4051120087358919</v>
      </c>
      <c r="R4594">
        <v>3.341909351555008</v>
      </c>
      <c r="S4594">
        <v>0.1999517781981901</v>
      </c>
      <c r="T4594">
        <v>0.15516847934916181</v>
      </c>
      <c r="U4594">
        <v>4.2695129435531793</v>
      </c>
      <c r="V4594">
        <v>0.1933002831720991</v>
      </c>
      <c r="W4594">
        <v>9.3410532599949061</v>
      </c>
      <c r="X4594">
        <v>0.33727631333858288</v>
      </c>
      <c r="Z4594" t="s">
        <v>392</v>
      </c>
      <c r="AA4594">
        <v>161</v>
      </c>
      <c r="AB4594" t="s">
        <v>4985</v>
      </c>
      <c r="AC4594" t="str">
        <f>HYPERLINK("plots/3FT6Y578R04_015_S31P_20251219032831_M5358ACSA301811_RBGEUFRF04/dpll_52084/txpa_54232.png","plot")</f>
        <v>plot</v>
      </c>
    </row>
    <row r="4595" spans="1:29" hidden="1" x14ac:dyDescent="0.35">
      <c r="A4595" t="s">
        <v>50</v>
      </c>
      <c r="B4595">
        <v>52084</v>
      </c>
      <c r="C4595" t="s">
        <v>52</v>
      </c>
      <c r="D4595">
        <v>54233</v>
      </c>
      <c r="E4595" t="s">
        <v>253</v>
      </c>
      <c r="F4595">
        <v>11782</v>
      </c>
      <c r="G4595">
        <v>0.80245711236899075</v>
      </c>
      <c r="H4595">
        <v>0</v>
      </c>
      <c r="I4595">
        <v>0</v>
      </c>
      <c r="J4595">
        <v>0.70548664644180903</v>
      </c>
      <c r="K4595">
        <v>0</v>
      </c>
      <c r="L4595">
        <v>0</v>
      </c>
      <c r="M4595">
        <v>0.51609944924667694</v>
      </c>
      <c r="N4595">
        <v>0</v>
      </c>
      <c r="O4595">
        <v>0</v>
      </c>
      <c r="P4595">
        <v>0.64393741719157904</v>
      </c>
      <c r="Q4595">
        <v>1.388619148702769</v>
      </c>
      <c r="R4595">
        <v>3.4175001376117562</v>
      </c>
      <c r="S4595">
        <v>0.1996074192408184</v>
      </c>
      <c r="T4595">
        <v>0.1551535539133552</v>
      </c>
      <c r="U4595">
        <v>4.2695416864708866</v>
      </c>
      <c r="V4595">
        <v>0.1933172563537221</v>
      </c>
      <c r="W4595">
        <v>9.3462674796299439</v>
      </c>
      <c r="X4595">
        <v>0.33452759008511718</v>
      </c>
      <c r="Z4595" t="s">
        <v>392</v>
      </c>
      <c r="AA4595">
        <v>161</v>
      </c>
      <c r="AB4595" t="s">
        <v>4986</v>
      </c>
      <c r="AC4595" t="str">
        <f>HYPERLINK("plots/3FT6Y578R04_015_S31P_20251219032831_M5358ACSA301811_RBGEUFRF04/dpll_52084/txpa_54233.png","plot")</f>
        <v>plot</v>
      </c>
    </row>
    <row r="4596" spans="1:29" hidden="1" x14ac:dyDescent="0.35">
      <c r="A4596" t="s">
        <v>50</v>
      </c>
      <c r="B4596">
        <v>52084</v>
      </c>
      <c r="C4596" t="s">
        <v>52</v>
      </c>
      <c r="D4596">
        <v>54234</v>
      </c>
      <c r="E4596" t="s">
        <v>254</v>
      </c>
      <c r="F4596">
        <v>11781</v>
      </c>
      <c r="G4596">
        <v>0.79604065945655844</v>
      </c>
      <c r="H4596">
        <v>0</v>
      </c>
      <c r="I4596">
        <v>0</v>
      </c>
      <c r="J4596">
        <v>0.70009859904094951</v>
      </c>
      <c r="K4596">
        <v>0</v>
      </c>
      <c r="L4596">
        <v>0</v>
      </c>
      <c r="M4596">
        <v>0.51235576602634336</v>
      </c>
      <c r="N4596">
        <v>0</v>
      </c>
      <c r="O4596">
        <v>0</v>
      </c>
      <c r="P4596">
        <v>0.63368073150803239</v>
      </c>
      <c r="Q4596">
        <v>1.379989609097799</v>
      </c>
      <c r="R4596">
        <v>3.4302293222515878</v>
      </c>
      <c r="S4596">
        <v>0.20281920684277729</v>
      </c>
      <c r="T4596">
        <v>0.1557257361772709</v>
      </c>
      <c r="U4596">
        <v>4.2695633024361257</v>
      </c>
      <c r="V4596">
        <v>0.19331122175495491</v>
      </c>
      <c r="W4596">
        <v>9.3221823149987255</v>
      </c>
      <c r="X4596">
        <v>0.33511790406027142</v>
      </c>
      <c r="Z4596" t="s">
        <v>392</v>
      </c>
      <c r="AA4596">
        <v>161</v>
      </c>
      <c r="AB4596" t="s">
        <v>4987</v>
      </c>
      <c r="AC4596" t="str">
        <f>HYPERLINK("plots/3FT6Y578R04_015_S31P_20251219032831_M5358ACSA301811_RBGEUFRF04/dpll_52084/txpa_54234.png","plot")</f>
        <v>plot</v>
      </c>
    </row>
    <row r="4597" spans="1:29" hidden="1" x14ac:dyDescent="0.35">
      <c r="A4597" t="s">
        <v>50</v>
      </c>
      <c r="B4597">
        <v>52084</v>
      </c>
      <c r="C4597" t="s">
        <v>52</v>
      </c>
      <c r="D4597">
        <v>54235</v>
      </c>
      <c r="E4597" t="s">
        <v>255</v>
      </c>
      <c r="F4597">
        <v>11782</v>
      </c>
      <c r="G4597">
        <v>0.77984445462131025</v>
      </c>
      <c r="H4597">
        <v>0</v>
      </c>
      <c r="I4597">
        <v>0</v>
      </c>
      <c r="J4597">
        <v>0.6961631440128655</v>
      </c>
      <c r="K4597">
        <v>0</v>
      </c>
      <c r="L4597">
        <v>0</v>
      </c>
      <c r="M4597">
        <v>0.5059008828735716</v>
      </c>
      <c r="N4597">
        <v>0</v>
      </c>
      <c r="O4597">
        <v>0</v>
      </c>
      <c r="P4597">
        <v>0.60815737340360887</v>
      </c>
      <c r="Q4597">
        <v>1.3788841295034779</v>
      </c>
      <c r="R4597">
        <v>3.895921998344773</v>
      </c>
      <c r="S4597">
        <v>0.2139576483492599</v>
      </c>
      <c r="T4597">
        <v>0.16151031892492629</v>
      </c>
      <c r="U4597">
        <v>4.2695416864708866</v>
      </c>
      <c r="V4597">
        <v>0.1933172563537221</v>
      </c>
      <c r="W4597">
        <v>9.7831252700729934</v>
      </c>
      <c r="X4597">
        <v>0.34181444154109469</v>
      </c>
      <c r="Z4597" t="s">
        <v>392</v>
      </c>
      <c r="AA4597">
        <v>161</v>
      </c>
      <c r="AB4597" t="s">
        <v>4988</v>
      </c>
      <c r="AC4597" t="str">
        <f>HYPERLINK("plots/3FT6Y578R04_015_S31P_20251219032831_M5358ACSA301811_RBGEUFRF04/dpll_52084/txpa_54235.png","plot")</f>
        <v>plot</v>
      </c>
    </row>
    <row r="4598" spans="1:29" hidden="1" x14ac:dyDescent="0.35">
      <c r="A4598" t="s">
        <v>50</v>
      </c>
      <c r="B4598">
        <v>52084</v>
      </c>
      <c r="C4598" t="s">
        <v>52</v>
      </c>
      <c r="D4598">
        <v>54236</v>
      </c>
      <c r="E4598" t="s">
        <v>256</v>
      </c>
      <c r="F4598">
        <v>11782</v>
      </c>
      <c r="G4598">
        <v>0.79590340031646445</v>
      </c>
      <c r="H4598">
        <v>0</v>
      </c>
      <c r="I4598">
        <v>0</v>
      </c>
      <c r="J4598">
        <v>0.70697072522029158</v>
      </c>
      <c r="K4598">
        <v>0</v>
      </c>
      <c r="L4598">
        <v>0</v>
      </c>
      <c r="M4598">
        <v>0.5181294267101807</v>
      </c>
      <c r="N4598">
        <v>0</v>
      </c>
      <c r="O4598">
        <v>0</v>
      </c>
      <c r="P4598">
        <v>0.63346222263531027</v>
      </c>
      <c r="Q4598">
        <v>1.410270732396903</v>
      </c>
      <c r="R4598">
        <v>3.7927564640431179</v>
      </c>
      <c r="S4598">
        <v>0.20737370906671571</v>
      </c>
      <c r="T4598">
        <v>0.15917149249266929</v>
      </c>
      <c r="U4598">
        <v>4.2695416864708866</v>
      </c>
      <c r="V4598">
        <v>0.1933172563537221</v>
      </c>
      <c r="W4598">
        <v>9.8139661452215243</v>
      </c>
      <c r="X4598">
        <v>0.34254115335419011</v>
      </c>
      <c r="Z4598" t="s">
        <v>392</v>
      </c>
      <c r="AA4598">
        <v>161</v>
      </c>
      <c r="AB4598" t="s">
        <v>4989</v>
      </c>
      <c r="AC4598" t="str">
        <f>HYPERLINK("plots/3FT6Y578R04_015_S31P_20251219032831_M5358ACSA301811_RBGEUFRF04/dpll_52084/txpa_54236.png","plot")</f>
        <v>plot</v>
      </c>
    </row>
    <row r="4599" spans="1:29" hidden="1" x14ac:dyDescent="0.35">
      <c r="A4599" t="s">
        <v>50</v>
      </c>
      <c r="B4599">
        <v>52084</v>
      </c>
      <c r="C4599" t="s">
        <v>52</v>
      </c>
      <c r="D4599">
        <v>54237</v>
      </c>
      <c r="E4599" t="s">
        <v>257</v>
      </c>
      <c r="F4599">
        <v>11782</v>
      </c>
      <c r="G4599">
        <v>0.7904518972797816</v>
      </c>
      <c r="H4599">
        <v>0</v>
      </c>
      <c r="I4599">
        <v>0</v>
      </c>
      <c r="J4599">
        <v>0.69977427250198498</v>
      </c>
      <c r="K4599">
        <v>0</v>
      </c>
      <c r="L4599">
        <v>0</v>
      </c>
      <c r="M4599">
        <v>0.51085668172087462</v>
      </c>
      <c r="N4599">
        <v>0</v>
      </c>
      <c r="O4599">
        <v>0</v>
      </c>
      <c r="P4599">
        <v>0.62481420191320636</v>
      </c>
      <c r="Q4599">
        <v>1.3830253986312651</v>
      </c>
      <c r="R4599">
        <v>3.9200632244442968</v>
      </c>
      <c r="S4599">
        <v>0.20717154103147231</v>
      </c>
      <c r="T4599">
        <v>0.15791557487766</v>
      </c>
      <c r="U4599">
        <v>4.2695416864708866</v>
      </c>
      <c r="V4599">
        <v>0.1933172563537221</v>
      </c>
      <c r="W4599">
        <v>9.8249478173484981</v>
      </c>
      <c r="X4599">
        <v>0.33824028565305031</v>
      </c>
      <c r="Z4599" t="s">
        <v>392</v>
      </c>
      <c r="AA4599">
        <v>161</v>
      </c>
      <c r="AB4599" t="s">
        <v>4990</v>
      </c>
      <c r="AC4599" t="str">
        <f>HYPERLINK("plots/3FT6Y578R04_015_S31P_20251219032831_M5358ACSA301811_RBGEUFRF04/dpll_52084/txpa_54237.png","plot")</f>
        <v>plot</v>
      </c>
    </row>
    <row r="4600" spans="1:29" hidden="1" x14ac:dyDescent="0.35">
      <c r="A4600" t="s">
        <v>50</v>
      </c>
      <c r="B4600">
        <v>52084</v>
      </c>
      <c r="C4600" t="s">
        <v>52</v>
      </c>
      <c r="D4600">
        <v>54238</v>
      </c>
      <c r="E4600" t="s">
        <v>258</v>
      </c>
      <c r="F4600">
        <v>11781</v>
      </c>
      <c r="G4600">
        <v>0.80254921073062202</v>
      </c>
      <c r="H4600">
        <v>0</v>
      </c>
      <c r="I4600">
        <v>0</v>
      </c>
      <c r="J4600">
        <v>0.70945074611743963</v>
      </c>
      <c r="K4600">
        <v>0</v>
      </c>
      <c r="L4600">
        <v>0</v>
      </c>
      <c r="M4600">
        <v>0.52020642474460133</v>
      </c>
      <c r="N4600">
        <v>0</v>
      </c>
      <c r="O4600">
        <v>0</v>
      </c>
      <c r="P4600">
        <v>0.64408523564434439</v>
      </c>
      <c r="Q4600">
        <v>1.4131252087212589</v>
      </c>
      <c r="R4600">
        <v>3.79872275373436</v>
      </c>
      <c r="S4600">
        <v>0.2030714923236201</v>
      </c>
      <c r="T4600">
        <v>0.1566287588046037</v>
      </c>
      <c r="U4600">
        <v>4.2695489746201511</v>
      </c>
      <c r="V4600">
        <v>0.19332384277072681</v>
      </c>
      <c r="W4600">
        <v>9.8321300396400986</v>
      </c>
      <c r="X4600">
        <v>0.34040379332934928</v>
      </c>
      <c r="Z4600" t="s">
        <v>392</v>
      </c>
      <c r="AA4600">
        <v>161</v>
      </c>
      <c r="AB4600" t="s">
        <v>4991</v>
      </c>
      <c r="AC4600" t="str">
        <f>HYPERLINK("plots/3FT6Y578R04_015_S31P_20251219032831_M5358ACSA301811_RBGEUFRF04/dpll_52084/txpa_54238.png","plot")</f>
        <v>plot</v>
      </c>
    </row>
    <row r="4601" spans="1:29" hidden="1" x14ac:dyDescent="0.35">
      <c r="A4601" t="s">
        <v>50</v>
      </c>
      <c r="B4601">
        <v>52084</v>
      </c>
      <c r="C4601" t="s">
        <v>52</v>
      </c>
      <c r="D4601">
        <v>54239</v>
      </c>
      <c r="E4601" t="s">
        <v>259</v>
      </c>
      <c r="F4601">
        <v>11781</v>
      </c>
      <c r="G4601">
        <v>0.80439528080515055</v>
      </c>
      <c r="H4601">
        <v>0</v>
      </c>
      <c r="I4601">
        <v>0</v>
      </c>
      <c r="J4601">
        <v>0.70570953556786009</v>
      </c>
      <c r="K4601">
        <v>0</v>
      </c>
      <c r="L4601">
        <v>0</v>
      </c>
      <c r="M4601">
        <v>0.51561396119130487</v>
      </c>
      <c r="N4601">
        <v>0</v>
      </c>
      <c r="O4601">
        <v>0</v>
      </c>
      <c r="P4601">
        <v>0.64705176778159701</v>
      </c>
      <c r="Q4601">
        <v>1.412334592775875</v>
      </c>
      <c r="R4601">
        <v>3.7768112692512421</v>
      </c>
      <c r="S4601">
        <v>0.20162938934770999</v>
      </c>
      <c r="T4601">
        <v>0.15598314275503661</v>
      </c>
      <c r="U4601">
        <v>4.2695174021729896</v>
      </c>
      <c r="V4601">
        <v>0.19330748901132719</v>
      </c>
      <c r="W4601">
        <v>9.8067983907987433</v>
      </c>
      <c r="X4601">
        <v>0.33940384819273001</v>
      </c>
      <c r="Z4601" t="s">
        <v>392</v>
      </c>
      <c r="AA4601">
        <v>161</v>
      </c>
      <c r="AB4601" t="s">
        <v>4992</v>
      </c>
      <c r="AC4601" t="str">
        <f>HYPERLINK("plots/3FT6Y578R04_015_S31P_20251219032831_M5358ACSA301811_RBGEUFRF04/dpll_52084/txpa_54239.png","plot")</f>
        <v>plot</v>
      </c>
    </row>
    <row r="4602" spans="1:29" hidden="1" x14ac:dyDescent="0.35">
      <c r="A4602" t="s">
        <v>50</v>
      </c>
      <c r="B4602">
        <v>52084</v>
      </c>
      <c r="C4602" t="s">
        <v>52</v>
      </c>
      <c r="D4602">
        <v>54240</v>
      </c>
      <c r="E4602" t="s">
        <v>260</v>
      </c>
      <c r="F4602">
        <v>11781</v>
      </c>
      <c r="G4602">
        <v>0.80748619094991925</v>
      </c>
      <c r="H4602">
        <v>0</v>
      </c>
      <c r="I4602">
        <v>0</v>
      </c>
      <c r="J4602">
        <v>0.71551392575698947</v>
      </c>
      <c r="K4602">
        <v>0</v>
      </c>
      <c r="L4602">
        <v>0</v>
      </c>
      <c r="M4602">
        <v>0.52550759432902439</v>
      </c>
      <c r="N4602">
        <v>0</v>
      </c>
      <c r="O4602">
        <v>0</v>
      </c>
      <c r="P4602">
        <v>0.65203394857480945</v>
      </c>
      <c r="Q4602">
        <v>1.426523453671015</v>
      </c>
      <c r="R4602">
        <v>3.73134269466293</v>
      </c>
      <c r="S4602">
        <v>0.2014309992837639</v>
      </c>
      <c r="T4602">
        <v>0.1561239568459819</v>
      </c>
      <c r="U4602">
        <v>4.2695129435531793</v>
      </c>
      <c r="V4602">
        <v>0.1933002831720991</v>
      </c>
      <c r="W4602">
        <v>9.8219030443935136</v>
      </c>
      <c r="X4602">
        <v>0.34148867266926453</v>
      </c>
      <c r="Z4602" t="s">
        <v>392</v>
      </c>
      <c r="AA4602">
        <v>161</v>
      </c>
      <c r="AB4602" t="s">
        <v>4993</v>
      </c>
      <c r="AC4602" t="str">
        <f>HYPERLINK("plots/3FT6Y578R04_015_S31P_20251219032831_M5358ACSA301811_RBGEUFRF04/dpll_52084/txpa_54240.png","plot")</f>
        <v>plot</v>
      </c>
    </row>
    <row r="4603" spans="1:29" hidden="1" x14ac:dyDescent="0.35">
      <c r="A4603" t="s">
        <v>50</v>
      </c>
      <c r="B4603">
        <v>52084</v>
      </c>
      <c r="C4603" t="s">
        <v>52</v>
      </c>
      <c r="D4603">
        <v>54241</v>
      </c>
      <c r="E4603" t="s">
        <v>261</v>
      </c>
      <c r="F4603">
        <v>11782</v>
      </c>
      <c r="G4603">
        <v>0.80486831699068195</v>
      </c>
      <c r="H4603">
        <v>0</v>
      </c>
      <c r="I4603">
        <v>0</v>
      </c>
      <c r="J4603">
        <v>0.70689931090865521</v>
      </c>
      <c r="K4603">
        <v>0</v>
      </c>
      <c r="L4603">
        <v>0</v>
      </c>
      <c r="M4603">
        <v>0.51738273126398404</v>
      </c>
      <c r="N4603">
        <v>0</v>
      </c>
      <c r="O4603">
        <v>0</v>
      </c>
      <c r="P4603">
        <v>0.64781300769541283</v>
      </c>
      <c r="Q4603">
        <v>1.410160702302327</v>
      </c>
      <c r="R4603">
        <v>3.8063846633544571</v>
      </c>
      <c r="S4603">
        <v>0.20099378245865221</v>
      </c>
      <c r="T4603">
        <v>0.15598868327277129</v>
      </c>
      <c r="U4603">
        <v>4.2695416864708866</v>
      </c>
      <c r="V4603">
        <v>0.1933172563537221</v>
      </c>
      <c r="W4603">
        <v>9.8271245664573073</v>
      </c>
      <c r="X4603">
        <v>0.33869937756548563</v>
      </c>
      <c r="Z4603" t="s">
        <v>392</v>
      </c>
      <c r="AA4603">
        <v>161</v>
      </c>
      <c r="AB4603" t="s">
        <v>4994</v>
      </c>
      <c r="AC4603" t="str">
        <f>HYPERLINK("plots/3FT6Y578R04_015_S31P_20251219032831_M5358ACSA301811_RBGEUFRF04/dpll_52084/txpa_54241.png","plot")</f>
        <v>plot</v>
      </c>
    </row>
    <row r="4604" spans="1:29" hidden="1" x14ac:dyDescent="0.35">
      <c r="A4604" t="s">
        <v>50</v>
      </c>
      <c r="B4604">
        <v>52084</v>
      </c>
      <c r="C4604" t="s">
        <v>52</v>
      </c>
      <c r="D4604">
        <v>54242</v>
      </c>
      <c r="E4604" t="s">
        <v>262</v>
      </c>
      <c r="F4604">
        <v>11781</v>
      </c>
      <c r="G4604">
        <v>0.79825359065420498</v>
      </c>
      <c r="H4604">
        <v>0</v>
      </c>
      <c r="I4604">
        <v>0</v>
      </c>
      <c r="J4604">
        <v>0.70132344423162096</v>
      </c>
      <c r="K4604">
        <v>0</v>
      </c>
      <c r="L4604">
        <v>0</v>
      </c>
      <c r="M4604">
        <v>0.51347507203010412</v>
      </c>
      <c r="N4604">
        <v>0</v>
      </c>
      <c r="O4604">
        <v>0</v>
      </c>
      <c r="P4604">
        <v>0.63720879499233107</v>
      </c>
      <c r="Q4604">
        <v>1.4006670087957609</v>
      </c>
      <c r="R4604">
        <v>3.823129549564825</v>
      </c>
      <c r="S4604">
        <v>0.20429654715501541</v>
      </c>
      <c r="T4604">
        <v>0.1566498020870134</v>
      </c>
      <c r="U4604">
        <v>4.2695633024361257</v>
      </c>
      <c r="V4604">
        <v>0.19331122175495491</v>
      </c>
      <c r="W4604">
        <v>9.8033660092521853</v>
      </c>
      <c r="X4604">
        <v>0.33919628287580011</v>
      </c>
      <c r="Z4604" t="s">
        <v>392</v>
      </c>
      <c r="AA4604">
        <v>161</v>
      </c>
      <c r="AB4604" t="s">
        <v>4995</v>
      </c>
      <c r="AC4604" t="str">
        <f>HYPERLINK("plots/3FT6Y578R04_015_S31P_20251219032831_M5358ACSA301811_RBGEUFRF04/dpll_52084/txpa_54242.png","plot")</f>
        <v>plot</v>
      </c>
    </row>
    <row r="4605" spans="1:29" hidden="1" x14ac:dyDescent="0.35">
      <c r="A4605" t="s">
        <v>50</v>
      </c>
      <c r="B4605">
        <v>52084</v>
      </c>
      <c r="C4605" t="s">
        <v>52</v>
      </c>
      <c r="D4605">
        <v>54243</v>
      </c>
      <c r="E4605" t="s">
        <v>263</v>
      </c>
      <c r="F4605">
        <v>11782</v>
      </c>
      <c r="G4605">
        <v>0.78626649361869394</v>
      </c>
      <c r="H4605">
        <v>0</v>
      </c>
      <c r="I4605">
        <v>0</v>
      </c>
      <c r="J4605">
        <v>0.70019427191430605</v>
      </c>
      <c r="K4605">
        <v>0</v>
      </c>
      <c r="L4605">
        <v>0</v>
      </c>
      <c r="M4605">
        <v>0.50968783746505042</v>
      </c>
      <c r="N4605">
        <v>0</v>
      </c>
      <c r="O4605">
        <v>0</v>
      </c>
      <c r="P4605">
        <v>0.6182149989874357</v>
      </c>
      <c r="Q4605">
        <v>1.4348763990925479</v>
      </c>
      <c r="R4605">
        <v>5.2287883555152579</v>
      </c>
      <c r="S4605">
        <v>0.21797482938487511</v>
      </c>
      <c r="T4605">
        <v>0.163802950978676</v>
      </c>
      <c r="U4605">
        <v>4.2695416864708866</v>
      </c>
      <c r="V4605">
        <v>0.1933172563537221</v>
      </c>
      <c r="W4605">
        <v>11.355052956374131</v>
      </c>
      <c r="X4605">
        <v>0.35278925266501371</v>
      </c>
      <c r="Z4605" t="s">
        <v>392</v>
      </c>
      <c r="AA4605">
        <v>161</v>
      </c>
      <c r="AB4605" t="s">
        <v>4996</v>
      </c>
      <c r="AC4605" t="str">
        <f>HYPERLINK("plots/3FT6Y578R04_015_S31P_20251219032831_M5358ACSA301811_RBGEUFRF04/dpll_52084/txpa_54243.png","plot")</f>
        <v>plot</v>
      </c>
    </row>
    <row r="4606" spans="1:29" hidden="1" x14ac:dyDescent="0.35">
      <c r="A4606" t="s">
        <v>50</v>
      </c>
      <c r="B4606">
        <v>52084</v>
      </c>
      <c r="C4606" t="s">
        <v>52</v>
      </c>
      <c r="D4606">
        <v>54244</v>
      </c>
      <c r="E4606" t="s">
        <v>264</v>
      </c>
      <c r="F4606">
        <v>11782</v>
      </c>
      <c r="G4606">
        <v>0.80198307076301756</v>
      </c>
      <c r="H4606">
        <v>0</v>
      </c>
      <c r="I4606">
        <v>0</v>
      </c>
      <c r="J4606">
        <v>0.7110019364989989</v>
      </c>
      <c r="K4606">
        <v>0</v>
      </c>
      <c r="L4606">
        <v>0</v>
      </c>
      <c r="M4606">
        <v>0.52205541813713896</v>
      </c>
      <c r="N4606">
        <v>0</v>
      </c>
      <c r="O4606">
        <v>0</v>
      </c>
      <c r="P4606">
        <v>0.64317684579047918</v>
      </c>
      <c r="Q4606">
        <v>1.467062027775339</v>
      </c>
      <c r="R4606">
        <v>5.1218726573465672</v>
      </c>
      <c r="S4606">
        <v>0.21123310410962379</v>
      </c>
      <c r="T4606">
        <v>0.16143967041744939</v>
      </c>
      <c r="U4606">
        <v>4.2695416864708866</v>
      </c>
      <c r="V4606">
        <v>0.1933172563537221</v>
      </c>
      <c r="W4606">
        <v>11.38555514157189</v>
      </c>
      <c r="X4606">
        <v>0.35363390631229619</v>
      </c>
      <c r="Z4606" t="s">
        <v>392</v>
      </c>
      <c r="AA4606">
        <v>161</v>
      </c>
      <c r="AB4606" t="s">
        <v>4997</v>
      </c>
      <c r="AC4606" t="str">
        <f>HYPERLINK("plots/3FT6Y578R04_015_S31P_20251219032831_M5358ACSA301811_RBGEUFRF04/dpll_52084/txpa_54244.png","plot")</f>
        <v>plot</v>
      </c>
    </row>
    <row r="4607" spans="1:29" hidden="1" x14ac:dyDescent="0.35">
      <c r="A4607" t="s">
        <v>50</v>
      </c>
      <c r="B4607">
        <v>52084</v>
      </c>
      <c r="C4607" t="s">
        <v>52</v>
      </c>
      <c r="D4607">
        <v>54245</v>
      </c>
      <c r="E4607" t="s">
        <v>265</v>
      </c>
      <c r="F4607">
        <v>11782</v>
      </c>
      <c r="G4607">
        <v>0.79697773302641384</v>
      </c>
      <c r="H4607">
        <v>0</v>
      </c>
      <c r="I4607">
        <v>0</v>
      </c>
      <c r="J4607">
        <v>0.70390992202877634</v>
      </c>
      <c r="K4607">
        <v>0</v>
      </c>
      <c r="L4607">
        <v>0</v>
      </c>
      <c r="M4607">
        <v>0.51483852462895352</v>
      </c>
      <c r="N4607">
        <v>0</v>
      </c>
      <c r="O4607">
        <v>0</v>
      </c>
      <c r="P4607">
        <v>0.63517350693992181</v>
      </c>
      <c r="Q4607">
        <v>1.4398264449105229</v>
      </c>
      <c r="R4607">
        <v>5.2495502759398027</v>
      </c>
      <c r="S4607">
        <v>0.21094019057022681</v>
      </c>
      <c r="T4607">
        <v>0.1601402242614732</v>
      </c>
      <c r="U4607">
        <v>4.2695416864708866</v>
      </c>
      <c r="V4607">
        <v>0.1933172563537221</v>
      </c>
      <c r="W4607">
        <v>11.39694930376846</v>
      </c>
      <c r="X4607">
        <v>0.34924852529902611</v>
      </c>
      <c r="Z4607" t="s">
        <v>392</v>
      </c>
      <c r="AA4607">
        <v>161</v>
      </c>
      <c r="AB4607" t="s">
        <v>4998</v>
      </c>
      <c r="AC4607" t="str">
        <f>HYPERLINK("plots/3FT6Y578R04_015_S31P_20251219032831_M5358ACSA301811_RBGEUFRF04/dpll_52084/txpa_54245.png","plot")</f>
        <v>plot</v>
      </c>
    </row>
    <row r="4608" spans="1:29" hidden="1" x14ac:dyDescent="0.35">
      <c r="A4608" t="s">
        <v>50</v>
      </c>
      <c r="B4608">
        <v>52084</v>
      </c>
      <c r="C4608" t="s">
        <v>52</v>
      </c>
      <c r="D4608">
        <v>54246</v>
      </c>
      <c r="E4608" t="s">
        <v>266</v>
      </c>
      <c r="F4608">
        <v>11781</v>
      </c>
      <c r="G4608">
        <v>0.80839376529591689</v>
      </c>
      <c r="H4608">
        <v>0</v>
      </c>
      <c r="I4608">
        <v>0</v>
      </c>
      <c r="J4608">
        <v>0.71307956433383457</v>
      </c>
      <c r="K4608">
        <v>0</v>
      </c>
      <c r="L4608">
        <v>0</v>
      </c>
      <c r="M4608">
        <v>0.52376856687973983</v>
      </c>
      <c r="N4608">
        <v>0</v>
      </c>
      <c r="O4608">
        <v>0</v>
      </c>
      <c r="P4608">
        <v>0.65350047976930992</v>
      </c>
      <c r="Q4608">
        <v>1.4693376821569979</v>
      </c>
      <c r="R4608">
        <v>5.1299733588698073</v>
      </c>
      <c r="S4608">
        <v>0.20683163562240961</v>
      </c>
      <c r="T4608">
        <v>0.15894386982690409</v>
      </c>
      <c r="U4608">
        <v>4.2695489746201511</v>
      </c>
      <c r="V4608">
        <v>0.19332384277072681</v>
      </c>
      <c r="W4608">
        <v>11.403382553093969</v>
      </c>
      <c r="X4608">
        <v>0.35138569746198212</v>
      </c>
      <c r="Z4608" t="s">
        <v>392</v>
      </c>
      <c r="AA4608">
        <v>161</v>
      </c>
      <c r="AB4608" t="s">
        <v>4999</v>
      </c>
      <c r="AC4608" t="str">
        <f>HYPERLINK("plots/3FT6Y578R04_015_S31P_20251219032831_M5358ACSA301811_RBGEUFRF04/dpll_52084/txpa_54246.png","plot")</f>
        <v>plot</v>
      </c>
    </row>
    <row r="4609" spans="1:29" hidden="1" x14ac:dyDescent="0.35">
      <c r="A4609" t="s">
        <v>50</v>
      </c>
      <c r="B4609">
        <v>52084</v>
      </c>
      <c r="C4609" t="s">
        <v>52</v>
      </c>
      <c r="D4609">
        <v>54247</v>
      </c>
      <c r="E4609" t="s">
        <v>267</v>
      </c>
      <c r="F4609">
        <v>11781</v>
      </c>
      <c r="G4609">
        <v>0.81032305220068079</v>
      </c>
      <c r="H4609">
        <v>0</v>
      </c>
      <c r="I4609">
        <v>0</v>
      </c>
      <c r="J4609">
        <v>0.70946557977345659</v>
      </c>
      <c r="K4609">
        <v>0</v>
      </c>
      <c r="L4609">
        <v>0</v>
      </c>
      <c r="M4609">
        <v>0.51928813283319397</v>
      </c>
      <c r="N4609">
        <v>0</v>
      </c>
      <c r="O4609">
        <v>0</v>
      </c>
      <c r="P4609">
        <v>0.6566234489278272</v>
      </c>
      <c r="Q4609">
        <v>1.470011564466621</v>
      </c>
      <c r="R4609">
        <v>5.1003929251939226</v>
      </c>
      <c r="S4609">
        <v>0.20548405205700651</v>
      </c>
      <c r="T4609">
        <v>0.15837900379578451</v>
      </c>
      <c r="U4609">
        <v>4.2695174021729896</v>
      </c>
      <c r="V4609">
        <v>0.19330748901132719</v>
      </c>
      <c r="W4609">
        <v>11.376632881079701</v>
      </c>
      <c r="X4609">
        <v>0.35068019300810932</v>
      </c>
      <c r="Z4609" t="s">
        <v>392</v>
      </c>
      <c r="AA4609">
        <v>161</v>
      </c>
      <c r="AB4609" t="s">
        <v>5000</v>
      </c>
      <c r="AC4609" t="str">
        <f>HYPERLINK("plots/3FT6Y578R04_015_S31P_20251219032831_M5358ACSA301811_RBGEUFRF04/dpll_52084/txpa_54247.png","plot")</f>
        <v>plot</v>
      </c>
    </row>
    <row r="4610" spans="1:29" hidden="1" x14ac:dyDescent="0.35">
      <c r="A4610" t="s">
        <v>50</v>
      </c>
      <c r="B4610">
        <v>52084</v>
      </c>
      <c r="C4610" t="s">
        <v>52</v>
      </c>
      <c r="D4610">
        <v>54248</v>
      </c>
      <c r="E4610" t="s">
        <v>268</v>
      </c>
      <c r="F4610">
        <v>11781</v>
      </c>
      <c r="G4610">
        <v>0.81306683327813445</v>
      </c>
      <c r="H4610">
        <v>0</v>
      </c>
      <c r="I4610">
        <v>0</v>
      </c>
      <c r="J4610">
        <v>0.71876421599533358</v>
      </c>
      <c r="K4610">
        <v>0</v>
      </c>
      <c r="L4610">
        <v>0</v>
      </c>
      <c r="M4610">
        <v>0.52889328261330903</v>
      </c>
      <c r="N4610">
        <v>0</v>
      </c>
      <c r="O4610">
        <v>0</v>
      </c>
      <c r="P4610">
        <v>0.66107767537693363</v>
      </c>
      <c r="Q4610">
        <v>1.4827843081029539</v>
      </c>
      <c r="R4610">
        <v>5.0629744571763231</v>
      </c>
      <c r="S4610">
        <v>0.20521820351183179</v>
      </c>
      <c r="T4610">
        <v>0.1584041659052777</v>
      </c>
      <c r="U4610">
        <v>4.2695129435531793</v>
      </c>
      <c r="V4610">
        <v>0.1933002831720991</v>
      </c>
      <c r="W4610">
        <v>11.39374125311943</v>
      </c>
      <c r="X4610">
        <v>0.35252037705662748</v>
      </c>
      <c r="Z4610" t="s">
        <v>392</v>
      </c>
      <c r="AA4610">
        <v>161</v>
      </c>
      <c r="AB4610" t="s">
        <v>5001</v>
      </c>
      <c r="AC4610" t="str">
        <f>HYPERLINK("plots/3FT6Y578R04_015_S31P_20251219032831_M5358ACSA301811_RBGEUFRF04/dpll_52084/txpa_54248.png","plot")</f>
        <v>plot</v>
      </c>
    </row>
    <row r="4611" spans="1:29" hidden="1" x14ac:dyDescent="0.35">
      <c r="A4611" t="s">
        <v>50</v>
      </c>
      <c r="B4611">
        <v>52084</v>
      </c>
      <c r="C4611" t="s">
        <v>52</v>
      </c>
      <c r="D4611">
        <v>54249</v>
      </c>
      <c r="E4611" t="s">
        <v>269</v>
      </c>
      <c r="F4611">
        <v>11782</v>
      </c>
      <c r="G4611">
        <v>0.8107629235697672</v>
      </c>
      <c r="H4611">
        <v>0</v>
      </c>
      <c r="I4611">
        <v>0</v>
      </c>
      <c r="J4611">
        <v>0.71051631238632029</v>
      </c>
      <c r="K4611">
        <v>0</v>
      </c>
      <c r="L4611">
        <v>0</v>
      </c>
      <c r="M4611">
        <v>0.52097013565070616</v>
      </c>
      <c r="N4611">
        <v>0</v>
      </c>
      <c r="O4611">
        <v>0</v>
      </c>
      <c r="P4611">
        <v>0.65733651823539618</v>
      </c>
      <c r="Q4611">
        <v>1.46708469333486</v>
      </c>
      <c r="R4611">
        <v>5.1360133060975004</v>
      </c>
      <c r="S4611">
        <v>0.20476107888992851</v>
      </c>
      <c r="T4611">
        <v>0.15819950754634279</v>
      </c>
      <c r="U4611">
        <v>4.2695416864708866</v>
      </c>
      <c r="V4611">
        <v>0.1933172563537221</v>
      </c>
      <c r="W4611">
        <v>11.39979256187404</v>
      </c>
      <c r="X4611">
        <v>0.34980976498690569</v>
      </c>
      <c r="Z4611" t="s">
        <v>392</v>
      </c>
      <c r="AA4611">
        <v>161</v>
      </c>
      <c r="AB4611" t="s">
        <v>5002</v>
      </c>
      <c r="AC4611" t="str">
        <f>HYPERLINK("plots/3FT6Y578R04_015_S31P_20251219032831_M5358ACSA301811_RBGEUFRF04/dpll_52084/txpa_54249.png","plot")</f>
        <v>plot</v>
      </c>
    </row>
    <row r="4612" spans="1:29" hidden="1" x14ac:dyDescent="0.35">
      <c r="A4612" t="s">
        <v>50</v>
      </c>
      <c r="B4612">
        <v>52084</v>
      </c>
      <c r="C4612" t="s">
        <v>52</v>
      </c>
      <c r="D4612">
        <v>54250</v>
      </c>
      <c r="E4612" t="s">
        <v>270</v>
      </c>
      <c r="F4612">
        <v>11781</v>
      </c>
      <c r="G4612">
        <v>0.8037133818314065</v>
      </c>
      <c r="H4612">
        <v>0</v>
      </c>
      <c r="I4612">
        <v>0</v>
      </c>
      <c r="J4612">
        <v>0.70425955976377952</v>
      </c>
      <c r="K4612">
        <v>0</v>
      </c>
      <c r="L4612">
        <v>0</v>
      </c>
      <c r="M4612">
        <v>0.51639203148447854</v>
      </c>
      <c r="N4612">
        <v>0</v>
      </c>
      <c r="O4612">
        <v>0</v>
      </c>
      <c r="P4612">
        <v>0.64595520013487617</v>
      </c>
      <c r="Q4612">
        <v>1.4553381708920869</v>
      </c>
      <c r="R4612">
        <v>5.1641612561756247</v>
      </c>
      <c r="S4612">
        <v>0.2082717967615573</v>
      </c>
      <c r="T4612">
        <v>0.15909843594196821</v>
      </c>
      <c r="U4612">
        <v>4.2695633024361257</v>
      </c>
      <c r="V4612">
        <v>0.19331122175495491</v>
      </c>
      <c r="W4612">
        <v>11.377819703250999</v>
      </c>
      <c r="X4612">
        <v>0.35004170173290128</v>
      </c>
      <c r="Z4612" t="s">
        <v>392</v>
      </c>
      <c r="AA4612">
        <v>161</v>
      </c>
      <c r="AB4612" t="s">
        <v>5003</v>
      </c>
      <c r="AC4612" t="str">
        <f>HYPERLINK("plots/3FT6Y578R04_015_S31P_20251219032831_M5358ACSA301811_RBGEUFRF04/dpll_52084/txpa_54250.png","plot")</f>
        <v>plot</v>
      </c>
    </row>
    <row r="4613" spans="1:29" hidden="1" x14ac:dyDescent="0.35">
      <c r="A4613" t="s">
        <v>50</v>
      </c>
      <c r="B4613">
        <v>52084</v>
      </c>
      <c r="C4613" t="s">
        <v>52</v>
      </c>
      <c r="D4613">
        <v>54251</v>
      </c>
      <c r="E4613" t="s">
        <v>271</v>
      </c>
      <c r="F4613">
        <v>11782</v>
      </c>
      <c r="G4613">
        <v>0.78834794943230502</v>
      </c>
      <c r="H4613">
        <v>0</v>
      </c>
      <c r="I4613">
        <v>0</v>
      </c>
      <c r="J4613">
        <v>0.70105892033742589</v>
      </c>
      <c r="K4613">
        <v>0</v>
      </c>
      <c r="L4613">
        <v>0</v>
      </c>
      <c r="M4613">
        <v>0.51056643478202823</v>
      </c>
      <c r="N4613">
        <v>0</v>
      </c>
      <c r="O4613">
        <v>0</v>
      </c>
      <c r="P4613">
        <v>0.62149248937412016</v>
      </c>
      <c r="Q4613">
        <v>1.4529872188161559</v>
      </c>
      <c r="R4613">
        <v>5.7100301819216526</v>
      </c>
      <c r="S4613">
        <v>0.21919633787309101</v>
      </c>
      <c r="T4613">
        <v>0.16441376908725669</v>
      </c>
      <c r="U4613">
        <v>4.2695416864708866</v>
      </c>
      <c r="V4613">
        <v>0.1933172563537221</v>
      </c>
      <c r="W4613">
        <v>11.91361968256663</v>
      </c>
      <c r="X4613">
        <v>0.35629889423931838</v>
      </c>
      <c r="Z4613" t="s">
        <v>392</v>
      </c>
      <c r="AA4613">
        <v>161</v>
      </c>
      <c r="AB4613" t="s">
        <v>5004</v>
      </c>
      <c r="AC4613" t="str">
        <f>HYPERLINK("plots/3FT6Y578R04_015_S31P_20251219032831_M5358ACSA301811_RBGEUFRF04/dpll_52084/txpa_54251.png","plot")</f>
        <v>plot</v>
      </c>
    </row>
    <row r="4614" spans="1:29" hidden="1" x14ac:dyDescent="0.35">
      <c r="A4614" t="s">
        <v>50</v>
      </c>
      <c r="B4614">
        <v>52084</v>
      </c>
      <c r="C4614" t="s">
        <v>52</v>
      </c>
      <c r="D4614">
        <v>54252</v>
      </c>
      <c r="E4614" t="s">
        <v>272</v>
      </c>
      <c r="F4614">
        <v>11782</v>
      </c>
      <c r="G4614">
        <v>0.80400135771346726</v>
      </c>
      <c r="H4614">
        <v>0</v>
      </c>
      <c r="I4614">
        <v>0</v>
      </c>
      <c r="J4614">
        <v>0.7120135308693164</v>
      </c>
      <c r="K4614">
        <v>0</v>
      </c>
      <c r="L4614">
        <v>0</v>
      </c>
      <c r="M4614">
        <v>0.52307481737050854</v>
      </c>
      <c r="N4614">
        <v>0</v>
      </c>
      <c r="O4614">
        <v>0</v>
      </c>
      <c r="P4614">
        <v>0.6464181832050987</v>
      </c>
      <c r="Q4614">
        <v>1.485923656245592</v>
      </c>
      <c r="R4614">
        <v>5.5999225737127629</v>
      </c>
      <c r="S4614">
        <v>0.2124402812873403</v>
      </c>
      <c r="T4614">
        <v>0.16207027964448409</v>
      </c>
      <c r="U4614">
        <v>4.2695416864708866</v>
      </c>
      <c r="V4614">
        <v>0.1933172563537221</v>
      </c>
      <c r="W4614">
        <v>11.94413556696656</v>
      </c>
      <c r="X4614">
        <v>0.35728134240149151</v>
      </c>
      <c r="Z4614" t="s">
        <v>392</v>
      </c>
      <c r="AA4614">
        <v>161</v>
      </c>
      <c r="AB4614" t="s">
        <v>5005</v>
      </c>
      <c r="AC4614" t="str">
        <f>HYPERLINK("plots/3FT6Y578R04_015_S31P_20251219032831_M5358ACSA301811_RBGEUFRF04/dpll_52084/txpa_54252.png","plot")</f>
        <v>plot</v>
      </c>
    </row>
    <row r="4615" spans="1:29" hidden="1" x14ac:dyDescent="0.35">
      <c r="A4615" t="s">
        <v>50</v>
      </c>
      <c r="B4615">
        <v>52084</v>
      </c>
      <c r="C4615" t="s">
        <v>52</v>
      </c>
      <c r="D4615">
        <v>54253</v>
      </c>
      <c r="E4615" t="s">
        <v>273</v>
      </c>
      <c r="F4615">
        <v>11782</v>
      </c>
      <c r="G4615">
        <v>0.79911118478172738</v>
      </c>
      <c r="H4615">
        <v>0</v>
      </c>
      <c r="I4615">
        <v>0</v>
      </c>
      <c r="J4615">
        <v>0.704903661905532</v>
      </c>
      <c r="K4615">
        <v>0</v>
      </c>
      <c r="L4615">
        <v>0</v>
      </c>
      <c r="M4615">
        <v>0.51586307733581183</v>
      </c>
      <c r="N4615">
        <v>0</v>
      </c>
      <c r="O4615">
        <v>0</v>
      </c>
      <c r="P4615">
        <v>0.63857868564325604</v>
      </c>
      <c r="Q4615">
        <v>1.4583377210103661</v>
      </c>
      <c r="R4615">
        <v>5.729513458780457</v>
      </c>
      <c r="S4615">
        <v>0.2120850090377219</v>
      </c>
      <c r="T4615">
        <v>0.16076270507460261</v>
      </c>
      <c r="U4615">
        <v>4.2695416864708866</v>
      </c>
      <c r="V4615">
        <v>0.1933172563537221</v>
      </c>
      <c r="W4615">
        <v>11.95594715158717</v>
      </c>
      <c r="X4615">
        <v>0.35279426997367003</v>
      </c>
      <c r="Z4615" t="s">
        <v>392</v>
      </c>
      <c r="AA4615">
        <v>161</v>
      </c>
      <c r="AB4615" t="s">
        <v>5006</v>
      </c>
      <c r="AC4615" t="str">
        <f>HYPERLINK("plots/3FT6Y578R04_015_S31P_20251219032831_M5358ACSA301811_RBGEUFRF04/dpll_52084/txpa_54253.png","plot")</f>
        <v>plot</v>
      </c>
    </row>
    <row r="4616" spans="1:29" hidden="1" x14ac:dyDescent="0.35">
      <c r="A4616" t="s">
        <v>50</v>
      </c>
      <c r="B4616">
        <v>52084</v>
      </c>
      <c r="C4616" t="s">
        <v>52</v>
      </c>
      <c r="D4616">
        <v>54254</v>
      </c>
      <c r="E4616" t="s">
        <v>274</v>
      </c>
      <c r="F4616">
        <v>11781</v>
      </c>
      <c r="G4616">
        <v>0.81033289829952915</v>
      </c>
      <c r="H4616">
        <v>0</v>
      </c>
      <c r="I4616">
        <v>0</v>
      </c>
      <c r="J4616">
        <v>0.71396721506042948</v>
      </c>
      <c r="K4616">
        <v>0</v>
      </c>
      <c r="L4616">
        <v>0</v>
      </c>
      <c r="M4616">
        <v>0.5246796695140391</v>
      </c>
      <c r="N4616">
        <v>0</v>
      </c>
      <c r="O4616">
        <v>0</v>
      </c>
      <c r="P4616">
        <v>0.65663940606651505</v>
      </c>
      <c r="Q4616">
        <v>1.488185578973457</v>
      </c>
      <c r="R4616">
        <v>5.6082055447402546</v>
      </c>
      <c r="S4616">
        <v>0.20803472492511821</v>
      </c>
      <c r="T4616">
        <v>0.15959002644214049</v>
      </c>
      <c r="U4616">
        <v>4.2695489746201511</v>
      </c>
      <c r="V4616">
        <v>0.19332384277072681</v>
      </c>
      <c r="W4616">
        <v>11.962086757490869</v>
      </c>
      <c r="X4616">
        <v>0.3550414348064424</v>
      </c>
      <c r="Z4616" t="s">
        <v>392</v>
      </c>
      <c r="AA4616">
        <v>161</v>
      </c>
      <c r="AB4616" t="s">
        <v>5007</v>
      </c>
      <c r="AC4616" t="str">
        <f>HYPERLINK("plots/3FT6Y578R04_015_S31P_20251219032831_M5358ACSA301811_RBGEUFRF04/dpll_52084/txpa_54254.png","plot")</f>
        <v>plot</v>
      </c>
    </row>
    <row r="4617" spans="1:29" hidden="1" x14ac:dyDescent="0.35">
      <c r="A4617" t="s">
        <v>50</v>
      </c>
      <c r="B4617">
        <v>52084</v>
      </c>
      <c r="C4617" t="s">
        <v>52</v>
      </c>
      <c r="D4617">
        <v>54255</v>
      </c>
      <c r="E4617" t="s">
        <v>275</v>
      </c>
      <c r="F4617">
        <v>11781</v>
      </c>
      <c r="G4617">
        <v>0.81212801657367739</v>
      </c>
      <c r="H4617">
        <v>0</v>
      </c>
      <c r="I4617">
        <v>0</v>
      </c>
      <c r="J4617">
        <v>0.71017768731150877</v>
      </c>
      <c r="K4617">
        <v>0</v>
      </c>
      <c r="L4617">
        <v>0</v>
      </c>
      <c r="M4617">
        <v>0.52008132801608242</v>
      </c>
      <c r="N4617">
        <v>0</v>
      </c>
      <c r="O4617">
        <v>0</v>
      </c>
      <c r="P4617">
        <v>0.65955191530389523</v>
      </c>
      <c r="Q4617">
        <v>1.488852222865739</v>
      </c>
      <c r="R4617">
        <v>5.5777651979041059</v>
      </c>
      <c r="S4617">
        <v>0.20676774679681001</v>
      </c>
      <c r="T4617">
        <v>0.15908561924704909</v>
      </c>
      <c r="U4617">
        <v>4.2695174021729896</v>
      </c>
      <c r="V4617">
        <v>0.19330748901132719</v>
      </c>
      <c r="W4617">
        <v>11.93444567269332</v>
      </c>
      <c r="X4617">
        <v>0.35438536639253942</v>
      </c>
      <c r="Z4617" t="s">
        <v>392</v>
      </c>
      <c r="AA4617">
        <v>161</v>
      </c>
      <c r="AB4617" t="s">
        <v>5008</v>
      </c>
      <c r="AC4617" t="str">
        <f>HYPERLINK("plots/3FT6Y578R04_015_S31P_20251219032831_M5358ACSA301811_RBGEUFRF04/dpll_52084/txpa_54255.png","plot")</f>
        <v>plot</v>
      </c>
    </row>
    <row r="4618" spans="1:29" hidden="1" x14ac:dyDescent="0.35">
      <c r="A4618" t="s">
        <v>50</v>
      </c>
      <c r="B4618">
        <v>52084</v>
      </c>
      <c r="C4618" t="s">
        <v>52</v>
      </c>
      <c r="D4618">
        <v>54256</v>
      </c>
      <c r="E4618" t="s">
        <v>276</v>
      </c>
      <c r="F4618">
        <v>11781</v>
      </c>
      <c r="G4618">
        <v>0.81501010678070551</v>
      </c>
      <c r="H4618">
        <v>0</v>
      </c>
      <c r="I4618">
        <v>0</v>
      </c>
      <c r="J4618">
        <v>0.71962789823610174</v>
      </c>
      <c r="K4618">
        <v>0</v>
      </c>
      <c r="L4618">
        <v>0</v>
      </c>
      <c r="M4618">
        <v>0.5298836140930282</v>
      </c>
      <c r="N4618">
        <v>0</v>
      </c>
      <c r="O4618">
        <v>0</v>
      </c>
      <c r="P4618">
        <v>0.66424147415469703</v>
      </c>
      <c r="Q4618">
        <v>1.5018237010819251</v>
      </c>
      <c r="R4618">
        <v>5.5400661019076152</v>
      </c>
      <c r="S4618">
        <v>0.206387571892931</v>
      </c>
      <c r="T4618">
        <v>0.15901964216147721</v>
      </c>
      <c r="U4618">
        <v>4.2695129435531793</v>
      </c>
      <c r="V4618">
        <v>0.1933002831720991</v>
      </c>
      <c r="W4618">
        <v>11.95212183261183</v>
      </c>
      <c r="X4618">
        <v>0.35619551742788108</v>
      </c>
      <c r="Z4618" t="s">
        <v>392</v>
      </c>
      <c r="AA4618">
        <v>161</v>
      </c>
      <c r="AB4618" t="s">
        <v>5009</v>
      </c>
      <c r="AC4618" t="str">
        <f>HYPERLINK("plots/3FT6Y578R04_015_S31P_20251219032831_M5358ACSA301811_RBGEUFRF04/dpll_52084/txpa_54256.png","plot")</f>
        <v>plot</v>
      </c>
    </row>
    <row r="4619" spans="1:29" hidden="1" x14ac:dyDescent="0.35">
      <c r="A4619" t="s">
        <v>50</v>
      </c>
      <c r="B4619">
        <v>52084</v>
      </c>
      <c r="C4619" t="s">
        <v>52</v>
      </c>
      <c r="D4619">
        <v>54257</v>
      </c>
      <c r="E4619" t="s">
        <v>277</v>
      </c>
      <c r="F4619">
        <v>11782</v>
      </c>
      <c r="G4619">
        <v>0.81263700540901207</v>
      </c>
      <c r="H4619">
        <v>0</v>
      </c>
      <c r="I4619">
        <v>0</v>
      </c>
      <c r="J4619">
        <v>0.71123378455448227</v>
      </c>
      <c r="K4619">
        <v>0</v>
      </c>
      <c r="L4619">
        <v>0</v>
      </c>
      <c r="M4619">
        <v>0.52176324668480667</v>
      </c>
      <c r="N4619">
        <v>0</v>
      </c>
      <c r="O4619">
        <v>0</v>
      </c>
      <c r="P4619">
        <v>0.66037890256012666</v>
      </c>
      <c r="Q4619">
        <v>1.4858623109866771</v>
      </c>
      <c r="R4619">
        <v>5.6145749193216528</v>
      </c>
      <c r="S4619">
        <v>0.20598305448706231</v>
      </c>
      <c r="T4619">
        <v>0.15883784566865719</v>
      </c>
      <c r="U4619">
        <v>4.2695416864708866</v>
      </c>
      <c r="V4619">
        <v>0.1933172563537221</v>
      </c>
      <c r="W4619">
        <v>11.95852599643524</v>
      </c>
      <c r="X4619">
        <v>0.35347002827513591</v>
      </c>
      <c r="Z4619" t="s">
        <v>392</v>
      </c>
      <c r="AA4619">
        <v>161</v>
      </c>
      <c r="AB4619" t="s">
        <v>5010</v>
      </c>
      <c r="AC4619" t="str">
        <f>HYPERLINK("plots/3FT6Y578R04_015_S31P_20251219032831_M5358ACSA301811_RBGEUFRF04/dpll_52084/txpa_54257.png","plot")</f>
        <v>plot</v>
      </c>
    </row>
    <row r="4620" spans="1:29" hidden="1" x14ac:dyDescent="0.35">
      <c r="A4620" t="s">
        <v>50</v>
      </c>
      <c r="B4620">
        <v>52084</v>
      </c>
      <c r="C4620" t="s">
        <v>52</v>
      </c>
      <c r="D4620">
        <v>54258</v>
      </c>
      <c r="E4620" t="s">
        <v>278</v>
      </c>
      <c r="F4620">
        <v>11781</v>
      </c>
      <c r="G4620">
        <v>0.80537634742684783</v>
      </c>
      <c r="H4620">
        <v>0</v>
      </c>
      <c r="I4620">
        <v>0</v>
      </c>
      <c r="J4620">
        <v>0.70468385483931184</v>
      </c>
      <c r="K4620">
        <v>0</v>
      </c>
      <c r="L4620">
        <v>0</v>
      </c>
      <c r="M4620">
        <v>0.51692598288627423</v>
      </c>
      <c r="N4620">
        <v>0</v>
      </c>
      <c r="O4620">
        <v>0</v>
      </c>
      <c r="P4620">
        <v>0.64863106099461065</v>
      </c>
      <c r="Q4620">
        <v>1.4733609170606861</v>
      </c>
      <c r="R4620">
        <v>5.6464012634059682</v>
      </c>
      <c r="S4620">
        <v>0.2096189740002713</v>
      </c>
      <c r="T4620">
        <v>0.15984907452966399</v>
      </c>
      <c r="U4620">
        <v>4.2695633024361257</v>
      </c>
      <c r="V4620">
        <v>0.19331122175495491</v>
      </c>
      <c r="W4620">
        <v>11.937008966131909</v>
      </c>
      <c r="X4620">
        <v>0.35364485171806193</v>
      </c>
      <c r="Z4620" t="s">
        <v>392</v>
      </c>
      <c r="AA4620">
        <v>161</v>
      </c>
      <c r="AB4620" t="s">
        <v>5011</v>
      </c>
      <c r="AC4620" t="str">
        <f>HYPERLINK("plots/3FT6Y578R04_015_S31P_20251219032831_M5358ACSA301811_RBGEUFRF04/dpll_52084/txpa_54258.png","plot")</f>
        <v>plot</v>
      </c>
    </row>
    <row r="4621" spans="1:29" hidden="1" x14ac:dyDescent="0.35">
      <c r="A4621" t="s">
        <v>50</v>
      </c>
      <c r="B4621">
        <v>52084</v>
      </c>
      <c r="C4621" t="s">
        <v>52</v>
      </c>
      <c r="D4621">
        <v>55146</v>
      </c>
      <c r="E4621" t="s">
        <v>279</v>
      </c>
      <c r="F4621">
        <v>11782</v>
      </c>
      <c r="G4621">
        <v>-1.0914001926545481E-2</v>
      </c>
      <c r="H4621">
        <v>0.23618787286930129</v>
      </c>
      <c r="I4621">
        <v>0.23688872709146541</v>
      </c>
      <c r="J4621">
        <v>-1.077953112392164E-2</v>
      </c>
      <c r="K4621">
        <v>0.24201175152989499</v>
      </c>
      <c r="L4621">
        <v>0.24249003562382759</v>
      </c>
      <c r="M4621">
        <v>-7.158457798201092E-3</v>
      </c>
      <c r="N4621">
        <v>0.2438859844218341</v>
      </c>
      <c r="O4621">
        <v>0.24436797253333969</v>
      </c>
      <c r="P4621">
        <v>1.191154380526385E-4</v>
      </c>
      <c r="Q4621">
        <v>-0.25668564352883322</v>
      </c>
      <c r="R4621">
        <v>-10.242932759182651</v>
      </c>
      <c r="S4621">
        <v>4.5461512184560249</v>
      </c>
      <c r="T4621">
        <v>3.4905835022038079</v>
      </c>
      <c r="U4621">
        <v>4.2695416864708866</v>
      </c>
      <c r="V4621">
        <v>0.1933172563537221</v>
      </c>
      <c r="W4621">
        <v>-11.33886281454761</v>
      </c>
      <c r="X4621">
        <v>4.5466149526409234</v>
      </c>
      <c r="Z4621" t="s">
        <v>392</v>
      </c>
      <c r="AA4621">
        <v>161</v>
      </c>
      <c r="AB4621" t="s">
        <v>5012</v>
      </c>
      <c r="AC4621" t="str">
        <f>HYPERLINK("plots/3FT6Y578R04_015_S31P_20251219032831_M5358ACSA301811_RBGEUFRF04/dpll_52084/txpa_55146.png","plot")</f>
        <v>plot</v>
      </c>
    </row>
    <row r="4622" spans="1:29" hidden="1" x14ac:dyDescent="0.35">
      <c r="A4622" t="s">
        <v>50</v>
      </c>
      <c r="B4622">
        <v>52084</v>
      </c>
      <c r="C4622" t="s">
        <v>52</v>
      </c>
      <c r="D4622">
        <v>55147</v>
      </c>
      <c r="E4622" t="s">
        <v>280</v>
      </c>
      <c r="F4622">
        <v>11782</v>
      </c>
      <c r="G4622">
        <v>0.24693549438515219</v>
      </c>
      <c r="H4622">
        <v>3.4341990352504939E-163</v>
      </c>
      <c r="I4622">
        <v>3.4615087691292259E-163</v>
      </c>
      <c r="J4622">
        <v>0.22394353333359091</v>
      </c>
      <c r="K4622">
        <v>7.9750256060318431E-134</v>
      </c>
      <c r="L4622">
        <v>8.030462725438222E-134</v>
      </c>
      <c r="M4622">
        <v>0.15111959222979979</v>
      </c>
      <c r="N4622">
        <v>1.879552776630601E-132</v>
      </c>
      <c r="O4622">
        <v>1.892618188186126E-132</v>
      </c>
      <c r="P4622">
        <v>6.0977138387239532E-2</v>
      </c>
      <c r="Q4622">
        <v>1.474982263862171</v>
      </c>
      <c r="R4622">
        <v>-28.473825444507</v>
      </c>
      <c r="S4622">
        <v>1.1189058717293821</v>
      </c>
      <c r="T4622">
        <v>0.90941907211895501</v>
      </c>
      <c r="U4622">
        <v>4.2695416864708866</v>
      </c>
      <c r="V4622">
        <v>0.1933172563537221</v>
      </c>
      <c r="W4622">
        <v>-22.176327182142249</v>
      </c>
      <c r="X4622">
        <v>1.154712590550051</v>
      </c>
      <c r="Z4622" t="s">
        <v>392</v>
      </c>
      <c r="AA4622">
        <v>161</v>
      </c>
      <c r="AB4622" t="s">
        <v>5013</v>
      </c>
      <c r="AC4622" t="str">
        <f>HYPERLINK("plots/3FT6Y578R04_015_S31P_20251219032831_M5358ACSA301811_RBGEUFRF04/dpll_52084/txpa_55147.png","plot")</f>
        <v>plot</v>
      </c>
    </row>
    <row r="4623" spans="1:29" hidden="1" x14ac:dyDescent="0.35">
      <c r="A4623" t="s">
        <v>50</v>
      </c>
      <c r="B4623">
        <v>52084</v>
      </c>
      <c r="C4623" t="s">
        <v>52</v>
      </c>
      <c r="D4623">
        <v>55148</v>
      </c>
      <c r="E4623" t="s">
        <v>281</v>
      </c>
      <c r="F4623">
        <v>11782</v>
      </c>
      <c r="G4623">
        <v>0.28100774302627418</v>
      </c>
      <c r="H4623">
        <v>1.006152427057223E-212</v>
      </c>
      <c r="I4623">
        <v>1.0463985241395121E-212</v>
      </c>
      <c r="J4623">
        <v>0.25671819298833171</v>
      </c>
      <c r="K4623">
        <v>1.1528076058990731E-176</v>
      </c>
      <c r="L4623">
        <v>1.2026202802280461E-176</v>
      </c>
      <c r="M4623">
        <v>0.1735107966366346</v>
      </c>
      <c r="N4623">
        <v>2.8011598278686761E-174</v>
      </c>
      <c r="O4623">
        <v>2.9221975982086798E-174</v>
      </c>
      <c r="P4623">
        <v>7.8965351640720549E-2</v>
      </c>
      <c r="Q4623">
        <v>1.6727703250131001</v>
      </c>
      <c r="R4623">
        <v>-29.21511331862926</v>
      </c>
      <c r="S4623">
        <v>1.1043537350644379</v>
      </c>
      <c r="T4623">
        <v>0.89306330084997099</v>
      </c>
      <c r="U4623">
        <v>4.2695416864708866</v>
      </c>
      <c r="V4623">
        <v>0.1933172563537221</v>
      </c>
      <c r="W4623">
        <v>-22.073150684094379</v>
      </c>
      <c r="X4623">
        <v>1.150770317781673</v>
      </c>
      <c r="Z4623" t="s">
        <v>392</v>
      </c>
      <c r="AA4623">
        <v>161</v>
      </c>
      <c r="AB4623" t="s">
        <v>5014</v>
      </c>
      <c r="AC4623" t="str">
        <f>HYPERLINK("plots/3FT6Y578R04_015_S31P_20251219032831_M5358ACSA301811_RBGEUFRF04/dpll_52084/txpa_55148.png","plot")</f>
        <v>plot</v>
      </c>
    </row>
    <row r="4624" spans="1:29" hidden="1" x14ac:dyDescent="0.35">
      <c r="A4624" t="s">
        <v>50</v>
      </c>
      <c r="B4624">
        <v>52084</v>
      </c>
      <c r="C4624" t="s">
        <v>52</v>
      </c>
      <c r="D4624">
        <v>55149</v>
      </c>
      <c r="E4624" t="s">
        <v>282</v>
      </c>
      <c r="F4624">
        <v>11782</v>
      </c>
      <c r="G4624">
        <v>0.25605853295767461</v>
      </c>
      <c r="H4624">
        <v>9.7502190198231638E-176</v>
      </c>
      <c r="I4624">
        <v>9.8768452408598267E-176</v>
      </c>
      <c r="J4624">
        <v>0.23119578157714091</v>
      </c>
      <c r="K4624">
        <v>9.6221086743943206E-143</v>
      </c>
      <c r="L4624">
        <v>9.7470711247111288E-143</v>
      </c>
      <c r="M4624">
        <v>0.1557270096132036</v>
      </c>
      <c r="N4624">
        <v>6.5639512914122739E-141</v>
      </c>
      <c r="O4624">
        <v>6.6293292923227551E-141</v>
      </c>
      <c r="P4624">
        <v>6.5565972300436509E-2</v>
      </c>
      <c r="Q4624">
        <v>1.525722921794302</v>
      </c>
      <c r="R4624">
        <v>-28.556586055749388</v>
      </c>
      <c r="S4624">
        <v>1.113430034448702</v>
      </c>
      <c r="T4624">
        <v>0.89821456121871468</v>
      </c>
      <c r="U4624">
        <v>4.2695416864708866</v>
      </c>
      <c r="V4624">
        <v>0.1933172563537221</v>
      </c>
      <c r="W4624">
        <v>-22.042448439144462</v>
      </c>
      <c r="X4624">
        <v>1.151879477674008</v>
      </c>
      <c r="Z4624" t="s">
        <v>392</v>
      </c>
      <c r="AA4624">
        <v>161</v>
      </c>
      <c r="AB4624" t="s">
        <v>5015</v>
      </c>
      <c r="AC4624" t="str">
        <f>HYPERLINK("plots/3FT6Y578R04_015_S31P_20251219032831_M5358ACSA301811_RBGEUFRF04/dpll_52084/txpa_55149.png","plot")</f>
        <v>plot</v>
      </c>
    </row>
    <row r="4625" spans="1:29" hidden="1" x14ac:dyDescent="0.35">
      <c r="A4625" t="s">
        <v>50</v>
      </c>
      <c r="B4625">
        <v>52084</v>
      </c>
      <c r="C4625" t="s">
        <v>52</v>
      </c>
      <c r="D4625">
        <v>55150</v>
      </c>
      <c r="E4625" t="s">
        <v>283</v>
      </c>
      <c r="F4625">
        <v>11782</v>
      </c>
      <c r="G4625">
        <v>0.27585383836189847</v>
      </c>
      <c r="H4625">
        <v>9.3151688845866177E-205</v>
      </c>
      <c r="I4625">
        <v>9.6481933084482423E-205</v>
      </c>
      <c r="J4625">
        <v>0.25046410874505731</v>
      </c>
      <c r="K4625">
        <v>5.5468795225659819E-168</v>
      </c>
      <c r="L4625">
        <v>5.7159917031320178E-168</v>
      </c>
      <c r="M4625">
        <v>0.16953250450714691</v>
      </c>
      <c r="N4625">
        <v>1.075688878954116E-166</v>
      </c>
      <c r="O4625">
        <v>1.108484271605156E-166</v>
      </c>
      <c r="P4625">
        <v>7.609534013899244E-2</v>
      </c>
      <c r="Q4625">
        <v>1.643924136096679</v>
      </c>
      <c r="R4625">
        <v>-28.99893348570027</v>
      </c>
      <c r="S4625">
        <v>1.10730818687261</v>
      </c>
      <c r="T4625">
        <v>0.88854672395032908</v>
      </c>
      <c r="U4625">
        <v>4.2695416864708866</v>
      </c>
      <c r="V4625">
        <v>0.1933172563537221</v>
      </c>
      <c r="W4625">
        <v>-21.98013085723986</v>
      </c>
      <c r="X4625">
        <v>1.1520553983626129</v>
      </c>
      <c r="Z4625" t="s">
        <v>392</v>
      </c>
      <c r="AA4625">
        <v>161</v>
      </c>
      <c r="AB4625" t="s">
        <v>5016</v>
      </c>
      <c r="AC4625" t="str">
        <f>HYPERLINK("plots/3FT6Y578R04_015_S31P_20251219032831_M5358ACSA301811_RBGEUFRF04/dpll_52084/txpa_55150.png","plot")</f>
        <v>plot</v>
      </c>
    </row>
    <row r="4626" spans="1:29" hidden="1" x14ac:dyDescent="0.35">
      <c r="A4626" t="s">
        <v>50</v>
      </c>
      <c r="B4626">
        <v>52084</v>
      </c>
      <c r="C4626" t="s">
        <v>52</v>
      </c>
      <c r="D4626">
        <v>55151</v>
      </c>
      <c r="E4626" t="s">
        <v>284</v>
      </c>
      <c r="F4626">
        <v>11782</v>
      </c>
      <c r="G4626">
        <v>0.26570453547711409</v>
      </c>
      <c r="H4626">
        <v>1.4395201396797309E-189</v>
      </c>
      <c r="I4626">
        <v>1.46553556389081E-189</v>
      </c>
      <c r="J4626">
        <v>0.23867997755393441</v>
      </c>
      <c r="K4626">
        <v>2.8070447683174662E-152</v>
      </c>
      <c r="L4626">
        <v>2.8577744930460951E-152</v>
      </c>
      <c r="M4626">
        <v>0.16081877059223901</v>
      </c>
      <c r="N4626">
        <v>4.6885679388279451E-150</v>
      </c>
      <c r="O4626">
        <v>4.7733010943489321E-150</v>
      </c>
      <c r="P4626">
        <v>7.0598900173109005E-2</v>
      </c>
      <c r="Q4626">
        <v>1.599840177579936</v>
      </c>
      <c r="R4626">
        <v>-28.87259547907918</v>
      </c>
      <c r="S4626">
        <v>1.12209961707658</v>
      </c>
      <c r="T4626">
        <v>0.90335983309571743</v>
      </c>
      <c r="U4626">
        <v>4.2695416864708866</v>
      </c>
      <c r="V4626">
        <v>0.1933172563537221</v>
      </c>
      <c r="W4626">
        <v>-22.042011149210659</v>
      </c>
      <c r="X4626">
        <v>1.163987333444835</v>
      </c>
      <c r="Z4626" t="s">
        <v>392</v>
      </c>
      <c r="AA4626">
        <v>161</v>
      </c>
      <c r="AB4626" t="s">
        <v>5017</v>
      </c>
      <c r="AC4626" t="str">
        <f>HYPERLINK("plots/3FT6Y578R04_015_S31P_20251219032831_M5358ACSA301811_RBGEUFRF04/dpll_52084/txpa_55151.png","plot")</f>
        <v>plot</v>
      </c>
    </row>
    <row r="4627" spans="1:29" hidden="1" x14ac:dyDescent="0.35">
      <c r="A4627" t="s">
        <v>50</v>
      </c>
      <c r="B4627">
        <v>52084</v>
      </c>
      <c r="C4627" t="s">
        <v>52</v>
      </c>
      <c r="D4627">
        <v>55152</v>
      </c>
      <c r="E4627" t="s">
        <v>285</v>
      </c>
      <c r="F4627">
        <v>11782</v>
      </c>
      <c r="G4627">
        <v>0.26904056330807719</v>
      </c>
      <c r="H4627">
        <v>1.7305761259217591E-194</v>
      </c>
      <c r="I4627">
        <v>1.7725294865501649E-194</v>
      </c>
      <c r="J4627">
        <v>0.24432571914121001</v>
      </c>
      <c r="K4627">
        <v>1.072916237401E-159</v>
      </c>
      <c r="L4627">
        <v>1.102266529609538E-159</v>
      </c>
      <c r="M4627">
        <v>0.16531490392447101</v>
      </c>
      <c r="N4627">
        <v>1.640550480478541E-158</v>
      </c>
      <c r="O4627">
        <v>1.6854287610995351E-158</v>
      </c>
      <c r="P4627">
        <v>7.2382824705127524E-2</v>
      </c>
      <c r="Q4627">
        <v>1.609462635578639</v>
      </c>
      <c r="R4627">
        <v>-28.92988459864895</v>
      </c>
      <c r="S4627">
        <v>1.1137807753420981</v>
      </c>
      <c r="T4627">
        <v>0.90293742067768368</v>
      </c>
      <c r="U4627">
        <v>4.2695416864708866</v>
      </c>
      <c r="V4627">
        <v>0.1933172563537221</v>
      </c>
      <c r="W4627">
        <v>-22.058216783228652</v>
      </c>
      <c r="X4627">
        <v>1.1564683670306291</v>
      </c>
      <c r="Z4627" t="s">
        <v>392</v>
      </c>
      <c r="AA4627">
        <v>161</v>
      </c>
      <c r="AB4627" t="s">
        <v>5018</v>
      </c>
      <c r="AC4627" t="str">
        <f>HYPERLINK("plots/3FT6Y578R04_015_S31P_20251219032831_M5358ACSA301811_RBGEUFRF04/dpll_52084/txpa_55152.png","plot")</f>
        <v>plot</v>
      </c>
    </row>
    <row r="4628" spans="1:29" hidden="1" x14ac:dyDescent="0.35">
      <c r="A4628" t="s">
        <v>50</v>
      </c>
      <c r="B4628">
        <v>52084</v>
      </c>
      <c r="C4628" t="s">
        <v>52</v>
      </c>
      <c r="D4628">
        <v>55153</v>
      </c>
      <c r="E4628" t="s">
        <v>286</v>
      </c>
      <c r="F4628">
        <v>11782</v>
      </c>
      <c r="G4628">
        <v>0.26620846241930879</v>
      </c>
      <c r="H4628">
        <v>2.6275334328533329E-190</v>
      </c>
      <c r="I4628">
        <v>2.6831006051493251E-190</v>
      </c>
      <c r="J4628">
        <v>0.24089638479655981</v>
      </c>
      <c r="K4628">
        <v>3.6256191917448429E-155</v>
      </c>
      <c r="L4628">
        <v>3.702293917854251E-155</v>
      </c>
      <c r="M4628">
        <v>0.1626724277074503</v>
      </c>
      <c r="N4628">
        <v>1.9343164492201251E-153</v>
      </c>
      <c r="O4628">
        <v>1.9752234436145081E-153</v>
      </c>
      <c r="P4628">
        <v>7.0866945463652575E-2</v>
      </c>
      <c r="Q4628">
        <v>1.5791541555795989</v>
      </c>
      <c r="R4628">
        <v>-28.820697949335329</v>
      </c>
      <c r="S4628">
        <v>1.1053347338452251</v>
      </c>
      <c r="T4628">
        <v>0.89015524018255376</v>
      </c>
      <c r="U4628">
        <v>4.2695416864708866</v>
      </c>
      <c r="V4628">
        <v>0.1933172563537221</v>
      </c>
      <c r="W4628">
        <v>-22.0784334527245</v>
      </c>
      <c r="X4628">
        <v>1.1467619997570899</v>
      </c>
      <c r="Z4628" t="s">
        <v>392</v>
      </c>
      <c r="AA4628">
        <v>161</v>
      </c>
      <c r="AB4628" t="s">
        <v>5019</v>
      </c>
      <c r="AC4628" t="str">
        <f>HYPERLINK("plots/3FT6Y578R04_015_S31P_20251219032831_M5358ACSA301811_RBGEUFRF04/dpll_52084/txpa_55153.png","plot")</f>
        <v>plot</v>
      </c>
    </row>
    <row r="4629" spans="1:29" hidden="1" x14ac:dyDescent="0.35">
      <c r="A4629" t="s">
        <v>50</v>
      </c>
      <c r="B4629">
        <v>52084</v>
      </c>
      <c r="C4629" t="s">
        <v>52</v>
      </c>
      <c r="D4629">
        <v>55154</v>
      </c>
      <c r="E4629" t="s">
        <v>287</v>
      </c>
      <c r="F4629">
        <v>11782</v>
      </c>
      <c r="G4629">
        <v>0.25159585634349102</v>
      </c>
      <c r="H4629">
        <v>1.5519515286274499E-169</v>
      </c>
      <c r="I4629">
        <v>1.5674092131755321E-169</v>
      </c>
      <c r="J4629">
        <v>0.2311531192225123</v>
      </c>
      <c r="K4629">
        <v>1.0880654453674341E-142</v>
      </c>
      <c r="L4629">
        <v>1.1010961692640501E-142</v>
      </c>
      <c r="M4629">
        <v>0.15638055041287571</v>
      </c>
      <c r="N4629">
        <v>1.505221689861887E-141</v>
      </c>
      <c r="O4629">
        <v>1.526294793519954E-141</v>
      </c>
      <c r="P4629">
        <v>6.3300474929214548E-2</v>
      </c>
      <c r="Q4629">
        <v>1.5157009427779271</v>
      </c>
      <c r="R4629">
        <v>-28.671452870532239</v>
      </c>
      <c r="S4629">
        <v>1.1270998140739139</v>
      </c>
      <c r="T4629">
        <v>0.91271632007228398</v>
      </c>
      <c r="U4629">
        <v>4.2695416864708866</v>
      </c>
      <c r="V4629">
        <v>0.1933172563537221</v>
      </c>
      <c r="W4629">
        <v>-22.20010451111866</v>
      </c>
      <c r="X4629">
        <v>1.1646103873449549</v>
      </c>
      <c r="Z4629" t="s">
        <v>392</v>
      </c>
      <c r="AA4629">
        <v>161</v>
      </c>
      <c r="AB4629" t="s">
        <v>5020</v>
      </c>
      <c r="AC4629" t="str">
        <f>HYPERLINK("plots/3FT6Y578R04_015_S31P_20251219032831_M5358ACSA301811_RBGEUFRF04/dpll_52084/txpa_55154.png","plot")</f>
        <v>plot</v>
      </c>
    </row>
    <row r="4630" spans="1:29" hidden="1" x14ac:dyDescent="0.35">
      <c r="A4630" t="s">
        <v>50</v>
      </c>
      <c r="B4630">
        <v>52084</v>
      </c>
      <c r="C4630" t="s">
        <v>52</v>
      </c>
      <c r="D4630">
        <v>55155</v>
      </c>
      <c r="E4630" t="s">
        <v>288</v>
      </c>
      <c r="F4630">
        <v>11782</v>
      </c>
      <c r="G4630">
        <v>0.58987187272245822</v>
      </c>
      <c r="H4630">
        <v>0</v>
      </c>
      <c r="I4630">
        <v>0</v>
      </c>
      <c r="J4630">
        <v>0.51815822976532089</v>
      </c>
      <c r="K4630">
        <v>0</v>
      </c>
      <c r="L4630">
        <v>0</v>
      </c>
      <c r="M4630">
        <v>0.36258615195221727</v>
      </c>
      <c r="N4630">
        <v>0</v>
      </c>
      <c r="O4630">
        <v>0</v>
      </c>
      <c r="P4630">
        <v>0.34794882622910001</v>
      </c>
      <c r="Q4630">
        <v>0.93922901122235547</v>
      </c>
      <c r="R4630">
        <v>-15.44100886283065</v>
      </c>
      <c r="S4630">
        <v>0.2485460370847464</v>
      </c>
      <c r="T4630">
        <v>0.19222626749283389</v>
      </c>
      <c r="U4630">
        <v>4.2695416864708866</v>
      </c>
      <c r="V4630">
        <v>0.1933172563537221</v>
      </c>
      <c r="W4630">
        <v>-11.430931446273981</v>
      </c>
      <c r="X4630">
        <v>0.30781121110135651</v>
      </c>
      <c r="Z4630" t="s">
        <v>392</v>
      </c>
      <c r="AA4630">
        <v>161</v>
      </c>
      <c r="AB4630" t="s">
        <v>5021</v>
      </c>
      <c r="AC4630" t="str">
        <f>HYPERLINK("plots/3FT6Y578R04_015_S31P_20251219032831_M5358ACSA301811_RBGEUFRF04/dpll_52084/txpa_55155.png","plot")</f>
        <v>plot</v>
      </c>
    </row>
    <row r="4631" spans="1:29" hidden="1" x14ac:dyDescent="0.35">
      <c r="A4631" t="s">
        <v>50</v>
      </c>
      <c r="B4631">
        <v>52084</v>
      </c>
      <c r="C4631" t="s">
        <v>52</v>
      </c>
      <c r="D4631">
        <v>55156</v>
      </c>
      <c r="E4631" t="s">
        <v>289</v>
      </c>
      <c r="F4631">
        <v>11782</v>
      </c>
      <c r="G4631">
        <v>0.61503470281932815</v>
      </c>
      <c r="H4631">
        <v>0</v>
      </c>
      <c r="I4631">
        <v>0</v>
      </c>
      <c r="J4631">
        <v>0.53841395620754651</v>
      </c>
      <c r="K4631">
        <v>0</v>
      </c>
      <c r="L4631">
        <v>0</v>
      </c>
      <c r="M4631">
        <v>0.37909689518043749</v>
      </c>
      <c r="N4631">
        <v>0</v>
      </c>
      <c r="O4631">
        <v>0</v>
      </c>
      <c r="P4631">
        <v>0.37826768567205932</v>
      </c>
      <c r="Q4631">
        <v>0.98786819301292794</v>
      </c>
      <c r="R4631">
        <v>-15.58723503681653</v>
      </c>
      <c r="S4631">
        <v>0.24482360747761489</v>
      </c>
      <c r="T4631">
        <v>0.1907746166547164</v>
      </c>
      <c r="U4631">
        <v>4.2695416864708866</v>
      </c>
      <c r="V4631">
        <v>0.1933172563537221</v>
      </c>
      <c r="W4631">
        <v>-11.369490606009171</v>
      </c>
      <c r="X4631">
        <v>0.31050600533100031</v>
      </c>
      <c r="Z4631" t="s">
        <v>392</v>
      </c>
      <c r="AA4631">
        <v>161</v>
      </c>
      <c r="AB4631" t="s">
        <v>5022</v>
      </c>
      <c r="AC4631" t="str">
        <f>HYPERLINK("plots/3FT6Y578R04_015_S31P_20251219032831_M5358ACSA301811_RBGEUFRF04/dpll_52084/txpa_55156.png","plot")</f>
        <v>plot</v>
      </c>
    </row>
    <row r="4632" spans="1:29" hidden="1" x14ac:dyDescent="0.35">
      <c r="A4632" t="s">
        <v>50</v>
      </c>
      <c r="B4632">
        <v>52084</v>
      </c>
      <c r="C4632" t="s">
        <v>52</v>
      </c>
      <c r="D4632">
        <v>55157</v>
      </c>
      <c r="E4632" t="s">
        <v>290</v>
      </c>
      <c r="F4632">
        <v>11782</v>
      </c>
      <c r="G4632">
        <v>0.61498607879436573</v>
      </c>
      <c r="H4632">
        <v>0</v>
      </c>
      <c r="I4632">
        <v>0</v>
      </c>
      <c r="J4632">
        <v>0.53386103562534371</v>
      </c>
      <c r="K4632">
        <v>0</v>
      </c>
      <c r="L4632">
        <v>0</v>
      </c>
      <c r="M4632">
        <v>0.37603708556071758</v>
      </c>
      <c r="N4632">
        <v>0</v>
      </c>
      <c r="O4632">
        <v>0</v>
      </c>
      <c r="P4632">
        <v>0.37820787711086978</v>
      </c>
      <c r="Q4632">
        <v>0.96694413145573377</v>
      </c>
      <c r="R4632">
        <v>-15.473597513012789</v>
      </c>
      <c r="S4632">
        <v>0.23966846621823881</v>
      </c>
      <c r="T4632">
        <v>0.1872787962776078</v>
      </c>
      <c r="U4632">
        <v>4.2695416864708866</v>
      </c>
      <c r="V4632">
        <v>0.1933172563537221</v>
      </c>
      <c r="W4632">
        <v>-11.34518923527415</v>
      </c>
      <c r="X4632">
        <v>0.3039531998948849</v>
      </c>
      <c r="Z4632" t="s">
        <v>392</v>
      </c>
      <c r="AA4632">
        <v>161</v>
      </c>
      <c r="AB4632" t="s">
        <v>5023</v>
      </c>
      <c r="AC4632" t="str">
        <f>HYPERLINK("plots/3FT6Y578R04_015_S31P_20251219032831_M5358ACSA301811_RBGEUFRF04/dpll_52084/txpa_55157.png","plot")</f>
        <v>plot</v>
      </c>
    </row>
    <row r="4633" spans="1:29" hidden="1" x14ac:dyDescent="0.35">
      <c r="A4633" t="s">
        <v>50</v>
      </c>
      <c r="B4633">
        <v>52084</v>
      </c>
      <c r="C4633" t="s">
        <v>52</v>
      </c>
      <c r="D4633">
        <v>55158</v>
      </c>
      <c r="E4633" t="s">
        <v>291</v>
      </c>
      <c r="F4633">
        <v>11781</v>
      </c>
      <c r="G4633">
        <v>0.62551447820025741</v>
      </c>
      <c r="H4633">
        <v>0</v>
      </c>
      <c r="I4633">
        <v>0</v>
      </c>
      <c r="J4633">
        <v>0.54181283718559192</v>
      </c>
      <c r="K4633">
        <v>0</v>
      </c>
      <c r="L4633">
        <v>0</v>
      </c>
      <c r="M4633">
        <v>0.3818060443227092</v>
      </c>
      <c r="N4633">
        <v>0</v>
      </c>
      <c r="O4633">
        <v>0</v>
      </c>
      <c r="P4633">
        <v>0.39126836243814028</v>
      </c>
      <c r="Q4633">
        <v>1.0028506881936221</v>
      </c>
      <c r="R4633">
        <v>-15.594407692706341</v>
      </c>
      <c r="S4633">
        <v>0.24181254833641369</v>
      </c>
      <c r="T4633">
        <v>0.18875400869271161</v>
      </c>
      <c r="U4633">
        <v>4.2695489746201511</v>
      </c>
      <c r="V4633">
        <v>0.19332384277072681</v>
      </c>
      <c r="W4633">
        <v>-11.312687565232149</v>
      </c>
      <c r="X4633">
        <v>0.30994478229293693</v>
      </c>
      <c r="Z4633" t="s">
        <v>392</v>
      </c>
      <c r="AA4633">
        <v>161</v>
      </c>
      <c r="AB4633" t="s">
        <v>5024</v>
      </c>
      <c r="AC4633" t="str">
        <f>HYPERLINK("plots/3FT6Y578R04_015_S31P_20251219032831_M5358ACSA301811_RBGEUFRF04/dpll_52084/txpa_55158.png","plot")</f>
        <v>plot</v>
      </c>
    </row>
    <row r="4634" spans="1:29" hidden="1" x14ac:dyDescent="0.35">
      <c r="A4634" t="s">
        <v>50</v>
      </c>
      <c r="B4634">
        <v>52084</v>
      </c>
      <c r="C4634" t="s">
        <v>52</v>
      </c>
      <c r="D4634">
        <v>55159</v>
      </c>
      <c r="E4634" t="s">
        <v>292</v>
      </c>
      <c r="F4634">
        <v>11781</v>
      </c>
      <c r="G4634">
        <v>0.63094110915766677</v>
      </c>
      <c r="H4634">
        <v>0</v>
      </c>
      <c r="I4634">
        <v>0</v>
      </c>
      <c r="J4634">
        <v>0.54397260752119547</v>
      </c>
      <c r="K4634">
        <v>0</v>
      </c>
      <c r="L4634">
        <v>0</v>
      </c>
      <c r="M4634">
        <v>0.38310863824297231</v>
      </c>
      <c r="N4634">
        <v>0</v>
      </c>
      <c r="O4634">
        <v>0</v>
      </c>
      <c r="P4634">
        <v>0.39808668322510682</v>
      </c>
      <c r="Q4634">
        <v>1.01042059506138</v>
      </c>
      <c r="R4634">
        <v>-15.645807098612041</v>
      </c>
      <c r="S4634">
        <v>0.24016548160762649</v>
      </c>
      <c r="T4634">
        <v>0.18876180098299519</v>
      </c>
      <c r="U4634">
        <v>4.2695174021729896</v>
      </c>
      <c r="V4634">
        <v>0.19330748901132719</v>
      </c>
      <c r="W4634">
        <v>-11.331798784483491</v>
      </c>
      <c r="X4634">
        <v>0.3095722647354669</v>
      </c>
      <c r="Z4634" t="s">
        <v>392</v>
      </c>
      <c r="AA4634">
        <v>161</v>
      </c>
      <c r="AB4634" t="s">
        <v>5025</v>
      </c>
      <c r="AC4634" t="str">
        <f>HYPERLINK("plots/3FT6Y578R04_015_S31P_20251219032831_M5358ACSA301811_RBGEUFRF04/dpll_52084/txpa_55159.png","plot")</f>
        <v>plot</v>
      </c>
    </row>
    <row r="4635" spans="1:29" hidden="1" x14ac:dyDescent="0.35">
      <c r="A4635" t="s">
        <v>50</v>
      </c>
      <c r="B4635">
        <v>52084</v>
      </c>
      <c r="C4635" t="s">
        <v>52</v>
      </c>
      <c r="D4635">
        <v>55160</v>
      </c>
      <c r="E4635" t="s">
        <v>293</v>
      </c>
      <c r="F4635">
        <v>11782</v>
      </c>
      <c r="G4635">
        <v>0.63043981884492895</v>
      </c>
      <c r="H4635">
        <v>0</v>
      </c>
      <c r="I4635">
        <v>0</v>
      </c>
      <c r="J4635">
        <v>0.54582615851797311</v>
      </c>
      <c r="K4635">
        <v>0</v>
      </c>
      <c r="L4635">
        <v>0</v>
      </c>
      <c r="M4635">
        <v>0.38600141843119701</v>
      </c>
      <c r="N4635">
        <v>0</v>
      </c>
      <c r="O4635">
        <v>0</v>
      </c>
      <c r="P4635">
        <v>0.39745436518522681</v>
      </c>
      <c r="Q4635">
        <v>0.99758226051182086</v>
      </c>
      <c r="R4635">
        <v>-15.604162863778329</v>
      </c>
      <c r="S4635">
        <v>0.23743910468231691</v>
      </c>
      <c r="T4635">
        <v>0.1858638167872019</v>
      </c>
      <c r="U4635">
        <v>4.2695416864708866</v>
      </c>
      <c r="V4635">
        <v>0.1933172563537221</v>
      </c>
      <c r="W4635">
        <v>-11.344943816839249</v>
      </c>
      <c r="X4635">
        <v>0.30589734313200978</v>
      </c>
      <c r="Z4635" t="s">
        <v>392</v>
      </c>
      <c r="AA4635">
        <v>161</v>
      </c>
      <c r="AB4635" t="s">
        <v>5026</v>
      </c>
      <c r="AC4635" t="str">
        <f>HYPERLINK("plots/3FT6Y578R04_015_S31P_20251219032831_M5358ACSA301811_RBGEUFRF04/dpll_52084/txpa_55160.png","plot")</f>
        <v>plot</v>
      </c>
    </row>
    <row r="4636" spans="1:29" hidden="1" x14ac:dyDescent="0.35">
      <c r="A4636" t="s">
        <v>50</v>
      </c>
      <c r="B4636">
        <v>52084</v>
      </c>
      <c r="C4636" t="s">
        <v>52</v>
      </c>
      <c r="D4636">
        <v>55161</v>
      </c>
      <c r="E4636" t="s">
        <v>294</v>
      </c>
      <c r="F4636">
        <v>11781</v>
      </c>
      <c r="G4636">
        <v>0.62454503461625555</v>
      </c>
      <c r="H4636">
        <v>0</v>
      </c>
      <c r="I4636">
        <v>0</v>
      </c>
      <c r="J4636">
        <v>0.53946401442229086</v>
      </c>
      <c r="K4636">
        <v>0</v>
      </c>
      <c r="L4636">
        <v>0</v>
      </c>
      <c r="M4636">
        <v>0.38002218395609622</v>
      </c>
      <c r="N4636">
        <v>0</v>
      </c>
      <c r="O4636">
        <v>0</v>
      </c>
      <c r="P4636">
        <v>0.39005650026381983</v>
      </c>
      <c r="Q4636">
        <v>0.98843256205835794</v>
      </c>
      <c r="R4636">
        <v>-15.560941552966449</v>
      </c>
      <c r="S4636">
        <v>0.23890411271440529</v>
      </c>
      <c r="T4636">
        <v>0.1872123331376388</v>
      </c>
      <c r="U4636">
        <v>4.2695748012053301</v>
      </c>
      <c r="V4636">
        <v>0.19329204068952621</v>
      </c>
      <c r="W4636">
        <v>-11.34075479331127</v>
      </c>
      <c r="X4636">
        <v>0.30591252257994322</v>
      </c>
      <c r="Z4636" t="s">
        <v>392</v>
      </c>
      <c r="AA4636">
        <v>161</v>
      </c>
      <c r="AB4636" t="s">
        <v>5027</v>
      </c>
      <c r="AC4636" t="str">
        <f>HYPERLINK("plots/3FT6Y578R04_015_S31P_20251219032831_M5358ACSA301811_RBGEUFRF04/dpll_52084/txpa_55161.png","plot")</f>
        <v>plot</v>
      </c>
    </row>
    <row r="4637" spans="1:29" hidden="1" x14ac:dyDescent="0.35">
      <c r="A4637" t="s">
        <v>50</v>
      </c>
      <c r="B4637">
        <v>52084</v>
      </c>
      <c r="C4637" t="s">
        <v>52</v>
      </c>
      <c r="D4637">
        <v>55162</v>
      </c>
      <c r="E4637" t="s">
        <v>295</v>
      </c>
      <c r="F4637">
        <v>11781</v>
      </c>
      <c r="G4637">
        <v>0.61011843084528838</v>
      </c>
      <c r="H4637">
        <v>0</v>
      </c>
      <c r="I4637">
        <v>0</v>
      </c>
      <c r="J4637">
        <v>0.52495489113854976</v>
      </c>
      <c r="K4637">
        <v>0</v>
      </c>
      <c r="L4637">
        <v>0</v>
      </c>
      <c r="M4637">
        <v>0.36951188866742712</v>
      </c>
      <c r="N4637">
        <v>0</v>
      </c>
      <c r="O4637">
        <v>0</v>
      </c>
      <c r="P4637">
        <v>0.37224449965711692</v>
      </c>
      <c r="Q4637">
        <v>0.96659178661447376</v>
      </c>
      <c r="R4637">
        <v>-15.53488135736186</v>
      </c>
      <c r="S4637">
        <v>0.2426402540777097</v>
      </c>
      <c r="T4637">
        <v>0.18967058047683549</v>
      </c>
      <c r="U4637">
        <v>4.2695633024361257</v>
      </c>
      <c r="V4637">
        <v>0.19331122175495491</v>
      </c>
      <c r="W4637">
        <v>-11.407956536796529</v>
      </c>
      <c r="X4637">
        <v>0.30625699825175418</v>
      </c>
      <c r="Z4637" t="s">
        <v>392</v>
      </c>
      <c r="AA4637">
        <v>161</v>
      </c>
      <c r="AB4637" t="s">
        <v>5028</v>
      </c>
      <c r="AC4637" t="str">
        <f>HYPERLINK("plots/3FT6Y578R04_015_S31P_20251219032831_M5358ACSA301811_RBGEUFRF04/dpll_52084/txpa_55162.png","plot")</f>
        <v>plot</v>
      </c>
    </row>
    <row r="4638" spans="1:29" hidden="1" x14ac:dyDescent="0.35">
      <c r="A4638" t="s">
        <v>50</v>
      </c>
      <c r="B4638">
        <v>52084</v>
      </c>
      <c r="C4638" t="s">
        <v>52</v>
      </c>
      <c r="D4638">
        <v>55163</v>
      </c>
      <c r="E4638" t="s">
        <v>296</v>
      </c>
      <c r="F4638">
        <v>11782</v>
      </c>
      <c r="G4638">
        <v>0.60339419986991771</v>
      </c>
      <c r="H4638">
        <v>0</v>
      </c>
      <c r="I4638">
        <v>0</v>
      </c>
      <c r="J4638">
        <v>0.53276132106955532</v>
      </c>
      <c r="K4638">
        <v>0</v>
      </c>
      <c r="L4638">
        <v>0</v>
      </c>
      <c r="M4638">
        <v>0.37373135748904418</v>
      </c>
      <c r="N4638">
        <v>0</v>
      </c>
      <c r="O4638">
        <v>0</v>
      </c>
      <c r="P4638">
        <v>0.36408456043665821</v>
      </c>
      <c r="Q4638">
        <v>0.84528371119402801</v>
      </c>
      <c r="R4638">
        <v>-9.0850564376958083</v>
      </c>
      <c r="S4638">
        <v>0.2159500183253231</v>
      </c>
      <c r="T4638">
        <v>0.16555867358793411</v>
      </c>
      <c r="U4638">
        <v>4.2695416864708866</v>
      </c>
      <c r="V4638">
        <v>0.1933172563537221</v>
      </c>
      <c r="W4638">
        <v>-5.4760823958580884</v>
      </c>
      <c r="X4638">
        <v>0.27081454863793802</v>
      </c>
      <c r="Z4638" t="s">
        <v>392</v>
      </c>
      <c r="AA4638">
        <v>161</v>
      </c>
      <c r="AB4638" t="s">
        <v>5029</v>
      </c>
      <c r="AC4638" t="str">
        <f>HYPERLINK("plots/3FT6Y578R04_015_S31P_20251219032831_M5358ACSA301811_RBGEUFRF04/dpll_52084/txpa_55163.png","plot")</f>
        <v>plot</v>
      </c>
    </row>
    <row r="4639" spans="1:29" hidden="1" x14ac:dyDescent="0.35">
      <c r="A4639" t="s">
        <v>50</v>
      </c>
      <c r="B4639">
        <v>52084</v>
      </c>
      <c r="C4639" t="s">
        <v>52</v>
      </c>
      <c r="D4639">
        <v>55164</v>
      </c>
      <c r="E4639" t="s">
        <v>297</v>
      </c>
      <c r="F4639">
        <v>11782</v>
      </c>
      <c r="G4639">
        <v>0.63071319624854316</v>
      </c>
      <c r="H4639">
        <v>0</v>
      </c>
      <c r="I4639">
        <v>0</v>
      </c>
      <c r="J4639">
        <v>0.55216739150204575</v>
      </c>
      <c r="K4639">
        <v>0</v>
      </c>
      <c r="L4639">
        <v>0</v>
      </c>
      <c r="M4639">
        <v>0.39045546220544991</v>
      </c>
      <c r="N4639">
        <v>0</v>
      </c>
      <c r="O4639">
        <v>0</v>
      </c>
      <c r="P4639">
        <v>0.39779913592205329</v>
      </c>
      <c r="Q4639">
        <v>0.8895702950384049</v>
      </c>
      <c r="R4639">
        <v>-9.2306486656569984</v>
      </c>
      <c r="S4639">
        <v>0.2115783536082449</v>
      </c>
      <c r="T4639">
        <v>0.1640740887280244</v>
      </c>
      <c r="U4639">
        <v>4.2695416864708866</v>
      </c>
      <c r="V4639">
        <v>0.1933172563537221</v>
      </c>
      <c r="W4639">
        <v>-5.4325912079443226</v>
      </c>
      <c r="X4639">
        <v>0.27265845996795701</v>
      </c>
      <c r="Z4639" t="s">
        <v>392</v>
      </c>
      <c r="AA4639">
        <v>161</v>
      </c>
      <c r="AB4639" t="s">
        <v>5030</v>
      </c>
      <c r="AC4639" t="str">
        <f>HYPERLINK("plots/3FT6Y578R04_015_S31P_20251219032831_M5358ACSA301811_RBGEUFRF04/dpll_52084/txpa_55164.png","plot")</f>
        <v>plot</v>
      </c>
    </row>
    <row r="4640" spans="1:29" hidden="1" x14ac:dyDescent="0.35">
      <c r="A4640" t="s">
        <v>50</v>
      </c>
      <c r="B4640">
        <v>52084</v>
      </c>
      <c r="C4640" t="s">
        <v>52</v>
      </c>
      <c r="D4640">
        <v>55165</v>
      </c>
      <c r="E4640" t="s">
        <v>298</v>
      </c>
      <c r="F4640">
        <v>11782</v>
      </c>
      <c r="G4640">
        <v>0.62119403293991116</v>
      </c>
      <c r="H4640">
        <v>0</v>
      </c>
      <c r="I4640">
        <v>0</v>
      </c>
      <c r="J4640">
        <v>0.54004254860711032</v>
      </c>
      <c r="K4640">
        <v>0</v>
      </c>
      <c r="L4640">
        <v>0</v>
      </c>
      <c r="M4640">
        <v>0.38080757416464311</v>
      </c>
      <c r="N4640">
        <v>0</v>
      </c>
      <c r="O4640">
        <v>0</v>
      </c>
      <c r="P4640">
        <v>0.38588202656015141</v>
      </c>
      <c r="Q4640">
        <v>0.85917753270769204</v>
      </c>
      <c r="R4640">
        <v>-9.0831416970841836</v>
      </c>
      <c r="S4640">
        <v>0.20952397855794</v>
      </c>
      <c r="T4640">
        <v>0.16285777228817869</v>
      </c>
      <c r="U4640">
        <v>4.2695416864708866</v>
      </c>
      <c r="V4640">
        <v>0.1933172563537221</v>
      </c>
      <c r="W4640">
        <v>-5.414847405109489</v>
      </c>
      <c r="X4640">
        <v>0.26737836253471847</v>
      </c>
      <c r="Z4640" t="s">
        <v>392</v>
      </c>
      <c r="AA4640">
        <v>161</v>
      </c>
      <c r="AB4640" t="s">
        <v>5031</v>
      </c>
      <c r="AC4640" t="str">
        <f>HYPERLINK("plots/3FT6Y578R04_015_S31P_20251219032831_M5358ACSA301811_RBGEUFRF04/dpll_52084/txpa_55165.png","plot")</f>
        <v>plot</v>
      </c>
    </row>
    <row r="4641" spans="1:29" hidden="1" x14ac:dyDescent="0.35">
      <c r="A4641" t="s">
        <v>50</v>
      </c>
      <c r="B4641">
        <v>52084</v>
      </c>
      <c r="C4641" t="s">
        <v>52</v>
      </c>
      <c r="D4641">
        <v>55166</v>
      </c>
      <c r="E4641" t="s">
        <v>299</v>
      </c>
      <c r="F4641">
        <v>11781</v>
      </c>
      <c r="G4641">
        <v>0.64071228748098852</v>
      </c>
      <c r="H4641">
        <v>0</v>
      </c>
      <c r="I4641">
        <v>0</v>
      </c>
      <c r="J4641">
        <v>0.55451475250386895</v>
      </c>
      <c r="K4641">
        <v>0</v>
      </c>
      <c r="L4641">
        <v>0</v>
      </c>
      <c r="M4641">
        <v>0.39228472621909372</v>
      </c>
      <c r="N4641">
        <v>0</v>
      </c>
      <c r="O4641">
        <v>0</v>
      </c>
      <c r="P4641">
        <v>0.4105122353291209</v>
      </c>
      <c r="Q4641">
        <v>0.89985512335692686</v>
      </c>
      <c r="R4641">
        <v>-9.2352018748926721</v>
      </c>
      <c r="S4641">
        <v>0.20845577196046189</v>
      </c>
      <c r="T4641">
        <v>0.1625382084659879</v>
      </c>
      <c r="U4641">
        <v>4.2695489746201511</v>
      </c>
      <c r="V4641">
        <v>0.19332384277072681</v>
      </c>
      <c r="W4641">
        <v>-5.3932263556574149</v>
      </c>
      <c r="X4641">
        <v>0.27151570803837499</v>
      </c>
      <c r="Z4641" t="s">
        <v>392</v>
      </c>
      <c r="AA4641">
        <v>161</v>
      </c>
      <c r="AB4641" t="s">
        <v>5032</v>
      </c>
      <c r="AC4641" t="str">
        <f>HYPERLINK("plots/3FT6Y578R04_015_S31P_20251219032831_M5358ACSA301811_RBGEUFRF04/dpll_52084/txpa_55166.png","plot")</f>
        <v>plot</v>
      </c>
    </row>
    <row r="4642" spans="1:29" hidden="1" x14ac:dyDescent="0.35">
      <c r="A4642" t="s">
        <v>50</v>
      </c>
      <c r="B4642">
        <v>52084</v>
      </c>
      <c r="C4642" t="s">
        <v>52</v>
      </c>
      <c r="D4642">
        <v>55167</v>
      </c>
      <c r="E4642" t="s">
        <v>300</v>
      </c>
      <c r="F4642">
        <v>11781</v>
      </c>
      <c r="G4642">
        <v>0.64104980055189198</v>
      </c>
      <c r="H4642">
        <v>0</v>
      </c>
      <c r="I4642">
        <v>0</v>
      </c>
      <c r="J4642">
        <v>0.55048563234375136</v>
      </c>
      <c r="K4642">
        <v>0</v>
      </c>
      <c r="L4642">
        <v>0</v>
      </c>
      <c r="M4642">
        <v>0.38808173058870032</v>
      </c>
      <c r="N4642">
        <v>0</v>
      </c>
      <c r="O4642">
        <v>0</v>
      </c>
      <c r="P4642">
        <v>0.4109448467876205</v>
      </c>
      <c r="Q4642">
        <v>0.89729681166583775</v>
      </c>
      <c r="R4642">
        <v>-9.2426331156693973</v>
      </c>
      <c r="S4642">
        <v>0.2076598719142442</v>
      </c>
      <c r="T4642">
        <v>0.1624530161345904</v>
      </c>
      <c r="U4642">
        <v>4.2695174021729896</v>
      </c>
      <c r="V4642">
        <v>0.19330748901132719</v>
      </c>
      <c r="W4642">
        <v>-5.411608763347763</v>
      </c>
      <c r="X4642">
        <v>0.27057834416555909</v>
      </c>
      <c r="Z4642" t="s">
        <v>392</v>
      </c>
      <c r="AA4642">
        <v>161</v>
      </c>
      <c r="AB4642" t="s">
        <v>5033</v>
      </c>
      <c r="AC4642" t="str">
        <f>HYPERLINK("plots/3FT6Y578R04_015_S31P_20251219032831_M5358ACSA301811_RBGEUFRF04/dpll_52084/txpa_55167.png","plot")</f>
        <v>plot</v>
      </c>
    </row>
    <row r="4643" spans="1:29" hidden="1" x14ac:dyDescent="0.35">
      <c r="A4643" t="s">
        <v>50</v>
      </c>
      <c r="B4643">
        <v>52084</v>
      </c>
      <c r="C4643" t="s">
        <v>52</v>
      </c>
      <c r="D4643">
        <v>55168</v>
      </c>
      <c r="E4643" t="s">
        <v>301</v>
      </c>
      <c r="F4643">
        <v>11782</v>
      </c>
      <c r="G4643">
        <v>0.64533026596304033</v>
      </c>
      <c r="H4643">
        <v>0</v>
      </c>
      <c r="I4643">
        <v>0</v>
      </c>
      <c r="J4643">
        <v>0.56300046497642109</v>
      </c>
      <c r="K4643">
        <v>0</v>
      </c>
      <c r="L4643">
        <v>0</v>
      </c>
      <c r="M4643">
        <v>0.39904662386452439</v>
      </c>
      <c r="N4643">
        <v>0</v>
      </c>
      <c r="O4643">
        <v>0</v>
      </c>
      <c r="P4643">
        <v>0.41645115216792838</v>
      </c>
      <c r="Q4643">
        <v>0.90426837974268204</v>
      </c>
      <c r="R4643">
        <v>-9.2753590260938203</v>
      </c>
      <c r="S4643">
        <v>0.2069217345926746</v>
      </c>
      <c r="T4643">
        <v>0.16164538846398391</v>
      </c>
      <c r="U4643">
        <v>4.2695416864708866</v>
      </c>
      <c r="V4643">
        <v>0.1933172563537221</v>
      </c>
      <c r="W4643">
        <v>-5.4145474830249531</v>
      </c>
      <c r="X4643">
        <v>0.27088560912048221</v>
      </c>
      <c r="Z4643" t="s">
        <v>392</v>
      </c>
      <c r="AA4643">
        <v>161</v>
      </c>
      <c r="AB4643" t="s">
        <v>5034</v>
      </c>
      <c r="AC4643" t="str">
        <f>HYPERLINK("plots/3FT6Y578R04_015_S31P_20251219032831_M5358ACSA301811_RBGEUFRF04/dpll_52084/txpa_55168.png","plot")</f>
        <v>plot</v>
      </c>
    </row>
    <row r="4644" spans="1:29" hidden="1" x14ac:dyDescent="0.35">
      <c r="A4644" t="s">
        <v>50</v>
      </c>
      <c r="B4644">
        <v>52084</v>
      </c>
      <c r="C4644" t="s">
        <v>52</v>
      </c>
      <c r="D4644">
        <v>55169</v>
      </c>
      <c r="E4644" t="s">
        <v>302</v>
      </c>
      <c r="F4644">
        <v>11782</v>
      </c>
      <c r="G4644">
        <v>0.64113086373107298</v>
      </c>
      <c r="H4644">
        <v>0</v>
      </c>
      <c r="I4644">
        <v>0</v>
      </c>
      <c r="J4644">
        <v>0.55302280221113642</v>
      </c>
      <c r="K4644">
        <v>0</v>
      </c>
      <c r="L4644">
        <v>0</v>
      </c>
      <c r="M4644">
        <v>0.39016738426646458</v>
      </c>
      <c r="N4644">
        <v>0</v>
      </c>
      <c r="O4644">
        <v>0</v>
      </c>
      <c r="P4644">
        <v>0.41104878442855158</v>
      </c>
      <c r="Q4644">
        <v>0.8855249019272543</v>
      </c>
      <c r="R4644">
        <v>-9.1908142433290472</v>
      </c>
      <c r="S4644">
        <v>0.2049018819522247</v>
      </c>
      <c r="T4644">
        <v>0.16119399201057211</v>
      </c>
      <c r="U4644">
        <v>4.2695416864708866</v>
      </c>
      <c r="V4644">
        <v>0.1933172563537221</v>
      </c>
      <c r="W4644">
        <v>-5.4100287601425903</v>
      </c>
      <c r="X4644">
        <v>0.26700827265941968</v>
      </c>
      <c r="Z4644" t="s">
        <v>392</v>
      </c>
      <c r="AA4644">
        <v>161</v>
      </c>
      <c r="AB4644" t="s">
        <v>5035</v>
      </c>
      <c r="AC4644" t="str">
        <f>HYPERLINK("plots/3FT6Y578R04_015_S31P_20251219032831_M5358ACSA301811_RBGEUFRF04/dpll_52084/txpa_55169.png","plot")</f>
        <v>plot</v>
      </c>
    </row>
    <row r="4645" spans="1:29" hidden="1" x14ac:dyDescent="0.35">
      <c r="A4645" t="s">
        <v>50</v>
      </c>
      <c r="B4645">
        <v>52084</v>
      </c>
      <c r="C4645" t="s">
        <v>52</v>
      </c>
      <c r="D4645">
        <v>55170</v>
      </c>
      <c r="E4645" t="s">
        <v>303</v>
      </c>
      <c r="F4645">
        <v>11781</v>
      </c>
      <c r="G4645">
        <v>0.62793454526903525</v>
      </c>
      <c r="H4645">
        <v>0</v>
      </c>
      <c r="I4645">
        <v>0</v>
      </c>
      <c r="J4645">
        <v>0.54135490232945627</v>
      </c>
      <c r="K4645">
        <v>0</v>
      </c>
      <c r="L4645">
        <v>0</v>
      </c>
      <c r="M4645">
        <v>0.38239613522035498</v>
      </c>
      <c r="N4645">
        <v>0</v>
      </c>
      <c r="O4645">
        <v>0</v>
      </c>
      <c r="P4645">
        <v>0.39430179314223007</v>
      </c>
      <c r="Q4645">
        <v>0.87462925666021729</v>
      </c>
      <c r="R4645">
        <v>-9.1873152421368935</v>
      </c>
      <c r="S4645">
        <v>0.2095445652071064</v>
      </c>
      <c r="T4645">
        <v>0.16311525490877499</v>
      </c>
      <c r="U4645">
        <v>4.2695633024361257</v>
      </c>
      <c r="V4645">
        <v>0.19331122175495491</v>
      </c>
      <c r="W4645">
        <v>-5.4530302646634414</v>
      </c>
      <c r="X4645">
        <v>0.26925680624112691</v>
      </c>
      <c r="Z4645" t="s">
        <v>392</v>
      </c>
      <c r="AA4645">
        <v>161</v>
      </c>
      <c r="AB4645" t="s">
        <v>5036</v>
      </c>
      <c r="AC4645" t="str">
        <f>HYPERLINK("plots/3FT6Y578R04_015_S31P_20251219032831_M5358ACSA301811_RBGEUFRF04/dpll_52084/txpa_55170.png","plot")</f>
        <v>plot</v>
      </c>
    </row>
    <row r="4646" spans="1:29" hidden="1" x14ac:dyDescent="0.35">
      <c r="A4646" t="s">
        <v>50</v>
      </c>
      <c r="B4646">
        <v>52084</v>
      </c>
      <c r="C4646" t="s">
        <v>52</v>
      </c>
      <c r="D4646">
        <v>55171</v>
      </c>
      <c r="E4646" t="s">
        <v>304</v>
      </c>
      <c r="F4646">
        <v>11782</v>
      </c>
      <c r="G4646">
        <v>0.6173597820915796</v>
      </c>
      <c r="H4646">
        <v>0</v>
      </c>
      <c r="I4646">
        <v>0</v>
      </c>
      <c r="J4646">
        <v>0.54960622764022971</v>
      </c>
      <c r="K4646">
        <v>0</v>
      </c>
      <c r="L4646">
        <v>0</v>
      </c>
      <c r="M4646">
        <v>0.38630032393363378</v>
      </c>
      <c r="N4646">
        <v>0</v>
      </c>
      <c r="O4646">
        <v>0</v>
      </c>
      <c r="P4646">
        <v>0.38113310054416272</v>
      </c>
      <c r="Q4646">
        <v>0.86490609036472854</v>
      </c>
      <c r="R4646">
        <v>-6.1121683119045764</v>
      </c>
      <c r="S4646">
        <v>0.21304995180794969</v>
      </c>
      <c r="T4646">
        <v>0.16313670812816899</v>
      </c>
      <c r="U4646">
        <v>4.2695416864708866</v>
      </c>
      <c r="V4646">
        <v>0.1933172563537221</v>
      </c>
      <c r="W4646">
        <v>-2.4194157042098121</v>
      </c>
      <c r="X4646">
        <v>0.27083279028391749</v>
      </c>
      <c r="Z4646" t="s">
        <v>392</v>
      </c>
      <c r="AA4646">
        <v>161</v>
      </c>
      <c r="AB4646" t="s">
        <v>5037</v>
      </c>
      <c r="AC4646" t="str">
        <f>HYPERLINK("plots/3FT6Y578R04_015_S31P_20251219032831_M5358ACSA301811_RBGEUFRF04/dpll_52084/txpa_55171.png","plot")</f>
        <v>plot</v>
      </c>
    </row>
    <row r="4647" spans="1:29" hidden="1" x14ac:dyDescent="0.35">
      <c r="A4647" t="s">
        <v>50</v>
      </c>
      <c r="B4647">
        <v>52084</v>
      </c>
      <c r="C4647" t="s">
        <v>52</v>
      </c>
      <c r="D4647">
        <v>55172</v>
      </c>
      <c r="E4647" t="s">
        <v>305</v>
      </c>
      <c r="F4647">
        <v>11782</v>
      </c>
      <c r="G4647">
        <v>0.64306560894838671</v>
      </c>
      <c r="H4647">
        <v>0</v>
      </c>
      <c r="I4647">
        <v>0</v>
      </c>
      <c r="J4647">
        <v>0.56715135912667602</v>
      </c>
      <c r="K4647">
        <v>0</v>
      </c>
      <c r="L4647">
        <v>0</v>
      </c>
      <c r="M4647">
        <v>0.40198124147105402</v>
      </c>
      <c r="N4647">
        <v>0</v>
      </c>
      <c r="O4647">
        <v>0</v>
      </c>
      <c r="P4647">
        <v>0.4135333774121594</v>
      </c>
      <c r="Q4647">
        <v>0.90428032869746466</v>
      </c>
      <c r="R4647">
        <v>-6.2425673817309324</v>
      </c>
      <c r="S4647">
        <v>0.20817167709648071</v>
      </c>
      <c r="T4647">
        <v>0.16135710448024579</v>
      </c>
      <c r="U4647">
        <v>4.2695416864708866</v>
      </c>
      <c r="V4647">
        <v>0.1933172563537221</v>
      </c>
      <c r="W4647">
        <v>-2.38170482210151</v>
      </c>
      <c r="X4647">
        <v>0.27184316761132621</v>
      </c>
      <c r="Z4647" t="s">
        <v>392</v>
      </c>
      <c r="AA4647">
        <v>161</v>
      </c>
      <c r="AB4647" t="s">
        <v>5038</v>
      </c>
      <c r="AC4647" t="str">
        <f>HYPERLINK("plots/3FT6Y578R04_015_S31P_20251219032831_M5358ACSA301811_RBGEUFRF04/dpll_52084/txpa_55172.png","plot")</f>
        <v>plot</v>
      </c>
    </row>
    <row r="4648" spans="1:29" hidden="1" x14ac:dyDescent="0.35">
      <c r="A4648" t="s">
        <v>50</v>
      </c>
      <c r="B4648">
        <v>52084</v>
      </c>
      <c r="C4648" t="s">
        <v>52</v>
      </c>
      <c r="D4648">
        <v>55173</v>
      </c>
      <c r="E4648" t="s">
        <v>306</v>
      </c>
      <c r="F4648">
        <v>11782</v>
      </c>
      <c r="G4648">
        <v>0.63245936702371608</v>
      </c>
      <c r="H4648">
        <v>0</v>
      </c>
      <c r="I4648">
        <v>0</v>
      </c>
      <c r="J4648">
        <v>0.55529371049476361</v>
      </c>
      <c r="K4648">
        <v>0</v>
      </c>
      <c r="L4648">
        <v>0</v>
      </c>
      <c r="M4648">
        <v>0.39251046959940938</v>
      </c>
      <c r="N4648">
        <v>0</v>
      </c>
      <c r="O4648">
        <v>0</v>
      </c>
      <c r="P4648">
        <v>0.4000048509360396</v>
      </c>
      <c r="Q4648">
        <v>0.87460323347580393</v>
      </c>
      <c r="R4648">
        <v>-6.099682043890394</v>
      </c>
      <c r="S4648">
        <v>0.2070639577632932</v>
      </c>
      <c r="T4648">
        <v>0.16054678334631969</v>
      </c>
      <c r="U4648">
        <v>4.2695416864708866</v>
      </c>
      <c r="V4648">
        <v>0.1933172563537221</v>
      </c>
      <c r="W4648">
        <v>-2.3655270794432188</v>
      </c>
      <c r="X4648">
        <v>0.26733084575739452</v>
      </c>
      <c r="Z4648" t="s">
        <v>392</v>
      </c>
      <c r="AA4648">
        <v>161</v>
      </c>
      <c r="AB4648" t="s">
        <v>5039</v>
      </c>
      <c r="AC4648" t="str">
        <f>HYPERLINK("plots/3FT6Y578R04_015_S31P_20251219032831_M5358ACSA301811_RBGEUFRF04/dpll_52084/txpa_55173.png","plot")</f>
        <v>plot</v>
      </c>
    </row>
    <row r="4649" spans="1:29" hidden="1" x14ac:dyDescent="0.35">
      <c r="A4649" t="s">
        <v>50</v>
      </c>
      <c r="B4649">
        <v>52084</v>
      </c>
      <c r="C4649" t="s">
        <v>52</v>
      </c>
      <c r="D4649">
        <v>55174</v>
      </c>
      <c r="E4649" t="s">
        <v>307</v>
      </c>
      <c r="F4649">
        <v>11781</v>
      </c>
      <c r="G4649">
        <v>0.65059492644179051</v>
      </c>
      <c r="H4649">
        <v>0</v>
      </c>
      <c r="I4649">
        <v>0</v>
      </c>
      <c r="J4649">
        <v>0.56788084990448073</v>
      </c>
      <c r="K4649">
        <v>0</v>
      </c>
      <c r="L4649">
        <v>0</v>
      </c>
      <c r="M4649">
        <v>0.40253306638412673</v>
      </c>
      <c r="N4649">
        <v>0</v>
      </c>
      <c r="O4649">
        <v>0</v>
      </c>
      <c r="P4649">
        <v>0.42327375831179881</v>
      </c>
      <c r="Q4649">
        <v>0.90979974778991857</v>
      </c>
      <c r="R4649">
        <v>-6.2327804957432109</v>
      </c>
      <c r="S4649">
        <v>0.2052990703193254</v>
      </c>
      <c r="T4649">
        <v>0.16012404175945319</v>
      </c>
      <c r="U4649">
        <v>4.2695489746201511</v>
      </c>
      <c r="V4649">
        <v>0.19332384277072681</v>
      </c>
      <c r="W4649">
        <v>-2.348345915457092</v>
      </c>
      <c r="X4649">
        <v>0.27034638028386432</v>
      </c>
      <c r="Z4649" t="s">
        <v>392</v>
      </c>
      <c r="AA4649">
        <v>161</v>
      </c>
      <c r="AB4649" t="s">
        <v>5040</v>
      </c>
      <c r="AC4649" t="str">
        <f>HYPERLINK("plots/3FT6Y578R04_015_S31P_20251219032831_M5358ACSA301811_RBGEUFRF04/dpll_52084/txpa_55174.png","plot")</f>
        <v>plot</v>
      </c>
    </row>
    <row r="4650" spans="1:29" hidden="1" x14ac:dyDescent="0.35">
      <c r="A4650" t="s">
        <v>50</v>
      </c>
      <c r="B4650">
        <v>52084</v>
      </c>
      <c r="C4650" t="s">
        <v>52</v>
      </c>
      <c r="D4650">
        <v>55175</v>
      </c>
      <c r="E4650" t="s">
        <v>308</v>
      </c>
      <c r="F4650">
        <v>11781</v>
      </c>
      <c r="G4650">
        <v>0.65246738919860225</v>
      </c>
      <c r="H4650">
        <v>0</v>
      </c>
      <c r="I4650">
        <v>0</v>
      </c>
      <c r="J4650">
        <v>0.56402562262337619</v>
      </c>
      <c r="K4650">
        <v>0</v>
      </c>
      <c r="L4650">
        <v>0</v>
      </c>
      <c r="M4650">
        <v>0.39841944102622318</v>
      </c>
      <c r="N4650">
        <v>0</v>
      </c>
      <c r="O4650">
        <v>0</v>
      </c>
      <c r="P4650">
        <v>0.42571369396764031</v>
      </c>
      <c r="Q4650">
        <v>0.90854483156149402</v>
      </c>
      <c r="R4650">
        <v>-6.2453438006842532</v>
      </c>
      <c r="S4650">
        <v>0.203977389329695</v>
      </c>
      <c r="T4650">
        <v>0.1594297020302422</v>
      </c>
      <c r="U4650">
        <v>4.2695174021729896</v>
      </c>
      <c r="V4650">
        <v>0.19330748901132719</v>
      </c>
      <c r="W4650">
        <v>-2.366295831678126</v>
      </c>
      <c r="X4650">
        <v>0.26917593576452697</v>
      </c>
      <c r="Z4650" t="s">
        <v>392</v>
      </c>
      <c r="AA4650">
        <v>161</v>
      </c>
      <c r="AB4650" t="s">
        <v>5041</v>
      </c>
      <c r="AC4650" t="str">
        <f>HYPERLINK("plots/3FT6Y578R04_015_S31P_20251219032831_M5358ACSA301811_RBGEUFRF04/dpll_52084/txpa_55175.png","plot")</f>
        <v>plot</v>
      </c>
    </row>
    <row r="4651" spans="1:29" hidden="1" x14ac:dyDescent="0.35">
      <c r="A4651" t="s">
        <v>50</v>
      </c>
      <c r="B4651">
        <v>52084</v>
      </c>
      <c r="C4651" t="s">
        <v>52</v>
      </c>
      <c r="D4651">
        <v>55176</v>
      </c>
      <c r="E4651" t="s">
        <v>309</v>
      </c>
      <c r="F4651">
        <v>11782</v>
      </c>
      <c r="G4651">
        <v>0.65644326802758257</v>
      </c>
      <c r="H4651">
        <v>0</v>
      </c>
      <c r="I4651">
        <v>0</v>
      </c>
      <c r="J4651">
        <v>0.57723363182610199</v>
      </c>
      <c r="K4651">
        <v>0</v>
      </c>
      <c r="L4651">
        <v>0</v>
      </c>
      <c r="M4651">
        <v>0.40997221416299812</v>
      </c>
      <c r="N4651">
        <v>0</v>
      </c>
      <c r="O4651">
        <v>0</v>
      </c>
      <c r="P4651">
        <v>0.43091776413873262</v>
      </c>
      <c r="Q4651">
        <v>0.91821161171977872</v>
      </c>
      <c r="R4651">
        <v>-6.2860357046905824</v>
      </c>
      <c r="S4651">
        <v>0.20397891991559911</v>
      </c>
      <c r="T4651">
        <v>0.159063360024637</v>
      </c>
      <c r="U4651">
        <v>4.2695416864708866</v>
      </c>
      <c r="V4651">
        <v>0.1933172563537221</v>
      </c>
      <c r="W4651">
        <v>-2.3656929514513672</v>
      </c>
      <c r="X4651">
        <v>0.27040592565317972</v>
      </c>
      <c r="Z4651" t="s">
        <v>392</v>
      </c>
      <c r="AA4651">
        <v>161</v>
      </c>
      <c r="AB4651" t="s">
        <v>5042</v>
      </c>
      <c r="AC4651" t="str">
        <f>HYPERLINK("plots/3FT6Y578R04_015_S31P_20251219032831_M5358ACSA301811_RBGEUFRF04/dpll_52084/txpa_55176.png","plot")</f>
        <v>plot</v>
      </c>
    </row>
    <row r="4652" spans="1:29" hidden="1" x14ac:dyDescent="0.35">
      <c r="A4652" t="s">
        <v>50</v>
      </c>
      <c r="B4652">
        <v>52084</v>
      </c>
      <c r="C4652" t="s">
        <v>52</v>
      </c>
      <c r="D4652">
        <v>55177</v>
      </c>
      <c r="E4652" t="s">
        <v>310</v>
      </c>
      <c r="F4652">
        <v>11782</v>
      </c>
      <c r="G4652">
        <v>0.65279940462560582</v>
      </c>
      <c r="H4652">
        <v>0</v>
      </c>
      <c r="I4652">
        <v>0</v>
      </c>
      <c r="J4652">
        <v>0.56821570193769455</v>
      </c>
      <c r="K4652">
        <v>0</v>
      </c>
      <c r="L4652">
        <v>0</v>
      </c>
      <c r="M4652">
        <v>0.40166003540307349</v>
      </c>
      <c r="N4652">
        <v>0</v>
      </c>
      <c r="O4652">
        <v>0</v>
      </c>
      <c r="P4652">
        <v>0.42614706267954539</v>
      </c>
      <c r="Q4652">
        <v>0.90018637675363189</v>
      </c>
      <c r="R4652">
        <v>-6.2032794161249951</v>
      </c>
      <c r="S4652">
        <v>0.2019320166729445</v>
      </c>
      <c r="T4652">
        <v>0.15865498196161759</v>
      </c>
      <c r="U4652">
        <v>4.2695416864708866</v>
      </c>
      <c r="V4652">
        <v>0.1933172563537221</v>
      </c>
      <c r="W4652">
        <v>-2.359896154982176</v>
      </c>
      <c r="X4652">
        <v>0.26657738859430358</v>
      </c>
      <c r="Z4652" t="s">
        <v>392</v>
      </c>
      <c r="AA4652">
        <v>161</v>
      </c>
      <c r="AB4652" t="s">
        <v>5043</v>
      </c>
      <c r="AC4652" t="str">
        <f>HYPERLINK("plots/3FT6Y578R04_015_S31P_20251219032831_M5358ACSA301811_RBGEUFRF04/dpll_52084/txpa_55177.png","plot")</f>
        <v>plot</v>
      </c>
    </row>
    <row r="4653" spans="1:29" hidden="1" x14ac:dyDescent="0.35">
      <c r="A4653" t="s">
        <v>50</v>
      </c>
      <c r="B4653">
        <v>52084</v>
      </c>
      <c r="C4653" t="s">
        <v>52</v>
      </c>
      <c r="D4653">
        <v>55178</v>
      </c>
      <c r="E4653" t="s">
        <v>311</v>
      </c>
      <c r="F4653">
        <v>11781</v>
      </c>
      <c r="G4653">
        <v>0.64022265587365645</v>
      </c>
      <c r="H4653">
        <v>0</v>
      </c>
      <c r="I4653">
        <v>0</v>
      </c>
      <c r="J4653">
        <v>0.55697392383421651</v>
      </c>
      <c r="K4653">
        <v>0</v>
      </c>
      <c r="L4653">
        <v>0</v>
      </c>
      <c r="M4653">
        <v>0.39434240607516619</v>
      </c>
      <c r="N4653">
        <v>0</v>
      </c>
      <c r="O4653">
        <v>0</v>
      </c>
      <c r="P4653">
        <v>0.40988504909391832</v>
      </c>
      <c r="Q4653">
        <v>0.89247435880213721</v>
      </c>
      <c r="R4653">
        <v>-6.2065361876493519</v>
      </c>
      <c r="S4653">
        <v>0.20700062208968159</v>
      </c>
      <c r="T4653">
        <v>0.16089303825430071</v>
      </c>
      <c r="U4653">
        <v>4.2695633024361257</v>
      </c>
      <c r="V4653">
        <v>0.19331122175495491</v>
      </c>
      <c r="W4653">
        <v>-2.396060416942535</v>
      </c>
      <c r="X4653">
        <v>0.26947704380998633</v>
      </c>
      <c r="Z4653" t="s">
        <v>392</v>
      </c>
      <c r="AA4653">
        <v>161</v>
      </c>
      <c r="AB4653" t="s">
        <v>5044</v>
      </c>
      <c r="AC4653" t="str">
        <f>HYPERLINK("plots/3FT6Y578R04_015_S31P_20251219032831_M5358ACSA301811_RBGEUFRF04/dpll_52084/txpa_55178.png","plot")</f>
        <v>plot</v>
      </c>
    </row>
    <row r="4654" spans="1:29" hidden="1" x14ac:dyDescent="0.35">
      <c r="A4654" t="s">
        <v>50</v>
      </c>
      <c r="B4654">
        <v>52084</v>
      </c>
      <c r="C4654" t="s">
        <v>52</v>
      </c>
      <c r="D4654">
        <v>55179</v>
      </c>
      <c r="E4654" t="s">
        <v>312</v>
      </c>
      <c r="F4654">
        <v>11782</v>
      </c>
      <c r="G4654">
        <v>0.65584618018813834</v>
      </c>
      <c r="H4654">
        <v>0</v>
      </c>
      <c r="I4654">
        <v>0</v>
      </c>
      <c r="J4654">
        <v>0.59286736915482041</v>
      </c>
      <c r="K4654">
        <v>0</v>
      </c>
      <c r="L4654">
        <v>0</v>
      </c>
      <c r="M4654">
        <v>0.42011265250754809</v>
      </c>
      <c r="N4654">
        <v>0</v>
      </c>
      <c r="O4654">
        <v>0</v>
      </c>
      <c r="P4654">
        <v>0.43013421206737201</v>
      </c>
      <c r="Q4654">
        <v>0.94401912355796158</v>
      </c>
      <c r="R4654">
        <v>-2.8746607092166392</v>
      </c>
      <c r="S4654">
        <v>0.21004738671816431</v>
      </c>
      <c r="T4654">
        <v>0.1602492035925768</v>
      </c>
      <c r="U4654">
        <v>4.2695416864708866</v>
      </c>
      <c r="V4654">
        <v>0.1933172563537221</v>
      </c>
      <c r="W4654">
        <v>1.15586829163979</v>
      </c>
      <c r="X4654">
        <v>0.27825912908316303</v>
      </c>
      <c r="Z4654" t="s">
        <v>392</v>
      </c>
      <c r="AA4654">
        <v>161</v>
      </c>
      <c r="AB4654" t="s">
        <v>5045</v>
      </c>
      <c r="AC4654" t="str">
        <f>HYPERLINK("plots/3FT6Y578R04_015_S31P_20251219032831_M5358ACSA301811_RBGEUFRF04/dpll_52084/txpa_55179.png","plot")</f>
        <v>plot</v>
      </c>
    </row>
    <row r="4655" spans="1:29" hidden="1" x14ac:dyDescent="0.35">
      <c r="A4655" t="s">
        <v>50</v>
      </c>
      <c r="B4655">
        <v>52084</v>
      </c>
      <c r="C4655" t="s">
        <v>52</v>
      </c>
      <c r="D4655">
        <v>55180</v>
      </c>
      <c r="E4655" t="s">
        <v>313</v>
      </c>
      <c r="F4655">
        <v>11782</v>
      </c>
      <c r="G4655">
        <v>0.68075824169996735</v>
      </c>
      <c r="H4655">
        <v>0</v>
      </c>
      <c r="I4655">
        <v>0</v>
      </c>
      <c r="J4655">
        <v>0.60948076676340279</v>
      </c>
      <c r="K4655">
        <v>0</v>
      </c>
      <c r="L4655">
        <v>0</v>
      </c>
      <c r="M4655">
        <v>0.43552679232210839</v>
      </c>
      <c r="N4655">
        <v>0</v>
      </c>
      <c r="O4655">
        <v>0</v>
      </c>
      <c r="P4655">
        <v>0.46343178364243109</v>
      </c>
      <c r="Q4655">
        <v>0.98067339697825473</v>
      </c>
      <c r="R4655">
        <v>-2.996941907956622</v>
      </c>
      <c r="S4655">
        <v>0.20398402159390649</v>
      </c>
      <c r="T4655">
        <v>0.15786942657697209</v>
      </c>
      <c r="U4655">
        <v>4.2695416864708866</v>
      </c>
      <c r="V4655">
        <v>0.1933172563537221</v>
      </c>
      <c r="W4655">
        <v>1.19008404125505</v>
      </c>
      <c r="X4655">
        <v>0.27848519323027948</v>
      </c>
      <c r="Z4655" t="s">
        <v>392</v>
      </c>
      <c r="AA4655">
        <v>161</v>
      </c>
      <c r="AB4655" t="s">
        <v>5046</v>
      </c>
      <c r="AC4655" t="str">
        <f>HYPERLINK("plots/3FT6Y578R04_015_S31P_20251219032831_M5358ACSA301811_RBGEUFRF04/dpll_52084/txpa_55180.png","plot")</f>
        <v>plot</v>
      </c>
    </row>
    <row r="4656" spans="1:29" hidden="1" x14ac:dyDescent="0.35">
      <c r="A4656" t="s">
        <v>50</v>
      </c>
      <c r="B4656">
        <v>52084</v>
      </c>
      <c r="C4656" t="s">
        <v>52</v>
      </c>
      <c r="D4656">
        <v>55181</v>
      </c>
      <c r="E4656" t="s">
        <v>314</v>
      </c>
      <c r="F4656">
        <v>11782</v>
      </c>
      <c r="G4656">
        <v>0.67012136350240581</v>
      </c>
      <c r="H4656">
        <v>0</v>
      </c>
      <c r="I4656">
        <v>0</v>
      </c>
      <c r="J4656">
        <v>0.59753798760354571</v>
      </c>
      <c r="K4656">
        <v>0</v>
      </c>
      <c r="L4656">
        <v>0</v>
      </c>
      <c r="M4656">
        <v>0.42541989061215868</v>
      </c>
      <c r="N4656">
        <v>0</v>
      </c>
      <c r="O4656">
        <v>0</v>
      </c>
      <c r="P4656">
        <v>0.44906264182232353</v>
      </c>
      <c r="Q4656">
        <v>0.95196826336032225</v>
      </c>
      <c r="R4656">
        <v>-2.8597209121307432</v>
      </c>
      <c r="S4656">
        <v>0.20383197351146909</v>
      </c>
      <c r="T4656">
        <v>0.15755671836124729</v>
      </c>
      <c r="U4656">
        <v>4.2695416864708866</v>
      </c>
      <c r="V4656">
        <v>0.1933172563537221</v>
      </c>
      <c r="W4656">
        <v>1.2047472724834489</v>
      </c>
      <c r="X4656">
        <v>0.27462472147849137</v>
      </c>
      <c r="Z4656" t="s">
        <v>392</v>
      </c>
      <c r="AA4656">
        <v>161</v>
      </c>
      <c r="AB4656" t="s">
        <v>5047</v>
      </c>
      <c r="AC4656" t="str">
        <f>HYPERLINK("plots/3FT6Y578R04_015_S31P_20251219032831_M5358ACSA301811_RBGEUFRF04/dpll_52084/txpa_55181.png","plot")</f>
        <v>plot</v>
      </c>
    </row>
    <row r="4657" spans="1:29" hidden="1" x14ac:dyDescent="0.35">
      <c r="A4657" t="s">
        <v>50</v>
      </c>
      <c r="B4657">
        <v>52084</v>
      </c>
      <c r="C4657" t="s">
        <v>52</v>
      </c>
      <c r="D4657">
        <v>55182</v>
      </c>
      <c r="E4657" t="s">
        <v>315</v>
      </c>
      <c r="F4657">
        <v>11781</v>
      </c>
      <c r="G4657">
        <v>0.68774529006814888</v>
      </c>
      <c r="H4657">
        <v>0</v>
      </c>
      <c r="I4657">
        <v>0</v>
      </c>
      <c r="J4657">
        <v>0.609551694877976</v>
      </c>
      <c r="K4657">
        <v>0</v>
      </c>
      <c r="L4657">
        <v>0</v>
      </c>
      <c r="M4657">
        <v>0.43568829136604159</v>
      </c>
      <c r="N4657">
        <v>0</v>
      </c>
      <c r="O4657">
        <v>0</v>
      </c>
      <c r="P4657">
        <v>0.47299358401092217</v>
      </c>
      <c r="Q4657">
        <v>0.98446640982228684</v>
      </c>
      <c r="R4657">
        <v>-2.9860108757061612</v>
      </c>
      <c r="S4657">
        <v>0.2008853265469695</v>
      </c>
      <c r="T4657">
        <v>0.15638805225493299</v>
      </c>
      <c r="U4657">
        <v>4.2695489746201511</v>
      </c>
      <c r="V4657">
        <v>0.19332384277072681</v>
      </c>
      <c r="W4657">
        <v>1.217216674898566</v>
      </c>
      <c r="X4657">
        <v>0.27673156352213868</v>
      </c>
      <c r="Z4657" t="s">
        <v>392</v>
      </c>
      <c r="AA4657">
        <v>161</v>
      </c>
      <c r="AB4657" t="s">
        <v>5048</v>
      </c>
      <c r="AC4657" t="str">
        <f>HYPERLINK("plots/3FT6Y578R04_015_S31P_20251219032831_M5358ACSA301811_RBGEUFRF04/dpll_52084/txpa_55182.png","plot")</f>
        <v>plot</v>
      </c>
    </row>
    <row r="4658" spans="1:29" hidden="1" x14ac:dyDescent="0.35">
      <c r="A4658" t="s">
        <v>50</v>
      </c>
      <c r="B4658">
        <v>52084</v>
      </c>
      <c r="C4658" t="s">
        <v>52</v>
      </c>
      <c r="D4658">
        <v>55183</v>
      </c>
      <c r="E4658" t="s">
        <v>316</v>
      </c>
      <c r="F4658">
        <v>11781</v>
      </c>
      <c r="G4658">
        <v>0.68836565006016626</v>
      </c>
      <c r="H4658">
        <v>0</v>
      </c>
      <c r="I4658">
        <v>0</v>
      </c>
      <c r="J4658">
        <v>0.60470800984731321</v>
      </c>
      <c r="K4658">
        <v>0</v>
      </c>
      <c r="L4658">
        <v>0</v>
      </c>
      <c r="M4658">
        <v>0.43058545369775869</v>
      </c>
      <c r="N4658">
        <v>0</v>
      </c>
      <c r="O4658">
        <v>0</v>
      </c>
      <c r="P4658">
        <v>0.47384726818275519</v>
      </c>
      <c r="Q4658">
        <v>0.98175252388529421</v>
      </c>
      <c r="R4658">
        <v>-2.9927853144472758</v>
      </c>
      <c r="S4658">
        <v>0.19997191124720801</v>
      </c>
      <c r="T4658">
        <v>0.15609049156660179</v>
      </c>
      <c r="U4658">
        <v>4.2695174021729896</v>
      </c>
      <c r="V4658">
        <v>0.19330748901132719</v>
      </c>
      <c r="W4658">
        <v>1.1988241709082419</v>
      </c>
      <c r="X4658">
        <v>0.27569666674421012</v>
      </c>
      <c r="Z4658" t="s">
        <v>392</v>
      </c>
      <c r="AA4658">
        <v>161</v>
      </c>
      <c r="AB4658" t="s">
        <v>5049</v>
      </c>
      <c r="AC4658" t="str">
        <f>HYPERLINK("plots/3FT6Y578R04_015_S31P_20251219032831_M5358ACSA301811_RBGEUFRF04/dpll_52084/txpa_55183.png","plot")</f>
        <v>plot</v>
      </c>
    </row>
    <row r="4659" spans="1:29" hidden="1" x14ac:dyDescent="0.35">
      <c r="A4659" t="s">
        <v>50</v>
      </c>
      <c r="B4659">
        <v>52084</v>
      </c>
      <c r="C4659" t="s">
        <v>52</v>
      </c>
      <c r="D4659">
        <v>55184</v>
      </c>
      <c r="E4659" t="s">
        <v>317</v>
      </c>
      <c r="F4659">
        <v>11782</v>
      </c>
      <c r="G4659">
        <v>0.69336268999295902</v>
      </c>
      <c r="H4659">
        <v>0</v>
      </c>
      <c r="I4659">
        <v>0</v>
      </c>
      <c r="J4659">
        <v>0.61893804165045507</v>
      </c>
      <c r="K4659">
        <v>0</v>
      </c>
      <c r="L4659">
        <v>0</v>
      </c>
      <c r="M4659">
        <v>0.44296159321643103</v>
      </c>
      <c r="N4659">
        <v>0</v>
      </c>
      <c r="O4659">
        <v>0</v>
      </c>
      <c r="P4659">
        <v>0.48075181987427218</v>
      </c>
      <c r="Q4659">
        <v>0.99596441893767385</v>
      </c>
      <c r="R4659">
        <v>-3.0491065635279648</v>
      </c>
      <c r="S4659">
        <v>0.20008891909196469</v>
      </c>
      <c r="T4659">
        <v>0.15584466596949101</v>
      </c>
      <c r="U4659">
        <v>4.2695416864708866</v>
      </c>
      <c r="V4659">
        <v>0.1933172563537221</v>
      </c>
      <c r="W4659">
        <v>1.203205041368189</v>
      </c>
      <c r="X4659">
        <v>0.27768599561784241</v>
      </c>
      <c r="Z4659" t="s">
        <v>392</v>
      </c>
      <c r="AA4659">
        <v>161</v>
      </c>
      <c r="AB4659" t="s">
        <v>5050</v>
      </c>
      <c r="AC4659" t="str">
        <f>HYPERLINK("plots/3FT6Y578R04_015_S31P_20251219032831_M5358ACSA301811_RBGEUFRF04/dpll_52084/txpa_55184.png","plot")</f>
        <v>plot</v>
      </c>
    </row>
    <row r="4660" spans="1:29" hidden="1" x14ac:dyDescent="0.35">
      <c r="A4660" t="s">
        <v>50</v>
      </c>
      <c r="B4660">
        <v>52084</v>
      </c>
      <c r="C4660" t="s">
        <v>52</v>
      </c>
      <c r="D4660">
        <v>55185</v>
      </c>
      <c r="E4660" t="s">
        <v>318</v>
      </c>
      <c r="F4660">
        <v>11782</v>
      </c>
      <c r="G4660">
        <v>0.68984464328533845</v>
      </c>
      <c r="H4660">
        <v>0</v>
      </c>
      <c r="I4660">
        <v>0</v>
      </c>
      <c r="J4660">
        <v>0.60910929156011318</v>
      </c>
      <c r="K4660">
        <v>0</v>
      </c>
      <c r="L4660">
        <v>0</v>
      </c>
      <c r="M4660">
        <v>0.43405130386470092</v>
      </c>
      <c r="N4660">
        <v>0</v>
      </c>
      <c r="O4660">
        <v>0</v>
      </c>
      <c r="P4660">
        <v>0.47588563186947591</v>
      </c>
      <c r="Q4660">
        <v>0.97730548395891392</v>
      </c>
      <c r="R4660">
        <v>-2.9630645709072478</v>
      </c>
      <c r="S4660">
        <v>0.19826418260497469</v>
      </c>
      <c r="T4660">
        <v>0.15552413768803239</v>
      </c>
      <c r="U4660">
        <v>4.2695416864708866</v>
      </c>
      <c r="V4660">
        <v>0.1933172563537221</v>
      </c>
      <c r="W4660">
        <v>1.20958193327194</v>
      </c>
      <c r="X4660">
        <v>0.27387327946567408</v>
      </c>
      <c r="Z4660" t="s">
        <v>392</v>
      </c>
      <c r="AA4660">
        <v>161</v>
      </c>
      <c r="AB4660" t="s">
        <v>5051</v>
      </c>
      <c r="AC4660" t="str">
        <f>HYPERLINK("plots/3FT6Y578R04_015_S31P_20251219032831_M5358ACSA301811_RBGEUFRF04/dpll_52084/txpa_55185.png","plot")</f>
        <v>plot</v>
      </c>
    </row>
    <row r="4661" spans="1:29" hidden="1" x14ac:dyDescent="0.35">
      <c r="A4661" t="s">
        <v>50</v>
      </c>
      <c r="B4661">
        <v>52084</v>
      </c>
      <c r="C4661" t="s">
        <v>52</v>
      </c>
      <c r="D4661">
        <v>55186</v>
      </c>
      <c r="E4661" t="s">
        <v>319</v>
      </c>
      <c r="F4661">
        <v>11781</v>
      </c>
      <c r="G4661">
        <v>0.67865996367106729</v>
      </c>
      <c r="H4661">
        <v>0</v>
      </c>
      <c r="I4661">
        <v>0</v>
      </c>
      <c r="J4661">
        <v>0.59952240416928193</v>
      </c>
      <c r="K4661">
        <v>0</v>
      </c>
      <c r="L4661">
        <v>0</v>
      </c>
      <c r="M4661">
        <v>0.42778163511154038</v>
      </c>
      <c r="N4661">
        <v>0</v>
      </c>
      <c r="O4661">
        <v>0</v>
      </c>
      <c r="P4661">
        <v>0.46057934629001429</v>
      </c>
      <c r="Q4661">
        <v>0.97033051604162268</v>
      </c>
      <c r="R4661">
        <v>-2.9641775885244561</v>
      </c>
      <c r="S4661">
        <v>0.2029877728693425</v>
      </c>
      <c r="T4661">
        <v>0.15744430054484221</v>
      </c>
      <c r="U4661">
        <v>4.2695633024361257</v>
      </c>
      <c r="V4661">
        <v>0.19331122175495491</v>
      </c>
      <c r="W4661">
        <v>1.178709974000764</v>
      </c>
      <c r="X4661">
        <v>0.27639140011659208</v>
      </c>
      <c r="Z4661" t="s">
        <v>392</v>
      </c>
      <c r="AA4661">
        <v>161</v>
      </c>
      <c r="AB4661" t="s">
        <v>5052</v>
      </c>
      <c r="AC4661" t="str">
        <f>HYPERLINK("plots/3FT6Y578R04_015_S31P_20251219032831_M5358ACSA301811_RBGEUFRF04/dpll_52084/txpa_55186.png","plot")</f>
        <v>plot</v>
      </c>
    </row>
    <row r="4662" spans="1:29" hidden="1" x14ac:dyDescent="0.35">
      <c r="A4662" t="s">
        <v>50</v>
      </c>
      <c r="B4662">
        <v>52084</v>
      </c>
      <c r="C4662" t="s">
        <v>52</v>
      </c>
      <c r="D4662">
        <v>55187</v>
      </c>
      <c r="E4662" t="s">
        <v>320</v>
      </c>
      <c r="F4662">
        <v>11782</v>
      </c>
      <c r="G4662">
        <v>0.68734233161586311</v>
      </c>
      <c r="H4662">
        <v>0</v>
      </c>
      <c r="I4662">
        <v>0</v>
      </c>
      <c r="J4662">
        <v>0.62439898659785842</v>
      </c>
      <c r="K4662">
        <v>0</v>
      </c>
      <c r="L4662">
        <v>0</v>
      </c>
      <c r="M4662">
        <v>0.44533378822722369</v>
      </c>
      <c r="N4662">
        <v>0</v>
      </c>
      <c r="O4662">
        <v>0</v>
      </c>
      <c r="P4662">
        <v>0.47243948083113108</v>
      </c>
      <c r="Q4662">
        <v>1.020203290900463</v>
      </c>
      <c r="R4662">
        <v>-1.1869364294374241</v>
      </c>
      <c r="S4662">
        <v>0.20840203882420369</v>
      </c>
      <c r="T4662">
        <v>0.15876735886580831</v>
      </c>
      <c r="U4662">
        <v>4.2695416864708866</v>
      </c>
      <c r="V4662">
        <v>0.1933172563537221</v>
      </c>
      <c r="W4662">
        <v>3.1688640497368872</v>
      </c>
      <c r="X4662">
        <v>0.28693547894288313</v>
      </c>
      <c r="Z4662" t="s">
        <v>392</v>
      </c>
      <c r="AA4662">
        <v>161</v>
      </c>
      <c r="AB4662" t="s">
        <v>5053</v>
      </c>
      <c r="AC4662" t="str">
        <f>HYPERLINK("plots/3FT6Y578R04_015_S31P_20251219032831_M5358ACSA301811_RBGEUFRF04/dpll_52084/txpa_55187.png","plot")</f>
        <v>plot</v>
      </c>
    </row>
    <row r="4663" spans="1:29" hidden="1" x14ac:dyDescent="0.35">
      <c r="A4663" t="s">
        <v>50</v>
      </c>
      <c r="B4663">
        <v>52084</v>
      </c>
      <c r="C4663" t="s">
        <v>52</v>
      </c>
      <c r="D4663">
        <v>55188</v>
      </c>
      <c r="E4663" t="s">
        <v>321</v>
      </c>
      <c r="F4663">
        <v>11782</v>
      </c>
      <c r="G4663">
        <v>0.71069650807646023</v>
      </c>
      <c r="H4663">
        <v>0</v>
      </c>
      <c r="I4663">
        <v>0</v>
      </c>
      <c r="J4663">
        <v>0.63961970183485584</v>
      </c>
      <c r="K4663">
        <v>0</v>
      </c>
      <c r="L4663">
        <v>0</v>
      </c>
      <c r="M4663">
        <v>0.46023189903162198</v>
      </c>
      <c r="N4663">
        <v>0</v>
      </c>
      <c r="O4663">
        <v>0</v>
      </c>
      <c r="P4663">
        <v>0.50508952659207407</v>
      </c>
      <c r="Q4663">
        <v>1.055517787028607</v>
      </c>
      <c r="R4663">
        <v>-1.304260584738592</v>
      </c>
      <c r="S4663">
        <v>0.20197466128684269</v>
      </c>
      <c r="T4663">
        <v>0.15632281510244869</v>
      </c>
      <c r="U4663">
        <v>4.2695416864708866</v>
      </c>
      <c r="V4663">
        <v>0.1933172563537221</v>
      </c>
      <c r="W4663">
        <v>3.202316607791547</v>
      </c>
      <c r="X4663">
        <v>0.28711243168085199</v>
      </c>
      <c r="Z4663" t="s">
        <v>392</v>
      </c>
      <c r="AA4663">
        <v>161</v>
      </c>
      <c r="AB4663" t="s">
        <v>5054</v>
      </c>
      <c r="AC4663" t="str">
        <f>HYPERLINK("plots/3FT6Y578R04_015_S31P_20251219032831_M5358ACSA301811_RBGEUFRF04/dpll_52084/txpa_55188.png","plot")</f>
        <v>plot</v>
      </c>
    </row>
    <row r="4664" spans="1:29" hidden="1" x14ac:dyDescent="0.35">
      <c r="A4664" t="s">
        <v>50</v>
      </c>
      <c r="B4664">
        <v>52084</v>
      </c>
      <c r="C4664" t="s">
        <v>52</v>
      </c>
      <c r="D4664">
        <v>55189</v>
      </c>
      <c r="E4664" t="s">
        <v>322</v>
      </c>
      <c r="F4664">
        <v>11782</v>
      </c>
      <c r="G4664">
        <v>0.70052443580695911</v>
      </c>
      <c r="H4664">
        <v>0</v>
      </c>
      <c r="I4664">
        <v>0</v>
      </c>
      <c r="J4664">
        <v>0.62880219669249326</v>
      </c>
      <c r="K4664">
        <v>0</v>
      </c>
      <c r="L4664">
        <v>0</v>
      </c>
      <c r="M4664">
        <v>0.45067420701583077</v>
      </c>
      <c r="N4664">
        <v>0</v>
      </c>
      <c r="O4664">
        <v>0</v>
      </c>
      <c r="P4664">
        <v>0.49073448516265838</v>
      </c>
      <c r="Q4664">
        <v>1.027225202842692</v>
      </c>
      <c r="R4664">
        <v>-1.1692047409887809</v>
      </c>
      <c r="S4664">
        <v>0.20228640821367239</v>
      </c>
      <c r="T4664">
        <v>0.1560023472259246</v>
      </c>
      <c r="U4664">
        <v>4.2695416864708866</v>
      </c>
      <c r="V4664">
        <v>0.1933172563537221</v>
      </c>
      <c r="W4664">
        <v>3.216576083941606</v>
      </c>
      <c r="X4664">
        <v>0.28347384862055958</v>
      </c>
      <c r="Z4664" t="s">
        <v>392</v>
      </c>
      <c r="AA4664">
        <v>161</v>
      </c>
      <c r="AB4664" t="s">
        <v>5055</v>
      </c>
      <c r="AC4664" t="str">
        <f>HYPERLINK("plots/3FT6Y578R04_015_S31P_20251219032831_M5358ACSA301811_RBGEUFRF04/dpll_52084/txpa_55189.png","plot")</f>
        <v>plot</v>
      </c>
    </row>
    <row r="4665" spans="1:29" hidden="1" x14ac:dyDescent="0.35">
      <c r="A4665" t="s">
        <v>50</v>
      </c>
      <c r="B4665">
        <v>52084</v>
      </c>
      <c r="C4665" t="s">
        <v>52</v>
      </c>
      <c r="D4665">
        <v>55190</v>
      </c>
      <c r="E4665" t="s">
        <v>323</v>
      </c>
      <c r="F4665">
        <v>11781</v>
      </c>
      <c r="G4665">
        <v>0.71678597736160343</v>
      </c>
      <c r="H4665">
        <v>0</v>
      </c>
      <c r="I4665">
        <v>0</v>
      </c>
      <c r="J4665">
        <v>0.639751070048446</v>
      </c>
      <c r="K4665">
        <v>0</v>
      </c>
      <c r="L4665">
        <v>0</v>
      </c>
      <c r="M4665">
        <v>0.4602594195475736</v>
      </c>
      <c r="N4665">
        <v>0</v>
      </c>
      <c r="O4665">
        <v>0</v>
      </c>
      <c r="P4665">
        <v>0.51378213734222911</v>
      </c>
      <c r="Q4665">
        <v>1.057594141432358</v>
      </c>
      <c r="R4665">
        <v>-1.2891976719563769</v>
      </c>
      <c r="S4665">
        <v>0.19888955551723389</v>
      </c>
      <c r="T4665">
        <v>0.15478319152072781</v>
      </c>
      <c r="U4665">
        <v>4.2695489746201511</v>
      </c>
      <c r="V4665">
        <v>0.19332384277072681</v>
      </c>
      <c r="W4665">
        <v>3.2262523101604281</v>
      </c>
      <c r="X4665">
        <v>0.28524297345505439</v>
      </c>
      <c r="Z4665" t="s">
        <v>392</v>
      </c>
      <c r="AA4665">
        <v>161</v>
      </c>
      <c r="AB4665" t="s">
        <v>5056</v>
      </c>
      <c r="AC4665" t="str">
        <f>HYPERLINK("plots/3FT6Y578R04_015_S31P_20251219032831_M5358ACSA301811_RBGEUFRF04/dpll_52084/txpa_55190.png","plot")</f>
        <v>plot</v>
      </c>
    </row>
    <row r="4666" spans="1:29" hidden="1" x14ac:dyDescent="0.35">
      <c r="A4666" t="s">
        <v>50</v>
      </c>
      <c r="B4666">
        <v>52084</v>
      </c>
      <c r="C4666" t="s">
        <v>52</v>
      </c>
      <c r="D4666">
        <v>55191</v>
      </c>
      <c r="E4666" t="s">
        <v>324</v>
      </c>
      <c r="F4666">
        <v>11781</v>
      </c>
      <c r="G4666">
        <v>0.71814071383448164</v>
      </c>
      <c r="H4666">
        <v>0</v>
      </c>
      <c r="I4666">
        <v>0</v>
      </c>
      <c r="J4666">
        <v>0.63519104382680835</v>
      </c>
      <c r="K4666">
        <v>0</v>
      </c>
      <c r="L4666">
        <v>0</v>
      </c>
      <c r="M4666">
        <v>0.45516695253352341</v>
      </c>
      <c r="N4666">
        <v>0</v>
      </c>
      <c r="O4666">
        <v>0</v>
      </c>
      <c r="P4666">
        <v>0.5157260848666988</v>
      </c>
      <c r="Q4666">
        <v>1.0549999136529959</v>
      </c>
      <c r="R4666">
        <v>-1.2976886474952141</v>
      </c>
      <c r="S4666">
        <v>0.19761443284112509</v>
      </c>
      <c r="T4666">
        <v>0.1540962739280132</v>
      </c>
      <c r="U4666">
        <v>4.2695174021729896</v>
      </c>
      <c r="V4666">
        <v>0.19330748901132719</v>
      </c>
      <c r="W4666">
        <v>3.206651843137255</v>
      </c>
      <c r="X4666">
        <v>0.28398248461154912</v>
      </c>
      <c r="Z4666" t="s">
        <v>392</v>
      </c>
      <c r="AA4666">
        <v>161</v>
      </c>
      <c r="AB4666" t="s">
        <v>5057</v>
      </c>
      <c r="AC4666" t="str">
        <f>HYPERLINK("plots/3FT6Y578R04_015_S31P_20251219032831_M5358ACSA301811_RBGEUFRF04/dpll_52084/txpa_55191.png","plot")</f>
        <v>plot</v>
      </c>
    </row>
    <row r="4667" spans="1:29" hidden="1" x14ac:dyDescent="0.35">
      <c r="A4667" t="s">
        <v>50</v>
      </c>
      <c r="B4667">
        <v>52084</v>
      </c>
      <c r="C4667" t="s">
        <v>52</v>
      </c>
      <c r="D4667">
        <v>55192</v>
      </c>
      <c r="E4667" t="s">
        <v>325</v>
      </c>
      <c r="F4667">
        <v>11782</v>
      </c>
      <c r="G4667">
        <v>0.72233005251022808</v>
      </c>
      <c r="H4667">
        <v>0</v>
      </c>
      <c r="I4667">
        <v>0</v>
      </c>
      <c r="J4667">
        <v>0.64939727082832011</v>
      </c>
      <c r="K4667">
        <v>0</v>
      </c>
      <c r="L4667">
        <v>0</v>
      </c>
      <c r="M4667">
        <v>0.46798330508458269</v>
      </c>
      <c r="N4667">
        <v>0</v>
      </c>
      <c r="O4667">
        <v>0</v>
      </c>
      <c r="P4667">
        <v>0.52176070475942882</v>
      </c>
      <c r="Q4667">
        <v>1.0707230605981</v>
      </c>
      <c r="R4667">
        <v>-1.3573440407349791</v>
      </c>
      <c r="S4667">
        <v>0.1981601365123053</v>
      </c>
      <c r="T4667">
        <v>0.15421138856019409</v>
      </c>
      <c r="U4667">
        <v>4.2695416864708866</v>
      </c>
      <c r="V4667">
        <v>0.1933172563537221</v>
      </c>
      <c r="W4667">
        <v>3.214152701154303</v>
      </c>
      <c r="X4667">
        <v>0.28655770816977583</v>
      </c>
      <c r="Z4667" t="s">
        <v>392</v>
      </c>
      <c r="AA4667">
        <v>161</v>
      </c>
      <c r="AB4667" t="s">
        <v>5058</v>
      </c>
      <c r="AC4667" t="str">
        <f>HYPERLINK("plots/3FT6Y578R04_015_S31P_20251219032831_M5358ACSA301811_RBGEUFRF04/dpll_52084/txpa_55192.png","plot")</f>
        <v>plot</v>
      </c>
    </row>
    <row r="4668" spans="1:29" hidden="1" x14ac:dyDescent="0.35">
      <c r="A4668" t="s">
        <v>50</v>
      </c>
      <c r="B4668">
        <v>52084</v>
      </c>
      <c r="C4668" t="s">
        <v>52</v>
      </c>
      <c r="D4668">
        <v>55193</v>
      </c>
      <c r="E4668" t="s">
        <v>326</v>
      </c>
      <c r="F4668">
        <v>11782</v>
      </c>
      <c r="G4668">
        <v>0.71918945137396051</v>
      </c>
      <c r="H4668">
        <v>0</v>
      </c>
      <c r="I4668">
        <v>0</v>
      </c>
      <c r="J4668">
        <v>0.63893882037164329</v>
      </c>
      <c r="K4668">
        <v>0</v>
      </c>
      <c r="L4668">
        <v>0</v>
      </c>
      <c r="M4668">
        <v>0.45838619334307779</v>
      </c>
      <c r="N4668">
        <v>0</v>
      </c>
      <c r="O4668">
        <v>0</v>
      </c>
      <c r="P4668">
        <v>0.51723346696757833</v>
      </c>
      <c r="Q4668">
        <v>1.0520760806746721</v>
      </c>
      <c r="R4668">
        <v>-1.2717297245195329</v>
      </c>
      <c r="S4668">
        <v>0.1964828312486355</v>
      </c>
      <c r="T4668">
        <v>0.15403312757288981</v>
      </c>
      <c r="U4668">
        <v>4.2695416864708866</v>
      </c>
      <c r="V4668">
        <v>0.1933172563537221</v>
      </c>
      <c r="W4668">
        <v>3.2201529592598881</v>
      </c>
      <c r="X4668">
        <v>0.28279678046285739</v>
      </c>
      <c r="Z4668" t="s">
        <v>392</v>
      </c>
      <c r="AA4668">
        <v>161</v>
      </c>
      <c r="AB4668" t="s">
        <v>5059</v>
      </c>
      <c r="AC4668" t="str">
        <f>HYPERLINK("plots/3FT6Y578R04_015_S31P_20251219032831_M5358ACSA301811_RBGEUFRF04/dpll_52084/txpa_55193.png","plot")</f>
        <v>plot</v>
      </c>
    </row>
    <row r="4669" spans="1:29" hidden="1" x14ac:dyDescent="0.35">
      <c r="A4669" t="s">
        <v>50</v>
      </c>
      <c r="B4669">
        <v>52084</v>
      </c>
      <c r="C4669" t="s">
        <v>52</v>
      </c>
      <c r="D4669">
        <v>55194</v>
      </c>
      <c r="E4669" t="s">
        <v>327</v>
      </c>
      <c r="F4669">
        <v>11781</v>
      </c>
      <c r="G4669">
        <v>0.70963537479226579</v>
      </c>
      <c r="H4669">
        <v>0</v>
      </c>
      <c r="I4669">
        <v>0</v>
      </c>
      <c r="J4669">
        <v>0.63085513655157777</v>
      </c>
      <c r="K4669">
        <v>0</v>
      </c>
      <c r="L4669">
        <v>0</v>
      </c>
      <c r="M4669">
        <v>0.45310607183637519</v>
      </c>
      <c r="N4669">
        <v>0</v>
      </c>
      <c r="O4669">
        <v>0</v>
      </c>
      <c r="P4669">
        <v>0.50358236515655952</v>
      </c>
      <c r="Q4669">
        <v>1.0459030835015519</v>
      </c>
      <c r="R4669">
        <v>-1.274270980645984</v>
      </c>
      <c r="S4669">
        <v>0.20073283586439131</v>
      </c>
      <c r="T4669">
        <v>0.1554127463884403</v>
      </c>
      <c r="U4669">
        <v>4.2695633024361257</v>
      </c>
      <c r="V4669">
        <v>0.19331122175495491</v>
      </c>
      <c r="W4669">
        <v>3.1912784425770311</v>
      </c>
      <c r="X4669">
        <v>0.28491364733352792</v>
      </c>
      <c r="Z4669" t="s">
        <v>392</v>
      </c>
      <c r="AA4669">
        <v>161</v>
      </c>
      <c r="AB4669" t="s">
        <v>5060</v>
      </c>
      <c r="AC4669" t="str">
        <f>HYPERLINK("plots/3FT6Y578R04_015_S31P_20251219032831_M5358ACSA301811_RBGEUFRF04/dpll_52084/txpa_55194.png","plot")</f>
        <v>plot</v>
      </c>
    </row>
    <row r="4670" spans="1:29" hidden="1" x14ac:dyDescent="0.35">
      <c r="A4670" t="s">
        <v>50</v>
      </c>
      <c r="B4670">
        <v>52084</v>
      </c>
      <c r="C4670" t="s">
        <v>52</v>
      </c>
      <c r="D4670">
        <v>55195</v>
      </c>
      <c r="E4670" t="s">
        <v>328</v>
      </c>
      <c r="F4670">
        <v>11782</v>
      </c>
      <c r="G4670">
        <v>0.72526825812825091</v>
      </c>
      <c r="H4670">
        <v>0</v>
      </c>
      <c r="I4670">
        <v>0</v>
      </c>
      <c r="J4670">
        <v>0.65752204190717867</v>
      </c>
      <c r="K4670">
        <v>0</v>
      </c>
      <c r="L4670">
        <v>0</v>
      </c>
      <c r="M4670">
        <v>0.47295065779089451</v>
      </c>
      <c r="N4670">
        <v>0</v>
      </c>
      <c r="O4670">
        <v>0</v>
      </c>
      <c r="P4670">
        <v>0.52601404624838721</v>
      </c>
      <c r="Q4670">
        <v>1.137329923480709</v>
      </c>
      <c r="R4670">
        <v>0.7310289628591935</v>
      </c>
      <c r="S4670">
        <v>0.2087001314268031</v>
      </c>
      <c r="T4670">
        <v>0.1583695341244396</v>
      </c>
      <c r="U4670">
        <v>4.2695416864708866</v>
      </c>
      <c r="V4670">
        <v>0.1933172563537221</v>
      </c>
      <c r="W4670">
        <v>5.5869064824308268</v>
      </c>
      <c r="X4670">
        <v>0.30315059002265088</v>
      </c>
      <c r="Z4670" t="s">
        <v>392</v>
      </c>
      <c r="AA4670">
        <v>161</v>
      </c>
      <c r="AB4670" t="s">
        <v>5061</v>
      </c>
      <c r="AC4670" t="str">
        <f>HYPERLINK("plots/3FT6Y578R04_015_S31P_20251219032831_M5358ACSA301811_RBGEUFRF04/dpll_52084/txpa_55195.png","plot")</f>
        <v>plot</v>
      </c>
    </row>
    <row r="4671" spans="1:29" hidden="1" x14ac:dyDescent="0.35">
      <c r="A4671" t="s">
        <v>50</v>
      </c>
      <c r="B4671">
        <v>52084</v>
      </c>
      <c r="C4671" t="s">
        <v>52</v>
      </c>
      <c r="D4671">
        <v>55196</v>
      </c>
      <c r="E4671" t="s">
        <v>329</v>
      </c>
      <c r="F4671">
        <v>11782</v>
      </c>
      <c r="G4671">
        <v>0.74596770216720909</v>
      </c>
      <c r="H4671">
        <v>0</v>
      </c>
      <c r="I4671">
        <v>0</v>
      </c>
      <c r="J4671">
        <v>0.67048269016938034</v>
      </c>
      <c r="K4671">
        <v>0</v>
      </c>
      <c r="L4671">
        <v>0</v>
      </c>
      <c r="M4671">
        <v>0.48646787899439442</v>
      </c>
      <c r="N4671">
        <v>0</v>
      </c>
      <c r="O4671">
        <v>0</v>
      </c>
      <c r="P4671">
        <v>0.55646781267662593</v>
      </c>
      <c r="Q4671">
        <v>1.1706403252586171</v>
      </c>
      <c r="R4671">
        <v>0.62189493219139624</v>
      </c>
      <c r="S4671">
        <v>0.20203109539837491</v>
      </c>
      <c r="T4671">
        <v>0.15591052398008079</v>
      </c>
      <c r="U4671">
        <v>4.2695416864708866</v>
      </c>
      <c r="V4671">
        <v>0.1933172563537221</v>
      </c>
      <c r="W4671">
        <v>5.6199926007469019</v>
      </c>
      <c r="X4671">
        <v>0.30337101083405682</v>
      </c>
      <c r="Z4671" t="s">
        <v>392</v>
      </c>
      <c r="AA4671">
        <v>161</v>
      </c>
      <c r="AB4671" t="s">
        <v>5062</v>
      </c>
      <c r="AC4671" t="str">
        <f>HYPERLINK("plots/3FT6Y578R04_015_S31P_20251219032831_M5358ACSA301811_RBGEUFRF04/dpll_52084/txpa_55196.png","plot")</f>
        <v>plot</v>
      </c>
    </row>
    <row r="4672" spans="1:29" hidden="1" x14ac:dyDescent="0.35">
      <c r="A4672" t="s">
        <v>50</v>
      </c>
      <c r="B4672">
        <v>52084</v>
      </c>
      <c r="C4672" t="s">
        <v>52</v>
      </c>
      <c r="D4672">
        <v>55197</v>
      </c>
      <c r="E4672" t="s">
        <v>330</v>
      </c>
      <c r="F4672">
        <v>11782</v>
      </c>
      <c r="G4672">
        <v>0.73703574406148875</v>
      </c>
      <c r="H4672">
        <v>0</v>
      </c>
      <c r="I4672">
        <v>0</v>
      </c>
      <c r="J4672">
        <v>0.66090522757058845</v>
      </c>
      <c r="K4672">
        <v>0</v>
      </c>
      <c r="L4672">
        <v>0</v>
      </c>
      <c r="M4672">
        <v>0.47758531565126427</v>
      </c>
      <c r="N4672">
        <v>0</v>
      </c>
      <c r="O4672">
        <v>0</v>
      </c>
      <c r="P4672">
        <v>0.5432216880242724</v>
      </c>
      <c r="Q4672">
        <v>1.142333114509047</v>
      </c>
      <c r="R4672">
        <v>0.75656832821224729</v>
      </c>
      <c r="S4672">
        <v>0.2024925946949675</v>
      </c>
      <c r="T4672">
        <v>0.1554433976983132</v>
      </c>
      <c r="U4672">
        <v>4.2695416864708866</v>
      </c>
      <c r="V4672">
        <v>0.1933172563537221</v>
      </c>
      <c r="W4672">
        <v>5.6338071804447463</v>
      </c>
      <c r="X4672">
        <v>0.29962278670770659</v>
      </c>
      <c r="Z4672" t="s">
        <v>392</v>
      </c>
      <c r="AA4672">
        <v>161</v>
      </c>
      <c r="AB4672" t="s">
        <v>5063</v>
      </c>
      <c r="AC4672" t="str">
        <f>HYPERLINK("plots/3FT6Y578R04_015_S31P_20251219032831_M5358ACSA301811_RBGEUFRF04/dpll_52084/txpa_55197.png","plot")</f>
        <v>plot</v>
      </c>
    </row>
    <row r="4673" spans="1:29" hidden="1" x14ac:dyDescent="0.35">
      <c r="A4673" t="s">
        <v>50</v>
      </c>
      <c r="B4673">
        <v>52084</v>
      </c>
      <c r="C4673" t="s">
        <v>52</v>
      </c>
      <c r="D4673">
        <v>55198</v>
      </c>
      <c r="E4673" t="s">
        <v>331</v>
      </c>
      <c r="F4673">
        <v>11781</v>
      </c>
      <c r="G4673">
        <v>0.75207525221221316</v>
      </c>
      <c r="H4673">
        <v>0</v>
      </c>
      <c r="I4673">
        <v>0</v>
      </c>
      <c r="J4673">
        <v>0.67181853582645956</v>
      </c>
      <c r="K4673">
        <v>0</v>
      </c>
      <c r="L4673">
        <v>0</v>
      </c>
      <c r="M4673">
        <v>0.48747251661694108</v>
      </c>
      <c r="N4673">
        <v>0</v>
      </c>
      <c r="O4673">
        <v>0</v>
      </c>
      <c r="P4673">
        <v>0.56561718499006408</v>
      </c>
      <c r="Q4673">
        <v>1.172258629891197</v>
      </c>
      <c r="R4673">
        <v>0.6359157266227724</v>
      </c>
      <c r="S4673">
        <v>0.19859368970200539</v>
      </c>
      <c r="T4673">
        <v>0.15406378579284</v>
      </c>
      <c r="U4673">
        <v>4.2695489746201511</v>
      </c>
      <c r="V4673">
        <v>0.19332384277072681</v>
      </c>
      <c r="W4673">
        <v>5.640931357864357</v>
      </c>
      <c r="X4673">
        <v>0.3013335997762181</v>
      </c>
      <c r="Z4673" t="s">
        <v>392</v>
      </c>
      <c r="AA4673">
        <v>161</v>
      </c>
      <c r="AB4673" t="s">
        <v>5064</v>
      </c>
      <c r="AC4673" t="str">
        <f>HYPERLINK("plots/3FT6Y578R04_015_S31P_20251219032831_M5358ACSA301811_RBGEUFRF04/dpll_52084/txpa_55198.png","plot")</f>
        <v>plot</v>
      </c>
    </row>
    <row r="4674" spans="1:29" hidden="1" x14ac:dyDescent="0.35">
      <c r="A4674" t="s">
        <v>50</v>
      </c>
      <c r="B4674">
        <v>52084</v>
      </c>
      <c r="C4674" t="s">
        <v>52</v>
      </c>
      <c r="D4674">
        <v>55199</v>
      </c>
      <c r="E4674" t="s">
        <v>332</v>
      </c>
      <c r="F4674">
        <v>11781</v>
      </c>
      <c r="G4674">
        <v>0.75370189874911808</v>
      </c>
      <c r="H4674">
        <v>0</v>
      </c>
      <c r="I4674">
        <v>0</v>
      </c>
      <c r="J4674">
        <v>0.66762221409980405</v>
      </c>
      <c r="K4674">
        <v>0</v>
      </c>
      <c r="L4674">
        <v>0</v>
      </c>
      <c r="M4674">
        <v>0.48256457379515327</v>
      </c>
      <c r="N4674">
        <v>0</v>
      </c>
      <c r="O4674">
        <v>0</v>
      </c>
      <c r="P4674">
        <v>0.56806655217802582</v>
      </c>
      <c r="Q4674">
        <v>1.1698200159072609</v>
      </c>
      <c r="R4674">
        <v>0.62570556969191315</v>
      </c>
      <c r="S4674">
        <v>0.1971778393670571</v>
      </c>
      <c r="T4674">
        <v>0.15339720842598961</v>
      </c>
      <c r="U4674">
        <v>4.2695174021729896</v>
      </c>
      <c r="V4674">
        <v>0.19330748901132719</v>
      </c>
      <c r="W4674">
        <v>5.6202724850182486</v>
      </c>
      <c r="X4674">
        <v>0.30003237386761061</v>
      </c>
      <c r="Z4674" t="s">
        <v>392</v>
      </c>
      <c r="AA4674">
        <v>161</v>
      </c>
      <c r="AB4674" t="s">
        <v>5065</v>
      </c>
      <c r="AC4674" t="str">
        <f>HYPERLINK("plots/3FT6Y578R04_015_S31P_20251219032831_M5358ACSA301811_RBGEUFRF04/dpll_52084/txpa_55199.png","plot")</f>
        <v>plot</v>
      </c>
    </row>
    <row r="4675" spans="1:29" hidden="1" x14ac:dyDescent="0.35">
      <c r="A4675" t="s">
        <v>50</v>
      </c>
      <c r="B4675">
        <v>52084</v>
      </c>
      <c r="C4675" t="s">
        <v>52</v>
      </c>
      <c r="D4675">
        <v>55200</v>
      </c>
      <c r="E4675" t="s">
        <v>333</v>
      </c>
      <c r="F4675">
        <v>11781</v>
      </c>
      <c r="G4675">
        <v>0.75852707749057269</v>
      </c>
      <c r="H4675">
        <v>0</v>
      </c>
      <c r="I4675">
        <v>0</v>
      </c>
      <c r="J4675">
        <v>0.68008792255777639</v>
      </c>
      <c r="K4675">
        <v>0</v>
      </c>
      <c r="L4675">
        <v>0</v>
      </c>
      <c r="M4675">
        <v>0.49425837924118088</v>
      </c>
      <c r="N4675">
        <v>0</v>
      </c>
      <c r="O4675">
        <v>0</v>
      </c>
      <c r="P4675">
        <v>0.57536332728638928</v>
      </c>
      <c r="Q4675">
        <v>1.1867334780991661</v>
      </c>
      <c r="R4675">
        <v>0.56380993773972854</v>
      </c>
      <c r="S4675">
        <v>0.1970629192689248</v>
      </c>
      <c r="T4675">
        <v>0.1533913757940388</v>
      </c>
      <c r="U4675">
        <v>4.2695129435531793</v>
      </c>
      <c r="V4675">
        <v>0.1933002831720991</v>
      </c>
      <c r="W4675">
        <v>5.6305838830320019</v>
      </c>
      <c r="X4675">
        <v>0.30242284576746697</v>
      </c>
      <c r="Z4675" t="s">
        <v>392</v>
      </c>
      <c r="AA4675">
        <v>161</v>
      </c>
      <c r="AB4675" t="s">
        <v>5066</v>
      </c>
      <c r="AC4675" t="str">
        <f>HYPERLINK("plots/3FT6Y578R04_015_S31P_20251219032831_M5358ACSA301811_RBGEUFRF04/dpll_52084/txpa_55200.png","plot")</f>
        <v>plot</v>
      </c>
    </row>
    <row r="4676" spans="1:29" hidden="1" x14ac:dyDescent="0.35">
      <c r="A4676" t="s">
        <v>50</v>
      </c>
      <c r="B4676">
        <v>52084</v>
      </c>
      <c r="C4676" t="s">
        <v>52</v>
      </c>
      <c r="D4676">
        <v>55201</v>
      </c>
      <c r="E4676" t="s">
        <v>334</v>
      </c>
      <c r="F4676">
        <v>11782</v>
      </c>
      <c r="G4676">
        <v>0.75454035034205869</v>
      </c>
      <c r="H4676">
        <v>0</v>
      </c>
      <c r="I4676">
        <v>0</v>
      </c>
      <c r="J4676">
        <v>0.67025388576538958</v>
      </c>
      <c r="K4676">
        <v>0</v>
      </c>
      <c r="L4676">
        <v>0</v>
      </c>
      <c r="M4676">
        <v>0.48517770594762621</v>
      </c>
      <c r="N4676">
        <v>0</v>
      </c>
      <c r="O4676">
        <v>0</v>
      </c>
      <c r="P4676">
        <v>0.56933114029431664</v>
      </c>
      <c r="Q4676">
        <v>1.1680737011423521</v>
      </c>
      <c r="R4676">
        <v>0.64939075341082741</v>
      </c>
      <c r="S4676">
        <v>0.19638653312852469</v>
      </c>
      <c r="T4676">
        <v>0.1534965875430937</v>
      </c>
      <c r="U4676">
        <v>4.2695416864708866</v>
      </c>
      <c r="V4676">
        <v>0.1933172563537221</v>
      </c>
      <c r="W4676">
        <v>5.6365301133084378</v>
      </c>
      <c r="X4676">
        <v>0.29926670326034949</v>
      </c>
      <c r="Z4676" t="s">
        <v>392</v>
      </c>
      <c r="AA4676">
        <v>161</v>
      </c>
      <c r="AB4676" t="s">
        <v>5067</v>
      </c>
      <c r="AC4676" t="str">
        <f>HYPERLINK("plots/3FT6Y578R04_015_S31P_20251219032831_M5358ACSA301811_RBGEUFRF04/dpll_52084/txpa_55201.png","plot")</f>
        <v>plot</v>
      </c>
    </row>
    <row r="4677" spans="1:29" hidden="1" x14ac:dyDescent="0.35">
      <c r="A4677" t="s">
        <v>50</v>
      </c>
      <c r="B4677">
        <v>52084</v>
      </c>
      <c r="C4677" t="s">
        <v>52</v>
      </c>
      <c r="D4677">
        <v>55202</v>
      </c>
      <c r="E4677" t="s">
        <v>335</v>
      </c>
      <c r="F4677">
        <v>11781</v>
      </c>
      <c r="G4677">
        <v>0.74657415794070348</v>
      </c>
      <c r="H4677">
        <v>0</v>
      </c>
      <c r="I4677">
        <v>0</v>
      </c>
      <c r="J4677">
        <v>0.66369433590028659</v>
      </c>
      <c r="K4677">
        <v>0</v>
      </c>
      <c r="L4677">
        <v>0</v>
      </c>
      <c r="M4677">
        <v>0.48082792076753378</v>
      </c>
      <c r="N4677">
        <v>0</v>
      </c>
      <c r="O4677">
        <v>0</v>
      </c>
      <c r="P4677">
        <v>0.55737297330487046</v>
      </c>
      <c r="Q4677">
        <v>1.1633692973302701</v>
      </c>
      <c r="R4677">
        <v>0.64267798093438078</v>
      </c>
      <c r="S4677">
        <v>0.20040208793088479</v>
      </c>
      <c r="T4677">
        <v>0.1545768304135218</v>
      </c>
      <c r="U4677">
        <v>4.2695633024361257</v>
      </c>
      <c r="V4677">
        <v>0.19331122175495491</v>
      </c>
      <c r="W4677">
        <v>5.6097568399966038</v>
      </c>
      <c r="X4677">
        <v>0.30123241988370542</v>
      </c>
      <c r="Z4677" t="s">
        <v>392</v>
      </c>
      <c r="AA4677">
        <v>161</v>
      </c>
      <c r="AB4677" t="s">
        <v>5068</v>
      </c>
      <c r="AC4677" t="str">
        <f>HYPERLINK("plots/3FT6Y578R04_015_S31P_20251219032831_M5358ACSA301811_RBGEUFRF04/dpll_52084/txpa_55202.png","plot")</f>
        <v>plot</v>
      </c>
    </row>
    <row r="4678" spans="1:29" hidden="1" x14ac:dyDescent="0.35">
      <c r="A4678" t="s">
        <v>50</v>
      </c>
      <c r="B4678">
        <v>52084</v>
      </c>
      <c r="C4678" t="s">
        <v>52</v>
      </c>
      <c r="D4678">
        <v>55203</v>
      </c>
      <c r="E4678" t="s">
        <v>336</v>
      </c>
      <c r="F4678">
        <v>11782</v>
      </c>
      <c r="G4678">
        <v>0.73845009556180508</v>
      </c>
      <c r="H4678">
        <v>0</v>
      </c>
      <c r="I4678">
        <v>0</v>
      </c>
      <c r="J4678">
        <v>0.66745316689227108</v>
      </c>
      <c r="K4678">
        <v>0</v>
      </c>
      <c r="L4678">
        <v>0</v>
      </c>
      <c r="M4678">
        <v>0.48143509811831159</v>
      </c>
      <c r="N4678">
        <v>0</v>
      </c>
      <c r="O4678">
        <v>0</v>
      </c>
      <c r="P4678">
        <v>0.54530854363523906</v>
      </c>
      <c r="Q4678">
        <v>1.1937733779426321</v>
      </c>
      <c r="R4678">
        <v>1.5548414915112989</v>
      </c>
      <c r="S4678">
        <v>0.2107227023288622</v>
      </c>
      <c r="T4678">
        <v>0.1595455968390565</v>
      </c>
      <c r="U4678">
        <v>4.2695416864708866</v>
      </c>
      <c r="V4678">
        <v>0.1933172563537221</v>
      </c>
      <c r="W4678">
        <v>6.6517066928365303</v>
      </c>
      <c r="X4678">
        <v>0.31251535549793902</v>
      </c>
      <c r="Z4678" t="s">
        <v>392</v>
      </c>
      <c r="AA4678">
        <v>161</v>
      </c>
      <c r="AB4678" t="s">
        <v>5069</v>
      </c>
      <c r="AC4678" t="str">
        <f>HYPERLINK("plots/3FT6Y578R04_015_S31P_20251219032831_M5358ACSA301811_RBGEUFRF04/dpll_52084/txpa_55203.png","plot")</f>
        <v>plot</v>
      </c>
    </row>
    <row r="4679" spans="1:29" hidden="1" x14ac:dyDescent="0.35">
      <c r="A4679" t="s">
        <v>50</v>
      </c>
      <c r="B4679">
        <v>52084</v>
      </c>
      <c r="C4679" t="s">
        <v>52</v>
      </c>
      <c r="D4679">
        <v>55204</v>
      </c>
      <c r="E4679" t="s">
        <v>337</v>
      </c>
      <c r="F4679">
        <v>11782</v>
      </c>
      <c r="G4679">
        <v>0.7583304842725147</v>
      </c>
      <c r="H4679">
        <v>0</v>
      </c>
      <c r="I4679">
        <v>0</v>
      </c>
      <c r="J4679">
        <v>0.68040368704769372</v>
      </c>
      <c r="K4679">
        <v>0</v>
      </c>
      <c r="L4679">
        <v>0</v>
      </c>
      <c r="M4679">
        <v>0.49509629438557429</v>
      </c>
      <c r="N4679">
        <v>0</v>
      </c>
      <c r="O4679">
        <v>0</v>
      </c>
      <c r="P4679">
        <v>0.57506512337698668</v>
      </c>
      <c r="Q4679">
        <v>1.226302367068425</v>
      </c>
      <c r="R4679">
        <v>1.4484642868494351</v>
      </c>
      <c r="S4679">
        <v>0.2037757180839958</v>
      </c>
      <c r="T4679">
        <v>0.15684364181848751</v>
      </c>
      <c r="U4679">
        <v>4.2695416864708866</v>
      </c>
      <c r="V4679">
        <v>0.1933172563537221</v>
      </c>
      <c r="W4679">
        <v>6.6842133632659984</v>
      </c>
      <c r="X4679">
        <v>0.31261490073047188</v>
      </c>
      <c r="Z4679" t="s">
        <v>392</v>
      </c>
      <c r="AA4679">
        <v>161</v>
      </c>
      <c r="AB4679" t="s">
        <v>5070</v>
      </c>
      <c r="AC4679" t="str">
        <f>HYPERLINK("plots/3FT6Y578R04_015_S31P_20251219032831_M5358ACSA301811_RBGEUFRF04/dpll_52084/txpa_55204.png","plot")</f>
        <v>plot</v>
      </c>
    </row>
    <row r="4680" spans="1:29" hidden="1" x14ac:dyDescent="0.35">
      <c r="A4680" t="s">
        <v>50</v>
      </c>
      <c r="B4680">
        <v>52084</v>
      </c>
      <c r="C4680" t="s">
        <v>52</v>
      </c>
      <c r="D4680">
        <v>55205</v>
      </c>
      <c r="E4680" t="s">
        <v>338</v>
      </c>
      <c r="F4680">
        <v>11782</v>
      </c>
      <c r="G4680">
        <v>0.74997708949908193</v>
      </c>
      <c r="H4680">
        <v>0</v>
      </c>
      <c r="I4680">
        <v>0</v>
      </c>
      <c r="J4680">
        <v>0.6708699703089972</v>
      </c>
      <c r="K4680">
        <v>0</v>
      </c>
      <c r="L4680">
        <v>0</v>
      </c>
      <c r="M4680">
        <v>0.48611294095464569</v>
      </c>
      <c r="N4680">
        <v>0</v>
      </c>
      <c r="O4680">
        <v>0</v>
      </c>
      <c r="P4680">
        <v>0.56246563477351397</v>
      </c>
      <c r="Q4680">
        <v>1.1985118402699111</v>
      </c>
      <c r="R4680">
        <v>1.580914863636403</v>
      </c>
      <c r="S4680">
        <v>0.20433963275833381</v>
      </c>
      <c r="T4680">
        <v>0.15642354483900769</v>
      </c>
      <c r="U4680">
        <v>4.2695416864708866</v>
      </c>
      <c r="V4680">
        <v>0.1933172563537221</v>
      </c>
      <c r="W4680">
        <v>6.6980111273977254</v>
      </c>
      <c r="X4680">
        <v>0.30893346465180688</v>
      </c>
      <c r="Z4680" t="s">
        <v>392</v>
      </c>
      <c r="AA4680">
        <v>161</v>
      </c>
      <c r="AB4680" t="s">
        <v>5071</v>
      </c>
      <c r="AC4680" t="str">
        <f>HYPERLINK("plots/3FT6Y578R04_015_S31P_20251219032831_M5358ACSA301811_RBGEUFRF04/dpll_52084/txpa_55205.png","plot")</f>
        <v>plot</v>
      </c>
    </row>
    <row r="4681" spans="1:29" hidden="1" x14ac:dyDescent="0.35">
      <c r="A4681" t="s">
        <v>50</v>
      </c>
      <c r="B4681">
        <v>52084</v>
      </c>
      <c r="C4681" t="s">
        <v>52</v>
      </c>
      <c r="D4681">
        <v>55206</v>
      </c>
      <c r="E4681" t="s">
        <v>339</v>
      </c>
      <c r="F4681">
        <v>11781</v>
      </c>
      <c r="G4681">
        <v>0.76440457981516596</v>
      </c>
      <c r="H4681">
        <v>0</v>
      </c>
      <c r="I4681">
        <v>0</v>
      </c>
      <c r="J4681">
        <v>0.68156468013954397</v>
      </c>
      <c r="K4681">
        <v>0</v>
      </c>
      <c r="L4681">
        <v>0</v>
      </c>
      <c r="M4681">
        <v>0.49588364452937289</v>
      </c>
      <c r="N4681">
        <v>0</v>
      </c>
      <c r="O4681">
        <v>0</v>
      </c>
      <c r="P4681">
        <v>0.58431436164240047</v>
      </c>
      <c r="Q4681">
        <v>1.228029772773207</v>
      </c>
      <c r="R4681">
        <v>1.4611176645915289</v>
      </c>
      <c r="S4681">
        <v>0.20023275010336269</v>
      </c>
      <c r="T4681">
        <v>0.1550205446200949</v>
      </c>
      <c r="U4681">
        <v>4.2695489746201511</v>
      </c>
      <c r="V4681">
        <v>0.19332384277072681</v>
      </c>
      <c r="W4681">
        <v>6.7042509217383923</v>
      </c>
      <c r="X4681">
        <v>0.31057824740765438</v>
      </c>
      <c r="Z4681" t="s">
        <v>392</v>
      </c>
      <c r="AA4681">
        <v>161</v>
      </c>
      <c r="AB4681" t="s">
        <v>5072</v>
      </c>
      <c r="AC4681" t="str">
        <f>HYPERLINK("plots/3FT6Y578R04_015_S31P_20251219032831_M5358ACSA301811_RBGEUFRF04/dpll_52084/txpa_55206.png","plot")</f>
        <v>plot</v>
      </c>
    </row>
    <row r="4682" spans="1:29" hidden="1" x14ac:dyDescent="0.35">
      <c r="A4682" t="s">
        <v>50</v>
      </c>
      <c r="B4682">
        <v>52084</v>
      </c>
      <c r="C4682" t="s">
        <v>52</v>
      </c>
      <c r="D4682">
        <v>55207</v>
      </c>
      <c r="E4682" t="s">
        <v>340</v>
      </c>
      <c r="F4682">
        <v>11781</v>
      </c>
      <c r="G4682">
        <v>0.76617816127205773</v>
      </c>
      <c r="H4682">
        <v>0</v>
      </c>
      <c r="I4682">
        <v>0</v>
      </c>
      <c r="J4682">
        <v>0.67752437759448492</v>
      </c>
      <c r="K4682">
        <v>0</v>
      </c>
      <c r="L4682">
        <v>0</v>
      </c>
      <c r="M4682">
        <v>0.49104193938679253</v>
      </c>
      <c r="N4682">
        <v>0</v>
      </c>
      <c r="O4682">
        <v>0</v>
      </c>
      <c r="P4682">
        <v>0.58702897481023131</v>
      </c>
      <c r="Q4682">
        <v>1.2261468906926829</v>
      </c>
      <c r="R4682">
        <v>1.447994776127256</v>
      </c>
      <c r="S4682">
        <v>0.19879377001000309</v>
      </c>
      <c r="T4682">
        <v>0.154369586440469</v>
      </c>
      <c r="U4682">
        <v>4.2695174021729896</v>
      </c>
      <c r="V4682">
        <v>0.19330748901132719</v>
      </c>
      <c r="W4682">
        <v>6.6830502635599691</v>
      </c>
      <c r="X4682">
        <v>0.30935804305010128</v>
      </c>
      <c r="Z4682" t="s">
        <v>392</v>
      </c>
      <c r="AA4682">
        <v>161</v>
      </c>
      <c r="AB4682" t="s">
        <v>5073</v>
      </c>
      <c r="AC4682" t="str">
        <f>HYPERLINK("plots/3FT6Y578R04_015_S31P_20251219032831_M5358ACSA301811_RBGEUFRF04/dpll_52084/txpa_55207.png","plot")</f>
        <v>plot</v>
      </c>
    </row>
    <row r="4683" spans="1:29" hidden="1" x14ac:dyDescent="0.35">
      <c r="A4683" t="s">
        <v>50</v>
      </c>
      <c r="B4683">
        <v>52084</v>
      </c>
      <c r="C4683" t="s">
        <v>52</v>
      </c>
      <c r="D4683">
        <v>55208</v>
      </c>
      <c r="E4683" t="s">
        <v>341</v>
      </c>
      <c r="F4683">
        <v>11781</v>
      </c>
      <c r="G4683">
        <v>0.77045401415785442</v>
      </c>
      <c r="H4683">
        <v>0</v>
      </c>
      <c r="I4683">
        <v>0</v>
      </c>
      <c r="J4683">
        <v>0.6891439939848627</v>
      </c>
      <c r="K4683">
        <v>0</v>
      </c>
      <c r="L4683">
        <v>0</v>
      </c>
      <c r="M4683">
        <v>0.50221575936303764</v>
      </c>
      <c r="N4683">
        <v>0</v>
      </c>
      <c r="O4683">
        <v>0</v>
      </c>
      <c r="P4683">
        <v>0.59359938793195133</v>
      </c>
      <c r="Q4683">
        <v>1.242666271169619</v>
      </c>
      <c r="R4683">
        <v>1.388397014124739</v>
      </c>
      <c r="S4683">
        <v>0.1987462864470779</v>
      </c>
      <c r="T4683">
        <v>0.15446693687223459</v>
      </c>
      <c r="U4683">
        <v>4.2695129435531793</v>
      </c>
      <c r="V4683">
        <v>0.1933002831720991</v>
      </c>
      <c r="W4683">
        <v>6.6939767434003903</v>
      </c>
      <c r="X4683">
        <v>0.31177427554591081</v>
      </c>
      <c r="Z4683" t="s">
        <v>392</v>
      </c>
      <c r="AA4683">
        <v>161</v>
      </c>
      <c r="AB4683" t="s">
        <v>5074</v>
      </c>
      <c r="AC4683" t="str">
        <f>HYPERLINK("plots/3FT6Y578R04_015_S31P_20251219032831_M5358ACSA301811_RBGEUFRF04/dpll_52084/txpa_55208.png","plot")</f>
        <v>plot</v>
      </c>
    </row>
    <row r="4684" spans="1:29" hidden="1" x14ac:dyDescent="0.35">
      <c r="A4684" t="s">
        <v>50</v>
      </c>
      <c r="B4684">
        <v>52084</v>
      </c>
      <c r="C4684" t="s">
        <v>52</v>
      </c>
      <c r="D4684">
        <v>55209</v>
      </c>
      <c r="E4684" t="s">
        <v>342</v>
      </c>
      <c r="F4684">
        <v>11782</v>
      </c>
      <c r="G4684">
        <v>0.76687265836572371</v>
      </c>
      <c r="H4684">
        <v>0</v>
      </c>
      <c r="I4684">
        <v>0</v>
      </c>
      <c r="J4684">
        <v>0.67972883765265069</v>
      </c>
      <c r="K4684">
        <v>0</v>
      </c>
      <c r="L4684">
        <v>0</v>
      </c>
      <c r="M4684">
        <v>0.49341284788930889</v>
      </c>
      <c r="N4684">
        <v>0</v>
      </c>
      <c r="O4684">
        <v>0</v>
      </c>
      <c r="P4684">
        <v>0.588093674148912</v>
      </c>
      <c r="Q4684">
        <v>1.22457582731109</v>
      </c>
      <c r="R4684">
        <v>1.4714683571525751</v>
      </c>
      <c r="S4684">
        <v>0.19811339976906589</v>
      </c>
      <c r="T4684">
        <v>0.1545415087599751</v>
      </c>
      <c r="U4684">
        <v>4.2695416864708866</v>
      </c>
      <c r="V4684">
        <v>0.1933172563537221</v>
      </c>
      <c r="W4684">
        <v>6.6998459001018498</v>
      </c>
      <c r="X4684">
        <v>0.30869745654691372</v>
      </c>
      <c r="Z4684" t="s">
        <v>392</v>
      </c>
      <c r="AA4684">
        <v>161</v>
      </c>
      <c r="AB4684" t="s">
        <v>5075</v>
      </c>
      <c r="AC4684" t="str">
        <f>HYPERLINK("plots/3FT6Y578R04_015_S31P_20251219032831_M5358ACSA301811_RBGEUFRF04/dpll_52084/txpa_55209.png","plot")</f>
        <v>plot</v>
      </c>
    </row>
    <row r="4685" spans="1:29" hidden="1" x14ac:dyDescent="0.35">
      <c r="A4685" t="s">
        <v>50</v>
      </c>
      <c r="B4685">
        <v>52084</v>
      </c>
      <c r="C4685" t="s">
        <v>52</v>
      </c>
      <c r="D4685">
        <v>55210</v>
      </c>
      <c r="E4685" t="s">
        <v>343</v>
      </c>
      <c r="F4685">
        <v>11781</v>
      </c>
      <c r="G4685">
        <v>0.75929077312670268</v>
      </c>
      <c r="H4685">
        <v>0</v>
      </c>
      <c r="I4685">
        <v>0</v>
      </c>
      <c r="J4685">
        <v>0.67359284712967482</v>
      </c>
      <c r="K4685">
        <v>0</v>
      </c>
      <c r="L4685">
        <v>0</v>
      </c>
      <c r="M4685">
        <v>0.48933265248918728</v>
      </c>
      <c r="N4685">
        <v>0</v>
      </c>
      <c r="O4685">
        <v>0</v>
      </c>
      <c r="P4685">
        <v>0.57652247815534585</v>
      </c>
      <c r="Q4685">
        <v>1.2191685196021571</v>
      </c>
      <c r="R4685">
        <v>1.4690134366399761</v>
      </c>
      <c r="S4685">
        <v>0.20198049495442449</v>
      </c>
      <c r="T4685">
        <v>0.1554013617324696</v>
      </c>
      <c r="U4685">
        <v>4.2695633024361257</v>
      </c>
      <c r="V4685">
        <v>0.19331122175495491</v>
      </c>
      <c r="W4685">
        <v>6.6743306074187254</v>
      </c>
      <c r="X4685">
        <v>0.31039354670275288</v>
      </c>
      <c r="Z4685" t="s">
        <v>392</v>
      </c>
      <c r="AA4685">
        <v>161</v>
      </c>
      <c r="AB4685" t="s">
        <v>5076</v>
      </c>
      <c r="AC4685" t="str">
        <f>HYPERLINK("plots/3FT6Y578R04_015_S31P_20251219032831_M5358ACSA301811_RBGEUFRF04/dpll_52084/txpa_55210.png","plot")</f>
        <v>plot</v>
      </c>
    </row>
    <row r="4686" spans="1:29" hidden="1" x14ac:dyDescent="0.35">
      <c r="A4686" t="s">
        <v>50</v>
      </c>
      <c r="B4686">
        <v>52084</v>
      </c>
      <c r="C4686" t="s">
        <v>52</v>
      </c>
      <c r="D4686">
        <v>55211</v>
      </c>
      <c r="E4686" t="s">
        <v>344</v>
      </c>
      <c r="F4686">
        <v>11782</v>
      </c>
      <c r="G4686">
        <v>0.74949756761340558</v>
      </c>
      <c r="H4686">
        <v>0</v>
      </c>
      <c r="I4686">
        <v>0</v>
      </c>
      <c r="J4686">
        <v>0.67581178843969114</v>
      </c>
      <c r="K4686">
        <v>0</v>
      </c>
      <c r="L4686">
        <v>0</v>
      </c>
      <c r="M4686">
        <v>0.48849920490864968</v>
      </c>
      <c r="N4686">
        <v>0</v>
      </c>
      <c r="O4686">
        <v>0</v>
      </c>
      <c r="P4686">
        <v>0.56174660385841146</v>
      </c>
      <c r="Q4686">
        <v>1.2520310209057399</v>
      </c>
      <c r="R4686">
        <v>2.3397431304208491</v>
      </c>
      <c r="S4686">
        <v>0.2137763699736567</v>
      </c>
      <c r="T4686">
        <v>0.16151050328976721</v>
      </c>
      <c r="U4686">
        <v>4.2695416864708866</v>
      </c>
      <c r="V4686">
        <v>0.1933172563537221</v>
      </c>
      <c r="W4686">
        <v>7.6853417669326101</v>
      </c>
      <c r="X4686">
        <v>0.32293527329509952</v>
      </c>
      <c r="Z4686" t="s">
        <v>392</v>
      </c>
      <c r="AA4686">
        <v>161</v>
      </c>
      <c r="AB4686" t="s">
        <v>5077</v>
      </c>
      <c r="AC4686" t="str">
        <f>HYPERLINK("plots/3FT6Y578R04_015_S31P_20251219032831_M5358ACSA301811_RBGEUFRF04/dpll_52084/txpa_55211.png","plot")</f>
        <v>plot</v>
      </c>
    </row>
    <row r="4687" spans="1:29" hidden="1" x14ac:dyDescent="0.35">
      <c r="A4687" t="s">
        <v>50</v>
      </c>
      <c r="B4687">
        <v>52084</v>
      </c>
      <c r="C4687" t="s">
        <v>52</v>
      </c>
      <c r="D4687">
        <v>55212</v>
      </c>
      <c r="E4687" t="s">
        <v>345</v>
      </c>
      <c r="F4687">
        <v>11782</v>
      </c>
      <c r="G4687">
        <v>0.76834913000745853</v>
      </c>
      <c r="H4687">
        <v>0</v>
      </c>
      <c r="I4687">
        <v>0</v>
      </c>
      <c r="J4687">
        <v>0.68802242279055326</v>
      </c>
      <c r="K4687">
        <v>0</v>
      </c>
      <c r="L4687">
        <v>0</v>
      </c>
      <c r="M4687">
        <v>0.50167539058815092</v>
      </c>
      <c r="N4687">
        <v>0</v>
      </c>
      <c r="O4687">
        <v>0</v>
      </c>
      <c r="P4687">
        <v>0.59036038558321835</v>
      </c>
      <c r="Q4687">
        <v>1.283574718787573</v>
      </c>
      <c r="R4687">
        <v>2.2368518553726529</v>
      </c>
      <c r="S4687">
        <v>0.2066882160109248</v>
      </c>
      <c r="T4687">
        <v>0.15883065732948781</v>
      </c>
      <c r="U4687">
        <v>4.2695416864708866</v>
      </c>
      <c r="V4687">
        <v>0.1933172563537221</v>
      </c>
      <c r="W4687">
        <v>7.7171276249363423</v>
      </c>
      <c r="X4687">
        <v>0.32294842704982968</v>
      </c>
      <c r="Z4687" t="s">
        <v>392</v>
      </c>
      <c r="AA4687">
        <v>161</v>
      </c>
      <c r="AB4687" t="s">
        <v>5078</v>
      </c>
      <c r="AC4687" t="str">
        <f>HYPERLINK("plots/3FT6Y578R04_015_S31P_20251219032831_M5358ACSA301811_RBGEUFRF04/dpll_52084/txpa_55212.png","plot")</f>
        <v>plot</v>
      </c>
    </row>
    <row r="4688" spans="1:29" hidden="1" x14ac:dyDescent="0.35">
      <c r="A4688" t="s">
        <v>50</v>
      </c>
      <c r="B4688">
        <v>52084</v>
      </c>
      <c r="C4688" t="s">
        <v>52</v>
      </c>
      <c r="D4688">
        <v>55213</v>
      </c>
      <c r="E4688" t="s">
        <v>346</v>
      </c>
      <c r="F4688">
        <v>11782</v>
      </c>
      <c r="G4688">
        <v>0.76050271433824279</v>
      </c>
      <c r="H4688">
        <v>0</v>
      </c>
      <c r="I4688">
        <v>0</v>
      </c>
      <c r="J4688">
        <v>0.67880065437434778</v>
      </c>
      <c r="K4688">
        <v>0</v>
      </c>
      <c r="L4688">
        <v>0</v>
      </c>
      <c r="M4688">
        <v>0.49281974520212679</v>
      </c>
      <c r="N4688">
        <v>0</v>
      </c>
      <c r="O4688">
        <v>0</v>
      </c>
      <c r="P4688">
        <v>0.57836437851583489</v>
      </c>
      <c r="Q4688">
        <v>1.255678755739793</v>
      </c>
      <c r="R4688">
        <v>2.3697321670675708</v>
      </c>
      <c r="S4688">
        <v>0.2072519460596616</v>
      </c>
      <c r="T4688">
        <v>0.15829907553261979</v>
      </c>
      <c r="U4688">
        <v>4.2695416864708866</v>
      </c>
      <c r="V4688">
        <v>0.1933172563537221</v>
      </c>
      <c r="W4688">
        <v>7.730904959514513</v>
      </c>
      <c r="X4688">
        <v>0.319189356388423</v>
      </c>
      <c r="Z4688" t="s">
        <v>392</v>
      </c>
      <c r="AA4688">
        <v>161</v>
      </c>
      <c r="AB4688" t="s">
        <v>5079</v>
      </c>
      <c r="AC4688" t="str">
        <f>HYPERLINK("plots/3FT6Y578R04_015_S31P_20251219032831_M5358ACSA301811_RBGEUFRF04/dpll_52084/txpa_55213.png","plot")</f>
        <v>plot</v>
      </c>
    </row>
    <row r="4689" spans="1:29" hidden="1" x14ac:dyDescent="0.35">
      <c r="A4689" t="s">
        <v>50</v>
      </c>
      <c r="B4689">
        <v>52084</v>
      </c>
      <c r="C4689" t="s">
        <v>52</v>
      </c>
      <c r="D4689">
        <v>55214</v>
      </c>
      <c r="E4689" t="s">
        <v>347</v>
      </c>
      <c r="F4689">
        <v>11781</v>
      </c>
      <c r="G4689">
        <v>0.77434201499780575</v>
      </c>
      <c r="H4689">
        <v>0</v>
      </c>
      <c r="I4689">
        <v>0</v>
      </c>
      <c r="J4689">
        <v>0.68931179919953611</v>
      </c>
      <c r="K4689">
        <v>0</v>
      </c>
      <c r="L4689">
        <v>0</v>
      </c>
      <c r="M4689">
        <v>0.50255376091623494</v>
      </c>
      <c r="N4689">
        <v>0</v>
      </c>
      <c r="O4689">
        <v>0</v>
      </c>
      <c r="P4689">
        <v>0.59960555619086198</v>
      </c>
      <c r="Q4689">
        <v>1.284840049274804</v>
      </c>
      <c r="R4689">
        <v>2.250628490415449</v>
      </c>
      <c r="S4689">
        <v>0.20296784873625809</v>
      </c>
      <c r="T4689">
        <v>0.15685572342448459</v>
      </c>
      <c r="U4689">
        <v>4.2695489746201511</v>
      </c>
      <c r="V4689">
        <v>0.19332384277072681</v>
      </c>
      <c r="W4689">
        <v>7.736316005347593</v>
      </c>
      <c r="X4689">
        <v>0.32077584692629513</v>
      </c>
      <c r="Z4689" t="s">
        <v>392</v>
      </c>
      <c r="AA4689">
        <v>161</v>
      </c>
      <c r="AB4689" t="s">
        <v>5080</v>
      </c>
      <c r="AC4689" t="str">
        <f>HYPERLINK("plots/3FT6Y578R04_015_S31P_20251219032831_M5358ACSA301811_RBGEUFRF04/dpll_52084/txpa_55214.png","plot")</f>
        <v>plot</v>
      </c>
    </row>
    <row r="4690" spans="1:29" hidden="1" x14ac:dyDescent="0.35">
      <c r="A4690" t="s">
        <v>50</v>
      </c>
      <c r="B4690">
        <v>52084</v>
      </c>
      <c r="C4690" t="s">
        <v>52</v>
      </c>
      <c r="D4690">
        <v>55215</v>
      </c>
      <c r="E4690" t="s">
        <v>348</v>
      </c>
      <c r="F4690">
        <v>11781</v>
      </c>
      <c r="G4690">
        <v>0.77634096961323251</v>
      </c>
      <c r="H4690">
        <v>0</v>
      </c>
      <c r="I4690">
        <v>0</v>
      </c>
      <c r="J4690">
        <v>0.68535741703690056</v>
      </c>
      <c r="K4690">
        <v>0</v>
      </c>
      <c r="L4690">
        <v>0</v>
      </c>
      <c r="M4690">
        <v>0.49782094500547791</v>
      </c>
      <c r="N4690">
        <v>0</v>
      </c>
      <c r="O4690">
        <v>0</v>
      </c>
      <c r="P4690">
        <v>0.60270530110001397</v>
      </c>
      <c r="Q4690">
        <v>1.2839851159691329</v>
      </c>
      <c r="R4690">
        <v>2.2325861640229951</v>
      </c>
      <c r="S4690">
        <v>0.20150884588671891</v>
      </c>
      <c r="T4690">
        <v>0.15616486924656331</v>
      </c>
      <c r="U4690">
        <v>4.2695174021729896</v>
      </c>
      <c r="V4690">
        <v>0.19330748901132719</v>
      </c>
      <c r="W4690">
        <v>7.7145829607843126</v>
      </c>
      <c r="X4690">
        <v>0.31970995788044559</v>
      </c>
      <c r="Z4690" t="s">
        <v>392</v>
      </c>
      <c r="AA4690">
        <v>161</v>
      </c>
      <c r="AB4690" t="s">
        <v>5081</v>
      </c>
      <c r="AC4690" t="str">
        <f>HYPERLINK("plots/3FT6Y578R04_015_S31P_20251219032831_M5358ACSA301811_RBGEUFRF04/dpll_52084/txpa_55215.png","plot")</f>
        <v>plot</v>
      </c>
    </row>
    <row r="4691" spans="1:29" hidden="1" x14ac:dyDescent="0.35">
      <c r="A4691" t="s">
        <v>50</v>
      </c>
      <c r="B4691">
        <v>52084</v>
      </c>
      <c r="C4691" t="s">
        <v>52</v>
      </c>
      <c r="D4691">
        <v>55216</v>
      </c>
      <c r="E4691" t="s">
        <v>349</v>
      </c>
      <c r="F4691">
        <v>11781</v>
      </c>
      <c r="G4691">
        <v>0.78024170863774034</v>
      </c>
      <c r="H4691">
        <v>0</v>
      </c>
      <c r="I4691">
        <v>0</v>
      </c>
      <c r="J4691">
        <v>0.69647396970063691</v>
      </c>
      <c r="K4691">
        <v>0</v>
      </c>
      <c r="L4691">
        <v>0</v>
      </c>
      <c r="M4691">
        <v>0.50866151300565954</v>
      </c>
      <c r="N4691">
        <v>0</v>
      </c>
      <c r="O4691">
        <v>0</v>
      </c>
      <c r="P4691">
        <v>0.60877712389794048</v>
      </c>
      <c r="Q4691">
        <v>1.30002199422658</v>
      </c>
      <c r="R4691">
        <v>2.1756902007549659</v>
      </c>
      <c r="S4691">
        <v>0.20144092911040201</v>
      </c>
      <c r="T4691">
        <v>0.15630633737690899</v>
      </c>
      <c r="U4691">
        <v>4.2695129435531793</v>
      </c>
      <c r="V4691">
        <v>0.1933002831720991</v>
      </c>
      <c r="W4691">
        <v>7.7261509320091672</v>
      </c>
      <c r="X4691">
        <v>0.32207278441023329</v>
      </c>
      <c r="Z4691" t="s">
        <v>392</v>
      </c>
      <c r="AA4691">
        <v>161</v>
      </c>
      <c r="AB4691" t="s">
        <v>5082</v>
      </c>
      <c r="AC4691" t="str">
        <f>HYPERLINK("plots/3FT6Y578R04_015_S31P_20251219032831_M5358ACSA301811_RBGEUFRF04/dpll_52084/txpa_55216.png","plot")</f>
        <v>plot</v>
      </c>
    </row>
    <row r="4692" spans="1:29" hidden="1" x14ac:dyDescent="0.35">
      <c r="A4692" t="s">
        <v>50</v>
      </c>
      <c r="B4692">
        <v>52084</v>
      </c>
      <c r="C4692" t="s">
        <v>52</v>
      </c>
      <c r="D4692">
        <v>55217</v>
      </c>
      <c r="E4692" t="s">
        <v>350</v>
      </c>
      <c r="F4692">
        <v>11782</v>
      </c>
      <c r="G4692">
        <v>0.77708946064973505</v>
      </c>
      <c r="H4692">
        <v>0</v>
      </c>
      <c r="I4692">
        <v>0</v>
      </c>
      <c r="J4692">
        <v>0.68735312152099659</v>
      </c>
      <c r="K4692">
        <v>0</v>
      </c>
      <c r="L4692">
        <v>0</v>
      </c>
      <c r="M4692">
        <v>0.50006955578855428</v>
      </c>
      <c r="N4692">
        <v>0</v>
      </c>
      <c r="O4692">
        <v>0</v>
      </c>
      <c r="P4692">
        <v>0.60386802985289612</v>
      </c>
      <c r="Q4692">
        <v>1.282470756132287</v>
      </c>
      <c r="R4692">
        <v>2.2567320212652699</v>
      </c>
      <c r="S4692">
        <v>0.20079301018862419</v>
      </c>
      <c r="T4692">
        <v>0.15632765474191651</v>
      </c>
      <c r="U4692">
        <v>4.2695416864708866</v>
      </c>
      <c r="V4692">
        <v>0.1933172563537221</v>
      </c>
      <c r="W4692">
        <v>7.7322943762519092</v>
      </c>
      <c r="X4692">
        <v>0.31904142377903932</v>
      </c>
      <c r="Z4692" t="s">
        <v>392</v>
      </c>
      <c r="AA4692">
        <v>161</v>
      </c>
      <c r="AB4692" t="s">
        <v>5083</v>
      </c>
      <c r="AC4692" t="str">
        <f>HYPERLINK("plots/3FT6Y578R04_015_S31P_20251219032831_M5358ACSA301811_RBGEUFRF04/dpll_52084/txpa_55217.png","plot")</f>
        <v>plot</v>
      </c>
    </row>
    <row r="4693" spans="1:29" hidden="1" x14ac:dyDescent="0.35">
      <c r="A4693" t="s">
        <v>50</v>
      </c>
      <c r="B4693">
        <v>52084</v>
      </c>
      <c r="C4693" t="s">
        <v>52</v>
      </c>
      <c r="D4693">
        <v>55218</v>
      </c>
      <c r="E4693" t="s">
        <v>351</v>
      </c>
      <c r="F4693">
        <v>11781</v>
      </c>
      <c r="G4693">
        <v>0.76958003473904935</v>
      </c>
      <c r="H4693">
        <v>0</v>
      </c>
      <c r="I4693">
        <v>0</v>
      </c>
      <c r="J4693">
        <v>0.68111356523048028</v>
      </c>
      <c r="K4693">
        <v>0</v>
      </c>
      <c r="L4693">
        <v>0</v>
      </c>
      <c r="M4693">
        <v>0.49578898271713517</v>
      </c>
      <c r="N4693">
        <v>0</v>
      </c>
      <c r="O4693">
        <v>0</v>
      </c>
      <c r="P4693">
        <v>0.59225342986895635</v>
      </c>
      <c r="Q4693">
        <v>1.276429699797863</v>
      </c>
      <c r="R4693">
        <v>2.257782633800582</v>
      </c>
      <c r="S4693">
        <v>0.2047278377601319</v>
      </c>
      <c r="T4693">
        <v>0.1572326010678109</v>
      </c>
      <c r="U4693">
        <v>4.2695633024361257</v>
      </c>
      <c r="V4693">
        <v>0.19331122175495491</v>
      </c>
      <c r="W4693">
        <v>7.7075800381970971</v>
      </c>
      <c r="X4693">
        <v>0.32062706101244298</v>
      </c>
      <c r="Z4693" t="s">
        <v>392</v>
      </c>
      <c r="AA4693">
        <v>161</v>
      </c>
      <c r="AB4693" t="s">
        <v>5084</v>
      </c>
      <c r="AC4693" t="str">
        <f>HYPERLINK("plots/3FT6Y578R04_015_S31P_20251219032831_M5358ACSA301811_RBGEUFRF04/dpll_52084/txpa_55218.png","plot")</f>
        <v>plot</v>
      </c>
    </row>
    <row r="4694" spans="1:29" hidden="1" x14ac:dyDescent="0.35">
      <c r="A4694" t="s">
        <v>50</v>
      </c>
      <c r="B4694">
        <v>52084</v>
      </c>
      <c r="C4694" t="s">
        <v>52</v>
      </c>
      <c r="D4694">
        <v>55219</v>
      </c>
      <c r="E4694" t="s">
        <v>352</v>
      </c>
      <c r="F4694">
        <v>11782</v>
      </c>
      <c r="G4694">
        <v>0.7603885819723627</v>
      </c>
      <c r="H4694">
        <v>0</v>
      </c>
      <c r="I4694">
        <v>0</v>
      </c>
      <c r="J4694">
        <v>0.68396059229519923</v>
      </c>
      <c r="K4694">
        <v>0</v>
      </c>
      <c r="L4694">
        <v>0</v>
      </c>
      <c r="M4694">
        <v>0.49552635224798092</v>
      </c>
      <c r="N4694">
        <v>0</v>
      </c>
      <c r="O4694">
        <v>0</v>
      </c>
      <c r="P4694">
        <v>0.5781907955939406</v>
      </c>
      <c r="Q4694">
        <v>1.3113397454684781</v>
      </c>
      <c r="R4694">
        <v>3.119793850414744</v>
      </c>
      <c r="S4694">
        <v>0.21651593031151151</v>
      </c>
      <c r="T4694">
        <v>0.16316807388447591</v>
      </c>
      <c r="U4694">
        <v>4.2695416864708866</v>
      </c>
      <c r="V4694">
        <v>0.1933172563537221</v>
      </c>
      <c r="W4694">
        <v>8.7186135588185358</v>
      </c>
      <c r="X4694">
        <v>0.33338822774533522</v>
      </c>
      <c r="Z4694" t="s">
        <v>392</v>
      </c>
      <c r="AA4694">
        <v>161</v>
      </c>
      <c r="AB4694" t="s">
        <v>5085</v>
      </c>
      <c r="AC4694" t="str">
        <f>HYPERLINK("plots/3FT6Y578R04_015_S31P_20251219032831_M5358ACSA301811_RBGEUFRF04/dpll_52084/txpa_55219.png","plot")</f>
        <v>plot</v>
      </c>
    </row>
    <row r="4695" spans="1:29" hidden="1" x14ac:dyDescent="0.35">
      <c r="A4695" t="s">
        <v>50</v>
      </c>
      <c r="B4695">
        <v>52084</v>
      </c>
      <c r="C4695" t="s">
        <v>52</v>
      </c>
      <c r="D4695">
        <v>55220</v>
      </c>
      <c r="E4695" t="s">
        <v>353</v>
      </c>
      <c r="F4695">
        <v>11782</v>
      </c>
      <c r="G4695">
        <v>0.77839904849126629</v>
      </c>
      <c r="H4695">
        <v>0</v>
      </c>
      <c r="I4695">
        <v>0</v>
      </c>
      <c r="J4695">
        <v>0.69565368966167263</v>
      </c>
      <c r="K4695">
        <v>0</v>
      </c>
      <c r="L4695">
        <v>0</v>
      </c>
      <c r="M4695">
        <v>0.50841593931909834</v>
      </c>
      <c r="N4695">
        <v>0</v>
      </c>
      <c r="O4695">
        <v>0</v>
      </c>
      <c r="P4695">
        <v>0.60590507869210875</v>
      </c>
      <c r="Q4695">
        <v>1.34260299278673</v>
      </c>
      <c r="R4695">
        <v>3.0163734883928051</v>
      </c>
      <c r="S4695">
        <v>0.2093138303805144</v>
      </c>
      <c r="T4695">
        <v>0.16052360399243201</v>
      </c>
      <c r="U4695">
        <v>4.2695416864708866</v>
      </c>
      <c r="V4695">
        <v>0.1933172563537221</v>
      </c>
      <c r="W4695">
        <v>8.7486729344763194</v>
      </c>
      <c r="X4695">
        <v>0.33343864877648161</v>
      </c>
      <c r="Z4695" t="s">
        <v>392</v>
      </c>
      <c r="AA4695">
        <v>161</v>
      </c>
      <c r="AB4695" t="s">
        <v>5086</v>
      </c>
      <c r="AC4695" t="str">
        <f>HYPERLINK("plots/3FT6Y578R04_015_S31P_20251219032831_M5358ACSA301811_RBGEUFRF04/dpll_52084/txpa_55220.png","plot")</f>
        <v>plot</v>
      </c>
    </row>
    <row r="4696" spans="1:29" hidden="1" x14ac:dyDescent="0.35">
      <c r="A4696" t="s">
        <v>50</v>
      </c>
      <c r="B4696">
        <v>52084</v>
      </c>
      <c r="C4696" t="s">
        <v>52</v>
      </c>
      <c r="D4696">
        <v>55221</v>
      </c>
      <c r="E4696" t="s">
        <v>354</v>
      </c>
      <c r="F4696">
        <v>11782</v>
      </c>
      <c r="G4696">
        <v>0.77125148474874727</v>
      </c>
      <c r="H4696">
        <v>0</v>
      </c>
      <c r="I4696">
        <v>0</v>
      </c>
      <c r="J4696">
        <v>0.68705255118171082</v>
      </c>
      <c r="K4696">
        <v>0</v>
      </c>
      <c r="L4696">
        <v>0</v>
      </c>
      <c r="M4696">
        <v>0.49998755785441279</v>
      </c>
      <c r="N4696">
        <v>0</v>
      </c>
      <c r="O4696">
        <v>0</v>
      </c>
      <c r="P4696">
        <v>0.59482885272714714</v>
      </c>
      <c r="Q4696">
        <v>1.314521172130555</v>
      </c>
      <c r="R4696">
        <v>3.1499619783119299</v>
      </c>
      <c r="S4696">
        <v>0.20972153099665761</v>
      </c>
      <c r="T4696">
        <v>0.15972910104811999</v>
      </c>
      <c r="U4696">
        <v>4.2695416864708866</v>
      </c>
      <c r="V4696">
        <v>0.1933172563537221</v>
      </c>
      <c r="W4696">
        <v>8.7623649204719065</v>
      </c>
      <c r="X4696">
        <v>0.32948996720303608</v>
      </c>
      <c r="Z4696" t="s">
        <v>392</v>
      </c>
      <c r="AA4696">
        <v>161</v>
      </c>
      <c r="AB4696" t="s">
        <v>5087</v>
      </c>
      <c r="AC4696" t="str">
        <f>HYPERLINK("plots/3FT6Y578R04_015_S31P_20251219032831_M5358ACSA301811_RBGEUFRF04/dpll_52084/txpa_55221.png","plot")</f>
        <v>plot</v>
      </c>
    </row>
    <row r="4697" spans="1:29" hidden="1" x14ac:dyDescent="0.35">
      <c r="A4697" t="s">
        <v>50</v>
      </c>
      <c r="B4697">
        <v>52084</v>
      </c>
      <c r="C4697" t="s">
        <v>52</v>
      </c>
      <c r="D4697">
        <v>55222</v>
      </c>
      <c r="E4697" t="s">
        <v>355</v>
      </c>
      <c r="F4697">
        <v>11781</v>
      </c>
      <c r="G4697">
        <v>0.78425206693706628</v>
      </c>
      <c r="H4697">
        <v>0</v>
      </c>
      <c r="I4697">
        <v>0</v>
      </c>
      <c r="J4697">
        <v>0.69686384223378195</v>
      </c>
      <c r="K4697">
        <v>0</v>
      </c>
      <c r="L4697">
        <v>0</v>
      </c>
      <c r="M4697">
        <v>0.5091920172470894</v>
      </c>
      <c r="N4697">
        <v>0</v>
      </c>
      <c r="O4697">
        <v>0</v>
      </c>
      <c r="P4697">
        <v>0.61505130449506074</v>
      </c>
      <c r="Q4697">
        <v>1.343769684200157</v>
      </c>
      <c r="R4697">
        <v>3.030030299202116</v>
      </c>
      <c r="S4697">
        <v>0.2055121863966774</v>
      </c>
      <c r="T4697">
        <v>0.15847770370577971</v>
      </c>
      <c r="U4697">
        <v>4.2695489746201511</v>
      </c>
      <c r="V4697">
        <v>0.19332384277072681</v>
      </c>
      <c r="W4697">
        <v>8.7673207765045422</v>
      </c>
      <c r="X4697">
        <v>0.33124900794074319</v>
      </c>
      <c r="Z4697" t="s">
        <v>392</v>
      </c>
      <c r="AA4697">
        <v>161</v>
      </c>
      <c r="AB4697" t="s">
        <v>5088</v>
      </c>
      <c r="AC4697" t="str">
        <f>HYPERLINK("plots/3FT6Y578R04_015_S31P_20251219032831_M5358ACSA301811_RBGEUFRF04/dpll_52084/txpa_55222.png","plot")</f>
        <v>plot</v>
      </c>
    </row>
    <row r="4698" spans="1:29" hidden="1" x14ac:dyDescent="0.35">
      <c r="A4698" t="s">
        <v>50</v>
      </c>
      <c r="B4698">
        <v>52084</v>
      </c>
      <c r="C4698" t="s">
        <v>52</v>
      </c>
      <c r="D4698">
        <v>55223</v>
      </c>
      <c r="E4698" t="s">
        <v>356</v>
      </c>
      <c r="F4698">
        <v>11781</v>
      </c>
      <c r="G4698">
        <v>0.78644249824515</v>
      </c>
      <c r="H4698">
        <v>0</v>
      </c>
      <c r="I4698">
        <v>0</v>
      </c>
      <c r="J4698">
        <v>0.69321056286597948</v>
      </c>
      <c r="K4698">
        <v>0</v>
      </c>
      <c r="L4698">
        <v>0</v>
      </c>
      <c r="M4698">
        <v>0.50473418102856293</v>
      </c>
      <c r="N4698">
        <v>0</v>
      </c>
      <c r="O4698">
        <v>0</v>
      </c>
      <c r="P4698">
        <v>0.61849180304607276</v>
      </c>
      <c r="Q4698">
        <v>1.3434285405376949</v>
      </c>
      <c r="R4698">
        <v>3.009228499768891</v>
      </c>
      <c r="S4698">
        <v>0.20395285066284541</v>
      </c>
      <c r="T4698">
        <v>0.15770984197741081</v>
      </c>
      <c r="U4698">
        <v>4.2695174021729896</v>
      </c>
      <c r="V4698">
        <v>0.19330748901132719</v>
      </c>
      <c r="W4698">
        <v>8.7450200321704443</v>
      </c>
      <c r="X4698">
        <v>0.33021460363214211</v>
      </c>
      <c r="Z4698" t="s">
        <v>392</v>
      </c>
      <c r="AA4698">
        <v>161</v>
      </c>
      <c r="AB4698" t="s">
        <v>5089</v>
      </c>
      <c r="AC4698" t="str">
        <f>HYPERLINK("plots/3FT6Y578R04_015_S31P_20251219032831_M5358ACSA301811_RBGEUFRF04/dpll_52084/txpa_55223.png","plot")</f>
        <v>plot</v>
      </c>
    </row>
    <row r="4699" spans="1:29" hidden="1" x14ac:dyDescent="0.35">
      <c r="A4699" t="s">
        <v>50</v>
      </c>
      <c r="B4699">
        <v>52084</v>
      </c>
      <c r="C4699" t="s">
        <v>52</v>
      </c>
      <c r="D4699">
        <v>55224</v>
      </c>
      <c r="E4699" t="s">
        <v>357</v>
      </c>
      <c r="F4699">
        <v>11781</v>
      </c>
      <c r="G4699">
        <v>0.78984049655769539</v>
      </c>
      <c r="H4699">
        <v>0</v>
      </c>
      <c r="I4699">
        <v>0</v>
      </c>
      <c r="J4699">
        <v>0.70350420645726663</v>
      </c>
      <c r="K4699">
        <v>0</v>
      </c>
      <c r="L4699">
        <v>0</v>
      </c>
      <c r="M4699">
        <v>0.51495828048515691</v>
      </c>
      <c r="N4699">
        <v>0</v>
      </c>
      <c r="O4699">
        <v>0</v>
      </c>
      <c r="P4699">
        <v>0.62384801000250678</v>
      </c>
      <c r="Q4699">
        <v>1.3587832651173239</v>
      </c>
      <c r="R4699">
        <v>2.9560833629384722</v>
      </c>
      <c r="S4699">
        <v>0.20394193320010201</v>
      </c>
      <c r="T4699">
        <v>0.15795359821751631</v>
      </c>
      <c r="U4699">
        <v>4.2695129435531793</v>
      </c>
      <c r="V4699">
        <v>0.1933002831720991</v>
      </c>
      <c r="W4699">
        <v>8.7574261008403358</v>
      </c>
      <c r="X4699">
        <v>0.332539533059384</v>
      </c>
      <c r="Z4699" t="s">
        <v>392</v>
      </c>
      <c r="AA4699">
        <v>161</v>
      </c>
      <c r="AB4699" t="s">
        <v>5090</v>
      </c>
      <c r="AC4699" t="str">
        <f>HYPERLINK("plots/3FT6Y578R04_015_S31P_20251219032831_M5358ACSA301811_RBGEUFRF04/dpll_52084/txpa_55224.png","plot")</f>
        <v>plot</v>
      </c>
    </row>
    <row r="4700" spans="1:29" hidden="1" x14ac:dyDescent="0.35">
      <c r="A4700" t="s">
        <v>50</v>
      </c>
      <c r="B4700">
        <v>52084</v>
      </c>
      <c r="C4700" t="s">
        <v>52</v>
      </c>
      <c r="D4700">
        <v>55225</v>
      </c>
      <c r="E4700" t="s">
        <v>358</v>
      </c>
      <c r="F4700">
        <v>11782</v>
      </c>
      <c r="G4700">
        <v>0.78710659569771235</v>
      </c>
      <c r="H4700">
        <v>0</v>
      </c>
      <c r="I4700">
        <v>0</v>
      </c>
      <c r="J4700">
        <v>0.69469922982573051</v>
      </c>
      <c r="K4700">
        <v>0</v>
      </c>
      <c r="L4700">
        <v>0</v>
      </c>
      <c r="M4700">
        <v>0.50657447750727047</v>
      </c>
      <c r="N4700">
        <v>0</v>
      </c>
      <c r="O4700">
        <v>0</v>
      </c>
      <c r="P4700">
        <v>0.61953679299084197</v>
      </c>
      <c r="Q4700">
        <v>1.341543452057284</v>
      </c>
      <c r="R4700">
        <v>3.0359888250531659</v>
      </c>
      <c r="S4700">
        <v>0.2032262090528896</v>
      </c>
      <c r="T4700">
        <v>0.15782225090826479</v>
      </c>
      <c r="U4700">
        <v>4.2695416864708866</v>
      </c>
      <c r="V4700">
        <v>0.1933172563537221</v>
      </c>
      <c r="W4700">
        <v>8.7637645178237982</v>
      </c>
      <c r="X4700">
        <v>0.32948967884219832</v>
      </c>
      <c r="Z4700" t="s">
        <v>392</v>
      </c>
      <c r="AA4700">
        <v>161</v>
      </c>
      <c r="AB4700" t="s">
        <v>5091</v>
      </c>
      <c r="AC4700" t="str">
        <f>HYPERLINK("plots/3FT6Y578R04_015_S31P_20251219032831_M5358ACSA301811_RBGEUFRF04/dpll_52084/txpa_55225.png","plot")</f>
        <v>plot</v>
      </c>
    </row>
    <row r="4701" spans="1:29" hidden="1" x14ac:dyDescent="0.35">
      <c r="A4701" t="s">
        <v>50</v>
      </c>
      <c r="B4701">
        <v>52084</v>
      </c>
      <c r="C4701" t="s">
        <v>52</v>
      </c>
      <c r="D4701">
        <v>55226</v>
      </c>
      <c r="E4701" t="s">
        <v>359</v>
      </c>
      <c r="F4701">
        <v>11781</v>
      </c>
      <c r="G4701">
        <v>0.77983360846671623</v>
      </c>
      <c r="H4701">
        <v>0</v>
      </c>
      <c r="I4701">
        <v>0</v>
      </c>
      <c r="J4701">
        <v>0.68856695694224046</v>
      </c>
      <c r="K4701">
        <v>0</v>
      </c>
      <c r="L4701">
        <v>0</v>
      </c>
      <c r="M4701">
        <v>0.50229100959122286</v>
      </c>
      <c r="N4701">
        <v>0</v>
      </c>
      <c r="O4701">
        <v>0</v>
      </c>
      <c r="P4701">
        <v>0.60814045689421969</v>
      </c>
      <c r="Q4701">
        <v>1.3348269170460321</v>
      </c>
      <c r="R4701">
        <v>3.0416061684002051</v>
      </c>
      <c r="S4701">
        <v>0.207122297296887</v>
      </c>
      <c r="T4701">
        <v>0.15874570037941629</v>
      </c>
      <c r="U4701">
        <v>4.2695633024361257</v>
      </c>
      <c r="V4701">
        <v>0.19331122175495491</v>
      </c>
      <c r="W4701">
        <v>8.7407341885238949</v>
      </c>
      <c r="X4701">
        <v>0.33088728077892449</v>
      </c>
      <c r="Z4701" t="s">
        <v>392</v>
      </c>
      <c r="AA4701">
        <v>161</v>
      </c>
      <c r="AB4701" t="s">
        <v>5092</v>
      </c>
      <c r="AC4701" t="str">
        <f>HYPERLINK("plots/3FT6Y578R04_015_S31P_20251219032831_M5358ACSA301811_RBGEUFRF04/dpll_52084/txpa_55226.png","plot")</f>
        <v>plot</v>
      </c>
    </row>
    <row r="4702" spans="1:29" hidden="1" x14ac:dyDescent="0.35">
      <c r="A4702" t="s">
        <v>50</v>
      </c>
      <c r="B4702">
        <v>52084</v>
      </c>
      <c r="C4702" t="s">
        <v>52</v>
      </c>
      <c r="D4702">
        <v>55227</v>
      </c>
      <c r="E4702" t="s">
        <v>360</v>
      </c>
      <c r="F4702">
        <v>11782</v>
      </c>
      <c r="G4702">
        <v>0.76349738272824019</v>
      </c>
      <c r="H4702">
        <v>0</v>
      </c>
      <c r="I4702">
        <v>0</v>
      </c>
      <c r="J4702">
        <v>0.68600660602799834</v>
      </c>
      <c r="K4702">
        <v>0</v>
      </c>
      <c r="L4702">
        <v>0</v>
      </c>
      <c r="M4702">
        <v>0.49734118048934672</v>
      </c>
      <c r="N4702">
        <v>0</v>
      </c>
      <c r="O4702">
        <v>0</v>
      </c>
      <c r="P4702">
        <v>0.58292825343287291</v>
      </c>
      <c r="Q4702">
        <v>1.334123323453003</v>
      </c>
      <c r="R4702">
        <v>3.530248546423846</v>
      </c>
      <c r="S4702">
        <v>0.21814537060329681</v>
      </c>
      <c r="T4702">
        <v>0.16419146885370051</v>
      </c>
      <c r="U4702">
        <v>4.2695416864708866</v>
      </c>
      <c r="V4702">
        <v>0.1933172563537221</v>
      </c>
      <c r="W4702">
        <v>9.2263436907995242</v>
      </c>
      <c r="X4702">
        <v>0.33779953456532558</v>
      </c>
      <c r="Z4702" t="s">
        <v>392</v>
      </c>
      <c r="AA4702">
        <v>161</v>
      </c>
      <c r="AB4702" t="s">
        <v>5093</v>
      </c>
      <c r="AC4702" t="str">
        <f>HYPERLINK("plots/3FT6Y578R04_015_S31P_20251219032831_M5358ACSA301811_RBGEUFRF04/dpll_52084/txpa_55227.png","plot")</f>
        <v>plot</v>
      </c>
    </row>
    <row r="4703" spans="1:29" hidden="1" x14ac:dyDescent="0.35">
      <c r="A4703" t="s">
        <v>50</v>
      </c>
      <c r="B4703">
        <v>52084</v>
      </c>
      <c r="C4703" t="s">
        <v>52</v>
      </c>
      <c r="D4703">
        <v>55228</v>
      </c>
      <c r="E4703" t="s">
        <v>361</v>
      </c>
      <c r="F4703">
        <v>11782</v>
      </c>
      <c r="G4703">
        <v>0.78114300943052273</v>
      </c>
      <c r="H4703">
        <v>0</v>
      </c>
      <c r="I4703">
        <v>0</v>
      </c>
      <c r="J4703">
        <v>0.69763595791028277</v>
      </c>
      <c r="K4703">
        <v>0</v>
      </c>
      <c r="L4703">
        <v>0</v>
      </c>
      <c r="M4703">
        <v>0.51020285128364429</v>
      </c>
      <c r="N4703">
        <v>0</v>
      </c>
      <c r="O4703">
        <v>0</v>
      </c>
      <c r="P4703">
        <v>0.61018440118217376</v>
      </c>
      <c r="Q4703">
        <v>1.3652487172395731</v>
      </c>
      <c r="R4703">
        <v>3.4268713374520212</v>
      </c>
      <c r="S4703">
        <v>0.21094198336363551</v>
      </c>
      <c r="T4703">
        <v>0.16151313595815039</v>
      </c>
      <c r="U4703">
        <v>4.2695416864708866</v>
      </c>
      <c r="V4703">
        <v>0.1933172563537221</v>
      </c>
      <c r="W4703">
        <v>9.2558576481072823</v>
      </c>
      <c r="X4703">
        <v>0.33787172524222281</v>
      </c>
      <c r="Z4703" t="s">
        <v>392</v>
      </c>
      <c r="AA4703">
        <v>161</v>
      </c>
      <c r="AB4703" t="s">
        <v>5094</v>
      </c>
      <c r="AC4703" t="str">
        <f>HYPERLINK("plots/3FT6Y578R04_015_S31P_20251219032831_M5358ACSA301811_RBGEUFRF04/dpll_52084/txpa_55228.png","plot")</f>
        <v>plot</v>
      </c>
    </row>
    <row r="4704" spans="1:29" hidden="1" x14ac:dyDescent="0.35">
      <c r="A4704" t="s">
        <v>50</v>
      </c>
      <c r="B4704">
        <v>52084</v>
      </c>
      <c r="C4704" t="s">
        <v>52</v>
      </c>
      <c r="D4704">
        <v>55229</v>
      </c>
      <c r="E4704" t="s">
        <v>362</v>
      </c>
      <c r="F4704">
        <v>11782</v>
      </c>
      <c r="G4704">
        <v>0.7742238647105224</v>
      </c>
      <c r="H4704">
        <v>0</v>
      </c>
      <c r="I4704">
        <v>0</v>
      </c>
      <c r="J4704">
        <v>0.68906244107642778</v>
      </c>
      <c r="K4704">
        <v>0</v>
      </c>
      <c r="L4704">
        <v>0</v>
      </c>
      <c r="M4704">
        <v>0.50175370442097911</v>
      </c>
      <c r="N4704">
        <v>0</v>
      </c>
      <c r="O4704">
        <v>0</v>
      </c>
      <c r="P4704">
        <v>0.59942259268729725</v>
      </c>
      <c r="Q4704">
        <v>1.3375020954310211</v>
      </c>
      <c r="R4704">
        <v>3.559018203900647</v>
      </c>
      <c r="S4704">
        <v>0.21136025996952401</v>
      </c>
      <c r="T4704">
        <v>0.1607545253904907</v>
      </c>
      <c r="U4704">
        <v>4.2695416864708866</v>
      </c>
      <c r="V4704">
        <v>0.1933172563537221</v>
      </c>
      <c r="W4704">
        <v>9.2695391560855533</v>
      </c>
      <c r="X4704">
        <v>0.33396314327349469</v>
      </c>
      <c r="Z4704" t="s">
        <v>392</v>
      </c>
      <c r="AA4704">
        <v>161</v>
      </c>
      <c r="AB4704" t="s">
        <v>5095</v>
      </c>
      <c r="AC4704" t="str">
        <f>HYPERLINK("plots/3FT6Y578R04_015_S31P_20251219032831_M5358ACSA301811_RBGEUFRF04/dpll_52084/txpa_55229.png","plot")</f>
        <v>plot</v>
      </c>
    </row>
    <row r="4705" spans="1:29" hidden="1" x14ac:dyDescent="0.35">
      <c r="A4705" t="s">
        <v>50</v>
      </c>
      <c r="B4705">
        <v>52084</v>
      </c>
      <c r="C4705" t="s">
        <v>52</v>
      </c>
      <c r="D4705">
        <v>55230</v>
      </c>
      <c r="E4705" t="s">
        <v>363</v>
      </c>
      <c r="F4705">
        <v>11781</v>
      </c>
      <c r="G4705">
        <v>0.78701981860026327</v>
      </c>
      <c r="H4705">
        <v>0</v>
      </c>
      <c r="I4705">
        <v>0</v>
      </c>
      <c r="J4705">
        <v>0.69884815028460845</v>
      </c>
      <c r="K4705">
        <v>0</v>
      </c>
      <c r="L4705">
        <v>0</v>
      </c>
      <c r="M4705">
        <v>0.51098740229593675</v>
      </c>
      <c r="N4705">
        <v>0</v>
      </c>
      <c r="O4705">
        <v>0</v>
      </c>
      <c r="P4705">
        <v>0.6194001948695913</v>
      </c>
      <c r="Q4705">
        <v>1.366465671544961</v>
      </c>
      <c r="R4705">
        <v>3.4401270502340839</v>
      </c>
      <c r="S4705">
        <v>0.20706863668803191</v>
      </c>
      <c r="T4705">
        <v>0.15945864736700949</v>
      </c>
      <c r="U4705">
        <v>4.2695489746201511</v>
      </c>
      <c r="V4705">
        <v>0.19332384277072681</v>
      </c>
      <c r="W4705">
        <v>9.2743191570325099</v>
      </c>
      <c r="X4705">
        <v>0.33565913893653671</v>
      </c>
      <c r="Z4705" t="s">
        <v>392</v>
      </c>
      <c r="AA4705">
        <v>161</v>
      </c>
      <c r="AB4705" t="s">
        <v>5096</v>
      </c>
      <c r="AC4705" t="str">
        <f>HYPERLINK("plots/3FT6Y578R04_015_S31P_20251219032831_M5358ACSA301811_RBGEUFRF04/dpll_52084/txpa_55230.png","plot")</f>
        <v>plot</v>
      </c>
    </row>
    <row r="4706" spans="1:29" hidden="1" x14ac:dyDescent="0.35">
      <c r="A4706" t="s">
        <v>50</v>
      </c>
      <c r="B4706">
        <v>52084</v>
      </c>
      <c r="C4706" t="s">
        <v>52</v>
      </c>
      <c r="D4706">
        <v>55231</v>
      </c>
      <c r="E4706" t="s">
        <v>364</v>
      </c>
      <c r="F4706">
        <v>11781</v>
      </c>
      <c r="G4706">
        <v>0.78925576156136645</v>
      </c>
      <c r="H4706">
        <v>0</v>
      </c>
      <c r="I4706">
        <v>0</v>
      </c>
      <c r="J4706">
        <v>0.69523265587635408</v>
      </c>
      <c r="K4706">
        <v>0</v>
      </c>
      <c r="L4706">
        <v>0</v>
      </c>
      <c r="M4706">
        <v>0.50657335829757988</v>
      </c>
      <c r="N4706">
        <v>0</v>
      </c>
      <c r="O4706">
        <v>0</v>
      </c>
      <c r="P4706">
        <v>0.62292465715781253</v>
      </c>
      <c r="Q4706">
        <v>1.3664740243672351</v>
      </c>
      <c r="R4706">
        <v>3.4174170854255039</v>
      </c>
      <c r="S4706">
        <v>0.20550762187886029</v>
      </c>
      <c r="T4706">
        <v>0.15871754384301129</v>
      </c>
      <c r="U4706">
        <v>4.2695174021729896</v>
      </c>
      <c r="V4706">
        <v>0.19330748901132719</v>
      </c>
      <c r="W4706">
        <v>9.2516017120787719</v>
      </c>
      <c r="X4706">
        <v>0.33468195648907528</v>
      </c>
      <c r="Z4706" t="s">
        <v>392</v>
      </c>
      <c r="AA4706">
        <v>161</v>
      </c>
      <c r="AB4706" t="s">
        <v>5097</v>
      </c>
      <c r="AC4706" t="str">
        <f>HYPERLINK("plots/3FT6Y578R04_015_S31P_20251219032831_M5358ACSA301811_RBGEUFRF04/dpll_52084/txpa_55231.png","plot")</f>
        <v>plot</v>
      </c>
    </row>
    <row r="4707" spans="1:29" hidden="1" x14ac:dyDescent="0.35">
      <c r="A4707" t="s">
        <v>50</v>
      </c>
      <c r="B4707">
        <v>52084</v>
      </c>
      <c r="C4707" t="s">
        <v>52</v>
      </c>
      <c r="D4707">
        <v>55232</v>
      </c>
      <c r="E4707" t="s">
        <v>365</v>
      </c>
      <c r="F4707">
        <v>11781</v>
      </c>
      <c r="G4707">
        <v>0.79251950287594464</v>
      </c>
      <c r="H4707">
        <v>0</v>
      </c>
      <c r="I4707">
        <v>0</v>
      </c>
      <c r="J4707">
        <v>0.70515543439700967</v>
      </c>
      <c r="K4707">
        <v>0</v>
      </c>
      <c r="L4707">
        <v>0</v>
      </c>
      <c r="M4707">
        <v>0.51649960872666567</v>
      </c>
      <c r="N4707">
        <v>0</v>
      </c>
      <c r="O4707">
        <v>0</v>
      </c>
      <c r="P4707">
        <v>0.62808716243873441</v>
      </c>
      <c r="Q4707">
        <v>1.381477317872599</v>
      </c>
      <c r="R4707">
        <v>3.3660480308036571</v>
      </c>
      <c r="S4707">
        <v>0.2054794726624346</v>
      </c>
      <c r="T4707">
        <v>0.15893787483104041</v>
      </c>
      <c r="U4707">
        <v>4.2695129435531793</v>
      </c>
      <c r="V4707">
        <v>0.1933002831720991</v>
      </c>
      <c r="W4707">
        <v>9.2642833206858501</v>
      </c>
      <c r="X4707">
        <v>0.33695064382839041</v>
      </c>
      <c r="Z4707" t="s">
        <v>392</v>
      </c>
      <c r="AA4707">
        <v>161</v>
      </c>
      <c r="AB4707" t="s">
        <v>5098</v>
      </c>
      <c r="AC4707" t="str">
        <f>HYPERLINK("plots/3FT6Y578R04_015_S31P_20251219032831_M5358ACSA301811_RBGEUFRF04/dpll_52084/txpa_55232.png","plot")</f>
        <v>plot</v>
      </c>
    </row>
    <row r="4708" spans="1:29" hidden="1" x14ac:dyDescent="0.35">
      <c r="A4708" t="s">
        <v>50</v>
      </c>
      <c r="B4708">
        <v>52084</v>
      </c>
      <c r="C4708" t="s">
        <v>52</v>
      </c>
      <c r="D4708">
        <v>55233</v>
      </c>
      <c r="E4708" t="s">
        <v>366</v>
      </c>
      <c r="F4708">
        <v>11782</v>
      </c>
      <c r="G4708">
        <v>0.78990876259535014</v>
      </c>
      <c r="H4708">
        <v>0</v>
      </c>
      <c r="I4708">
        <v>0</v>
      </c>
      <c r="J4708">
        <v>0.69669241643396396</v>
      </c>
      <c r="K4708">
        <v>0</v>
      </c>
      <c r="L4708">
        <v>0</v>
      </c>
      <c r="M4708">
        <v>0.50840759189137574</v>
      </c>
      <c r="N4708">
        <v>0</v>
      </c>
      <c r="O4708">
        <v>0</v>
      </c>
      <c r="P4708">
        <v>0.6239558532249172</v>
      </c>
      <c r="Q4708">
        <v>1.364469353596186</v>
      </c>
      <c r="R4708">
        <v>3.445102272878882</v>
      </c>
      <c r="S4708">
        <v>0.2047662902987252</v>
      </c>
      <c r="T4708">
        <v>0.15878954064887871</v>
      </c>
      <c r="U4708">
        <v>4.2695416864708866</v>
      </c>
      <c r="V4708">
        <v>0.1933172563537221</v>
      </c>
      <c r="W4708">
        <v>9.2707610579697857</v>
      </c>
      <c r="X4708">
        <v>0.33393156818425718</v>
      </c>
      <c r="Z4708" t="s">
        <v>392</v>
      </c>
      <c r="AA4708">
        <v>161</v>
      </c>
      <c r="AB4708" t="s">
        <v>5099</v>
      </c>
      <c r="AC4708" t="str">
        <f>HYPERLINK("plots/3FT6Y578R04_015_S31P_20251219032831_M5358ACSA301811_RBGEUFRF04/dpll_52084/txpa_55233.png","plot")</f>
        <v>plot</v>
      </c>
    </row>
    <row r="4709" spans="1:29" hidden="1" x14ac:dyDescent="0.35">
      <c r="A4709" t="s">
        <v>50</v>
      </c>
      <c r="B4709">
        <v>52084</v>
      </c>
      <c r="C4709" t="s">
        <v>52</v>
      </c>
      <c r="D4709">
        <v>55234</v>
      </c>
      <c r="E4709" t="s">
        <v>367</v>
      </c>
      <c r="F4709">
        <v>11781</v>
      </c>
      <c r="G4709">
        <v>0.78259193208225797</v>
      </c>
      <c r="H4709">
        <v>0</v>
      </c>
      <c r="I4709">
        <v>0</v>
      </c>
      <c r="J4709">
        <v>0.6901703392042785</v>
      </c>
      <c r="K4709">
        <v>0</v>
      </c>
      <c r="L4709">
        <v>0</v>
      </c>
      <c r="M4709">
        <v>0.50376020212247818</v>
      </c>
      <c r="N4709">
        <v>0</v>
      </c>
      <c r="O4709">
        <v>0</v>
      </c>
      <c r="P4709">
        <v>0.61245013216024147</v>
      </c>
      <c r="Q4709">
        <v>1.3572016678308849</v>
      </c>
      <c r="R4709">
        <v>3.4537202104702081</v>
      </c>
      <c r="S4709">
        <v>0.2086947133919789</v>
      </c>
      <c r="T4709">
        <v>0.15970905321553761</v>
      </c>
      <c r="U4709">
        <v>4.2695633024361257</v>
      </c>
      <c r="V4709">
        <v>0.19331122175495491</v>
      </c>
      <c r="W4709">
        <v>9.2483786454460581</v>
      </c>
      <c r="X4709">
        <v>0.3352479137858963</v>
      </c>
      <c r="Z4709" t="s">
        <v>392</v>
      </c>
      <c r="AA4709">
        <v>161</v>
      </c>
      <c r="AB4709" t="s">
        <v>5100</v>
      </c>
      <c r="AC4709" t="str">
        <f>HYPERLINK("plots/3FT6Y578R04_015_S31P_20251219032831_M5358ACSA301811_RBGEUFRF04/dpll_52084/txpa_55234.png","plot")</f>
        <v>plot</v>
      </c>
    </row>
    <row r="4710" spans="1:29" hidden="1" x14ac:dyDescent="0.35">
      <c r="A4710" t="s">
        <v>50</v>
      </c>
      <c r="B4710">
        <v>52084</v>
      </c>
      <c r="C4710" t="s">
        <v>52</v>
      </c>
      <c r="D4710">
        <v>55235</v>
      </c>
      <c r="E4710" t="s">
        <v>368</v>
      </c>
      <c r="F4710">
        <v>11782</v>
      </c>
      <c r="G4710">
        <v>0.76609223530937265</v>
      </c>
      <c r="H4710">
        <v>0</v>
      </c>
      <c r="I4710">
        <v>0</v>
      </c>
      <c r="J4710">
        <v>0.68772491946624847</v>
      </c>
      <c r="K4710">
        <v>0</v>
      </c>
      <c r="L4710">
        <v>0</v>
      </c>
      <c r="M4710">
        <v>0.49883238743406932</v>
      </c>
      <c r="N4710">
        <v>0</v>
      </c>
      <c r="O4710">
        <v>0</v>
      </c>
      <c r="P4710">
        <v>0.5868973130013112</v>
      </c>
      <c r="Q4710">
        <v>1.3535917531342601</v>
      </c>
      <c r="R4710">
        <v>3.9283635898957101</v>
      </c>
      <c r="S4710">
        <v>0.21952694852682511</v>
      </c>
      <c r="T4710">
        <v>0.16499535602565721</v>
      </c>
      <c r="U4710">
        <v>4.2695416864708866</v>
      </c>
      <c r="V4710">
        <v>0.1933172563537221</v>
      </c>
      <c r="W4710">
        <v>9.7075800063656423</v>
      </c>
      <c r="X4710">
        <v>0.3415680669746875</v>
      </c>
      <c r="Z4710" t="s">
        <v>392</v>
      </c>
      <c r="AA4710">
        <v>161</v>
      </c>
      <c r="AB4710" t="s">
        <v>5101</v>
      </c>
      <c r="AC4710" t="str">
        <f>HYPERLINK("plots/3FT6Y578R04_015_S31P_20251219032831_M5358ACSA301811_RBGEUFRF04/dpll_52084/txpa_55235.png","plot")</f>
        <v>plot</v>
      </c>
    </row>
    <row r="4711" spans="1:29" hidden="1" x14ac:dyDescent="0.35">
      <c r="A4711" t="s">
        <v>50</v>
      </c>
      <c r="B4711">
        <v>52084</v>
      </c>
      <c r="C4711" t="s">
        <v>52</v>
      </c>
      <c r="D4711">
        <v>55236</v>
      </c>
      <c r="E4711" t="s">
        <v>369</v>
      </c>
      <c r="F4711">
        <v>11782</v>
      </c>
      <c r="G4711">
        <v>0.78349412962674037</v>
      </c>
      <c r="H4711">
        <v>0</v>
      </c>
      <c r="I4711">
        <v>0</v>
      </c>
      <c r="J4711">
        <v>0.69912078734623739</v>
      </c>
      <c r="K4711">
        <v>0</v>
      </c>
      <c r="L4711">
        <v>0</v>
      </c>
      <c r="M4711">
        <v>0.51153238253192013</v>
      </c>
      <c r="N4711">
        <v>0</v>
      </c>
      <c r="O4711">
        <v>0</v>
      </c>
      <c r="P4711">
        <v>0.61386305115956341</v>
      </c>
      <c r="Q4711">
        <v>1.3848762450929919</v>
      </c>
      <c r="R4711">
        <v>3.8243669711368531</v>
      </c>
      <c r="S4711">
        <v>0.2123235128443135</v>
      </c>
      <c r="T4711">
        <v>0.16238667823462519</v>
      </c>
      <c r="U4711">
        <v>4.2695416864708866</v>
      </c>
      <c r="V4711">
        <v>0.1933172563537221</v>
      </c>
      <c r="W4711">
        <v>9.7371538301646581</v>
      </c>
      <c r="X4711">
        <v>0.34170067900619128</v>
      </c>
      <c r="Z4711" t="s">
        <v>392</v>
      </c>
      <c r="AA4711">
        <v>161</v>
      </c>
      <c r="AB4711" t="s">
        <v>5102</v>
      </c>
      <c r="AC4711" t="str">
        <f>HYPERLINK("plots/3FT6Y578R04_015_S31P_20251219032831_M5358ACSA301811_RBGEUFRF04/dpll_52084/txpa_55236.png","plot")</f>
        <v>plot</v>
      </c>
    </row>
    <row r="4712" spans="1:29" hidden="1" x14ac:dyDescent="0.35">
      <c r="A4712" t="s">
        <v>50</v>
      </c>
      <c r="B4712">
        <v>52084</v>
      </c>
      <c r="C4712" t="s">
        <v>52</v>
      </c>
      <c r="D4712">
        <v>55237</v>
      </c>
      <c r="E4712" t="s">
        <v>370</v>
      </c>
      <c r="F4712">
        <v>11782</v>
      </c>
      <c r="G4712">
        <v>0.77688414240516424</v>
      </c>
      <c r="H4712">
        <v>0</v>
      </c>
      <c r="I4712">
        <v>0</v>
      </c>
      <c r="J4712">
        <v>0.69075269593395594</v>
      </c>
      <c r="K4712">
        <v>0</v>
      </c>
      <c r="L4712">
        <v>0</v>
      </c>
      <c r="M4712">
        <v>0.50322386626081783</v>
      </c>
      <c r="N4712">
        <v>0</v>
      </c>
      <c r="O4712">
        <v>0</v>
      </c>
      <c r="P4712">
        <v>0.60354897072060754</v>
      </c>
      <c r="Q4712">
        <v>1.357052106616591</v>
      </c>
      <c r="R4712">
        <v>3.9571078646875688</v>
      </c>
      <c r="S4712">
        <v>0.21261173582200041</v>
      </c>
      <c r="T4712">
        <v>0.1614735872683456</v>
      </c>
      <c r="U4712">
        <v>4.2695416864708866</v>
      </c>
      <c r="V4712">
        <v>0.1933172563537221</v>
      </c>
      <c r="W4712">
        <v>9.7510984046002385</v>
      </c>
      <c r="X4712">
        <v>0.33768431566638979</v>
      </c>
      <c r="Z4712" t="s">
        <v>392</v>
      </c>
      <c r="AA4712">
        <v>161</v>
      </c>
      <c r="AB4712" t="s">
        <v>5103</v>
      </c>
      <c r="AC4712" t="str">
        <f>HYPERLINK("plots/3FT6Y578R04_015_S31P_20251219032831_M5358ACSA301811_RBGEUFRF04/dpll_52084/txpa_55237.png","plot")</f>
        <v>plot</v>
      </c>
    </row>
    <row r="4713" spans="1:29" hidden="1" x14ac:dyDescent="0.35">
      <c r="A4713" t="s">
        <v>50</v>
      </c>
      <c r="B4713">
        <v>52084</v>
      </c>
      <c r="C4713" t="s">
        <v>52</v>
      </c>
      <c r="D4713">
        <v>55238</v>
      </c>
      <c r="E4713" t="s">
        <v>371</v>
      </c>
      <c r="F4713">
        <v>11781</v>
      </c>
      <c r="G4713">
        <v>0.7894729486474048</v>
      </c>
      <c r="H4713">
        <v>0</v>
      </c>
      <c r="I4713">
        <v>0</v>
      </c>
      <c r="J4713">
        <v>0.70045209134268693</v>
      </c>
      <c r="K4713">
        <v>0</v>
      </c>
      <c r="L4713">
        <v>0</v>
      </c>
      <c r="M4713">
        <v>0.51242659968862725</v>
      </c>
      <c r="N4713">
        <v>0</v>
      </c>
      <c r="O4713">
        <v>0</v>
      </c>
      <c r="P4713">
        <v>0.62326753664602785</v>
      </c>
      <c r="Q4713">
        <v>1.3860715972605351</v>
      </c>
      <c r="R4713">
        <v>3.8374832495654569</v>
      </c>
      <c r="S4713">
        <v>0.20832045712385799</v>
      </c>
      <c r="T4713">
        <v>0.16022701160397751</v>
      </c>
      <c r="U4713">
        <v>4.2695489746201511</v>
      </c>
      <c r="V4713">
        <v>0.19332384277072681</v>
      </c>
      <c r="W4713">
        <v>9.7553838163992879</v>
      </c>
      <c r="X4713">
        <v>0.33941718712067281</v>
      </c>
      <c r="Z4713" t="s">
        <v>392</v>
      </c>
      <c r="AA4713">
        <v>161</v>
      </c>
      <c r="AB4713" t="s">
        <v>5104</v>
      </c>
      <c r="AC4713" t="str">
        <f>HYPERLINK("plots/3FT6Y578R04_015_S31P_20251219032831_M5358ACSA301811_RBGEUFRF04/dpll_52084/txpa_55238.png","plot")</f>
        <v>plot</v>
      </c>
    </row>
    <row r="4714" spans="1:29" hidden="1" x14ac:dyDescent="0.35">
      <c r="A4714" t="s">
        <v>50</v>
      </c>
      <c r="B4714">
        <v>52084</v>
      </c>
      <c r="C4714" t="s">
        <v>52</v>
      </c>
      <c r="D4714">
        <v>55239</v>
      </c>
      <c r="E4714" t="s">
        <v>372</v>
      </c>
      <c r="F4714">
        <v>11781</v>
      </c>
      <c r="G4714">
        <v>0.79171793661032874</v>
      </c>
      <c r="H4714">
        <v>0</v>
      </c>
      <c r="I4714">
        <v>0</v>
      </c>
      <c r="J4714">
        <v>0.69686461399995181</v>
      </c>
      <c r="K4714">
        <v>0</v>
      </c>
      <c r="L4714">
        <v>0</v>
      </c>
      <c r="M4714">
        <v>0.50800219151541504</v>
      </c>
      <c r="N4714">
        <v>0</v>
      </c>
      <c r="O4714">
        <v>0</v>
      </c>
      <c r="P4714">
        <v>0.62681729115051654</v>
      </c>
      <c r="Q4714">
        <v>1.386361617890989</v>
      </c>
      <c r="R4714">
        <v>3.8131849638559761</v>
      </c>
      <c r="S4714">
        <v>0.20677453139795249</v>
      </c>
      <c r="T4714">
        <v>0.15949951553287259</v>
      </c>
      <c r="U4714">
        <v>4.2695174021729896</v>
      </c>
      <c r="V4714">
        <v>0.19330748901132719</v>
      </c>
      <c r="W4714">
        <v>9.7322800171462536</v>
      </c>
      <c r="X4714">
        <v>0.33849692020820099</v>
      </c>
      <c r="Z4714" t="s">
        <v>392</v>
      </c>
      <c r="AA4714">
        <v>161</v>
      </c>
      <c r="AB4714" t="s">
        <v>5105</v>
      </c>
      <c r="AC4714" t="str">
        <f>HYPERLINK("plots/3FT6Y578R04_015_S31P_20251219032831_M5358ACSA301811_RBGEUFRF04/dpll_52084/txpa_55239.png","plot")</f>
        <v>plot</v>
      </c>
    </row>
    <row r="4715" spans="1:29" hidden="1" x14ac:dyDescent="0.35">
      <c r="A4715" t="s">
        <v>50</v>
      </c>
      <c r="B4715">
        <v>52084</v>
      </c>
      <c r="C4715" t="s">
        <v>52</v>
      </c>
      <c r="D4715">
        <v>55240</v>
      </c>
      <c r="E4715" t="s">
        <v>373</v>
      </c>
      <c r="F4715">
        <v>11781</v>
      </c>
      <c r="G4715">
        <v>0.79475065625102426</v>
      </c>
      <c r="H4715">
        <v>0</v>
      </c>
      <c r="I4715">
        <v>0</v>
      </c>
      <c r="J4715">
        <v>0.70647831613817713</v>
      </c>
      <c r="K4715">
        <v>0</v>
      </c>
      <c r="L4715">
        <v>0</v>
      </c>
      <c r="M4715">
        <v>0.51771881222347294</v>
      </c>
      <c r="N4715">
        <v>0</v>
      </c>
      <c r="O4715">
        <v>0</v>
      </c>
      <c r="P4715">
        <v>0.63162860561143375</v>
      </c>
      <c r="Q4715">
        <v>1.400874293501795</v>
      </c>
      <c r="R4715">
        <v>3.7645207875865312</v>
      </c>
      <c r="S4715">
        <v>0.20678797350059311</v>
      </c>
      <c r="T4715">
        <v>0.1597387290880225</v>
      </c>
      <c r="U4715">
        <v>4.2695129435531793</v>
      </c>
      <c r="V4715">
        <v>0.1933002831720991</v>
      </c>
      <c r="W4715">
        <v>9.7455717159833615</v>
      </c>
      <c r="X4715">
        <v>0.34072245866366652</v>
      </c>
      <c r="Z4715" t="s">
        <v>392</v>
      </c>
      <c r="AA4715">
        <v>161</v>
      </c>
      <c r="AB4715" t="s">
        <v>5106</v>
      </c>
      <c r="AC4715" t="str">
        <f>HYPERLINK("plots/3FT6Y578R04_015_S31P_20251219032831_M5358ACSA301811_RBGEUFRF04/dpll_52084/txpa_55240.png","plot")</f>
        <v>plot</v>
      </c>
    </row>
    <row r="4716" spans="1:29" hidden="1" x14ac:dyDescent="0.35">
      <c r="A4716" t="s">
        <v>50</v>
      </c>
      <c r="B4716">
        <v>52084</v>
      </c>
      <c r="C4716" t="s">
        <v>52</v>
      </c>
      <c r="D4716">
        <v>55241</v>
      </c>
      <c r="E4716" t="s">
        <v>374</v>
      </c>
      <c r="F4716">
        <v>11782</v>
      </c>
      <c r="G4716">
        <v>0.79226252623272553</v>
      </c>
      <c r="H4716">
        <v>0</v>
      </c>
      <c r="I4716">
        <v>0</v>
      </c>
      <c r="J4716">
        <v>0.69814002191446245</v>
      </c>
      <c r="K4716">
        <v>0</v>
      </c>
      <c r="L4716">
        <v>0</v>
      </c>
      <c r="M4716">
        <v>0.5097150383234883</v>
      </c>
      <c r="N4716">
        <v>0</v>
      </c>
      <c r="O4716">
        <v>0</v>
      </c>
      <c r="P4716">
        <v>0.62767991047266014</v>
      </c>
      <c r="Q4716">
        <v>1.38432480671613</v>
      </c>
      <c r="R4716">
        <v>3.841531715562112</v>
      </c>
      <c r="S4716">
        <v>0.20610062736837681</v>
      </c>
      <c r="T4716">
        <v>0.15960669328864971</v>
      </c>
      <c r="U4716">
        <v>4.2695416864708866</v>
      </c>
      <c r="V4716">
        <v>0.1933172563537221</v>
      </c>
      <c r="W4716">
        <v>9.7519641854523851</v>
      </c>
      <c r="X4716">
        <v>0.337784338746003</v>
      </c>
      <c r="Z4716" t="s">
        <v>392</v>
      </c>
      <c r="AA4716">
        <v>161</v>
      </c>
      <c r="AB4716" t="s">
        <v>5107</v>
      </c>
      <c r="AC4716" t="str">
        <f>HYPERLINK("plots/3FT6Y578R04_015_S31P_20251219032831_M5358ACSA301811_RBGEUFRF04/dpll_52084/txpa_55241.png","plot")</f>
        <v>plot</v>
      </c>
    </row>
    <row r="4717" spans="1:29" hidden="1" x14ac:dyDescent="0.35">
      <c r="A4717" t="s">
        <v>50</v>
      </c>
      <c r="B4717">
        <v>52084</v>
      </c>
      <c r="C4717" t="s">
        <v>52</v>
      </c>
      <c r="D4717">
        <v>55242</v>
      </c>
      <c r="E4717" t="s">
        <v>375</v>
      </c>
      <c r="F4717">
        <v>11781</v>
      </c>
      <c r="G4717">
        <v>0.78486364207325676</v>
      </c>
      <c r="H4717">
        <v>0</v>
      </c>
      <c r="I4717">
        <v>0</v>
      </c>
      <c r="J4717">
        <v>0.6916479265494001</v>
      </c>
      <c r="K4717">
        <v>0</v>
      </c>
      <c r="L4717">
        <v>0</v>
      </c>
      <c r="M4717">
        <v>0.5050963345203362</v>
      </c>
      <c r="N4717">
        <v>0</v>
      </c>
      <c r="O4717">
        <v>0</v>
      </c>
      <c r="P4717">
        <v>0.61601093664849726</v>
      </c>
      <c r="Q4717">
        <v>1.3763732337320369</v>
      </c>
      <c r="R4717">
        <v>3.8534119063579109</v>
      </c>
      <c r="S4717">
        <v>0.2100584068868166</v>
      </c>
      <c r="T4717">
        <v>0.1605357743291404</v>
      </c>
      <c r="U4717">
        <v>4.2695633024361257</v>
      </c>
      <c r="V4717">
        <v>0.19331122175495491</v>
      </c>
      <c r="W4717">
        <v>9.7299245555555558</v>
      </c>
      <c r="X4717">
        <v>0.33899951168680081</v>
      </c>
      <c r="Z4717" t="s">
        <v>392</v>
      </c>
      <c r="AA4717">
        <v>161</v>
      </c>
      <c r="AB4717" t="s">
        <v>5108</v>
      </c>
      <c r="AC4717" t="str">
        <f>HYPERLINK("plots/3FT6Y578R04_015_S31P_20251219032831_M5358ACSA301811_RBGEUFRF04/dpll_52084/txpa_55242.png","plot")</f>
        <v>plot</v>
      </c>
    </row>
    <row r="4718" spans="1:29" hidden="1" x14ac:dyDescent="0.35">
      <c r="A4718" t="s">
        <v>50</v>
      </c>
      <c r="B4718">
        <v>52084</v>
      </c>
      <c r="C4718" t="s">
        <v>52</v>
      </c>
      <c r="D4718">
        <v>55243</v>
      </c>
      <c r="E4718" t="s">
        <v>376</v>
      </c>
      <c r="F4718">
        <v>11782</v>
      </c>
      <c r="G4718">
        <v>0.77224182967128807</v>
      </c>
      <c r="H4718">
        <v>0</v>
      </c>
      <c r="I4718">
        <v>0</v>
      </c>
      <c r="J4718">
        <v>0.69149031811376904</v>
      </c>
      <c r="K4718">
        <v>0</v>
      </c>
      <c r="L4718">
        <v>0</v>
      </c>
      <c r="M4718">
        <v>0.50243919909036749</v>
      </c>
      <c r="N4718">
        <v>0</v>
      </c>
      <c r="O4718">
        <v>0</v>
      </c>
      <c r="P4718">
        <v>0.59635744349405873</v>
      </c>
      <c r="Q4718">
        <v>1.4038813515388029</v>
      </c>
      <c r="R4718">
        <v>5.2889795345239561</v>
      </c>
      <c r="S4718">
        <v>0.22326865114722039</v>
      </c>
      <c r="T4718">
        <v>0.1670581967361125</v>
      </c>
      <c r="U4718">
        <v>4.2695416864708866</v>
      </c>
      <c r="V4718">
        <v>0.1933172563537221</v>
      </c>
      <c r="W4718">
        <v>11.282909487777969</v>
      </c>
      <c r="X4718">
        <v>0.35143718029513921</v>
      </c>
      <c r="Z4718" t="s">
        <v>392</v>
      </c>
      <c r="AA4718">
        <v>161</v>
      </c>
      <c r="AB4718" t="s">
        <v>5109</v>
      </c>
      <c r="AC4718" t="str">
        <f>HYPERLINK("plots/3FT6Y578R04_015_S31P_20251219032831_M5358ACSA301811_RBGEUFRF04/dpll_52084/txpa_55243.png","plot")</f>
        <v>plot</v>
      </c>
    </row>
    <row r="4719" spans="1:29" hidden="1" x14ac:dyDescent="0.35">
      <c r="A4719" t="s">
        <v>50</v>
      </c>
      <c r="B4719">
        <v>52084</v>
      </c>
      <c r="C4719" t="s">
        <v>52</v>
      </c>
      <c r="D4719">
        <v>55244</v>
      </c>
      <c r="E4719" t="s">
        <v>377</v>
      </c>
      <c r="F4719">
        <v>11782</v>
      </c>
      <c r="G4719">
        <v>0.78928595534860324</v>
      </c>
      <c r="H4719">
        <v>0</v>
      </c>
      <c r="I4719">
        <v>0</v>
      </c>
      <c r="J4719">
        <v>0.70289577923590085</v>
      </c>
      <c r="K4719">
        <v>0</v>
      </c>
      <c r="L4719">
        <v>0</v>
      </c>
      <c r="M4719">
        <v>0.51523748306226425</v>
      </c>
      <c r="N4719">
        <v>0</v>
      </c>
      <c r="O4719">
        <v>0</v>
      </c>
      <c r="P4719">
        <v>0.6229723193105573</v>
      </c>
      <c r="Q4719">
        <v>1.4357256250047949</v>
      </c>
      <c r="R4719">
        <v>5.1819585868326632</v>
      </c>
      <c r="S4719">
        <v>0.2159115557142984</v>
      </c>
      <c r="T4719">
        <v>0.16443214609470919</v>
      </c>
      <c r="U4719">
        <v>4.2695416864708866</v>
      </c>
      <c r="V4719">
        <v>0.1933172563537221</v>
      </c>
      <c r="W4719">
        <v>11.31184899312511</v>
      </c>
      <c r="X4719">
        <v>0.35164763394285198</v>
      </c>
      <c r="Z4719" t="s">
        <v>392</v>
      </c>
      <c r="AA4719">
        <v>161</v>
      </c>
      <c r="AB4719" t="s">
        <v>5110</v>
      </c>
      <c r="AC4719" t="str">
        <f>HYPERLINK("plots/3FT6Y578R04_015_S31P_20251219032831_M5358ACSA301811_RBGEUFRF04/dpll_52084/txpa_55244.png","plot")</f>
        <v>plot</v>
      </c>
    </row>
    <row r="4720" spans="1:29" hidden="1" x14ac:dyDescent="0.35">
      <c r="A4720" t="s">
        <v>50</v>
      </c>
      <c r="B4720">
        <v>52084</v>
      </c>
      <c r="C4720" t="s">
        <v>52</v>
      </c>
      <c r="D4720">
        <v>55245</v>
      </c>
      <c r="E4720" t="s">
        <v>378</v>
      </c>
      <c r="F4720">
        <v>11782</v>
      </c>
      <c r="G4720">
        <v>0.78311063967815353</v>
      </c>
      <c r="H4720">
        <v>0</v>
      </c>
      <c r="I4720">
        <v>0</v>
      </c>
      <c r="J4720">
        <v>0.69477760026066937</v>
      </c>
      <c r="K4720">
        <v>0</v>
      </c>
      <c r="L4720">
        <v>0</v>
      </c>
      <c r="M4720">
        <v>0.50713010426816674</v>
      </c>
      <c r="N4720">
        <v>0</v>
      </c>
      <c r="O4720">
        <v>0</v>
      </c>
      <c r="P4720">
        <v>0.61326227397712685</v>
      </c>
      <c r="Q4720">
        <v>1.407797449758118</v>
      </c>
      <c r="R4720">
        <v>5.3152710178692031</v>
      </c>
      <c r="S4720">
        <v>0.21611131744439319</v>
      </c>
      <c r="T4720">
        <v>0.16342505442630359</v>
      </c>
      <c r="U4720">
        <v>4.2695416864708866</v>
      </c>
      <c r="V4720">
        <v>0.1933172563537221</v>
      </c>
      <c r="W4720">
        <v>11.325920915718889</v>
      </c>
      <c r="X4720">
        <v>0.34752629666844559</v>
      </c>
      <c r="Z4720" t="s">
        <v>392</v>
      </c>
      <c r="AA4720">
        <v>161</v>
      </c>
      <c r="AB4720" t="s">
        <v>5111</v>
      </c>
      <c r="AC4720" t="str">
        <f>HYPERLINK("plots/3FT6Y578R04_015_S31P_20251219032831_M5358ACSA301811_RBGEUFRF04/dpll_52084/txpa_55245.png","plot")</f>
        <v>plot</v>
      </c>
    </row>
    <row r="4721" spans="1:29" hidden="1" x14ac:dyDescent="0.35">
      <c r="A4721" t="s">
        <v>50</v>
      </c>
      <c r="B4721">
        <v>52084</v>
      </c>
      <c r="C4721" t="s">
        <v>52</v>
      </c>
      <c r="D4721">
        <v>55246</v>
      </c>
      <c r="E4721" t="s">
        <v>379</v>
      </c>
      <c r="F4721">
        <v>11781</v>
      </c>
      <c r="G4721">
        <v>0.79508240168757183</v>
      </c>
      <c r="H4721">
        <v>0</v>
      </c>
      <c r="I4721">
        <v>0</v>
      </c>
      <c r="J4721">
        <v>0.70391387117668303</v>
      </c>
      <c r="K4721">
        <v>0</v>
      </c>
      <c r="L4721">
        <v>0</v>
      </c>
      <c r="M4721">
        <v>0.51582319528497222</v>
      </c>
      <c r="N4721">
        <v>0</v>
      </c>
      <c r="O4721">
        <v>0</v>
      </c>
      <c r="P4721">
        <v>0.63215602547327732</v>
      </c>
      <c r="Q4721">
        <v>1.4361365223030851</v>
      </c>
      <c r="R4721">
        <v>5.1979170350383272</v>
      </c>
      <c r="S4721">
        <v>0.21177875731303711</v>
      </c>
      <c r="T4721">
        <v>0.1622440297478247</v>
      </c>
      <c r="U4721">
        <v>4.2695489746201511</v>
      </c>
      <c r="V4721">
        <v>0.19332384277072681</v>
      </c>
      <c r="W4721">
        <v>11.329572251252021</v>
      </c>
      <c r="X4721">
        <v>0.34919579485815189</v>
      </c>
      <c r="Z4721" t="s">
        <v>392</v>
      </c>
      <c r="AA4721">
        <v>161</v>
      </c>
      <c r="AB4721" t="s">
        <v>5112</v>
      </c>
      <c r="AC4721" t="str">
        <f>HYPERLINK("plots/3FT6Y578R04_015_S31P_20251219032831_M5358ACSA301811_RBGEUFRF04/dpll_52084/txpa_55246.png","plot")</f>
        <v>plot</v>
      </c>
    </row>
    <row r="4722" spans="1:29" hidden="1" x14ac:dyDescent="0.35">
      <c r="A4722" t="s">
        <v>50</v>
      </c>
      <c r="B4722">
        <v>52084</v>
      </c>
      <c r="C4722" t="s">
        <v>52</v>
      </c>
      <c r="D4722">
        <v>55247</v>
      </c>
      <c r="E4722" t="s">
        <v>380</v>
      </c>
      <c r="F4722">
        <v>11781</v>
      </c>
      <c r="G4722">
        <v>0.79721905380323965</v>
      </c>
      <c r="H4722">
        <v>0</v>
      </c>
      <c r="I4722">
        <v>0</v>
      </c>
      <c r="J4722">
        <v>0.70031192547150134</v>
      </c>
      <c r="K4722">
        <v>0</v>
      </c>
      <c r="L4722">
        <v>0</v>
      </c>
      <c r="M4722">
        <v>0.51142963515710882</v>
      </c>
      <c r="N4722">
        <v>0</v>
      </c>
      <c r="O4722">
        <v>0</v>
      </c>
      <c r="P4722">
        <v>0.63555821974693272</v>
      </c>
      <c r="Q4722">
        <v>1.4371696442083679</v>
      </c>
      <c r="R4722">
        <v>5.1691039608357867</v>
      </c>
      <c r="S4722">
        <v>0.21036558484168871</v>
      </c>
      <c r="T4722">
        <v>0.16165344771262691</v>
      </c>
      <c r="U4722">
        <v>4.2695174021729896</v>
      </c>
      <c r="V4722">
        <v>0.19330748901132719</v>
      </c>
      <c r="W4722">
        <v>11.30512476665818</v>
      </c>
      <c r="X4722">
        <v>0.34848095248083372</v>
      </c>
      <c r="Z4722" t="s">
        <v>392</v>
      </c>
      <c r="AA4722">
        <v>161</v>
      </c>
      <c r="AB4722" t="s">
        <v>5113</v>
      </c>
      <c r="AC4722" t="str">
        <f>HYPERLINK("plots/3FT6Y578R04_015_S31P_20251219032831_M5358ACSA301811_RBGEUFRF04/dpll_52084/txpa_55247.png","plot")</f>
        <v>plot</v>
      </c>
    </row>
    <row r="4723" spans="1:29" hidden="1" x14ac:dyDescent="0.35">
      <c r="A4723" t="s">
        <v>50</v>
      </c>
      <c r="B4723">
        <v>52084</v>
      </c>
      <c r="C4723" t="s">
        <v>52</v>
      </c>
      <c r="D4723">
        <v>55248</v>
      </c>
      <c r="E4723" t="s">
        <v>381</v>
      </c>
      <c r="F4723">
        <v>11781</v>
      </c>
      <c r="G4723">
        <v>0.80019707830566045</v>
      </c>
      <c r="H4723">
        <v>0</v>
      </c>
      <c r="I4723">
        <v>0</v>
      </c>
      <c r="J4723">
        <v>0.70960550963657854</v>
      </c>
      <c r="K4723">
        <v>0</v>
      </c>
      <c r="L4723">
        <v>0</v>
      </c>
      <c r="M4723">
        <v>0.52100108066227913</v>
      </c>
      <c r="N4723">
        <v>0</v>
      </c>
      <c r="O4723">
        <v>0</v>
      </c>
      <c r="P4723">
        <v>0.64031536412891532</v>
      </c>
      <c r="Q4723">
        <v>1.4513089428458581</v>
      </c>
      <c r="R4723">
        <v>5.1241170974816583</v>
      </c>
      <c r="S4723">
        <v>0.21025092300275841</v>
      </c>
      <c r="T4723">
        <v>0.16176220473689301</v>
      </c>
      <c r="U4723">
        <v>4.2695129435531793</v>
      </c>
      <c r="V4723">
        <v>0.1933002831720991</v>
      </c>
      <c r="W4723">
        <v>11.320499414056529</v>
      </c>
      <c r="X4723">
        <v>0.35058667074405853</v>
      </c>
      <c r="Z4723" t="s">
        <v>392</v>
      </c>
      <c r="AA4723">
        <v>161</v>
      </c>
      <c r="AB4723" t="s">
        <v>5114</v>
      </c>
      <c r="AC4723" t="str">
        <f>HYPERLINK("plots/3FT6Y578R04_015_S31P_20251219032831_M5358ACSA301811_RBGEUFRF04/dpll_52084/txpa_55248.png","plot")</f>
        <v>plot</v>
      </c>
    </row>
    <row r="4724" spans="1:29" hidden="1" x14ac:dyDescent="0.35">
      <c r="A4724" t="s">
        <v>50</v>
      </c>
      <c r="B4724">
        <v>52084</v>
      </c>
      <c r="C4724" t="s">
        <v>52</v>
      </c>
      <c r="D4724">
        <v>55249</v>
      </c>
      <c r="E4724" t="s">
        <v>382</v>
      </c>
      <c r="F4724">
        <v>11782</v>
      </c>
      <c r="G4724">
        <v>0.79793965852989357</v>
      </c>
      <c r="H4724">
        <v>0</v>
      </c>
      <c r="I4724">
        <v>0</v>
      </c>
      <c r="J4724">
        <v>0.7015371696122995</v>
      </c>
      <c r="K4724">
        <v>0</v>
      </c>
      <c r="L4724">
        <v>0</v>
      </c>
      <c r="M4724">
        <v>0.51310353363665917</v>
      </c>
      <c r="N4724">
        <v>0</v>
      </c>
      <c r="O4724">
        <v>0</v>
      </c>
      <c r="P4724">
        <v>0.63670769865480314</v>
      </c>
      <c r="Q4724">
        <v>1.4350239651647529</v>
      </c>
      <c r="R4724">
        <v>5.2005940731055524</v>
      </c>
      <c r="S4724">
        <v>0.20954118341069111</v>
      </c>
      <c r="T4724">
        <v>0.16151609142374621</v>
      </c>
      <c r="U4724">
        <v>4.2695416864708866</v>
      </c>
      <c r="V4724">
        <v>0.1933172563537221</v>
      </c>
      <c r="W4724">
        <v>11.327488713461211</v>
      </c>
      <c r="X4724">
        <v>0.34766400288787802</v>
      </c>
      <c r="Z4724" t="s">
        <v>392</v>
      </c>
      <c r="AA4724">
        <v>161</v>
      </c>
      <c r="AB4724" t="s">
        <v>5115</v>
      </c>
      <c r="AC4724" t="str">
        <f>HYPERLINK("plots/3FT6Y578R04_015_S31P_20251219032831_M5358ACSA301811_RBGEUFRF04/dpll_52084/txpa_55249.png","plot")</f>
        <v>plot</v>
      </c>
    </row>
    <row r="4725" spans="1:29" hidden="1" x14ac:dyDescent="0.35">
      <c r="A4725" t="s">
        <v>50</v>
      </c>
      <c r="B4725">
        <v>52084</v>
      </c>
      <c r="C4725" t="s">
        <v>52</v>
      </c>
      <c r="D4725">
        <v>55250</v>
      </c>
      <c r="E4725" t="s">
        <v>383</v>
      </c>
      <c r="F4725">
        <v>11781</v>
      </c>
      <c r="G4725">
        <v>0.79018353400491614</v>
      </c>
      <c r="H4725">
        <v>0</v>
      </c>
      <c r="I4725">
        <v>0</v>
      </c>
      <c r="J4725">
        <v>0.69442488092559929</v>
      </c>
      <c r="K4725">
        <v>0</v>
      </c>
      <c r="L4725">
        <v>0</v>
      </c>
      <c r="M4725">
        <v>0.507900937110773</v>
      </c>
      <c r="N4725">
        <v>0</v>
      </c>
      <c r="O4725">
        <v>0</v>
      </c>
      <c r="P4725">
        <v>0.62439001741249844</v>
      </c>
      <c r="Q4725">
        <v>1.425418003822942</v>
      </c>
      <c r="R4725">
        <v>5.221489861429073</v>
      </c>
      <c r="S4725">
        <v>0.21370833474195641</v>
      </c>
      <c r="T4725">
        <v>0.16271211008226399</v>
      </c>
      <c r="U4725">
        <v>4.2695633024361257</v>
      </c>
      <c r="V4725">
        <v>0.19331122175495491</v>
      </c>
      <c r="W4725">
        <v>11.30740226118326</v>
      </c>
      <c r="X4725">
        <v>0.34871556286923022</v>
      </c>
      <c r="Z4725" t="s">
        <v>392</v>
      </c>
      <c r="AA4725">
        <v>161</v>
      </c>
      <c r="AB4725" t="s">
        <v>5116</v>
      </c>
      <c r="AC4725" t="str">
        <f>HYPERLINK("plots/3FT6Y578R04_015_S31P_20251219032831_M5358ACSA301811_RBGEUFRF04/dpll_52084/txpa_55250.png","plot")</f>
        <v>plot</v>
      </c>
    </row>
    <row r="4726" spans="1:29" hidden="1" x14ac:dyDescent="0.35">
      <c r="A4726" t="s">
        <v>50</v>
      </c>
      <c r="B4726">
        <v>52084</v>
      </c>
      <c r="C4726" t="s">
        <v>52</v>
      </c>
      <c r="D4726">
        <v>55251</v>
      </c>
      <c r="E4726" t="s">
        <v>384</v>
      </c>
      <c r="F4726">
        <v>11782</v>
      </c>
      <c r="G4726">
        <v>0.77420285800150412</v>
      </c>
      <c r="H4726">
        <v>0</v>
      </c>
      <c r="I4726">
        <v>0</v>
      </c>
      <c r="J4726">
        <v>0.69225947889378336</v>
      </c>
      <c r="K4726">
        <v>0</v>
      </c>
      <c r="L4726">
        <v>0</v>
      </c>
      <c r="M4726">
        <v>0.50324785600150879</v>
      </c>
      <c r="N4726">
        <v>0</v>
      </c>
      <c r="O4726">
        <v>0</v>
      </c>
      <c r="P4726">
        <v>0.59939006533769712</v>
      </c>
      <c r="Q4726">
        <v>1.4195135762817721</v>
      </c>
      <c r="R4726">
        <v>5.7828176285286466</v>
      </c>
      <c r="S4726">
        <v>0.22433540982477129</v>
      </c>
      <c r="T4726">
        <v>0.167533560230923</v>
      </c>
      <c r="U4726">
        <v>4.2695416864708866</v>
      </c>
      <c r="V4726">
        <v>0.1933172563537221</v>
      </c>
      <c r="W4726">
        <v>11.84349001697505</v>
      </c>
      <c r="X4726">
        <v>0.35445034474817089</v>
      </c>
      <c r="Z4726" t="s">
        <v>392</v>
      </c>
      <c r="AA4726">
        <v>161</v>
      </c>
      <c r="AB4726" t="s">
        <v>5117</v>
      </c>
      <c r="AC4726" t="str">
        <f>HYPERLINK("plots/3FT6Y578R04_015_S31P_20251219032831_M5358ACSA301811_RBGEUFRF04/dpll_52084/txpa_55251.png","plot")</f>
        <v>plot</v>
      </c>
    </row>
    <row r="4727" spans="1:29" hidden="1" x14ac:dyDescent="0.35">
      <c r="A4727" t="s">
        <v>50</v>
      </c>
      <c r="B4727">
        <v>52084</v>
      </c>
      <c r="C4727" t="s">
        <v>52</v>
      </c>
      <c r="D4727">
        <v>55252</v>
      </c>
      <c r="E4727" t="s">
        <v>385</v>
      </c>
      <c r="F4727">
        <v>11782</v>
      </c>
      <c r="G4727">
        <v>0.79112386438474525</v>
      </c>
      <c r="H4727">
        <v>0</v>
      </c>
      <c r="I4727">
        <v>0</v>
      </c>
      <c r="J4727">
        <v>0.70373018389549502</v>
      </c>
      <c r="K4727">
        <v>0</v>
      </c>
      <c r="L4727">
        <v>0</v>
      </c>
      <c r="M4727">
        <v>0.51613336052883663</v>
      </c>
      <c r="N4727">
        <v>0</v>
      </c>
      <c r="O4727">
        <v>0</v>
      </c>
      <c r="P4727">
        <v>0.62587696879905275</v>
      </c>
      <c r="Q4727">
        <v>1.451687116407687</v>
      </c>
      <c r="R4727">
        <v>5.6743107475067811</v>
      </c>
      <c r="S4727">
        <v>0.2169641359008844</v>
      </c>
      <c r="T4727">
        <v>0.16488625934344889</v>
      </c>
      <c r="U4727">
        <v>4.2695416864708866</v>
      </c>
      <c r="V4727">
        <v>0.1933172563537221</v>
      </c>
      <c r="W4727">
        <v>11.872349406722121</v>
      </c>
      <c r="X4727">
        <v>0.35473101376638477</v>
      </c>
      <c r="Z4727" t="s">
        <v>392</v>
      </c>
      <c r="AA4727">
        <v>161</v>
      </c>
      <c r="AB4727" t="s">
        <v>5118</v>
      </c>
      <c r="AC4727" t="str">
        <f>HYPERLINK("plots/3FT6Y578R04_015_S31P_20251219032831_M5358ACSA301811_RBGEUFRF04/dpll_52084/txpa_55252.png","plot")</f>
        <v>plot</v>
      </c>
    </row>
    <row r="4728" spans="1:29" hidden="1" x14ac:dyDescent="0.35">
      <c r="A4728" t="s">
        <v>50</v>
      </c>
      <c r="B4728">
        <v>52084</v>
      </c>
      <c r="C4728" t="s">
        <v>52</v>
      </c>
      <c r="D4728">
        <v>55253</v>
      </c>
      <c r="E4728" t="s">
        <v>386</v>
      </c>
      <c r="F4728">
        <v>11782</v>
      </c>
      <c r="G4728">
        <v>0.78509718029998743</v>
      </c>
      <c r="H4728">
        <v>0</v>
      </c>
      <c r="I4728">
        <v>0</v>
      </c>
      <c r="J4728">
        <v>0.69560938284227936</v>
      </c>
      <c r="K4728">
        <v>0</v>
      </c>
      <c r="L4728">
        <v>0</v>
      </c>
      <c r="M4728">
        <v>0.50801083995970364</v>
      </c>
      <c r="N4728">
        <v>0</v>
      </c>
      <c r="O4728">
        <v>0</v>
      </c>
      <c r="P4728">
        <v>0.61637758251499097</v>
      </c>
      <c r="Q4728">
        <v>1.4236555272093521</v>
      </c>
      <c r="R4728">
        <v>5.8083011047487263</v>
      </c>
      <c r="S4728">
        <v>0.21711292659049661</v>
      </c>
      <c r="T4728">
        <v>0.16392916225432819</v>
      </c>
      <c r="U4728">
        <v>4.2695416864708866</v>
      </c>
      <c r="V4728">
        <v>0.1933172563537221</v>
      </c>
      <c r="W4728">
        <v>11.88665772534374</v>
      </c>
      <c r="X4728">
        <v>0.35055173731201339</v>
      </c>
      <c r="Z4728" t="s">
        <v>392</v>
      </c>
      <c r="AA4728">
        <v>161</v>
      </c>
      <c r="AB4728" t="s">
        <v>5119</v>
      </c>
      <c r="AC4728" t="str">
        <f>HYPERLINK("plots/3FT6Y578R04_015_S31P_20251219032831_M5358ACSA301811_RBGEUFRF04/dpll_52084/txpa_55253.png","plot")</f>
        <v>plot</v>
      </c>
    </row>
    <row r="4729" spans="1:29" hidden="1" x14ac:dyDescent="0.35">
      <c r="A4729" t="s">
        <v>50</v>
      </c>
      <c r="B4729">
        <v>52084</v>
      </c>
      <c r="C4729" t="s">
        <v>52</v>
      </c>
      <c r="D4729">
        <v>55254</v>
      </c>
      <c r="E4729" t="s">
        <v>387</v>
      </c>
      <c r="F4729">
        <v>11781</v>
      </c>
      <c r="G4729">
        <v>0.79687273614946097</v>
      </c>
      <c r="H4729">
        <v>0</v>
      </c>
      <c r="I4729">
        <v>0</v>
      </c>
      <c r="J4729">
        <v>0.70460681736228981</v>
      </c>
      <c r="K4729">
        <v>0</v>
      </c>
      <c r="L4729">
        <v>0</v>
      </c>
      <c r="M4729">
        <v>0.51659228904097043</v>
      </c>
      <c r="N4729">
        <v>0</v>
      </c>
      <c r="O4729">
        <v>0</v>
      </c>
      <c r="P4729">
        <v>0.63500615761832846</v>
      </c>
      <c r="Q4729">
        <v>1.4517260636672249</v>
      </c>
      <c r="R4729">
        <v>5.6917762610643932</v>
      </c>
      <c r="S4729">
        <v>0.21276758344600119</v>
      </c>
      <c r="T4729">
        <v>0.16271384605803721</v>
      </c>
      <c r="U4729">
        <v>4.2695489746201511</v>
      </c>
      <c r="V4729">
        <v>0.19332384277072681</v>
      </c>
      <c r="W4729">
        <v>11.88999178762414</v>
      </c>
      <c r="X4729">
        <v>0.35219332842870599</v>
      </c>
      <c r="Z4729" t="s">
        <v>392</v>
      </c>
      <c r="AA4729">
        <v>161</v>
      </c>
      <c r="AB4729" t="s">
        <v>5120</v>
      </c>
      <c r="AC4729" t="str">
        <f>HYPERLINK("plots/3FT6Y578R04_015_S31P_20251219032831_M5358ACSA301811_RBGEUFRF04/dpll_52084/txpa_55254.png","plot")</f>
        <v>plot</v>
      </c>
    </row>
    <row r="4730" spans="1:29" hidden="1" x14ac:dyDescent="0.35">
      <c r="A4730" t="s">
        <v>50</v>
      </c>
      <c r="B4730">
        <v>52084</v>
      </c>
      <c r="C4730" t="s">
        <v>52</v>
      </c>
      <c r="D4730">
        <v>55255</v>
      </c>
      <c r="E4730" t="s">
        <v>388</v>
      </c>
      <c r="F4730">
        <v>11781</v>
      </c>
      <c r="G4730">
        <v>0.79900220055708315</v>
      </c>
      <c r="H4730">
        <v>0</v>
      </c>
      <c r="I4730">
        <v>0</v>
      </c>
      <c r="J4730">
        <v>0.7009744262669404</v>
      </c>
      <c r="K4730">
        <v>0</v>
      </c>
      <c r="L4730">
        <v>0</v>
      </c>
      <c r="M4730">
        <v>0.5121905646011623</v>
      </c>
      <c r="N4730">
        <v>0</v>
      </c>
      <c r="O4730">
        <v>0</v>
      </c>
      <c r="P4730">
        <v>0.63840451649506136</v>
      </c>
      <c r="Q4730">
        <v>1.4535029031114131</v>
      </c>
      <c r="R4730">
        <v>5.6589985530354721</v>
      </c>
      <c r="S4730">
        <v>0.21145096600430049</v>
      </c>
      <c r="T4730">
        <v>0.1622071154832169</v>
      </c>
      <c r="U4730">
        <v>4.2695174021729896</v>
      </c>
      <c r="V4730">
        <v>0.19330748901132719</v>
      </c>
      <c r="W4730">
        <v>11.86475449197861</v>
      </c>
      <c r="X4730">
        <v>0.35165484685178661</v>
      </c>
      <c r="Z4730" t="s">
        <v>392</v>
      </c>
      <c r="AA4730">
        <v>161</v>
      </c>
      <c r="AB4730" t="s">
        <v>5121</v>
      </c>
      <c r="AC4730" t="str">
        <f>HYPERLINK("plots/3FT6Y578R04_015_S31P_20251219032831_M5358ACSA301811_RBGEUFRF04/dpll_52084/txpa_55255.png","plot")</f>
        <v>plot</v>
      </c>
    </row>
    <row r="4731" spans="1:29" hidden="1" x14ac:dyDescent="0.35">
      <c r="A4731" t="s">
        <v>50</v>
      </c>
      <c r="B4731">
        <v>52084</v>
      </c>
      <c r="C4731" t="s">
        <v>52</v>
      </c>
      <c r="D4731">
        <v>55256</v>
      </c>
      <c r="E4731" t="s">
        <v>389</v>
      </c>
      <c r="F4731">
        <v>11781</v>
      </c>
      <c r="G4731">
        <v>0.8019696466871522</v>
      </c>
      <c r="H4731">
        <v>0</v>
      </c>
      <c r="I4731">
        <v>0</v>
      </c>
      <c r="J4731">
        <v>0.71028530373246357</v>
      </c>
      <c r="K4731">
        <v>0</v>
      </c>
      <c r="L4731">
        <v>0</v>
      </c>
      <c r="M4731">
        <v>0.52180742618989706</v>
      </c>
      <c r="N4731">
        <v>0</v>
      </c>
      <c r="O4731">
        <v>0</v>
      </c>
      <c r="P4731">
        <v>0.6431553142075157</v>
      </c>
      <c r="Q4731">
        <v>1.4673282230002851</v>
      </c>
      <c r="R4731">
        <v>5.6159954198787156</v>
      </c>
      <c r="S4731">
        <v>0.21126279149190419</v>
      </c>
      <c r="T4731">
        <v>0.16222802200852571</v>
      </c>
      <c r="U4731">
        <v>4.2695129435531793</v>
      </c>
      <c r="V4731">
        <v>0.1933002831720991</v>
      </c>
      <c r="W4731">
        <v>11.88077226041932</v>
      </c>
      <c r="X4731">
        <v>0.3536729378524896</v>
      </c>
      <c r="Z4731" t="s">
        <v>392</v>
      </c>
      <c r="AA4731">
        <v>161</v>
      </c>
      <c r="AB4731" t="s">
        <v>5122</v>
      </c>
      <c r="AC4731" t="str">
        <f>HYPERLINK("plots/3FT6Y578R04_015_S31P_20251219032831_M5358ACSA301811_RBGEUFRF04/dpll_52084/txpa_55256.png","plot")</f>
        <v>plot</v>
      </c>
    </row>
    <row r="4732" spans="1:29" hidden="1" x14ac:dyDescent="0.35">
      <c r="A4732" t="s">
        <v>50</v>
      </c>
      <c r="B4732">
        <v>52084</v>
      </c>
      <c r="C4732" t="s">
        <v>52</v>
      </c>
      <c r="D4732">
        <v>55257</v>
      </c>
      <c r="E4732" t="s">
        <v>390</v>
      </c>
      <c r="F4732">
        <v>11782</v>
      </c>
      <c r="G4732">
        <v>0.79976283332352582</v>
      </c>
      <c r="H4732">
        <v>0</v>
      </c>
      <c r="I4732">
        <v>0</v>
      </c>
      <c r="J4732">
        <v>0.70220343887220826</v>
      </c>
      <c r="K4732">
        <v>0</v>
      </c>
      <c r="L4732">
        <v>0</v>
      </c>
      <c r="M4732">
        <v>0.51388617429731009</v>
      </c>
      <c r="N4732">
        <v>0</v>
      </c>
      <c r="O4732">
        <v>0</v>
      </c>
      <c r="P4732">
        <v>0.6396205895656738</v>
      </c>
      <c r="Q4732">
        <v>1.4511887878419829</v>
      </c>
      <c r="R4732">
        <v>5.6921012780345794</v>
      </c>
      <c r="S4732">
        <v>0.21056921274500739</v>
      </c>
      <c r="T4732">
        <v>0.16197896064625419</v>
      </c>
      <c r="U4732">
        <v>4.2695416864708866</v>
      </c>
      <c r="V4732">
        <v>0.1933172563537221</v>
      </c>
      <c r="W4732">
        <v>11.88801230266508</v>
      </c>
      <c r="X4732">
        <v>0.35077878494437348</v>
      </c>
      <c r="Z4732" t="s">
        <v>392</v>
      </c>
      <c r="AA4732">
        <v>161</v>
      </c>
      <c r="AB4732" t="s">
        <v>5123</v>
      </c>
      <c r="AC4732" t="str">
        <f>HYPERLINK("plots/3FT6Y578R04_015_S31P_20251219032831_M5358ACSA301811_RBGEUFRF04/dpll_52084/txpa_55257.png","plot")</f>
        <v>plot</v>
      </c>
    </row>
    <row r="4733" spans="1:29" hidden="1" x14ac:dyDescent="0.35">
      <c r="A4733" t="s">
        <v>50</v>
      </c>
      <c r="B4733">
        <v>52084</v>
      </c>
      <c r="C4733" t="s">
        <v>52</v>
      </c>
      <c r="D4733">
        <v>55258</v>
      </c>
      <c r="E4733" t="s">
        <v>391</v>
      </c>
      <c r="F4733">
        <v>11781</v>
      </c>
      <c r="G4733">
        <v>0.79176277892376179</v>
      </c>
      <c r="H4733">
        <v>0</v>
      </c>
      <c r="I4733">
        <v>0</v>
      </c>
      <c r="J4733">
        <v>0.69486483302771729</v>
      </c>
      <c r="K4733">
        <v>0</v>
      </c>
      <c r="L4733">
        <v>0</v>
      </c>
      <c r="M4733">
        <v>0.50843981883713618</v>
      </c>
      <c r="N4733">
        <v>0</v>
      </c>
      <c r="O4733">
        <v>0</v>
      </c>
      <c r="P4733">
        <v>0.62688829808907764</v>
      </c>
      <c r="Q4733">
        <v>1.4406433979983351</v>
      </c>
      <c r="R4733">
        <v>5.7175704952386948</v>
      </c>
      <c r="S4733">
        <v>0.21484214496925641</v>
      </c>
      <c r="T4733">
        <v>0.16330204226852879</v>
      </c>
      <c r="U4733">
        <v>4.2695633024361257</v>
      </c>
      <c r="V4733">
        <v>0.19331122175495491</v>
      </c>
      <c r="W4733">
        <v>11.868488679229269</v>
      </c>
      <c r="X4733">
        <v>0.35173734203421508</v>
      </c>
      <c r="Z4733" t="s">
        <v>392</v>
      </c>
      <c r="AA4733">
        <v>161</v>
      </c>
      <c r="AB4733" t="s">
        <v>5124</v>
      </c>
      <c r="AC4733" t="str">
        <f>HYPERLINK("plots/3FT6Y578R04_015_S31P_20251219032831_M5358ACSA301811_RBGEUFRF04/dpll_52084/txpa_55258.png","plot")</f>
        <v>plot</v>
      </c>
    </row>
    <row r="4734" spans="1:29" hidden="1" x14ac:dyDescent="0.35">
      <c r="A4734" t="s">
        <v>50</v>
      </c>
      <c r="B4734">
        <v>52094</v>
      </c>
      <c r="C4734" t="s">
        <v>53</v>
      </c>
      <c r="D4734">
        <v>53179</v>
      </c>
      <c r="E4734" t="s">
        <v>54</v>
      </c>
      <c r="F4734">
        <v>11782</v>
      </c>
      <c r="G4734">
        <v>0.32038268808600751</v>
      </c>
      <c r="H4734">
        <v>2.0884665539673152E-279</v>
      </c>
      <c r="I4734">
        <v>2.22681922788944E-279</v>
      </c>
      <c r="J4734">
        <v>0.27837276830981539</v>
      </c>
      <c r="K4734">
        <v>1.2505280448232631E-208</v>
      </c>
      <c r="L4734">
        <v>1.3319699973222579E-208</v>
      </c>
      <c r="M4734">
        <v>0.18921706001648089</v>
      </c>
      <c r="N4734">
        <v>5.7251437613893196E-208</v>
      </c>
      <c r="O4734">
        <v>6.0979997626562706E-208</v>
      </c>
      <c r="P4734">
        <v>0.102645066825216</v>
      </c>
      <c r="Q4734">
        <v>1.60393675827134</v>
      </c>
      <c r="R4734">
        <v>-28.237112555010292</v>
      </c>
      <c r="S4734">
        <v>1.055968751583847</v>
      </c>
      <c r="T4734">
        <v>0.8213274732944652</v>
      </c>
      <c r="U4734">
        <v>4.2673938428959426</v>
      </c>
      <c r="V4734">
        <v>0.22267382584799689</v>
      </c>
      <c r="W4734">
        <v>-21.3924827083687</v>
      </c>
      <c r="X4734">
        <v>1.114775384763093</v>
      </c>
      <c r="Z4734" t="s">
        <v>392</v>
      </c>
      <c r="AA4734">
        <v>161</v>
      </c>
      <c r="AB4734" t="s">
        <v>5125</v>
      </c>
      <c r="AC4734" t="str">
        <f>HYPERLINK("plots/3FT6Y578R04_015_S31P_20251219032831_M5358ACSA301811_RBGEUFRF04/dpll_52094/txpa_53179.png","plot")</f>
        <v>plot</v>
      </c>
    </row>
    <row r="4735" spans="1:29" hidden="1" x14ac:dyDescent="0.35">
      <c r="A4735" t="s">
        <v>50</v>
      </c>
      <c r="B4735">
        <v>52094</v>
      </c>
      <c r="C4735" t="s">
        <v>53</v>
      </c>
      <c r="D4735">
        <v>53180</v>
      </c>
      <c r="E4735" t="s">
        <v>55</v>
      </c>
      <c r="F4735">
        <v>11782</v>
      </c>
      <c r="G4735">
        <v>0.31022761131645982</v>
      </c>
      <c r="H4735">
        <v>3.3409513840855802E-261</v>
      </c>
      <c r="I4735">
        <v>3.536247080858849E-261</v>
      </c>
      <c r="J4735">
        <v>0.27257286191319541</v>
      </c>
      <c r="K4735">
        <v>8.9417117669680153E-200</v>
      </c>
      <c r="L4735">
        <v>9.4941316562361958E-200</v>
      </c>
      <c r="M4735">
        <v>0.18488288740372599</v>
      </c>
      <c r="N4735">
        <v>1.038322412533697E-198</v>
      </c>
      <c r="O4735">
        <v>1.1024700799048889E-198</v>
      </c>
      <c r="P4735">
        <v>9.6241170823116465E-2</v>
      </c>
      <c r="Q4735">
        <v>1.5100506395305779</v>
      </c>
      <c r="R4735">
        <v>-27.74546089750288</v>
      </c>
      <c r="S4735">
        <v>1.0303578377239491</v>
      </c>
      <c r="T4735">
        <v>0.79695138488903827</v>
      </c>
      <c r="U4735">
        <v>4.2673938428959426</v>
      </c>
      <c r="V4735">
        <v>0.22267382584799689</v>
      </c>
      <c r="W4735">
        <v>-21.30148009590901</v>
      </c>
      <c r="X4735">
        <v>1.083877581694314</v>
      </c>
      <c r="Z4735" t="s">
        <v>392</v>
      </c>
      <c r="AA4735">
        <v>161</v>
      </c>
      <c r="AB4735" t="s">
        <v>5126</v>
      </c>
      <c r="AC4735" t="str">
        <f>HYPERLINK("plots/3FT6Y578R04_015_S31P_20251219032831_M5358ACSA301811_RBGEUFRF04/dpll_52094/txpa_53180.png","plot")</f>
        <v>plot</v>
      </c>
    </row>
    <row r="4736" spans="1:29" hidden="1" x14ac:dyDescent="0.35">
      <c r="A4736" t="s">
        <v>50</v>
      </c>
      <c r="B4736">
        <v>52094</v>
      </c>
      <c r="C4736" t="s">
        <v>53</v>
      </c>
      <c r="D4736">
        <v>53181</v>
      </c>
      <c r="E4736" t="s">
        <v>56</v>
      </c>
      <c r="F4736">
        <v>11782</v>
      </c>
      <c r="G4736">
        <v>0.32041781290543642</v>
      </c>
      <c r="H4736">
        <v>1.8014325870759039E-279</v>
      </c>
      <c r="I4736">
        <v>1.922792256099965E-279</v>
      </c>
      <c r="J4736">
        <v>0.28697416746867088</v>
      </c>
      <c r="K4736">
        <v>3.6678351982209249E-222</v>
      </c>
      <c r="L4736">
        <v>3.9439924612895208E-222</v>
      </c>
      <c r="M4736">
        <v>0.19432741419821109</v>
      </c>
      <c r="N4736">
        <v>2.432823231749336E-219</v>
      </c>
      <c r="O4736">
        <v>2.615994440078289E-219</v>
      </c>
      <c r="P4736">
        <v>0.1026675748271032</v>
      </c>
      <c r="Q4736">
        <v>1.554587028110807</v>
      </c>
      <c r="R4736">
        <v>-27.88263741212479</v>
      </c>
      <c r="S4736">
        <v>1.0233538039268031</v>
      </c>
      <c r="T4736">
        <v>0.79157258363510474</v>
      </c>
      <c r="U4736">
        <v>4.2673938428959426</v>
      </c>
      <c r="V4736">
        <v>0.22267382584799689</v>
      </c>
      <c r="W4736">
        <v>-21.248602300118829</v>
      </c>
      <c r="X4736">
        <v>1.080357668084025</v>
      </c>
      <c r="Z4736" t="s">
        <v>392</v>
      </c>
      <c r="AA4736">
        <v>161</v>
      </c>
      <c r="AB4736" t="s">
        <v>5127</v>
      </c>
      <c r="AC4736" t="str">
        <f>HYPERLINK("plots/3FT6Y578R04_015_S31P_20251219032831_M5358ACSA301811_RBGEUFRF04/dpll_52094/txpa_53181.png","plot")</f>
        <v>plot</v>
      </c>
    </row>
    <row r="4737" spans="1:29" hidden="1" x14ac:dyDescent="0.35">
      <c r="A4737" t="s">
        <v>50</v>
      </c>
      <c r="B4737">
        <v>52094</v>
      </c>
      <c r="C4737" t="s">
        <v>53</v>
      </c>
      <c r="D4737">
        <v>53182</v>
      </c>
      <c r="E4737" t="s">
        <v>57</v>
      </c>
      <c r="F4737">
        <v>11782</v>
      </c>
      <c r="G4737">
        <v>0.32255319229946011</v>
      </c>
      <c r="H4737">
        <v>2.1667761290515809E-283</v>
      </c>
      <c r="I4737">
        <v>2.3200749681713862E-283</v>
      </c>
      <c r="J4737">
        <v>0.2851923258203598</v>
      </c>
      <c r="K4737">
        <v>2.555518808525009E-219</v>
      </c>
      <c r="L4737">
        <v>2.7392136066008022E-219</v>
      </c>
      <c r="M4737">
        <v>0.19335222784321249</v>
      </c>
      <c r="N4737">
        <v>3.3913127891882781E-217</v>
      </c>
      <c r="O4737">
        <v>3.6350858015189363E-217</v>
      </c>
      <c r="P4737">
        <v>0.1040405618625725</v>
      </c>
      <c r="Q4737">
        <v>1.5548513352762019</v>
      </c>
      <c r="R4737">
        <v>-27.77067226108413</v>
      </c>
      <c r="S4737">
        <v>1.015973641283318</v>
      </c>
      <c r="T4737">
        <v>0.78026441968094251</v>
      </c>
      <c r="U4737">
        <v>4.2673938428959426</v>
      </c>
      <c r="V4737">
        <v>0.22267382584799689</v>
      </c>
      <c r="W4737">
        <v>-21.135509246307929</v>
      </c>
      <c r="X4737">
        <v>1.073387905364092</v>
      </c>
      <c r="Z4737" t="s">
        <v>392</v>
      </c>
      <c r="AA4737">
        <v>161</v>
      </c>
      <c r="AB4737" t="s">
        <v>5128</v>
      </c>
      <c r="AC4737" t="str">
        <f>HYPERLINK("plots/3FT6Y578R04_015_S31P_20251219032831_M5358ACSA301811_RBGEUFRF04/dpll_52094/txpa_53182.png","plot")</f>
        <v>plot</v>
      </c>
    </row>
    <row r="4738" spans="1:29" hidden="1" x14ac:dyDescent="0.35">
      <c r="A4738" t="s">
        <v>50</v>
      </c>
      <c r="B4738">
        <v>52094</v>
      </c>
      <c r="C4738" t="s">
        <v>53</v>
      </c>
      <c r="D4738">
        <v>53183</v>
      </c>
      <c r="E4738" t="s">
        <v>58</v>
      </c>
      <c r="F4738">
        <v>11782</v>
      </c>
      <c r="G4738">
        <v>0.32547522943192642</v>
      </c>
      <c r="H4738">
        <v>8.3175634481414364E-289</v>
      </c>
      <c r="I4738">
        <v>8.9628154478378495E-289</v>
      </c>
      <c r="J4738">
        <v>0.28031976661396379</v>
      </c>
      <c r="K4738">
        <v>1.191355318271362E-211</v>
      </c>
      <c r="L4738">
        <v>1.272954997605017E-211</v>
      </c>
      <c r="M4738">
        <v>0.1900816670323642</v>
      </c>
      <c r="N4738">
        <v>5.7761542237375072E-210</v>
      </c>
      <c r="O4738">
        <v>6.1717812253633641E-210</v>
      </c>
      <c r="P4738">
        <v>0.1059341249737651</v>
      </c>
      <c r="Q4738">
        <v>1.5850175886702029</v>
      </c>
      <c r="R4738">
        <v>-27.954406101522949</v>
      </c>
      <c r="S4738">
        <v>1.0253016193286251</v>
      </c>
      <c r="T4738">
        <v>0.79366743410035212</v>
      </c>
      <c r="U4738">
        <v>4.2673938428959426</v>
      </c>
      <c r="V4738">
        <v>0.22267382584799689</v>
      </c>
      <c r="W4738">
        <v>-21.19051180274996</v>
      </c>
      <c r="X4738">
        <v>1.0843895282647891</v>
      </c>
      <c r="Z4738" t="s">
        <v>392</v>
      </c>
      <c r="AA4738">
        <v>161</v>
      </c>
      <c r="AB4738" t="s">
        <v>5129</v>
      </c>
      <c r="AC4738" t="str">
        <f>HYPERLINK("plots/3FT6Y578R04_015_S31P_20251219032831_M5358ACSA301811_RBGEUFRF04/dpll_52094/txpa_53183.png","plot")</f>
        <v>plot</v>
      </c>
    </row>
    <row r="4739" spans="1:29" hidden="1" x14ac:dyDescent="0.35">
      <c r="A4739" t="s">
        <v>50</v>
      </c>
      <c r="B4739">
        <v>52094</v>
      </c>
      <c r="C4739" t="s">
        <v>53</v>
      </c>
      <c r="D4739">
        <v>53184</v>
      </c>
      <c r="E4739" t="s">
        <v>59</v>
      </c>
      <c r="F4739">
        <v>11782</v>
      </c>
      <c r="G4739">
        <v>0.32592452325352728</v>
      </c>
      <c r="H4739">
        <v>1.207560171921331E-289</v>
      </c>
      <c r="I4739">
        <v>1.305400868153764E-289</v>
      </c>
      <c r="J4739">
        <v>0.29804167092071038</v>
      </c>
      <c r="K4739">
        <v>2.7258728234093417E-240</v>
      </c>
      <c r="L4739">
        <v>2.9498773137001849E-240</v>
      </c>
      <c r="M4739">
        <v>0.20265929031991409</v>
      </c>
      <c r="N4739">
        <v>2.4304642774367569E-238</v>
      </c>
      <c r="O4739">
        <v>2.6301929320393509E-238</v>
      </c>
      <c r="P4739">
        <v>0.106226794858039</v>
      </c>
      <c r="Q4739">
        <v>1.5974727950040271</v>
      </c>
      <c r="R4739">
        <v>-28.093702412235281</v>
      </c>
      <c r="S4739">
        <v>1.031765108161834</v>
      </c>
      <c r="T4739">
        <v>0.79635049670685987</v>
      </c>
      <c r="U4739">
        <v>4.2673938428959426</v>
      </c>
      <c r="V4739">
        <v>0.22267382584799689</v>
      </c>
      <c r="W4739">
        <v>-21.276656842641319</v>
      </c>
      <c r="X4739">
        <v>1.091404155172879</v>
      </c>
      <c r="Z4739" t="s">
        <v>392</v>
      </c>
      <c r="AA4739">
        <v>161</v>
      </c>
      <c r="AB4739" t="s">
        <v>5130</v>
      </c>
      <c r="AC4739" t="str">
        <f>HYPERLINK("plots/3FT6Y578R04_015_S31P_20251219032831_M5358ACSA301811_RBGEUFRF04/dpll_52094/txpa_53184.png","plot")</f>
        <v>plot</v>
      </c>
    </row>
    <row r="4740" spans="1:29" hidden="1" x14ac:dyDescent="0.35">
      <c r="A4740" t="s">
        <v>50</v>
      </c>
      <c r="B4740">
        <v>52094</v>
      </c>
      <c r="C4740" t="s">
        <v>53</v>
      </c>
      <c r="D4740">
        <v>53185</v>
      </c>
      <c r="E4740" t="s">
        <v>60</v>
      </c>
      <c r="F4740">
        <v>11782</v>
      </c>
      <c r="G4740">
        <v>0.32433035678781852</v>
      </c>
      <c r="H4740">
        <v>1.119758854778178E-286</v>
      </c>
      <c r="I4740">
        <v>1.2015190251270609E-286</v>
      </c>
      <c r="J4740">
        <v>0.28939286103297129</v>
      </c>
      <c r="K4740">
        <v>4.6968028004616597E-226</v>
      </c>
      <c r="L4740">
        <v>5.0665511060299177E-226</v>
      </c>
      <c r="M4740">
        <v>0.19586401203564349</v>
      </c>
      <c r="N4740">
        <v>8.8483595355076487E-223</v>
      </c>
      <c r="O4740">
        <v>9.544932520217825E-223</v>
      </c>
      <c r="P4740">
        <v>0.1051901803341137</v>
      </c>
      <c r="Q4740">
        <v>1.5761519240504029</v>
      </c>
      <c r="R4740">
        <v>-27.990679527449689</v>
      </c>
      <c r="S4740">
        <v>1.023591302766</v>
      </c>
      <c r="T4740">
        <v>0.79098626269421202</v>
      </c>
      <c r="U4740">
        <v>4.2673938428959426</v>
      </c>
      <c r="V4740">
        <v>0.22267382584799689</v>
      </c>
      <c r="W4740">
        <v>-21.264618511288411</v>
      </c>
      <c r="X4740">
        <v>1.08213052432706</v>
      </c>
      <c r="Z4740" t="s">
        <v>392</v>
      </c>
      <c r="AA4740">
        <v>161</v>
      </c>
      <c r="AB4740" t="s">
        <v>5131</v>
      </c>
      <c r="AC4740" t="str">
        <f>HYPERLINK("plots/3FT6Y578R04_015_S31P_20251219032831_M5358ACSA301811_RBGEUFRF04/dpll_52094/txpa_53185.png","plot")</f>
        <v>plot</v>
      </c>
    </row>
    <row r="4741" spans="1:29" hidden="1" x14ac:dyDescent="0.35">
      <c r="A4741" t="s">
        <v>50</v>
      </c>
      <c r="B4741">
        <v>52094</v>
      </c>
      <c r="C4741" t="s">
        <v>53</v>
      </c>
      <c r="D4741">
        <v>53186</v>
      </c>
      <c r="E4741" t="s">
        <v>61</v>
      </c>
      <c r="F4741">
        <v>11782</v>
      </c>
      <c r="G4741">
        <v>0.31206123933848812</v>
      </c>
      <c r="H4741">
        <v>1.948332349121151E-264</v>
      </c>
      <c r="I4741">
        <v>2.066536612979965E-264</v>
      </c>
      <c r="J4741">
        <v>0.26926097381654679</v>
      </c>
      <c r="K4741">
        <v>8.1401697401098448E-195</v>
      </c>
      <c r="L4741">
        <v>8.6070199337553523E-195</v>
      </c>
      <c r="M4741">
        <v>0.18190960161021741</v>
      </c>
      <c r="N4741">
        <v>2.14085461919356E-192</v>
      </c>
      <c r="O4741">
        <v>2.2636356453204062E-192</v>
      </c>
      <c r="P4741">
        <v>9.7382217097473162E-2</v>
      </c>
      <c r="Q4741">
        <v>1.5638137229748521</v>
      </c>
      <c r="R4741">
        <v>-28.086111218026272</v>
      </c>
      <c r="S4741">
        <v>1.0601025360609091</v>
      </c>
      <c r="T4741">
        <v>0.83101847473324886</v>
      </c>
      <c r="U4741">
        <v>4.2673938428959426</v>
      </c>
      <c r="V4741">
        <v>0.22267382584799689</v>
      </c>
      <c r="W4741">
        <v>-21.4127021651672</v>
      </c>
      <c r="X4741">
        <v>1.1158719530390011</v>
      </c>
      <c r="Z4741" t="s">
        <v>392</v>
      </c>
      <c r="AA4741">
        <v>161</v>
      </c>
      <c r="AB4741" t="s">
        <v>5132</v>
      </c>
      <c r="AC4741" t="str">
        <f>HYPERLINK("plots/3FT6Y578R04_015_S31P_20251219032831_M5358ACSA301811_RBGEUFRF04/dpll_52094/txpa_53186.png","plot")</f>
        <v>plot</v>
      </c>
    </row>
    <row r="4742" spans="1:29" hidden="1" x14ac:dyDescent="0.35">
      <c r="A4742" t="s">
        <v>50</v>
      </c>
      <c r="B4742">
        <v>52094</v>
      </c>
      <c r="C4742" t="s">
        <v>53</v>
      </c>
      <c r="D4742">
        <v>53187</v>
      </c>
      <c r="E4742" t="s">
        <v>62</v>
      </c>
      <c r="F4742">
        <v>11782</v>
      </c>
      <c r="G4742">
        <v>0.66334665856339081</v>
      </c>
      <c r="H4742">
        <v>0</v>
      </c>
      <c r="I4742">
        <v>0</v>
      </c>
      <c r="J4742">
        <v>0.55275669275839701</v>
      </c>
      <c r="K4742">
        <v>0</v>
      </c>
      <c r="L4742">
        <v>0</v>
      </c>
      <c r="M4742">
        <v>0.38884065603954499</v>
      </c>
      <c r="N4742">
        <v>0</v>
      </c>
      <c r="O4742">
        <v>0</v>
      </c>
      <c r="P4742">
        <v>0.44002878942721579</v>
      </c>
      <c r="Q4742">
        <v>0.87369723472434802</v>
      </c>
      <c r="R4742">
        <v>-14.615788738466369</v>
      </c>
      <c r="S4742">
        <v>0.21945930769186919</v>
      </c>
      <c r="T4742">
        <v>0.1721242141283803</v>
      </c>
      <c r="U4742">
        <v>4.2673938428959426</v>
      </c>
      <c r="V4742">
        <v>0.22267382584799689</v>
      </c>
      <c r="W4742">
        <v>-10.88737853844848</v>
      </c>
      <c r="X4742">
        <v>0.29328482080579338</v>
      </c>
      <c r="Z4742" t="s">
        <v>392</v>
      </c>
      <c r="AA4742">
        <v>161</v>
      </c>
      <c r="AB4742" t="s">
        <v>5133</v>
      </c>
      <c r="AC4742" t="str">
        <f>HYPERLINK("plots/3FT6Y578R04_015_S31P_20251219032831_M5358ACSA301811_RBGEUFRF04/dpll_52094/txpa_53187.png","plot")</f>
        <v>plot</v>
      </c>
    </row>
    <row r="4743" spans="1:29" hidden="1" x14ac:dyDescent="0.35">
      <c r="A4743" t="s">
        <v>50</v>
      </c>
      <c r="B4743">
        <v>52094</v>
      </c>
      <c r="C4743" t="s">
        <v>53</v>
      </c>
      <c r="D4743">
        <v>53188</v>
      </c>
      <c r="E4743" t="s">
        <v>63</v>
      </c>
      <c r="F4743">
        <v>11782</v>
      </c>
      <c r="G4743">
        <v>0.68612648456106717</v>
      </c>
      <c r="H4743">
        <v>0</v>
      </c>
      <c r="I4743">
        <v>0</v>
      </c>
      <c r="J4743">
        <v>0.57414164535551893</v>
      </c>
      <c r="K4743">
        <v>0</v>
      </c>
      <c r="L4743">
        <v>0</v>
      </c>
      <c r="M4743">
        <v>0.40760897320922312</v>
      </c>
      <c r="N4743">
        <v>0</v>
      </c>
      <c r="O4743">
        <v>0</v>
      </c>
      <c r="P4743">
        <v>0.47076955281612842</v>
      </c>
      <c r="Q4743">
        <v>0.89662500085823194</v>
      </c>
      <c r="R4743">
        <v>-14.647711842542281</v>
      </c>
      <c r="S4743">
        <v>0.2116799924660355</v>
      </c>
      <c r="T4743">
        <v>0.16662667118019001</v>
      </c>
      <c r="U4743">
        <v>4.2673938428959426</v>
      </c>
      <c r="V4743">
        <v>0.22267382584799689</v>
      </c>
      <c r="W4743">
        <v>-10.82145983449329</v>
      </c>
      <c r="X4743">
        <v>0.29098850399251142</v>
      </c>
      <c r="Z4743" t="s">
        <v>392</v>
      </c>
      <c r="AA4743">
        <v>161</v>
      </c>
      <c r="AB4743" t="s">
        <v>5134</v>
      </c>
      <c r="AC4743" t="str">
        <f>HYPERLINK("plots/3FT6Y578R04_015_S31P_20251219032831_M5358ACSA301811_RBGEUFRF04/dpll_52094/txpa_53188.png","plot")</f>
        <v>plot</v>
      </c>
    </row>
    <row r="4744" spans="1:29" hidden="1" x14ac:dyDescent="0.35">
      <c r="A4744" t="s">
        <v>50</v>
      </c>
      <c r="B4744">
        <v>52094</v>
      </c>
      <c r="C4744" t="s">
        <v>53</v>
      </c>
      <c r="D4744">
        <v>53189</v>
      </c>
      <c r="E4744" t="s">
        <v>64</v>
      </c>
      <c r="F4744">
        <v>11782</v>
      </c>
      <c r="G4744">
        <v>0.67299585872928458</v>
      </c>
      <c r="H4744">
        <v>0</v>
      </c>
      <c r="I4744">
        <v>0</v>
      </c>
      <c r="J4744">
        <v>0.55724042256409212</v>
      </c>
      <c r="K4744">
        <v>0</v>
      </c>
      <c r="L4744">
        <v>0</v>
      </c>
      <c r="M4744">
        <v>0.39305339452359989</v>
      </c>
      <c r="N4744">
        <v>0</v>
      </c>
      <c r="O4744">
        <v>0</v>
      </c>
      <c r="P4744">
        <v>0.45292342586676709</v>
      </c>
      <c r="Q4744">
        <v>0.85958505457964185</v>
      </c>
      <c r="R4744">
        <v>-14.46997122839775</v>
      </c>
      <c r="S4744">
        <v>0.21035423656003199</v>
      </c>
      <c r="T4744">
        <v>0.1651259589303444</v>
      </c>
      <c r="U4744">
        <v>4.2673938428959426</v>
      </c>
      <c r="V4744">
        <v>0.22267382584799689</v>
      </c>
      <c r="W4744">
        <v>-10.80178325903921</v>
      </c>
      <c r="X4744">
        <v>0.28441050604146773</v>
      </c>
      <c r="Z4744" t="s">
        <v>392</v>
      </c>
      <c r="AA4744">
        <v>161</v>
      </c>
      <c r="AB4744" t="s">
        <v>5135</v>
      </c>
      <c r="AC4744" t="str">
        <f>HYPERLINK("plots/3FT6Y578R04_015_S31P_20251219032831_M5358ACSA301811_RBGEUFRF04/dpll_52094/txpa_53189.png","plot")</f>
        <v>plot</v>
      </c>
    </row>
    <row r="4745" spans="1:29" hidden="1" x14ac:dyDescent="0.35">
      <c r="A4745" t="s">
        <v>50</v>
      </c>
      <c r="B4745">
        <v>52094</v>
      </c>
      <c r="C4745" t="s">
        <v>53</v>
      </c>
      <c r="D4745">
        <v>53190</v>
      </c>
      <c r="E4745" t="s">
        <v>65</v>
      </c>
      <c r="F4745">
        <v>11781</v>
      </c>
      <c r="G4745">
        <v>0.69146838694844415</v>
      </c>
      <c r="H4745">
        <v>0</v>
      </c>
      <c r="I4745">
        <v>0</v>
      </c>
      <c r="J4745">
        <v>0.57058210826534816</v>
      </c>
      <c r="K4745">
        <v>0</v>
      </c>
      <c r="L4745">
        <v>0</v>
      </c>
      <c r="M4745">
        <v>0.40443233547795848</v>
      </c>
      <c r="N4745">
        <v>0</v>
      </c>
      <c r="O4745">
        <v>0</v>
      </c>
      <c r="P4745">
        <v>0.4781285301490833</v>
      </c>
      <c r="Q4745">
        <v>0.89263383789468642</v>
      </c>
      <c r="R4745">
        <v>-14.5655333640498</v>
      </c>
      <c r="S4745">
        <v>0.20765768419632541</v>
      </c>
      <c r="T4745">
        <v>0.164094419483094</v>
      </c>
      <c r="U4745">
        <v>4.2674026018164843</v>
      </c>
      <c r="V4745">
        <v>0.22268124725346999</v>
      </c>
      <c r="W4745">
        <v>-10.75630540174858</v>
      </c>
      <c r="X4745">
        <v>0.28746479248350809</v>
      </c>
      <c r="Z4745" t="s">
        <v>392</v>
      </c>
      <c r="AA4745">
        <v>161</v>
      </c>
      <c r="AB4745" t="s">
        <v>5136</v>
      </c>
      <c r="AC4745" t="str">
        <f>HYPERLINK("plots/3FT6Y578R04_015_S31P_20251219032831_M5358ACSA301811_RBGEUFRF04/dpll_52094/txpa_53190.png","plot")</f>
        <v>plot</v>
      </c>
    </row>
    <row r="4746" spans="1:29" hidden="1" x14ac:dyDescent="0.35">
      <c r="A4746" t="s">
        <v>50</v>
      </c>
      <c r="B4746">
        <v>52094</v>
      </c>
      <c r="C4746" t="s">
        <v>53</v>
      </c>
      <c r="D4746">
        <v>53191</v>
      </c>
      <c r="E4746" t="s">
        <v>66</v>
      </c>
      <c r="F4746">
        <v>11781</v>
      </c>
      <c r="G4746">
        <v>0.69776652505697012</v>
      </c>
      <c r="H4746">
        <v>0</v>
      </c>
      <c r="I4746">
        <v>0</v>
      </c>
      <c r="J4746">
        <v>0.57090909281400248</v>
      </c>
      <c r="K4746">
        <v>0</v>
      </c>
      <c r="L4746">
        <v>0</v>
      </c>
      <c r="M4746">
        <v>0.40394133727601722</v>
      </c>
      <c r="N4746">
        <v>0</v>
      </c>
      <c r="O4746">
        <v>0</v>
      </c>
      <c r="P4746">
        <v>0.48687812349007931</v>
      </c>
      <c r="Q4746">
        <v>0.90782574134132521</v>
      </c>
      <c r="R4746">
        <v>-14.64381722818557</v>
      </c>
      <c r="S4746">
        <v>0.20750491918420871</v>
      </c>
      <c r="T4746">
        <v>0.16396163869630509</v>
      </c>
      <c r="U4746">
        <v>4.2673648416942536</v>
      </c>
      <c r="V4746">
        <v>0.2226610238238293</v>
      </c>
      <c r="W4746">
        <v>-10.769793577200581</v>
      </c>
      <c r="X4746">
        <v>0.28969204133744092</v>
      </c>
      <c r="Z4746" t="s">
        <v>392</v>
      </c>
      <c r="AA4746">
        <v>161</v>
      </c>
      <c r="AB4746" t="s">
        <v>5137</v>
      </c>
      <c r="AC4746" t="str">
        <f>HYPERLINK("plots/3FT6Y578R04_015_S31P_20251219032831_M5358ACSA301811_RBGEUFRF04/dpll_52094/txpa_53191.png","plot")</f>
        <v>plot</v>
      </c>
    </row>
    <row r="4747" spans="1:29" hidden="1" x14ac:dyDescent="0.35">
      <c r="A4747" t="s">
        <v>50</v>
      </c>
      <c r="B4747">
        <v>52094</v>
      </c>
      <c r="C4747" t="s">
        <v>53</v>
      </c>
      <c r="D4747">
        <v>53192</v>
      </c>
      <c r="E4747" t="s">
        <v>67</v>
      </c>
      <c r="F4747">
        <v>11782</v>
      </c>
      <c r="G4747">
        <v>0.69536036450128624</v>
      </c>
      <c r="H4747">
        <v>0</v>
      </c>
      <c r="I4747">
        <v>0</v>
      </c>
      <c r="J4747">
        <v>0.58519212544968302</v>
      </c>
      <c r="K4747">
        <v>0</v>
      </c>
      <c r="L4747">
        <v>0</v>
      </c>
      <c r="M4747">
        <v>0.41573650340104651</v>
      </c>
      <c r="N4747">
        <v>0</v>
      </c>
      <c r="O4747">
        <v>0</v>
      </c>
      <c r="P4747">
        <v>0.48352603651936171</v>
      </c>
      <c r="Q4747">
        <v>0.89865453423827624</v>
      </c>
      <c r="R4747">
        <v>-14.641352182690049</v>
      </c>
      <c r="S4747">
        <v>0.20680345674061371</v>
      </c>
      <c r="T4747">
        <v>0.1621589748755691</v>
      </c>
      <c r="U4747">
        <v>4.2673938428959426</v>
      </c>
      <c r="V4747">
        <v>0.22267382584799689</v>
      </c>
      <c r="W4747">
        <v>-10.806439356391101</v>
      </c>
      <c r="X4747">
        <v>0.28777430159972323</v>
      </c>
      <c r="Z4747" t="s">
        <v>392</v>
      </c>
      <c r="AA4747">
        <v>161</v>
      </c>
      <c r="AB4747" t="s">
        <v>5138</v>
      </c>
      <c r="AC4747" t="str">
        <f>HYPERLINK("plots/3FT6Y578R04_015_S31P_20251219032831_M5358ACSA301811_RBGEUFRF04/dpll_52094/txpa_53192.png","plot")</f>
        <v>plot</v>
      </c>
    </row>
    <row r="4748" spans="1:29" hidden="1" x14ac:dyDescent="0.35">
      <c r="A4748" t="s">
        <v>50</v>
      </c>
      <c r="B4748">
        <v>52094</v>
      </c>
      <c r="C4748" t="s">
        <v>53</v>
      </c>
      <c r="D4748">
        <v>53193</v>
      </c>
      <c r="E4748" t="s">
        <v>68</v>
      </c>
      <c r="F4748">
        <v>11782</v>
      </c>
      <c r="G4748">
        <v>0.69459619263518901</v>
      </c>
      <c r="H4748">
        <v>0</v>
      </c>
      <c r="I4748">
        <v>0</v>
      </c>
      <c r="J4748">
        <v>0.58241212986283675</v>
      </c>
      <c r="K4748">
        <v>0</v>
      </c>
      <c r="L4748">
        <v>0</v>
      </c>
      <c r="M4748">
        <v>0.41349184584388649</v>
      </c>
      <c r="N4748">
        <v>0</v>
      </c>
      <c r="O4748">
        <v>0</v>
      </c>
      <c r="P4748">
        <v>0.48246387082330061</v>
      </c>
      <c r="Q4748">
        <v>0.89581245831885781</v>
      </c>
      <c r="R4748">
        <v>-14.617737109844359</v>
      </c>
      <c r="S4748">
        <v>0.20658832573051769</v>
      </c>
      <c r="T4748">
        <v>0.16256740695641869</v>
      </c>
      <c r="U4748">
        <v>4.2673938428959426</v>
      </c>
      <c r="V4748">
        <v>0.22267382584799689</v>
      </c>
      <c r="W4748">
        <v>-10.79495254082499</v>
      </c>
      <c r="X4748">
        <v>0.28717978798499649</v>
      </c>
      <c r="Z4748" t="s">
        <v>392</v>
      </c>
      <c r="AA4748">
        <v>161</v>
      </c>
      <c r="AB4748" t="s">
        <v>5139</v>
      </c>
      <c r="AC4748" t="str">
        <f>HYPERLINK("plots/3FT6Y578R04_015_S31P_20251219032831_M5358ACSA301811_RBGEUFRF04/dpll_52094/txpa_53193.png","plot")</f>
        <v>plot</v>
      </c>
    </row>
    <row r="4749" spans="1:29" hidden="1" x14ac:dyDescent="0.35">
      <c r="A4749" t="s">
        <v>50</v>
      </c>
      <c r="B4749">
        <v>52094</v>
      </c>
      <c r="C4749" t="s">
        <v>53</v>
      </c>
      <c r="D4749">
        <v>53194</v>
      </c>
      <c r="E4749" t="s">
        <v>69</v>
      </c>
      <c r="F4749">
        <v>11781</v>
      </c>
      <c r="G4749">
        <v>0.68548403758222964</v>
      </c>
      <c r="H4749">
        <v>0</v>
      </c>
      <c r="I4749">
        <v>0</v>
      </c>
      <c r="J4749">
        <v>0.56850466444211289</v>
      </c>
      <c r="K4749">
        <v>0</v>
      </c>
      <c r="L4749">
        <v>0</v>
      </c>
      <c r="M4749">
        <v>0.40331162801599441</v>
      </c>
      <c r="N4749">
        <v>0</v>
      </c>
      <c r="O4749">
        <v>0</v>
      </c>
      <c r="P4749">
        <v>0.46988836578003562</v>
      </c>
      <c r="Q4749">
        <v>0.89284897506073135</v>
      </c>
      <c r="R4749">
        <v>-14.67671494824798</v>
      </c>
      <c r="S4749">
        <v>0.21115607842955819</v>
      </c>
      <c r="T4749">
        <v>0.1657863015362131</v>
      </c>
      <c r="U4749">
        <v>4.2674179181733303</v>
      </c>
      <c r="V4749">
        <v>0.22266794157249609</v>
      </c>
      <c r="W4749">
        <v>-10.86655523385112</v>
      </c>
      <c r="X4749">
        <v>0.29002694813011892</v>
      </c>
      <c r="Z4749" t="s">
        <v>392</v>
      </c>
      <c r="AA4749">
        <v>161</v>
      </c>
      <c r="AB4749" t="s">
        <v>5140</v>
      </c>
      <c r="AC4749" t="str">
        <f>HYPERLINK("plots/3FT6Y578R04_015_S31P_20251219032831_M5358ACSA301811_RBGEUFRF04/dpll_52094/txpa_53194.png","plot")</f>
        <v>plot</v>
      </c>
    </row>
    <row r="4750" spans="1:29" hidden="1" x14ac:dyDescent="0.35">
      <c r="A4750" t="s">
        <v>50</v>
      </c>
      <c r="B4750">
        <v>52094</v>
      </c>
      <c r="C4750" t="s">
        <v>53</v>
      </c>
      <c r="D4750">
        <v>53195</v>
      </c>
      <c r="E4750" t="s">
        <v>70</v>
      </c>
      <c r="F4750">
        <v>11782</v>
      </c>
      <c r="G4750">
        <v>0.68776036082600778</v>
      </c>
      <c r="H4750">
        <v>0</v>
      </c>
      <c r="I4750">
        <v>0</v>
      </c>
      <c r="J4750">
        <v>0.58122289829814389</v>
      </c>
      <c r="K4750">
        <v>0</v>
      </c>
      <c r="L4750">
        <v>0</v>
      </c>
      <c r="M4750">
        <v>0.41147489143623017</v>
      </c>
      <c r="N4750">
        <v>0</v>
      </c>
      <c r="O4750">
        <v>0</v>
      </c>
      <c r="P4750">
        <v>0.47301431392352039</v>
      </c>
      <c r="Q4750">
        <v>0.78663549304105174</v>
      </c>
      <c r="R4750">
        <v>-8.2746038523245034</v>
      </c>
      <c r="S4750">
        <v>0.18487855823244259</v>
      </c>
      <c r="T4750">
        <v>0.1445854372280157</v>
      </c>
      <c r="U4750">
        <v>4.2673938428959426</v>
      </c>
      <c r="V4750">
        <v>0.22267382584799689</v>
      </c>
      <c r="W4750">
        <v>-4.9177203927177047</v>
      </c>
      <c r="X4750">
        <v>0.25468629010968802</v>
      </c>
      <c r="Z4750" t="s">
        <v>392</v>
      </c>
      <c r="AA4750">
        <v>161</v>
      </c>
      <c r="AB4750" t="s">
        <v>5141</v>
      </c>
      <c r="AC4750" t="str">
        <f>HYPERLINK("plots/3FT6Y578R04_015_S31P_20251219032831_M5358ACSA301811_RBGEUFRF04/dpll_52094/txpa_53195.png","plot")</f>
        <v>plot</v>
      </c>
    </row>
    <row r="4751" spans="1:29" hidden="1" x14ac:dyDescent="0.35">
      <c r="A4751" t="s">
        <v>50</v>
      </c>
      <c r="B4751">
        <v>52094</v>
      </c>
      <c r="C4751" t="s">
        <v>53</v>
      </c>
      <c r="D4751">
        <v>53196</v>
      </c>
      <c r="E4751" t="s">
        <v>71</v>
      </c>
      <c r="F4751">
        <v>11782</v>
      </c>
      <c r="G4751">
        <v>0.70938582145607132</v>
      </c>
      <c r="H4751">
        <v>0</v>
      </c>
      <c r="I4751">
        <v>0</v>
      </c>
      <c r="J4751">
        <v>0.60032294339149972</v>
      </c>
      <c r="K4751">
        <v>0</v>
      </c>
      <c r="L4751">
        <v>0</v>
      </c>
      <c r="M4751">
        <v>0.42877542879448838</v>
      </c>
      <c r="N4751">
        <v>0</v>
      </c>
      <c r="O4751">
        <v>0</v>
      </c>
      <c r="P4751">
        <v>0.50322824368290509</v>
      </c>
      <c r="Q4751">
        <v>0.81183085066585614</v>
      </c>
      <c r="R4751">
        <v>-8.3361094850626056</v>
      </c>
      <c r="S4751">
        <v>0.17960244104745779</v>
      </c>
      <c r="T4751">
        <v>0.14104059409522471</v>
      </c>
      <c r="U4751">
        <v>4.2673938428959426</v>
      </c>
      <c r="V4751">
        <v>0.22267382584799689</v>
      </c>
      <c r="W4751">
        <v>-4.8717075114581556</v>
      </c>
      <c r="X4751">
        <v>0.25483097630588081</v>
      </c>
      <c r="Z4751" t="s">
        <v>392</v>
      </c>
      <c r="AA4751">
        <v>161</v>
      </c>
      <c r="AB4751" t="s">
        <v>5142</v>
      </c>
      <c r="AC4751" t="str">
        <f>HYPERLINK("plots/3FT6Y578R04_015_S31P_20251219032831_M5358ACSA301811_RBGEUFRF04/dpll_52094/txpa_53196.png","plot")</f>
        <v>plot</v>
      </c>
    </row>
    <row r="4752" spans="1:29" hidden="1" x14ac:dyDescent="0.35">
      <c r="A4752" t="s">
        <v>50</v>
      </c>
      <c r="B4752">
        <v>52094</v>
      </c>
      <c r="C4752" t="s">
        <v>53</v>
      </c>
      <c r="D4752">
        <v>53197</v>
      </c>
      <c r="E4752" t="s">
        <v>72</v>
      </c>
      <c r="F4752">
        <v>11782</v>
      </c>
      <c r="G4752">
        <v>0.69768646586691141</v>
      </c>
      <c r="H4752">
        <v>0</v>
      </c>
      <c r="I4752">
        <v>0</v>
      </c>
      <c r="J4752">
        <v>0.58581789155382458</v>
      </c>
      <c r="K4752">
        <v>0</v>
      </c>
      <c r="L4752">
        <v>0</v>
      </c>
      <c r="M4752">
        <v>0.41628835837591199</v>
      </c>
      <c r="N4752">
        <v>0</v>
      </c>
      <c r="O4752">
        <v>0</v>
      </c>
      <c r="P4752">
        <v>0.48676640465386101</v>
      </c>
      <c r="Q4752">
        <v>0.78101963493485793</v>
      </c>
      <c r="R4752">
        <v>-8.1875006631725</v>
      </c>
      <c r="S4752">
        <v>0.1785705893762044</v>
      </c>
      <c r="T4752">
        <v>0.14063280781260951</v>
      </c>
      <c r="U4752">
        <v>4.2673938428959426</v>
      </c>
      <c r="V4752">
        <v>0.22267382584799689</v>
      </c>
      <c r="W4752">
        <v>-4.854582281870651</v>
      </c>
      <c r="X4752">
        <v>0.24927046557690541</v>
      </c>
      <c r="Z4752" t="s">
        <v>392</v>
      </c>
      <c r="AA4752">
        <v>161</v>
      </c>
      <c r="AB4752" t="s">
        <v>5143</v>
      </c>
      <c r="AC4752" t="str">
        <f>HYPERLINK("plots/3FT6Y578R04_015_S31P_20251219032831_M5358ACSA301811_RBGEUFRF04/dpll_52094/txpa_53197.png","plot")</f>
        <v>plot</v>
      </c>
    </row>
    <row r="4753" spans="1:29" hidden="1" x14ac:dyDescent="0.35">
      <c r="A4753" t="s">
        <v>50</v>
      </c>
      <c r="B4753">
        <v>52094</v>
      </c>
      <c r="C4753" t="s">
        <v>53</v>
      </c>
      <c r="D4753">
        <v>53198</v>
      </c>
      <c r="E4753" t="s">
        <v>73</v>
      </c>
      <c r="F4753">
        <v>11781</v>
      </c>
      <c r="G4753">
        <v>0.71580758058845506</v>
      </c>
      <c r="H4753">
        <v>0</v>
      </c>
      <c r="I4753">
        <v>0</v>
      </c>
      <c r="J4753">
        <v>0.59969103905783572</v>
      </c>
      <c r="K4753">
        <v>0</v>
      </c>
      <c r="L4753">
        <v>0</v>
      </c>
      <c r="M4753">
        <v>0.42842343833890478</v>
      </c>
      <c r="N4753">
        <v>0</v>
      </c>
      <c r="O4753">
        <v>0</v>
      </c>
      <c r="P4753">
        <v>0.51238049242789763</v>
      </c>
      <c r="Q4753">
        <v>0.81468150286380259</v>
      </c>
      <c r="R4753">
        <v>-8.3012914505851825</v>
      </c>
      <c r="S4753">
        <v>0.17696904639169569</v>
      </c>
      <c r="T4753">
        <v>0.1395714440640142</v>
      </c>
      <c r="U4753">
        <v>4.2674026018164843</v>
      </c>
      <c r="V4753">
        <v>0.22268124725346999</v>
      </c>
      <c r="W4753">
        <v>-4.8247174856124273</v>
      </c>
      <c r="X4753">
        <v>0.25344002786741232</v>
      </c>
      <c r="Z4753" t="s">
        <v>392</v>
      </c>
      <c r="AA4753">
        <v>161</v>
      </c>
      <c r="AB4753" t="s">
        <v>5144</v>
      </c>
      <c r="AC4753" t="str">
        <f>HYPERLINK("plots/3FT6Y578R04_015_S31P_20251219032831_M5358ACSA301811_RBGEUFRF04/dpll_52094/txpa_53198.png","plot")</f>
        <v>plot</v>
      </c>
    </row>
    <row r="4754" spans="1:29" hidden="1" x14ac:dyDescent="0.35">
      <c r="A4754" t="s">
        <v>50</v>
      </c>
      <c r="B4754">
        <v>52094</v>
      </c>
      <c r="C4754" t="s">
        <v>53</v>
      </c>
      <c r="D4754">
        <v>53199</v>
      </c>
      <c r="E4754" t="s">
        <v>74</v>
      </c>
      <c r="F4754">
        <v>11781</v>
      </c>
      <c r="G4754">
        <v>0.71775086521449416</v>
      </c>
      <c r="H4754">
        <v>0</v>
      </c>
      <c r="I4754">
        <v>0</v>
      </c>
      <c r="J4754">
        <v>0.59596652717587273</v>
      </c>
      <c r="K4754">
        <v>0</v>
      </c>
      <c r="L4754">
        <v>0</v>
      </c>
      <c r="M4754">
        <v>0.42437790061674369</v>
      </c>
      <c r="N4754">
        <v>0</v>
      </c>
      <c r="O4754">
        <v>0</v>
      </c>
      <c r="P4754">
        <v>0.51516630451615497</v>
      </c>
      <c r="Q4754">
        <v>0.81837853170174235</v>
      </c>
      <c r="R4754">
        <v>-8.332206671607338</v>
      </c>
      <c r="S4754">
        <v>0.17676760182993551</v>
      </c>
      <c r="T4754">
        <v>0.13978824786327049</v>
      </c>
      <c r="U4754">
        <v>4.2673648416942536</v>
      </c>
      <c r="V4754">
        <v>0.2226610238238293</v>
      </c>
      <c r="W4754">
        <v>-4.8398868982259566</v>
      </c>
      <c r="X4754">
        <v>0.25387778764947472</v>
      </c>
      <c r="Z4754" t="s">
        <v>392</v>
      </c>
      <c r="AA4754">
        <v>161</v>
      </c>
      <c r="AB4754" t="s">
        <v>5145</v>
      </c>
      <c r="AC4754" t="str">
        <f>HYPERLINK("plots/3FT6Y578R04_015_S31P_20251219032831_M5358ACSA301811_RBGEUFRF04/dpll_52094/txpa_53199.png","plot")</f>
        <v>plot</v>
      </c>
    </row>
    <row r="4755" spans="1:29" hidden="1" x14ac:dyDescent="0.35">
      <c r="A4755" t="s">
        <v>50</v>
      </c>
      <c r="B4755">
        <v>52094</v>
      </c>
      <c r="C4755" t="s">
        <v>53</v>
      </c>
      <c r="D4755">
        <v>53200</v>
      </c>
      <c r="E4755" t="s">
        <v>75</v>
      </c>
      <c r="F4755">
        <v>11781</v>
      </c>
      <c r="G4755">
        <v>0.72370394896520029</v>
      </c>
      <c r="H4755">
        <v>0</v>
      </c>
      <c r="I4755">
        <v>0</v>
      </c>
      <c r="J4755">
        <v>0.61669076955014479</v>
      </c>
      <c r="K4755">
        <v>0</v>
      </c>
      <c r="L4755">
        <v>0</v>
      </c>
      <c r="M4755">
        <v>0.44132610725679761</v>
      </c>
      <c r="N4755">
        <v>0</v>
      </c>
      <c r="O4755">
        <v>0</v>
      </c>
      <c r="P4755">
        <v>0.52374740574782519</v>
      </c>
      <c r="Q4755">
        <v>0.82374067428478337</v>
      </c>
      <c r="R4755">
        <v>-8.3716826182991948</v>
      </c>
      <c r="S4755">
        <v>0.17488826546835989</v>
      </c>
      <c r="T4755">
        <v>0.13823972627313591</v>
      </c>
      <c r="U4755">
        <v>4.2673606822850356</v>
      </c>
      <c r="V4755">
        <v>0.2226541824443867</v>
      </c>
      <c r="W4755">
        <v>-4.856484052457346</v>
      </c>
      <c r="X4755">
        <v>0.25343140194456182</v>
      </c>
      <c r="Z4755" t="s">
        <v>392</v>
      </c>
      <c r="AA4755">
        <v>161</v>
      </c>
      <c r="AB4755" t="s">
        <v>5146</v>
      </c>
      <c r="AC4755" t="str">
        <f>HYPERLINK("plots/3FT6Y578R04_015_S31P_20251219032831_M5358ACSA301811_RBGEUFRF04/dpll_52094/txpa_53200.png","plot")</f>
        <v>plot</v>
      </c>
    </row>
    <row r="4756" spans="1:29" hidden="1" x14ac:dyDescent="0.35">
      <c r="A4756" t="s">
        <v>50</v>
      </c>
      <c r="B4756">
        <v>52094</v>
      </c>
      <c r="C4756" t="s">
        <v>53</v>
      </c>
      <c r="D4756">
        <v>53201</v>
      </c>
      <c r="E4756" t="s">
        <v>76</v>
      </c>
      <c r="F4756">
        <v>11782</v>
      </c>
      <c r="G4756">
        <v>0.71820519282748951</v>
      </c>
      <c r="H4756">
        <v>0</v>
      </c>
      <c r="I4756">
        <v>0</v>
      </c>
      <c r="J4756">
        <v>0.60653736483385967</v>
      </c>
      <c r="K4756">
        <v>0</v>
      </c>
      <c r="L4756">
        <v>0</v>
      </c>
      <c r="M4756">
        <v>0.43334574871537768</v>
      </c>
      <c r="N4756">
        <v>0</v>
      </c>
      <c r="O4756">
        <v>0</v>
      </c>
      <c r="P4756">
        <v>0.51581869900437138</v>
      </c>
      <c r="Q4756">
        <v>0.80969074573556754</v>
      </c>
      <c r="R4756">
        <v>-8.3032135027980836</v>
      </c>
      <c r="S4756">
        <v>0.17467283980674769</v>
      </c>
      <c r="T4756">
        <v>0.13802052397267611</v>
      </c>
      <c r="U4756">
        <v>4.2673938428959426</v>
      </c>
      <c r="V4756">
        <v>0.22267382584799689</v>
      </c>
      <c r="W4756">
        <v>-4.8479441997963004</v>
      </c>
      <c r="X4756">
        <v>0.25103819619689549</v>
      </c>
      <c r="Z4756" t="s">
        <v>392</v>
      </c>
      <c r="AA4756">
        <v>161</v>
      </c>
      <c r="AB4756" t="s">
        <v>5147</v>
      </c>
      <c r="AC4756" t="str">
        <f>HYPERLINK("plots/3FT6Y578R04_015_S31P_20251219032831_M5358ACSA301811_RBGEUFRF04/dpll_52094/txpa_53201.png","plot")</f>
        <v>plot</v>
      </c>
    </row>
    <row r="4757" spans="1:29" hidden="1" x14ac:dyDescent="0.35">
      <c r="A4757" t="s">
        <v>50</v>
      </c>
      <c r="B4757">
        <v>52094</v>
      </c>
      <c r="C4757" t="s">
        <v>53</v>
      </c>
      <c r="D4757">
        <v>53202</v>
      </c>
      <c r="E4757" t="s">
        <v>77</v>
      </c>
      <c r="F4757">
        <v>11781</v>
      </c>
      <c r="G4757">
        <v>0.71009885495932035</v>
      </c>
      <c r="H4757">
        <v>0</v>
      </c>
      <c r="I4757">
        <v>0</v>
      </c>
      <c r="J4757">
        <v>0.59818464331041787</v>
      </c>
      <c r="K4757">
        <v>0</v>
      </c>
      <c r="L4757">
        <v>0</v>
      </c>
      <c r="M4757">
        <v>0.4267447062537188</v>
      </c>
      <c r="N4757">
        <v>0</v>
      </c>
      <c r="O4757">
        <v>0</v>
      </c>
      <c r="P4757">
        <v>0.50424038381453784</v>
      </c>
      <c r="Q4757">
        <v>0.80802653713694061</v>
      </c>
      <c r="R4757">
        <v>-8.3433273408988526</v>
      </c>
      <c r="S4757">
        <v>0.17839457642666731</v>
      </c>
      <c r="T4757">
        <v>0.14042477982354071</v>
      </c>
      <c r="U4757">
        <v>4.2674179181733303</v>
      </c>
      <c r="V4757">
        <v>0.22266794157249609</v>
      </c>
      <c r="W4757">
        <v>-4.895140417961124</v>
      </c>
      <c r="X4757">
        <v>0.25337543428448678</v>
      </c>
      <c r="Z4757" t="s">
        <v>392</v>
      </c>
      <c r="AA4757">
        <v>161</v>
      </c>
      <c r="AB4757" t="s">
        <v>5148</v>
      </c>
      <c r="AC4757" t="str">
        <f>HYPERLINK("plots/3FT6Y578R04_015_S31P_20251219032831_M5358ACSA301811_RBGEUFRF04/dpll_52094/txpa_53202.png","plot")</f>
        <v>plot</v>
      </c>
    </row>
    <row r="4758" spans="1:29" hidden="1" x14ac:dyDescent="0.35">
      <c r="A4758" t="s">
        <v>50</v>
      </c>
      <c r="B4758">
        <v>52094</v>
      </c>
      <c r="C4758" t="s">
        <v>53</v>
      </c>
      <c r="D4758">
        <v>53203</v>
      </c>
      <c r="E4758" t="s">
        <v>78</v>
      </c>
      <c r="F4758">
        <v>11782</v>
      </c>
      <c r="G4758">
        <v>0.7064465430510718</v>
      </c>
      <c r="H4758">
        <v>0</v>
      </c>
      <c r="I4758">
        <v>0</v>
      </c>
      <c r="J4758">
        <v>0.6060311011439069</v>
      </c>
      <c r="K4758">
        <v>0</v>
      </c>
      <c r="L4758">
        <v>0</v>
      </c>
      <c r="M4758">
        <v>0.43123318066372612</v>
      </c>
      <c r="N4758">
        <v>0</v>
      </c>
      <c r="O4758">
        <v>0</v>
      </c>
      <c r="P4758">
        <v>0.49906671818880982</v>
      </c>
      <c r="Q4758">
        <v>0.80739666731499315</v>
      </c>
      <c r="R4758">
        <v>-5.3042020138276849</v>
      </c>
      <c r="S4758">
        <v>0.1801143567586905</v>
      </c>
      <c r="T4758">
        <v>0.14078271589265279</v>
      </c>
      <c r="U4758">
        <v>4.2673938428959426</v>
      </c>
      <c r="V4758">
        <v>0.22267382584799689</v>
      </c>
      <c r="W4758">
        <v>-1.8587224469529791</v>
      </c>
      <c r="X4758">
        <v>0.2544935730189487</v>
      </c>
      <c r="Z4758" t="s">
        <v>392</v>
      </c>
      <c r="AA4758">
        <v>161</v>
      </c>
      <c r="AB4758" t="s">
        <v>5149</v>
      </c>
      <c r="AC4758" t="str">
        <f>HYPERLINK("plots/3FT6Y578R04_015_S31P_20251219032831_M5358ACSA301811_RBGEUFRF04/dpll_52094/txpa_53203.png","plot")</f>
        <v>plot</v>
      </c>
    </row>
    <row r="4759" spans="1:29" hidden="1" x14ac:dyDescent="0.35">
      <c r="A4759" t="s">
        <v>50</v>
      </c>
      <c r="B4759">
        <v>52094</v>
      </c>
      <c r="C4759" t="s">
        <v>53</v>
      </c>
      <c r="D4759">
        <v>53204</v>
      </c>
      <c r="E4759" t="s">
        <v>79</v>
      </c>
      <c r="F4759">
        <v>11782</v>
      </c>
      <c r="G4759">
        <v>0.72808169099937969</v>
      </c>
      <c r="H4759">
        <v>0</v>
      </c>
      <c r="I4759">
        <v>0</v>
      </c>
      <c r="J4759">
        <v>0.62479935353907168</v>
      </c>
      <c r="K4759">
        <v>0</v>
      </c>
      <c r="L4759">
        <v>0</v>
      </c>
      <c r="M4759">
        <v>0.44860899752212918</v>
      </c>
      <c r="N4759">
        <v>0</v>
      </c>
      <c r="O4759">
        <v>0</v>
      </c>
      <c r="P4759">
        <v>0.53010294876851627</v>
      </c>
      <c r="Q4759">
        <v>0.8357731533898759</v>
      </c>
      <c r="R4759">
        <v>-5.3838611630010584</v>
      </c>
      <c r="S4759">
        <v>0.17521061186521969</v>
      </c>
      <c r="T4759">
        <v>0.13767929176627461</v>
      </c>
      <c r="U4759">
        <v>4.2673938428959426</v>
      </c>
      <c r="V4759">
        <v>0.22267382584799689</v>
      </c>
      <c r="W4759">
        <v>-1.8172879541673741</v>
      </c>
      <c r="X4759">
        <v>0.25560978652123112</v>
      </c>
      <c r="Z4759" t="s">
        <v>392</v>
      </c>
      <c r="AA4759">
        <v>161</v>
      </c>
      <c r="AB4759" t="s">
        <v>5150</v>
      </c>
      <c r="AC4759" t="str">
        <f>HYPERLINK("plots/3FT6Y578R04_015_S31P_20251219032831_M5358ACSA301811_RBGEUFRF04/dpll_52094/txpa_53204.png","plot")</f>
        <v>plot</v>
      </c>
    </row>
    <row r="4760" spans="1:29" hidden="1" x14ac:dyDescent="0.35">
      <c r="A4760" t="s">
        <v>50</v>
      </c>
      <c r="B4760">
        <v>52094</v>
      </c>
      <c r="C4760" t="s">
        <v>53</v>
      </c>
      <c r="D4760">
        <v>53205</v>
      </c>
      <c r="E4760" t="s">
        <v>80</v>
      </c>
      <c r="F4760">
        <v>11782</v>
      </c>
      <c r="G4760">
        <v>0.71697162577246198</v>
      </c>
      <c r="H4760">
        <v>0</v>
      </c>
      <c r="I4760">
        <v>0</v>
      </c>
      <c r="J4760">
        <v>0.61176034192754858</v>
      </c>
      <c r="K4760">
        <v>0</v>
      </c>
      <c r="L4760">
        <v>0</v>
      </c>
      <c r="M4760">
        <v>0.43721213066324888</v>
      </c>
      <c r="N4760">
        <v>0</v>
      </c>
      <c r="O4760">
        <v>0</v>
      </c>
      <c r="P4760">
        <v>0.51404831216280722</v>
      </c>
      <c r="Q4760">
        <v>0.80467179434780089</v>
      </c>
      <c r="R4760">
        <v>-5.2352159040551793</v>
      </c>
      <c r="S4760">
        <v>0.17420639635214941</v>
      </c>
      <c r="T4760">
        <v>0.13697618311998899</v>
      </c>
      <c r="U4760">
        <v>4.2673938428959426</v>
      </c>
      <c r="V4760">
        <v>0.22267382584799689</v>
      </c>
      <c r="W4760">
        <v>-1.801364443303344</v>
      </c>
      <c r="X4760">
        <v>0.24991135012679239</v>
      </c>
      <c r="Z4760" t="s">
        <v>392</v>
      </c>
      <c r="AA4760">
        <v>161</v>
      </c>
      <c r="AB4760" t="s">
        <v>5151</v>
      </c>
      <c r="AC4760" t="str">
        <f>HYPERLINK("plots/3FT6Y578R04_015_S31P_20251219032831_M5358ACSA301811_RBGEUFRF04/dpll_52094/txpa_53205.png","plot")</f>
        <v>plot</v>
      </c>
    </row>
    <row r="4761" spans="1:29" hidden="1" x14ac:dyDescent="0.35">
      <c r="A4761" t="s">
        <v>50</v>
      </c>
      <c r="B4761">
        <v>52094</v>
      </c>
      <c r="C4761" t="s">
        <v>53</v>
      </c>
      <c r="D4761">
        <v>53206</v>
      </c>
      <c r="E4761" t="s">
        <v>81</v>
      </c>
      <c r="F4761">
        <v>11781</v>
      </c>
      <c r="G4761">
        <v>0.73285699681860539</v>
      </c>
      <c r="H4761">
        <v>0</v>
      </c>
      <c r="I4761">
        <v>0</v>
      </c>
      <c r="J4761">
        <v>0.62324695203483227</v>
      </c>
      <c r="K4761">
        <v>0</v>
      </c>
      <c r="L4761">
        <v>0</v>
      </c>
      <c r="M4761">
        <v>0.44758170246953732</v>
      </c>
      <c r="N4761">
        <v>0</v>
      </c>
      <c r="O4761">
        <v>0</v>
      </c>
      <c r="P4761">
        <v>0.53707937778598536</v>
      </c>
      <c r="Q4761">
        <v>0.83612301127371258</v>
      </c>
      <c r="R4761">
        <v>-5.3457732616472349</v>
      </c>
      <c r="S4761">
        <v>0.17285001195457311</v>
      </c>
      <c r="T4761">
        <v>0.13623130806940881</v>
      </c>
      <c r="U4761">
        <v>4.2674026018164843</v>
      </c>
      <c r="V4761">
        <v>0.22268124725346999</v>
      </c>
      <c r="W4761">
        <v>-1.7776997478991601</v>
      </c>
      <c r="X4761">
        <v>0.25405899898072798</v>
      </c>
      <c r="Z4761" t="s">
        <v>392</v>
      </c>
      <c r="AA4761">
        <v>161</v>
      </c>
      <c r="AB4761" t="s">
        <v>5152</v>
      </c>
      <c r="AC4761" t="str">
        <f>HYPERLINK("plots/3FT6Y578R04_015_S31P_20251219032831_M5358ACSA301811_RBGEUFRF04/dpll_52094/txpa_53206.png","plot")</f>
        <v>plot</v>
      </c>
    </row>
    <row r="4762" spans="1:29" hidden="1" x14ac:dyDescent="0.35">
      <c r="A4762" t="s">
        <v>50</v>
      </c>
      <c r="B4762">
        <v>52094</v>
      </c>
      <c r="C4762" t="s">
        <v>53</v>
      </c>
      <c r="D4762">
        <v>53207</v>
      </c>
      <c r="E4762" t="s">
        <v>82</v>
      </c>
      <c r="F4762">
        <v>11781</v>
      </c>
      <c r="G4762">
        <v>0.73492975557912466</v>
      </c>
      <c r="H4762">
        <v>0</v>
      </c>
      <c r="I4762">
        <v>0</v>
      </c>
      <c r="J4762">
        <v>0.61964825973535642</v>
      </c>
      <c r="K4762">
        <v>0</v>
      </c>
      <c r="L4762">
        <v>0</v>
      </c>
      <c r="M4762">
        <v>0.44351632531489632</v>
      </c>
      <c r="N4762">
        <v>0</v>
      </c>
      <c r="O4762">
        <v>0</v>
      </c>
      <c r="P4762">
        <v>0.5401217456355919</v>
      </c>
      <c r="Q4762">
        <v>0.83750011473694319</v>
      </c>
      <c r="R4762">
        <v>-5.3667322445687997</v>
      </c>
      <c r="S4762">
        <v>0.17206250838500001</v>
      </c>
      <c r="T4762">
        <v>0.13580699430932161</v>
      </c>
      <c r="U4762">
        <v>4.2673648416942536</v>
      </c>
      <c r="V4762">
        <v>0.2226610238238293</v>
      </c>
      <c r="W4762">
        <v>-1.7928137000254649</v>
      </c>
      <c r="X4762">
        <v>0.25373667562685248</v>
      </c>
      <c r="Z4762" t="s">
        <v>392</v>
      </c>
      <c r="AA4762">
        <v>161</v>
      </c>
      <c r="AB4762" t="s">
        <v>5153</v>
      </c>
      <c r="AC4762" t="str">
        <f>HYPERLINK("plots/3FT6Y578R04_015_S31P_20251219032831_M5358ACSA301811_RBGEUFRF04/dpll_52094/txpa_53207.png","plot")</f>
        <v>plot</v>
      </c>
    </row>
    <row r="4763" spans="1:29" hidden="1" x14ac:dyDescent="0.35">
      <c r="A4763" t="s">
        <v>50</v>
      </c>
      <c r="B4763">
        <v>52094</v>
      </c>
      <c r="C4763" t="s">
        <v>53</v>
      </c>
      <c r="D4763">
        <v>53208</v>
      </c>
      <c r="E4763" t="s">
        <v>83</v>
      </c>
      <c r="F4763">
        <v>11781</v>
      </c>
      <c r="G4763">
        <v>0.74136864210839626</v>
      </c>
      <c r="H4763">
        <v>0</v>
      </c>
      <c r="I4763">
        <v>0</v>
      </c>
      <c r="J4763">
        <v>0.64015094196525368</v>
      </c>
      <c r="K4763">
        <v>0</v>
      </c>
      <c r="L4763">
        <v>0</v>
      </c>
      <c r="M4763">
        <v>0.46051013776115451</v>
      </c>
      <c r="N4763">
        <v>0</v>
      </c>
      <c r="O4763">
        <v>0</v>
      </c>
      <c r="P4763">
        <v>0.54962746350164737</v>
      </c>
      <c r="Q4763">
        <v>0.84629333173100463</v>
      </c>
      <c r="R4763">
        <v>-5.414682743680868</v>
      </c>
      <c r="S4763">
        <v>0.17056310004760319</v>
      </c>
      <c r="T4763">
        <v>0.13496107321693621</v>
      </c>
      <c r="U4763">
        <v>4.2673606822850356</v>
      </c>
      <c r="V4763">
        <v>0.2226541824443867</v>
      </c>
      <c r="W4763">
        <v>-1.803243854171972</v>
      </c>
      <c r="X4763">
        <v>0.25416606419826482</v>
      </c>
      <c r="Z4763" t="s">
        <v>392</v>
      </c>
      <c r="AA4763">
        <v>161</v>
      </c>
      <c r="AB4763" t="s">
        <v>5154</v>
      </c>
      <c r="AC4763" t="str">
        <f>HYPERLINK("plots/3FT6Y578R04_015_S31P_20251219032831_M5358ACSA301811_RBGEUFRF04/dpll_52094/txpa_53208.png","plot")</f>
        <v>plot</v>
      </c>
    </row>
    <row r="4764" spans="1:29" hidden="1" x14ac:dyDescent="0.35">
      <c r="A4764" t="s">
        <v>50</v>
      </c>
      <c r="B4764">
        <v>52094</v>
      </c>
      <c r="C4764" t="s">
        <v>53</v>
      </c>
      <c r="D4764">
        <v>53209</v>
      </c>
      <c r="E4764" t="s">
        <v>84</v>
      </c>
      <c r="F4764">
        <v>11782</v>
      </c>
      <c r="G4764">
        <v>0.73636837260357813</v>
      </c>
      <c r="H4764">
        <v>0</v>
      </c>
      <c r="I4764">
        <v>0</v>
      </c>
      <c r="J4764">
        <v>0.63017368609527824</v>
      </c>
      <c r="K4764">
        <v>0</v>
      </c>
      <c r="L4764">
        <v>0</v>
      </c>
      <c r="M4764">
        <v>0.45250951499585351</v>
      </c>
      <c r="N4764">
        <v>0</v>
      </c>
      <c r="O4764">
        <v>0</v>
      </c>
      <c r="P4764">
        <v>0.54223838017084203</v>
      </c>
      <c r="Q4764">
        <v>0.83182720044712088</v>
      </c>
      <c r="R4764">
        <v>-5.3443659037400204</v>
      </c>
      <c r="S4764">
        <v>0.1701799606354121</v>
      </c>
      <c r="T4764">
        <v>0.13455741937522661</v>
      </c>
      <c r="U4764">
        <v>4.2673938428959426</v>
      </c>
      <c r="V4764">
        <v>0.22267382584799689</v>
      </c>
      <c r="W4764">
        <v>-1.7946316301986081</v>
      </c>
      <c r="X4764">
        <v>0.25154006073493462</v>
      </c>
      <c r="Z4764" t="s">
        <v>392</v>
      </c>
      <c r="AA4764">
        <v>161</v>
      </c>
      <c r="AB4764" t="s">
        <v>5155</v>
      </c>
      <c r="AC4764" t="str">
        <f>HYPERLINK("plots/3FT6Y578R04_015_S31P_20251219032831_M5358ACSA301811_RBGEUFRF04/dpll_52094/txpa_53209.png","plot")</f>
        <v>plot</v>
      </c>
    </row>
    <row r="4765" spans="1:29" hidden="1" x14ac:dyDescent="0.35">
      <c r="A4765" t="s">
        <v>50</v>
      </c>
      <c r="B4765">
        <v>52094</v>
      </c>
      <c r="C4765" t="s">
        <v>53</v>
      </c>
      <c r="D4765">
        <v>53210</v>
      </c>
      <c r="E4765" t="s">
        <v>85</v>
      </c>
      <c r="F4765">
        <v>11781</v>
      </c>
      <c r="G4765">
        <v>0.72743963175086135</v>
      </c>
      <c r="H4765">
        <v>0</v>
      </c>
      <c r="I4765">
        <v>0</v>
      </c>
      <c r="J4765">
        <v>0.62148709906525346</v>
      </c>
      <c r="K4765">
        <v>0</v>
      </c>
      <c r="L4765">
        <v>0</v>
      </c>
      <c r="M4765">
        <v>0.44586428111590759</v>
      </c>
      <c r="N4765">
        <v>0</v>
      </c>
      <c r="O4765">
        <v>0</v>
      </c>
      <c r="P4765">
        <v>0.52916841784182878</v>
      </c>
      <c r="Q4765">
        <v>0.82791102082572043</v>
      </c>
      <c r="R4765">
        <v>-5.3686055124301566</v>
      </c>
      <c r="S4765">
        <v>0.17388365499799599</v>
      </c>
      <c r="T4765">
        <v>0.13669360216283649</v>
      </c>
      <c r="U4765">
        <v>4.2674179181733303</v>
      </c>
      <c r="V4765">
        <v>0.22266794157249609</v>
      </c>
      <c r="W4765">
        <v>-1.8355631875053049</v>
      </c>
      <c r="X4765">
        <v>0.25342205011395952</v>
      </c>
      <c r="Z4765" t="s">
        <v>392</v>
      </c>
      <c r="AA4765">
        <v>161</v>
      </c>
      <c r="AB4765" t="s">
        <v>5156</v>
      </c>
      <c r="AC4765" t="str">
        <f>HYPERLINK("plots/3FT6Y578R04_015_S31P_20251219032831_M5358ACSA301811_RBGEUFRF04/dpll_52094/txpa_53210.png","plot")</f>
        <v>plot</v>
      </c>
    </row>
    <row r="4766" spans="1:29" hidden="1" x14ac:dyDescent="0.35">
      <c r="A4766" t="s">
        <v>50</v>
      </c>
      <c r="B4766">
        <v>52094</v>
      </c>
      <c r="C4766" t="s">
        <v>53</v>
      </c>
      <c r="D4766">
        <v>53211</v>
      </c>
      <c r="E4766" t="s">
        <v>86</v>
      </c>
      <c r="F4766">
        <v>11782</v>
      </c>
      <c r="G4766">
        <v>0.74654200259052017</v>
      </c>
      <c r="H4766">
        <v>0</v>
      </c>
      <c r="I4766">
        <v>0</v>
      </c>
      <c r="J4766">
        <v>0.6536707616592351</v>
      </c>
      <c r="K4766">
        <v>0</v>
      </c>
      <c r="L4766">
        <v>0</v>
      </c>
      <c r="M4766">
        <v>0.47038774832480029</v>
      </c>
      <c r="N4766">
        <v>0</v>
      </c>
      <c r="O4766">
        <v>0</v>
      </c>
      <c r="P4766">
        <v>0.55732496163186418</v>
      </c>
      <c r="Q4766">
        <v>0.8845606418770855</v>
      </c>
      <c r="R4766">
        <v>-2.069881908253842</v>
      </c>
      <c r="S4766">
        <v>0.1755361710453103</v>
      </c>
      <c r="T4766">
        <v>0.13686311446726279</v>
      </c>
      <c r="U4766">
        <v>4.2673938428959426</v>
      </c>
      <c r="V4766">
        <v>0.22267382584799689</v>
      </c>
      <c r="W4766">
        <v>1.704886728560516</v>
      </c>
      <c r="X4766">
        <v>0.26384115245738993</v>
      </c>
      <c r="Z4766" t="s">
        <v>392</v>
      </c>
      <c r="AA4766">
        <v>161</v>
      </c>
      <c r="AB4766" t="s">
        <v>5157</v>
      </c>
      <c r="AC4766" t="str">
        <f>HYPERLINK("plots/3FT6Y578R04_015_S31P_20251219032831_M5358ACSA301811_RBGEUFRF04/dpll_52094/txpa_53211.png","plot")</f>
        <v>plot</v>
      </c>
    </row>
    <row r="4767" spans="1:29" hidden="1" x14ac:dyDescent="0.35">
      <c r="A4767" t="s">
        <v>50</v>
      </c>
      <c r="B4767">
        <v>52094</v>
      </c>
      <c r="C4767" t="s">
        <v>53</v>
      </c>
      <c r="D4767">
        <v>53212</v>
      </c>
      <c r="E4767" t="s">
        <v>87</v>
      </c>
      <c r="F4767">
        <v>11782</v>
      </c>
      <c r="G4767">
        <v>0.76710523154583066</v>
      </c>
      <c r="H4767">
        <v>0</v>
      </c>
      <c r="I4767">
        <v>0</v>
      </c>
      <c r="J4767">
        <v>0.67132898616955006</v>
      </c>
      <c r="K4767">
        <v>0</v>
      </c>
      <c r="L4767">
        <v>0</v>
      </c>
      <c r="M4767">
        <v>0.48782195571464981</v>
      </c>
      <c r="N4767">
        <v>0</v>
      </c>
      <c r="O4767">
        <v>0</v>
      </c>
      <c r="P4767">
        <v>0.5884504362649825</v>
      </c>
      <c r="Q4767">
        <v>0.91548775850075959</v>
      </c>
      <c r="R4767">
        <v>-2.163659444853907</v>
      </c>
      <c r="S4767">
        <v>0.17047449378068891</v>
      </c>
      <c r="T4767">
        <v>0.13381477139550679</v>
      </c>
      <c r="U4767">
        <v>4.2673938428959426</v>
      </c>
      <c r="V4767">
        <v>0.22267382584799689</v>
      </c>
      <c r="W4767">
        <v>1.7430873790188419</v>
      </c>
      <c r="X4767">
        <v>0.26574601934544601</v>
      </c>
      <c r="Z4767" t="s">
        <v>392</v>
      </c>
      <c r="AA4767">
        <v>161</v>
      </c>
      <c r="AB4767" t="s">
        <v>5158</v>
      </c>
      <c r="AC4767" t="str">
        <f>HYPERLINK("plots/3FT6Y578R04_015_S31P_20251219032831_M5358ACSA301811_RBGEUFRF04/dpll_52094/txpa_53212.png","plot")</f>
        <v>plot</v>
      </c>
    </row>
    <row r="4768" spans="1:29" hidden="1" x14ac:dyDescent="0.35">
      <c r="A4768" t="s">
        <v>50</v>
      </c>
      <c r="B4768">
        <v>52094</v>
      </c>
      <c r="C4768" t="s">
        <v>53</v>
      </c>
      <c r="D4768">
        <v>53213</v>
      </c>
      <c r="E4768" t="s">
        <v>88</v>
      </c>
      <c r="F4768">
        <v>11782</v>
      </c>
      <c r="G4768">
        <v>0.75754421684137629</v>
      </c>
      <c r="H4768">
        <v>0</v>
      </c>
      <c r="I4768">
        <v>0</v>
      </c>
      <c r="J4768">
        <v>0.65927376189872833</v>
      </c>
      <c r="K4768">
        <v>0</v>
      </c>
      <c r="L4768">
        <v>0</v>
      </c>
      <c r="M4768">
        <v>0.47663143882365688</v>
      </c>
      <c r="N4768">
        <v>0</v>
      </c>
      <c r="O4768">
        <v>0</v>
      </c>
      <c r="P4768">
        <v>0.57387324046981414</v>
      </c>
      <c r="Q4768">
        <v>0.88532646826059047</v>
      </c>
      <c r="R4768">
        <v>-2.0200891212376582</v>
      </c>
      <c r="S4768">
        <v>0.16986957677714931</v>
      </c>
      <c r="T4768">
        <v>0.13340813987092989</v>
      </c>
      <c r="U4768">
        <v>4.2673938428959426</v>
      </c>
      <c r="V4768">
        <v>0.22267382584799689</v>
      </c>
      <c r="W4768">
        <v>1.757947598370396</v>
      </c>
      <c r="X4768">
        <v>0.26023435652913213</v>
      </c>
      <c r="Z4768" t="s">
        <v>392</v>
      </c>
      <c r="AA4768">
        <v>161</v>
      </c>
      <c r="AB4768" t="s">
        <v>5159</v>
      </c>
      <c r="AC4768" t="str">
        <f>HYPERLINK("plots/3FT6Y578R04_015_S31P_20251219032831_M5358ACSA301811_RBGEUFRF04/dpll_52094/txpa_53213.png","plot")</f>
        <v>plot</v>
      </c>
    </row>
    <row r="4769" spans="1:29" hidden="1" x14ac:dyDescent="0.35">
      <c r="A4769" t="s">
        <v>50</v>
      </c>
      <c r="B4769">
        <v>52094</v>
      </c>
      <c r="C4769" t="s">
        <v>53</v>
      </c>
      <c r="D4769">
        <v>53214</v>
      </c>
      <c r="E4769" t="s">
        <v>89</v>
      </c>
      <c r="F4769">
        <v>11781</v>
      </c>
      <c r="G4769">
        <v>0.77184795241227844</v>
      </c>
      <c r="H4769">
        <v>0</v>
      </c>
      <c r="I4769">
        <v>0</v>
      </c>
      <c r="J4769">
        <v>0.67082017232406377</v>
      </c>
      <c r="K4769">
        <v>0</v>
      </c>
      <c r="L4769">
        <v>0</v>
      </c>
      <c r="M4769">
        <v>0.48742662839063222</v>
      </c>
      <c r="N4769">
        <v>0</v>
      </c>
      <c r="O4769">
        <v>0</v>
      </c>
      <c r="P4769">
        <v>0.59574926164302688</v>
      </c>
      <c r="Q4769">
        <v>0.91397298493194101</v>
      </c>
      <c r="R4769">
        <v>-2.124528053866475</v>
      </c>
      <c r="S4769">
        <v>0.16764562568399249</v>
      </c>
      <c r="T4769">
        <v>0.13223051064550101</v>
      </c>
      <c r="U4769">
        <v>4.2674026018164843</v>
      </c>
      <c r="V4769">
        <v>0.22268124725346999</v>
      </c>
      <c r="W4769">
        <v>1.775762640022069</v>
      </c>
      <c r="X4769">
        <v>0.26368489234769638</v>
      </c>
      <c r="Z4769" t="s">
        <v>392</v>
      </c>
      <c r="AA4769">
        <v>161</v>
      </c>
      <c r="AB4769" t="s">
        <v>5160</v>
      </c>
      <c r="AC4769" t="str">
        <f>HYPERLINK("plots/3FT6Y578R04_015_S31P_20251219032831_M5358ACSA301811_RBGEUFRF04/dpll_52094/txpa_53214.png","plot")</f>
        <v>plot</v>
      </c>
    </row>
    <row r="4770" spans="1:29" hidden="1" x14ac:dyDescent="0.35">
      <c r="A4770" t="s">
        <v>50</v>
      </c>
      <c r="B4770">
        <v>52094</v>
      </c>
      <c r="C4770" t="s">
        <v>53</v>
      </c>
      <c r="D4770">
        <v>53215</v>
      </c>
      <c r="E4770" t="s">
        <v>90</v>
      </c>
      <c r="F4770">
        <v>11781</v>
      </c>
      <c r="G4770">
        <v>0.77373375742898431</v>
      </c>
      <c r="H4770">
        <v>0</v>
      </c>
      <c r="I4770">
        <v>0</v>
      </c>
      <c r="J4770">
        <v>0.66844574576441862</v>
      </c>
      <c r="K4770">
        <v>0</v>
      </c>
      <c r="L4770">
        <v>0</v>
      </c>
      <c r="M4770">
        <v>0.48436919216519908</v>
      </c>
      <c r="N4770">
        <v>0</v>
      </c>
      <c r="O4770">
        <v>0</v>
      </c>
      <c r="P4770">
        <v>0.59866392738517438</v>
      </c>
      <c r="Q4770">
        <v>0.91480806500036782</v>
      </c>
      <c r="R4770">
        <v>-2.1441553827500832</v>
      </c>
      <c r="S4770">
        <v>0.1667701451048792</v>
      </c>
      <c r="T4770">
        <v>0.13153007529403171</v>
      </c>
      <c r="U4770">
        <v>4.2673648416942536</v>
      </c>
      <c r="V4770">
        <v>0.2226610238238293</v>
      </c>
      <c r="W4770">
        <v>1.759664390730838</v>
      </c>
      <c r="X4770">
        <v>0.2632586447205304</v>
      </c>
      <c r="Z4770" t="s">
        <v>392</v>
      </c>
      <c r="AA4770">
        <v>161</v>
      </c>
      <c r="AB4770" t="s">
        <v>5161</v>
      </c>
      <c r="AC4770" t="str">
        <f>HYPERLINK("plots/3FT6Y578R04_015_S31P_20251219032831_M5358ACSA301811_RBGEUFRF04/dpll_52094/txpa_53215.png","plot")</f>
        <v>plot</v>
      </c>
    </row>
    <row r="4771" spans="1:29" hidden="1" x14ac:dyDescent="0.35">
      <c r="A4771" t="s">
        <v>50</v>
      </c>
      <c r="B4771">
        <v>52094</v>
      </c>
      <c r="C4771" t="s">
        <v>53</v>
      </c>
      <c r="D4771">
        <v>53216</v>
      </c>
      <c r="E4771" t="s">
        <v>91</v>
      </c>
      <c r="F4771">
        <v>11781</v>
      </c>
      <c r="G4771">
        <v>0.77875411807786521</v>
      </c>
      <c r="H4771">
        <v>0</v>
      </c>
      <c r="I4771">
        <v>0</v>
      </c>
      <c r="J4771">
        <v>0.6851066968474171</v>
      </c>
      <c r="K4771">
        <v>0</v>
      </c>
      <c r="L4771">
        <v>0</v>
      </c>
      <c r="M4771">
        <v>0.49870722343045681</v>
      </c>
      <c r="N4771">
        <v>0</v>
      </c>
      <c r="O4771">
        <v>0</v>
      </c>
      <c r="P4771">
        <v>0.60645797642323362</v>
      </c>
      <c r="Q4771">
        <v>0.92596807801786674</v>
      </c>
      <c r="R4771">
        <v>-2.1958855446874161</v>
      </c>
      <c r="S4771">
        <v>0.16607476276871599</v>
      </c>
      <c r="T4771">
        <v>0.13132959028436661</v>
      </c>
      <c r="U4771">
        <v>4.2673606822850356</v>
      </c>
      <c r="V4771">
        <v>0.2226541824443867</v>
      </c>
      <c r="W4771">
        <v>1.755554224497071</v>
      </c>
      <c r="X4771">
        <v>0.26474423774418337</v>
      </c>
      <c r="Z4771" t="s">
        <v>392</v>
      </c>
      <c r="AA4771">
        <v>161</v>
      </c>
      <c r="AB4771" t="s">
        <v>5162</v>
      </c>
      <c r="AC4771" t="str">
        <f>HYPERLINK("plots/3FT6Y578R04_015_S31P_20251219032831_M5358ACSA301811_RBGEUFRF04/dpll_52094/txpa_53216.png","plot")</f>
        <v>plot</v>
      </c>
    </row>
    <row r="4772" spans="1:29" hidden="1" x14ac:dyDescent="0.35">
      <c r="A4772" t="s">
        <v>50</v>
      </c>
      <c r="B4772">
        <v>52094</v>
      </c>
      <c r="C4772" t="s">
        <v>53</v>
      </c>
      <c r="D4772">
        <v>53217</v>
      </c>
      <c r="E4772" t="s">
        <v>92</v>
      </c>
      <c r="F4772">
        <v>11782</v>
      </c>
      <c r="G4772">
        <v>0.77366127228157688</v>
      </c>
      <c r="H4772">
        <v>0</v>
      </c>
      <c r="I4772">
        <v>0</v>
      </c>
      <c r="J4772">
        <v>0.67462883935378937</v>
      </c>
      <c r="K4772">
        <v>0</v>
      </c>
      <c r="L4772">
        <v>0</v>
      </c>
      <c r="M4772">
        <v>0.49029670186553531</v>
      </c>
      <c r="N4772">
        <v>0</v>
      </c>
      <c r="O4772">
        <v>0</v>
      </c>
      <c r="P4772">
        <v>0.59855176422834822</v>
      </c>
      <c r="Q4772">
        <v>0.91030334308908001</v>
      </c>
      <c r="R4772">
        <v>-2.121007341803737</v>
      </c>
      <c r="S4772">
        <v>0.16599721305225601</v>
      </c>
      <c r="T4772">
        <v>0.13119184628914179</v>
      </c>
      <c r="U4772">
        <v>4.2673938428959426</v>
      </c>
      <c r="V4772">
        <v>0.22267382584799689</v>
      </c>
      <c r="W4772">
        <v>1.763615539662196</v>
      </c>
      <c r="X4772">
        <v>0.26200190619609232</v>
      </c>
      <c r="Z4772" t="s">
        <v>392</v>
      </c>
      <c r="AA4772">
        <v>161</v>
      </c>
      <c r="AB4772" t="s">
        <v>5163</v>
      </c>
      <c r="AC4772" t="str">
        <f>HYPERLINK("plots/3FT6Y578R04_015_S31P_20251219032831_M5358ACSA301811_RBGEUFRF04/dpll_52094/txpa_53217.png","plot")</f>
        <v>plot</v>
      </c>
    </row>
    <row r="4773" spans="1:29" hidden="1" x14ac:dyDescent="0.35">
      <c r="A4773" t="s">
        <v>50</v>
      </c>
      <c r="B4773">
        <v>52094</v>
      </c>
      <c r="C4773" t="s">
        <v>53</v>
      </c>
      <c r="D4773">
        <v>53218</v>
      </c>
      <c r="E4773" t="s">
        <v>93</v>
      </c>
      <c r="F4773">
        <v>11781</v>
      </c>
      <c r="G4773">
        <v>0.76663824635843114</v>
      </c>
      <c r="H4773">
        <v>0</v>
      </c>
      <c r="I4773">
        <v>0</v>
      </c>
      <c r="J4773">
        <v>0.66847717361210346</v>
      </c>
      <c r="K4773">
        <v>0</v>
      </c>
      <c r="L4773">
        <v>0</v>
      </c>
      <c r="M4773">
        <v>0.48528378966322022</v>
      </c>
      <c r="N4773">
        <v>0</v>
      </c>
      <c r="O4773">
        <v>0</v>
      </c>
      <c r="P4773">
        <v>0.58773420077953054</v>
      </c>
      <c r="Q4773">
        <v>0.90507015238043154</v>
      </c>
      <c r="R4773">
        <v>-2.1347864160297969</v>
      </c>
      <c r="S4773">
        <v>0.16877949253259361</v>
      </c>
      <c r="T4773">
        <v>0.13250548531781001</v>
      </c>
      <c r="U4773">
        <v>4.2674179181733303</v>
      </c>
      <c r="V4773">
        <v>0.22266794157249609</v>
      </c>
      <c r="W4773">
        <v>1.727526169442323</v>
      </c>
      <c r="X4773">
        <v>0.26287510278352783</v>
      </c>
      <c r="Z4773" t="s">
        <v>392</v>
      </c>
      <c r="AA4773">
        <v>161</v>
      </c>
      <c r="AB4773" t="s">
        <v>5164</v>
      </c>
      <c r="AC4773" t="str">
        <f>HYPERLINK("plots/3FT6Y578R04_015_S31P_20251219032831_M5358ACSA301811_RBGEUFRF04/dpll_52094/txpa_53218.png","plot")</f>
        <v>plot</v>
      </c>
    </row>
    <row r="4774" spans="1:29" hidden="1" x14ac:dyDescent="0.35">
      <c r="A4774" t="s">
        <v>50</v>
      </c>
      <c r="B4774">
        <v>52094</v>
      </c>
      <c r="C4774" t="s">
        <v>53</v>
      </c>
      <c r="D4774">
        <v>53219</v>
      </c>
      <c r="E4774" t="s">
        <v>94</v>
      </c>
      <c r="F4774">
        <v>11782</v>
      </c>
      <c r="G4774">
        <v>0.77230351237377037</v>
      </c>
      <c r="H4774">
        <v>0</v>
      </c>
      <c r="I4774">
        <v>0</v>
      </c>
      <c r="J4774">
        <v>0.68129477313495801</v>
      </c>
      <c r="K4774">
        <v>0</v>
      </c>
      <c r="L4774">
        <v>0</v>
      </c>
      <c r="M4774">
        <v>0.49381580758722871</v>
      </c>
      <c r="N4774">
        <v>0</v>
      </c>
      <c r="O4774">
        <v>0</v>
      </c>
      <c r="P4774">
        <v>0.59645271522486254</v>
      </c>
      <c r="Q4774">
        <v>0.95535485138260035</v>
      </c>
      <c r="R4774">
        <v>-0.36934490072534981</v>
      </c>
      <c r="S4774">
        <v>0.1749744583950909</v>
      </c>
      <c r="T4774">
        <v>0.13616930342185979</v>
      </c>
      <c r="U4774">
        <v>4.2673938428959426</v>
      </c>
      <c r="V4774">
        <v>0.22267382584799689</v>
      </c>
      <c r="W4774">
        <v>3.7075305098455269</v>
      </c>
      <c r="X4774">
        <v>0.27545196466341099</v>
      </c>
      <c r="Z4774" t="s">
        <v>392</v>
      </c>
      <c r="AA4774">
        <v>161</v>
      </c>
      <c r="AB4774" t="s">
        <v>5165</v>
      </c>
      <c r="AC4774" t="str">
        <f>HYPERLINK("plots/3FT6Y578R04_015_S31P_20251219032831_M5358ACSA301811_RBGEUFRF04/dpll_52094/txpa_53219.png","plot")</f>
        <v>plot</v>
      </c>
    </row>
    <row r="4775" spans="1:29" hidden="1" x14ac:dyDescent="0.35">
      <c r="A4775" t="s">
        <v>50</v>
      </c>
      <c r="B4775">
        <v>52094</v>
      </c>
      <c r="C4775" t="s">
        <v>53</v>
      </c>
      <c r="D4775">
        <v>53220</v>
      </c>
      <c r="E4775" t="s">
        <v>95</v>
      </c>
      <c r="F4775">
        <v>11782</v>
      </c>
      <c r="G4775">
        <v>0.79105236613468199</v>
      </c>
      <c r="H4775">
        <v>0</v>
      </c>
      <c r="I4775">
        <v>0</v>
      </c>
      <c r="J4775">
        <v>0.69749739597204607</v>
      </c>
      <c r="K4775">
        <v>0</v>
      </c>
      <c r="L4775">
        <v>0</v>
      </c>
      <c r="M4775">
        <v>0.51063605160268455</v>
      </c>
      <c r="N4775">
        <v>0</v>
      </c>
      <c r="O4775">
        <v>0</v>
      </c>
      <c r="P4775">
        <v>0.62576384596727896</v>
      </c>
      <c r="Q4775">
        <v>0.98569735545861892</v>
      </c>
      <c r="R4775">
        <v>-0.46172335942326592</v>
      </c>
      <c r="S4775">
        <v>0.16973131185526141</v>
      </c>
      <c r="T4775">
        <v>0.13321636321441921</v>
      </c>
      <c r="U4775">
        <v>4.2673938428959426</v>
      </c>
      <c r="V4775">
        <v>0.22267382584799689</v>
      </c>
      <c r="W4775">
        <v>3.7446354662196581</v>
      </c>
      <c r="X4775">
        <v>0.27746456576662842</v>
      </c>
      <c r="Z4775" t="s">
        <v>392</v>
      </c>
      <c r="AA4775">
        <v>161</v>
      </c>
      <c r="AB4775" t="s">
        <v>5166</v>
      </c>
      <c r="AC4775" t="str">
        <f>HYPERLINK("plots/3FT6Y578R04_015_S31P_20251219032831_M5358ACSA301811_RBGEUFRF04/dpll_52094/txpa_53220.png","plot")</f>
        <v>plot</v>
      </c>
    </row>
    <row r="4776" spans="1:29" hidden="1" x14ac:dyDescent="0.35">
      <c r="A4776" t="s">
        <v>50</v>
      </c>
      <c r="B4776">
        <v>52094</v>
      </c>
      <c r="C4776" t="s">
        <v>53</v>
      </c>
      <c r="D4776">
        <v>53221</v>
      </c>
      <c r="E4776" t="s">
        <v>96</v>
      </c>
      <c r="F4776">
        <v>11782</v>
      </c>
      <c r="G4776">
        <v>0.78253187593445128</v>
      </c>
      <c r="H4776">
        <v>0</v>
      </c>
      <c r="I4776">
        <v>0</v>
      </c>
      <c r="J4776">
        <v>0.68630189664994867</v>
      </c>
      <c r="K4776">
        <v>0</v>
      </c>
      <c r="L4776">
        <v>0</v>
      </c>
      <c r="M4776">
        <v>0.49994667206198062</v>
      </c>
      <c r="N4776">
        <v>0</v>
      </c>
      <c r="O4776">
        <v>0</v>
      </c>
      <c r="P4776">
        <v>0.61235613685349144</v>
      </c>
      <c r="Q4776">
        <v>0.95689015151369228</v>
      </c>
      <c r="R4776">
        <v>-0.32372183220607198</v>
      </c>
      <c r="S4776">
        <v>0.16952245913639799</v>
      </c>
      <c r="T4776">
        <v>0.13288909283347769</v>
      </c>
      <c r="U4776">
        <v>4.2673938428959426</v>
      </c>
      <c r="V4776">
        <v>0.22267382584799689</v>
      </c>
      <c r="W4776">
        <v>3.759705308691224</v>
      </c>
      <c r="X4776">
        <v>0.27228844920775008</v>
      </c>
      <c r="Z4776" t="s">
        <v>392</v>
      </c>
      <c r="AA4776">
        <v>161</v>
      </c>
      <c r="AB4776" t="s">
        <v>5167</v>
      </c>
      <c r="AC4776" t="str">
        <f>HYPERLINK("plots/3FT6Y578R04_015_S31P_20251219032831_M5358ACSA301811_RBGEUFRF04/dpll_52094/txpa_53221.png","plot")</f>
        <v>plot</v>
      </c>
    </row>
    <row r="4777" spans="1:29" hidden="1" x14ac:dyDescent="0.35">
      <c r="A4777" t="s">
        <v>50</v>
      </c>
      <c r="B4777">
        <v>52094</v>
      </c>
      <c r="C4777" t="s">
        <v>53</v>
      </c>
      <c r="D4777">
        <v>53222</v>
      </c>
      <c r="E4777" t="s">
        <v>97</v>
      </c>
      <c r="F4777">
        <v>11781</v>
      </c>
      <c r="G4777">
        <v>0.79584551458437247</v>
      </c>
      <c r="H4777">
        <v>0</v>
      </c>
      <c r="I4777">
        <v>0</v>
      </c>
      <c r="J4777">
        <v>0.69751555797089615</v>
      </c>
      <c r="K4777">
        <v>0</v>
      </c>
      <c r="L4777">
        <v>0</v>
      </c>
      <c r="M4777">
        <v>0.5107099206845056</v>
      </c>
      <c r="N4777">
        <v>0</v>
      </c>
      <c r="O4777">
        <v>0</v>
      </c>
      <c r="P4777">
        <v>0.63337008308406462</v>
      </c>
      <c r="Q4777">
        <v>0.98398831640342777</v>
      </c>
      <c r="R4777">
        <v>-0.42472830293512898</v>
      </c>
      <c r="S4777">
        <v>0.1667018161962979</v>
      </c>
      <c r="T4777">
        <v>0.13146130739378031</v>
      </c>
      <c r="U4777">
        <v>4.2674026018164843</v>
      </c>
      <c r="V4777">
        <v>0.22268124725346999</v>
      </c>
      <c r="W4777">
        <v>3.774345998641881</v>
      </c>
      <c r="X4777">
        <v>0.2753244713504352</v>
      </c>
      <c r="Z4777" t="s">
        <v>392</v>
      </c>
      <c r="AA4777">
        <v>161</v>
      </c>
      <c r="AB4777" t="s">
        <v>5168</v>
      </c>
      <c r="AC4777" t="str">
        <f>HYPERLINK("plots/3FT6Y578R04_015_S31P_20251219032831_M5358ACSA301811_RBGEUFRF04/dpll_52094/txpa_53222.png","plot")</f>
        <v>plot</v>
      </c>
    </row>
    <row r="4778" spans="1:29" hidden="1" x14ac:dyDescent="0.35">
      <c r="A4778" t="s">
        <v>50</v>
      </c>
      <c r="B4778">
        <v>52094</v>
      </c>
      <c r="C4778" t="s">
        <v>53</v>
      </c>
      <c r="D4778">
        <v>53223</v>
      </c>
      <c r="E4778" t="s">
        <v>98</v>
      </c>
      <c r="F4778">
        <v>11781</v>
      </c>
      <c r="G4778">
        <v>0.79788146273023275</v>
      </c>
      <c r="H4778">
        <v>0</v>
      </c>
      <c r="I4778">
        <v>0</v>
      </c>
      <c r="J4778">
        <v>0.69596050254006769</v>
      </c>
      <c r="K4778">
        <v>0</v>
      </c>
      <c r="L4778">
        <v>0</v>
      </c>
      <c r="M4778">
        <v>0.50818988577616631</v>
      </c>
      <c r="N4778">
        <v>0</v>
      </c>
      <c r="O4778">
        <v>0</v>
      </c>
      <c r="P4778">
        <v>0.6366148285685358</v>
      </c>
      <c r="Q4778">
        <v>0.9844716278538217</v>
      </c>
      <c r="R4778">
        <v>-0.4444288955167206</v>
      </c>
      <c r="S4778">
        <v>0.16560528741947311</v>
      </c>
      <c r="T4778">
        <v>0.13047244594990709</v>
      </c>
      <c r="U4778">
        <v>4.2673648416942536</v>
      </c>
      <c r="V4778">
        <v>0.2226610238238293</v>
      </c>
      <c r="W4778">
        <v>3.7566707168321871</v>
      </c>
      <c r="X4778">
        <v>0.27473186284258538</v>
      </c>
      <c r="Z4778" t="s">
        <v>392</v>
      </c>
      <c r="AA4778">
        <v>161</v>
      </c>
      <c r="AB4778" t="s">
        <v>5169</v>
      </c>
      <c r="AC4778" t="str">
        <f>HYPERLINK("plots/3FT6Y578R04_015_S31P_20251219032831_M5358ACSA301811_RBGEUFRF04/dpll_52094/txpa_53223.png","plot")</f>
        <v>plot</v>
      </c>
    </row>
    <row r="4779" spans="1:29" hidden="1" x14ac:dyDescent="0.35">
      <c r="A4779" t="s">
        <v>50</v>
      </c>
      <c r="B4779">
        <v>52094</v>
      </c>
      <c r="C4779" t="s">
        <v>53</v>
      </c>
      <c r="D4779">
        <v>53224</v>
      </c>
      <c r="E4779" t="s">
        <v>99</v>
      </c>
      <c r="F4779">
        <v>11781</v>
      </c>
      <c r="G4779">
        <v>0.80181647385030641</v>
      </c>
      <c r="H4779">
        <v>0</v>
      </c>
      <c r="I4779">
        <v>0</v>
      </c>
      <c r="J4779">
        <v>0.71078876013692505</v>
      </c>
      <c r="K4779">
        <v>0</v>
      </c>
      <c r="L4779">
        <v>0</v>
      </c>
      <c r="M4779">
        <v>0.5215796814873902</v>
      </c>
      <c r="N4779">
        <v>0</v>
      </c>
      <c r="O4779">
        <v>0</v>
      </c>
      <c r="P4779">
        <v>0.64290965773773912</v>
      </c>
      <c r="Q4779">
        <v>0.99597938395487728</v>
      </c>
      <c r="R4779">
        <v>-0.49357963634406371</v>
      </c>
      <c r="S4779">
        <v>0.16526346384557611</v>
      </c>
      <c r="T4779">
        <v>0.1306745875033605</v>
      </c>
      <c r="U4779">
        <v>4.2673606822850356</v>
      </c>
      <c r="V4779">
        <v>0.2226541824443867</v>
      </c>
      <c r="W4779">
        <v>3.756623627111451</v>
      </c>
      <c r="X4779">
        <v>0.27657073993635339</v>
      </c>
      <c r="Z4779" t="s">
        <v>392</v>
      </c>
      <c r="AA4779">
        <v>161</v>
      </c>
      <c r="AB4779" t="s">
        <v>5170</v>
      </c>
      <c r="AC4779" t="str">
        <f>HYPERLINK("plots/3FT6Y578R04_015_S31P_20251219032831_M5358ACSA301811_RBGEUFRF04/dpll_52094/txpa_53224.png","plot")</f>
        <v>plot</v>
      </c>
    </row>
    <row r="4780" spans="1:29" hidden="1" x14ac:dyDescent="0.35">
      <c r="A4780" t="s">
        <v>50</v>
      </c>
      <c r="B4780">
        <v>52094</v>
      </c>
      <c r="C4780" t="s">
        <v>53</v>
      </c>
      <c r="D4780">
        <v>53225</v>
      </c>
      <c r="E4780" t="s">
        <v>100</v>
      </c>
      <c r="F4780">
        <v>11782</v>
      </c>
      <c r="G4780">
        <v>0.7972811649167697</v>
      </c>
      <c r="H4780">
        <v>0</v>
      </c>
      <c r="I4780">
        <v>0</v>
      </c>
      <c r="J4780">
        <v>0.70065175331654328</v>
      </c>
      <c r="K4780">
        <v>0</v>
      </c>
      <c r="L4780">
        <v>0</v>
      </c>
      <c r="M4780">
        <v>0.51317477411560053</v>
      </c>
      <c r="N4780">
        <v>0</v>
      </c>
      <c r="O4780">
        <v>0</v>
      </c>
      <c r="P4780">
        <v>0.63565725593104128</v>
      </c>
      <c r="Q4780">
        <v>0.98102524036058414</v>
      </c>
      <c r="R4780">
        <v>-0.42242037293560092</v>
      </c>
      <c r="S4780">
        <v>0.16537675999942511</v>
      </c>
      <c r="T4780">
        <v>0.13073342391999659</v>
      </c>
      <c r="U4780">
        <v>4.2673938428959426</v>
      </c>
      <c r="V4780">
        <v>0.22267382584799689</v>
      </c>
      <c r="W4780">
        <v>3.764000697504668</v>
      </c>
      <c r="X4780">
        <v>0.27399197815910581</v>
      </c>
      <c r="Z4780" t="s">
        <v>392</v>
      </c>
      <c r="AA4780">
        <v>161</v>
      </c>
      <c r="AB4780" t="s">
        <v>5171</v>
      </c>
      <c r="AC4780" t="str">
        <f>HYPERLINK("plots/3FT6Y578R04_015_S31P_20251219032831_M5358ACSA301811_RBGEUFRF04/dpll_52094/txpa_53225.png","plot")</f>
        <v>plot</v>
      </c>
    </row>
    <row r="4781" spans="1:29" hidden="1" x14ac:dyDescent="0.35">
      <c r="A4781" t="s">
        <v>50</v>
      </c>
      <c r="B4781">
        <v>52094</v>
      </c>
      <c r="C4781" t="s">
        <v>53</v>
      </c>
      <c r="D4781">
        <v>53226</v>
      </c>
      <c r="E4781" t="s">
        <v>101</v>
      </c>
      <c r="F4781">
        <v>11781</v>
      </c>
      <c r="G4781">
        <v>0.79163384260474479</v>
      </c>
      <c r="H4781">
        <v>0</v>
      </c>
      <c r="I4781">
        <v>0</v>
      </c>
      <c r="J4781">
        <v>0.69579270397536486</v>
      </c>
      <c r="K4781">
        <v>0</v>
      </c>
      <c r="L4781">
        <v>0</v>
      </c>
      <c r="M4781">
        <v>0.50903929726330799</v>
      </c>
      <c r="N4781">
        <v>0</v>
      </c>
      <c r="O4781">
        <v>0</v>
      </c>
      <c r="P4781">
        <v>0.62668414075715384</v>
      </c>
      <c r="Q4781">
        <v>0.97576379556567971</v>
      </c>
      <c r="R4781">
        <v>-0.43415947873731492</v>
      </c>
      <c r="S4781">
        <v>0.1676863955564275</v>
      </c>
      <c r="T4781">
        <v>0.13149131044105489</v>
      </c>
      <c r="U4781">
        <v>4.2674179181733303</v>
      </c>
      <c r="V4781">
        <v>0.22266794157249609</v>
      </c>
      <c r="W4781">
        <v>3.7298324263644851</v>
      </c>
      <c r="X4781">
        <v>0.2744593575038165</v>
      </c>
      <c r="Z4781" t="s">
        <v>392</v>
      </c>
      <c r="AA4781">
        <v>161</v>
      </c>
      <c r="AB4781" t="s">
        <v>5172</v>
      </c>
      <c r="AC4781" t="str">
        <f>HYPERLINK("plots/3FT6Y578R04_015_S31P_20251219032831_M5358ACSA301811_RBGEUFRF04/dpll_52094/txpa_53226.png","plot")</f>
        <v>plot</v>
      </c>
    </row>
    <row r="4782" spans="1:29" hidden="1" x14ac:dyDescent="0.35">
      <c r="A4782" t="s">
        <v>50</v>
      </c>
      <c r="B4782">
        <v>52094</v>
      </c>
      <c r="C4782" t="s">
        <v>53</v>
      </c>
      <c r="D4782">
        <v>53227</v>
      </c>
      <c r="E4782" t="s">
        <v>102</v>
      </c>
      <c r="F4782">
        <v>11782</v>
      </c>
      <c r="G4782">
        <v>0.80076946716505115</v>
      </c>
      <c r="H4782">
        <v>0</v>
      </c>
      <c r="I4782">
        <v>0</v>
      </c>
      <c r="J4782">
        <v>0.70717517132369456</v>
      </c>
      <c r="K4782">
        <v>0</v>
      </c>
      <c r="L4782">
        <v>0</v>
      </c>
      <c r="M4782">
        <v>0.51665455313208564</v>
      </c>
      <c r="N4782">
        <v>0</v>
      </c>
      <c r="O4782">
        <v>0</v>
      </c>
      <c r="P4782">
        <v>0.64123173954379997</v>
      </c>
      <c r="Q4782">
        <v>1.067858147615649</v>
      </c>
      <c r="R4782">
        <v>1.5577300609662861</v>
      </c>
      <c r="S4782">
        <v>0.17785406975583321</v>
      </c>
      <c r="T4782">
        <v>0.13780977483252069</v>
      </c>
      <c r="U4782">
        <v>4.2673938428959426</v>
      </c>
      <c r="V4782">
        <v>0.22267382584799689</v>
      </c>
      <c r="W4782">
        <v>6.1147013451875738</v>
      </c>
      <c r="X4782">
        <v>0.29694446272327768</v>
      </c>
      <c r="Z4782" t="s">
        <v>392</v>
      </c>
      <c r="AA4782">
        <v>161</v>
      </c>
      <c r="AB4782" t="s">
        <v>5173</v>
      </c>
      <c r="AC4782" t="str">
        <f>HYPERLINK("plots/3FT6Y578R04_015_S31P_20251219032831_M5358ACSA301811_RBGEUFRF04/dpll_52094/txpa_53227.png","plot")</f>
        <v>plot</v>
      </c>
    </row>
    <row r="4783" spans="1:29" hidden="1" x14ac:dyDescent="0.35">
      <c r="A4783" t="s">
        <v>50</v>
      </c>
      <c r="B4783">
        <v>52094</v>
      </c>
      <c r="C4783" t="s">
        <v>53</v>
      </c>
      <c r="D4783">
        <v>53228</v>
      </c>
      <c r="E4783" t="s">
        <v>103</v>
      </c>
      <c r="F4783">
        <v>11782</v>
      </c>
      <c r="G4783">
        <v>0.81670411239595764</v>
      </c>
      <c r="H4783">
        <v>0</v>
      </c>
      <c r="I4783">
        <v>0</v>
      </c>
      <c r="J4783">
        <v>0.7210885813945741</v>
      </c>
      <c r="K4783">
        <v>0</v>
      </c>
      <c r="L4783">
        <v>0</v>
      </c>
      <c r="M4783">
        <v>0.53191828617730819</v>
      </c>
      <c r="N4783">
        <v>0</v>
      </c>
      <c r="O4783">
        <v>0</v>
      </c>
      <c r="P4783">
        <v>0.667005607204469</v>
      </c>
      <c r="Q4783">
        <v>1.096734983346016</v>
      </c>
      <c r="R4783">
        <v>1.471264186766708</v>
      </c>
      <c r="S4783">
        <v>0.17254650000830421</v>
      </c>
      <c r="T4783">
        <v>0.13499421927211089</v>
      </c>
      <c r="U4783">
        <v>4.2673938428959426</v>
      </c>
      <c r="V4783">
        <v>0.22267382584799689</v>
      </c>
      <c r="W4783">
        <v>6.1514643019860804</v>
      </c>
      <c r="X4783">
        <v>0.29902405409291682</v>
      </c>
      <c r="Z4783" t="s">
        <v>392</v>
      </c>
      <c r="AA4783">
        <v>161</v>
      </c>
      <c r="AB4783" t="s">
        <v>5174</v>
      </c>
      <c r="AC4783" t="str">
        <f>HYPERLINK("plots/3FT6Y578R04_015_S31P_20251219032831_M5358ACSA301811_RBGEUFRF04/dpll_52094/txpa_53228.png","plot")</f>
        <v>plot</v>
      </c>
    </row>
    <row r="4784" spans="1:29" hidden="1" x14ac:dyDescent="0.35">
      <c r="A4784" t="s">
        <v>50</v>
      </c>
      <c r="B4784">
        <v>52094</v>
      </c>
      <c r="C4784" t="s">
        <v>53</v>
      </c>
      <c r="D4784">
        <v>53229</v>
      </c>
      <c r="E4784" t="s">
        <v>104</v>
      </c>
      <c r="F4784">
        <v>11782</v>
      </c>
      <c r="G4784">
        <v>0.80985220732984298</v>
      </c>
      <c r="H4784">
        <v>0</v>
      </c>
      <c r="I4784">
        <v>0</v>
      </c>
      <c r="J4784">
        <v>0.71145055894439346</v>
      </c>
      <c r="K4784">
        <v>0</v>
      </c>
      <c r="L4784">
        <v>0</v>
      </c>
      <c r="M4784">
        <v>0.52222462156650895</v>
      </c>
      <c r="N4784">
        <v>0</v>
      </c>
      <c r="O4784">
        <v>0</v>
      </c>
      <c r="P4784">
        <v>0.65586059771701899</v>
      </c>
      <c r="Q4784">
        <v>1.0682498991087661</v>
      </c>
      <c r="R4784">
        <v>1.6079340391795129</v>
      </c>
      <c r="S4784">
        <v>0.1722999018421226</v>
      </c>
      <c r="T4784">
        <v>0.13455730756652251</v>
      </c>
      <c r="U4784">
        <v>4.2673938428959426</v>
      </c>
      <c r="V4784">
        <v>0.22267382584799689</v>
      </c>
      <c r="W4784">
        <v>6.1665770813104741</v>
      </c>
      <c r="X4784">
        <v>0.29372185423877423</v>
      </c>
      <c r="Z4784" t="s">
        <v>392</v>
      </c>
      <c r="AA4784">
        <v>161</v>
      </c>
      <c r="AB4784" t="s">
        <v>5175</v>
      </c>
      <c r="AC4784" t="str">
        <f>HYPERLINK("plots/3FT6Y578R04_015_S31P_20251219032831_M5358ACSA301811_RBGEUFRF04/dpll_52094/txpa_53229.png","plot")</f>
        <v>plot</v>
      </c>
    </row>
    <row r="4785" spans="1:29" hidden="1" x14ac:dyDescent="0.35">
      <c r="A4785" t="s">
        <v>50</v>
      </c>
      <c r="B4785">
        <v>52094</v>
      </c>
      <c r="C4785" t="s">
        <v>53</v>
      </c>
      <c r="D4785">
        <v>53230</v>
      </c>
      <c r="E4785" t="s">
        <v>105</v>
      </c>
      <c r="F4785">
        <v>11781</v>
      </c>
      <c r="G4785">
        <v>0.8216377064169843</v>
      </c>
      <c r="H4785">
        <v>0</v>
      </c>
      <c r="I4785">
        <v>0</v>
      </c>
      <c r="J4785">
        <v>0.72206660282513568</v>
      </c>
      <c r="K4785">
        <v>0</v>
      </c>
      <c r="L4785">
        <v>0</v>
      </c>
      <c r="M4785">
        <v>0.53280349693799178</v>
      </c>
      <c r="N4785">
        <v>0</v>
      </c>
      <c r="O4785">
        <v>0</v>
      </c>
      <c r="P4785">
        <v>0.67508852060616253</v>
      </c>
      <c r="Q4785">
        <v>1.0952528724315089</v>
      </c>
      <c r="R4785">
        <v>1.504688412201818</v>
      </c>
      <c r="S4785">
        <v>0.1691927617204414</v>
      </c>
      <c r="T4785">
        <v>0.13301933071087091</v>
      </c>
      <c r="U4785">
        <v>4.2674026018164843</v>
      </c>
      <c r="V4785">
        <v>0.22268124725346999</v>
      </c>
      <c r="W4785">
        <v>6.1785733696630167</v>
      </c>
      <c r="X4785">
        <v>0.2968367612467116</v>
      </c>
      <c r="Z4785" t="s">
        <v>392</v>
      </c>
      <c r="AA4785">
        <v>161</v>
      </c>
      <c r="AB4785" t="s">
        <v>5176</v>
      </c>
      <c r="AC4785" t="str">
        <f>HYPERLINK("plots/3FT6Y578R04_015_S31P_20251219032831_M5358ACSA301811_RBGEUFRF04/dpll_52094/txpa_53230.png","plot")</f>
        <v>plot</v>
      </c>
    </row>
    <row r="4786" spans="1:29" hidden="1" x14ac:dyDescent="0.35">
      <c r="A4786" t="s">
        <v>50</v>
      </c>
      <c r="B4786">
        <v>52094</v>
      </c>
      <c r="C4786" t="s">
        <v>53</v>
      </c>
      <c r="D4786">
        <v>53231</v>
      </c>
      <c r="E4786" t="s">
        <v>106</v>
      </c>
      <c r="F4786">
        <v>11781</v>
      </c>
      <c r="G4786">
        <v>0.82369714926961057</v>
      </c>
      <c r="H4786">
        <v>0</v>
      </c>
      <c r="I4786">
        <v>0</v>
      </c>
      <c r="J4786">
        <v>0.72146169789857961</v>
      </c>
      <c r="K4786">
        <v>0</v>
      </c>
      <c r="L4786">
        <v>0</v>
      </c>
      <c r="M4786">
        <v>0.5310796229070911</v>
      </c>
      <c r="N4786">
        <v>0</v>
      </c>
      <c r="O4786">
        <v>0</v>
      </c>
      <c r="P4786">
        <v>0.67847699371488313</v>
      </c>
      <c r="Q4786">
        <v>1.0956007028853889</v>
      </c>
      <c r="R4786">
        <v>1.484171131410136</v>
      </c>
      <c r="S4786">
        <v>0.16792545555119251</v>
      </c>
      <c r="T4786">
        <v>0.1320642134780744</v>
      </c>
      <c r="U4786">
        <v>4.2673648416942536</v>
      </c>
      <c r="V4786">
        <v>0.2226610238238293</v>
      </c>
      <c r="W4786">
        <v>6.1594990514387584</v>
      </c>
      <c r="X4786">
        <v>0.29616173180019029</v>
      </c>
      <c r="Z4786" t="s">
        <v>392</v>
      </c>
      <c r="AA4786">
        <v>161</v>
      </c>
      <c r="AB4786" t="s">
        <v>5177</v>
      </c>
      <c r="AC4786" t="str">
        <f>HYPERLINK("plots/3FT6Y578R04_015_S31P_20251219032831_M5358ACSA301811_RBGEUFRF04/dpll_52094/txpa_53231.png","plot")</f>
        <v>plot</v>
      </c>
    </row>
    <row r="4787" spans="1:29" hidden="1" x14ac:dyDescent="0.35">
      <c r="A4787" t="s">
        <v>50</v>
      </c>
      <c r="B4787">
        <v>52094</v>
      </c>
      <c r="C4787" t="s">
        <v>53</v>
      </c>
      <c r="D4787">
        <v>53232</v>
      </c>
      <c r="E4787" t="s">
        <v>107</v>
      </c>
      <c r="F4787">
        <v>11781</v>
      </c>
      <c r="G4787">
        <v>0.8264040445971369</v>
      </c>
      <c r="H4787">
        <v>0</v>
      </c>
      <c r="I4787">
        <v>0</v>
      </c>
      <c r="J4787">
        <v>0.733182734742998</v>
      </c>
      <c r="K4787">
        <v>0</v>
      </c>
      <c r="L4787">
        <v>0</v>
      </c>
      <c r="M4787">
        <v>0.54221059736733701</v>
      </c>
      <c r="N4787">
        <v>0</v>
      </c>
      <c r="O4787">
        <v>0</v>
      </c>
      <c r="P4787">
        <v>0.68294364492650661</v>
      </c>
      <c r="Q4787">
        <v>1.1070964178441101</v>
      </c>
      <c r="R4787">
        <v>1.438262738112023</v>
      </c>
      <c r="S4787">
        <v>0.1679475479876712</v>
      </c>
      <c r="T4787">
        <v>0.13254794165408729</v>
      </c>
      <c r="U4787">
        <v>4.2673606822850356</v>
      </c>
      <c r="V4787">
        <v>0.2226541824443867</v>
      </c>
      <c r="W4787">
        <v>6.1626424631185817</v>
      </c>
      <c r="X4787">
        <v>0.29827981774018952</v>
      </c>
      <c r="Z4787" t="s">
        <v>392</v>
      </c>
      <c r="AA4787">
        <v>161</v>
      </c>
      <c r="AB4787" t="s">
        <v>5178</v>
      </c>
      <c r="AC4787" t="str">
        <f>HYPERLINK("plots/3FT6Y578R04_015_S31P_20251219032831_M5358ACSA301811_RBGEUFRF04/dpll_52094/txpa_53232.png","plot")</f>
        <v>plot</v>
      </c>
    </row>
    <row r="4788" spans="1:29" hidden="1" x14ac:dyDescent="0.35">
      <c r="A4788" t="s">
        <v>50</v>
      </c>
      <c r="B4788">
        <v>52094</v>
      </c>
      <c r="C4788" t="s">
        <v>53</v>
      </c>
      <c r="D4788">
        <v>53233</v>
      </c>
      <c r="E4788" t="s">
        <v>108</v>
      </c>
      <c r="F4788">
        <v>11782</v>
      </c>
      <c r="G4788">
        <v>0.8226345054663774</v>
      </c>
      <c r="H4788">
        <v>0</v>
      </c>
      <c r="I4788">
        <v>0</v>
      </c>
      <c r="J4788">
        <v>0.72329088201636726</v>
      </c>
      <c r="K4788">
        <v>0</v>
      </c>
      <c r="L4788">
        <v>0</v>
      </c>
      <c r="M4788">
        <v>0.53382595834008817</v>
      </c>
      <c r="N4788">
        <v>0</v>
      </c>
      <c r="O4788">
        <v>0</v>
      </c>
      <c r="P4788">
        <v>0.67672752958391136</v>
      </c>
      <c r="Q4788">
        <v>1.092850743909547</v>
      </c>
      <c r="R4788">
        <v>1.506131563115795</v>
      </c>
      <c r="S4788">
        <v>0.16818568600000189</v>
      </c>
      <c r="T4788">
        <v>0.13269744336499309</v>
      </c>
      <c r="U4788">
        <v>4.2673938428959426</v>
      </c>
      <c r="V4788">
        <v>0.22267382584799689</v>
      </c>
      <c r="W4788">
        <v>6.1697560988796472</v>
      </c>
      <c r="X4788">
        <v>0.29581698142993151</v>
      </c>
      <c r="Z4788" t="s">
        <v>392</v>
      </c>
      <c r="AA4788">
        <v>161</v>
      </c>
      <c r="AB4788" t="s">
        <v>5179</v>
      </c>
      <c r="AC4788" t="str">
        <f>HYPERLINK("plots/3FT6Y578R04_015_S31P_20251219032831_M5358ACSA301811_RBGEUFRF04/dpll_52094/txpa_53233.png","plot")</f>
        <v>plot</v>
      </c>
    </row>
    <row r="4789" spans="1:29" hidden="1" x14ac:dyDescent="0.35">
      <c r="A4789" t="s">
        <v>50</v>
      </c>
      <c r="B4789">
        <v>52094</v>
      </c>
      <c r="C4789" t="s">
        <v>53</v>
      </c>
      <c r="D4789">
        <v>53234</v>
      </c>
      <c r="E4789" t="s">
        <v>109</v>
      </c>
      <c r="F4789">
        <v>11781</v>
      </c>
      <c r="G4789">
        <v>0.81796511249521853</v>
      </c>
      <c r="H4789">
        <v>0</v>
      </c>
      <c r="I4789">
        <v>0</v>
      </c>
      <c r="J4789">
        <v>0.71968722494205328</v>
      </c>
      <c r="K4789">
        <v>0</v>
      </c>
      <c r="L4789">
        <v>0</v>
      </c>
      <c r="M4789">
        <v>0.53053567945019342</v>
      </c>
      <c r="N4789">
        <v>0</v>
      </c>
      <c r="O4789">
        <v>0</v>
      </c>
      <c r="P4789">
        <v>0.66906692525931555</v>
      </c>
      <c r="Q4789">
        <v>1.087131389357211</v>
      </c>
      <c r="R4789">
        <v>1.4981371079948611</v>
      </c>
      <c r="S4789">
        <v>0.17023803731093359</v>
      </c>
      <c r="T4789">
        <v>0.13319425296458859</v>
      </c>
      <c r="U4789">
        <v>4.2674179181733303</v>
      </c>
      <c r="V4789">
        <v>0.22266794157249609</v>
      </c>
      <c r="W4789">
        <v>6.1373810783464897</v>
      </c>
      <c r="X4789">
        <v>0.29594087203619318</v>
      </c>
      <c r="Z4789" t="s">
        <v>392</v>
      </c>
      <c r="AA4789">
        <v>161</v>
      </c>
      <c r="AB4789" t="s">
        <v>5180</v>
      </c>
      <c r="AC4789" t="str">
        <f>HYPERLINK("plots/3FT6Y578R04_015_S31P_20251219032831_M5358ACSA301811_RBGEUFRF04/dpll_52094/txpa_53234.png","plot")</f>
        <v>plot</v>
      </c>
    </row>
    <row r="4790" spans="1:29" hidden="1" x14ac:dyDescent="0.35">
      <c r="A4790" t="s">
        <v>50</v>
      </c>
      <c r="B4790">
        <v>52094</v>
      </c>
      <c r="C4790" t="s">
        <v>53</v>
      </c>
      <c r="D4790">
        <v>53235</v>
      </c>
      <c r="E4790" t="s">
        <v>110</v>
      </c>
      <c r="F4790">
        <v>11782</v>
      </c>
      <c r="G4790">
        <v>0.81019929994090534</v>
      </c>
      <c r="H4790">
        <v>0</v>
      </c>
      <c r="I4790">
        <v>0</v>
      </c>
      <c r="J4790">
        <v>0.71426890098589013</v>
      </c>
      <c r="K4790">
        <v>0</v>
      </c>
      <c r="L4790">
        <v>0</v>
      </c>
      <c r="M4790">
        <v>0.52291394602403218</v>
      </c>
      <c r="N4790">
        <v>0</v>
      </c>
      <c r="O4790">
        <v>0</v>
      </c>
      <c r="P4790">
        <v>0.65642290562473304</v>
      </c>
      <c r="Q4790">
        <v>1.1246195637999301</v>
      </c>
      <c r="R4790">
        <v>2.3764443688974062</v>
      </c>
      <c r="S4790">
        <v>0.18116596499393259</v>
      </c>
      <c r="T4790">
        <v>0.1400734450056581</v>
      </c>
      <c r="U4790">
        <v>4.2673938428959426</v>
      </c>
      <c r="V4790">
        <v>0.22267382584799689</v>
      </c>
      <c r="W4790">
        <v>7.1756389710575474</v>
      </c>
      <c r="X4790">
        <v>0.30908856736003237</v>
      </c>
      <c r="Z4790" t="s">
        <v>392</v>
      </c>
      <c r="AA4790">
        <v>161</v>
      </c>
      <c r="AB4790" t="s">
        <v>5181</v>
      </c>
      <c r="AC4790" t="str">
        <f>HYPERLINK("plots/3FT6Y578R04_015_S31P_20251219032831_M5358ACSA301811_RBGEUFRF04/dpll_52094/txpa_53235.png","plot")</f>
        <v>plot</v>
      </c>
    </row>
    <row r="4791" spans="1:29" hidden="1" x14ac:dyDescent="0.35">
      <c r="A4791" t="s">
        <v>50</v>
      </c>
      <c r="B4791">
        <v>52094</v>
      </c>
      <c r="C4791" t="s">
        <v>53</v>
      </c>
      <c r="D4791">
        <v>53236</v>
      </c>
      <c r="E4791" t="s">
        <v>111</v>
      </c>
      <c r="F4791">
        <v>11782</v>
      </c>
      <c r="G4791">
        <v>0.82546895981668433</v>
      </c>
      <c r="H4791">
        <v>0</v>
      </c>
      <c r="I4791">
        <v>0</v>
      </c>
      <c r="J4791">
        <v>0.72798286492427822</v>
      </c>
      <c r="K4791">
        <v>0</v>
      </c>
      <c r="L4791">
        <v>0</v>
      </c>
      <c r="M4791">
        <v>0.538198491073546</v>
      </c>
      <c r="N4791">
        <v>0</v>
      </c>
      <c r="O4791">
        <v>0</v>
      </c>
      <c r="P4791">
        <v>0.68139900362083883</v>
      </c>
      <c r="Q4791">
        <v>1.153633259128761</v>
      </c>
      <c r="R4791">
        <v>2.2891068786458968</v>
      </c>
      <c r="S4791">
        <v>0.17564723828176149</v>
      </c>
      <c r="T4791">
        <v>0.1371491270776948</v>
      </c>
      <c r="U4791">
        <v>4.2673938428959426</v>
      </c>
      <c r="V4791">
        <v>0.22267382584799689</v>
      </c>
      <c r="W4791">
        <v>7.2121143456119512</v>
      </c>
      <c r="X4791">
        <v>0.31119756640242691</v>
      </c>
      <c r="Z4791" t="s">
        <v>392</v>
      </c>
      <c r="AA4791">
        <v>161</v>
      </c>
      <c r="AB4791" t="s">
        <v>5182</v>
      </c>
      <c r="AC4791" t="str">
        <f>HYPERLINK("plots/3FT6Y578R04_015_S31P_20251219032831_M5358ACSA301811_RBGEUFRF04/dpll_52094/txpa_53236.png","plot")</f>
        <v>plot</v>
      </c>
    </row>
    <row r="4792" spans="1:29" hidden="1" x14ac:dyDescent="0.35">
      <c r="A4792" t="s">
        <v>50</v>
      </c>
      <c r="B4792">
        <v>52094</v>
      </c>
      <c r="C4792" t="s">
        <v>53</v>
      </c>
      <c r="D4792">
        <v>53237</v>
      </c>
      <c r="E4792" t="s">
        <v>112</v>
      </c>
      <c r="F4792">
        <v>11782</v>
      </c>
      <c r="G4792">
        <v>0.81921606438066863</v>
      </c>
      <c r="H4792">
        <v>0</v>
      </c>
      <c r="I4792">
        <v>0</v>
      </c>
      <c r="J4792">
        <v>0.71877479834380587</v>
      </c>
      <c r="K4792">
        <v>0</v>
      </c>
      <c r="L4792">
        <v>0</v>
      </c>
      <c r="M4792">
        <v>0.5287790812769535</v>
      </c>
      <c r="N4792">
        <v>0</v>
      </c>
      <c r="O4792">
        <v>0</v>
      </c>
      <c r="P4792">
        <v>0.67111496013935179</v>
      </c>
      <c r="Q4792">
        <v>1.125553937155128</v>
      </c>
      <c r="R4792">
        <v>2.4242448279611581</v>
      </c>
      <c r="S4792">
        <v>0.17544486060505579</v>
      </c>
      <c r="T4792">
        <v>0.1367036064393739</v>
      </c>
      <c r="U4792">
        <v>4.2673938428959426</v>
      </c>
      <c r="V4792">
        <v>0.22267382584799689</v>
      </c>
      <c r="W4792">
        <v>7.2274267692242393</v>
      </c>
      <c r="X4792">
        <v>0.30594053544846778</v>
      </c>
      <c r="Z4792" t="s">
        <v>392</v>
      </c>
      <c r="AA4792">
        <v>161</v>
      </c>
      <c r="AB4792" t="s">
        <v>5183</v>
      </c>
      <c r="AC4792" t="str">
        <f>HYPERLINK("plots/3FT6Y578R04_015_S31P_20251219032831_M5358ACSA301811_RBGEUFRF04/dpll_52094/txpa_53237.png","plot")</f>
        <v>plot</v>
      </c>
    </row>
    <row r="4793" spans="1:29" hidden="1" x14ac:dyDescent="0.35">
      <c r="A4793" t="s">
        <v>50</v>
      </c>
      <c r="B4793">
        <v>52094</v>
      </c>
      <c r="C4793" t="s">
        <v>53</v>
      </c>
      <c r="D4793">
        <v>53238</v>
      </c>
      <c r="E4793" t="s">
        <v>113</v>
      </c>
      <c r="F4793">
        <v>11781</v>
      </c>
      <c r="G4793">
        <v>0.83040891808264483</v>
      </c>
      <c r="H4793">
        <v>0</v>
      </c>
      <c r="I4793">
        <v>0</v>
      </c>
      <c r="J4793">
        <v>0.72953854330779699</v>
      </c>
      <c r="K4793">
        <v>0</v>
      </c>
      <c r="L4793">
        <v>0</v>
      </c>
      <c r="M4793">
        <v>0.53954532806675248</v>
      </c>
      <c r="N4793">
        <v>0</v>
      </c>
      <c r="O4793">
        <v>0</v>
      </c>
      <c r="P4793">
        <v>0.68957897123118872</v>
      </c>
      <c r="Q4793">
        <v>1.152489405691167</v>
      </c>
      <c r="R4793">
        <v>2.3207458462111279</v>
      </c>
      <c r="S4793">
        <v>0.17218119456188161</v>
      </c>
      <c r="T4793">
        <v>0.13515917247505241</v>
      </c>
      <c r="U4793">
        <v>4.2674026018164843</v>
      </c>
      <c r="V4793">
        <v>0.22268124725346999</v>
      </c>
      <c r="W4793">
        <v>7.2388821346235463</v>
      </c>
      <c r="X4793">
        <v>0.30904988219331481</v>
      </c>
      <c r="Z4793" t="s">
        <v>392</v>
      </c>
      <c r="AA4793">
        <v>161</v>
      </c>
      <c r="AB4793" t="s">
        <v>5184</v>
      </c>
      <c r="AC4793" t="str">
        <f>HYPERLINK("plots/3FT6Y578R04_015_S31P_20251219032831_M5358ACSA301811_RBGEUFRF04/dpll_52094/txpa_53238.png","plot")</f>
        <v>plot</v>
      </c>
    </row>
    <row r="4794" spans="1:29" hidden="1" x14ac:dyDescent="0.35">
      <c r="A4794" t="s">
        <v>50</v>
      </c>
      <c r="B4794">
        <v>52094</v>
      </c>
      <c r="C4794" t="s">
        <v>53</v>
      </c>
      <c r="D4794">
        <v>53239</v>
      </c>
      <c r="E4794" t="s">
        <v>114</v>
      </c>
      <c r="F4794">
        <v>11781</v>
      </c>
      <c r="G4794">
        <v>0.83213702370949449</v>
      </c>
      <c r="H4794">
        <v>0</v>
      </c>
      <c r="I4794">
        <v>0</v>
      </c>
      <c r="J4794">
        <v>0.72852738720173704</v>
      </c>
      <c r="K4794">
        <v>0</v>
      </c>
      <c r="L4794">
        <v>0</v>
      </c>
      <c r="M4794">
        <v>0.53753697363129527</v>
      </c>
      <c r="N4794">
        <v>0</v>
      </c>
      <c r="O4794">
        <v>0</v>
      </c>
      <c r="P4794">
        <v>0.69245202622809576</v>
      </c>
      <c r="Q4794">
        <v>1.152750132963936</v>
      </c>
      <c r="R4794">
        <v>2.2998236796616842</v>
      </c>
      <c r="S4794">
        <v>0.17104978779350849</v>
      </c>
      <c r="T4794">
        <v>0.13436381864197561</v>
      </c>
      <c r="U4794">
        <v>4.2673648416942536</v>
      </c>
      <c r="V4794">
        <v>0.2226610238238293</v>
      </c>
      <c r="W4794">
        <v>7.2190290683303626</v>
      </c>
      <c r="X4794">
        <v>0.30844983158496209</v>
      </c>
      <c r="Z4794" t="s">
        <v>392</v>
      </c>
      <c r="AA4794">
        <v>161</v>
      </c>
      <c r="AB4794" t="s">
        <v>5185</v>
      </c>
      <c r="AC4794" t="str">
        <f>HYPERLINK("plots/3FT6Y578R04_015_S31P_20251219032831_M5358ACSA301811_RBGEUFRF04/dpll_52094/txpa_53239.png","plot")</f>
        <v>plot</v>
      </c>
    </row>
    <row r="4795" spans="1:29" hidden="1" x14ac:dyDescent="0.35">
      <c r="A4795" t="s">
        <v>50</v>
      </c>
      <c r="B4795">
        <v>52094</v>
      </c>
      <c r="C4795" t="s">
        <v>53</v>
      </c>
      <c r="D4795">
        <v>53240</v>
      </c>
      <c r="E4795" t="s">
        <v>115</v>
      </c>
      <c r="F4795">
        <v>11781</v>
      </c>
      <c r="G4795">
        <v>0.83485186251389309</v>
      </c>
      <c r="H4795">
        <v>0</v>
      </c>
      <c r="I4795">
        <v>0</v>
      </c>
      <c r="J4795">
        <v>0.73956206039823991</v>
      </c>
      <c r="K4795">
        <v>0</v>
      </c>
      <c r="L4795">
        <v>0</v>
      </c>
      <c r="M4795">
        <v>0.54818503162001464</v>
      </c>
      <c r="N4795">
        <v>0</v>
      </c>
      <c r="O4795">
        <v>0</v>
      </c>
      <c r="P4795">
        <v>0.69697763234291621</v>
      </c>
      <c r="Q4795">
        <v>1.1641916287366709</v>
      </c>
      <c r="R4795">
        <v>2.2547499136157789</v>
      </c>
      <c r="S4795">
        <v>0.17090895553245081</v>
      </c>
      <c r="T4795">
        <v>0.13469494316902539</v>
      </c>
      <c r="U4795">
        <v>4.2673606822850356</v>
      </c>
      <c r="V4795">
        <v>0.2226541824443867</v>
      </c>
      <c r="W4795">
        <v>7.2227754967320248</v>
      </c>
      <c r="X4795">
        <v>0.31048877884086751</v>
      </c>
      <c r="Z4795" t="s">
        <v>392</v>
      </c>
      <c r="AA4795">
        <v>161</v>
      </c>
      <c r="AB4795" t="s">
        <v>5186</v>
      </c>
      <c r="AC4795" t="str">
        <f>HYPERLINK("plots/3FT6Y578R04_015_S31P_20251219032831_M5358ACSA301811_RBGEUFRF04/dpll_52094/txpa_53240.png","plot")</f>
        <v>plot</v>
      </c>
    </row>
    <row r="4796" spans="1:29" hidden="1" x14ac:dyDescent="0.35">
      <c r="A4796" t="s">
        <v>50</v>
      </c>
      <c r="B4796">
        <v>52094</v>
      </c>
      <c r="C4796" t="s">
        <v>53</v>
      </c>
      <c r="D4796">
        <v>53241</v>
      </c>
      <c r="E4796" t="s">
        <v>116</v>
      </c>
      <c r="F4796">
        <v>11782</v>
      </c>
      <c r="G4796">
        <v>0.83135269098742459</v>
      </c>
      <c r="H4796">
        <v>0</v>
      </c>
      <c r="I4796">
        <v>0</v>
      </c>
      <c r="J4796">
        <v>0.73013588685447306</v>
      </c>
      <c r="K4796">
        <v>0</v>
      </c>
      <c r="L4796">
        <v>0</v>
      </c>
      <c r="M4796">
        <v>0.54002584729130143</v>
      </c>
      <c r="N4796">
        <v>0</v>
      </c>
      <c r="O4796">
        <v>0</v>
      </c>
      <c r="P4796">
        <v>0.69114729681203224</v>
      </c>
      <c r="Q4796">
        <v>1.1502433800026459</v>
      </c>
      <c r="R4796">
        <v>2.321200231453699</v>
      </c>
      <c r="S4796">
        <v>0.17121069047175161</v>
      </c>
      <c r="T4796">
        <v>0.1348626945744992</v>
      </c>
      <c r="U4796">
        <v>4.2673938428959426</v>
      </c>
      <c r="V4796">
        <v>0.22267382584799689</v>
      </c>
      <c r="W4796">
        <v>7.2297417491088094</v>
      </c>
      <c r="X4796">
        <v>0.30808716548124432</v>
      </c>
      <c r="Z4796" t="s">
        <v>392</v>
      </c>
      <c r="AA4796">
        <v>161</v>
      </c>
      <c r="AB4796" t="s">
        <v>5187</v>
      </c>
      <c r="AC4796" t="str">
        <f>HYPERLINK("plots/3FT6Y578R04_015_S31P_20251219032831_M5358ACSA301811_RBGEUFRF04/dpll_52094/txpa_53241.png","plot")</f>
        <v>plot</v>
      </c>
    </row>
    <row r="4797" spans="1:29" hidden="1" x14ac:dyDescent="0.35">
      <c r="A4797" t="s">
        <v>50</v>
      </c>
      <c r="B4797">
        <v>52094</v>
      </c>
      <c r="C4797" t="s">
        <v>53</v>
      </c>
      <c r="D4797">
        <v>53242</v>
      </c>
      <c r="E4797" t="s">
        <v>117</v>
      </c>
      <c r="F4797">
        <v>11781</v>
      </c>
      <c r="G4797">
        <v>0.82676706643031639</v>
      </c>
      <c r="H4797">
        <v>0</v>
      </c>
      <c r="I4797">
        <v>0</v>
      </c>
      <c r="J4797">
        <v>0.726435354626769</v>
      </c>
      <c r="K4797">
        <v>0</v>
      </c>
      <c r="L4797">
        <v>0</v>
      </c>
      <c r="M4797">
        <v>0.53670501808619475</v>
      </c>
      <c r="N4797">
        <v>0</v>
      </c>
      <c r="O4797">
        <v>0</v>
      </c>
      <c r="P4797">
        <v>0.68354378213379119</v>
      </c>
      <c r="Q4797">
        <v>1.1437816998313961</v>
      </c>
      <c r="R4797">
        <v>2.317182762489034</v>
      </c>
      <c r="S4797">
        <v>0.17328303798798961</v>
      </c>
      <c r="T4797">
        <v>0.13528576667152351</v>
      </c>
      <c r="U4797">
        <v>4.2674179181733303</v>
      </c>
      <c r="V4797">
        <v>0.22266794157249609</v>
      </c>
      <c r="W4797">
        <v>7.198177282828282</v>
      </c>
      <c r="X4797">
        <v>0.3080474864696528</v>
      </c>
      <c r="Z4797" t="s">
        <v>392</v>
      </c>
      <c r="AA4797">
        <v>161</v>
      </c>
      <c r="AB4797" t="s">
        <v>5188</v>
      </c>
      <c r="AC4797" t="str">
        <f>HYPERLINK("plots/3FT6Y578R04_015_S31P_20251219032831_M5358ACSA301811_RBGEUFRF04/dpll_52094/txpa_53242.png","plot")</f>
        <v>plot</v>
      </c>
    </row>
    <row r="4798" spans="1:29" hidden="1" x14ac:dyDescent="0.35">
      <c r="A4798" t="s">
        <v>50</v>
      </c>
      <c r="B4798">
        <v>52094</v>
      </c>
      <c r="C4798" t="s">
        <v>53</v>
      </c>
      <c r="D4798">
        <v>53243</v>
      </c>
      <c r="E4798" t="s">
        <v>118</v>
      </c>
      <c r="F4798">
        <v>11782</v>
      </c>
      <c r="G4798">
        <v>0.81818280841050317</v>
      </c>
      <c r="H4798">
        <v>0</v>
      </c>
      <c r="I4798">
        <v>0</v>
      </c>
      <c r="J4798">
        <v>0.72073323969046132</v>
      </c>
      <c r="K4798">
        <v>0</v>
      </c>
      <c r="L4798">
        <v>0</v>
      </c>
      <c r="M4798">
        <v>0.52861420699819617</v>
      </c>
      <c r="N4798">
        <v>0</v>
      </c>
      <c r="O4798">
        <v>0</v>
      </c>
      <c r="P4798">
        <v>0.66942310797849813</v>
      </c>
      <c r="Q4798">
        <v>1.1851132830297431</v>
      </c>
      <c r="R4798">
        <v>3.1483041072900741</v>
      </c>
      <c r="S4798">
        <v>0.18543704661045199</v>
      </c>
      <c r="T4798">
        <v>0.14310737574306789</v>
      </c>
      <c r="U4798">
        <v>4.2673938428959426</v>
      </c>
      <c r="V4798">
        <v>0.22267382584799689</v>
      </c>
      <c r="W4798">
        <v>8.2056492344253957</v>
      </c>
      <c r="X4798">
        <v>0.32253636483536391</v>
      </c>
      <c r="Z4798" t="s">
        <v>392</v>
      </c>
      <c r="AA4798">
        <v>161</v>
      </c>
      <c r="AB4798" t="s">
        <v>5189</v>
      </c>
      <c r="AC4798" t="str">
        <f>HYPERLINK("plots/3FT6Y578R04_015_S31P_20251219032831_M5358ACSA301811_RBGEUFRF04/dpll_52094/txpa_53243.png","plot")</f>
        <v>plot</v>
      </c>
    </row>
    <row r="4799" spans="1:29" hidden="1" x14ac:dyDescent="0.35">
      <c r="A4799" t="s">
        <v>50</v>
      </c>
      <c r="B4799">
        <v>52094</v>
      </c>
      <c r="C4799" t="s">
        <v>53</v>
      </c>
      <c r="D4799">
        <v>53244</v>
      </c>
      <c r="E4799" t="s">
        <v>119</v>
      </c>
      <c r="F4799">
        <v>11782</v>
      </c>
      <c r="G4799">
        <v>0.83249414460077242</v>
      </c>
      <c r="H4799">
        <v>0</v>
      </c>
      <c r="I4799">
        <v>0</v>
      </c>
      <c r="J4799">
        <v>0.73372057541987035</v>
      </c>
      <c r="K4799">
        <v>0</v>
      </c>
      <c r="L4799">
        <v>0</v>
      </c>
      <c r="M4799">
        <v>0.54344037356203723</v>
      </c>
      <c r="N4799">
        <v>0</v>
      </c>
      <c r="O4799">
        <v>0</v>
      </c>
      <c r="P4799">
        <v>0.69304650079457175</v>
      </c>
      <c r="Q4799">
        <v>1.21373340379363</v>
      </c>
      <c r="R4799">
        <v>3.0623974285212312</v>
      </c>
      <c r="S4799">
        <v>0.1798577479026775</v>
      </c>
      <c r="T4799">
        <v>0.14024465610464679</v>
      </c>
      <c r="U4799">
        <v>4.2673938428959426</v>
      </c>
      <c r="V4799">
        <v>0.22267382584799689</v>
      </c>
      <c r="W4799">
        <v>8.2418758827873031</v>
      </c>
      <c r="X4799">
        <v>0.32464692074422608</v>
      </c>
      <c r="Z4799" t="s">
        <v>392</v>
      </c>
      <c r="AA4799">
        <v>161</v>
      </c>
      <c r="AB4799" t="s">
        <v>5190</v>
      </c>
      <c r="AC4799" t="str">
        <f>HYPERLINK("plots/3FT6Y578R04_015_S31P_20251219032831_M5358ACSA301811_RBGEUFRF04/dpll_52094/txpa_53244.png","plot")</f>
        <v>plot</v>
      </c>
    </row>
    <row r="4800" spans="1:29" hidden="1" x14ac:dyDescent="0.35">
      <c r="A4800" t="s">
        <v>50</v>
      </c>
      <c r="B4800">
        <v>52094</v>
      </c>
      <c r="C4800" t="s">
        <v>53</v>
      </c>
      <c r="D4800">
        <v>53245</v>
      </c>
      <c r="E4800" t="s">
        <v>120</v>
      </c>
      <c r="F4800">
        <v>11782</v>
      </c>
      <c r="G4800">
        <v>0.82705320839927488</v>
      </c>
      <c r="H4800">
        <v>0</v>
      </c>
      <c r="I4800">
        <v>0</v>
      </c>
      <c r="J4800">
        <v>0.72508919531891092</v>
      </c>
      <c r="K4800">
        <v>0</v>
      </c>
      <c r="L4800">
        <v>0</v>
      </c>
      <c r="M4800">
        <v>0.53441061222701891</v>
      </c>
      <c r="N4800">
        <v>0</v>
      </c>
      <c r="O4800">
        <v>0</v>
      </c>
      <c r="P4800">
        <v>0.68401700952353439</v>
      </c>
      <c r="Q4800">
        <v>1.186356203547259</v>
      </c>
      <c r="R4800">
        <v>3.1948172409238689</v>
      </c>
      <c r="S4800">
        <v>0.1795412510580992</v>
      </c>
      <c r="T4800">
        <v>0.1396519072112011</v>
      </c>
      <c r="U4800">
        <v>4.2673938428959426</v>
      </c>
      <c r="V4800">
        <v>0.22267382584799689</v>
      </c>
      <c r="W4800">
        <v>8.2574663994228494</v>
      </c>
      <c r="X4800">
        <v>0.31941170408330022</v>
      </c>
      <c r="Z4800" t="s">
        <v>392</v>
      </c>
      <c r="AA4800">
        <v>161</v>
      </c>
      <c r="AB4800" t="s">
        <v>5191</v>
      </c>
      <c r="AC4800" t="str">
        <f>HYPERLINK("plots/3FT6Y578R04_015_S31P_20251219032831_M5358ACSA301811_RBGEUFRF04/dpll_52094/txpa_53245.png","plot")</f>
        <v>plot</v>
      </c>
    </row>
    <row r="4801" spans="1:29" hidden="1" x14ac:dyDescent="0.35">
      <c r="A4801" t="s">
        <v>50</v>
      </c>
      <c r="B4801">
        <v>52094</v>
      </c>
      <c r="C4801" t="s">
        <v>53</v>
      </c>
      <c r="D4801">
        <v>53246</v>
      </c>
      <c r="E4801" t="s">
        <v>121</v>
      </c>
      <c r="F4801">
        <v>11781</v>
      </c>
      <c r="G4801">
        <v>0.83754122024288158</v>
      </c>
      <c r="H4801">
        <v>0</v>
      </c>
      <c r="I4801">
        <v>0</v>
      </c>
      <c r="J4801">
        <v>0.73542853100458982</v>
      </c>
      <c r="K4801">
        <v>0</v>
      </c>
      <c r="L4801">
        <v>0</v>
      </c>
      <c r="M4801">
        <v>0.54488128225991928</v>
      </c>
      <c r="N4801">
        <v>0</v>
      </c>
      <c r="O4801">
        <v>0</v>
      </c>
      <c r="P4801">
        <v>0.70147529560593502</v>
      </c>
      <c r="Q4801">
        <v>1.213241330755694</v>
      </c>
      <c r="R4801">
        <v>3.0910047002241221</v>
      </c>
      <c r="S4801">
        <v>0.17623670206832601</v>
      </c>
      <c r="T4801">
        <v>0.13818026697028021</v>
      </c>
      <c r="U4801">
        <v>4.2674026018164843</v>
      </c>
      <c r="V4801">
        <v>0.22268124725346999</v>
      </c>
      <c r="W4801">
        <v>8.2683939117222653</v>
      </c>
      <c r="X4801">
        <v>0.32257050306585661</v>
      </c>
      <c r="Z4801" t="s">
        <v>392</v>
      </c>
      <c r="AA4801">
        <v>161</v>
      </c>
      <c r="AB4801" t="s">
        <v>5192</v>
      </c>
      <c r="AC4801" t="str">
        <f>HYPERLINK("plots/3FT6Y578R04_015_S31P_20251219032831_M5358ACSA301811_RBGEUFRF04/dpll_52094/txpa_53246.png","plot")</f>
        <v>plot</v>
      </c>
    </row>
    <row r="4802" spans="1:29" hidden="1" x14ac:dyDescent="0.35">
      <c r="A4802" t="s">
        <v>50</v>
      </c>
      <c r="B4802">
        <v>52094</v>
      </c>
      <c r="C4802" t="s">
        <v>53</v>
      </c>
      <c r="D4802">
        <v>53247</v>
      </c>
      <c r="E4802" t="s">
        <v>122</v>
      </c>
      <c r="F4802">
        <v>11781</v>
      </c>
      <c r="G4802">
        <v>0.83931388866256951</v>
      </c>
      <c r="H4802">
        <v>0</v>
      </c>
      <c r="I4802">
        <v>0</v>
      </c>
      <c r="J4802">
        <v>0.73475452079621051</v>
      </c>
      <c r="K4802">
        <v>0</v>
      </c>
      <c r="L4802">
        <v>0</v>
      </c>
      <c r="M4802">
        <v>0.54321754555963109</v>
      </c>
      <c r="N4802">
        <v>0</v>
      </c>
      <c r="O4802">
        <v>0</v>
      </c>
      <c r="P4802">
        <v>0.70444780370188409</v>
      </c>
      <c r="Q4802">
        <v>1.2139765959715849</v>
      </c>
      <c r="R4802">
        <v>3.0674034031265172</v>
      </c>
      <c r="S4802">
        <v>0.17507686801591341</v>
      </c>
      <c r="T4802">
        <v>0.1374263219678093</v>
      </c>
      <c r="U4802">
        <v>4.2673648416942536</v>
      </c>
      <c r="V4802">
        <v>0.2226610238238293</v>
      </c>
      <c r="W4802">
        <v>8.2478844474153288</v>
      </c>
      <c r="X4802">
        <v>0.32205504449345701</v>
      </c>
      <c r="Z4802" t="s">
        <v>392</v>
      </c>
      <c r="AA4802">
        <v>161</v>
      </c>
      <c r="AB4802" t="s">
        <v>5193</v>
      </c>
      <c r="AC4802" t="str">
        <f>HYPERLINK("plots/3FT6Y578R04_015_S31P_20251219032831_M5358ACSA301811_RBGEUFRF04/dpll_52094/txpa_53247.png","plot")</f>
        <v>plot</v>
      </c>
    </row>
    <row r="4803" spans="1:29" hidden="1" x14ac:dyDescent="0.35">
      <c r="A4803" t="s">
        <v>50</v>
      </c>
      <c r="B4803">
        <v>52094</v>
      </c>
      <c r="C4803" t="s">
        <v>53</v>
      </c>
      <c r="D4803">
        <v>53248</v>
      </c>
      <c r="E4803" t="s">
        <v>123</v>
      </c>
      <c r="F4803">
        <v>11781</v>
      </c>
      <c r="G4803">
        <v>0.84160844121891898</v>
      </c>
      <c r="H4803">
        <v>0</v>
      </c>
      <c r="I4803">
        <v>0</v>
      </c>
      <c r="J4803">
        <v>0.7447035520289611</v>
      </c>
      <c r="K4803">
        <v>0</v>
      </c>
      <c r="L4803">
        <v>0</v>
      </c>
      <c r="M4803">
        <v>0.55298976799392807</v>
      </c>
      <c r="N4803">
        <v>0</v>
      </c>
      <c r="O4803">
        <v>0</v>
      </c>
      <c r="P4803">
        <v>0.70830476833093858</v>
      </c>
      <c r="Q4803">
        <v>1.2244297365644949</v>
      </c>
      <c r="R4803">
        <v>3.026986594582842</v>
      </c>
      <c r="S4803">
        <v>0.1749447343724676</v>
      </c>
      <c r="T4803">
        <v>0.13769543060693001</v>
      </c>
      <c r="U4803">
        <v>4.2673606822850356</v>
      </c>
      <c r="V4803">
        <v>0.2226541824443867</v>
      </c>
      <c r="W4803">
        <v>8.2520699106187916</v>
      </c>
      <c r="X4803">
        <v>0.32393258979260697</v>
      </c>
      <c r="Z4803" t="s">
        <v>392</v>
      </c>
      <c r="AA4803">
        <v>161</v>
      </c>
      <c r="AB4803" t="s">
        <v>5194</v>
      </c>
      <c r="AC4803" t="str">
        <f>HYPERLINK("plots/3FT6Y578R04_015_S31P_20251219032831_M5358ACSA301811_RBGEUFRF04/dpll_52094/txpa_53248.png","plot")</f>
        <v>plot</v>
      </c>
    </row>
    <row r="4804" spans="1:29" hidden="1" x14ac:dyDescent="0.35">
      <c r="A4804" t="s">
        <v>50</v>
      </c>
      <c r="B4804">
        <v>52094</v>
      </c>
      <c r="C4804" t="s">
        <v>53</v>
      </c>
      <c r="D4804">
        <v>53249</v>
      </c>
      <c r="E4804" t="s">
        <v>124</v>
      </c>
      <c r="F4804">
        <v>11782</v>
      </c>
      <c r="G4804">
        <v>0.83863401419436512</v>
      </c>
      <c r="H4804">
        <v>0</v>
      </c>
      <c r="I4804">
        <v>0</v>
      </c>
      <c r="J4804">
        <v>0.73580378403880964</v>
      </c>
      <c r="K4804">
        <v>0</v>
      </c>
      <c r="L4804">
        <v>0</v>
      </c>
      <c r="M4804">
        <v>0.54525593589826749</v>
      </c>
      <c r="N4804">
        <v>0</v>
      </c>
      <c r="O4804">
        <v>0</v>
      </c>
      <c r="P4804">
        <v>0.7033070097637546</v>
      </c>
      <c r="Q4804">
        <v>1.2113590563699961</v>
      </c>
      <c r="R4804">
        <v>3.0900400092242082</v>
      </c>
      <c r="S4804">
        <v>0.17518817971555969</v>
      </c>
      <c r="T4804">
        <v>0.1378082305496755</v>
      </c>
      <c r="U4804">
        <v>4.2673938428959426</v>
      </c>
      <c r="V4804">
        <v>0.22267382584799689</v>
      </c>
      <c r="W4804">
        <v>8.2593861879137673</v>
      </c>
      <c r="X4804">
        <v>0.32163965566868918</v>
      </c>
      <c r="Z4804" t="s">
        <v>392</v>
      </c>
      <c r="AA4804">
        <v>161</v>
      </c>
      <c r="AB4804" t="s">
        <v>5195</v>
      </c>
      <c r="AC4804" t="str">
        <f>HYPERLINK("plots/3FT6Y578R04_015_S31P_20251219032831_M5358ACSA301811_RBGEUFRF04/dpll_52094/txpa_53249.png","plot")</f>
        <v>plot</v>
      </c>
    </row>
    <row r="4805" spans="1:29" hidden="1" x14ac:dyDescent="0.35">
      <c r="A4805" t="s">
        <v>50</v>
      </c>
      <c r="B4805">
        <v>52094</v>
      </c>
      <c r="C4805" t="s">
        <v>53</v>
      </c>
      <c r="D4805">
        <v>53250</v>
      </c>
      <c r="E4805" t="s">
        <v>125</v>
      </c>
      <c r="F4805">
        <v>11781</v>
      </c>
      <c r="G4805">
        <v>0.83407355356100477</v>
      </c>
      <c r="H4805">
        <v>0</v>
      </c>
      <c r="I4805">
        <v>0</v>
      </c>
      <c r="J4805">
        <v>0.73204701590266041</v>
      </c>
      <c r="K4805">
        <v>0</v>
      </c>
      <c r="L4805">
        <v>0</v>
      </c>
      <c r="M4805">
        <v>0.54180763299092616</v>
      </c>
      <c r="N4805">
        <v>0</v>
      </c>
      <c r="O4805">
        <v>0</v>
      </c>
      <c r="P4805">
        <v>0.69567869274988225</v>
      </c>
      <c r="Q4805">
        <v>1.203319133594964</v>
      </c>
      <c r="R4805">
        <v>3.092757548645872</v>
      </c>
      <c r="S4805">
        <v>0.17720742436678741</v>
      </c>
      <c r="T4805">
        <v>0.13821233672412381</v>
      </c>
      <c r="U4805">
        <v>4.2674179181733303</v>
      </c>
      <c r="V4805">
        <v>0.22266794157249609</v>
      </c>
      <c r="W4805">
        <v>8.2278231806298283</v>
      </c>
      <c r="X4805">
        <v>0.32124336443523549</v>
      </c>
      <c r="Z4805" t="s">
        <v>392</v>
      </c>
      <c r="AA4805">
        <v>161</v>
      </c>
      <c r="AB4805" t="s">
        <v>5196</v>
      </c>
      <c r="AC4805" t="str">
        <f>HYPERLINK("plots/3FT6Y578R04_015_S31P_20251219032831_M5358ACSA301811_RBGEUFRF04/dpll_52094/txpa_53250.png","plot")</f>
        <v>plot</v>
      </c>
    </row>
    <row r="4806" spans="1:29" hidden="1" x14ac:dyDescent="0.35">
      <c r="A4806" t="s">
        <v>50</v>
      </c>
      <c r="B4806">
        <v>52094</v>
      </c>
      <c r="C4806" t="s">
        <v>53</v>
      </c>
      <c r="D4806">
        <v>53251</v>
      </c>
      <c r="E4806" t="s">
        <v>126</v>
      </c>
      <c r="F4806">
        <v>11782</v>
      </c>
      <c r="G4806">
        <v>0.82614414731211749</v>
      </c>
      <c r="H4806">
        <v>0</v>
      </c>
      <c r="I4806">
        <v>0</v>
      </c>
      <c r="J4806">
        <v>0.72736312104031453</v>
      </c>
      <c r="K4806">
        <v>0</v>
      </c>
      <c r="L4806">
        <v>0</v>
      </c>
      <c r="M4806">
        <v>0.53461954392971456</v>
      </c>
      <c r="N4806">
        <v>0</v>
      </c>
      <c r="O4806">
        <v>0</v>
      </c>
      <c r="P4806">
        <v>0.68251415213806566</v>
      </c>
      <c r="Q4806">
        <v>1.2486870998286419</v>
      </c>
      <c r="R4806">
        <v>3.9052988296300821</v>
      </c>
      <c r="S4806">
        <v>0.1896316045699897</v>
      </c>
      <c r="T4806">
        <v>0.1460806280282369</v>
      </c>
      <c r="U4806">
        <v>4.2673938428959426</v>
      </c>
      <c r="V4806">
        <v>0.22267382584799689</v>
      </c>
      <c r="W4806">
        <v>9.2339384711424213</v>
      </c>
      <c r="X4806">
        <v>0.33656346136509752</v>
      </c>
      <c r="Z4806" t="s">
        <v>392</v>
      </c>
      <c r="AA4806">
        <v>161</v>
      </c>
      <c r="AB4806" t="s">
        <v>5197</v>
      </c>
      <c r="AC4806" t="str">
        <f>HYPERLINK("plots/3FT6Y578R04_015_S31P_20251219032831_M5358ACSA301811_RBGEUFRF04/dpll_52094/txpa_53251.png","plot")</f>
        <v>plot</v>
      </c>
    </row>
    <row r="4807" spans="1:29" hidden="1" x14ac:dyDescent="0.35">
      <c r="A4807" t="s">
        <v>50</v>
      </c>
      <c r="B4807">
        <v>52094</v>
      </c>
      <c r="C4807" t="s">
        <v>53</v>
      </c>
      <c r="D4807">
        <v>53252</v>
      </c>
      <c r="E4807" t="s">
        <v>127</v>
      </c>
      <c r="F4807">
        <v>11782</v>
      </c>
      <c r="G4807">
        <v>0.83967264743405334</v>
      </c>
      <c r="H4807">
        <v>0</v>
      </c>
      <c r="I4807">
        <v>0</v>
      </c>
      <c r="J4807">
        <v>0.73984284741157469</v>
      </c>
      <c r="K4807">
        <v>0</v>
      </c>
      <c r="L4807">
        <v>0</v>
      </c>
      <c r="M4807">
        <v>0.54913263156251502</v>
      </c>
      <c r="N4807">
        <v>0</v>
      </c>
      <c r="O4807">
        <v>0</v>
      </c>
      <c r="P4807">
        <v>0.70505015484891209</v>
      </c>
      <c r="Q4807">
        <v>1.27771875807977</v>
      </c>
      <c r="R4807">
        <v>3.816637451786673</v>
      </c>
      <c r="S4807">
        <v>0.18401367147653661</v>
      </c>
      <c r="T4807">
        <v>0.1432912454719352</v>
      </c>
      <c r="U4807">
        <v>4.2673938428959426</v>
      </c>
      <c r="V4807">
        <v>0.22267382584799689</v>
      </c>
      <c r="W4807">
        <v>9.2691666129689345</v>
      </c>
      <c r="X4807">
        <v>0.33883981464540808</v>
      </c>
      <c r="Z4807" t="s">
        <v>392</v>
      </c>
      <c r="AA4807">
        <v>161</v>
      </c>
      <c r="AB4807" t="s">
        <v>5198</v>
      </c>
      <c r="AC4807" t="str">
        <f>HYPERLINK("plots/3FT6Y578R04_015_S31P_20251219032831_M5358ACSA301811_RBGEUFRF04/dpll_52094/txpa_53252.png","plot")</f>
        <v>plot</v>
      </c>
    </row>
    <row r="4808" spans="1:29" hidden="1" x14ac:dyDescent="0.35">
      <c r="A4808" t="s">
        <v>50</v>
      </c>
      <c r="B4808">
        <v>52094</v>
      </c>
      <c r="C4808" t="s">
        <v>53</v>
      </c>
      <c r="D4808">
        <v>53253</v>
      </c>
      <c r="E4808" t="s">
        <v>128</v>
      </c>
      <c r="F4808">
        <v>11782</v>
      </c>
      <c r="G4808">
        <v>0.83486055292388217</v>
      </c>
      <c r="H4808">
        <v>0</v>
      </c>
      <c r="I4808">
        <v>0</v>
      </c>
      <c r="J4808">
        <v>0.73176510588179189</v>
      </c>
      <c r="K4808">
        <v>0</v>
      </c>
      <c r="L4808">
        <v>0</v>
      </c>
      <c r="M4808">
        <v>0.5404829035102986</v>
      </c>
      <c r="N4808">
        <v>0</v>
      </c>
      <c r="O4808">
        <v>0</v>
      </c>
      <c r="P4808">
        <v>0.6969921428283703</v>
      </c>
      <c r="Q4808">
        <v>1.250267215676625</v>
      </c>
      <c r="R4808">
        <v>3.949479972323918</v>
      </c>
      <c r="S4808">
        <v>0.18355515549665261</v>
      </c>
      <c r="T4808">
        <v>0.1425172551959045</v>
      </c>
      <c r="U4808">
        <v>4.2673938428959426</v>
      </c>
      <c r="V4808">
        <v>0.22267382584799689</v>
      </c>
      <c r="W4808">
        <v>9.2848625904769992</v>
      </c>
      <c r="X4808">
        <v>0.33347100096178539</v>
      </c>
      <c r="Z4808" t="s">
        <v>392</v>
      </c>
      <c r="AA4808">
        <v>161</v>
      </c>
      <c r="AB4808" t="s">
        <v>5199</v>
      </c>
      <c r="AC4808" t="str">
        <f>HYPERLINK("plots/3FT6Y578R04_015_S31P_20251219032831_M5358ACSA301811_RBGEUFRF04/dpll_52094/txpa_53253.png","plot")</f>
        <v>plot</v>
      </c>
    </row>
    <row r="4809" spans="1:29" hidden="1" x14ac:dyDescent="0.35">
      <c r="A4809" t="s">
        <v>50</v>
      </c>
      <c r="B4809">
        <v>52094</v>
      </c>
      <c r="C4809" t="s">
        <v>53</v>
      </c>
      <c r="D4809">
        <v>53254</v>
      </c>
      <c r="E4809" t="s">
        <v>129</v>
      </c>
      <c r="F4809">
        <v>11781</v>
      </c>
      <c r="G4809">
        <v>0.8445280846249108</v>
      </c>
      <c r="H4809">
        <v>0</v>
      </c>
      <c r="I4809">
        <v>0</v>
      </c>
      <c r="J4809">
        <v>0.74140210663140049</v>
      </c>
      <c r="K4809">
        <v>0</v>
      </c>
      <c r="L4809">
        <v>0</v>
      </c>
      <c r="M4809">
        <v>0.55040566875943775</v>
      </c>
      <c r="N4809">
        <v>0</v>
      </c>
      <c r="O4809">
        <v>0</v>
      </c>
      <c r="P4809">
        <v>0.71322768572022055</v>
      </c>
      <c r="Q4809">
        <v>1.277142089252804</v>
      </c>
      <c r="R4809">
        <v>3.845901126400904</v>
      </c>
      <c r="S4809">
        <v>0.18032624698358921</v>
      </c>
      <c r="T4809">
        <v>0.14120707307639091</v>
      </c>
      <c r="U4809">
        <v>4.2674026018164843</v>
      </c>
      <c r="V4809">
        <v>0.22268124725346999</v>
      </c>
      <c r="W4809">
        <v>9.2959806009676598</v>
      </c>
      <c r="X4809">
        <v>0.33675090092596333</v>
      </c>
      <c r="Z4809" t="s">
        <v>392</v>
      </c>
      <c r="AA4809">
        <v>161</v>
      </c>
      <c r="AB4809" t="s">
        <v>5200</v>
      </c>
      <c r="AC4809" t="str">
        <f>HYPERLINK("plots/3FT6Y578R04_015_S31P_20251219032831_M5358ACSA301811_RBGEUFRF04/dpll_52094/txpa_53254.png","plot")</f>
        <v>plot</v>
      </c>
    </row>
    <row r="4810" spans="1:29" hidden="1" x14ac:dyDescent="0.35">
      <c r="A4810" t="s">
        <v>50</v>
      </c>
      <c r="B4810">
        <v>52094</v>
      </c>
      <c r="C4810" t="s">
        <v>53</v>
      </c>
      <c r="D4810">
        <v>53255</v>
      </c>
      <c r="E4810" t="s">
        <v>130</v>
      </c>
      <c r="F4810">
        <v>11781</v>
      </c>
      <c r="G4810">
        <v>0.84616444645867472</v>
      </c>
      <c r="H4810">
        <v>0</v>
      </c>
      <c r="I4810">
        <v>0</v>
      </c>
      <c r="J4810">
        <v>0.74099482914588977</v>
      </c>
      <c r="K4810">
        <v>0</v>
      </c>
      <c r="L4810">
        <v>0</v>
      </c>
      <c r="M4810">
        <v>0.548996478649591</v>
      </c>
      <c r="N4810">
        <v>0</v>
      </c>
      <c r="O4810">
        <v>0</v>
      </c>
      <c r="P4810">
        <v>0.7159942704507154</v>
      </c>
      <c r="Q4810">
        <v>1.2782122783678711</v>
      </c>
      <c r="R4810">
        <v>3.8199911833324749</v>
      </c>
      <c r="S4810">
        <v>0.17924107141083481</v>
      </c>
      <c r="T4810">
        <v>0.1405662569618964</v>
      </c>
      <c r="U4810">
        <v>4.2673648416942536</v>
      </c>
      <c r="V4810">
        <v>0.2226610238238293</v>
      </c>
      <c r="W4810">
        <v>9.2745893202614376</v>
      </c>
      <c r="X4810">
        <v>0.33635075989863089</v>
      </c>
      <c r="Z4810" t="s">
        <v>392</v>
      </c>
      <c r="AA4810">
        <v>161</v>
      </c>
      <c r="AB4810" t="s">
        <v>5201</v>
      </c>
      <c r="AC4810" t="str">
        <f>HYPERLINK("plots/3FT6Y578R04_015_S31P_20251219032831_M5358ACSA301811_RBGEUFRF04/dpll_52094/txpa_53255.png","plot")</f>
        <v>plot</v>
      </c>
    </row>
    <row r="4811" spans="1:29" hidden="1" x14ac:dyDescent="0.35">
      <c r="A4811" t="s">
        <v>50</v>
      </c>
      <c r="B4811">
        <v>52094</v>
      </c>
      <c r="C4811" t="s">
        <v>53</v>
      </c>
      <c r="D4811">
        <v>53256</v>
      </c>
      <c r="E4811" t="s">
        <v>131</v>
      </c>
      <c r="F4811">
        <v>11781</v>
      </c>
      <c r="G4811">
        <v>0.84843128324713957</v>
      </c>
      <c r="H4811">
        <v>0</v>
      </c>
      <c r="I4811">
        <v>0</v>
      </c>
      <c r="J4811">
        <v>0.75017691864204594</v>
      </c>
      <c r="K4811">
        <v>0</v>
      </c>
      <c r="L4811">
        <v>0</v>
      </c>
      <c r="M4811">
        <v>0.55811919433679458</v>
      </c>
      <c r="N4811">
        <v>0</v>
      </c>
      <c r="O4811">
        <v>0</v>
      </c>
      <c r="P4811">
        <v>0.71983564239238795</v>
      </c>
      <c r="Q4811">
        <v>1.28815550564165</v>
      </c>
      <c r="R4811">
        <v>3.782241134211882</v>
      </c>
      <c r="S4811">
        <v>0.17892477810302049</v>
      </c>
      <c r="T4811">
        <v>0.1407091588226938</v>
      </c>
      <c r="U4811">
        <v>4.2673606822850356</v>
      </c>
      <c r="V4811">
        <v>0.2226541824443867</v>
      </c>
      <c r="W4811">
        <v>9.2792652916560563</v>
      </c>
      <c r="X4811">
        <v>0.33805119711307419</v>
      </c>
      <c r="Z4811" t="s">
        <v>392</v>
      </c>
      <c r="AA4811">
        <v>161</v>
      </c>
      <c r="AB4811" t="s">
        <v>5202</v>
      </c>
      <c r="AC4811" t="str">
        <f>HYPERLINK("plots/3FT6Y578R04_015_S31P_20251219032831_M5358ACSA301811_RBGEUFRF04/dpll_52094/txpa_53256.png","plot")</f>
        <v>plot</v>
      </c>
    </row>
    <row r="4812" spans="1:29" hidden="1" x14ac:dyDescent="0.35">
      <c r="A4812" t="s">
        <v>50</v>
      </c>
      <c r="B4812">
        <v>52094</v>
      </c>
      <c r="C4812" t="s">
        <v>53</v>
      </c>
      <c r="D4812">
        <v>53257</v>
      </c>
      <c r="E4812" t="s">
        <v>132</v>
      </c>
      <c r="F4812">
        <v>11782</v>
      </c>
      <c r="G4812">
        <v>0.84558223650364195</v>
      </c>
      <c r="H4812">
        <v>0</v>
      </c>
      <c r="I4812">
        <v>0</v>
      </c>
      <c r="J4812">
        <v>0.74169427770267571</v>
      </c>
      <c r="K4812">
        <v>0</v>
      </c>
      <c r="L4812">
        <v>0</v>
      </c>
      <c r="M4812">
        <v>0.55070847519783273</v>
      </c>
      <c r="N4812">
        <v>0</v>
      </c>
      <c r="O4812">
        <v>0</v>
      </c>
      <c r="P4812">
        <v>0.71500931869050111</v>
      </c>
      <c r="Q4812">
        <v>1.2748675439964381</v>
      </c>
      <c r="R4812">
        <v>3.8464967655569549</v>
      </c>
      <c r="S4812">
        <v>0.1792153824665505</v>
      </c>
      <c r="T4812">
        <v>0.1407010495831936</v>
      </c>
      <c r="U4812">
        <v>4.2673938428959426</v>
      </c>
      <c r="V4812">
        <v>0.22267382584799689</v>
      </c>
      <c r="W4812">
        <v>9.2868586733152263</v>
      </c>
      <c r="X4812">
        <v>0.33572090474006022</v>
      </c>
      <c r="Z4812" t="s">
        <v>392</v>
      </c>
      <c r="AA4812">
        <v>161</v>
      </c>
      <c r="AB4812" t="s">
        <v>5203</v>
      </c>
      <c r="AC4812" t="str">
        <f>HYPERLINK("plots/3FT6Y578R04_015_S31P_20251219032831_M5358ACSA301811_RBGEUFRF04/dpll_52094/txpa_53257.png","plot")</f>
        <v>plot</v>
      </c>
    </row>
    <row r="4813" spans="1:29" hidden="1" x14ac:dyDescent="0.35">
      <c r="A4813" t="s">
        <v>50</v>
      </c>
      <c r="B4813">
        <v>52094</v>
      </c>
      <c r="C4813" t="s">
        <v>53</v>
      </c>
      <c r="D4813">
        <v>53258</v>
      </c>
      <c r="E4813" t="s">
        <v>133</v>
      </c>
      <c r="F4813">
        <v>11781</v>
      </c>
      <c r="G4813">
        <v>0.84113834907028684</v>
      </c>
      <c r="H4813">
        <v>0</v>
      </c>
      <c r="I4813">
        <v>0</v>
      </c>
      <c r="J4813">
        <v>0.73768483278443508</v>
      </c>
      <c r="K4813">
        <v>0</v>
      </c>
      <c r="L4813">
        <v>0</v>
      </c>
      <c r="M4813">
        <v>0.54693714460866505</v>
      </c>
      <c r="N4813">
        <v>0</v>
      </c>
      <c r="O4813">
        <v>0</v>
      </c>
      <c r="P4813">
        <v>0.70751372227668774</v>
      </c>
      <c r="Q4813">
        <v>1.265818302028749</v>
      </c>
      <c r="R4813">
        <v>3.8545007609928281</v>
      </c>
      <c r="S4813">
        <v>0.18121575230666809</v>
      </c>
      <c r="T4813">
        <v>0.14123911749435919</v>
      </c>
      <c r="U4813">
        <v>4.2674179181733303</v>
      </c>
      <c r="V4813">
        <v>0.22266794157249609</v>
      </c>
      <c r="W4813">
        <v>9.2562764642220525</v>
      </c>
      <c r="X4813">
        <v>0.33509012640913488</v>
      </c>
      <c r="Z4813" t="s">
        <v>392</v>
      </c>
      <c r="AA4813">
        <v>161</v>
      </c>
      <c r="AB4813" t="s">
        <v>5204</v>
      </c>
      <c r="AC4813" t="str">
        <f>HYPERLINK("plots/3FT6Y578R04_015_S31P_20251219032831_M5358ACSA301811_RBGEUFRF04/dpll_52094/txpa_53258.png","plot")</f>
        <v>plot</v>
      </c>
    </row>
    <row r="4814" spans="1:29" hidden="1" x14ac:dyDescent="0.35">
      <c r="A4814" t="s">
        <v>50</v>
      </c>
      <c r="B4814">
        <v>52094</v>
      </c>
      <c r="C4814" t="s">
        <v>53</v>
      </c>
      <c r="D4814">
        <v>53259</v>
      </c>
      <c r="E4814" t="s">
        <v>134</v>
      </c>
      <c r="F4814">
        <v>11782</v>
      </c>
      <c r="G4814">
        <v>0.8285826246312239</v>
      </c>
      <c r="H4814">
        <v>0</v>
      </c>
      <c r="I4814">
        <v>0</v>
      </c>
      <c r="J4814">
        <v>0.72945157478825173</v>
      </c>
      <c r="K4814">
        <v>0</v>
      </c>
      <c r="L4814">
        <v>0</v>
      </c>
      <c r="M4814">
        <v>0.53653706662522638</v>
      </c>
      <c r="N4814">
        <v>0</v>
      </c>
      <c r="O4814">
        <v>0</v>
      </c>
      <c r="P4814">
        <v>0.68654916584076764</v>
      </c>
      <c r="Q4814">
        <v>1.274594388233703</v>
      </c>
      <c r="R4814">
        <v>4.2997253385546266</v>
      </c>
      <c r="S4814">
        <v>0.19176601120004871</v>
      </c>
      <c r="T4814">
        <v>0.14756186238723981</v>
      </c>
      <c r="U4814">
        <v>4.2673938428959426</v>
      </c>
      <c r="V4814">
        <v>0.22267382584799689</v>
      </c>
      <c r="W4814">
        <v>9.7389215830928535</v>
      </c>
      <c r="X4814">
        <v>0.34253531319064839</v>
      </c>
      <c r="Z4814" t="s">
        <v>392</v>
      </c>
      <c r="AA4814">
        <v>161</v>
      </c>
      <c r="AB4814" t="s">
        <v>5205</v>
      </c>
      <c r="AC4814" t="str">
        <f>HYPERLINK("plots/3FT6Y578R04_015_S31P_20251219032831_M5358ACSA301811_RBGEUFRF04/dpll_52094/txpa_53259.png","plot")</f>
        <v>plot</v>
      </c>
    </row>
    <row r="4815" spans="1:29" hidden="1" x14ac:dyDescent="0.35">
      <c r="A4815" t="s">
        <v>50</v>
      </c>
      <c r="B4815">
        <v>52094</v>
      </c>
      <c r="C4815" t="s">
        <v>53</v>
      </c>
      <c r="D4815">
        <v>53260</v>
      </c>
      <c r="E4815" t="s">
        <v>135</v>
      </c>
      <c r="F4815">
        <v>11782</v>
      </c>
      <c r="G4815">
        <v>0.84181806511463197</v>
      </c>
      <c r="H4815">
        <v>0</v>
      </c>
      <c r="I4815">
        <v>0</v>
      </c>
      <c r="J4815">
        <v>0.74157435742389921</v>
      </c>
      <c r="K4815">
        <v>0</v>
      </c>
      <c r="L4815">
        <v>0</v>
      </c>
      <c r="M4815">
        <v>0.55074419274334596</v>
      </c>
      <c r="N4815">
        <v>0</v>
      </c>
      <c r="O4815">
        <v>0</v>
      </c>
      <c r="P4815">
        <v>0.70865765475334275</v>
      </c>
      <c r="Q4815">
        <v>1.3040829446633659</v>
      </c>
      <c r="R4815">
        <v>4.2089355913315218</v>
      </c>
      <c r="S4815">
        <v>0.1861827837500428</v>
      </c>
      <c r="T4815">
        <v>0.1448766508943605</v>
      </c>
      <c r="U4815">
        <v>4.2673938428959426</v>
      </c>
      <c r="V4815">
        <v>0.22267382584799689</v>
      </c>
      <c r="W4815">
        <v>9.7739711200135808</v>
      </c>
      <c r="X4815">
        <v>0.3449499963769142</v>
      </c>
      <c r="Z4815" t="s">
        <v>392</v>
      </c>
      <c r="AA4815">
        <v>161</v>
      </c>
      <c r="AB4815" t="s">
        <v>5206</v>
      </c>
      <c r="AC4815" t="str">
        <f>HYPERLINK("plots/3FT6Y578R04_015_S31P_20251219032831_M5358ACSA301811_RBGEUFRF04/dpll_52094/txpa_53260.png","plot")</f>
        <v>plot</v>
      </c>
    </row>
    <row r="4816" spans="1:29" hidden="1" x14ac:dyDescent="0.35">
      <c r="A4816" t="s">
        <v>50</v>
      </c>
      <c r="B4816">
        <v>52094</v>
      </c>
      <c r="C4816" t="s">
        <v>53</v>
      </c>
      <c r="D4816">
        <v>53261</v>
      </c>
      <c r="E4816" t="s">
        <v>136</v>
      </c>
      <c r="F4816">
        <v>11782</v>
      </c>
      <c r="G4816">
        <v>0.83734797953211138</v>
      </c>
      <c r="H4816">
        <v>0</v>
      </c>
      <c r="I4816">
        <v>0</v>
      </c>
      <c r="J4816">
        <v>0.73390805643847901</v>
      </c>
      <c r="K4816">
        <v>0</v>
      </c>
      <c r="L4816">
        <v>0</v>
      </c>
      <c r="M4816">
        <v>0.54242607439398138</v>
      </c>
      <c r="N4816">
        <v>0</v>
      </c>
      <c r="O4816">
        <v>0</v>
      </c>
      <c r="P4816">
        <v>0.70115163882650922</v>
      </c>
      <c r="Q4816">
        <v>1.2766058845327251</v>
      </c>
      <c r="R4816">
        <v>4.3420462796148396</v>
      </c>
      <c r="S4816">
        <v>0.18557823688136099</v>
      </c>
      <c r="T4816">
        <v>0.14392493729370501</v>
      </c>
      <c r="U4816">
        <v>4.2673938428959426</v>
      </c>
      <c r="V4816">
        <v>0.22267382584799689</v>
      </c>
      <c r="W4816">
        <v>9.7898263710745201</v>
      </c>
      <c r="X4816">
        <v>0.33948456717816289</v>
      </c>
      <c r="Z4816" t="s">
        <v>392</v>
      </c>
      <c r="AA4816">
        <v>161</v>
      </c>
      <c r="AB4816" t="s">
        <v>5207</v>
      </c>
      <c r="AC4816" t="str">
        <f>HYPERLINK("plots/3FT6Y578R04_015_S31P_20251219032831_M5358ACSA301811_RBGEUFRF04/dpll_52094/txpa_53261.png","plot")</f>
        <v>plot</v>
      </c>
    </row>
    <row r="4817" spans="1:29" hidden="1" x14ac:dyDescent="0.35">
      <c r="A4817" t="s">
        <v>50</v>
      </c>
      <c r="B4817">
        <v>52094</v>
      </c>
      <c r="C4817" t="s">
        <v>53</v>
      </c>
      <c r="D4817">
        <v>53262</v>
      </c>
      <c r="E4817" t="s">
        <v>137</v>
      </c>
      <c r="F4817">
        <v>11781</v>
      </c>
      <c r="G4817">
        <v>0.84662508672428516</v>
      </c>
      <c r="H4817">
        <v>0</v>
      </c>
      <c r="I4817">
        <v>0</v>
      </c>
      <c r="J4817">
        <v>0.74310324751413759</v>
      </c>
      <c r="K4817">
        <v>0</v>
      </c>
      <c r="L4817">
        <v>0</v>
      </c>
      <c r="M4817">
        <v>0.55196888355872864</v>
      </c>
      <c r="N4817">
        <v>0</v>
      </c>
      <c r="O4817">
        <v>0</v>
      </c>
      <c r="P4817">
        <v>0.7167740374709034</v>
      </c>
      <c r="Q4817">
        <v>1.3033227689778999</v>
      </c>
      <c r="R4817">
        <v>4.2391712102949359</v>
      </c>
      <c r="S4817">
        <v>0.1824284601809785</v>
      </c>
      <c r="T4817">
        <v>0.1427811994456876</v>
      </c>
      <c r="U4817">
        <v>4.2674026018164843</v>
      </c>
      <c r="V4817">
        <v>0.22268124725346999</v>
      </c>
      <c r="W4817">
        <v>9.8009741856378909</v>
      </c>
      <c r="X4817">
        <v>0.34280290570265209</v>
      </c>
      <c r="Z4817" t="s">
        <v>392</v>
      </c>
      <c r="AA4817">
        <v>161</v>
      </c>
      <c r="AB4817" t="s">
        <v>5208</v>
      </c>
      <c r="AC4817" t="str">
        <f>HYPERLINK("plots/3FT6Y578R04_015_S31P_20251219032831_M5358ACSA301811_RBGEUFRF04/dpll_52094/txpa_53262.png","plot")</f>
        <v>plot</v>
      </c>
    </row>
    <row r="4818" spans="1:29" hidden="1" x14ac:dyDescent="0.35">
      <c r="A4818" t="s">
        <v>50</v>
      </c>
      <c r="B4818">
        <v>52094</v>
      </c>
      <c r="C4818" t="s">
        <v>53</v>
      </c>
      <c r="D4818">
        <v>53263</v>
      </c>
      <c r="E4818" t="s">
        <v>138</v>
      </c>
      <c r="F4818">
        <v>11781</v>
      </c>
      <c r="G4818">
        <v>0.8482529127524282</v>
      </c>
      <c r="H4818">
        <v>0</v>
      </c>
      <c r="I4818">
        <v>0</v>
      </c>
      <c r="J4818">
        <v>0.74280736727857455</v>
      </c>
      <c r="K4818">
        <v>0</v>
      </c>
      <c r="L4818">
        <v>0</v>
      </c>
      <c r="M4818">
        <v>0.55067507202734423</v>
      </c>
      <c r="N4818">
        <v>0</v>
      </c>
      <c r="O4818">
        <v>0</v>
      </c>
      <c r="P4818">
        <v>0.71953300399297859</v>
      </c>
      <c r="Q4818">
        <v>1.3047485609589371</v>
      </c>
      <c r="R4818">
        <v>4.2113078099820758</v>
      </c>
      <c r="S4818">
        <v>0.18137111266732481</v>
      </c>
      <c r="T4818">
        <v>0.14216762607614511</v>
      </c>
      <c r="U4818">
        <v>4.2673648416942536</v>
      </c>
      <c r="V4818">
        <v>0.2226610238238293</v>
      </c>
      <c r="W4818">
        <v>9.7791459462694164</v>
      </c>
      <c r="X4818">
        <v>0.34248824383415399</v>
      </c>
      <c r="Z4818" t="s">
        <v>392</v>
      </c>
      <c r="AA4818">
        <v>161</v>
      </c>
      <c r="AB4818" t="s">
        <v>5209</v>
      </c>
      <c r="AC4818" t="str">
        <f>HYPERLINK("plots/3FT6Y578R04_015_S31P_20251219032831_M5358ACSA301811_RBGEUFRF04/dpll_52094/txpa_53263.png","plot")</f>
        <v>plot</v>
      </c>
    </row>
    <row r="4819" spans="1:29" hidden="1" x14ac:dyDescent="0.35">
      <c r="A4819" t="s">
        <v>50</v>
      </c>
      <c r="B4819">
        <v>52094</v>
      </c>
      <c r="C4819" t="s">
        <v>53</v>
      </c>
      <c r="D4819">
        <v>53264</v>
      </c>
      <c r="E4819" t="s">
        <v>139</v>
      </c>
      <c r="F4819">
        <v>11781</v>
      </c>
      <c r="G4819">
        <v>0.85050631528916376</v>
      </c>
      <c r="H4819">
        <v>0</v>
      </c>
      <c r="I4819">
        <v>0</v>
      </c>
      <c r="J4819">
        <v>0.75182494896868979</v>
      </c>
      <c r="K4819">
        <v>0</v>
      </c>
      <c r="L4819">
        <v>0</v>
      </c>
      <c r="M4819">
        <v>0.55971233314859237</v>
      </c>
      <c r="N4819">
        <v>0</v>
      </c>
      <c r="O4819">
        <v>0</v>
      </c>
      <c r="P4819">
        <v>0.72336099234675044</v>
      </c>
      <c r="Q4819">
        <v>1.3142429127345061</v>
      </c>
      <c r="R4819">
        <v>4.1755443801356256</v>
      </c>
      <c r="S4819">
        <v>0.1809536029610315</v>
      </c>
      <c r="T4819">
        <v>0.1422099559955772</v>
      </c>
      <c r="U4819">
        <v>4.2673606822850356</v>
      </c>
      <c r="V4819">
        <v>0.2226541824443867</v>
      </c>
      <c r="W4819">
        <v>9.783892912910618</v>
      </c>
      <c r="X4819">
        <v>0.34405585944266909</v>
      </c>
      <c r="Z4819" t="s">
        <v>392</v>
      </c>
      <c r="AA4819">
        <v>161</v>
      </c>
      <c r="AB4819" t="s">
        <v>5210</v>
      </c>
      <c r="AC4819" t="str">
        <f>HYPERLINK("plots/3FT6Y578R04_015_S31P_20251219032831_M5358ACSA301811_RBGEUFRF04/dpll_52094/txpa_53264.png","plot")</f>
        <v>plot</v>
      </c>
    </row>
    <row r="4820" spans="1:29" hidden="1" x14ac:dyDescent="0.35">
      <c r="A4820" t="s">
        <v>50</v>
      </c>
      <c r="B4820">
        <v>52094</v>
      </c>
      <c r="C4820" t="s">
        <v>53</v>
      </c>
      <c r="D4820">
        <v>53265</v>
      </c>
      <c r="E4820" t="s">
        <v>140</v>
      </c>
      <c r="F4820">
        <v>11782</v>
      </c>
      <c r="G4820">
        <v>0.8477867069911309</v>
      </c>
      <c r="H4820">
        <v>0</v>
      </c>
      <c r="I4820">
        <v>0</v>
      </c>
      <c r="J4820">
        <v>0.74360057041750005</v>
      </c>
      <c r="K4820">
        <v>0</v>
      </c>
      <c r="L4820">
        <v>0</v>
      </c>
      <c r="M4820">
        <v>0.55247199660501822</v>
      </c>
      <c r="N4820">
        <v>0</v>
      </c>
      <c r="O4820">
        <v>0</v>
      </c>
      <c r="P4820">
        <v>0.71874230055086563</v>
      </c>
      <c r="Q4820">
        <v>1.3012876337502051</v>
      </c>
      <c r="R4820">
        <v>4.238479410545172</v>
      </c>
      <c r="S4820">
        <v>0.18125485567326799</v>
      </c>
      <c r="T4820">
        <v>0.1421428331791714</v>
      </c>
      <c r="U4820">
        <v>4.2673938428959426</v>
      </c>
      <c r="V4820">
        <v>0.22267382584799689</v>
      </c>
      <c r="W4820">
        <v>9.7915862466474284</v>
      </c>
      <c r="X4820">
        <v>0.34178726034079748</v>
      </c>
      <c r="Z4820" t="s">
        <v>392</v>
      </c>
      <c r="AA4820">
        <v>161</v>
      </c>
      <c r="AB4820" t="s">
        <v>5211</v>
      </c>
      <c r="AC4820" t="str">
        <f>HYPERLINK("plots/3FT6Y578R04_015_S31P_20251219032831_M5358ACSA301811_RBGEUFRF04/dpll_52094/txpa_53265.png","plot")</f>
        <v>plot</v>
      </c>
    </row>
    <row r="4821" spans="1:29" hidden="1" x14ac:dyDescent="0.35">
      <c r="A4821" t="s">
        <v>50</v>
      </c>
      <c r="B4821">
        <v>52094</v>
      </c>
      <c r="C4821" t="s">
        <v>53</v>
      </c>
      <c r="D4821">
        <v>53266</v>
      </c>
      <c r="E4821" t="s">
        <v>141</v>
      </c>
      <c r="F4821">
        <v>11781</v>
      </c>
      <c r="G4821">
        <v>0.84317581892055415</v>
      </c>
      <c r="H4821">
        <v>0</v>
      </c>
      <c r="I4821">
        <v>0</v>
      </c>
      <c r="J4821">
        <v>0.73925162933344157</v>
      </c>
      <c r="K4821">
        <v>0</v>
      </c>
      <c r="L4821">
        <v>0</v>
      </c>
      <c r="M4821">
        <v>0.54840025462955089</v>
      </c>
      <c r="N4821">
        <v>0</v>
      </c>
      <c r="O4821">
        <v>0</v>
      </c>
      <c r="P4821">
        <v>0.71094546161234717</v>
      </c>
      <c r="Q4821">
        <v>1.2912489169415009</v>
      </c>
      <c r="R4821">
        <v>4.2508889053385461</v>
      </c>
      <c r="S4821">
        <v>0.1833247008602204</v>
      </c>
      <c r="T4821">
        <v>0.14272169767019199</v>
      </c>
      <c r="U4821">
        <v>4.2674179181733303</v>
      </c>
      <c r="V4821">
        <v>0.22266794157249609</v>
      </c>
      <c r="W4821">
        <v>9.7611876703166125</v>
      </c>
      <c r="X4821">
        <v>0.34099618601629927</v>
      </c>
      <c r="Z4821" t="s">
        <v>392</v>
      </c>
      <c r="AA4821">
        <v>161</v>
      </c>
      <c r="AB4821" t="s">
        <v>5212</v>
      </c>
      <c r="AC4821" t="str">
        <f>HYPERLINK("plots/3FT6Y578R04_015_S31P_20251219032831_M5358ACSA301811_RBGEUFRF04/dpll_52094/txpa_53266.png","plot")</f>
        <v>plot</v>
      </c>
    </row>
    <row r="4822" spans="1:29" hidden="1" x14ac:dyDescent="0.35">
      <c r="A4822" t="s">
        <v>50</v>
      </c>
      <c r="B4822">
        <v>52094</v>
      </c>
      <c r="C4822" t="s">
        <v>53</v>
      </c>
      <c r="D4822">
        <v>53267</v>
      </c>
      <c r="E4822" t="s">
        <v>142</v>
      </c>
      <c r="F4822">
        <v>11782</v>
      </c>
      <c r="G4822">
        <v>0.83071043251408139</v>
      </c>
      <c r="H4822">
        <v>0</v>
      </c>
      <c r="I4822">
        <v>0</v>
      </c>
      <c r="J4822">
        <v>0.73109982515808025</v>
      </c>
      <c r="K4822">
        <v>0</v>
      </c>
      <c r="L4822">
        <v>0</v>
      </c>
      <c r="M4822">
        <v>0.53805815897893128</v>
      </c>
      <c r="N4822">
        <v>0</v>
      </c>
      <c r="O4822">
        <v>0</v>
      </c>
      <c r="P4822">
        <v>0.69007982268773216</v>
      </c>
      <c r="Q4822">
        <v>1.2981470857487001</v>
      </c>
      <c r="R4822">
        <v>4.6777639166752536</v>
      </c>
      <c r="S4822">
        <v>0.19370904668420719</v>
      </c>
      <c r="T4822">
        <v>0.14888787178676191</v>
      </c>
      <c r="U4822">
        <v>4.2673938428959426</v>
      </c>
      <c r="V4822">
        <v>0.22267382584799689</v>
      </c>
      <c r="W4822">
        <v>10.21746879757257</v>
      </c>
      <c r="X4822">
        <v>0.34797128672413868</v>
      </c>
      <c r="Z4822" t="s">
        <v>392</v>
      </c>
      <c r="AA4822">
        <v>161</v>
      </c>
      <c r="AB4822" t="s">
        <v>5213</v>
      </c>
      <c r="AC4822" t="str">
        <f>HYPERLINK("plots/3FT6Y578R04_015_S31P_20251219032831_M5358ACSA301811_RBGEUFRF04/dpll_52094/txpa_53267.png","plot")</f>
        <v>plot</v>
      </c>
    </row>
    <row r="4823" spans="1:29" hidden="1" x14ac:dyDescent="0.35">
      <c r="A4823" t="s">
        <v>50</v>
      </c>
      <c r="B4823">
        <v>52094</v>
      </c>
      <c r="C4823" t="s">
        <v>53</v>
      </c>
      <c r="D4823">
        <v>53268</v>
      </c>
      <c r="E4823" t="s">
        <v>143</v>
      </c>
      <c r="F4823">
        <v>11782</v>
      </c>
      <c r="G4823">
        <v>0.84372648995576038</v>
      </c>
      <c r="H4823">
        <v>0</v>
      </c>
      <c r="I4823">
        <v>0</v>
      </c>
      <c r="J4823">
        <v>0.74321484440830554</v>
      </c>
      <c r="K4823">
        <v>0</v>
      </c>
      <c r="L4823">
        <v>0</v>
      </c>
      <c r="M4823">
        <v>0.55229850570756134</v>
      </c>
      <c r="N4823">
        <v>0</v>
      </c>
      <c r="O4823">
        <v>0</v>
      </c>
      <c r="P4823">
        <v>0.71187438985306783</v>
      </c>
      <c r="Q4823">
        <v>1.3279304479148679</v>
      </c>
      <c r="R4823">
        <v>4.586099448789998</v>
      </c>
      <c r="S4823">
        <v>0.18811148647213841</v>
      </c>
      <c r="T4823">
        <v>0.1462323923950555</v>
      </c>
      <c r="U4823">
        <v>4.2673938428959426</v>
      </c>
      <c r="V4823">
        <v>0.22267382584799689</v>
      </c>
      <c r="W4823">
        <v>10.25290166601596</v>
      </c>
      <c r="X4823">
        <v>0.35046351728597769</v>
      </c>
      <c r="Z4823" t="s">
        <v>392</v>
      </c>
      <c r="AA4823">
        <v>161</v>
      </c>
      <c r="AB4823" t="s">
        <v>5214</v>
      </c>
      <c r="AC4823" t="str">
        <f>HYPERLINK("plots/3FT6Y578R04_015_S31P_20251219032831_M5358ACSA301811_RBGEUFRF04/dpll_52094/txpa_53268.png","plot")</f>
        <v>plot</v>
      </c>
    </row>
    <row r="4824" spans="1:29" hidden="1" x14ac:dyDescent="0.35">
      <c r="A4824" t="s">
        <v>50</v>
      </c>
      <c r="B4824">
        <v>52094</v>
      </c>
      <c r="C4824" t="s">
        <v>53</v>
      </c>
      <c r="D4824">
        <v>53269</v>
      </c>
      <c r="E4824" t="s">
        <v>144</v>
      </c>
      <c r="F4824">
        <v>11782</v>
      </c>
      <c r="G4824">
        <v>0.83942669987710594</v>
      </c>
      <c r="H4824">
        <v>0</v>
      </c>
      <c r="I4824">
        <v>0</v>
      </c>
      <c r="J4824">
        <v>0.73558341167573793</v>
      </c>
      <c r="K4824">
        <v>0</v>
      </c>
      <c r="L4824">
        <v>0</v>
      </c>
      <c r="M4824">
        <v>0.54395908793380932</v>
      </c>
      <c r="N4824">
        <v>0</v>
      </c>
      <c r="O4824">
        <v>0</v>
      </c>
      <c r="P4824">
        <v>0.70463718446656887</v>
      </c>
      <c r="Q4824">
        <v>1.300480120881589</v>
      </c>
      <c r="R4824">
        <v>4.7194254301238843</v>
      </c>
      <c r="S4824">
        <v>0.1874776877575344</v>
      </c>
      <c r="T4824">
        <v>0.14521280660720459</v>
      </c>
      <c r="U4824">
        <v>4.2673938428959426</v>
      </c>
      <c r="V4824">
        <v>0.22267382584799689</v>
      </c>
      <c r="W4824">
        <v>10.26908629078255</v>
      </c>
      <c r="X4824">
        <v>0.34497697535516142</v>
      </c>
      <c r="Z4824" t="s">
        <v>392</v>
      </c>
      <c r="AA4824">
        <v>161</v>
      </c>
      <c r="AB4824" t="s">
        <v>5215</v>
      </c>
      <c r="AC4824" t="str">
        <f>HYPERLINK("plots/3FT6Y578R04_015_S31P_20251219032831_M5358ACSA301811_RBGEUFRF04/dpll_52094/txpa_53269.png","plot")</f>
        <v>plot</v>
      </c>
    </row>
    <row r="4825" spans="1:29" hidden="1" x14ac:dyDescent="0.35">
      <c r="A4825" t="s">
        <v>50</v>
      </c>
      <c r="B4825">
        <v>52094</v>
      </c>
      <c r="C4825" t="s">
        <v>53</v>
      </c>
      <c r="D4825">
        <v>53270</v>
      </c>
      <c r="E4825" t="s">
        <v>145</v>
      </c>
      <c r="F4825">
        <v>11781</v>
      </c>
      <c r="G4825">
        <v>0.84856302739008316</v>
      </c>
      <c r="H4825">
        <v>0</v>
      </c>
      <c r="I4825">
        <v>0</v>
      </c>
      <c r="J4825">
        <v>0.74466393172183276</v>
      </c>
      <c r="K4825">
        <v>0</v>
      </c>
      <c r="L4825">
        <v>0</v>
      </c>
      <c r="M4825">
        <v>0.55344954713661554</v>
      </c>
      <c r="N4825">
        <v>0</v>
      </c>
      <c r="O4825">
        <v>0</v>
      </c>
      <c r="P4825">
        <v>0.720059211453423</v>
      </c>
      <c r="Q4825">
        <v>1.327591975353563</v>
      </c>
      <c r="R4825">
        <v>4.6147295777274291</v>
      </c>
      <c r="S4825">
        <v>0.18432269708751881</v>
      </c>
      <c r="T4825">
        <v>0.1441553924673156</v>
      </c>
      <c r="U4825">
        <v>4.2674026018164843</v>
      </c>
      <c r="V4825">
        <v>0.22268124725346999</v>
      </c>
      <c r="W4825">
        <v>10.28009902750191</v>
      </c>
      <c r="X4825">
        <v>0.34838877888033259</v>
      </c>
      <c r="Z4825" t="s">
        <v>392</v>
      </c>
      <c r="AA4825">
        <v>161</v>
      </c>
      <c r="AB4825" t="s">
        <v>5216</v>
      </c>
      <c r="AC4825" t="str">
        <f>HYPERLINK("plots/3FT6Y578R04_015_S31P_20251219032831_M5358ACSA301811_RBGEUFRF04/dpll_52094/txpa_53270.png","plot")</f>
        <v>plot</v>
      </c>
    </row>
    <row r="4826" spans="1:29" hidden="1" x14ac:dyDescent="0.35">
      <c r="A4826" t="s">
        <v>50</v>
      </c>
      <c r="B4826">
        <v>52094</v>
      </c>
      <c r="C4826" t="s">
        <v>53</v>
      </c>
      <c r="D4826">
        <v>53271</v>
      </c>
      <c r="E4826" t="s">
        <v>146</v>
      </c>
      <c r="F4826">
        <v>11781</v>
      </c>
      <c r="G4826">
        <v>0.85012700435913247</v>
      </c>
      <c r="H4826">
        <v>0</v>
      </c>
      <c r="I4826">
        <v>0</v>
      </c>
      <c r="J4826">
        <v>0.7443458585805478</v>
      </c>
      <c r="K4826">
        <v>0</v>
      </c>
      <c r="L4826">
        <v>0</v>
      </c>
      <c r="M4826">
        <v>0.55211873575771309</v>
      </c>
      <c r="N4826">
        <v>0</v>
      </c>
      <c r="O4826">
        <v>0</v>
      </c>
      <c r="P4826">
        <v>0.72271592354063241</v>
      </c>
      <c r="Q4826">
        <v>1.3288157198349699</v>
      </c>
      <c r="R4826">
        <v>4.5872572525256379</v>
      </c>
      <c r="S4826">
        <v>0.18326063174071081</v>
      </c>
      <c r="T4826">
        <v>0.14359306840255109</v>
      </c>
      <c r="U4826">
        <v>4.2673648416942536</v>
      </c>
      <c r="V4826">
        <v>0.2226610238238293</v>
      </c>
      <c r="W4826">
        <v>10.25779873644003</v>
      </c>
      <c r="X4826">
        <v>0.34803678407404381</v>
      </c>
      <c r="Z4826" t="s">
        <v>392</v>
      </c>
      <c r="AA4826">
        <v>161</v>
      </c>
      <c r="AB4826" t="s">
        <v>5217</v>
      </c>
      <c r="AC4826" t="str">
        <f>HYPERLINK("plots/3FT6Y578R04_015_S31P_20251219032831_M5358ACSA301811_RBGEUFRF04/dpll_52094/txpa_53271.png","plot")</f>
        <v>plot</v>
      </c>
    </row>
    <row r="4827" spans="1:29" hidden="1" x14ac:dyDescent="0.35">
      <c r="A4827" t="s">
        <v>50</v>
      </c>
      <c r="B4827">
        <v>52094</v>
      </c>
      <c r="C4827" t="s">
        <v>53</v>
      </c>
      <c r="D4827">
        <v>53272</v>
      </c>
      <c r="E4827" t="s">
        <v>147</v>
      </c>
      <c r="F4827">
        <v>11781</v>
      </c>
      <c r="G4827">
        <v>0.8522376980770171</v>
      </c>
      <c r="H4827">
        <v>0</v>
      </c>
      <c r="I4827">
        <v>0</v>
      </c>
      <c r="J4827">
        <v>0.75295883563764343</v>
      </c>
      <c r="K4827">
        <v>0</v>
      </c>
      <c r="L4827">
        <v>0</v>
      </c>
      <c r="M4827">
        <v>0.56080243533598939</v>
      </c>
      <c r="N4827">
        <v>0</v>
      </c>
      <c r="O4827">
        <v>0</v>
      </c>
      <c r="P4827">
        <v>0.72630909402361299</v>
      </c>
      <c r="Q4827">
        <v>1.337876950319606</v>
      </c>
      <c r="R4827">
        <v>4.5536839377955509</v>
      </c>
      <c r="S4827">
        <v>0.18285129435450659</v>
      </c>
      <c r="T4827">
        <v>0.1435612414060094</v>
      </c>
      <c r="U4827">
        <v>4.2673606822850356</v>
      </c>
      <c r="V4827">
        <v>0.2226541824443867</v>
      </c>
      <c r="W4827">
        <v>10.262887433324851</v>
      </c>
      <c r="X4827">
        <v>0.34953147373877541</v>
      </c>
      <c r="Z4827" t="s">
        <v>392</v>
      </c>
      <c r="AA4827">
        <v>161</v>
      </c>
      <c r="AB4827" t="s">
        <v>5218</v>
      </c>
      <c r="AC4827" t="str">
        <f>HYPERLINK("plots/3FT6Y578R04_015_S31P_20251219032831_M5358ACSA301811_RBGEUFRF04/dpll_52094/txpa_53272.png","plot")</f>
        <v>plot</v>
      </c>
    </row>
    <row r="4828" spans="1:29" hidden="1" x14ac:dyDescent="0.35">
      <c r="A4828" t="s">
        <v>50</v>
      </c>
      <c r="B4828">
        <v>52094</v>
      </c>
      <c r="C4828" t="s">
        <v>53</v>
      </c>
      <c r="D4828">
        <v>53273</v>
      </c>
      <c r="E4828" t="s">
        <v>148</v>
      </c>
      <c r="F4828">
        <v>11782</v>
      </c>
      <c r="G4828">
        <v>0.84965909982768806</v>
      </c>
      <c r="H4828">
        <v>0</v>
      </c>
      <c r="I4828">
        <v>0</v>
      </c>
      <c r="J4828">
        <v>0.74495669058759617</v>
      </c>
      <c r="K4828">
        <v>0</v>
      </c>
      <c r="L4828">
        <v>0</v>
      </c>
      <c r="M4828">
        <v>0.55379435888784623</v>
      </c>
      <c r="N4828">
        <v>0</v>
      </c>
      <c r="O4828">
        <v>0</v>
      </c>
      <c r="P4828">
        <v>0.72192058591999719</v>
      </c>
      <c r="Q4828">
        <v>1.325108904616479</v>
      </c>
      <c r="R4828">
        <v>4.6157866111759516</v>
      </c>
      <c r="S4828">
        <v>0.18312263081820179</v>
      </c>
      <c r="T4828">
        <v>0.14344593541204109</v>
      </c>
      <c r="U4828">
        <v>4.2673938428959426</v>
      </c>
      <c r="V4828">
        <v>0.22267382584799689</v>
      </c>
      <c r="W4828">
        <v>10.2705481919029</v>
      </c>
      <c r="X4828">
        <v>0.3472770073504064</v>
      </c>
      <c r="Z4828" t="s">
        <v>392</v>
      </c>
      <c r="AA4828">
        <v>161</v>
      </c>
      <c r="AB4828" t="s">
        <v>5219</v>
      </c>
      <c r="AC4828" t="str">
        <f>HYPERLINK("plots/3FT6Y578R04_015_S31P_20251219032831_M5358ACSA301811_RBGEUFRF04/dpll_52094/txpa_53273.png","plot")</f>
        <v>plot</v>
      </c>
    </row>
    <row r="4829" spans="1:29" hidden="1" x14ac:dyDescent="0.35">
      <c r="A4829" t="s">
        <v>50</v>
      </c>
      <c r="B4829">
        <v>52094</v>
      </c>
      <c r="C4829" t="s">
        <v>53</v>
      </c>
      <c r="D4829">
        <v>53274</v>
      </c>
      <c r="E4829" t="s">
        <v>149</v>
      </c>
      <c r="F4829">
        <v>11781</v>
      </c>
      <c r="G4829">
        <v>0.84500296319542612</v>
      </c>
      <c r="H4829">
        <v>0</v>
      </c>
      <c r="I4829">
        <v>0</v>
      </c>
      <c r="J4829">
        <v>0.74060278137446311</v>
      </c>
      <c r="K4829">
        <v>0</v>
      </c>
      <c r="L4829">
        <v>0</v>
      </c>
      <c r="M4829">
        <v>0.54968226081363758</v>
      </c>
      <c r="N4829">
        <v>0</v>
      </c>
      <c r="O4829">
        <v>0</v>
      </c>
      <c r="P4829">
        <v>0.71403000780905068</v>
      </c>
      <c r="Q4829">
        <v>1.314512547596518</v>
      </c>
      <c r="R4829">
        <v>4.6305762224868019</v>
      </c>
      <c r="S4829">
        <v>0.18522772702795209</v>
      </c>
      <c r="T4829">
        <v>0.1440891482725164</v>
      </c>
      <c r="U4829">
        <v>4.2674179181733303</v>
      </c>
      <c r="V4829">
        <v>0.22266794157249609</v>
      </c>
      <c r="W4829">
        <v>10.24015062176386</v>
      </c>
      <c r="X4829">
        <v>0.34638908488281939</v>
      </c>
      <c r="Z4829" t="s">
        <v>392</v>
      </c>
      <c r="AA4829">
        <v>161</v>
      </c>
      <c r="AB4829" t="s">
        <v>5220</v>
      </c>
      <c r="AC4829" t="str">
        <f>HYPERLINK("plots/3FT6Y578R04_015_S31P_20251219032831_M5358ACSA301811_RBGEUFRF04/dpll_52094/txpa_53274.png","plot")</f>
        <v>plot</v>
      </c>
    </row>
    <row r="4830" spans="1:29" hidden="1" x14ac:dyDescent="0.35">
      <c r="A4830" t="s">
        <v>50</v>
      </c>
      <c r="B4830">
        <v>52094</v>
      </c>
      <c r="C4830" t="s">
        <v>53</v>
      </c>
      <c r="D4830">
        <v>53275</v>
      </c>
      <c r="E4830" t="s">
        <v>150</v>
      </c>
      <c r="F4830">
        <v>11782</v>
      </c>
      <c r="G4830">
        <v>0.83659822636577019</v>
      </c>
      <c r="H4830">
        <v>0</v>
      </c>
      <c r="I4830">
        <v>0</v>
      </c>
      <c r="J4830">
        <v>0.73614534940274035</v>
      </c>
      <c r="K4830">
        <v>0</v>
      </c>
      <c r="L4830">
        <v>0</v>
      </c>
      <c r="M4830">
        <v>0.54278525214309148</v>
      </c>
      <c r="N4830">
        <v>0</v>
      </c>
      <c r="O4830">
        <v>0</v>
      </c>
      <c r="P4830">
        <v>0.69989659235835244</v>
      </c>
      <c r="Q4830">
        <v>1.37085736408214</v>
      </c>
      <c r="R4830">
        <v>5.9271539097158223</v>
      </c>
      <c r="S4830">
        <v>0.19987640659085909</v>
      </c>
      <c r="T4830">
        <v>0.15311916714829241</v>
      </c>
      <c r="U4830">
        <v>4.2673938428959426</v>
      </c>
      <c r="V4830">
        <v>0.22267382584799689</v>
      </c>
      <c r="W4830">
        <v>11.777142184688509</v>
      </c>
      <c r="X4830">
        <v>0.36487533003519651</v>
      </c>
      <c r="Z4830" t="s">
        <v>392</v>
      </c>
      <c r="AA4830">
        <v>161</v>
      </c>
      <c r="AB4830" t="s">
        <v>5221</v>
      </c>
      <c r="AC4830" t="str">
        <f>HYPERLINK("plots/3FT6Y578R04_015_S31P_20251219032831_M5358ACSA301811_RBGEUFRF04/dpll_52094/txpa_53275.png","plot")</f>
        <v>plot</v>
      </c>
    </row>
    <row r="4831" spans="1:29" hidden="1" x14ac:dyDescent="0.35">
      <c r="A4831" t="s">
        <v>50</v>
      </c>
      <c r="B4831">
        <v>52094</v>
      </c>
      <c r="C4831" t="s">
        <v>53</v>
      </c>
      <c r="D4831">
        <v>53276</v>
      </c>
      <c r="E4831" t="s">
        <v>151</v>
      </c>
      <c r="F4831">
        <v>11782</v>
      </c>
      <c r="G4831">
        <v>0.84892433204666118</v>
      </c>
      <c r="H4831">
        <v>0</v>
      </c>
      <c r="I4831">
        <v>0</v>
      </c>
      <c r="J4831">
        <v>0.7477629501970352</v>
      </c>
      <c r="K4831">
        <v>0</v>
      </c>
      <c r="L4831">
        <v>0</v>
      </c>
      <c r="M4831">
        <v>0.55676545674292011</v>
      </c>
      <c r="N4831">
        <v>0</v>
      </c>
      <c r="O4831">
        <v>0</v>
      </c>
      <c r="P4831">
        <v>0.7206725215408698</v>
      </c>
      <c r="Q4831">
        <v>1.4016042628229171</v>
      </c>
      <c r="R4831">
        <v>5.8321461150336988</v>
      </c>
      <c r="S4831">
        <v>0.19429606196651339</v>
      </c>
      <c r="T4831">
        <v>0.1505754072058208</v>
      </c>
      <c r="U4831">
        <v>4.2673938428959426</v>
      </c>
      <c r="V4831">
        <v>0.22267382584799689</v>
      </c>
      <c r="W4831">
        <v>11.81334351638092</v>
      </c>
      <c r="X4831">
        <v>0.36764240550768601</v>
      </c>
      <c r="Z4831" t="s">
        <v>392</v>
      </c>
      <c r="AA4831">
        <v>161</v>
      </c>
      <c r="AB4831" t="s">
        <v>5222</v>
      </c>
      <c r="AC4831" t="str">
        <f>HYPERLINK("plots/3FT6Y578R04_015_S31P_20251219032831_M5358ACSA301811_RBGEUFRF04/dpll_52094/txpa_53276.png","plot")</f>
        <v>plot</v>
      </c>
    </row>
    <row r="4832" spans="1:29" hidden="1" x14ac:dyDescent="0.35">
      <c r="A4832" t="s">
        <v>50</v>
      </c>
      <c r="B4832">
        <v>52094</v>
      </c>
      <c r="C4832" t="s">
        <v>53</v>
      </c>
      <c r="D4832">
        <v>53277</v>
      </c>
      <c r="E4832" t="s">
        <v>152</v>
      </c>
      <c r="F4832">
        <v>11782</v>
      </c>
      <c r="G4832">
        <v>0.84527863715103713</v>
      </c>
      <c r="H4832">
        <v>0</v>
      </c>
      <c r="I4832">
        <v>0</v>
      </c>
      <c r="J4832">
        <v>0.74085026100822182</v>
      </c>
      <c r="K4832">
        <v>0</v>
      </c>
      <c r="L4832">
        <v>0</v>
      </c>
      <c r="M4832">
        <v>0.54899216974784626</v>
      </c>
      <c r="N4832">
        <v>0</v>
      </c>
      <c r="O4832">
        <v>0</v>
      </c>
      <c r="P4832">
        <v>0.71449597442391466</v>
      </c>
      <c r="Q4832">
        <v>1.3737733049605521</v>
      </c>
      <c r="R4832">
        <v>5.967476128205675</v>
      </c>
      <c r="S4832">
        <v>0.1933624043599341</v>
      </c>
      <c r="T4832">
        <v>0.14918930367306679</v>
      </c>
      <c r="U4832">
        <v>4.2673938428959426</v>
      </c>
      <c r="V4832">
        <v>0.22267382584799689</v>
      </c>
      <c r="W4832">
        <v>11.82990787132915</v>
      </c>
      <c r="X4832">
        <v>0.36189647320845902</v>
      </c>
      <c r="Z4832" t="s">
        <v>392</v>
      </c>
      <c r="AA4832">
        <v>161</v>
      </c>
      <c r="AB4832" t="s">
        <v>5223</v>
      </c>
      <c r="AC4832" t="str">
        <f>HYPERLINK("plots/3FT6Y578R04_015_S31P_20251219032831_M5358ACSA301811_RBGEUFRF04/dpll_52094/txpa_53277.png","plot")</f>
        <v>plot</v>
      </c>
    </row>
    <row r="4833" spans="1:29" hidden="1" x14ac:dyDescent="0.35">
      <c r="A4833" t="s">
        <v>50</v>
      </c>
      <c r="B4833">
        <v>52094</v>
      </c>
      <c r="C4833" t="s">
        <v>53</v>
      </c>
      <c r="D4833">
        <v>53278</v>
      </c>
      <c r="E4833" t="s">
        <v>153</v>
      </c>
      <c r="F4833">
        <v>11781</v>
      </c>
      <c r="G4833">
        <v>0.85364691247534341</v>
      </c>
      <c r="H4833">
        <v>0</v>
      </c>
      <c r="I4833">
        <v>0</v>
      </c>
      <c r="J4833">
        <v>0.74906385892737326</v>
      </c>
      <c r="K4833">
        <v>0</v>
      </c>
      <c r="L4833">
        <v>0</v>
      </c>
      <c r="M4833">
        <v>0.55770264816730541</v>
      </c>
      <c r="N4833">
        <v>0</v>
      </c>
      <c r="O4833">
        <v>0</v>
      </c>
      <c r="P4833">
        <v>0.72871305117868657</v>
      </c>
      <c r="Q4833">
        <v>1.4010692735831221</v>
      </c>
      <c r="R4833">
        <v>5.8625632304832083</v>
      </c>
      <c r="S4833">
        <v>0.19035355754997599</v>
      </c>
      <c r="T4833">
        <v>0.14848204588762509</v>
      </c>
      <c r="U4833">
        <v>4.2674026018164843</v>
      </c>
      <c r="V4833">
        <v>0.22268124725346999</v>
      </c>
      <c r="W4833">
        <v>11.84148989389695</v>
      </c>
      <c r="X4833">
        <v>0.36548114773274532</v>
      </c>
      <c r="Z4833" t="s">
        <v>392</v>
      </c>
      <c r="AA4833">
        <v>161</v>
      </c>
      <c r="AB4833" t="s">
        <v>5224</v>
      </c>
      <c r="AC4833" t="str">
        <f>HYPERLINK("plots/3FT6Y578R04_015_S31P_20251219032831_M5358ACSA301811_RBGEUFRF04/dpll_52094/txpa_53278.png","plot")</f>
        <v>plot</v>
      </c>
    </row>
    <row r="4834" spans="1:29" hidden="1" x14ac:dyDescent="0.35">
      <c r="A4834" t="s">
        <v>50</v>
      </c>
      <c r="B4834">
        <v>52094</v>
      </c>
      <c r="C4834" t="s">
        <v>53</v>
      </c>
      <c r="D4834">
        <v>53279</v>
      </c>
      <c r="E4834" t="s">
        <v>154</v>
      </c>
      <c r="F4834">
        <v>11781</v>
      </c>
      <c r="G4834">
        <v>0.85495181150239019</v>
      </c>
      <c r="H4834">
        <v>0</v>
      </c>
      <c r="I4834">
        <v>0</v>
      </c>
      <c r="J4834">
        <v>0.7488885958404311</v>
      </c>
      <c r="K4834">
        <v>0</v>
      </c>
      <c r="L4834">
        <v>0</v>
      </c>
      <c r="M4834">
        <v>0.55648603826211818</v>
      </c>
      <c r="N4834">
        <v>0</v>
      </c>
      <c r="O4834">
        <v>0</v>
      </c>
      <c r="P4834">
        <v>0.73094259999121858</v>
      </c>
      <c r="Q4834">
        <v>1.40325771671838</v>
      </c>
      <c r="R4834">
        <v>5.8290133324122744</v>
      </c>
      <c r="S4834">
        <v>0.18955883973791299</v>
      </c>
      <c r="T4834">
        <v>0.14823395367447401</v>
      </c>
      <c r="U4834">
        <v>4.2673648416942536</v>
      </c>
      <c r="V4834">
        <v>0.2226610238238293</v>
      </c>
      <c r="W4834">
        <v>11.817225976572439</v>
      </c>
      <c r="X4834">
        <v>0.36546012966992819</v>
      </c>
      <c r="Z4834" t="s">
        <v>392</v>
      </c>
      <c r="AA4834">
        <v>161</v>
      </c>
      <c r="AB4834" t="s">
        <v>5225</v>
      </c>
      <c r="AC4834" t="str">
        <f>HYPERLINK("plots/3FT6Y578R04_015_S31P_20251219032831_M5358ACSA301811_RBGEUFRF04/dpll_52094/txpa_53279.png","plot")</f>
        <v>plot</v>
      </c>
    </row>
    <row r="4835" spans="1:29" hidden="1" x14ac:dyDescent="0.35">
      <c r="A4835" t="s">
        <v>50</v>
      </c>
      <c r="B4835">
        <v>52094</v>
      </c>
      <c r="C4835" t="s">
        <v>53</v>
      </c>
      <c r="D4835">
        <v>53280</v>
      </c>
      <c r="E4835" t="s">
        <v>155</v>
      </c>
      <c r="F4835">
        <v>11781</v>
      </c>
      <c r="G4835">
        <v>0.85715667405661489</v>
      </c>
      <c r="H4835">
        <v>0</v>
      </c>
      <c r="I4835">
        <v>0</v>
      </c>
      <c r="J4835">
        <v>0.75687665625781775</v>
      </c>
      <c r="K4835">
        <v>0</v>
      </c>
      <c r="L4835">
        <v>0</v>
      </c>
      <c r="M4835">
        <v>0.56475876431356764</v>
      </c>
      <c r="N4835">
        <v>0</v>
      </c>
      <c r="O4835">
        <v>0</v>
      </c>
      <c r="P4835">
        <v>0.73471756387979792</v>
      </c>
      <c r="Q4835">
        <v>1.411400442505041</v>
      </c>
      <c r="R4835">
        <v>5.8006341879079368</v>
      </c>
      <c r="S4835">
        <v>0.18882379050507081</v>
      </c>
      <c r="T4835">
        <v>0.14777772813455081</v>
      </c>
      <c r="U4835">
        <v>4.2673606822850356</v>
      </c>
      <c r="V4835">
        <v>0.2226541824443867</v>
      </c>
      <c r="W4835">
        <v>11.82358894321365</v>
      </c>
      <c r="X4835">
        <v>0.36662400368459253</v>
      </c>
      <c r="Z4835" t="s">
        <v>392</v>
      </c>
      <c r="AA4835">
        <v>161</v>
      </c>
      <c r="AB4835" t="s">
        <v>5226</v>
      </c>
      <c r="AC4835" t="str">
        <f>HYPERLINK("plots/3FT6Y578R04_015_S31P_20251219032831_M5358ACSA301811_RBGEUFRF04/dpll_52094/txpa_53280.png","plot")</f>
        <v>plot</v>
      </c>
    </row>
    <row r="4836" spans="1:29" hidden="1" x14ac:dyDescent="0.35">
      <c r="A4836" t="s">
        <v>50</v>
      </c>
      <c r="B4836">
        <v>52094</v>
      </c>
      <c r="C4836" t="s">
        <v>53</v>
      </c>
      <c r="D4836">
        <v>53281</v>
      </c>
      <c r="E4836" t="s">
        <v>156</v>
      </c>
      <c r="F4836">
        <v>11782</v>
      </c>
      <c r="G4836">
        <v>0.85470876457446598</v>
      </c>
      <c r="H4836">
        <v>0</v>
      </c>
      <c r="I4836">
        <v>0</v>
      </c>
      <c r="J4836">
        <v>0.74937817886045655</v>
      </c>
      <c r="K4836">
        <v>0</v>
      </c>
      <c r="L4836">
        <v>0</v>
      </c>
      <c r="M4836">
        <v>0.55806206111713252</v>
      </c>
      <c r="N4836">
        <v>0</v>
      </c>
      <c r="O4836">
        <v>0</v>
      </c>
      <c r="P4836">
        <v>0.73052707224040991</v>
      </c>
      <c r="Q4836">
        <v>1.3987278662160869</v>
      </c>
      <c r="R4836">
        <v>5.8631408602122379</v>
      </c>
      <c r="S4836">
        <v>0.1891574191913179</v>
      </c>
      <c r="T4836">
        <v>0.1476247085710867</v>
      </c>
      <c r="U4836">
        <v>4.2673938428959426</v>
      </c>
      <c r="V4836">
        <v>0.22267382584799689</v>
      </c>
      <c r="W4836">
        <v>11.832063544389751</v>
      </c>
      <c r="X4836">
        <v>0.3644049273855382</v>
      </c>
      <c r="Z4836" t="s">
        <v>392</v>
      </c>
      <c r="AA4836">
        <v>161</v>
      </c>
      <c r="AB4836" t="s">
        <v>5227</v>
      </c>
      <c r="AC4836" t="str">
        <f>HYPERLINK("plots/3FT6Y578R04_015_S31P_20251219032831_M5358ACSA301811_RBGEUFRF04/dpll_52094/txpa_53281.png","plot")</f>
        <v>plot</v>
      </c>
    </row>
    <row r="4837" spans="1:29" hidden="1" x14ac:dyDescent="0.35">
      <c r="A4837" t="s">
        <v>50</v>
      </c>
      <c r="B4837">
        <v>52094</v>
      </c>
      <c r="C4837" t="s">
        <v>53</v>
      </c>
      <c r="D4837">
        <v>53282</v>
      </c>
      <c r="E4837" t="s">
        <v>157</v>
      </c>
      <c r="F4837">
        <v>11779</v>
      </c>
      <c r="G4837">
        <v>0.85067237882615743</v>
      </c>
      <c r="H4837">
        <v>0</v>
      </c>
      <c r="I4837">
        <v>0</v>
      </c>
      <c r="J4837">
        <v>0.74386641654516406</v>
      </c>
      <c r="K4837">
        <v>0</v>
      </c>
      <c r="L4837">
        <v>0</v>
      </c>
      <c r="M4837">
        <v>0.55292911450636228</v>
      </c>
      <c r="N4837">
        <v>0</v>
      </c>
      <c r="O4837">
        <v>0</v>
      </c>
      <c r="P4837">
        <v>0.72364349609775347</v>
      </c>
      <c r="Q4837">
        <v>1.3848391362391721</v>
      </c>
      <c r="R4837">
        <v>5.8925554150854991</v>
      </c>
      <c r="S4837">
        <v>0.1905584139283594</v>
      </c>
      <c r="T4837">
        <v>0.1482572926581765</v>
      </c>
      <c r="U4837">
        <v>4.267444914423975</v>
      </c>
      <c r="V4837">
        <v>0.2226766727826274</v>
      </c>
      <c r="W4837">
        <v>11.802280144324641</v>
      </c>
      <c r="X4837">
        <v>0.36250309622422211</v>
      </c>
      <c r="Z4837" t="s">
        <v>392</v>
      </c>
      <c r="AA4837">
        <v>161</v>
      </c>
      <c r="AB4837" t="s">
        <v>5228</v>
      </c>
      <c r="AC4837" t="str">
        <f>HYPERLINK("plots/3FT6Y578R04_015_S31P_20251219032831_M5358ACSA301811_RBGEUFRF04/dpll_52094/txpa_53282.png","plot")</f>
        <v>plot</v>
      </c>
    </row>
    <row r="4838" spans="1:29" hidden="1" x14ac:dyDescent="0.35">
      <c r="A4838" t="s">
        <v>50</v>
      </c>
      <c r="B4838">
        <v>52094</v>
      </c>
      <c r="C4838" t="s">
        <v>53</v>
      </c>
      <c r="D4838">
        <v>53283</v>
      </c>
      <c r="E4838" t="s">
        <v>158</v>
      </c>
      <c r="F4838">
        <v>11782</v>
      </c>
      <c r="G4838">
        <v>0.83858694824962132</v>
      </c>
      <c r="H4838">
        <v>0</v>
      </c>
      <c r="I4838">
        <v>0</v>
      </c>
      <c r="J4838">
        <v>0.73753030763608374</v>
      </c>
      <c r="K4838">
        <v>0</v>
      </c>
      <c r="L4838">
        <v>0</v>
      </c>
      <c r="M4838">
        <v>0.54415501653789455</v>
      </c>
      <c r="N4838">
        <v>0</v>
      </c>
      <c r="O4838">
        <v>0</v>
      </c>
      <c r="P4838">
        <v>0.70322806977461305</v>
      </c>
      <c r="Q4838">
        <v>1.4018430253830221</v>
      </c>
      <c r="R4838">
        <v>6.3455421320357974</v>
      </c>
      <c r="S4838">
        <v>0.20277454562715341</v>
      </c>
      <c r="T4838">
        <v>0.15506500381598121</v>
      </c>
      <c r="U4838">
        <v>4.2673938428959426</v>
      </c>
      <c r="V4838">
        <v>0.22267382584799689</v>
      </c>
      <c r="W4838">
        <v>12.327758427261919</v>
      </c>
      <c r="X4838">
        <v>0.3722377868531403</v>
      </c>
      <c r="Z4838" t="s">
        <v>392</v>
      </c>
      <c r="AA4838">
        <v>161</v>
      </c>
      <c r="AB4838" t="s">
        <v>5229</v>
      </c>
      <c r="AC4838" t="str">
        <f>HYPERLINK("plots/3FT6Y578R04_015_S31P_20251219032831_M5358ACSA301811_RBGEUFRF04/dpll_52094/txpa_53283.png","plot")</f>
        <v>plot</v>
      </c>
    </row>
    <row r="4839" spans="1:29" hidden="1" x14ac:dyDescent="0.35">
      <c r="A4839" t="s">
        <v>50</v>
      </c>
      <c r="B4839">
        <v>52094</v>
      </c>
      <c r="C4839" t="s">
        <v>53</v>
      </c>
      <c r="D4839">
        <v>53284</v>
      </c>
      <c r="E4839" t="s">
        <v>159</v>
      </c>
      <c r="F4839">
        <v>11782</v>
      </c>
      <c r="G4839">
        <v>0.85064687187130905</v>
      </c>
      <c r="H4839">
        <v>0</v>
      </c>
      <c r="I4839">
        <v>0</v>
      </c>
      <c r="J4839">
        <v>0.74895261104018696</v>
      </c>
      <c r="K4839">
        <v>0</v>
      </c>
      <c r="L4839">
        <v>0</v>
      </c>
      <c r="M4839">
        <v>0.55795167294263459</v>
      </c>
      <c r="N4839">
        <v>0</v>
      </c>
      <c r="O4839">
        <v>0</v>
      </c>
      <c r="P4839">
        <v>0.72360010062444324</v>
      </c>
      <c r="Q4839">
        <v>1.4329609157896801</v>
      </c>
      <c r="R4839">
        <v>6.249410355849438</v>
      </c>
      <c r="S4839">
        <v>0.19719900344910429</v>
      </c>
      <c r="T4839">
        <v>0.15257782192112199</v>
      </c>
      <c r="U4839">
        <v>4.2673938428959426</v>
      </c>
      <c r="V4839">
        <v>0.22267382584799689</v>
      </c>
      <c r="W4839">
        <v>12.36441894500085</v>
      </c>
      <c r="X4839">
        <v>0.37510616915289158</v>
      </c>
      <c r="Z4839" t="s">
        <v>392</v>
      </c>
      <c r="AA4839">
        <v>161</v>
      </c>
      <c r="AB4839" t="s">
        <v>5230</v>
      </c>
      <c r="AC4839" t="str">
        <f>HYPERLINK("plots/3FT6Y578R04_015_S31P_20251219032831_M5358ACSA301811_RBGEUFRF04/dpll_52094/txpa_53284.png","plot")</f>
        <v>plot</v>
      </c>
    </row>
    <row r="4840" spans="1:29" hidden="1" x14ac:dyDescent="0.35">
      <c r="A4840" t="s">
        <v>50</v>
      </c>
      <c r="B4840">
        <v>52094</v>
      </c>
      <c r="C4840" t="s">
        <v>53</v>
      </c>
      <c r="D4840">
        <v>53285</v>
      </c>
      <c r="E4840" t="s">
        <v>160</v>
      </c>
      <c r="F4840">
        <v>11782</v>
      </c>
      <c r="G4840">
        <v>0.847260670342046</v>
      </c>
      <c r="H4840">
        <v>0</v>
      </c>
      <c r="I4840">
        <v>0</v>
      </c>
      <c r="J4840">
        <v>0.74229702231509365</v>
      </c>
      <c r="K4840">
        <v>0</v>
      </c>
      <c r="L4840">
        <v>0</v>
      </c>
      <c r="M4840">
        <v>0.55041565336429499</v>
      </c>
      <c r="N4840">
        <v>0</v>
      </c>
      <c r="O4840">
        <v>0</v>
      </c>
      <c r="P4840">
        <v>0.71785064350845318</v>
      </c>
      <c r="Q4840">
        <v>1.4052770420235019</v>
      </c>
      <c r="R4840">
        <v>6.3844218952427356</v>
      </c>
      <c r="S4840">
        <v>0.19617116717998179</v>
      </c>
      <c r="T4840">
        <v>0.15111068348089471</v>
      </c>
      <c r="U4840">
        <v>4.2673938428959426</v>
      </c>
      <c r="V4840">
        <v>0.22267382584799689</v>
      </c>
      <c r="W4840">
        <v>12.381292491936851</v>
      </c>
      <c r="X4840">
        <v>0.36932956559567659</v>
      </c>
      <c r="Z4840" t="s">
        <v>392</v>
      </c>
      <c r="AA4840">
        <v>161</v>
      </c>
      <c r="AB4840" t="s">
        <v>5231</v>
      </c>
      <c r="AC4840" t="str">
        <f>HYPERLINK("plots/3FT6Y578R04_015_S31P_20251219032831_M5358ACSA301811_RBGEUFRF04/dpll_52094/txpa_53285.png","plot")</f>
        <v>plot</v>
      </c>
    </row>
    <row r="4841" spans="1:29" hidden="1" x14ac:dyDescent="0.35">
      <c r="A4841" t="s">
        <v>50</v>
      </c>
      <c r="B4841">
        <v>52094</v>
      </c>
      <c r="C4841" t="s">
        <v>53</v>
      </c>
      <c r="D4841">
        <v>53286</v>
      </c>
      <c r="E4841" t="s">
        <v>161</v>
      </c>
      <c r="F4841">
        <v>11781</v>
      </c>
      <c r="G4841">
        <v>0.85531951521827354</v>
      </c>
      <c r="H4841">
        <v>0</v>
      </c>
      <c r="I4841">
        <v>0</v>
      </c>
      <c r="J4841">
        <v>0.75000159286580981</v>
      </c>
      <c r="K4841">
        <v>0</v>
      </c>
      <c r="L4841">
        <v>0</v>
      </c>
      <c r="M4841">
        <v>0.55870381688823201</v>
      </c>
      <c r="N4841">
        <v>0</v>
      </c>
      <c r="O4841">
        <v>0</v>
      </c>
      <c r="P4841">
        <v>0.73157147311322246</v>
      </c>
      <c r="Q4841">
        <v>1.432557116116749</v>
      </c>
      <c r="R4841">
        <v>6.2798143196190672</v>
      </c>
      <c r="S4841">
        <v>0.1932249090684551</v>
      </c>
      <c r="T4841">
        <v>0.15049709493663979</v>
      </c>
      <c r="U4841">
        <v>4.2674026018164843</v>
      </c>
      <c r="V4841">
        <v>0.22268124725346999</v>
      </c>
      <c r="W4841">
        <v>12.393112284186399</v>
      </c>
      <c r="X4841">
        <v>0.37296425453042958</v>
      </c>
      <c r="Z4841" t="s">
        <v>392</v>
      </c>
      <c r="AA4841">
        <v>161</v>
      </c>
      <c r="AB4841" t="s">
        <v>5232</v>
      </c>
      <c r="AC4841" t="str">
        <f>HYPERLINK("plots/3FT6Y578R04_015_S31P_20251219032831_M5358ACSA301811_RBGEUFRF04/dpll_52094/txpa_53286.png","plot")</f>
        <v>plot</v>
      </c>
    </row>
    <row r="4842" spans="1:29" hidden="1" x14ac:dyDescent="0.35">
      <c r="A4842" t="s">
        <v>50</v>
      </c>
      <c r="B4842">
        <v>52094</v>
      </c>
      <c r="C4842" t="s">
        <v>53</v>
      </c>
      <c r="D4842">
        <v>53287</v>
      </c>
      <c r="E4842" t="s">
        <v>162</v>
      </c>
      <c r="F4842">
        <v>11781</v>
      </c>
      <c r="G4842">
        <v>0.85651381147717909</v>
      </c>
      <c r="H4842">
        <v>0</v>
      </c>
      <c r="I4842">
        <v>0</v>
      </c>
      <c r="J4842">
        <v>0.74993393031914013</v>
      </c>
      <c r="K4842">
        <v>0</v>
      </c>
      <c r="L4842">
        <v>0</v>
      </c>
      <c r="M4842">
        <v>0.55755164680632852</v>
      </c>
      <c r="N4842">
        <v>0</v>
      </c>
      <c r="O4842">
        <v>0</v>
      </c>
      <c r="P4842">
        <v>0.73361590925116471</v>
      </c>
      <c r="Q4842">
        <v>1.435045312975707</v>
      </c>
      <c r="R4842">
        <v>6.2440863552652548</v>
      </c>
      <c r="S4842">
        <v>0.19253564977669621</v>
      </c>
      <c r="T4842">
        <v>0.15034642917230129</v>
      </c>
      <c r="U4842">
        <v>4.2673648416942536</v>
      </c>
      <c r="V4842">
        <v>0.2226610238238293</v>
      </c>
      <c r="W4842">
        <v>12.367948270095919</v>
      </c>
      <c r="X4842">
        <v>0.37305721675367531</v>
      </c>
      <c r="Z4842" t="s">
        <v>392</v>
      </c>
      <c r="AA4842">
        <v>161</v>
      </c>
      <c r="AB4842" t="s">
        <v>5233</v>
      </c>
      <c r="AC4842" t="str">
        <f>HYPERLINK("plots/3FT6Y578R04_015_S31P_20251219032831_M5358ACSA301811_RBGEUFRF04/dpll_52094/txpa_53287.png","plot")</f>
        <v>plot</v>
      </c>
    </row>
    <row r="4843" spans="1:29" hidden="1" x14ac:dyDescent="0.35">
      <c r="A4843" t="s">
        <v>50</v>
      </c>
      <c r="B4843">
        <v>52094</v>
      </c>
      <c r="C4843" t="s">
        <v>53</v>
      </c>
      <c r="D4843">
        <v>53288</v>
      </c>
      <c r="E4843" t="s">
        <v>163</v>
      </c>
      <c r="F4843">
        <v>11781</v>
      </c>
      <c r="G4843">
        <v>0.85872826654098533</v>
      </c>
      <c r="H4843">
        <v>0</v>
      </c>
      <c r="I4843">
        <v>0</v>
      </c>
      <c r="J4843">
        <v>0.75787779038531955</v>
      </c>
      <c r="K4843">
        <v>0</v>
      </c>
      <c r="L4843">
        <v>0</v>
      </c>
      <c r="M4843">
        <v>0.56583409865196543</v>
      </c>
      <c r="N4843">
        <v>0</v>
      </c>
      <c r="O4843">
        <v>0</v>
      </c>
      <c r="P4843">
        <v>0.73741423575648557</v>
      </c>
      <c r="Q4843">
        <v>1.4431269726915501</v>
      </c>
      <c r="R4843">
        <v>6.2161745496653742</v>
      </c>
      <c r="S4843">
        <v>0.19173296963048569</v>
      </c>
      <c r="T4843">
        <v>0.14976022640576819</v>
      </c>
      <c r="U4843">
        <v>4.2673606822850356</v>
      </c>
      <c r="V4843">
        <v>0.2226541824443867</v>
      </c>
      <c r="W4843">
        <v>12.37451785247433</v>
      </c>
      <c r="X4843">
        <v>0.37417920055475912</v>
      </c>
      <c r="Z4843" t="s">
        <v>392</v>
      </c>
      <c r="AA4843">
        <v>161</v>
      </c>
      <c r="AB4843" t="s">
        <v>5234</v>
      </c>
      <c r="AC4843" t="str">
        <f>HYPERLINK("plots/3FT6Y578R04_015_S31P_20251219032831_M5358ACSA301811_RBGEUFRF04/dpll_52094/txpa_53288.png","plot")</f>
        <v>plot</v>
      </c>
    </row>
    <row r="4844" spans="1:29" hidden="1" x14ac:dyDescent="0.35">
      <c r="A4844" t="s">
        <v>50</v>
      </c>
      <c r="B4844">
        <v>52094</v>
      </c>
      <c r="C4844" t="s">
        <v>53</v>
      </c>
      <c r="D4844">
        <v>53289</v>
      </c>
      <c r="E4844" t="s">
        <v>164</v>
      </c>
      <c r="F4844">
        <v>11782</v>
      </c>
      <c r="G4844">
        <v>0.85640013607574528</v>
      </c>
      <c r="H4844">
        <v>0</v>
      </c>
      <c r="I4844">
        <v>0</v>
      </c>
      <c r="J4844">
        <v>0.75060943524805446</v>
      </c>
      <c r="K4844">
        <v>0</v>
      </c>
      <c r="L4844">
        <v>0</v>
      </c>
      <c r="M4844">
        <v>0.55931658144234309</v>
      </c>
      <c r="N4844">
        <v>0</v>
      </c>
      <c r="O4844">
        <v>0</v>
      </c>
      <c r="P4844">
        <v>0.73342119307055498</v>
      </c>
      <c r="Q4844">
        <v>1.430575405917804</v>
      </c>
      <c r="R4844">
        <v>6.2784742780411316</v>
      </c>
      <c r="S4844">
        <v>0.19204259978079941</v>
      </c>
      <c r="T4844">
        <v>0.14960993976996501</v>
      </c>
      <c r="U4844">
        <v>4.2673938428959426</v>
      </c>
      <c r="V4844">
        <v>0.22267382584799689</v>
      </c>
      <c r="W4844">
        <v>12.383302957053131</v>
      </c>
      <c r="X4844">
        <v>0.37196596004696769</v>
      </c>
      <c r="Z4844" t="s">
        <v>392</v>
      </c>
      <c r="AA4844">
        <v>161</v>
      </c>
      <c r="AB4844" t="s">
        <v>5235</v>
      </c>
      <c r="AC4844" t="str">
        <f>HYPERLINK("plots/3FT6Y578R04_015_S31P_20251219032831_M5358ACSA301811_RBGEUFRF04/dpll_52094/txpa_53289.png","plot")</f>
        <v>plot</v>
      </c>
    </row>
    <row r="4845" spans="1:29" hidden="1" x14ac:dyDescent="0.35">
      <c r="A4845" t="s">
        <v>50</v>
      </c>
      <c r="B4845">
        <v>52094</v>
      </c>
      <c r="C4845" t="s">
        <v>53</v>
      </c>
      <c r="D4845">
        <v>53290</v>
      </c>
      <c r="E4845" t="s">
        <v>165</v>
      </c>
      <c r="F4845">
        <v>11778</v>
      </c>
      <c r="G4845">
        <v>0.85237828694702</v>
      </c>
      <c r="H4845">
        <v>0</v>
      </c>
      <c r="I4845">
        <v>0</v>
      </c>
      <c r="J4845">
        <v>0.74452434444472659</v>
      </c>
      <c r="K4845">
        <v>0</v>
      </c>
      <c r="L4845">
        <v>0</v>
      </c>
      <c r="M4845">
        <v>0.55362974850782642</v>
      </c>
      <c r="N4845">
        <v>0</v>
      </c>
      <c r="O4845">
        <v>0</v>
      </c>
      <c r="P4845">
        <v>0.72654874405873637</v>
      </c>
      <c r="Q4845">
        <v>1.414925095759864</v>
      </c>
      <c r="R4845">
        <v>6.3154008588567727</v>
      </c>
      <c r="S4845">
        <v>0.1932747007428311</v>
      </c>
      <c r="T4845">
        <v>0.1502890982009758</v>
      </c>
      <c r="U4845">
        <v>4.2674730184241803</v>
      </c>
      <c r="V4845">
        <v>0.22266523452013909</v>
      </c>
      <c r="W4845">
        <v>12.353555528103239</v>
      </c>
      <c r="X4845">
        <v>0.36961831747760471</v>
      </c>
      <c r="Z4845" t="s">
        <v>392</v>
      </c>
      <c r="AA4845">
        <v>161</v>
      </c>
      <c r="AB4845" t="s">
        <v>5236</v>
      </c>
      <c r="AC4845" t="str">
        <f>HYPERLINK("plots/3FT6Y578R04_015_S31P_20251219032831_M5358ACSA301811_RBGEUFRF04/dpll_52094/txpa_53290.png","plot")</f>
        <v>plot</v>
      </c>
    </row>
    <row r="4846" spans="1:29" hidden="1" x14ac:dyDescent="0.35">
      <c r="A4846" t="s">
        <v>50</v>
      </c>
      <c r="B4846">
        <v>52094</v>
      </c>
      <c r="C4846" t="s">
        <v>53</v>
      </c>
      <c r="D4846">
        <v>54146</v>
      </c>
      <c r="E4846" t="s">
        <v>166</v>
      </c>
      <c r="F4846">
        <v>11782</v>
      </c>
      <c r="G4846">
        <v>-9.2698391292180948E-3</v>
      </c>
      <c r="H4846">
        <v>0.31436322671870259</v>
      </c>
      <c r="I4846">
        <v>0.31498449791775152</v>
      </c>
      <c r="J4846">
        <v>-1.060745479885424E-2</v>
      </c>
      <c r="K4846">
        <v>0.2496106570351562</v>
      </c>
      <c r="L4846">
        <v>0.24985706439649399</v>
      </c>
      <c r="M4846">
        <v>-7.0471610794086816E-3</v>
      </c>
      <c r="N4846">
        <v>0.25129451910195699</v>
      </c>
      <c r="O4846">
        <v>0.25154258871607538</v>
      </c>
      <c r="P4846">
        <v>8.5929917481582891E-5</v>
      </c>
      <c r="Q4846">
        <v>-0.19112278552841649</v>
      </c>
      <c r="R4846">
        <v>-10.535653728466711</v>
      </c>
      <c r="S4846">
        <v>4.5906306140548283</v>
      </c>
      <c r="T4846">
        <v>3.5042886817119419</v>
      </c>
      <c r="U4846">
        <v>4.2673938428959426</v>
      </c>
      <c r="V4846">
        <v>0.22267382584799689</v>
      </c>
      <c r="W4846">
        <v>-11.3512499266678</v>
      </c>
      <c r="X4846">
        <v>4.5910226992179028</v>
      </c>
      <c r="Z4846" t="s">
        <v>392</v>
      </c>
      <c r="AA4846">
        <v>161</v>
      </c>
      <c r="AB4846" t="s">
        <v>5237</v>
      </c>
      <c r="AC4846" t="str">
        <f>HYPERLINK("plots/3FT6Y578R04_015_S31P_20251219032831_M5358ACSA301811_RBGEUFRF04/dpll_52094/txpa_54146.png","plot")</f>
        <v>plot</v>
      </c>
    </row>
    <row r="4847" spans="1:29" hidden="1" x14ac:dyDescent="0.35">
      <c r="A4847" t="s">
        <v>50</v>
      </c>
      <c r="B4847">
        <v>52094</v>
      </c>
      <c r="C4847" t="s">
        <v>53</v>
      </c>
      <c r="D4847">
        <v>54147</v>
      </c>
      <c r="E4847" t="s">
        <v>167</v>
      </c>
      <c r="F4847">
        <v>11782</v>
      </c>
      <c r="G4847">
        <v>0.2699717670751921</v>
      </c>
      <c r="H4847">
        <v>7.1153684533158206E-196</v>
      </c>
      <c r="I4847">
        <v>7.3100137909445217E-196</v>
      </c>
      <c r="J4847">
        <v>0.24369305366570909</v>
      </c>
      <c r="K4847">
        <v>7.4383706564457936E-159</v>
      </c>
      <c r="L4847">
        <v>7.6341172526680516E-159</v>
      </c>
      <c r="M4847">
        <v>0.16461745954592921</v>
      </c>
      <c r="N4847">
        <v>2.8439398397037539E-157</v>
      </c>
      <c r="O4847">
        <v>2.9187803618012209E-157</v>
      </c>
      <c r="P4847">
        <v>7.288475501770178E-2</v>
      </c>
      <c r="Q4847">
        <v>1.3897067573395609</v>
      </c>
      <c r="R4847">
        <v>-27.960410346749761</v>
      </c>
      <c r="S4847">
        <v>1.1036272647730681</v>
      </c>
      <c r="T4847">
        <v>0.88979660626207868</v>
      </c>
      <c r="U4847">
        <v>4.2673938428959426</v>
      </c>
      <c r="V4847">
        <v>0.22267382584799689</v>
      </c>
      <c r="W4847">
        <v>-22.029984287048041</v>
      </c>
      <c r="X4847">
        <v>1.1462358594609121</v>
      </c>
      <c r="Z4847" t="s">
        <v>392</v>
      </c>
      <c r="AA4847">
        <v>161</v>
      </c>
      <c r="AB4847" t="s">
        <v>5238</v>
      </c>
      <c r="AC4847" t="str">
        <f>HYPERLINK("plots/3FT6Y578R04_015_S31P_20251219032831_M5358ACSA301811_RBGEUFRF04/dpll_52094/txpa_54147.png","plot")</f>
        <v>plot</v>
      </c>
    </row>
    <row r="4848" spans="1:29" hidden="1" x14ac:dyDescent="0.35">
      <c r="A4848" t="s">
        <v>50</v>
      </c>
      <c r="B4848">
        <v>52094</v>
      </c>
      <c r="C4848" t="s">
        <v>53</v>
      </c>
      <c r="D4848">
        <v>54148</v>
      </c>
      <c r="E4848" t="s">
        <v>168</v>
      </c>
      <c r="F4848">
        <v>11782</v>
      </c>
      <c r="G4848">
        <v>0.29061396844530868</v>
      </c>
      <c r="H4848">
        <v>4.9194485648356241E-228</v>
      </c>
      <c r="I4848">
        <v>5.1799801087677283E-228</v>
      </c>
      <c r="J4848">
        <v>0.26285940769000782</v>
      </c>
      <c r="K4848">
        <v>1.9885652565179281E-185</v>
      </c>
      <c r="L4848">
        <v>2.0960552703837619E-185</v>
      </c>
      <c r="M4848">
        <v>0.17788906920592151</v>
      </c>
      <c r="N4848">
        <v>1.67823171167777E-183</v>
      </c>
      <c r="O4848">
        <v>1.7689469393360281E-183</v>
      </c>
      <c r="P4848">
        <v>8.4456478655530867E-2</v>
      </c>
      <c r="Q4848">
        <v>1.4990993305162199</v>
      </c>
      <c r="R4848">
        <v>-28.28183444101786</v>
      </c>
      <c r="S4848">
        <v>1.099016371435326</v>
      </c>
      <c r="T4848">
        <v>0.87751154450672053</v>
      </c>
      <c r="U4848">
        <v>4.2673938428959426</v>
      </c>
      <c r="V4848">
        <v>0.22267382584799689</v>
      </c>
      <c r="W4848">
        <v>-21.884587188083511</v>
      </c>
      <c r="X4848">
        <v>1.148637778968419</v>
      </c>
      <c r="Z4848" t="s">
        <v>392</v>
      </c>
      <c r="AA4848">
        <v>161</v>
      </c>
      <c r="AB4848" t="s">
        <v>5239</v>
      </c>
      <c r="AC4848" t="str">
        <f>HYPERLINK("plots/3FT6Y578R04_015_S31P_20251219032831_M5358ACSA301811_RBGEUFRF04/dpll_52094/txpa_54148.png","plot")</f>
        <v>plot</v>
      </c>
    </row>
    <row r="4849" spans="1:29" hidden="1" x14ac:dyDescent="0.35">
      <c r="A4849" t="s">
        <v>50</v>
      </c>
      <c r="B4849">
        <v>52094</v>
      </c>
      <c r="C4849" t="s">
        <v>53</v>
      </c>
      <c r="D4849">
        <v>54149</v>
      </c>
      <c r="E4849" t="s">
        <v>169</v>
      </c>
      <c r="F4849">
        <v>11782</v>
      </c>
      <c r="G4849">
        <v>0.28968212495284712</v>
      </c>
      <c r="H4849">
        <v>1.5983953122449649E-226</v>
      </c>
      <c r="I4849">
        <v>1.6812996334194969E-226</v>
      </c>
      <c r="J4849">
        <v>0.26054320227974209</v>
      </c>
      <c r="K4849">
        <v>4.2801298055789477E-182</v>
      </c>
      <c r="L4849">
        <v>4.4881609336681009E-182</v>
      </c>
      <c r="M4849">
        <v>0.17624186812828771</v>
      </c>
      <c r="N4849">
        <v>3.5004444095536119E-180</v>
      </c>
      <c r="O4849">
        <v>3.6705797634822779E-180</v>
      </c>
      <c r="P4849">
        <v>8.3915733517196903E-2</v>
      </c>
      <c r="Q4849">
        <v>1.4816855577845871</v>
      </c>
      <c r="R4849">
        <v>-28.234732905841</v>
      </c>
      <c r="S4849">
        <v>1.0900660206861019</v>
      </c>
      <c r="T4849">
        <v>0.8689081836564827</v>
      </c>
      <c r="U4849">
        <v>4.2673938428959426</v>
      </c>
      <c r="V4849">
        <v>0.22267382584799689</v>
      </c>
      <c r="W4849">
        <v>-21.911797079443222</v>
      </c>
      <c r="X4849">
        <v>1.13894701617962</v>
      </c>
      <c r="Z4849" t="s">
        <v>392</v>
      </c>
      <c r="AA4849">
        <v>161</v>
      </c>
      <c r="AB4849" t="s">
        <v>5240</v>
      </c>
      <c r="AC4849" t="str">
        <f>HYPERLINK("plots/3FT6Y578R04_015_S31P_20251219032831_M5358ACSA301811_RBGEUFRF04/dpll_52094/txpa_54149.png","plot")</f>
        <v>plot</v>
      </c>
    </row>
    <row r="4850" spans="1:29" hidden="1" x14ac:dyDescent="0.35">
      <c r="A4850" t="s">
        <v>50</v>
      </c>
      <c r="B4850">
        <v>52094</v>
      </c>
      <c r="C4850" t="s">
        <v>53</v>
      </c>
      <c r="D4850">
        <v>54150</v>
      </c>
      <c r="E4850" t="s">
        <v>170</v>
      </c>
      <c r="F4850">
        <v>11782</v>
      </c>
      <c r="G4850">
        <v>0.28576738535647228</v>
      </c>
      <c r="H4850">
        <v>3.106003608004881E-220</v>
      </c>
      <c r="I4850">
        <v>3.2569675889523779E-220</v>
      </c>
      <c r="J4850">
        <v>0.26353840413286839</v>
      </c>
      <c r="K4850">
        <v>2.0657989527647232E-186</v>
      </c>
      <c r="L4850">
        <v>2.179729592199198E-186</v>
      </c>
      <c r="M4850">
        <v>0.17811528265952159</v>
      </c>
      <c r="N4850">
        <v>3.7295679546873019E-184</v>
      </c>
      <c r="O4850">
        <v>3.9352569261736992E-184</v>
      </c>
      <c r="P4850">
        <v>8.1662998533474529E-2</v>
      </c>
      <c r="Q4850">
        <v>1.4676309801922249</v>
      </c>
      <c r="R4850">
        <v>-28.05817049491862</v>
      </c>
      <c r="S4850">
        <v>1.0958623108129371</v>
      </c>
      <c r="T4850">
        <v>0.87097119519935884</v>
      </c>
      <c r="U4850">
        <v>4.2673938428959426</v>
      </c>
      <c r="V4850">
        <v>0.22267382584799689</v>
      </c>
      <c r="W4850">
        <v>-21.79521108640299</v>
      </c>
      <c r="X4850">
        <v>1.143597982270746</v>
      </c>
      <c r="Z4850" t="s">
        <v>392</v>
      </c>
      <c r="AA4850">
        <v>161</v>
      </c>
      <c r="AB4850" t="s">
        <v>5241</v>
      </c>
      <c r="AC4850" t="str">
        <f>HYPERLINK("plots/3FT6Y578R04_015_S31P_20251219032831_M5358ACSA301811_RBGEUFRF04/dpll_52094/txpa_54150.png","plot")</f>
        <v>plot</v>
      </c>
    </row>
    <row r="4851" spans="1:29" hidden="1" x14ac:dyDescent="0.35">
      <c r="A4851" t="s">
        <v>50</v>
      </c>
      <c r="B4851">
        <v>52094</v>
      </c>
      <c r="C4851" t="s">
        <v>53</v>
      </c>
      <c r="D4851">
        <v>54151</v>
      </c>
      <c r="E4851" t="s">
        <v>171</v>
      </c>
      <c r="F4851">
        <v>11782</v>
      </c>
      <c r="G4851">
        <v>0.28038429306515888</v>
      </c>
      <c r="H4851">
        <v>9.4514430549740521E-212</v>
      </c>
      <c r="I4851">
        <v>9.7993489342982505E-212</v>
      </c>
      <c r="J4851">
        <v>0.25422535117657569</v>
      </c>
      <c r="K4851">
        <v>3.5612514698797258E-173</v>
      </c>
      <c r="L4851">
        <v>3.7075040969795092E-173</v>
      </c>
      <c r="M4851">
        <v>0.17184950693490991</v>
      </c>
      <c r="N4851">
        <v>1.446267741565022E-171</v>
      </c>
      <c r="O4851">
        <v>1.5056627206847351E-171</v>
      </c>
      <c r="P4851">
        <v>7.8615351797648905E-2</v>
      </c>
      <c r="Q4851">
        <v>1.42236788138649</v>
      </c>
      <c r="R4851">
        <v>-27.933059427394241</v>
      </c>
      <c r="S4851">
        <v>1.084250126573314</v>
      </c>
      <c r="T4851">
        <v>0.86435513085842974</v>
      </c>
      <c r="U4851">
        <v>4.2673938428959426</v>
      </c>
      <c r="V4851">
        <v>0.22267382584799689</v>
      </c>
      <c r="W4851">
        <v>-21.863255488032589</v>
      </c>
      <c r="X4851">
        <v>1.1296071347264649</v>
      </c>
      <c r="Z4851" t="s">
        <v>392</v>
      </c>
      <c r="AA4851">
        <v>161</v>
      </c>
      <c r="AB4851" t="s">
        <v>5242</v>
      </c>
      <c r="AC4851" t="str">
        <f>HYPERLINK("plots/3FT6Y578R04_015_S31P_20251219032831_M5358ACSA301811_RBGEUFRF04/dpll_52094/txpa_54151.png","plot")</f>
        <v>plot</v>
      </c>
    </row>
    <row r="4852" spans="1:29" hidden="1" x14ac:dyDescent="0.35">
      <c r="A4852" t="s">
        <v>50</v>
      </c>
      <c r="B4852">
        <v>52094</v>
      </c>
      <c r="C4852" t="s">
        <v>53</v>
      </c>
      <c r="D4852">
        <v>54152</v>
      </c>
      <c r="E4852" t="s">
        <v>172</v>
      </c>
      <c r="F4852">
        <v>11782</v>
      </c>
      <c r="G4852">
        <v>0.27469042950667838</v>
      </c>
      <c r="H4852">
        <v>5.5432994789539246E-203</v>
      </c>
      <c r="I4852">
        <v>5.7181136029087275E-203</v>
      </c>
      <c r="J4852">
        <v>0.2532620007455354</v>
      </c>
      <c r="K4852">
        <v>7.7603447638373549E-172</v>
      </c>
      <c r="L4852">
        <v>8.0377830342503338E-172</v>
      </c>
      <c r="M4852">
        <v>0.1706391553233686</v>
      </c>
      <c r="N4852">
        <v>3.8757492395257543E-169</v>
      </c>
      <c r="O4852">
        <v>4.0143102440031812E-169</v>
      </c>
      <c r="P4852">
        <v>7.545483206256344E-2</v>
      </c>
      <c r="Q4852">
        <v>1.396432766537997</v>
      </c>
      <c r="R4852">
        <v>-27.857489335995702</v>
      </c>
      <c r="S4852">
        <v>1.0884069559204621</v>
      </c>
      <c r="T4852">
        <v>0.87014203037900173</v>
      </c>
      <c r="U4852">
        <v>4.2673938428959426</v>
      </c>
      <c r="V4852">
        <v>0.22267382584799689</v>
      </c>
      <c r="W4852">
        <v>-21.898360746053299</v>
      </c>
      <c r="X4852">
        <v>1.1319980358360411</v>
      </c>
      <c r="Z4852" t="s">
        <v>392</v>
      </c>
      <c r="AA4852">
        <v>161</v>
      </c>
      <c r="AB4852" t="s">
        <v>5243</v>
      </c>
      <c r="AC4852" t="str">
        <f>HYPERLINK("plots/3FT6Y578R04_015_S31P_20251219032831_M5358ACSA301811_RBGEUFRF04/dpll_52094/txpa_54152.png","plot")</f>
        <v>plot</v>
      </c>
    </row>
    <row r="4853" spans="1:29" hidden="1" x14ac:dyDescent="0.35">
      <c r="A4853" t="s">
        <v>50</v>
      </c>
      <c r="B4853">
        <v>52094</v>
      </c>
      <c r="C4853" t="s">
        <v>53</v>
      </c>
      <c r="D4853">
        <v>54153</v>
      </c>
      <c r="E4853" t="s">
        <v>173</v>
      </c>
      <c r="F4853">
        <v>11782</v>
      </c>
      <c r="G4853">
        <v>0.28430036452201901</v>
      </c>
      <c r="H4853">
        <v>6.6505785162059498E-218</v>
      </c>
      <c r="I4853">
        <v>6.9522542427142612E-218</v>
      </c>
      <c r="J4853">
        <v>0.25452011559625137</v>
      </c>
      <c r="K4853">
        <v>1.3834570731191461E-173</v>
      </c>
      <c r="L4853">
        <v>1.441752797680178E-173</v>
      </c>
      <c r="M4853">
        <v>0.1721921102249519</v>
      </c>
      <c r="N4853">
        <v>5.7862193668708638E-172</v>
      </c>
      <c r="O4853">
        <v>6.0300374491336646E-172</v>
      </c>
      <c r="P4853">
        <v>8.0826697267352893E-2</v>
      </c>
      <c r="Q4853">
        <v>1.4744093444784041</v>
      </c>
      <c r="R4853">
        <v>-28.22378614702631</v>
      </c>
      <c r="S4853">
        <v>1.1071082799839931</v>
      </c>
      <c r="T4853">
        <v>0.88408090322273147</v>
      </c>
      <c r="U4853">
        <v>4.2673938428959426</v>
      </c>
      <c r="V4853">
        <v>0.22267382584799689</v>
      </c>
      <c r="W4853">
        <v>-21.931900788490921</v>
      </c>
      <c r="X4853">
        <v>1.154808120464494</v>
      </c>
      <c r="Z4853" t="s">
        <v>392</v>
      </c>
      <c r="AA4853">
        <v>161</v>
      </c>
      <c r="AB4853" t="s">
        <v>5244</v>
      </c>
      <c r="AC4853" t="str">
        <f>HYPERLINK("plots/3FT6Y578R04_015_S31P_20251219032831_M5358ACSA301811_RBGEUFRF04/dpll_52094/txpa_54153.png","plot")</f>
        <v>plot</v>
      </c>
    </row>
    <row r="4854" spans="1:29" hidden="1" x14ac:dyDescent="0.35">
      <c r="A4854" t="s">
        <v>50</v>
      </c>
      <c r="B4854">
        <v>52094</v>
      </c>
      <c r="C4854" t="s">
        <v>53</v>
      </c>
      <c r="D4854">
        <v>54154</v>
      </c>
      <c r="E4854" t="s">
        <v>174</v>
      </c>
      <c r="F4854">
        <v>11782</v>
      </c>
      <c r="G4854">
        <v>0.25817758679850689</v>
      </c>
      <c r="H4854">
        <v>1.001585206249536E-178</v>
      </c>
      <c r="I4854">
        <v>1.017642684506041E-178</v>
      </c>
      <c r="J4854">
        <v>0.2317268413290054</v>
      </c>
      <c r="K4854">
        <v>2.0788489994946571E-143</v>
      </c>
      <c r="L4854">
        <v>2.114295772806001E-143</v>
      </c>
      <c r="M4854">
        <v>0.15658792058727389</v>
      </c>
      <c r="N4854">
        <v>2.8401250309543901E-142</v>
      </c>
      <c r="O4854">
        <v>2.885658097582917E-142</v>
      </c>
      <c r="P4854">
        <v>6.6655666325100588E-2</v>
      </c>
      <c r="Q4854">
        <v>1.344894734951076</v>
      </c>
      <c r="R4854">
        <v>-27.825247211324321</v>
      </c>
      <c r="S4854">
        <v>1.1205763275873759</v>
      </c>
      <c r="T4854">
        <v>0.90843966974520063</v>
      </c>
      <c r="U4854">
        <v>4.2673938428959426</v>
      </c>
      <c r="V4854">
        <v>0.22267382584799689</v>
      </c>
      <c r="W4854">
        <v>-22.08605170005093</v>
      </c>
      <c r="X4854">
        <v>1.159949086626584</v>
      </c>
      <c r="Z4854" t="s">
        <v>392</v>
      </c>
      <c r="AA4854">
        <v>161</v>
      </c>
      <c r="AB4854" t="s">
        <v>5245</v>
      </c>
      <c r="AC4854" t="str">
        <f>HYPERLINK("plots/3FT6Y578R04_015_S31P_20251219032831_M5358ACSA301811_RBGEUFRF04/dpll_52094/txpa_54154.png","plot")</f>
        <v>plot</v>
      </c>
    </row>
    <row r="4855" spans="1:29" hidden="1" x14ac:dyDescent="0.35">
      <c r="A4855" t="s">
        <v>50</v>
      </c>
      <c r="B4855">
        <v>52094</v>
      </c>
      <c r="C4855" t="s">
        <v>53</v>
      </c>
      <c r="D4855">
        <v>54155</v>
      </c>
      <c r="E4855" t="s">
        <v>175</v>
      </c>
      <c r="F4855">
        <v>11782</v>
      </c>
      <c r="G4855">
        <v>0.6032935602031122</v>
      </c>
      <c r="H4855">
        <v>0</v>
      </c>
      <c r="I4855">
        <v>0</v>
      </c>
      <c r="J4855">
        <v>0.52542353942127284</v>
      </c>
      <c r="K4855">
        <v>0</v>
      </c>
      <c r="L4855">
        <v>0</v>
      </c>
      <c r="M4855">
        <v>0.36814346229220812</v>
      </c>
      <c r="N4855">
        <v>0</v>
      </c>
      <c r="O4855">
        <v>0</v>
      </c>
      <c r="P4855">
        <v>0.36396311978254609</v>
      </c>
      <c r="Q4855">
        <v>0.83071648726689007</v>
      </c>
      <c r="R4855">
        <v>-14.89717807343866</v>
      </c>
      <c r="S4855">
        <v>0.2445209247734817</v>
      </c>
      <c r="T4855">
        <v>0.19024043388507619</v>
      </c>
      <c r="U4855">
        <v>4.2673938428959426</v>
      </c>
      <c r="V4855">
        <v>0.22267382584799689</v>
      </c>
      <c r="W4855">
        <v>-11.35218365048379</v>
      </c>
      <c r="X4855">
        <v>0.30661493942095103</v>
      </c>
      <c r="Z4855" t="s">
        <v>392</v>
      </c>
      <c r="AA4855">
        <v>161</v>
      </c>
      <c r="AB4855" t="s">
        <v>5246</v>
      </c>
      <c r="AC4855" t="str">
        <f>HYPERLINK("plots/3FT6Y578R04_015_S31P_20251219032831_M5358ACSA301811_RBGEUFRF04/dpll_52094/txpa_54155.png","plot")</f>
        <v>plot</v>
      </c>
    </row>
    <row r="4856" spans="1:29" hidden="1" x14ac:dyDescent="0.35">
      <c r="A4856" t="s">
        <v>50</v>
      </c>
      <c r="B4856">
        <v>52094</v>
      </c>
      <c r="C4856" t="s">
        <v>53</v>
      </c>
      <c r="D4856">
        <v>54156</v>
      </c>
      <c r="E4856" t="s">
        <v>176</v>
      </c>
      <c r="F4856">
        <v>11782</v>
      </c>
      <c r="G4856">
        <v>0.62886541060144752</v>
      </c>
      <c r="H4856">
        <v>0</v>
      </c>
      <c r="I4856">
        <v>0</v>
      </c>
      <c r="J4856">
        <v>0.54775662130907798</v>
      </c>
      <c r="K4856">
        <v>0</v>
      </c>
      <c r="L4856">
        <v>0</v>
      </c>
      <c r="M4856">
        <v>0.38665977325942269</v>
      </c>
      <c r="N4856">
        <v>0</v>
      </c>
      <c r="O4856">
        <v>0</v>
      </c>
      <c r="P4856">
        <v>0.39547170465092718</v>
      </c>
      <c r="Q4856">
        <v>0.86942281651737219</v>
      </c>
      <c r="R4856">
        <v>-14.995955943117</v>
      </c>
      <c r="S4856">
        <v>0.23934942125659439</v>
      </c>
      <c r="T4856">
        <v>0.1863118489232905</v>
      </c>
      <c r="U4856">
        <v>4.2673938428959426</v>
      </c>
      <c r="V4856">
        <v>0.22267382584799689</v>
      </c>
      <c r="W4856">
        <v>-11.28578636903752</v>
      </c>
      <c r="X4856">
        <v>0.30785236645200009</v>
      </c>
      <c r="Z4856" t="s">
        <v>392</v>
      </c>
      <c r="AA4856">
        <v>161</v>
      </c>
      <c r="AB4856" t="s">
        <v>5247</v>
      </c>
      <c r="AC4856" t="str">
        <f>HYPERLINK("plots/3FT6Y578R04_015_S31P_20251219032831_M5358ACSA301811_RBGEUFRF04/dpll_52094/txpa_54156.png","plot")</f>
        <v>plot</v>
      </c>
    </row>
    <row r="4857" spans="1:29" hidden="1" x14ac:dyDescent="0.35">
      <c r="A4857" t="s">
        <v>50</v>
      </c>
      <c r="B4857">
        <v>52094</v>
      </c>
      <c r="C4857" t="s">
        <v>53</v>
      </c>
      <c r="D4857">
        <v>54157</v>
      </c>
      <c r="E4857" t="s">
        <v>177</v>
      </c>
      <c r="F4857">
        <v>11782</v>
      </c>
      <c r="G4857">
        <v>0.62392585617847351</v>
      </c>
      <c r="H4857">
        <v>0</v>
      </c>
      <c r="I4857">
        <v>0</v>
      </c>
      <c r="J4857">
        <v>0.53685786680048309</v>
      </c>
      <c r="K4857">
        <v>0</v>
      </c>
      <c r="L4857">
        <v>0</v>
      </c>
      <c r="M4857">
        <v>0.37829141433131908</v>
      </c>
      <c r="N4857">
        <v>0</v>
      </c>
      <c r="O4857">
        <v>0</v>
      </c>
      <c r="P4857">
        <v>0.3892834740080412</v>
      </c>
      <c r="Q4857">
        <v>0.84575363274891446</v>
      </c>
      <c r="R4857">
        <v>-14.892602414682161</v>
      </c>
      <c r="S4857">
        <v>0.23587475608965849</v>
      </c>
      <c r="T4857">
        <v>0.18362980085696379</v>
      </c>
      <c r="U4857">
        <v>4.2673938428959426</v>
      </c>
      <c r="V4857">
        <v>0.22267382584799689</v>
      </c>
      <c r="W4857">
        <v>-11.28343856968257</v>
      </c>
      <c r="X4857">
        <v>0.30184227062257141</v>
      </c>
      <c r="Z4857" t="s">
        <v>392</v>
      </c>
      <c r="AA4857">
        <v>161</v>
      </c>
      <c r="AB4857" t="s">
        <v>5248</v>
      </c>
      <c r="AC4857" t="str">
        <f>HYPERLINK("plots/3FT6Y578R04_015_S31P_20251219032831_M5358ACSA301811_RBGEUFRF04/dpll_52094/txpa_54157.png","plot")</f>
        <v>plot</v>
      </c>
    </row>
    <row r="4858" spans="1:29" hidden="1" x14ac:dyDescent="0.35">
      <c r="A4858" t="s">
        <v>50</v>
      </c>
      <c r="B4858">
        <v>52094</v>
      </c>
      <c r="C4858" t="s">
        <v>53</v>
      </c>
      <c r="D4858">
        <v>54158</v>
      </c>
      <c r="E4858" t="s">
        <v>178</v>
      </c>
      <c r="F4858">
        <v>11781</v>
      </c>
      <c r="G4858">
        <v>0.64006361703426062</v>
      </c>
      <c r="H4858">
        <v>0</v>
      </c>
      <c r="I4858">
        <v>0</v>
      </c>
      <c r="J4858">
        <v>0.54907520738629412</v>
      </c>
      <c r="K4858">
        <v>0</v>
      </c>
      <c r="L4858">
        <v>0</v>
      </c>
      <c r="M4858">
        <v>0.38771698230430462</v>
      </c>
      <c r="N4858">
        <v>0</v>
      </c>
      <c r="O4858">
        <v>0</v>
      </c>
      <c r="P4858">
        <v>0.40968143385098071</v>
      </c>
      <c r="Q4858">
        <v>0.88243063453529702</v>
      </c>
      <c r="R4858">
        <v>-14.997196692367821</v>
      </c>
      <c r="S4858">
        <v>0.23586628616044469</v>
      </c>
      <c r="T4858">
        <v>0.1844161865296417</v>
      </c>
      <c r="U4858">
        <v>4.2674026018164843</v>
      </c>
      <c r="V4858">
        <v>0.22268124725346999</v>
      </c>
      <c r="W4858">
        <v>-11.23150990662932</v>
      </c>
      <c r="X4858">
        <v>0.30700191212785799</v>
      </c>
      <c r="Z4858" t="s">
        <v>392</v>
      </c>
      <c r="AA4858">
        <v>161</v>
      </c>
      <c r="AB4858" t="s">
        <v>5249</v>
      </c>
      <c r="AC4858" t="str">
        <f>HYPERLINK("plots/3FT6Y578R04_015_S31P_20251219032831_M5358ACSA301811_RBGEUFRF04/dpll_52094/txpa_54158.png","plot")</f>
        <v>plot</v>
      </c>
    </row>
    <row r="4859" spans="1:29" hidden="1" x14ac:dyDescent="0.35">
      <c r="A4859" t="s">
        <v>50</v>
      </c>
      <c r="B4859">
        <v>52094</v>
      </c>
      <c r="C4859" t="s">
        <v>53</v>
      </c>
      <c r="D4859">
        <v>54159</v>
      </c>
      <c r="E4859" t="s">
        <v>179</v>
      </c>
      <c r="F4859">
        <v>11781</v>
      </c>
      <c r="G4859">
        <v>0.63856464549556691</v>
      </c>
      <c r="H4859">
        <v>0</v>
      </c>
      <c r="I4859">
        <v>0</v>
      </c>
      <c r="J4859">
        <v>0.54269082719792106</v>
      </c>
      <c r="K4859">
        <v>0</v>
      </c>
      <c r="L4859">
        <v>0</v>
      </c>
      <c r="M4859">
        <v>0.38180641835953749</v>
      </c>
      <c r="N4859">
        <v>0</v>
      </c>
      <c r="O4859">
        <v>0</v>
      </c>
      <c r="P4859">
        <v>0.40776480647687902</v>
      </c>
      <c r="Q4859">
        <v>0.87572585052675245</v>
      </c>
      <c r="R4859">
        <v>-14.99061042971762</v>
      </c>
      <c r="S4859">
        <v>0.23498285424092669</v>
      </c>
      <c r="T4859">
        <v>0.18465819604022771</v>
      </c>
      <c r="U4859">
        <v>4.2673648416942536</v>
      </c>
      <c r="V4859">
        <v>0.2226610238238293</v>
      </c>
      <c r="W4859">
        <v>-11.25356872421696</v>
      </c>
      <c r="X4859">
        <v>0.30535673379780609</v>
      </c>
      <c r="Z4859" t="s">
        <v>392</v>
      </c>
      <c r="AA4859">
        <v>161</v>
      </c>
      <c r="AB4859" t="s">
        <v>5250</v>
      </c>
      <c r="AC4859" t="str">
        <f>HYPERLINK("plots/3FT6Y578R04_015_S31P_20251219032831_M5358ACSA301811_RBGEUFRF04/dpll_52094/txpa_54159.png","plot")</f>
        <v>plot</v>
      </c>
    </row>
    <row r="4860" spans="1:29" hidden="1" x14ac:dyDescent="0.35">
      <c r="A4860" t="s">
        <v>50</v>
      </c>
      <c r="B4860">
        <v>52094</v>
      </c>
      <c r="C4860" t="s">
        <v>53</v>
      </c>
      <c r="D4860">
        <v>54160</v>
      </c>
      <c r="E4860" t="s">
        <v>180</v>
      </c>
      <c r="F4860">
        <v>11782</v>
      </c>
      <c r="G4860">
        <v>0.64151969552347765</v>
      </c>
      <c r="H4860">
        <v>0</v>
      </c>
      <c r="I4860">
        <v>0</v>
      </c>
      <c r="J4860">
        <v>0.55767237711653161</v>
      </c>
      <c r="K4860">
        <v>0</v>
      </c>
      <c r="L4860">
        <v>0</v>
      </c>
      <c r="M4860">
        <v>0.39447834181167091</v>
      </c>
      <c r="N4860">
        <v>0</v>
      </c>
      <c r="O4860">
        <v>0</v>
      </c>
      <c r="P4860">
        <v>0.41154751974453552</v>
      </c>
      <c r="Q4860">
        <v>0.87821463180749726</v>
      </c>
      <c r="R4860">
        <v>-15.016575551593</v>
      </c>
      <c r="S4860">
        <v>0.23382832185391991</v>
      </c>
      <c r="T4860">
        <v>0.18314208557265849</v>
      </c>
      <c r="U4860">
        <v>4.2673938428959426</v>
      </c>
      <c r="V4860">
        <v>0.22267382584799689</v>
      </c>
      <c r="W4860">
        <v>-11.268887839076561</v>
      </c>
      <c r="X4860">
        <v>0.30483150142521009</v>
      </c>
      <c r="Z4860" t="s">
        <v>392</v>
      </c>
      <c r="AA4860">
        <v>161</v>
      </c>
      <c r="AB4860" t="s">
        <v>5251</v>
      </c>
      <c r="AC4860" t="str">
        <f>HYPERLINK("plots/3FT6Y578R04_015_S31P_20251219032831_M5358ACSA301811_RBGEUFRF04/dpll_52094/txpa_54160.png","plot")</f>
        <v>plot</v>
      </c>
    </row>
    <row r="4861" spans="1:29" hidden="1" x14ac:dyDescent="0.35">
      <c r="A4861" t="s">
        <v>50</v>
      </c>
      <c r="B4861">
        <v>52094</v>
      </c>
      <c r="C4861" t="s">
        <v>53</v>
      </c>
      <c r="D4861">
        <v>54161</v>
      </c>
      <c r="E4861" t="s">
        <v>181</v>
      </c>
      <c r="F4861">
        <v>11782</v>
      </c>
      <c r="G4861">
        <v>0.63978609715793899</v>
      </c>
      <c r="H4861">
        <v>0</v>
      </c>
      <c r="I4861">
        <v>0</v>
      </c>
      <c r="J4861">
        <v>0.5512661632366973</v>
      </c>
      <c r="K4861">
        <v>0</v>
      </c>
      <c r="L4861">
        <v>0</v>
      </c>
      <c r="M4861">
        <v>0.38914142031804128</v>
      </c>
      <c r="N4861">
        <v>0</v>
      </c>
      <c r="O4861">
        <v>0</v>
      </c>
      <c r="P4861">
        <v>0.40932625011658769</v>
      </c>
      <c r="Q4861">
        <v>0.86743459277039303</v>
      </c>
      <c r="R4861">
        <v>-14.973331204791529</v>
      </c>
      <c r="S4861">
        <v>0.23202058331495351</v>
      </c>
      <c r="T4861">
        <v>0.1818979347000213</v>
      </c>
      <c r="U4861">
        <v>4.2673938428959426</v>
      </c>
      <c r="V4861">
        <v>0.22267382584799689</v>
      </c>
      <c r="W4861">
        <v>-11.2716461644882</v>
      </c>
      <c r="X4861">
        <v>0.30190555922224099</v>
      </c>
      <c r="Z4861" t="s">
        <v>392</v>
      </c>
      <c r="AA4861">
        <v>161</v>
      </c>
      <c r="AB4861" t="s">
        <v>5252</v>
      </c>
      <c r="AC4861" t="str">
        <f>HYPERLINK("plots/3FT6Y578R04_015_S31P_20251219032831_M5358ACSA301811_RBGEUFRF04/dpll_52094/txpa_54161.png","plot")</f>
        <v>plot</v>
      </c>
    </row>
    <row r="4862" spans="1:29" hidden="1" x14ac:dyDescent="0.35">
      <c r="A4862" t="s">
        <v>50</v>
      </c>
      <c r="B4862">
        <v>52094</v>
      </c>
      <c r="C4862" t="s">
        <v>53</v>
      </c>
      <c r="D4862">
        <v>54162</v>
      </c>
      <c r="E4862" t="s">
        <v>182</v>
      </c>
      <c r="F4862">
        <v>11781</v>
      </c>
      <c r="G4862">
        <v>0.62706465370209274</v>
      </c>
      <c r="H4862">
        <v>0</v>
      </c>
      <c r="I4862">
        <v>0</v>
      </c>
      <c r="J4862">
        <v>0.54081875489302411</v>
      </c>
      <c r="K4862">
        <v>0</v>
      </c>
      <c r="L4862">
        <v>0</v>
      </c>
      <c r="M4862">
        <v>0.38179753815160339</v>
      </c>
      <c r="N4862">
        <v>0</v>
      </c>
      <c r="O4862">
        <v>0</v>
      </c>
      <c r="P4862">
        <v>0.39321007992252549</v>
      </c>
      <c r="Q4862">
        <v>0.85628740474784726</v>
      </c>
      <c r="R4862">
        <v>-14.996232048945879</v>
      </c>
      <c r="S4862">
        <v>0.2368457931530023</v>
      </c>
      <c r="T4862">
        <v>0.18531213272585489</v>
      </c>
      <c r="U4862">
        <v>4.2674179181733303</v>
      </c>
      <c r="V4862">
        <v>0.22266794157249609</v>
      </c>
      <c r="W4862">
        <v>-11.34209583481878</v>
      </c>
      <c r="X4862">
        <v>0.3040639472883459</v>
      </c>
      <c r="Z4862" t="s">
        <v>392</v>
      </c>
      <c r="AA4862">
        <v>161</v>
      </c>
      <c r="AB4862" t="s">
        <v>5253</v>
      </c>
      <c r="AC4862" t="str">
        <f>HYPERLINK("plots/3FT6Y578R04_015_S31P_20251219032831_M5358ACSA301811_RBGEUFRF04/dpll_52094/txpa_54162.png","plot")</f>
        <v>plot</v>
      </c>
    </row>
    <row r="4863" spans="1:29" hidden="1" x14ac:dyDescent="0.35">
      <c r="A4863" t="s">
        <v>50</v>
      </c>
      <c r="B4863">
        <v>52094</v>
      </c>
      <c r="C4863" t="s">
        <v>53</v>
      </c>
      <c r="D4863">
        <v>54163</v>
      </c>
      <c r="E4863" t="s">
        <v>183</v>
      </c>
      <c r="F4863">
        <v>11782</v>
      </c>
      <c r="G4863">
        <v>0.61903917968053712</v>
      </c>
      <c r="H4863">
        <v>0</v>
      </c>
      <c r="I4863">
        <v>0</v>
      </c>
      <c r="J4863">
        <v>0.54468112630109389</v>
      </c>
      <c r="K4863">
        <v>0</v>
      </c>
      <c r="L4863">
        <v>0</v>
      </c>
      <c r="M4863">
        <v>0.3831035371325695</v>
      </c>
      <c r="N4863">
        <v>0</v>
      </c>
      <c r="O4863">
        <v>0</v>
      </c>
      <c r="P4863">
        <v>0.38320950597955228</v>
      </c>
      <c r="Q4863">
        <v>0.7449177031976798</v>
      </c>
      <c r="R4863">
        <v>-8.5756616187489367</v>
      </c>
      <c r="S4863">
        <v>0.21043100740496709</v>
      </c>
      <c r="T4863">
        <v>0.1620225264703701</v>
      </c>
      <c r="U4863">
        <v>4.2673938428959426</v>
      </c>
      <c r="V4863">
        <v>0.22267382584799689</v>
      </c>
      <c r="W4863">
        <v>-5.3968043986589711</v>
      </c>
      <c r="X4863">
        <v>0.26795343551361489</v>
      </c>
      <c r="Z4863" t="s">
        <v>392</v>
      </c>
      <c r="AA4863">
        <v>161</v>
      </c>
      <c r="AB4863" t="s">
        <v>5254</v>
      </c>
      <c r="AC4863" t="str">
        <f>HYPERLINK("plots/3FT6Y578R04_015_S31P_20251219032831_M5358ACSA301811_RBGEUFRF04/dpll_52094/txpa_54163.png","plot")</f>
        <v>plot</v>
      </c>
    </row>
    <row r="4864" spans="1:29" hidden="1" x14ac:dyDescent="0.35">
      <c r="A4864" t="s">
        <v>50</v>
      </c>
      <c r="B4864">
        <v>52094</v>
      </c>
      <c r="C4864" t="s">
        <v>53</v>
      </c>
      <c r="D4864">
        <v>54164</v>
      </c>
      <c r="E4864" t="s">
        <v>184</v>
      </c>
      <c r="F4864">
        <v>11782</v>
      </c>
      <c r="G4864">
        <v>0.64418165725291188</v>
      </c>
      <c r="H4864">
        <v>0</v>
      </c>
      <c r="I4864">
        <v>0</v>
      </c>
      <c r="J4864">
        <v>0.56185140624264729</v>
      </c>
      <c r="K4864">
        <v>0</v>
      </c>
      <c r="L4864">
        <v>0</v>
      </c>
      <c r="M4864">
        <v>0.39789640421570438</v>
      </c>
      <c r="N4864">
        <v>0</v>
      </c>
      <c r="O4864">
        <v>0</v>
      </c>
      <c r="P4864">
        <v>0.41497000754110802</v>
      </c>
      <c r="Q4864">
        <v>0.77706839345781009</v>
      </c>
      <c r="R4864">
        <v>-8.6669379056748515</v>
      </c>
      <c r="S4864">
        <v>0.20544269141443861</v>
      </c>
      <c r="T4864">
        <v>0.15961616492103009</v>
      </c>
      <c r="U4864">
        <v>4.2673938428959426</v>
      </c>
      <c r="V4864">
        <v>0.22267382584799689</v>
      </c>
      <c r="W4864">
        <v>-5.3508810279239514</v>
      </c>
      <c r="X4864">
        <v>0.26860869161456541</v>
      </c>
      <c r="Z4864" t="s">
        <v>392</v>
      </c>
      <c r="AA4864">
        <v>161</v>
      </c>
      <c r="AB4864" t="s">
        <v>5255</v>
      </c>
      <c r="AC4864" t="str">
        <f>HYPERLINK("plots/3FT6Y578R04_015_S31P_20251219032831_M5358ACSA301811_RBGEUFRF04/dpll_52094/txpa_54164.png","plot")</f>
        <v>plot</v>
      </c>
    </row>
    <row r="4865" spans="1:29" hidden="1" x14ac:dyDescent="0.35">
      <c r="A4865" t="s">
        <v>50</v>
      </c>
      <c r="B4865">
        <v>52094</v>
      </c>
      <c r="C4865" t="s">
        <v>53</v>
      </c>
      <c r="D4865">
        <v>54165</v>
      </c>
      <c r="E4865" t="s">
        <v>185</v>
      </c>
      <c r="F4865">
        <v>11782</v>
      </c>
      <c r="G4865">
        <v>0.6349873291859951</v>
      </c>
      <c r="H4865">
        <v>0</v>
      </c>
      <c r="I4865">
        <v>0</v>
      </c>
      <c r="J4865">
        <v>0.5504515665074069</v>
      </c>
      <c r="K4865">
        <v>0</v>
      </c>
      <c r="L4865">
        <v>0</v>
      </c>
      <c r="M4865">
        <v>0.38873237540085409</v>
      </c>
      <c r="N4865">
        <v>0</v>
      </c>
      <c r="O4865">
        <v>0</v>
      </c>
      <c r="P4865">
        <v>0.40320890822676331</v>
      </c>
      <c r="Q4865">
        <v>0.7525643424269387</v>
      </c>
      <c r="R4865">
        <v>-8.5575804527139088</v>
      </c>
      <c r="S4865">
        <v>0.20386397285731361</v>
      </c>
      <c r="T4865">
        <v>0.1588648383104157</v>
      </c>
      <c r="U4865">
        <v>4.2673938428959426</v>
      </c>
      <c r="V4865">
        <v>0.22267382584799689</v>
      </c>
      <c r="W4865">
        <v>-5.3460920114581567</v>
      </c>
      <c r="X4865">
        <v>0.26390507908214228</v>
      </c>
      <c r="Z4865" t="s">
        <v>392</v>
      </c>
      <c r="AA4865">
        <v>161</v>
      </c>
      <c r="AB4865" t="s">
        <v>5256</v>
      </c>
      <c r="AC4865" t="str">
        <f>HYPERLINK("plots/3FT6Y578R04_015_S31P_20251219032831_M5358ACSA301811_RBGEUFRF04/dpll_52094/txpa_54165.png","plot")</f>
        <v>plot</v>
      </c>
    </row>
    <row r="4866" spans="1:29" hidden="1" x14ac:dyDescent="0.35">
      <c r="A4866" t="s">
        <v>50</v>
      </c>
      <c r="B4866">
        <v>52094</v>
      </c>
      <c r="C4866" t="s">
        <v>53</v>
      </c>
      <c r="D4866">
        <v>54166</v>
      </c>
      <c r="E4866" t="s">
        <v>186</v>
      </c>
      <c r="F4866">
        <v>11781</v>
      </c>
      <c r="G4866">
        <v>0.65535664972017293</v>
      </c>
      <c r="H4866">
        <v>0</v>
      </c>
      <c r="I4866">
        <v>0</v>
      </c>
      <c r="J4866">
        <v>0.56435205457616866</v>
      </c>
      <c r="K4866">
        <v>0</v>
      </c>
      <c r="L4866">
        <v>0</v>
      </c>
      <c r="M4866">
        <v>0.40023284848455309</v>
      </c>
      <c r="N4866">
        <v>0</v>
      </c>
      <c r="O4866">
        <v>0</v>
      </c>
      <c r="P4866">
        <v>0.42949233833244937</v>
      </c>
      <c r="Q4866">
        <v>0.7914443268459358</v>
      </c>
      <c r="R4866">
        <v>-8.690725058057545</v>
      </c>
      <c r="S4866">
        <v>0.2031134172290272</v>
      </c>
      <c r="T4866">
        <v>0.1586719244641196</v>
      </c>
      <c r="U4866">
        <v>4.2674026018164843</v>
      </c>
      <c r="V4866">
        <v>0.22268124725346999</v>
      </c>
      <c r="W4866">
        <v>-5.3133134784823017</v>
      </c>
      <c r="X4866">
        <v>0.26892198302861142</v>
      </c>
      <c r="Z4866" t="s">
        <v>392</v>
      </c>
      <c r="AA4866">
        <v>161</v>
      </c>
      <c r="AB4866" t="s">
        <v>5257</v>
      </c>
      <c r="AC4866" t="str">
        <f>HYPERLINK("plots/3FT6Y578R04_015_S31P_20251219032831_M5358ACSA301811_RBGEUFRF04/dpll_52094/txpa_54166.png","plot")</f>
        <v>plot</v>
      </c>
    </row>
    <row r="4867" spans="1:29" hidden="1" x14ac:dyDescent="0.35">
      <c r="A4867" t="s">
        <v>50</v>
      </c>
      <c r="B4867">
        <v>52094</v>
      </c>
      <c r="C4867" t="s">
        <v>53</v>
      </c>
      <c r="D4867">
        <v>54167</v>
      </c>
      <c r="E4867" t="s">
        <v>187</v>
      </c>
      <c r="F4867">
        <v>11781</v>
      </c>
      <c r="G4867">
        <v>0.65372584030274616</v>
      </c>
      <c r="H4867">
        <v>0</v>
      </c>
      <c r="I4867">
        <v>0</v>
      </c>
      <c r="J4867">
        <v>0.55976425140132235</v>
      </c>
      <c r="K4867">
        <v>0</v>
      </c>
      <c r="L4867">
        <v>0</v>
      </c>
      <c r="M4867">
        <v>0.39540004320578198</v>
      </c>
      <c r="N4867">
        <v>0</v>
      </c>
      <c r="O4867">
        <v>0</v>
      </c>
      <c r="P4867">
        <v>0.42735747427953158</v>
      </c>
      <c r="Q4867">
        <v>0.78219044701523222</v>
      </c>
      <c r="R4867">
        <v>-8.672023851655517</v>
      </c>
      <c r="S4867">
        <v>0.20159716606931061</v>
      </c>
      <c r="T4867">
        <v>0.15824238563708479</v>
      </c>
      <c r="U4867">
        <v>4.2673648416942536</v>
      </c>
      <c r="V4867">
        <v>0.2226610238238293</v>
      </c>
      <c r="W4867">
        <v>-5.3341318385536027</v>
      </c>
      <c r="X4867">
        <v>0.26641646240719769</v>
      </c>
      <c r="Z4867" t="s">
        <v>392</v>
      </c>
      <c r="AA4867">
        <v>161</v>
      </c>
      <c r="AB4867" t="s">
        <v>5258</v>
      </c>
      <c r="AC4867" t="str">
        <f>HYPERLINK("plots/3FT6Y578R04_015_S31P_20251219032831_M5358ACSA301811_RBGEUFRF04/dpll_52094/txpa_54167.png","plot")</f>
        <v>plot</v>
      </c>
    </row>
    <row r="4868" spans="1:29" hidden="1" x14ac:dyDescent="0.35">
      <c r="A4868" t="s">
        <v>50</v>
      </c>
      <c r="B4868">
        <v>52094</v>
      </c>
      <c r="C4868" t="s">
        <v>53</v>
      </c>
      <c r="D4868">
        <v>54168</v>
      </c>
      <c r="E4868" t="s">
        <v>188</v>
      </c>
      <c r="F4868">
        <v>11782</v>
      </c>
      <c r="G4868">
        <v>0.65877125506132395</v>
      </c>
      <c r="H4868">
        <v>0</v>
      </c>
      <c r="I4868">
        <v>0</v>
      </c>
      <c r="J4868">
        <v>0.57364382677000803</v>
      </c>
      <c r="K4868">
        <v>0</v>
      </c>
      <c r="L4868">
        <v>0</v>
      </c>
      <c r="M4868">
        <v>0.40722170875090391</v>
      </c>
      <c r="N4868">
        <v>0</v>
      </c>
      <c r="O4868">
        <v>0</v>
      </c>
      <c r="P4868">
        <v>0.43397956649507191</v>
      </c>
      <c r="Q4868">
        <v>0.79127883529173182</v>
      </c>
      <c r="R4868">
        <v>-8.7129591254600989</v>
      </c>
      <c r="S4868">
        <v>0.2012156256423473</v>
      </c>
      <c r="T4868">
        <v>0.1573895934043954</v>
      </c>
      <c r="U4868">
        <v>4.2673938428959426</v>
      </c>
      <c r="V4868">
        <v>0.22267382584799689</v>
      </c>
      <c r="W4868">
        <v>-5.3362606957222889</v>
      </c>
      <c r="X4868">
        <v>0.26746322674712802</v>
      </c>
      <c r="Z4868" t="s">
        <v>392</v>
      </c>
      <c r="AA4868">
        <v>161</v>
      </c>
      <c r="AB4868" t="s">
        <v>5259</v>
      </c>
      <c r="AC4868" t="str">
        <f>HYPERLINK("plots/3FT6Y578R04_015_S31P_20251219032831_M5358ACSA301811_RBGEUFRF04/dpll_52094/txpa_54168.png","plot")</f>
        <v>plot</v>
      </c>
    </row>
    <row r="4869" spans="1:29" hidden="1" x14ac:dyDescent="0.35">
      <c r="A4869" t="s">
        <v>50</v>
      </c>
      <c r="B4869">
        <v>52094</v>
      </c>
      <c r="C4869" t="s">
        <v>53</v>
      </c>
      <c r="D4869">
        <v>54169</v>
      </c>
      <c r="E4869" t="s">
        <v>189</v>
      </c>
      <c r="F4869">
        <v>11782</v>
      </c>
      <c r="G4869">
        <v>0.65469647046493029</v>
      </c>
      <c r="H4869">
        <v>0</v>
      </c>
      <c r="I4869">
        <v>0</v>
      </c>
      <c r="J4869">
        <v>0.56331390944038784</v>
      </c>
      <c r="K4869">
        <v>0</v>
      </c>
      <c r="L4869">
        <v>0</v>
      </c>
      <c r="M4869">
        <v>0.39818352892107478</v>
      </c>
      <c r="N4869">
        <v>0</v>
      </c>
      <c r="O4869">
        <v>0</v>
      </c>
      <c r="P4869">
        <v>0.42862746843923732</v>
      </c>
      <c r="Q4869">
        <v>0.77580401732571713</v>
      </c>
      <c r="R4869">
        <v>-8.6462150136163256</v>
      </c>
      <c r="S4869">
        <v>0.19944467401233959</v>
      </c>
      <c r="T4869">
        <v>0.1567032358884469</v>
      </c>
      <c r="U4869">
        <v>4.2673938428959426</v>
      </c>
      <c r="V4869">
        <v>0.22267382584799689</v>
      </c>
      <c r="W4869">
        <v>-5.3355537267866238</v>
      </c>
      <c r="X4869">
        <v>0.26386464024081929</v>
      </c>
      <c r="Z4869" t="s">
        <v>392</v>
      </c>
      <c r="AA4869">
        <v>161</v>
      </c>
      <c r="AB4869" t="s">
        <v>5260</v>
      </c>
      <c r="AC4869" t="str">
        <f>HYPERLINK("plots/3FT6Y578R04_015_S31P_20251219032831_M5358ACSA301811_RBGEUFRF04/dpll_52094/txpa_54169.png","plot")</f>
        <v>plot</v>
      </c>
    </row>
    <row r="4870" spans="1:29" hidden="1" x14ac:dyDescent="0.35">
      <c r="A4870" t="s">
        <v>50</v>
      </c>
      <c r="B4870">
        <v>52094</v>
      </c>
      <c r="C4870" t="s">
        <v>53</v>
      </c>
      <c r="D4870">
        <v>54170</v>
      </c>
      <c r="E4870" t="s">
        <v>190</v>
      </c>
      <c r="F4870">
        <v>11781</v>
      </c>
      <c r="G4870">
        <v>0.64253658366530486</v>
      </c>
      <c r="H4870">
        <v>0</v>
      </c>
      <c r="I4870">
        <v>0</v>
      </c>
      <c r="J4870">
        <v>0.55403014033124154</v>
      </c>
      <c r="K4870">
        <v>0</v>
      </c>
      <c r="L4870">
        <v>0</v>
      </c>
      <c r="M4870">
        <v>0.39243796426706667</v>
      </c>
      <c r="N4870">
        <v>0</v>
      </c>
      <c r="O4870">
        <v>0</v>
      </c>
      <c r="P4870">
        <v>0.41285326134828132</v>
      </c>
      <c r="Q4870">
        <v>0.7680956673660545</v>
      </c>
      <c r="R4870">
        <v>-8.6582521244928792</v>
      </c>
      <c r="S4870">
        <v>0.20395297450954469</v>
      </c>
      <c r="T4870">
        <v>0.15898047083266509</v>
      </c>
      <c r="U4870">
        <v>4.2674179181733303</v>
      </c>
      <c r="V4870">
        <v>0.22266794157249609</v>
      </c>
      <c r="W4870">
        <v>-5.3804669107036753</v>
      </c>
      <c r="X4870">
        <v>0.26617983400652728</v>
      </c>
      <c r="Z4870" t="s">
        <v>392</v>
      </c>
      <c r="AA4870">
        <v>161</v>
      </c>
      <c r="AB4870" t="s">
        <v>5261</v>
      </c>
      <c r="AC4870" t="str">
        <f>HYPERLINK("plots/3FT6Y578R04_015_S31P_20251219032831_M5358ACSA301811_RBGEUFRF04/dpll_52094/txpa_54170.png","plot")</f>
        <v>plot</v>
      </c>
    </row>
    <row r="4871" spans="1:29" hidden="1" x14ac:dyDescent="0.35">
      <c r="A4871" t="s">
        <v>50</v>
      </c>
      <c r="B4871">
        <v>52094</v>
      </c>
      <c r="C4871" t="s">
        <v>53</v>
      </c>
      <c r="D4871">
        <v>54171</v>
      </c>
      <c r="E4871" t="s">
        <v>191</v>
      </c>
      <c r="F4871">
        <v>11782</v>
      </c>
      <c r="G4871">
        <v>0.63216241500516523</v>
      </c>
      <c r="H4871">
        <v>0</v>
      </c>
      <c r="I4871">
        <v>0</v>
      </c>
      <c r="J4871">
        <v>0.56034615461800497</v>
      </c>
      <c r="K4871">
        <v>0</v>
      </c>
      <c r="L4871">
        <v>0</v>
      </c>
      <c r="M4871">
        <v>0.39488536635296573</v>
      </c>
      <c r="N4871">
        <v>0</v>
      </c>
      <c r="O4871">
        <v>0</v>
      </c>
      <c r="P4871">
        <v>0.39962931894516268</v>
      </c>
      <c r="Q4871">
        <v>0.7592137279582083</v>
      </c>
      <c r="R4871">
        <v>-5.5792459540959651</v>
      </c>
      <c r="S4871">
        <v>0.20720291377996641</v>
      </c>
      <c r="T4871">
        <v>0.1595366412884652</v>
      </c>
      <c r="U4871">
        <v>4.2673938428959426</v>
      </c>
      <c r="V4871">
        <v>0.22267382584799689</v>
      </c>
      <c r="W4871">
        <v>-2.339381965965031</v>
      </c>
      <c r="X4871">
        <v>0.26742656859692182</v>
      </c>
      <c r="Z4871" t="s">
        <v>392</v>
      </c>
      <c r="AA4871">
        <v>161</v>
      </c>
      <c r="AB4871" t="s">
        <v>5262</v>
      </c>
      <c r="AC4871" t="str">
        <f>HYPERLINK("plots/3FT6Y578R04_015_S31P_20251219032831_M5358ACSA301811_RBGEUFRF04/dpll_52094/txpa_54171.png","plot")</f>
        <v>plot</v>
      </c>
    </row>
    <row r="4872" spans="1:29" hidden="1" x14ac:dyDescent="0.35">
      <c r="A4872" t="s">
        <v>50</v>
      </c>
      <c r="B4872">
        <v>52094</v>
      </c>
      <c r="C4872" t="s">
        <v>53</v>
      </c>
      <c r="D4872">
        <v>54172</v>
      </c>
      <c r="E4872" t="s">
        <v>192</v>
      </c>
      <c r="F4872">
        <v>11782</v>
      </c>
      <c r="G4872">
        <v>0.65749343944356287</v>
      </c>
      <c r="H4872">
        <v>0</v>
      </c>
      <c r="I4872">
        <v>0</v>
      </c>
      <c r="J4872">
        <v>0.57795336328123115</v>
      </c>
      <c r="K4872">
        <v>0</v>
      </c>
      <c r="L4872">
        <v>0</v>
      </c>
      <c r="M4872">
        <v>0.41050392548290843</v>
      </c>
      <c r="N4872">
        <v>0</v>
      </c>
      <c r="O4872">
        <v>0</v>
      </c>
      <c r="P4872">
        <v>0.43229762291132612</v>
      </c>
      <c r="Q4872">
        <v>0.79162762913465001</v>
      </c>
      <c r="R4872">
        <v>-5.6775899172866477</v>
      </c>
      <c r="S4872">
        <v>0.20199499829942541</v>
      </c>
      <c r="T4872">
        <v>0.15687348465283499</v>
      </c>
      <c r="U4872">
        <v>4.2673938428959426</v>
      </c>
      <c r="V4872">
        <v>0.22267382584799689</v>
      </c>
      <c r="W4872">
        <v>-2.2994030468511291</v>
      </c>
      <c r="X4872">
        <v>0.26810115850824767</v>
      </c>
      <c r="Z4872" t="s">
        <v>392</v>
      </c>
      <c r="AA4872">
        <v>161</v>
      </c>
      <c r="AB4872" t="s">
        <v>5263</v>
      </c>
      <c r="AC4872" t="str">
        <f>HYPERLINK("plots/3FT6Y578R04_015_S31P_20251219032831_M5358ACSA301811_RBGEUFRF04/dpll_52094/txpa_54172.png","plot")</f>
        <v>plot</v>
      </c>
    </row>
    <row r="4873" spans="1:29" hidden="1" x14ac:dyDescent="0.35">
      <c r="A4873" t="s">
        <v>50</v>
      </c>
      <c r="B4873">
        <v>52094</v>
      </c>
      <c r="C4873" t="s">
        <v>53</v>
      </c>
      <c r="D4873">
        <v>54173</v>
      </c>
      <c r="E4873" t="s">
        <v>193</v>
      </c>
      <c r="F4873">
        <v>11782</v>
      </c>
      <c r="G4873">
        <v>0.64684521083876245</v>
      </c>
      <c r="H4873">
        <v>0</v>
      </c>
      <c r="I4873">
        <v>0</v>
      </c>
      <c r="J4873">
        <v>0.5662089901871934</v>
      </c>
      <c r="K4873">
        <v>0</v>
      </c>
      <c r="L4873">
        <v>0</v>
      </c>
      <c r="M4873">
        <v>0.40104125190512607</v>
      </c>
      <c r="N4873">
        <v>0</v>
      </c>
      <c r="O4873">
        <v>0</v>
      </c>
      <c r="P4873">
        <v>0.41840872678504298</v>
      </c>
      <c r="Q4873">
        <v>0.76549310472845655</v>
      </c>
      <c r="R4873">
        <v>-5.5599811953213809</v>
      </c>
      <c r="S4873">
        <v>0.20095582365963111</v>
      </c>
      <c r="T4873">
        <v>0.15635172511473769</v>
      </c>
      <c r="U4873">
        <v>4.2673938428959426</v>
      </c>
      <c r="V4873">
        <v>0.22267382584799689</v>
      </c>
      <c r="W4873">
        <v>-2.2933206334238672</v>
      </c>
      <c r="X4873">
        <v>0.26351787944617822</v>
      </c>
      <c r="Z4873" t="s">
        <v>392</v>
      </c>
      <c r="AA4873">
        <v>161</v>
      </c>
      <c r="AB4873" t="s">
        <v>5264</v>
      </c>
      <c r="AC4873" t="str">
        <f>HYPERLINK("plots/3FT6Y578R04_015_S31P_20251219032831_M5358ACSA301811_RBGEUFRF04/dpll_52094/txpa_54173.png","plot")</f>
        <v>plot</v>
      </c>
    </row>
    <row r="4874" spans="1:29" hidden="1" x14ac:dyDescent="0.35">
      <c r="A4874" t="s">
        <v>50</v>
      </c>
      <c r="B4874">
        <v>52094</v>
      </c>
      <c r="C4874" t="s">
        <v>53</v>
      </c>
      <c r="D4874">
        <v>54174</v>
      </c>
      <c r="E4874" t="s">
        <v>194</v>
      </c>
      <c r="F4874">
        <v>11781</v>
      </c>
      <c r="G4874">
        <v>0.66617280883362351</v>
      </c>
      <c r="H4874">
        <v>0</v>
      </c>
      <c r="I4874">
        <v>0</v>
      </c>
      <c r="J4874">
        <v>0.57956114930605196</v>
      </c>
      <c r="K4874">
        <v>0</v>
      </c>
      <c r="L4874">
        <v>0</v>
      </c>
      <c r="M4874">
        <v>0.41199625595525441</v>
      </c>
      <c r="N4874">
        <v>0</v>
      </c>
      <c r="O4874">
        <v>0</v>
      </c>
      <c r="P4874">
        <v>0.44378621122927953</v>
      </c>
      <c r="Q4874">
        <v>0.79944031220160883</v>
      </c>
      <c r="R4874">
        <v>-5.6794362875035116</v>
      </c>
      <c r="S4874">
        <v>0.1992898727093361</v>
      </c>
      <c r="T4874">
        <v>0.1556133088725378</v>
      </c>
      <c r="U4874">
        <v>4.2674026018164843</v>
      </c>
      <c r="V4874">
        <v>0.22268124725346999</v>
      </c>
      <c r="W4874">
        <v>-2.2679026192173839</v>
      </c>
      <c r="X4874">
        <v>0.26722850807652571</v>
      </c>
      <c r="Z4874" t="s">
        <v>392</v>
      </c>
      <c r="AA4874">
        <v>161</v>
      </c>
      <c r="AB4874" t="s">
        <v>5265</v>
      </c>
      <c r="AC4874" t="str">
        <f>HYPERLINK("plots/3FT6Y578R04_015_S31P_20251219032831_M5358ACSA301811_RBGEUFRF04/dpll_52094/txpa_54174.png","plot")</f>
        <v>plot</v>
      </c>
    </row>
    <row r="4875" spans="1:29" hidden="1" x14ac:dyDescent="0.35">
      <c r="A4875" t="s">
        <v>50</v>
      </c>
      <c r="B4875">
        <v>52094</v>
      </c>
      <c r="C4875" t="s">
        <v>53</v>
      </c>
      <c r="D4875">
        <v>54175</v>
      </c>
      <c r="E4875" t="s">
        <v>195</v>
      </c>
      <c r="F4875">
        <v>11781</v>
      </c>
      <c r="G4875">
        <v>0.66472958195321052</v>
      </c>
      <c r="H4875">
        <v>0</v>
      </c>
      <c r="I4875">
        <v>0</v>
      </c>
      <c r="J4875">
        <v>0.57338694509017041</v>
      </c>
      <c r="K4875">
        <v>0</v>
      </c>
      <c r="L4875">
        <v>0</v>
      </c>
      <c r="M4875">
        <v>0.40597967011875757</v>
      </c>
      <c r="N4875">
        <v>0</v>
      </c>
      <c r="O4875">
        <v>0</v>
      </c>
      <c r="P4875">
        <v>0.44186541712368999</v>
      </c>
      <c r="Q4875">
        <v>0.7922643468368693</v>
      </c>
      <c r="R4875">
        <v>-5.6691715026796494</v>
      </c>
      <c r="S4875">
        <v>0.19825326186326639</v>
      </c>
      <c r="T4875">
        <v>0.15517431919185609</v>
      </c>
      <c r="U4875">
        <v>4.2673648416942536</v>
      </c>
      <c r="V4875">
        <v>0.2226610238238293</v>
      </c>
      <c r="W4875">
        <v>-2.288290483660131</v>
      </c>
      <c r="X4875">
        <v>0.26538068320574859</v>
      </c>
      <c r="Z4875" t="s">
        <v>392</v>
      </c>
      <c r="AA4875">
        <v>161</v>
      </c>
      <c r="AB4875" t="s">
        <v>5266</v>
      </c>
      <c r="AC4875" t="str">
        <f>HYPERLINK("plots/3FT6Y578R04_015_S31P_20251219032831_M5358ACSA301811_RBGEUFRF04/dpll_52094/txpa_54175.png","plot")</f>
        <v>plot</v>
      </c>
    </row>
    <row r="4876" spans="1:29" hidden="1" x14ac:dyDescent="0.35">
      <c r="A4876" t="s">
        <v>50</v>
      </c>
      <c r="B4876">
        <v>52094</v>
      </c>
      <c r="C4876" t="s">
        <v>53</v>
      </c>
      <c r="D4876">
        <v>54176</v>
      </c>
      <c r="E4876" t="s">
        <v>196</v>
      </c>
      <c r="F4876">
        <v>11782</v>
      </c>
      <c r="G4876">
        <v>0.67106271259116379</v>
      </c>
      <c r="H4876">
        <v>0</v>
      </c>
      <c r="I4876">
        <v>0</v>
      </c>
      <c r="J4876">
        <v>0.58940709789137913</v>
      </c>
      <c r="K4876">
        <v>0</v>
      </c>
      <c r="L4876">
        <v>0</v>
      </c>
      <c r="M4876">
        <v>0.41925850611345328</v>
      </c>
      <c r="N4876">
        <v>0</v>
      </c>
      <c r="O4876">
        <v>0</v>
      </c>
      <c r="P4876">
        <v>0.45032516423021091</v>
      </c>
      <c r="Q4876">
        <v>0.80454360437220895</v>
      </c>
      <c r="R4876">
        <v>-5.7194639365403086</v>
      </c>
      <c r="S4876">
        <v>0.19792021142233171</v>
      </c>
      <c r="T4876">
        <v>0.15488574144895439</v>
      </c>
      <c r="U4876">
        <v>4.2673938428959426</v>
      </c>
      <c r="V4876">
        <v>0.22267382584799689</v>
      </c>
      <c r="W4876">
        <v>-2.286159512901035</v>
      </c>
      <c r="X4876">
        <v>0.26696581271122161</v>
      </c>
      <c r="Z4876" t="s">
        <v>392</v>
      </c>
      <c r="AA4876">
        <v>161</v>
      </c>
      <c r="AB4876" t="s">
        <v>5267</v>
      </c>
      <c r="AC4876" t="str">
        <f>HYPERLINK("plots/3FT6Y578R04_015_S31P_20251219032831_M5358ACSA301811_RBGEUFRF04/dpll_52094/txpa_54176.png","plot")</f>
        <v>plot</v>
      </c>
    </row>
    <row r="4877" spans="1:29" hidden="1" x14ac:dyDescent="0.35">
      <c r="A4877" t="s">
        <v>50</v>
      </c>
      <c r="B4877">
        <v>52094</v>
      </c>
      <c r="C4877" t="s">
        <v>53</v>
      </c>
      <c r="D4877">
        <v>54177</v>
      </c>
      <c r="E4877" t="s">
        <v>197</v>
      </c>
      <c r="F4877">
        <v>11782</v>
      </c>
      <c r="G4877">
        <v>0.66742809545389448</v>
      </c>
      <c r="H4877">
        <v>0</v>
      </c>
      <c r="I4877">
        <v>0</v>
      </c>
      <c r="J4877">
        <v>0.58022879859314813</v>
      </c>
      <c r="K4877">
        <v>0</v>
      </c>
      <c r="L4877">
        <v>0</v>
      </c>
      <c r="M4877">
        <v>0.4112876395005815</v>
      </c>
      <c r="N4877">
        <v>0</v>
      </c>
      <c r="O4877">
        <v>0</v>
      </c>
      <c r="P4877">
        <v>0.44546026260121291</v>
      </c>
      <c r="Q4877">
        <v>0.78899195945265044</v>
      </c>
      <c r="R4877">
        <v>-5.6504185390121959</v>
      </c>
      <c r="S4877">
        <v>0.1960131323920086</v>
      </c>
      <c r="T4877">
        <v>0.15401059786054441</v>
      </c>
      <c r="U4877">
        <v>4.2673938428959426</v>
      </c>
      <c r="V4877">
        <v>0.22267382584799689</v>
      </c>
      <c r="W4877">
        <v>-2.2834791091495501</v>
      </c>
      <c r="X4877">
        <v>0.26323113961085209</v>
      </c>
      <c r="Z4877" t="s">
        <v>392</v>
      </c>
      <c r="AA4877">
        <v>161</v>
      </c>
      <c r="AB4877" t="s">
        <v>5268</v>
      </c>
      <c r="AC4877" t="str">
        <f>HYPERLINK("plots/3FT6Y578R04_015_S31P_20251219032831_M5358ACSA301811_RBGEUFRF04/dpll_52094/txpa_54177.png","plot")</f>
        <v>plot</v>
      </c>
    </row>
    <row r="4878" spans="1:29" hidden="1" x14ac:dyDescent="0.35">
      <c r="A4878" t="s">
        <v>50</v>
      </c>
      <c r="B4878">
        <v>52094</v>
      </c>
      <c r="C4878" t="s">
        <v>53</v>
      </c>
      <c r="D4878">
        <v>54178</v>
      </c>
      <c r="E4878" t="s">
        <v>198</v>
      </c>
      <c r="F4878">
        <v>11781</v>
      </c>
      <c r="G4878">
        <v>0.65531394462631964</v>
      </c>
      <c r="H4878">
        <v>0</v>
      </c>
      <c r="I4878">
        <v>0</v>
      </c>
      <c r="J4878">
        <v>0.57022127534525124</v>
      </c>
      <c r="K4878">
        <v>0</v>
      </c>
      <c r="L4878">
        <v>0</v>
      </c>
      <c r="M4878">
        <v>0.40482330924825088</v>
      </c>
      <c r="N4878">
        <v>0</v>
      </c>
      <c r="O4878">
        <v>0</v>
      </c>
      <c r="P4878">
        <v>0.42943636602170709</v>
      </c>
      <c r="Q4878">
        <v>0.78137187252981821</v>
      </c>
      <c r="R4878">
        <v>-5.6558808630765149</v>
      </c>
      <c r="S4878">
        <v>0.2005393807159751</v>
      </c>
      <c r="T4878">
        <v>0.15617715082488309</v>
      </c>
      <c r="U4878">
        <v>4.2674179181733303</v>
      </c>
      <c r="V4878">
        <v>0.22266794157249609</v>
      </c>
      <c r="W4878">
        <v>-2.3214405334861219</v>
      </c>
      <c r="X4878">
        <v>0.26550093720052581</v>
      </c>
      <c r="Z4878" t="s">
        <v>392</v>
      </c>
      <c r="AA4878">
        <v>161</v>
      </c>
      <c r="AB4878" t="s">
        <v>5269</v>
      </c>
      <c r="AC4878" t="str">
        <f>HYPERLINK("plots/3FT6Y578R04_015_S31P_20251219032831_M5358ACSA301811_RBGEUFRF04/dpll_52094/txpa_54178.png","plot")</f>
        <v>plot</v>
      </c>
    </row>
    <row r="4879" spans="1:29" hidden="1" x14ac:dyDescent="0.35">
      <c r="A4879" t="s">
        <v>50</v>
      </c>
      <c r="B4879">
        <v>52094</v>
      </c>
      <c r="C4879" t="s">
        <v>53</v>
      </c>
      <c r="D4879">
        <v>54179</v>
      </c>
      <c r="E4879" t="s">
        <v>199</v>
      </c>
      <c r="F4879">
        <v>11782</v>
      </c>
      <c r="G4879">
        <v>0.67204915561992606</v>
      </c>
      <c r="H4879">
        <v>0</v>
      </c>
      <c r="I4879">
        <v>0</v>
      </c>
      <c r="J4879">
        <v>0.60499438507315195</v>
      </c>
      <c r="K4879">
        <v>0</v>
      </c>
      <c r="L4879">
        <v>0</v>
      </c>
      <c r="M4879">
        <v>0.42995695561521108</v>
      </c>
      <c r="N4879">
        <v>0</v>
      </c>
      <c r="O4879">
        <v>0</v>
      </c>
      <c r="P4879">
        <v>0.45165006756945558</v>
      </c>
      <c r="Q4879">
        <v>0.82910803019609058</v>
      </c>
      <c r="R4879">
        <v>-2.303019764885835</v>
      </c>
      <c r="S4879">
        <v>0.2034181585832775</v>
      </c>
      <c r="T4879">
        <v>0.15602775199710231</v>
      </c>
      <c r="U4879">
        <v>4.2673938428959426</v>
      </c>
      <c r="V4879">
        <v>0.22267382584799689</v>
      </c>
      <c r="W4879">
        <v>1.2351107382685449</v>
      </c>
      <c r="X4879">
        <v>0.2747130259463807</v>
      </c>
      <c r="Z4879" t="s">
        <v>392</v>
      </c>
      <c r="AA4879">
        <v>161</v>
      </c>
      <c r="AB4879" t="s">
        <v>5270</v>
      </c>
      <c r="AC4879" t="str">
        <f>HYPERLINK("plots/3FT6Y578R04_015_S31P_20251219032831_M5358ACSA301811_RBGEUFRF04/dpll_52094/txpa_54179.png","plot")</f>
        <v>plot</v>
      </c>
    </row>
    <row r="4880" spans="1:29" hidden="1" x14ac:dyDescent="0.35">
      <c r="A4880" t="s">
        <v>50</v>
      </c>
      <c r="B4880">
        <v>52094</v>
      </c>
      <c r="C4880" t="s">
        <v>53</v>
      </c>
      <c r="D4880">
        <v>54180</v>
      </c>
      <c r="E4880" t="s">
        <v>200</v>
      </c>
      <c r="F4880">
        <v>11782</v>
      </c>
      <c r="G4880">
        <v>0.69592281412537826</v>
      </c>
      <c r="H4880">
        <v>0</v>
      </c>
      <c r="I4880">
        <v>0</v>
      </c>
      <c r="J4880">
        <v>0.62124413856763749</v>
      </c>
      <c r="K4880">
        <v>0</v>
      </c>
      <c r="L4880">
        <v>0</v>
      </c>
      <c r="M4880">
        <v>0.44521626426066763</v>
      </c>
      <c r="N4880">
        <v>0</v>
      </c>
      <c r="O4880">
        <v>0</v>
      </c>
      <c r="P4880">
        <v>0.48430856322018578</v>
      </c>
      <c r="Q4880">
        <v>0.8598006338075399</v>
      </c>
      <c r="R4880">
        <v>-2.3984076348989412</v>
      </c>
      <c r="S4880">
        <v>0.19755243478225909</v>
      </c>
      <c r="T4880">
        <v>0.15331064347912471</v>
      </c>
      <c r="U4880">
        <v>4.2673938428959426</v>
      </c>
      <c r="V4880">
        <v>0.22267382584799689</v>
      </c>
      <c r="W4880">
        <v>1.270700295929384</v>
      </c>
      <c r="X4880">
        <v>0.27510967123139141</v>
      </c>
      <c r="Z4880" t="s">
        <v>392</v>
      </c>
      <c r="AA4880">
        <v>161</v>
      </c>
      <c r="AB4880" t="s">
        <v>5271</v>
      </c>
      <c r="AC4880" t="str">
        <f>HYPERLINK("plots/3FT6Y578R04_015_S31P_20251219032831_M5358ACSA301811_RBGEUFRF04/dpll_52094/txpa_54180.png","plot")</f>
        <v>plot</v>
      </c>
    </row>
    <row r="4881" spans="1:29" hidden="1" x14ac:dyDescent="0.35">
      <c r="A4881" t="s">
        <v>50</v>
      </c>
      <c r="B4881">
        <v>52094</v>
      </c>
      <c r="C4881" t="s">
        <v>53</v>
      </c>
      <c r="D4881">
        <v>54181</v>
      </c>
      <c r="E4881" t="s">
        <v>201</v>
      </c>
      <c r="F4881">
        <v>11782</v>
      </c>
      <c r="G4881">
        <v>0.68572148856473869</v>
      </c>
      <c r="H4881">
        <v>0</v>
      </c>
      <c r="I4881">
        <v>0</v>
      </c>
      <c r="J4881">
        <v>0.61005929034848716</v>
      </c>
      <c r="K4881">
        <v>0</v>
      </c>
      <c r="L4881">
        <v>0</v>
      </c>
      <c r="M4881">
        <v>0.43574601323095508</v>
      </c>
      <c r="N4881">
        <v>0</v>
      </c>
      <c r="O4881">
        <v>0</v>
      </c>
      <c r="P4881">
        <v>0.47021395987944098</v>
      </c>
      <c r="Q4881">
        <v>0.83477210433104787</v>
      </c>
      <c r="R4881">
        <v>-2.2839727422157639</v>
      </c>
      <c r="S4881">
        <v>0.19729730977645221</v>
      </c>
      <c r="T4881">
        <v>0.15292631494603501</v>
      </c>
      <c r="U4881">
        <v>4.2673938428959426</v>
      </c>
      <c r="V4881">
        <v>0.22267382584799689</v>
      </c>
      <c r="W4881">
        <v>1.278328596027839</v>
      </c>
      <c r="X4881">
        <v>0.27107492076942341</v>
      </c>
      <c r="Z4881" t="s">
        <v>392</v>
      </c>
      <c r="AA4881">
        <v>161</v>
      </c>
      <c r="AB4881" t="s">
        <v>5272</v>
      </c>
      <c r="AC4881" t="str">
        <f>HYPERLINK("plots/3FT6Y578R04_015_S31P_20251219032831_M5358ACSA301811_RBGEUFRF04/dpll_52094/txpa_54181.png","plot")</f>
        <v>plot</v>
      </c>
    </row>
    <row r="4882" spans="1:29" hidden="1" x14ac:dyDescent="0.35">
      <c r="A4882" t="s">
        <v>50</v>
      </c>
      <c r="B4882">
        <v>52094</v>
      </c>
      <c r="C4882" t="s">
        <v>53</v>
      </c>
      <c r="D4882">
        <v>54182</v>
      </c>
      <c r="E4882" t="s">
        <v>202</v>
      </c>
      <c r="F4882">
        <v>11781</v>
      </c>
      <c r="G4882">
        <v>0.70376279420056775</v>
      </c>
      <c r="H4882">
        <v>0</v>
      </c>
      <c r="I4882">
        <v>0</v>
      </c>
      <c r="J4882">
        <v>0.62265609882458683</v>
      </c>
      <c r="K4882">
        <v>0</v>
      </c>
      <c r="L4882">
        <v>0</v>
      </c>
      <c r="M4882">
        <v>0.44663876183602452</v>
      </c>
      <c r="N4882">
        <v>0</v>
      </c>
      <c r="O4882">
        <v>0</v>
      </c>
      <c r="P4882">
        <v>0.49528207050099071</v>
      </c>
      <c r="Q4882">
        <v>0.86490770851055843</v>
      </c>
      <c r="R4882">
        <v>-2.394550144556177</v>
      </c>
      <c r="S4882">
        <v>0.1944164654643892</v>
      </c>
      <c r="T4882">
        <v>0.1517051578025829</v>
      </c>
      <c r="U4882">
        <v>4.2674026018164843</v>
      </c>
      <c r="V4882">
        <v>0.22268124725346999</v>
      </c>
      <c r="W4882">
        <v>1.296359261072914</v>
      </c>
      <c r="X4882">
        <v>0.27366994799583338</v>
      </c>
      <c r="Z4882" t="s">
        <v>392</v>
      </c>
      <c r="AA4882">
        <v>161</v>
      </c>
      <c r="AB4882" t="s">
        <v>5273</v>
      </c>
      <c r="AC4882" t="str">
        <f>HYPERLINK("plots/3FT6Y578R04_015_S31P_20251219032831_M5358ACSA301811_RBGEUFRF04/dpll_52094/txpa_54182.png","plot")</f>
        <v>plot</v>
      </c>
    </row>
    <row r="4883" spans="1:29" hidden="1" x14ac:dyDescent="0.35">
      <c r="A4883" t="s">
        <v>50</v>
      </c>
      <c r="B4883">
        <v>52094</v>
      </c>
      <c r="C4883" t="s">
        <v>53</v>
      </c>
      <c r="D4883">
        <v>54183</v>
      </c>
      <c r="E4883" t="s">
        <v>203</v>
      </c>
      <c r="F4883">
        <v>11781</v>
      </c>
      <c r="G4883">
        <v>0.70296365745979805</v>
      </c>
      <c r="H4883">
        <v>0</v>
      </c>
      <c r="I4883">
        <v>0</v>
      </c>
      <c r="J4883">
        <v>0.61680893964183403</v>
      </c>
      <c r="K4883">
        <v>0</v>
      </c>
      <c r="L4883">
        <v>0</v>
      </c>
      <c r="M4883">
        <v>0.44051209122530582</v>
      </c>
      <c r="N4883">
        <v>0</v>
      </c>
      <c r="O4883">
        <v>0</v>
      </c>
      <c r="P4883">
        <v>0.49415790370925627</v>
      </c>
      <c r="Q4883">
        <v>0.85911231793319798</v>
      </c>
      <c r="R4883">
        <v>-2.3904204203429611</v>
      </c>
      <c r="S4883">
        <v>0.1935309044227122</v>
      </c>
      <c r="T4883">
        <v>0.15137457138124269</v>
      </c>
      <c r="U4883">
        <v>4.2673648416942536</v>
      </c>
      <c r="V4883">
        <v>0.2226610238238293</v>
      </c>
      <c r="W4883">
        <v>1.2757252802716239</v>
      </c>
      <c r="X4883">
        <v>0.27212050902021018</v>
      </c>
      <c r="Z4883" t="s">
        <v>392</v>
      </c>
      <c r="AA4883">
        <v>161</v>
      </c>
      <c r="AB4883" t="s">
        <v>5274</v>
      </c>
      <c r="AC4883" t="str">
        <f>HYPERLINK("plots/3FT6Y578R04_015_S31P_20251219032831_M5358ACSA301811_RBGEUFRF04/dpll_52094/txpa_54183.png","plot")</f>
        <v>plot</v>
      </c>
    </row>
    <row r="4884" spans="1:29" hidden="1" x14ac:dyDescent="0.35">
      <c r="A4884" t="s">
        <v>50</v>
      </c>
      <c r="B4884">
        <v>52094</v>
      </c>
      <c r="C4884" t="s">
        <v>53</v>
      </c>
      <c r="D4884">
        <v>54184</v>
      </c>
      <c r="E4884" t="s">
        <v>204</v>
      </c>
      <c r="F4884">
        <v>11782</v>
      </c>
      <c r="G4884">
        <v>0.70808874274924172</v>
      </c>
      <c r="H4884">
        <v>0</v>
      </c>
      <c r="I4884">
        <v>0</v>
      </c>
      <c r="J4884">
        <v>0.63155353273156167</v>
      </c>
      <c r="K4884">
        <v>0</v>
      </c>
      <c r="L4884">
        <v>0</v>
      </c>
      <c r="M4884">
        <v>0.45312678226017977</v>
      </c>
      <c r="N4884">
        <v>0</v>
      </c>
      <c r="O4884">
        <v>0</v>
      </c>
      <c r="P4884">
        <v>0.50138966760820181</v>
      </c>
      <c r="Q4884">
        <v>0.87218865430117265</v>
      </c>
      <c r="R4884">
        <v>-2.439779490804856</v>
      </c>
      <c r="S4884">
        <v>0.1936663286396231</v>
      </c>
      <c r="T4884">
        <v>0.15121207379173041</v>
      </c>
      <c r="U4884">
        <v>4.2673938428959426</v>
      </c>
      <c r="V4884">
        <v>0.22267382584799689</v>
      </c>
      <c r="W4884">
        <v>1.282193002403667</v>
      </c>
      <c r="X4884">
        <v>0.274278593612998</v>
      </c>
      <c r="Z4884" t="s">
        <v>392</v>
      </c>
      <c r="AA4884">
        <v>161</v>
      </c>
      <c r="AB4884" t="s">
        <v>5275</v>
      </c>
      <c r="AC4884" t="str">
        <f>HYPERLINK("plots/3FT6Y578R04_015_S31P_20251219032831_M5358ACSA301811_RBGEUFRF04/dpll_52094/txpa_54184.png","plot")</f>
        <v>plot</v>
      </c>
    </row>
    <row r="4885" spans="1:29" hidden="1" x14ac:dyDescent="0.35">
      <c r="A4885" t="s">
        <v>50</v>
      </c>
      <c r="B4885">
        <v>52094</v>
      </c>
      <c r="C4885" t="s">
        <v>53</v>
      </c>
      <c r="D4885">
        <v>54185</v>
      </c>
      <c r="E4885" t="s">
        <v>205</v>
      </c>
      <c r="F4885">
        <v>11782</v>
      </c>
      <c r="G4885">
        <v>0.70539981827521281</v>
      </c>
      <c r="H4885">
        <v>0</v>
      </c>
      <c r="I4885">
        <v>0</v>
      </c>
      <c r="J4885">
        <v>0.62262149075143247</v>
      </c>
      <c r="K4885">
        <v>0</v>
      </c>
      <c r="L4885">
        <v>0</v>
      </c>
      <c r="M4885">
        <v>0.44542445808925801</v>
      </c>
      <c r="N4885">
        <v>0</v>
      </c>
      <c r="O4885">
        <v>0</v>
      </c>
      <c r="P4885">
        <v>0.49758890362270319</v>
      </c>
      <c r="Q4885">
        <v>0.8571831303769859</v>
      </c>
      <c r="R4885">
        <v>-2.3716484526284791</v>
      </c>
      <c r="S4885">
        <v>0.19178676033766909</v>
      </c>
      <c r="T4885">
        <v>0.15050290425454679</v>
      </c>
      <c r="U4885">
        <v>4.2673938428959426</v>
      </c>
      <c r="V4885">
        <v>0.22267382584799689</v>
      </c>
      <c r="W4885">
        <v>1.2862895601765409</v>
      </c>
      <c r="X4885">
        <v>0.27058732104597238</v>
      </c>
      <c r="Z4885" t="s">
        <v>392</v>
      </c>
      <c r="AA4885">
        <v>161</v>
      </c>
      <c r="AB4885" t="s">
        <v>5276</v>
      </c>
      <c r="AC4885" t="str">
        <f>HYPERLINK("plots/3FT6Y578R04_015_S31P_20251219032831_M5358ACSA301811_RBGEUFRF04/dpll_52094/txpa_54185.png","plot")</f>
        <v>plot</v>
      </c>
    </row>
    <row r="4886" spans="1:29" hidden="1" x14ac:dyDescent="0.35">
      <c r="A4886" t="s">
        <v>50</v>
      </c>
      <c r="B4886">
        <v>52094</v>
      </c>
      <c r="C4886" t="s">
        <v>53</v>
      </c>
      <c r="D4886">
        <v>54186</v>
      </c>
      <c r="E4886" t="s">
        <v>206</v>
      </c>
      <c r="F4886">
        <v>11781</v>
      </c>
      <c r="G4886">
        <v>0.69489147647644867</v>
      </c>
      <c r="H4886">
        <v>0</v>
      </c>
      <c r="I4886">
        <v>0</v>
      </c>
      <c r="J4886">
        <v>0.61370483292996281</v>
      </c>
      <c r="K4886">
        <v>0</v>
      </c>
      <c r="L4886">
        <v>0</v>
      </c>
      <c r="M4886">
        <v>0.43943720136861708</v>
      </c>
      <c r="N4886">
        <v>0</v>
      </c>
      <c r="O4886">
        <v>0</v>
      </c>
      <c r="P4886">
        <v>0.48287416407961881</v>
      </c>
      <c r="Q4886">
        <v>0.85099664516728835</v>
      </c>
      <c r="R4886">
        <v>-2.3780585598321808</v>
      </c>
      <c r="S4886">
        <v>0.19608674748345739</v>
      </c>
      <c r="T4886">
        <v>0.15232418384961699</v>
      </c>
      <c r="U4886">
        <v>4.2674179181733303</v>
      </c>
      <c r="V4886">
        <v>0.22266794157249609</v>
      </c>
      <c r="W4886">
        <v>1.2534997720600971</v>
      </c>
      <c r="X4886">
        <v>0.27268958920799491</v>
      </c>
      <c r="Z4886" t="s">
        <v>392</v>
      </c>
      <c r="AA4886">
        <v>161</v>
      </c>
      <c r="AB4886" t="s">
        <v>5277</v>
      </c>
      <c r="AC4886" t="str">
        <f>HYPERLINK("plots/3FT6Y578R04_015_S31P_20251219032831_M5358ACSA301811_RBGEUFRF04/dpll_52094/txpa_54186.png","plot")</f>
        <v>plot</v>
      </c>
    </row>
    <row r="4887" spans="1:29" hidden="1" x14ac:dyDescent="0.35">
      <c r="A4887" t="s">
        <v>50</v>
      </c>
      <c r="B4887">
        <v>52094</v>
      </c>
      <c r="C4887" t="s">
        <v>53</v>
      </c>
      <c r="D4887">
        <v>54187</v>
      </c>
      <c r="E4887" t="s">
        <v>207</v>
      </c>
      <c r="F4887">
        <v>11782</v>
      </c>
      <c r="G4887">
        <v>0.70278405357352014</v>
      </c>
      <c r="H4887">
        <v>0</v>
      </c>
      <c r="I4887">
        <v>0</v>
      </c>
      <c r="J4887">
        <v>0.63615365800743873</v>
      </c>
      <c r="K4887">
        <v>0</v>
      </c>
      <c r="L4887">
        <v>0</v>
      </c>
      <c r="M4887">
        <v>0.45514621961194413</v>
      </c>
      <c r="N4887">
        <v>0</v>
      </c>
      <c r="O4887">
        <v>0</v>
      </c>
      <c r="P4887">
        <v>0.49390542595722842</v>
      </c>
      <c r="Q4887">
        <v>0.89548821902139286</v>
      </c>
      <c r="R4887">
        <v>-0.57428614038237269</v>
      </c>
      <c r="S4887">
        <v>0.20183875487274711</v>
      </c>
      <c r="T4887">
        <v>0.15453460355713769</v>
      </c>
      <c r="U4887">
        <v>4.2673938428959426</v>
      </c>
      <c r="V4887">
        <v>0.22267382584799689</v>
      </c>
      <c r="W4887">
        <v>3.2471147718553719</v>
      </c>
      <c r="X4887">
        <v>0.28373123538785938</v>
      </c>
      <c r="Z4887" t="s">
        <v>392</v>
      </c>
      <c r="AA4887">
        <v>161</v>
      </c>
      <c r="AB4887" t="s">
        <v>5278</v>
      </c>
      <c r="AC4887" t="str">
        <f>HYPERLINK("plots/3FT6Y578R04_015_S31P_20251219032831_M5358ACSA301811_RBGEUFRF04/dpll_52094/txpa_54187.png","plot")</f>
        <v>plot</v>
      </c>
    </row>
    <row r="4888" spans="1:29" hidden="1" x14ac:dyDescent="0.35">
      <c r="A4888" t="s">
        <v>50</v>
      </c>
      <c r="B4888">
        <v>52094</v>
      </c>
      <c r="C4888" t="s">
        <v>53</v>
      </c>
      <c r="D4888">
        <v>54188</v>
      </c>
      <c r="E4888" t="s">
        <v>208</v>
      </c>
      <c r="F4888">
        <v>11782</v>
      </c>
      <c r="G4888">
        <v>0.7251594926954219</v>
      </c>
      <c r="H4888">
        <v>0</v>
      </c>
      <c r="I4888">
        <v>0</v>
      </c>
      <c r="J4888">
        <v>0.65092024609327526</v>
      </c>
      <c r="K4888">
        <v>0</v>
      </c>
      <c r="L4888">
        <v>0</v>
      </c>
      <c r="M4888">
        <v>0.46984599730538912</v>
      </c>
      <c r="N4888">
        <v>0</v>
      </c>
      <c r="O4888">
        <v>0</v>
      </c>
      <c r="P4888">
        <v>0.52585628984628163</v>
      </c>
      <c r="Q4888">
        <v>0.92594813069971293</v>
      </c>
      <c r="R4888">
        <v>-0.66985167949223845</v>
      </c>
      <c r="S4888">
        <v>0.19577573333687681</v>
      </c>
      <c r="T4888">
        <v>0.15198465568273911</v>
      </c>
      <c r="U4888">
        <v>4.2673938428959426</v>
      </c>
      <c r="V4888">
        <v>0.22267382584799689</v>
      </c>
      <c r="W4888">
        <v>3.2815336722967241</v>
      </c>
      <c r="X4888">
        <v>0.2843297438378935</v>
      </c>
      <c r="Z4888" t="s">
        <v>392</v>
      </c>
      <c r="AA4888">
        <v>161</v>
      </c>
      <c r="AB4888" t="s">
        <v>5279</v>
      </c>
      <c r="AC4888" t="str">
        <f>HYPERLINK("plots/3FT6Y578R04_015_S31P_20251219032831_M5358ACSA301811_RBGEUFRF04/dpll_52094/txpa_54188.png","plot")</f>
        <v>plot</v>
      </c>
    </row>
    <row r="4889" spans="1:29" hidden="1" x14ac:dyDescent="0.35">
      <c r="A4889" t="s">
        <v>50</v>
      </c>
      <c r="B4889">
        <v>52094</v>
      </c>
      <c r="C4889" t="s">
        <v>53</v>
      </c>
      <c r="D4889">
        <v>54189</v>
      </c>
      <c r="E4889" t="s">
        <v>209</v>
      </c>
      <c r="F4889">
        <v>11782</v>
      </c>
      <c r="G4889">
        <v>0.71575251115872307</v>
      </c>
      <c r="H4889">
        <v>0</v>
      </c>
      <c r="I4889">
        <v>0</v>
      </c>
      <c r="J4889">
        <v>0.64057641576915658</v>
      </c>
      <c r="K4889">
        <v>0</v>
      </c>
      <c r="L4889">
        <v>0</v>
      </c>
      <c r="M4889">
        <v>0.4606705866988246</v>
      </c>
      <c r="N4889">
        <v>0</v>
      </c>
      <c r="O4889">
        <v>0</v>
      </c>
      <c r="P4889">
        <v>0.51230165723001797</v>
      </c>
      <c r="Q4889">
        <v>0.90088884521466484</v>
      </c>
      <c r="R4889">
        <v>-0.55435018409354742</v>
      </c>
      <c r="S4889">
        <v>0.19571977545401309</v>
      </c>
      <c r="T4889">
        <v>0.1513877549960489</v>
      </c>
      <c r="U4889">
        <v>4.2673938428959426</v>
      </c>
      <c r="V4889">
        <v>0.22267382584799689</v>
      </c>
      <c r="W4889">
        <v>3.2900973271091489</v>
      </c>
      <c r="X4889">
        <v>0.28027057216044882</v>
      </c>
      <c r="Z4889" t="s">
        <v>392</v>
      </c>
      <c r="AA4889">
        <v>161</v>
      </c>
      <c r="AB4889" t="s">
        <v>5280</v>
      </c>
      <c r="AC4889" t="str">
        <f>HYPERLINK("plots/3FT6Y578R04_015_S31P_20251219032831_M5358ACSA301811_RBGEUFRF04/dpll_52094/txpa_54189.png","plot")</f>
        <v>plot</v>
      </c>
    </row>
    <row r="4890" spans="1:29" hidden="1" x14ac:dyDescent="0.35">
      <c r="A4890" t="s">
        <v>50</v>
      </c>
      <c r="B4890">
        <v>52094</v>
      </c>
      <c r="C4890" t="s">
        <v>53</v>
      </c>
      <c r="D4890">
        <v>54190</v>
      </c>
      <c r="E4890" t="s">
        <v>210</v>
      </c>
      <c r="F4890">
        <v>11781</v>
      </c>
      <c r="G4890">
        <v>0.73248333604928306</v>
      </c>
      <c r="H4890">
        <v>0</v>
      </c>
      <c r="I4890">
        <v>0</v>
      </c>
      <c r="J4890">
        <v>0.65272059341819355</v>
      </c>
      <c r="K4890">
        <v>0</v>
      </c>
      <c r="L4890">
        <v>0</v>
      </c>
      <c r="M4890">
        <v>0.47153283334463258</v>
      </c>
      <c r="N4890">
        <v>0</v>
      </c>
      <c r="O4890">
        <v>0</v>
      </c>
      <c r="P4890">
        <v>0.53653183758988698</v>
      </c>
      <c r="Q4890">
        <v>0.92930040406420389</v>
      </c>
      <c r="R4890">
        <v>-0.66128017701014397</v>
      </c>
      <c r="S4890">
        <v>0.19232402631257911</v>
      </c>
      <c r="T4890">
        <v>0.14997079945507669</v>
      </c>
      <c r="U4890">
        <v>4.2674026018164843</v>
      </c>
      <c r="V4890">
        <v>0.22268124725346999</v>
      </c>
      <c r="W4890">
        <v>3.3044187851625502</v>
      </c>
      <c r="X4890">
        <v>0.28251533224811459</v>
      </c>
      <c r="Z4890" t="s">
        <v>392</v>
      </c>
      <c r="AA4890">
        <v>161</v>
      </c>
      <c r="AB4890" t="s">
        <v>5281</v>
      </c>
      <c r="AC4890" t="str">
        <f>HYPERLINK("plots/3FT6Y578R04_015_S31P_20251219032831_M5358ACSA301811_RBGEUFRF04/dpll_52094/txpa_54190.png","plot")</f>
        <v>plot</v>
      </c>
    </row>
    <row r="4891" spans="1:29" hidden="1" x14ac:dyDescent="0.35">
      <c r="A4891" t="s">
        <v>50</v>
      </c>
      <c r="B4891">
        <v>52094</v>
      </c>
      <c r="C4891" t="s">
        <v>53</v>
      </c>
      <c r="D4891">
        <v>54191</v>
      </c>
      <c r="E4891" t="s">
        <v>211</v>
      </c>
      <c r="F4891">
        <v>11781</v>
      </c>
      <c r="G4891">
        <v>0.73227066786691764</v>
      </c>
      <c r="H4891">
        <v>0</v>
      </c>
      <c r="I4891">
        <v>0</v>
      </c>
      <c r="J4891">
        <v>0.64719907475912652</v>
      </c>
      <c r="K4891">
        <v>0</v>
      </c>
      <c r="L4891">
        <v>0</v>
      </c>
      <c r="M4891">
        <v>0.46537962324596782</v>
      </c>
      <c r="N4891">
        <v>0</v>
      </c>
      <c r="O4891">
        <v>0</v>
      </c>
      <c r="P4891">
        <v>0.53622033101826161</v>
      </c>
      <c r="Q4891">
        <v>0.92394969808513994</v>
      </c>
      <c r="R4891">
        <v>-0.66023150107164952</v>
      </c>
      <c r="S4891">
        <v>0.19131909229797631</v>
      </c>
      <c r="T4891">
        <v>0.1495788718776612</v>
      </c>
      <c r="U4891">
        <v>4.2673648416942536</v>
      </c>
      <c r="V4891">
        <v>0.2226610238238293</v>
      </c>
      <c r="W4891">
        <v>3.2825989560308968</v>
      </c>
      <c r="X4891">
        <v>0.28094473091027039</v>
      </c>
      <c r="Z4891" t="s">
        <v>392</v>
      </c>
      <c r="AA4891">
        <v>161</v>
      </c>
      <c r="AB4891" t="s">
        <v>5282</v>
      </c>
      <c r="AC4891" t="str">
        <f>HYPERLINK("plots/3FT6Y578R04_015_S31P_20251219032831_M5358ACSA301811_RBGEUFRF04/dpll_52094/txpa_54191.png","plot")</f>
        <v>plot</v>
      </c>
    </row>
    <row r="4892" spans="1:29" hidden="1" x14ac:dyDescent="0.35">
      <c r="A4892" t="s">
        <v>50</v>
      </c>
      <c r="B4892">
        <v>52094</v>
      </c>
      <c r="C4892" t="s">
        <v>53</v>
      </c>
      <c r="D4892">
        <v>54192</v>
      </c>
      <c r="E4892" t="s">
        <v>212</v>
      </c>
      <c r="F4892">
        <v>11781</v>
      </c>
      <c r="G4892">
        <v>0.7385230645631371</v>
      </c>
      <c r="H4892">
        <v>0</v>
      </c>
      <c r="I4892">
        <v>0</v>
      </c>
      <c r="J4892">
        <v>0.66181596427957667</v>
      </c>
      <c r="K4892">
        <v>0</v>
      </c>
      <c r="L4892">
        <v>0</v>
      </c>
      <c r="M4892">
        <v>0.47836066899585877</v>
      </c>
      <c r="N4892">
        <v>0</v>
      </c>
      <c r="O4892">
        <v>0</v>
      </c>
      <c r="P4892">
        <v>0.54541631689172754</v>
      </c>
      <c r="Q4892">
        <v>0.93935637662879201</v>
      </c>
      <c r="R4892">
        <v>-0.71618269729225847</v>
      </c>
      <c r="S4892">
        <v>0.19093505514212769</v>
      </c>
      <c r="T4892">
        <v>0.14944442183521689</v>
      </c>
      <c r="U4892">
        <v>4.2673606822850356</v>
      </c>
      <c r="V4892">
        <v>0.2226541824443867</v>
      </c>
      <c r="W4892">
        <v>3.292389770987183</v>
      </c>
      <c r="X4892">
        <v>0.28320256481891443</v>
      </c>
      <c r="Z4892" t="s">
        <v>392</v>
      </c>
      <c r="AA4892">
        <v>161</v>
      </c>
      <c r="AB4892" t="s">
        <v>5283</v>
      </c>
      <c r="AC4892" t="str">
        <f>HYPERLINK("plots/3FT6Y578R04_015_S31P_20251219032831_M5358ACSA301811_RBGEUFRF04/dpll_52094/txpa_54192.png","plot")</f>
        <v>plot</v>
      </c>
    </row>
    <row r="4893" spans="1:29" hidden="1" x14ac:dyDescent="0.35">
      <c r="A4893" t="s">
        <v>50</v>
      </c>
      <c r="B4893">
        <v>52094</v>
      </c>
      <c r="C4893" t="s">
        <v>53</v>
      </c>
      <c r="D4893">
        <v>54193</v>
      </c>
      <c r="E4893" t="s">
        <v>213</v>
      </c>
      <c r="F4893">
        <v>11782</v>
      </c>
      <c r="G4893">
        <v>0.73428130010982617</v>
      </c>
      <c r="H4893">
        <v>0</v>
      </c>
      <c r="I4893">
        <v>0</v>
      </c>
      <c r="J4893">
        <v>0.65235728740618859</v>
      </c>
      <c r="K4893">
        <v>0</v>
      </c>
      <c r="L4893">
        <v>0</v>
      </c>
      <c r="M4893">
        <v>0.47008222454660159</v>
      </c>
      <c r="N4893">
        <v>0</v>
      </c>
      <c r="O4893">
        <v>0</v>
      </c>
      <c r="P4893">
        <v>0.53916902769097663</v>
      </c>
      <c r="Q4893">
        <v>0.92354055298334903</v>
      </c>
      <c r="R4893">
        <v>-0.64494823891077413</v>
      </c>
      <c r="S4893">
        <v>0.19011442566288159</v>
      </c>
      <c r="T4893">
        <v>0.1492425408091925</v>
      </c>
      <c r="U4893">
        <v>4.2673938428959426</v>
      </c>
      <c r="V4893">
        <v>0.22267382584799689</v>
      </c>
      <c r="W4893">
        <v>3.2961630305550842</v>
      </c>
      <c r="X4893">
        <v>0.28006747308942531</v>
      </c>
      <c r="Z4893" t="s">
        <v>392</v>
      </c>
      <c r="AA4893">
        <v>161</v>
      </c>
      <c r="AB4893" t="s">
        <v>5284</v>
      </c>
      <c r="AC4893" t="str">
        <f>HYPERLINK("plots/3FT6Y578R04_015_S31P_20251219032831_M5358ACSA301811_RBGEUFRF04/dpll_52094/txpa_54193.png","plot")</f>
        <v>plot</v>
      </c>
    </row>
    <row r="4894" spans="1:29" hidden="1" x14ac:dyDescent="0.35">
      <c r="A4894" t="s">
        <v>50</v>
      </c>
      <c r="B4894">
        <v>52094</v>
      </c>
      <c r="C4894" t="s">
        <v>53</v>
      </c>
      <c r="D4894">
        <v>54194</v>
      </c>
      <c r="E4894" t="s">
        <v>214</v>
      </c>
      <c r="F4894">
        <v>11781</v>
      </c>
      <c r="G4894">
        <v>0.72511691634219511</v>
      </c>
      <c r="H4894">
        <v>0</v>
      </c>
      <c r="I4894">
        <v>0</v>
      </c>
      <c r="J4894">
        <v>0.64476463059562639</v>
      </c>
      <c r="K4894">
        <v>0</v>
      </c>
      <c r="L4894">
        <v>0</v>
      </c>
      <c r="M4894">
        <v>0.46485110398813961</v>
      </c>
      <c r="N4894">
        <v>0</v>
      </c>
      <c r="O4894">
        <v>0</v>
      </c>
      <c r="P4894">
        <v>0.52579454236561396</v>
      </c>
      <c r="Q4894">
        <v>0.91703309031107449</v>
      </c>
      <c r="R4894">
        <v>-0.6477405737377091</v>
      </c>
      <c r="S4894">
        <v>0.19390968715658199</v>
      </c>
      <c r="T4894">
        <v>0.15047579497040631</v>
      </c>
      <c r="U4894">
        <v>4.2674179181733303</v>
      </c>
      <c r="V4894">
        <v>0.22266794157249609</v>
      </c>
      <c r="W4894">
        <v>3.2656228674136321</v>
      </c>
      <c r="X4894">
        <v>0.28160130590177701</v>
      </c>
      <c r="Z4894" t="s">
        <v>392</v>
      </c>
      <c r="AA4894">
        <v>161</v>
      </c>
      <c r="AB4894" t="s">
        <v>5285</v>
      </c>
      <c r="AC4894" t="str">
        <f>HYPERLINK("plots/3FT6Y578R04_015_S31P_20251219032831_M5358ACSA301811_RBGEUFRF04/dpll_52094/txpa_54194.png","plot")</f>
        <v>plot</v>
      </c>
    </row>
    <row r="4895" spans="1:29" hidden="1" x14ac:dyDescent="0.35">
      <c r="A4895" t="s">
        <v>50</v>
      </c>
      <c r="B4895">
        <v>52094</v>
      </c>
      <c r="C4895" t="s">
        <v>53</v>
      </c>
      <c r="D4895">
        <v>54195</v>
      </c>
      <c r="E4895" t="s">
        <v>215</v>
      </c>
      <c r="F4895">
        <v>11782</v>
      </c>
      <c r="G4895">
        <v>0.73990677926564752</v>
      </c>
      <c r="H4895">
        <v>0</v>
      </c>
      <c r="I4895">
        <v>0</v>
      </c>
      <c r="J4895">
        <v>0.66870886987582645</v>
      </c>
      <c r="K4895">
        <v>0</v>
      </c>
      <c r="L4895">
        <v>0</v>
      </c>
      <c r="M4895">
        <v>0.48262745543889729</v>
      </c>
      <c r="N4895">
        <v>0</v>
      </c>
      <c r="O4895">
        <v>0</v>
      </c>
      <c r="P4895">
        <v>0.54746204200326365</v>
      </c>
      <c r="Q4895">
        <v>0.99975328901997063</v>
      </c>
      <c r="R4895">
        <v>1.3979219746893481</v>
      </c>
      <c r="S4895">
        <v>0.20239234449769919</v>
      </c>
      <c r="T4895">
        <v>0.1543232424571753</v>
      </c>
      <c r="U4895">
        <v>4.2673938428959426</v>
      </c>
      <c r="V4895">
        <v>0.22267382584799689</v>
      </c>
      <c r="W4895">
        <v>5.6642630046681388</v>
      </c>
      <c r="X4895">
        <v>0.30087423984835338</v>
      </c>
      <c r="Z4895" t="s">
        <v>392</v>
      </c>
      <c r="AA4895">
        <v>161</v>
      </c>
      <c r="AB4895" t="s">
        <v>5286</v>
      </c>
      <c r="AC4895" t="str">
        <f>HYPERLINK("plots/3FT6Y578R04_015_S31P_20251219032831_M5358ACSA301811_RBGEUFRF04/dpll_52094/txpa_54195.png","plot")</f>
        <v>plot</v>
      </c>
    </row>
    <row r="4896" spans="1:29" hidden="1" x14ac:dyDescent="0.35">
      <c r="A4896" t="s">
        <v>50</v>
      </c>
      <c r="B4896">
        <v>52094</v>
      </c>
      <c r="C4896" t="s">
        <v>53</v>
      </c>
      <c r="D4896">
        <v>54196</v>
      </c>
      <c r="E4896" t="s">
        <v>216</v>
      </c>
      <c r="F4896">
        <v>11782</v>
      </c>
      <c r="G4896">
        <v>0.75952125768852075</v>
      </c>
      <c r="H4896">
        <v>0</v>
      </c>
      <c r="I4896">
        <v>0</v>
      </c>
      <c r="J4896">
        <v>0.68128868536806575</v>
      </c>
      <c r="K4896">
        <v>0</v>
      </c>
      <c r="L4896">
        <v>0</v>
      </c>
      <c r="M4896">
        <v>0.49605578075706669</v>
      </c>
      <c r="N4896">
        <v>0</v>
      </c>
      <c r="O4896">
        <v>0</v>
      </c>
      <c r="P4896">
        <v>0.57687254088075235</v>
      </c>
      <c r="Q4896">
        <v>1.028227716176207</v>
      </c>
      <c r="R4896">
        <v>1.3104747025131001</v>
      </c>
      <c r="S4896">
        <v>0.19608109227359441</v>
      </c>
      <c r="T4896">
        <v>0.15175840273117491</v>
      </c>
      <c r="U4896">
        <v>4.2673938428959426</v>
      </c>
      <c r="V4896">
        <v>0.22267382584799689</v>
      </c>
      <c r="W4896">
        <v>5.6983273276184008</v>
      </c>
      <c r="X4896">
        <v>0.3014522596782937</v>
      </c>
      <c r="Z4896" t="s">
        <v>392</v>
      </c>
      <c r="AA4896">
        <v>161</v>
      </c>
      <c r="AB4896" t="s">
        <v>5287</v>
      </c>
      <c r="AC4896" t="str">
        <f>HYPERLINK("plots/3FT6Y578R04_015_S31P_20251219032831_M5358ACSA301811_RBGEUFRF04/dpll_52094/txpa_54196.png","plot")</f>
        <v>plot</v>
      </c>
    </row>
    <row r="4897" spans="1:29" hidden="1" x14ac:dyDescent="0.35">
      <c r="A4897" t="s">
        <v>50</v>
      </c>
      <c r="B4897">
        <v>52094</v>
      </c>
      <c r="C4897" t="s">
        <v>53</v>
      </c>
      <c r="D4897">
        <v>54197</v>
      </c>
      <c r="E4897" t="s">
        <v>217</v>
      </c>
      <c r="F4897">
        <v>11782</v>
      </c>
      <c r="G4897">
        <v>0.75140576290506111</v>
      </c>
      <c r="H4897">
        <v>0</v>
      </c>
      <c r="I4897">
        <v>0</v>
      </c>
      <c r="J4897">
        <v>0.67221367040500202</v>
      </c>
      <c r="K4897">
        <v>0</v>
      </c>
      <c r="L4897">
        <v>0</v>
      </c>
      <c r="M4897">
        <v>0.48758256061304389</v>
      </c>
      <c r="N4897">
        <v>0</v>
      </c>
      <c r="O4897">
        <v>0</v>
      </c>
      <c r="P4897">
        <v>0.56461062052693689</v>
      </c>
      <c r="Q4897">
        <v>1.0032506558434811</v>
      </c>
      <c r="R4897">
        <v>1.426456981487132</v>
      </c>
      <c r="S4897">
        <v>0.1961663837131575</v>
      </c>
      <c r="T4897">
        <v>0.1510814726659149</v>
      </c>
      <c r="U4897">
        <v>4.2673938428959426</v>
      </c>
      <c r="V4897">
        <v>0.22267382584799689</v>
      </c>
      <c r="W4897">
        <v>5.7077226531149208</v>
      </c>
      <c r="X4897">
        <v>0.29730629288426941</v>
      </c>
      <c r="Z4897" t="s">
        <v>392</v>
      </c>
      <c r="AA4897">
        <v>161</v>
      </c>
      <c r="AB4897" t="s">
        <v>5288</v>
      </c>
      <c r="AC4897" t="str">
        <f>HYPERLINK("plots/3FT6Y578R04_015_S31P_20251219032831_M5358ACSA301811_RBGEUFRF04/dpll_52094/txpa_54197.png","plot")</f>
        <v>plot</v>
      </c>
    </row>
    <row r="4898" spans="1:29" hidden="1" x14ac:dyDescent="0.35">
      <c r="A4898" t="s">
        <v>50</v>
      </c>
      <c r="B4898">
        <v>52094</v>
      </c>
      <c r="C4898" t="s">
        <v>53</v>
      </c>
      <c r="D4898">
        <v>54198</v>
      </c>
      <c r="E4898" t="s">
        <v>218</v>
      </c>
      <c r="F4898">
        <v>11781</v>
      </c>
      <c r="G4898">
        <v>0.76651198885439076</v>
      </c>
      <c r="H4898">
        <v>0</v>
      </c>
      <c r="I4898">
        <v>0</v>
      </c>
      <c r="J4898">
        <v>0.68334680306434592</v>
      </c>
      <c r="K4898">
        <v>0</v>
      </c>
      <c r="L4898">
        <v>0</v>
      </c>
      <c r="M4898">
        <v>0.4978807660418641</v>
      </c>
      <c r="N4898">
        <v>0</v>
      </c>
      <c r="O4898">
        <v>0</v>
      </c>
      <c r="P4898">
        <v>0.5875406290575137</v>
      </c>
      <c r="Q4898">
        <v>1.0308156011577621</v>
      </c>
      <c r="R4898">
        <v>1.319566549832778</v>
      </c>
      <c r="S4898">
        <v>0.1923170687002774</v>
      </c>
      <c r="T4898">
        <v>0.14951955413652629</v>
      </c>
      <c r="U4898">
        <v>4.2674026018164843</v>
      </c>
      <c r="V4898">
        <v>0.22268124725346999</v>
      </c>
      <c r="W4898">
        <v>5.7184717282064339</v>
      </c>
      <c r="X4898">
        <v>0.29946472735177371</v>
      </c>
      <c r="Z4898" t="s">
        <v>392</v>
      </c>
      <c r="AA4898">
        <v>161</v>
      </c>
      <c r="AB4898" t="s">
        <v>5289</v>
      </c>
      <c r="AC4898" t="str">
        <f>HYPERLINK("plots/3FT6Y578R04_015_S31P_20251219032831_M5358ACSA301811_RBGEUFRF04/dpll_52094/txpa_54198.png","plot")</f>
        <v>plot</v>
      </c>
    </row>
    <row r="4899" spans="1:29" hidden="1" x14ac:dyDescent="0.35">
      <c r="A4899" t="s">
        <v>50</v>
      </c>
      <c r="B4899">
        <v>52094</v>
      </c>
      <c r="C4899" t="s">
        <v>53</v>
      </c>
      <c r="D4899">
        <v>54199</v>
      </c>
      <c r="E4899" t="s">
        <v>219</v>
      </c>
      <c r="F4899">
        <v>11781</v>
      </c>
      <c r="G4899">
        <v>0.7671958590342054</v>
      </c>
      <c r="H4899">
        <v>0</v>
      </c>
      <c r="I4899">
        <v>0</v>
      </c>
      <c r="J4899">
        <v>0.67917940765750029</v>
      </c>
      <c r="K4899">
        <v>0</v>
      </c>
      <c r="L4899">
        <v>0</v>
      </c>
      <c r="M4899">
        <v>0.49279896622798453</v>
      </c>
      <c r="N4899">
        <v>0</v>
      </c>
      <c r="O4899">
        <v>0</v>
      </c>
      <c r="P4899">
        <v>0.58858948611923234</v>
      </c>
      <c r="Q4899">
        <v>1.026752214801014</v>
      </c>
      <c r="R4899">
        <v>1.3140941913573541</v>
      </c>
      <c r="S4899">
        <v>0.19112735967835881</v>
      </c>
      <c r="T4899">
        <v>0.14906549294323221</v>
      </c>
      <c r="U4899">
        <v>4.2673648416942536</v>
      </c>
      <c r="V4899">
        <v>0.2226610238238293</v>
      </c>
      <c r="W4899">
        <v>5.6956204939309067</v>
      </c>
      <c r="X4899">
        <v>0.29799131039207688</v>
      </c>
      <c r="Z4899" t="s">
        <v>392</v>
      </c>
      <c r="AA4899">
        <v>161</v>
      </c>
      <c r="AB4899" t="s">
        <v>5290</v>
      </c>
      <c r="AC4899" t="str">
        <f>HYPERLINK("plots/3FT6Y578R04_015_S31P_20251219032831_M5358ACSA301811_RBGEUFRF04/dpll_52094/txpa_54199.png","plot")</f>
        <v>plot</v>
      </c>
    </row>
    <row r="4900" spans="1:29" hidden="1" x14ac:dyDescent="0.35">
      <c r="A4900" t="s">
        <v>50</v>
      </c>
      <c r="B4900">
        <v>52094</v>
      </c>
      <c r="C4900" t="s">
        <v>53</v>
      </c>
      <c r="D4900">
        <v>54200</v>
      </c>
      <c r="E4900" t="s">
        <v>220</v>
      </c>
      <c r="F4900">
        <v>11781</v>
      </c>
      <c r="G4900">
        <v>0.77189773851864674</v>
      </c>
      <c r="H4900">
        <v>0</v>
      </c>
      <c r="I4900">
        <v>0</v>
      </c>
      <c r="J4900">
        <v>0.69151456371231679</v>
      </c>
      <c r="K4900">
        <v>0</v>
      </c>
      <c r="L4900">
        <v>0</v>
      </c>
      <c r="M4900">
        <v>0.50432028215366753</v>
      </c>
      <c r="N4900">
        <v>0</v>
      </c>
      <c r="O4900">
        <v>0</v>
      </c>
      <c r="P4900">
        <v>0.59582611873020108</v>
      </c>
      <c r="Q4900">
        <v>1.041676744174199</v>
      </c>
      <c r="R4900">
        <v>1.2628059681457471</v>
      </c>
      <c r="S4900">
        <v>0.1910160003232641</v>
      </c>
      <c r="T4900">
        <v>0.14910922849603631</v>
      </c>
      <c r="U4900">
        <v>4.2673606822850356</v>
      </c>
      <c r="V4900">
        <v>0.2226541824443867</v>
      </c>
      <c r="W4900">
        <v>5.7080163498854093</v>
      </c>
      <c r="X4900">
        <v>0.30047203440515591</v>
      </c>
      <c r="Z4900" t="s">
        <v>392</v>
      </c>
      <c r="AA4900">
        <v>161</v>
      </c>
      <c r="AB4900" t="s">
        <v>5291</v>
      </c>
      <c r="AC4900" t="str">
        <f>HYPERLINK("plots/3FT6Y578R04_015_S31P_20251219032831_M5358ACSA301811_RBGEUFRF04/dpll_52094/txpa_54200.png","plot")</f>
        <v>plot</v>
      </c>
    </row>
    <row r="4901" spans="1:29" hidden="1" x14ac:dyDescent="0.35">
      <c r="A4901" t="s">
        <v>50</v>
      </c>
      <c r="B4901">
        <v>52094</v>
      </c>
      <c r="C4901" t="s">
        <v>53</v>
      </c>
      <c r="D4901">
        <v>54201</v>
      </c>
      <c r="E4901" t="s">
        <v>221</v>
      </c>
      <c r="F4901">
        <v>11782</v>
      </c>
      <c r="G4901">
        <v>0.7680596468480172</v>
      </c>
      <c r="H4901">
        <v>0</v>
      </c>
      <c r="I4901">
        <v>0</v>
      </c>
      <c r="J4901">
        <v>0.68223220285865971</v>
      </c>
      <c r="K4901">
        <v>0</v>
      </c>
      <c r="L4901">
        <v>0</v>
      </c>
      <c r="M4901">
        <v>0.49602880802403398</v>
      </c>
      <c r="N4901">
        <v>0</v>
      </c>
      <c r="O4901">
        <v>0</v>
      </c>
      <c r="P4901">
        <v>0.58991562111630091</v>
      </c>
      <c r="Q4901">
        <v>1.025878676383853</v>
      </c>
      <c r="R4901">
        <v>1.3343918586637451</v>
      </c>
      <c r="S4901">
        <v>0.19045325846958411</v>
      </c>
      <c r="T4901">
        <v>0.14901095297711031</v>
      </c>
      <c r="U4901">
        <v>4.2673938428959426</v>
      </c>
      <c r="V4901">
        <v>0.22267382584799689</v>
      </c>
      <c r="W4901">
        <v>5.7122202058224403</v>
      </c>
      <c r="X4901">
        <v>0.29742003848755039</v>
      </c>
      <c r="Z4901" t="s">
        <v>392</v>
      </c>
      <c r="AA4901">
        <v>161</v>
      </c>
      <c r="AB4901" t="s">
        <v>5292</v>
      </c>
      <c r="AC4901" t="str">
        <f>HYPERLINK("plots/3FT6Y578R04_015_S31P_20251219032831_M5358ACSA301811_RBGEUFRF04/dpll_52094/txpa_54201.png","plot")</f>
        <v>plot</v>
      </c>
    </row>
    <row r="4902" spans="1:29" hidden="1" x14ac:dyDescent="0.35">
      <c r="A4902" t="s">
        <v>50</v>
      </c>
      <c r="B4902">
        <v>52094</v>
      </c>
      <c r="C4902" t="s">
        <v>53</v>
      </c>
      <c r="D4902">
        <v>54202</v>
      </c>
      <c r="E4902" t="s">
        <v>222</v>
      </c>
      <c r="F4902">
        <v>11781</v>
      </c>
      <c r="G4902">
        <v>0.76067496965356196</v>
      </c>
      <c r="H4902">
        <v>0</v>
      </c>
      <c r="I4902">
        <v>0</v>
      </c>
      <c r="J4902">
        <v>0.67597361167350278</v>
      </c>
      <c r="K4902">
        <v>0</v>
      </c>
      <c r="L4902">
        <v>0</v>
      </c>
      <c r="M4902">
        <v>0.49163630803637898</v>
      </c>
      <c r="N4902">
        <v>0</v>
      </c>
      <c r="O4902">
        <v>0</v>
      </c>
      <c r="P4902">
        <v>0.57862640945744737</v>
      </c>
      <c r="Q4902">
        <v>1.0206147795334519</v>
      </c>
      <c r="R4902">
        <v>1.3284741984467161</v>
      </c>
      <c r="S4902">
        <v>0.1939258239029869</v>
      </c>
      <c r="T4902">
        <v>0.14992064326117421</v>
      </c>
      <c r="U4902">
        <v>4.2674179181733303</v>
      </c>
      <c r="V4902">
        <v>0.22266794157249609</v>
      </c>
      <c r="W4902">
        <v>5.6838639961802908</v>
      </c>
      <c r="X4902">
        <v>0.29875860408642319</v>
      </c>
      <c r="Z4902" t="s">
        <v>392</v>
      </c>
      <c r="AA4902">
        <v>161</v>
      </c>
      <c r="AB4902" t="s">
        <v>5293</v>
      </c>
      <c r="AC4902" t="str">
        <f>HYPERLINK("plots/3FT6Y578R04_015_S31P_20251219032831_M5358ACSA301811_RBGEUFRF04/dpll_52094/txpa_54202.png","plot")</f>
        <v>plot</v>
      </c>
    </row>
    <row r="4903" spans="1:29" hidden="1" x14ac:dyDescent="0.35">
      <c r="A4903" t="s">
        <v>50</v>
      </c>
      <c r="B4903">
        <v>52094</v>
      </c>
      <c r="C4903" t="s">
        <v>53</v>
      </c>
      <c r="D4903">
        <v>54203</v>
      </c>
      <c r="E4903" t="s">
        <v>223</v>
      </c>
      <c r="F4903">
        <v>11782</v>
      </c>
      <c r="G4903">
        <v>0.75292991630369266</v>
      </c>
      <c r="H4903">
        <v>0</v>
      </c>
      <c r="I4903">
        <v>0</v>
      </c>
      <c r="J4903">
        <v>0.67856010643252296</v>
      </c>
      <c r="K4903">
        <v>0</v>
      </c>
      <c r="L4903">
        <v>0</v>
      </c>
      <c r="M4903">
        <v>0.4910880072086467</v>
      </c>
      <c r="N4903">
        <v>0</v>
      </c>
      <c r="O4903">
        <v>0</v>
      </c>
      <c r="P4903">
        <v>0.56690345886508564</v>
      </c>
      <c r="Q4903">
        <v>1.0504851724581701</v>
      </c>
      <c r="R4903">
        <v>2.2461926325418951</v>
      </c>
      <c r="S4903">
        <v>0.20444593070817851</v>
      </c>
      <c r="T4903">
        <v>0.15551721297353391</v>
      </c>
      <c r="U4903">
        <v>4.2673938428959426</v>
      </c>
      <c r="V4903">
        <v>0.22267382584799689</v>
      </c>
      <c r="W4903">
        <v>6.7290265895433734</v>
      </c>
      <c r="X4903">
        <v>0.31067373905953832</v>
      </c>
      <c r="Z4903" t="s">
        <v>392</v>
      </c>
      <c r="AA4903">
        <v>161</v>
      </c>
      <c r="AB4903" t="s">
        <v>5294</v>
      </c>
      <c r="AC4903" t="str">
        <f>HYPERLINK("plots/3FT6Y578R04_015_S31P_20251219032831_M5358ACSA301811_RBGEUFRF04/dpll_52094/txpa_54203.png","plot")</f>
        <v>plot</v>
      </c>
    </row>
    <row r="4904" spans="1:29" hidden="1" x14ac:dyDescent="0.35">
      <c r="A4904" t="s">
        <v>50</v>
      </c>
      <c r="B4904">
        <v>52094</v>
      </c>
      <c r="C4904" t="s">
        <v>53</v>
      </c>
      <c r="D4904">
        <v>54204</v>
      </c>
      <c r="E4904" t="s">
        <v>224</v>
      </c>
      <c r="F4904">
        <v>11782</v>
      </c>
      <c r="G4904">
        <v>0.77137519854943248</v>
      </c>
      <c r="H4904">
        <v>0</v>
      </c>
      <c r="I4904">
        <v>0</v>
      </c>
      <c r="J4904">
        <v>0.69053500163347803</v>
      </c>
      <c r="K4904">
        <v>0</v>
      </c>
      <c r="L4904">
        <v>0</v>
      </c>
      <c r="M4904">
        <v>0.50417758205202512</v>
      </c>
      <c r="N4904">
        <v>0</v>
      </c>
      <c r="O4904">
        <v>0</v>
      </c>
      <c r="P4904">
        <v>0.59501969693717638</v>
      </c>
      <c r="Q4904">
        <v>1.078351661122674</v>
      </c>
      <c r="R4904">
        <v>2.1606394672650562</v>
      </c>
      <c r="S4904">
        <v>0.19808994469814739</v>
      </c>
      <c r="T4904">
        <v>0.15295714034828309</v>
      </c>
      <c r="U4904">
        <v>4.2673938428959426</v>
      </c>
      <c r="V4904">
        <v>0.22267382584799689</v>
      </c>
      <c r="W4904">
        <v>6.7623907064165678</v>
      </c>
      <c r="X4904">
        <v>0.31128909827963652</v>
      </c>
      <c r="Z4904" t="s">
        <v>392</v>
      </c>
      <c r="AA4904">
        <v>161</v>
      </c>
      <c r="AB4904" t="s">
        <v>5295</v>
      </c>
      <c r="AC4904" t="str">
        <f>HYPERLINK("plots/3FT6Y578R04_015_S31P_20251219032831_M5358ACSA301811_RBGEUFRF04/dpll_52094/txpa_54204.png","plot")</f>
        <v>plot</v>
      </c>
    </row>
    <row r="4905" spans="1:29" hidden="1" x14ac:dyDescent="0.35">
      <c r="A4905" t="s">
        <v>50</v>
      </c>
      <c r="B4905">
        <v>52094</v>
      </c>
      <c r="C4905" t="s">
        <v>53</v>
      </c>
      <c r="D4905">
        <v>54205</v>
      </c>
      <c r="E4905" t="s">
        <v>225</v>
      </c>
      <c r="F4905">
        <v>11782</v>
      </c>
      <c r="G4905">
        <v>0.76408146588294579</v>
      </c>
      <c r="H4905">
        <v>0</v>
      </c>
      <c r="I4905">
        <v>0</v>
      </c>
      <c r="J4905">
        <v>0.68203089424404895</v>
      </c>
      <c r="K4905">
        <v>0</v>
      </c>
      <c r="L4905">
        <v>0</v>
      </c>
      <c r="M4905">
        <v>0.49606632366705322</v>
      </c>
      <c r="N4905">
        <v>0</v>
      </c>
      <c r="O4905">
        <v>0</v>
      </c>
      <c r="P4905">
        <v>0.58382048650583129</v>
      </c>
      <c r="Q4905">
        <v>1.054132255335855</v>
      </c>
      <c r="R4905">
        <v>2.2738440173071708</v>
      </c>
      <c r="S4905">
        <v>0.1981739318773566</v>
      </c>
      <c r="T4905">
        <v>0.15221231173968719</v>
      </c>
      <c r="U4905">
        <v>4.2673938428959426</v>
      </c>
      <c r="V4905">
        <v>0.22267382584799689</v>
      </c>
      <c r="W4905">
        <v>6.7722415133254126</v>
      </c>
      <c r="X4905">
        <v>0.3072024027885159</v>
      </c>
      <c r="Z4905" t="s">
        <v>392</v>
      </c>
      <c r="AA4905">
        <v>161</v>
      </c>
      <c r="AB4905" t="s">
        <v>5296</v>
      </c>
      <c r="AC4905" t="str">
        <f>HYPERLINK("plots/3FT6Y578R04_015_S31P_20251219032831_M5358ACSA301811_RBGEUFRF04/dpll_52094/txpa_54205.png","plot")</f>
        <v>plot</v>
      </c>
    </row>
    <row r="4906" spans="1:29" hidden="1" x14ac:dyDescent="0.35">
      <c r="A4906" t="s">
        <v>50</v>
      </c>
      <c r="B4906">
        <v>52094</v>
      </c>
      <c r="C4906" t="s">
        <v>53</v>
      </c>
      <c r="D4906">
        <v>54206</v>
      </c>
      <c r="E4906" t="s">
        <v>226</v>
      </c>
      <c r="F4906">
        <v>11781</v>
      </c>
      <c r="G4906">
        <v>0.77829959853220709</v>
      </c>
      <c r="H4906">
        <v>0</v>
      </c>
      <c r="I4906">
        <v>0</v>
      </c>
      <c r="J4906">
        <v>0.69282411039047953</v>
      </c>
      <c r="K4906">
        <v>0</v>
      </c>
      <c r="L4906">
        <v>0</v>
      </c>
      <c r="M4906">
        <v>0.50616508125889226</v>
      </c>
      <c r="N4906">
        <v>0</v>
      </c>
      <c r="O4906">
        <v>0</v>
      </c>
      <c r="P4906">
        <v>0.60575026507539476</v>
      </c>
      <c r="Q4906">
        <v>1.0811732095779769</v>
      </c>
      <c r="R4906">
        <v>2.1680356986409621</v>
      </c>
      <c r="S4906">
        <v>0.1942224314575316</v>
      </c>
      <c r="T4906">
        <v>0.15071800543024719</v>
      </c>
      <c r="U4906">
        <v>4.2674026018164843</v>
      </c>
      <c r="V4906">
        <v>0.22268124725346999</v>
      </c>
      <c r="W4906">
        <v>6.7818370662083014</v>
      </c>
      <c r="X4906">
        <v>0.30933717460461779</v>
      </c>
      <c r="Z4906" t="s">
        <v>392</v>
      </c>
      <c r="AA4906">
        <v>161</v>
      </c>
      <c r="AB4906" t="s">
        <v>5297</v>
      </c>
      <c r="AC4906" t="str">
        <f>HYPERLINK("plots/3FT6Y578R04_015_S31P_20251219032831_M5358ACSA301811_RBGEUFRF04/dpll_52094/txpa_54206.png","plot")</f>
        <v>plot</v>
      </c>
    </row>
    <row r="4907" spans="1:29" hidden="1" x14ac:dyDescent="0.35">
      <c r="A4907" t="s">
        <v>50</v>
      </c>
      <c r="B4907">
        <v>52094</v>
      </c>
      <c r="C4907" t="s">
        <v>53</v>
      </c>
      <c r="D4907">
        <v>54207</v>
      </c>
      <c r="E4907" t="s">
        <v>227</v>
      </c>
      <c r="F4907">
        <v>11781</v>
      </c>
      <c r="G4907">
        <v>0.77939321742477941</v>
      </c>
      <c r="H4907">
        <v>0</v>
      </c>
      <c r="I4907">
        <v>0</v>
      </c>
      <c r="J4907">
        <v>0.68887697005341642</v>
      </c>
      <c r="K4907">
        <v>0</v>
      </c>
      <c r="L4907">
        <v>0</v>
      </c>
      <c r="M4907">
        <v>0.50126129357807114</v>
      </c>
      <c r="N4907">
        <v>0</v>
      </c>
      <c r="O4907">
        <v>0</v>
      </c>
      <c r="P4907">
        <v>0.60745378736774946</v>
      </c>
      <c r="Q4907">
        <v>1.077938996228573</v>
      </c>
      <c r="R4907">
        <v>2.1584708895969151</v>
      </c>
      <c r="S4907">
        <v>0.19293398122660091</v>
      </c>
      <c r="T4907">
        <v>0.15018741174221531</v>
      </c>
      <c r="U4907">
        <v>4.2673648416942536</v>
      </c>
      <c r="V4907">
        <v>0.2226610238238293</v>
      </c>
      <c r="W4907">
        <v>6.7584298635939239</v>
      </c>
      <c r="X4907">
        <v>0.30795110241390988</v>
      </c>
      <c r="Z4907" t="s">
        <v>392</v>
      </c>
      <c r="AA4907">
        <v>161</v>
      </c>
      <c r="AB4907" t="s">
        <v>5298</v>
      </c>
      <c r="AC4907" t="str">
        <f>HYPERLINK("plots/3FT6Y578R04_015_S31P_20251219032831_M5358ACSA301811_RBGEUFRF04/dpll_52094/txpa_54207.png","plot")</f>
        <v>plot</v>
      </c>
    </row>
    <row r="4908" spans="1:29" hidden="1" x14ac:dyDescent="0.35">
      <c r="A4908" t="s">
        <v>50</v>
      </c>
      <c r="B4908">
        <v>52094</v>
      </c>
      <c r="C4908" t="s">
        <v>53</v>
      </c>
      <c r="D4908">
        <v>54208</v>
      </c>
      <c r="E4908" t="s">
        <v>228</v>
      </c>
      <c r="F4908">
        <v>11781</v>
      </c>
      <c r="G4908">
        <v>0.78352840780962174</v>
      </c>
      <c r="H4908">
        <v>0</v>
      </c>
      <c r="I4908">
        <v>0</v>
      </c>
      <c r="J4908">
        <v>0.7003573804736819</v>
      </c>
      <c r="K4908">
        <v>0</v>
      </c>
      <c r="L4908">
        <v>0</v>
      </c>
      <c r="M4908">
        <v>0.51223051556521271</v>
      </c>
      <c r="N4908">
        <v>0</v>
      </c>
      <c r="O4908">
        <v>0</v>
      </c>
      <c r="P4908">
        <v>0.61391676584468091</v>
      </c>
      <c r="Q4908">
        <v>1.0920504695040201</v>
      </c>
      <c r="R4908">
        <v>2.1112900185242398</v>
      </c>
      <c r="S4908">
        <v>0.19281501876669829</v>
      </c>
      <c r="T4908">
        <v>0.15031254594772561</v>
      </c>
      <c r="U4908">
        <v>4.2673606822850356</v>
      </c>
      <c r="V4908">
        <v>0.2226541824443867</v>
      </c>
      <c r="W4908">
        <v>6.7714632551566094</v>
      </c>
      <c r="X4908">
        <v>0.3103264694067171</v>
      </c>
      <c r="Z4908" t="s">
        <v>392</v>
      </c>
      <c r="AA4908">
        <v>161</v>
      </c>
      <c r="AB4908" t="s">
        <v>5299</v>
      </c>
      <c r="AC4908" t="str">
        <f>HYPERLINK("plots/3FT6Y578R04_015_S31P_20251219032831_M5358ACSA301811_RBGEUFRF04/dpll_52094/txpa_54208.png","plot")</f>
        <v>plot</v>
      </c>
    </row>
    <row r="4909" spans="1:29" hidden="1" x14ac:dyDescent="0.35">
      <c r="A4909" t="s">
        <v>50</v>
      </c>
      <c r="B4909">
        <v>52094</v>
      </c>
      <c r="C4909" t="s">
        <v>53</v>
      </c>
      <c r="D4909">
        <v>54209</v>
      </c>
      <c r="E4909" t="s">
        <v>229</v>
      </c>
      <c r="F4909">
        <v>11782</v>
      </c>
      <c r="G4909">
        <v>0.78010008461209357</v>
      </c>
      <c r="H4909">
        <v>0</v>
      </c>
      <c r="I4909">
        <v>0</v>
      </c>
      <c r="J4909">
        <v>0.69144225444423679</v>
      </c>
      <c r="K4909">
        <v>0</v>
      </c>
      <c r="L4909">
        <v>0</v>
      </c>
      <c r="M4909">
        <v>0.50420586376254672</v>
      </c>
      <c r="N4909">
        <v>0</v>
      </c>
      <c r="O4909">
        <v>0</v>
      </c>
      <c r="P4909">
        <v>0.60855614201179553</v>
      </c>
      <c r="Q4909">
        <v>1.0768538071931759</v>
      </c>
      <c r="R4909">
        <v>2.1803630312882141</v>
      </c>
      <c r="S4909">
        <v>0.19230558800903419</v>
      </c>
      <c r="T4909">
        <v>0.15015242052862801</v>
      </c>
      <c r="U4909">
        <v>4.2673938428959426</v>
      </c>
      <c r="V4909">
        <v>0.22267382584799689</v>
      </c>
      <c r="W4909">
        <v>6.7757223378034279</v>
      </c>
      <c r="X4909">
        <v>0.30737999117885029</v>
      </c>
      <c r="Z4909" t="s">
        <v>392</v>
      </c>
      <c r="AA4909">
        <v>161</v>
      </c>
      <c r="AB4909" t="s">
        <v>5300</v>
      </c>
      <c r="AC4909" t="str">
        <f>HYPERLINK("plots/3FT6Y578R04_015_S31P_20251219032831_M5358ACSA301811_RBGEUFRF04/dpll_52094/txpa_54209.png","plot")</f>
        <v>plot</v>
      </c>
    </row>
    <row r="4910" spans="1:29" hidden="1" x14ac:dyDescent="0.35">
      <c r="A4910" t="s">
        <v>50</v>
      </c>
      <c r="B4910">
        <v>52094</v>
      </c>
      <c r="C4910" t="s">
        <v>53</v>
      </c>
      <c r="D4910">
        <v>54210</v>
      </c>
      <c r="E4910" t="s">
        <v>230</v>
      </c>
      <c r="F4910">
        <v>11781</v>
      </c>
      <c r="G4910">
        <v>0.77295289352429408</v>
      </c>
      <c r="H4910">
        <v>0</v>
      </c>
      <c r="I4910">
        <v>0</v>
      </c>
      <c r="J4910">
        <v>0.68546971242369292</v>
      </c>
      <c r="K4910">
        <v>0</v>
      </c>
      <c r="L4910">
        <v>0</v>
      </c>
      <c r="M4910">
        <v>0.49991878072204138</v>
      </c>
      <c r="N4910">
        <v>0</v>
      </c>
      <c r="O4910">
        <v>0</v>
      </c>
      <c r="P4910">
        <v>0.59745617560757869</v>
      </c>
      <c r="Q4910">
        <v>1.070998782383338</v>
      </c>
      <c r="R4910">
        <v>2.178216503771718</v>
      </c>
      <c r="S4910">
        <v>0.19574099677048951</v>
      </c>
      <c r="T4910">
        <v>0.15098295019789601</v>
      </c>
      <c r="U4910">
        <v>4.2674179181733303</v>
      </c>
      <c r="V4910">
        <v>0.22266794157249609</v>
      </c>
      <c r="W4910">
        <v>6.7486158980561921</v>
      </c>
      <c r="X4910">
        <v>0.30852733238710872</v>
      </c>
      <c r="Z4910" t="s">
        <v>392</v>
      </c>
      <c r="AA4910">
        <v>161</v>
      </c>
      <c r="AB4910" t="s">
        <v>5301</v>
      </c>
      <c r="AC4910" t="str">
        <f>HYPERLINK("plots/3FT6Y578R04_015_S31P_20251219032831_M5358ACSA301811_RBGEUFRF04/dpll_52094/txpa_54210.png","plot")</f>
        <v>plot</v>
      </c>
    </row>
    <row r="4911" spans="1:29" hidden="1" x14ac:dyDescent="0.35">
      <c r="A4911" t="s">
        <v>50</v>
      </c>
      <c r="B4911">
        <v>52094</v>
      </c>
      <c r="C4911" t="s">
        <v>53</v>
      </c>
      <c r="D4911">
        <v>54211</v>
      </c>
      <c r="E4911" t="s">
        <v>231</v>
      </c>
      <c r="F4911">
        <v>11782</v>
      </c>
      <c r="G4911">
        <v>0.76347651148234175</v>
      </c>
      <c r="H4911">
        <v>0</v>
      </c>
      <c r="I4911">
        <v>0</v>
      </c>
      <c r="J4911">
        <v>0.68633159283019773</v>
      </c>
      <c r="K4911">
        <v>0</v>
      </c>
      <c r="L4911">
        <v>0</v>
      </c>
      <c r="M4911">
        <v>0.49782351944823949</v>
      </c>
      <c r="N4911">
        <v>0</v>
      </c>
      <c r="O4911">
        <v>0</v>
      </c>
      <c r="P4911">
        <v>0.58289638358524631</v>
      </c>
      <c r="Q4911">
        <v>1.1029605027572089</v>
      </c>
      <c r="R4911">
        <v>3.0556461693306738</v>
      </c>
      <c r="S4911">
        <v>0.20774806985793709</v>
      </c>
      <c r="T4911">
        <v>0.15770085026604719</v>
      </c>
      <c r="U4911">
        <v>4.2673938428959426</v>
      </c>
      <c r="V4911">
        <v>0.22267382584799689</v>
      </c>
      <c r="W4911">
        <v>7.7624130277542003</v>
      </c>
      <c r="X4911">
        <v>0.32168695593703012</v>
      </c>
      <c r="Z4911" t="s">
        <v>392</v>
      </c>
      <c r="AA4911">
        <v>161</v>
      </c>
      <c r="AB4911" t="s">
        <v>5302</v>
      </c>
      <c r="AC4911" t="str">
        <f>HYPERLINK("plots/3FT6Y578R04_015_S31P_20251219032831_M5358ACSA301811_RBGEUFRF04/dpll_52094/txpa_54211.png","plot")</f>
        <v>plot</v>
      </c>
    </row>
    <row r="4912" spans="1:29" hidden="1" x14ac:dyDescent="0.35">
      <c r="A4912" t="s">
        <v>50</v>
      </c>
      <c r="B4912">
        <v>52094</v>
      </c>
      <c r="C4912" t="s">
        <v>53</v>
      </c>
      <c r="D4912">
        <v>54212</v>
      </c>
      <c r="E4912" t="s">
        <v>232</v>
      </c>
      <c r="F4912">
        <v>11782</v>
      </c>
      <c r="G4912">
        <v>0.78107800998204835</v>
      </c>
      <c r="H4912">
        <v>0</v>
      </c>
      <c r="I4912">
        <v>0</v>
      </c>
      <c r="J4912">
        <v>0.69800797974448348</v>
      </c>
      <c r="K4912">
        <v>0</v>
      </c>
      <c r="L4912">
        <v>0</v>
      </c>
      <c r="M4912">
        <v>0.51072573982181291</v>
      </c>
      <c r="N4912">
        <v>0</v>
      </c>
      <c r="O4912">
        <v>0</v>
      </c>
      <c r="P4912">
        <v>0.6100828576775168</v>
      </c>
      <c r="Q4912">
        <v>1.1304837126615099</v>
      </c>
      <c r="R4912">
        <v>2.9710470336393651</v>
      </c>
      <c r="S4912">
        <v>0.20123652202719791</v>
      </c>
      <c r="T4912">
        <v>0.1551083634194248</v>
      </c>
      <c r="U4912">
        <v>4.2673938428959426</v>
      </c>
      <c r="V4912">
        <v>0.22267382584799689</v>
      </c>
      <c r="W4912">
        <v>7.7952662685452392</v>
      </c>
      <c r="X4912">
        <v>0.32228424067779288</v>
      </c>
      <c r="Z4912" t="s">
        <v>392</v>
      </c>
      <c r="AA4912">
        <v>161</v>
      </c>
      <c r="AB4912" t="s">
        <v>5303</v>
      </c>
      <c r="AC4912" t="str">
        <f>HYPERLINK("plots/3FT6Y578R04_015_S31P_20251219032831_M5358ACSA301811_RBGEUFRF04/dpll_52094/txpa_54212.png","plot")</f>
        <v>plot</v>
      </c>
    </row>
    <row r="4913" spans="1:29" hidden="1" x14ac:dyDescent="0.35">
      <c r="A4913" t="s">
        <v>50</v>
      </c>
      <c r="B4913">
        <v>52094</v>
      </c>
      <c r="C4913" t="s">
        <v>53</v>
      </c>
      <c r="D4913">
        <v>54213</v>
      </c>
      <c r="E4913" t="s">
        <v>233</v>
      </c>
      <c r="F4913">
        <v>11782</v>
      </c>
      <c r="G4913">
        <v>0.77449138311721288</v>
      </c>
      <c r="H4913">
        <v>0</v>
      </c>
      <c r="I4913">
        <v>0</v>
      </c>
      <c r="J4913">
        <v>0.69007885626321674</v>
      </c>
      <c r="K4913">
        <v>0</v>
      </c>
      <c r="L4913">
        <v>0</v>
      </c>
      <c r="M4913">
        <v>0.50299065942937204</v>
      </c>
      <c r="N4913">
        <v>0</v>
      </c>
      <c r="O4913">
        <v>0</v>
      </c>
      <c r="P4913">
        <v>0.59983690252281341</v>
      </c>
      <c r="Q4913">
        <v>1.1064815175516201</v>
      </c>
      <c r="R4913">
        <v>3.0836664714136202</v>
      </c>
      <c r="S4913">
        <v>0.20123190175207781</v>
      </c>
      <c r="T4913">
        <v>0.1542205864866652</v>
      </c>
      <c r="U4913">
        <v>4.2673938428959426</v>
      </c>
      <c r="V4913">
        <v>0.22267382584799689</v>
      </c>
      <c r="W4913">
        <v>7.8054588866915626</v>
      </c>
      <c r="X4913">
        <v>0.31812422722078021</v>
      </c>
      <c r="Z4913" t="s">
        <v>392</v>
      </c>
      <c r="AA4913">
        <v>161</v>
      </c>
      <c r="AB4913" t="s">
        <v>5304</v>
      </c>
      <c r="AC4913" t="str">
        <f>HYPERLINK("plots/3FT6Y578R04_015_S31P_20251219032831_M5358ACSA301811_RBGEUFRF04/dpll_52094/txpa_54213.png","plot")</f>
        <v>plot</v>
      </c>
    </row>
    <row r="4914" spans="1:29" hidden="1" x14ac:dyDescent="0.35">
      <c r="A4914" t="s">
        <v>50</v>
      </c>
      <c r="B4914">
        <v>52094</v>
      </c>
      <c r="C4914" t="s">
        <v>53</v>
      </c>
      <c r="D4914">
        <v>54214</v>
      </c>
      <c r="E4914" t="s">
        <v>234</v>
      </c>
      <c r="F4914">
        <v>11781</v>
      </c>
      <c r="G4914">
        <v>0.78798167517534112</v>
      </c>
      <c r="H4914">
        <v>0</v>
      </c>
      <c r="I4914">
        <v>0</v>
      </c>
      <c r="J4914">
        <v>0.70045919776951804</v>
      </c>
      <c r="K4914">
        <v>0</v>
      </c>
      <c r="L4914">
        <v>0</v>
      </c>
      <c r="M4914">
        <v>0.51283735866783464</v>
      </c>
      <c r="N4914">
        <v>0</v>
      </c>
      <c r="O4914">
        <v>0</v>
      </c>
      <c r="P4914">
        <v>0.62091512041213681</v>
      </c>
      <c r="Q4914">
        <v>1.133175315375492</v>
      </c>
      <c r="R4914">
        <v>2.9783382573255461</v>
      </c>
      <c r="S4914">
        <v>0.19715801229751001</v>
      </c>
      <c r="T4914">
        <v>0.152753632087028</v>
      </c>
      <c r="U4914">
        <v>4.2674026018164843</v>
      </c>
      <c r="V4914">
        <v>0.22268124725346999</v>
      </c>
      <c r="W4914">
        <v>7.8140535464731347</v>
      </c>
      <c r="X4914">
        <v>0.32023192992211241</v>
      </c>
      <c r="Z4914" t="s">
        <v>392</v>
      </c>
      <c r="AA4914">
        <v>161</v>
      </c>
      <c r="AB4914" t="s">
        <v>5305</v>
      </c>
      <c r="AC4914" t="str">
        <f>HYPERLINK("plots/3FT6Y578R04_015_S31P_20251219032831_M5358ACSA301811_RBGEUFRF04/dpll_52094/txpa_54214.png","plot")</f>
        <v>plot</v>
      </c>
    </row>
    <row r="4915" spans="1:29" hidden="1" x14ac:dyDescent="0.35">
      <c r="A4915" t="s">
        <v>50</v>
      </c>
      <c r="B4915">
        <v>52094</v>
      </c>
      <c r="C4915" t="s">
        <v>53</v>
      </c>
      <c r="D4915">
        <v>54215</v>
      </c>
      <c r="E4915" t="s">
        <v>235</v>
      </c>
      <c r="F4915">
        <v>11781</v>
      </c>
      <c r="G4915">
        <v>0.78918745237511567</v>
      </c>
      <c r="H4915">
        <v>0</v>
      </c>
      <c r="I4915">
        <v>0</v>
      </c>
      <c r="J4915">
        <v>0.69650918715779586</v>
      </c>
      <c r="K4915">
        <v>0</v>
      </c>
      <c r="L4915">
        <v>0</v>
      </c>
      <c r="M4915">
        <v>0.50795935691531446</v>
      </c>
      <c r="N4915">
        <v>0</v>
      </c>
      <c r="O4915">
        <v>0</v>
      </c>
      <c r="P4915">
        <v>0.62281683498632545</v>
      </c>
      <c r="Q4915">
        <v>1.1305291602992691</v>
      </c>
      <c r="R4915">
        <v>2.9657132718454959</v>
      </c>
      <c r="S4915">
        <v>0.19588605336141801</v>
      </c>
      <c r="T4915">
        <v>0.1522350903285678</v>
      </c>
      <c r="U4915">
        <v>4.2673648416942536</v>
      </c>
      <c r="V4915">
        <v>0.2226610238238293</v>
      </c>
      <c r="W4915">
        <v>7.7900936630167221</v>
      </c>
      <c r="X4915">
        <v>0.31896703316473862</v>
      </c>
      <c r="Z4915" t="s">
        <v>392</v>
      </c>
      <c r="AA4915">
        <v>161</v>
      </c>
      <c r="AB4915" t="s">
        <v>5306</v>
      </c>
      <c r="AC4915" t="str">
        <f>HYPERLINK("plots/3FT6Y578R04_015_S31P_20251219032831_M5358ACSA301811_RBGEUFRF04/dpll_52094/txpa_54215.png","plot")</f>
        <v>plot</v>
      </c>
    </row>
    <row r="4916" spans="1:29" hidden="1" x14ac:dyDescent="0.35">
      <c r="A4916" t="s">
        <v>50</v>
      </c>
      <c r="B4916">
        <v>52094</v>
      </c>
      <c r="C4916" t="s">
        <v>53</v>
      </c>
      <c r="D4916">
        <v>54216</v>
      </c>
      <c r="E4916" t="s">
        <v>236</v>
      </c>
      <c r="F4916">
        <v>11781</v>
      </c>
      <c r="G4916">
        <v>0.79284037085437209</v>
      </c>
      <c r="H4916">
        <v>0</v>
      </c>
      <c r="I4916">
        <v>0</v>
      </c>
      <c r="J4916">
        <v>0.70727078326059922</v>
      </c>
      <c r="K4916">
        <v>0</v>
      </c>
      <c r="L4916">
        <v>0</v>
      </c>
      <c r="M4916">
        <v>0.51841478075759584</v>
      </c>
      <c r="N4916">
        <v>0</v>
      </c>
      <c r="O4916">
        <v>0</v>
      </c>
      <c r="P4916">
        <v>0.62859585365649828</v>
      </c>
      <c r="Q4916">
        <v>1.144112717750988</v>
      </c>
      <c r="R4916">
        <v>2.921324124819733</v>
      </c>
      <c r="S4916">
        <v>0.1958027810260522</v>
      </c>
      <c r="T4916">
        <v>0.15241897080582781</v>
      </c>
      <c r="U4916">
        <v>4.2673606822850356</v>
      </c>
      <c r="V4916">
        <v>0.2226541824443867</v>
      </c>
      <c r="W4916">
        <v>7.8036657526525746</v>
      </c>
      <c r="X4916">
        <v>0.32130235941512408</v>
      </c>
      <c r="Z4916" t="s">
        <v>392</v>
      </c>
      <c r="AA4916">
        <v>161</v>
      </c>
      <c r="AB4916" t="s">
        <v>5307</v>
      </c>
      <c r="AC4916" t="str">
        <f>HYPERLINK("plots/3FT6Y578R04_015_S31P_20251219032831_M5358ACSA301811_RBGEUFRF04/dpll_52094/txpa_54216.png","plot")</f>
        <v>plot</v>
      </c>
    </row>
    <row r="4917" spans="1:29" hidden="1" x14ac:dyDescent="0.35">
      <c r="A4917" t="s">
        <v>50</v>
      </c>
      <c r="B4917">
        <v>52094</v>
      </c>
      <c r="C4917" t="s">
        <v>53</v>
      </c>
      <c r="D4917">
        <v>54217</v>
      </c>
      <c r="E4917" t="s">
        <v>237</v>
      </c>
      <c r="F4917">
        <v>11782</v>
      </c>
      <c r="G4917">
        <v>0.79000928977554175</v>
      </c>
      <c r="H4917">
        <v>0</v>
      </c>
      <c r="I4917">
        <v>0</v>
      </c>
      <c r="J4917">
        <v>0.69882583263721887</v>
      </c>
      <c r="K4917">
        <v>0</v>
      </c>
      <c r="L4917">
        <v>0</v>
      </c>
      <c r="M4917">
        <v>0.51069841522169235</v>
      </c>
      <c r="N4917">
        <v>0</v>
      </c>
      <c r="O4917">
        <v>0</v>
      </c>
      <c r="P4917">
        <v>0.62411467793165587</v>
      </c>
      <c r="Q4917">
        <v>1.1299663492648631</v>
      </c>
      <c r="R4917">
        <v>2.9863684713855259</v>
      </c>
      <c r="S4917">
        <v>0.1952593033316081</v>
      </c>
      <c r="T4917">
        <v>0.15217883088520709</v>
      </c>
      <c r="U4917">
        <v>4.2673938428959426</v>
      </c>
      <c r="V4917">
        <v>0.22267382584799689</v>
      </c>
      <c r="W4917">
        <v>7.80837991291801</v>
      </c>
      <c r="X4917">
        <v>0.31849490041033529</v>
      </c>
      <c r="Z4917" t="s">
        <v>392</v>
      </c>
      <c r="AA4917">
        <v>161</v>
      </c>
      <c r="AB4917" t="s">
        <v>5308</v>
      </c>
      <c r="AC4917" t="str">
        <f>HYPERLINK("plots/3FT6Y578R04_015_S31P_20251219032831_M5358ACSA301811_RBGEUFRF04/dpll_52094/txpa_54217.png","plot")</f>
        <v>plot</v>
      </c>
    </row>
    <row r="4918" spans="1:29" hidden="1" x14ac:dyDescent="0.35">
      <c r="A4918" t="s">
        <v>50</v>
      </c>
      <c r="B4918">
        <v>52094</v>
      </c>
      <c r="C4918" t="s">
        <v>53</v>
      </c>
      <c r="D4918">
        <v>54218</v>
      </c>
      <c r="E4918" t="s">
        <v>238</v>
      </c>
      <c r="F4918">
        <v>11781</v>
      </c>
      <c r="G4918">
        <v>0.78290233736391746</v>
      </c>
      <c r="H4918">
        <v>0</v>
      </c>
      <c r="I4918">
        <v>0</v>
      </c>
      <c r="J4918">
        <v>0.69271995447160828</v>
      </c>
      <c r="K4918">
        <v>0</v>
      </c>
      <c r="L4918">
        <v>0</v>
      </c>
      <c r="M4918">
        <v>0.5062348936217933</v>
      </c>
      <c r="N4918">
        <v>0</v>
      </c>
      <c r="O4918">
        <v>0</v>
      </c>
      <c r="P4918">
        <v>0.61293606984988525</v>
      </c>
      <c r="Q4918">
        <v>1.1229667556159511</v>
      </c>
      <c r="R4918">
        <v>2.9897544291976992</v>
      </c>
      <c r="S4918">
        <v>0.1986963651890121</v>
      </c>
      <c r="T4918">
        <v>0.15299814927985131</v>
      </c>
      <c r="U4918">
        <v>4.2674179181733303</v>
      </c>
      <c r="V4918">
        <v>0.22266794157249609</v>
      </c>
      <c r="W4918">
        <v>7.7819228836261782</v>
      </c>
      <c r="X4918">
        <v>0.31938683025175008</v>
      </c>
      <c r="Z4918" t="s">
        <v>392</v>
      </c>
      <c r="AA4918">
        <v>161</v>
      </c>
      <c r="AB4918" t="s">
        <v>5309</v>
      </c>
      <c r="AC4918" t="str">
        <f>HYPERLINK("plots/3FT6Y578R04_015_S31P_20251219032831_M5358ACSA301811_RBGEUFRF04/dpll_52094/txpa_54218.png","plot")</f>
        <v>plot</v>
      </c>
    </row>
    <row r="4919" spans="1:29" hidden="1" x14ac:dyDescent="0.35">
      <c r="A4919" t="s">
        <v>50</v>
      </c>
      <c r="B4919">
        <v>52094</v>
      </c>
      <c r="C4919" t="s">
        <v>53</v>
      </c>
      <c r="D4919">
        <v>54219</v>
      </c>
      <c r="E4919" t="s">
        <v>239</v>
      </c>
      <c r="F4919">
        <v>11782</v>
      </c>
      <c r="G4919">
        <v>0.77409331382525859</v>
      </c>
      <c r="H4919">
        <v>0</v>
      </c>
      <c r="I4919">
        <v>0</v>
      </c>
      <c r="J4919">
        <v>0.69433541294375145</v>
      </c>
      <c r="K4919">
        <v>0</v>
      </c>
      <c r="L4919">
        <v>0</v>
      </c>
      <c r="M4919">
        <v>0.50480309328311535</v>
      </c>
      <c r="N4919">
        <v>0</v>
      </c>
      <c r="O4919">
        <v>0</v>
      </c>
      <c r="P4919">
        <v>0.59922045850897032</v>
      </c>
      <c r="Q4919">
        <v>1.1572648527768969</v>
      </c>
      <c r="R4919">
        <v>3.8565784031335948</v>
      </c>
      <c r="S4919">
        <v>0.21073805087020939</v>
      </c>
      <c r="T4919">
        <v>0.15962548186496331</v>
      </c>
      <c r="U4919">
        <v>4.2673938428959426</v>
      </c>
      <c r="V4919">
        <v>0.22267382584799689</v>
      </c>
      <c r="W4919">
        <v>8.7950833104736024</v>
      </c>
      <c r="X4919">
        <v>0.33289603163452869</v>
      </c>
      <c r="Z4919" t="s">
        <v>392</v>
      </c>
      <c r="AA4919">
        <v>161</v>
      </c>
      <c r="AB4919" t="s">
        <v>5310</v>
      </c>
      <c r="AC4919" t="str">
        <f>HYPERLINK("plots/3FT6Y578R04_015_S31P_20251219032831_M5358ACSA301811_RBGEUFRF04/dpll_52094/txpa_54219.png","plot")</f>
        <v>plot</v>
      </c>
    </row>
    <row r="4920" spans="1:29" hidden="1" x14ac:dyDescent="0.35">
      <c r="A4920" t="s">
        <v>50</v>
      </c>
      <c r="B4920">
        <v>52094</v>
      </c>
      <c r="C4920" t="s">
        <v>53</v>
      </c>
      <c r="D4920">
        <v>54220</v>
      </c>
      <c r="E4920" t="s">
        <v>240</v>
      </c>
      <c r="F4920">
        <v>11782</v>
      </c>
      <c r="G4920">
        <v>0.79095273062625227</v>
      </c>
      <c r="H4920">
        <v>0</v>
      </c>
      <c r="I4920">
        <v>0</v>
      </c>
      <c r="J4920">
        <v>0.70566938393704937</v>
      </c>
      <c r="K4920">
        <v>0</v>
      </c>
      <c r="L4920">
        <v>0</v>
      </c>
      <c r="M4920">
        <v>0.51755832448575179</v>
      </c>
      <c r="N4920">
        <v>0</v>
      </c>
      <c r="O4920">
        <v>0</v>
      </c>
      <c r="P4920">
        <v>0.62560622208512473</v>
      </c>
      <c r="Q4920">
        <v>1.184827709715248</v>
      </c>
      <c r="R4920">
        <v>3.7702148877278918</v>
      </c>
      <c r="S4920">
        <v>0.20408905927608381</v>
      </c>
      <c r="T4920">
        <v>0.15697244943363919</v>
      </c>
      <c r="U4920">
        <v>4.2673938428959426</v>
      </c>
      <c r="V4920">
        <v>0.22267382584799689</v>
      </c>
      <c r="W4920">
        <v>8.8263413610592423</v>
      </c>
      <c r="X4920">
        <v>0.33355990677738911</v>
      </c>
      <c r="Z4920" t="s">
        <v>392</v>
      </c>
      <c r="AA4920">
        <v>161</v>
      </c>
      <c r="AB4920" t="s">
        <v>5311</v>
      </c>
      <c r="AC4920" t="str">
        <f>HYPERLINK("plots/3FT6Y578R04_015_S31P_20251219032831_M5358ACSA301811_RBGEUFRF04/dpll_52094/txpa_54220.png","plot")</f>
        <v>plot</v>
      </c>
    </row>
    <row r="4921" spans="1:29" hidden="1" x14ac:dyDescent="0.35">
      <c r="A4921" t="s">
        <v>50</v>
      </c>
      <c r="B4921">
        <v>52094</v>
      </c>
      <c r="C4921" t="s">
        <v>53</v>
      </c>
      <c r="D4921">
        <v>54221</v>
      </c>
      <c r="E4921" t="s">
        <v>241</v>
      </c>
      <c r="F4921">
        <v>11782</v>
      </c>
      <c r="G4921">
        <v>0.78489517330340486</v>
      </c>
      <c r="H4921">
        <v>0</v>
      </c>
      <c r="I4921">
        <v>0</v>
      </c>
      <c r="J4921">
        <v>0.69790384651808779</v>
      </c>
      <c r="K4921">
        <v>0</v>
      </c>
      <c r="L4921">
        <v>0</v>
      </c>
      <c r="M4921">
        <v>0.5098274706332997</v>
      </c>
      <c r="N4921">
        <v>0</v>
      </c>
      <c r="O4921">
        <v>0</v>
      </c>
      <c r="P4921">
        <v>0.61606043307498193</v>
      </c>
      <c r="Q4921">
        <v>1.1607371004124569</v>
      </c>
      <c r="R4921">
        <v>3.8834677914828948</v>
      </c>
      <c r="S4921">
        <v>0.20403486389195241</v>
      </c>
      <c r="T4921">
        <v>0.1559694963542029</v>
      </c>
      <c r="U4921">
        <v>4.2673938428959426</v>
      </c>
      <c r="V4921">
        <v>0.22267382584799689</v>
      </c>
      <c r="W4921">
        <v>8.8367901470039047</v>
      </c>
      <c r="X4921">
        <v>0.32929973293725567</v>
      </c>
      <c r="Z4921" t="s">
        <v>392</v>
      </c>
      <c r="AA4921">
        <v>161</v>
      </c>
      <c r="AB4921" t="s">
        <v>5312</v>
      </c>
      <c r="AC4921" t="str">
        <f>HYPERLINK("plots/3FT6Y578R04_015_S31P_20251219032831_M5358ACSA301811_RBGEUFRF04/dpll_52094/txpa_54221.png","plot")</f>
        <v>plot</v>
      </c>
    </row>
    <row r="4922" spans="1:29" hidden="1" x14ac:dyDescent="0.35">
      <c r="A4922" t="s">
        <v>50</v>
      </c>
      <c r="B4922">
        <v>52094</v>
      </c>
      <c r="C4922" t="s">
        <v>53</v>
      </c>
      <c r="D4922">
        <v>54222</v>
      </c>
      <c r="E4922" t="s">
        <v>242</v>
      </c>
      <c r="F4922">
        <v>11781</v>
      </c>
      <c r="G4922">
        <v>0.79768496664064081</v>
      </c>
      <c r="H4922">
        <v>0</v>
      </c>
      <c r="I4922">
        <v>0</v>
      </c>
      <c r="J4922">
        <v>0.70798901912835288</v>
      </c>
      <c r="K4922">
        <v>0</v>
      </c>
      <c r="L4922">
        <v>0</v>
      </c>
      <c r="M4922">
        <v>0.51954803788962489</v>
      </c>
      <c r="N4922">
        <v>0</v>
      </c>
      <c r="O4922">
        <v>0</v>
      </c>
      <c r="P4922">
        <v>0.6363013060044802</v>
      </c>
      <c r="Q4922">
        <v>1.1874049559147739</v>
      </c>
      <c r="R4922">
        <v>3.7776834628009088</v>
      </c>
      <c r="S4922">
        <v>0.19989573730956861</v>
      </c>
      <c r="T4922">
        <v>0.15450559115065621</v>
      </c>
      <c r="U4922">
        <v>4.2674026018164843</v>
      </c>
      <c r="V4922">
        <v>0.22268124725346999</v>
      </c>
      <c r="W4922">
        <v>8.8448184610814025</v>
      </c>
      <c r="X4922">
        <v>0.33147524102353038</v>
      </c>
      <c r="Z4922" t="s">
        <v>392</v>
      </c>
      <c r="AA4922">
        <v>161</v>
      </c>
      <c r="AB4922" t="s">
        <v>5313</v>
      </c>
      <c r="AC4922" t="str">
        <f>HYPERLINK("plots/3FT6Y578R04_015_S31P_20251219032831_M5358ACSA301811_RBGEUFRF04/dpll_52094/txpa_54222.png","plot")</f>
        <v>plot</v>
      </c>
    </row>
    <row r="4923" spans="1:29" hidden="1" x14ac:dyDescent="0.35">
      <c r="A4923" t="s">
        <v>50</v>
      </c>
      <c r="B4923">
        <v>52094</v>
      </c>
      <c r="C4923" t="s">
        <v>53</v>
      </c>
      <c r="D4923">
        <v>54223</v>
      </c>
      <c r="E4923" t="s">
        <v>243</v>
      </c>
      <c r="F4923">
        <v>11781</v>
      </c>
      <c r="G4923">
        <v>0.79898896055425372</v>
      </c>
      <c r="H4923">
        <v>0</v>
      </c>
      <c r="I4923">
        <v>0</v>
      </c>
      <c r="J4923">
        <v>0.70440910268497459</v>
      </c>
      <c r="K4923">
        <v>0</v>
      </c>
      <c r="L4923">
        <v>0</v>
      </c>
      <c r="M4923">
        <v>0.51501600088792332</v>
      </c>
      <c r="N4923">
        <v>0</v>
      </c>
      <c r="O4923">
        <v>0</v>
      </c>
      <c r="P4923">
        <v>0.63838335908756683</v>
      </c>
      <c r="Q4923">
        <v>1.185401152089621</v>
      </c>
      <c r="R4923">
        <v>3.7616916150554101</v>
      </c>
      <c r="S4923">
        <v>0.19864358245071451</v>
      </c>
      <c r="T4923">
        <v>0.1540285124514176</v>
      </c>
      <c r="U4923">
        <v>4.2673648416942536</v>
      </c>
      <c r="V4923">
        <v>0.2226610238238293</v>
      </c>
      <c r="W4923">
        <v>8.8202308147865196</v>
      </c>
      <c r="X4923">
        <v>0.33034578348006971</v>
      </c>
      <c r="Z4923" t="s">
        <v>392</v>
      </c>
      <c r="AA4923">
        <v>161</v>
      </c>
      <c r="AB4923" t="s">
        <v>5314</v>
      </c>
      <c r="AC4923" t="str">
        <f>HYPERLINK("plots/3FT6Y578R04_015_S31P_20251219032831_M5358ACSA301811_RBGEUFRF04/dpll_52094/txpa_54223.png","plot")</f>
        <v>plot</v>
      </c>
    </row>
    <row r="4924" spans="1:29" hidden="1" x14ac:dyDescent="0.35">
      <c r="A4924" t="s">
        <v>50</v>
      </c>
      <c r="B4924">
        <v>52094</v>
      </c>
      <c r="C4924" t="s">
        <v>53</v>
      </c>
      <c r="D4924">
        <v>54224</v>
      </c>
      <c r="E4924" t="s">
        <v>244</v>
      </c>
      <c r="F4924">
        <v>11781</v>
      </c>
      <c r="G4924">
        <v>0.80226194819377739</v>
      </c>
      <c r="H4924">
        <v>0</v>
      </c>
      <c r="I4924">
        <v>0</v>
      </c>
      <c r="J4924">
        <v>0.71420413211960543</v>
      </c>
      <c r="K4924">
        <v>0</v>
      </c>
      <c r="L4924">
        <v>0</v>
      </c>
      <c r="M4924">
        <v>0.52474157429495694</v>
      </c>
      <c r="N4924">
        <v>0</v>
      </c>
      <c r="O4924">
        <v>0</v>
      </c>
      <c r="P4924">
        <v>0.64362423351967513</v>
      </c>
      <c r="Q4924">
        <v>1.1981065814306291</v>
      </c>
      <c r="R4924">
        <v>3.7217358705377901</v>
      </c>
      <c r="S4924">
        <v>0.19849326112109081</v>
      </c>
      <c r="T4924">
        <v>0.15420482458650411</v>
      </c>
      <c r="U4924">
        <v>4.2673606822850356</v>
      </c>
      <c r="V4924">
        <v>0.2226541824443867</v>
      </c>
      <c r="W4924">
        <v>8.8344887893217887</v>
      </c>
      <c r="X4924">
        <v>0.33251413951549152</v>
      </c>
      <c r="Z4924" t="s">
        <v>392</v>
      </c>
      <c r="AA4924">
        <v>161</v>
      </c>
      <c r="AB4924" t="s">
        <v>5315</v>
      </c>
      <c r="AC4924" t="str">
        <f>HYPERLINK("plots/3FT6Y578R04_015_S31P_20251219032831_M5358ACSA301811_RBGEUFRF04/dpll_52094/txpa_54224.png","plot")</f>
        <v>plot</v>
      </c>
    </row>
    <row r="4925" spans="1:29" hidden="1" x14ac:dyDescent="0.35">
      <c r="A4925" t="s">
        <v>50</v>
      </c>
      <c r="B4925">
        <v>52094</v>
      </c>
      <c r="C4925" t="s">
        <v>53</v>
      </c>
      <c r="D4925">
        <v>54225</v>
      </c>
      <c r="E4925" t="s">
        <v>245</v>
      </c>
      <c r="F4925">
        <v>11782</v>
      </c>
      <c r="G4925">
        <v>0.79958491748817295</v>
      </c>
      <c r="H4925">
        <v>0</v>
      </c>
      <c r="I4925">
        <v>0</v>
      </c>
      <c r="J4925">
        <v>0.70589127974427046</v>
      </c>
      <c r="K4925">
        <v>0</v>
      </c>
      <c r="L4925">
        <v>0</v>
      </c>
      <c r="M4925">
        <v>0.51712060358133449</v>
      </c>
      <c r="N4925">
        <v>0</v>
      </c>
      <c r="O4925">
        <v>0</v>
      </c>
      <c r="P4925">
        <v>0.63933604027456836</v>
      </c>
      <c r="Q4925">
        <v>1.1840436856446901</v>
      </c>
      <c r="R4925">
        <v>3.7867567760055598</v>
      </c>
      <c r="S4925">
        <v>0.1980182625741452</v>
      </c>
      <c r="T4925">
        <v>0.1539296710642673</v>
      </c>
      <c r="U4925">
        <v>4.2673938428959426</v>
      </c>
      <c r="V4925">
        <v>0.22267382584799689</v>
      </c>
      <c r="W4925">
        <v>8.8395375098455276</v>
      </c>
      <c r="X4925">
        <v>0.32974050871534327</v>
      </c>
      <c r="Z4925" t="s">
        <v>392</v>
      </c>
      <c r="AA4925">
        <v>161</v>
      </c>
      <c r="AB4925" t="s">
        <v>5316</v>
      </c>
      <c r="AC4925" t="str">
        <f>HYPERLINK("plots/3FT6Y578R04_015_S31P_20251219032831_M5358ACSA301811_RBGEUFRF04/dpll_52094/txpa_54225.png","plot")</f>
        <v>plot</v>
      </c>
    </row>
    <row r="4926" spans="1:29" hidden="1" x14ac:dyDescent="0.35">
      <c r="A4926" t="s">
        <v>50</v>
      </c>
      <c r="B4926">
        <v>52094</v>
      </c>
      <c r="C4926" t="s">
        <v>53</v>
      </c>
      <c r="D4926">
        <v>54226</v>
      </c>
      <c r="E4926" t="s">
        <v>246</v>
      </c>
      <c r="F4926">
        <v>11781</v>
      </c>
      <c r="G4926">
        <v>0.79275560896541331</v>
      </c>
      <c r="H4926">
        <v>0</v>
      </c>
      <c r="I4926">
        <v>0</v>
      </c>
      <c r="J4926">
        <v>0.69999652068430152</v>
      </c>
      <c r="K4926">
        <v>0</v>
      </c>
      <c r="L4926">
        <v>0</v>
      </c>
      <c r="M4926">
        <v>0.51263002051205797</v>
      </c>
      <c r="N4926">
        <v>0</v>
      </c>
      <c r="O4926">
        <v>0</v>
      </c>
      <c r="P4926">
        <v>0.62846145554612332</v>
      </c>
      <c r="Q4926">
        <v>1.176436949718288</v>
      </c>
      <c r="R4926">
        <v>3.794495895006837</v>
      </c>
      <c r="S4926">
        <v>0.20140513183185321</v>
      </c>
      <c r="T4926">
        <v>0.15481641460823131</v>
      </c>
      <c r="U4926">
        <v>4.2674179181733303</v>
      </c>
      <c r="V4926">
        <v>0.22266794157249609</v>
      </c>
      <c r="W4926">
        <v>8.8148440138358382</v>
      </c>
      <c r="X4926">
        <v>0.33043574970785999</v>
      </c>
      <c r="Z4926" t="s">
        <v>392</v>
      </c>
      <c r="AA4926">
        <v>161</v>
      </c>
      <c r="AB4926" t="s">
        <v>5317</v>
      </c>
      <c r="AC4926" t="str">
        <f>HYPERLINK("plots/3FT6Y578R04_015_S31P_20251219032831_M5358ACSA301811_RBGEUFRF04/dpll_52094/txpa_54226.png","plot")</f>
        <v>plot</v>
      </c>
    </row>
    <row r="4927" spans="1:29" hidden="1" x14ac:dyDescent="0.35">
      <c r="A4927" t="s">
        <v>50</v>
      </c>
      <c r="B4927">
        <v>52094</v>
      </c>
      <c r="C4927" t="s">
        <v>53</v>
      </c>
      <c r="D4927">
        <v>54227</v>
      </c>
      <c r="E4927" t="s">
        <v>247</v>
      </c>
      <c r="F4927">
        <v>11782</v>
      </c>
      <c r="G4927">
        <v>0.77714798486896686</v>
      </c>
      <c r="H4927">
        <v>0</v>
      </c>
      <c r="I4927">
        <v>0</v>
      </c>
      <c r="J4927">
        <v>0.69644966729210878</v>
      </c>
      <c r="K4927">
        <v>0</v>
      </c>
      <c r="L4927">
        <v>0</v>
      </c>
      <c r="M4927">
        <v>0.50669817408271556</v>
      </c>
      <c r="N4927">
        <v>0</v>
      </c>
      <c r="O4927">
        <v>0</v>
      </c>
      <c r="P4927">
        <v>0.60395899038589596</v>
      </c>
      <c r="Q4927">
        <v>1.17865021391678</v>
      </c>
      <c r="R4927">
        <v>4.2725893165494977</v>
      </c>
      <c r="S4927">
        <v>0.2125210893580462</v>
      </c>
      <c r="T4927">
        <v>0.16077370270508179</v>
      </c>
      <c r="U4927">
        <v>4.2673938428959426</v>
      </c>
      <c r="V4927">
        <v>0.22267382584799689</v>
      </c>
      <c r="W4927">
        <v>9.3023539823459505</v>
      </c>
      <c r="X4927">
        <v>0.33771502671226922</v>
      </c>
      <c r="Z4927" t="s">
        <v>392</v>
      </c>
      <c r="AA4927">
        <v>161</v>
      </c>
      <c r="AB4927" t="s">
        <v>5318</v>
      </c>
      <c r="AC4927" t="str">
        <f>HYPERLINK("plots/3FT6Y578R04_015_S31P_20251219032831_M5358ACSA301811_RBGEUFRF04/dpll_52094/txpa_54227.png","plot")</f>
        <v>plot</v>
      </c>
    </row>
    <row r="4928" spans="1:29" hidden="1" x14ac:dyDescent="0.35">
      <c r="A4928" t="s">
        <v>50</v>
      </c>
      <c r="B4928">
        <v>52094</v>
      </c>
      <c r="C4928" t="s">
        <v>53</v>
      </c>
      <c r="D4928">
        <v>54228</v>
      </c>
      <c r="E4928" t="s">
        <v>248</v>
      </c>
      <c r="F4928">
        <v>11782</v>
      </c>
      <c r="G4928">
        <v>0.79369169110161852</v>
      </c>
      <c r="H4928">
        <v>0</v>
      </c>
      <c r="I4928">
        <v>0</v>
      </c>
      <c r="J4928">
        <v>0.70752956052320826</v>
      </c>
      <c r="K4928">
        <v>0</v>
      </c>
      <c r="L4928">
        <v>0</v>
      </c>
      <c r="M4928">
        <v>0.51925807366814947</v>
      </c>
      <c r="N4928">
        <v>0</v>
      </c>
      <c r="O4928">
        <v>0</v>
      </c>
      <c r="P4928">
        <v>0.62994650052374701</v>
      </c>
      <c r="Q4928">
        <v>1.2061552824588579</v>
      </c>
      <c r="R4928">
        <v>4.1859902368154014</v>
      </c>
      <c r="S4928">
        <v>0.20584218674067481</v>
      </c>
      <c r="T4928">
        <v>0.15808489466334019</v>
      </c>
      <c r="U4928">
        <v>4.2673938428959426</v>
      </c>
      <c r="V4928">
        <v>0.22267382584799689</v>
      </c>
      <c r="W4928">
        <v>9.3331298627567474</v>
      </c>
      <c r="X4928">
        <v>0.33839236862755351</v>
      </c>
      <c r="Z4928" t="s">
        <v>392</v>
      </c>
      <c r="AA4928">
        <v>161</v>
      </c>
      <c r="AB4928" t="s">
        <v>5319</v>
      </c>
      <c r="AC4928" t="str">
        <f>HYPERLINK("plots/3FT6Y578R04_015_S31P_20251219032831_M5358ACSA301811_RBGEUFRF04/dpll_52094/txpa_54228.png","plot")</f>
        <v>plot</v>
      </c>
    </row>
    <row r="4929" spans="1:29" hidden="1" x14ac:dyDescent="0.35">
      <c r="A4929" t="s">
        <v>50</v>
      </c>
      <c r="B4929">
        <v>52094</v>
      </c>
      <c r="C4929" t="s">
        <v>53</v>
      </c>
      <c r="D4929">
        <v>54229</v>
      </c>
      <c r="E4929" t="s">
        <v>249</v>
      </c>
      <c r="F4929">
        <v>11782</v>
      </c>
      <c r="G4929">
        <v>0.78781396755123645</v>
      </c>
      <c r="H4929">
        <v>0</v>
      </c>
      <c r="I4929">
        <v>0</v>
      </c>
      <c r="J4929">
        <v>0.69997620239838398</v>
      </c>
      <c r="K4929">
        <v>0</v>
      </c>
      <c r="L4929">
        <v>0</v>
      </c>
      <c r="M4929">
        <v>0.51166154989916501</v>
      </c>
      <c r="N4929">
        <v>0</v>
      </c>
      <c r="O4929">
        <v>0</v>
      </c>
      <c r="P4929">
        <v>0.6206508474688206</v>
      </c>
      <c r="Q4929">
        <v>1.1819354345982751</v>
      </c>
      <c r="R4929">
        <v>4.2999564009108724</v>
      </c>
      <c r="S4929">
        <v>0.20575025188003909</v>
      </c>
      <c r="T4929">
        <v>0.15705737639393061</v>
      </c>
      <c r="U4929">
        <v>4.2673938428959426</v>
      </c>
      <c r="V4929">
        <v>0.22267382584799689</v>
      </c>
      <c r="W4929">
        <v>9.3437403972160915</v>
      </c>
      <c r="X4929">
        <v>0.33407136198076631</v>
      </c>
      <c r="Z4929" t="s">
        <v>392</v>
      </c>
      <c r="AA4929">
        <v>161</v>
      </c>
      <c r="AB4929" t="s">
        <v>5320</v>
      </c>
      <c r="AC4929" t="str">
        <f>HYPERLINK("plots/3FT6Y578R04_015_S31P_20251219032831_M5358ACSA301811_RBGEUFRF04/dpll_52094/txpa_54229.png","plot")</f>
        <v>plot</v>
      </c>
    </row>
    <row r="4930" spans="1:29" hidden="1" x14ac:dyDescent="0.35">
      <c r="A4930" t="s">
        <v>50</v>
      </c>
      <c r="B4930">
        <v>52094</v>
      </c>
      <c r="C4930" t="s">
        <v>53</v>
      </c>
      <c r="D4930">
        <v>54230</v>
      </c>
      <c r="E4930" t="s">
        <v>250</v>
      </c>
      <c r="F4930">
        <v>11781</v>
      </c>
      <c r="G4930">
        <v>0.80036689882420231</v>
      </c>
      <c r="H4930">
        <v>0</v>
      </c>
      <c r="I4930">
        <v>0</v>
      </c>
      <c r="J4930">
        <v>0.70986453235904634</v>
      </c>
      <c r="K4930">
        <v>0</v>
      </c>
      <c r="L4930">
        <v>0</v>
      </c>
      <c r="M4930">
        <v>0.52126982483632467</v>
      </c>
      <c r="N4930">
        <v>0</v>
      </c>
      <c r="O4930">
        <v>0</v>
      </c>
      <c r="P4930">
        <v>0.64058717273347088</v>
      </c>
      <c r="Q4930">
        <v>1.208537912298451</v>
      </c>
      <c r="R4930">
        <v>4.1941688910132742</v>
      </c>
      <c r="S4930">
        <v>0.20157337098289499</v>
      </c>
      <c r="T4930">
        <v>0.1556460559186906</v>
      </c>
      <c r="U4930">
        <v>4.2674026018164843</v>
      </c>
      <c r="V4930">
        <v>0.22268124725346999</v>
      </c>
      <c r="W4930">
        <v>9.3514867223495468</v>
      </c>
      <c r="X4930">
        <v>0.33624420257644239</v>
      </c>
      <c r="Z4930" t="s">
        <v>392</v>
      </c>
      <c r="AA4930">
        <v>161</v>
      </c>
      <c r="AB4930" t="s">
        <v>5321</v>
      </c>
      <c r="AC4930" t="str">
        <f>HYPERLINK("plots/3FT6Y578R04_015_S31P_20251219032831_M5358ACSA301811_RBGEUFRF04/dpll_52094/txpa_54230.png","plot")</f>
        <v>plot</v>
      </c>
    </row>
    <row r="4931" spans="1:29" hidden="1" x14ac:dyDescent="0.35">
      <c r="A4931" t="s">
        <v>50</v>
      </c>
      <c r="B4931">
        <v>52094</v>
      </c>
      <c r="C4931" t="s">
        <v>53</v>
      </c>
      <c r="D4931">
        <v>54231</v>
      </c>
      <c r="E4931" t="s">
        <v>251</v>
      </c>
      <c r="F4931">
        <v>11781</v>
      </c>
      <c r="G4931">
        <v>0.80178282030292902</v>
      </c>
      <c r="H4931">
        <v>0</v>
      </c>
      <c r="I4931">
        <v>0</v>
      </c>
      <c r="J4931">
        <v>0.70637125346607221</v>
      </c>
      <c r="K4931">
        <v>0</v>
      </c>
      <c r="L4931">
        <v>0</v>
      </c>
      <c r="M4931">
        <v>0.51680482431846642</v>
      </c>
      <c r="N4931">
        <v>0</v>
      </c>
      <c r="O4931">
        <v>0</v>
      </c>
      <c r="P4931">
        <v>0.64285569093291894</v>
      </c>
      <c r="Q4931">
        <v>1.206987359347782</v>
      </c>
      <c r="R4931">
        <v>4.175837839702913</v>
      </c>
      <c r="S4931">
        <v>0.20030583993902859</v>
      </c>
      <c r="T4931">
        <v>0.15512419610472791</v>
      </c>
      <c r="U4931">
        <v>4.2673648416942536</v>
      </c>
      <c r="V4931">
        <v>0.2226610238238293</v>
      </c>
      <c r="W4931">
        <v>9.3264932613530274</v>
      </c>
      <c r="X4931">
        <v>0.3351893235542997</v>
      </c>
      <c r="Z4931" t="s">
        <v>392</v>
      </c>
      <c r="AA4931">
        <v>161</v>
      </c>
      <c r="AB4931" t="s">
        <v>5322</v>
      </c>
      <c r="AC4931" t="str">
        <f>HYPERLINK("plots/3FT6Y578R04_015_S31P_20251219032831_M5358ACSA301811_RBGEUFRF04/dpll_52094/txpa_54231.png","plot")</f>
        <v>plot</v>
      </c>
    </row>
    <row r="4932" spans="1:29" hidden="1" x14ac:dyDescent="0.35">
      <c r="A4932" t="s">
        <v>50</v>
      </c>
      <c r="B4932">
        <v>52094</v>
      </c>
      <c r="C4932" t="s">
        <v>53</v>
      </c>
      <c r="D4932">
        <v>54232</v>
      </c>
      <c r="E4932" t="s">
        <v>252</v>
      </c>
      <c r="F4932">
        <v>11781</v>
      </c>
      <c r="G4932">
        <v>0.80495156110162691</v>
      </c>
      <c r="H4932">
        <v>0</v>
      </c>
      <c r="I4932">
        <v>0</v>
      </c>
      <c r="J4932">
        <v>0.71586310058803548</v>
      </c>
      <c r="K4932">
        <v>0</v>
      </c>
      <c r="L4932">
        <v>0</v>
      </c>
      <c r="M4932">
        <v>0.52631844724066634</v>
      </c>
      <c r="N4932">
        <v>0</v>
      </c>
      <c r="O4932">
        <v>0</v>
      </c>
      <c r="P4932">
        <v>0.64794701571994617</v>
      </c>
      <c r="Q4932">
        <v>1.2193397490402189</v>
      </c>
      <c r="R4932">
        <v>4.1376907565933738</v>
      </c>
      <c r="S4932">
        <v>0.20011121293417511</v>
      </c>
      <c r="T4932">
        <v>0.15529556230449901</v>
      </c>
      <c r="U4932">
        <v>4.2673606822850356</v>
      </c>
      <c r="V4932">
        <v>0.2226541824443867</v>
      </c>
      <c r="W4932">
        <v>9.3410532599949061</v>
      </c>
      <c r="X4932">
        <v>0.33727631333858288</v>
      </c>
      <c r="Z4932" t="s">
        <v>392</v>
      </c>
      <c r="AA4932">
        <v>161</v>
      </c>
      <c r="AB4932" t="s">
        <v>5323</v>
      </c>
      <c r="AC4932" t="str">
        <f>HYPERLINK("plots/3FT6Y578R04_015_S31P_20251219032831_M5358ACSA301811_RBGEUFRF04/dpll_52094/txpa_54232.png","plot")</f>
        <v>plot</v>
      </c>
    </row>
    <row r="4933" spans="1:29" hidden="1" x14ac:dyDescent="0.35">
      <c r="A4933" t="s">
        <v>50</v>
      </c>
      <c r="B4933">
        <v>52094</v>
      </c>
      <c r="C4933" t="s">
        <v>53</v>
      </c>
      <c r="D4933">
        <v>54233</v>
      </c>
      <c r="E4933" t="s">
        <v>253</v>
      </c>
      <c r="F4933">
        <v>11782</v>
      </c>
      <c r="G4933">
        <v>0.80225990771726952</v>
      </c>
      <c r="H4933">
        <v>0</v>
      </c>
      <c r="I4933">
        <v>0</v>
      </c>
      <c r="J4933">
        <v>0.70770915627882114</v>
      </c>
      <c r="K4933">
        <v>0</v>
      </c>
      <c r="L4933">
        <v>0</v>
      </c>
      <c r="M4933">
        <v>0.51877896805605994</v>
      </c>
      <c r="N4933">
        <v>0</v>
      </c>
      <c r="O4933">
        <v>0</v>
      </c>
      <c r="P4933">
        <v>0.64362095953052179</v>
      </c>
      <c r="Q4933">
        <v>1.2052519982019301</v>
      </c>
      <c r="R4933">
        <v>4.202982523364998</v>
      </c>
      <c r="S4933">
        <v>0.199696102060931</v>
      </c>
      <c r="T4933">
        <v>0.15502547221572249</v>
      </c>
      <c r="U4933">
        <v>4.2673938428959426</v>
      </c>
      <c r="V4933">
        <v>0.22267382584799689</v>
      </c>
      <c r="W4933">
        <v>9.3462674796299439</v>
      </c>
      <c r="X4933">
        <v>0.33452759008511718</v>
      </c>
      <c r="Z4933" t="s">
        <v>392</v>
      </c>
      <c r="AA4933">
        <v>161</v>
      </c>
      <c r="AB4933" t="s">
        <v>5324</v>
      </c>
      <c r="AC4933" t="str">
        <f>HYPERLINK("plots/3FT6Y578R04_015_S31P_20251219032831_M5358ACSA301811_RBGEUFRF04/dpll_52094/txpa_54233.png","plot")</f>
        <v>plot</v>
      </c>
    </row>
    <row r="4934" spans="1:29" hidden="1" x14ac:dyDescent="0.35">
      <c r="A4934" t="s">
        <v>50</v>
      </c>
      <c r="B4934">
        <v>52094</v>
      </c>
      <c r="C4934" t="s">
        <v>53</v>
      </c>
      <c r="D4934">
        <v>54234</v>
      </c>
      <c r="E4934" t="s">
        <v>254</v>
      </c>
      <c r="F4934">
        <v>11781</v>
      </c>
      <c r="G4934">
        <v>0.79544669394392464</v>
      </c>
      <c r="H4934">
        <v>0</v>
      </c>
      <c r="I4934">
        <v>0</v>
      </c>
      <c r="J4934">
        <v>0.70167385111987624</v>
      </c>
      <c r="K4934">
        <v>0</v>
      </c>
      <c r="L4934">
        <v>0</v>
      </c>
      <c r="M4934">
        <v>0.51416984569836677</v>
      </c>
      <c r="N4934">
        <v>0</v>
      </c>
      <c r="O4934">
        <v>0</v>
      </c>
      <c r="P4934">
        <v>0.63273544290631967</v>
      </c>
      <c r="Q4934">
        <v>1.1971567482217511</v>
      </c>
      <c r="R4934">
        <v>4.2134141567751069</v>
      </c>
      <c r="S4934">
        <v>0.20308072619887199</v>
      </c>
      <c r="T4934">
        <v>0.1559197835436674</v>
      </c>
      <c r="U4934">
        <v>4.2674179181733303</v>
      </c>
      <c r="V4934">
        <v>0.22266794157249609</v>
      </c>
      <c r="W4934">
        <v>9.3221823149987255</v>
      </c>
      <c r="X4934">
        <v>0.33511790406027142</v>
      </c>
      <c r="Z4934" t="s">
        <v>392</v>
      </c>
      <c r="AA4934">
        <v>161</v>
      </c>
      <c r="AB4934" t="s">
        <v>5325</v>
      </c>
      <c r="AC4934" t="str">
        <f>HYPERLINK("plots/3FT6Y578R04_015_S31P_20251219032831_M5358ACSA301811_RBGEUFRF04/dpll_52094/txpa_54234.png","plot")</f>
        <v>plot</v>
      </c>
    </row>
    <row r="4935" spans="1:29" hidden="1" x14ac:dyDescent="0.35">
      <c r="A4935" t="s">
        <v>50</v>
      </c>
      <c r="B4935">
        <v>52094</v>
      </c>
      <c r="C4935" t="s">
        <v>53</v>
      </c>
      <c r="D4935">
        <v>54235</v>
      </c>
      <c r="E4935" t="s">
        <v>255</v>
      </c>
      <c r="F4935">
        <v>11782</v>
      </c>
      <c r="G4935">
        <v>0.77981323928099455</v>
      </c>
      <c r="H4935">
        <v>0</v>
      </c>
      <c r="I4935">
        <v>0</v>
      </c>
      <c r="J4935">
        <v>0.69822795875846388</v>
      </c>
      <c r="K4935">
        <v>0</v>
      </c>
      <c r="L4935">
        <v>0</v>
      </c>
      <c r="M4935">
        <v>0.50828038081422666</v>
      </c>
      <c r="N4935">
        <v>0</v>
      </c>
      <c r="O4935">
        <v>0</v>
      </c>
      <c r="P4935">
        <v>0.60810868815791763</v>
      </c>
      <c r="Q4935">
        <v>1.1970487589912799</v>
      </c>
      <c r="R4935">
        <v>4.6748467663073754</v>
      </c>
      <c r="S4935">
        <v>0.21397093972752429</v>
      </c>
      <c r="T4935">
        <v>0.1616434438513247</v>
      </c>
      <c r="U4935">
        <v>4.2673938428959426</v>
      </c>
      <c r="V4935">
        <v>0.22267382584799689</v>
      </c>
      <c r="W4935">
        <v>9.7831252700729934</v>
      </c>
      <c r="X4935">
        <v>0.34181444154109469</v>
      </c>
      <c r="Z4935" t="s">
        <v>392</v>
      </c>
      <c r="AA4935">
        <v>161</v>
      </c>
      <c r="AB4935" t="s">
        <v>5326</v>
      </c>
      <c r="AC4935" t="str">
        <f>HYPERLINK("plots/3FT6Y578R04_015_S31P_20251219032831_M5358ACSA301811_RBGEUFRF04/dpll_52094/txpa_54235.png","plot")</f>
        <v>plot</v>
      </c>
    </row>
    <row r="4936" spans="1:29" hidden="1" x14ac:dyDescent="0.35">
      <c r="A4936" t="s">
        <v>50</v>
      </c>
      <c r="B4936">
        <v>52094</v>
      </c>
      <c r="C4936" t="s">
        <v>53</v>
      </c>
      <c r="D4936">
        <v>54236</v>
      </c>
      <c r="E4936" t="s">
        <v>256</v>
      </c>
      <c r="F4936">
        <v>11782</v>
      </c>
      <c r="G4936">
        <v>0.796080512241928</v>
      </c>
      <c r="H4936">
        <v>0</v>
      </c>
      <c r="I4936">
        <v>0</v>
      </c>
      <c r="J4936">
        <v>0.70908897156408701</v>
      </c>
      <c r="K4936">
        <v>0</v>
      </c>
      <c r="L4936">
        <v>0</v>
      </c>
      <c r="M4936">
        <v>0.52069205913434558</v>
      </c>
      <c r="N4936">
        <v>0</v>
      </c>
      <c r="O4936">
        <v>0</v>
      </c>
      <c r="P4936">
        <v>0.6337441819713705</v>
      </c>
      <c r="Q4936">
        <v>1.2246178273879851</v>
      </c>
      <c r="R4936">
        <v>4.5880395687254314</v>
      </c>
      <c r="S4936">
        <v>0.2072939325662228</v>
      </c>
      <c r="T4936">
        <v>0.15899646084562391</v>
      </c>
      <c r="U4936">
        <v>4.2673938428959426</v>
      </c>
      <c r="V4936">
        <v>0.22267382584799689</v>
      </c>
      <c r="W4936">
        <v>9.8139661452215243</v>
      </c>
      <c r="X4936">
        <v>0.34254115335419011</v>
      </c>
      <c r="Z4936" t="s">
        <v>392</v>
      </c>
      <c r="AA4936">
        <v>161</v>
      </c>
      <c r="AB4936" t="s">
        <v>5327</v>
      </c>
      <c r="AC4936" t="str">
        <f>HYPERLINK("plots/3FT6Y578R04_015_S31P_20251219032831_M5358ACSA301811_RBGEUFRF04/dpll_52094/txpa_54236.png","plot")</f>
        <v>plot</v>
      </c>
    </row>
    <row r="4937" spans="1:29" hidden="1" x14ac:dyDescent="0.35">
      <c r="A4937" t="s">
        <v>50</v>
      </c>
      <c r="B4937">
        <v>52094</v>
      </c>
      <c r="C4937" t="s">
        <v>53</v>
      </c>
      <c r="D4937">
        <v>54237</v>
      </c>
      <c r="E4937" t="s">
        <v>257</v>
      </c>
      <c r="F4937">
        <v>11782</v>
      </c>
      <c r="G4937">
        <v>0.79053147419051184</v>
      </c>
      <c r="H4937">
        <v>0</v>
      </c>
      <c r="I4937">
        <v>0</v>
      </c>
      <c r="J4937">
        <v>0.70183256034466135</v>
      </c>
      <c r="K4937">
        <v>0</v>
      </c>
      <c r="L4937">
        <v>0</v>
      </c>
      <c r="M4937">
        <v>0.51330983678098219</v>
      </c>
      <c r="N4937">
        <v>0</v>
      </c>
      <c r="O4937">
        <v>0</v>
      </c>
      <c r="P4937">
        <v>0.62494001168582392</v>
      </c>
      <c r="Q4937">
        <v>1.200812850947524</v>
      </c>
      <c r="R4937">
        <v>4.7006064507447114</v>
      </c>
      <c r="S4937">
        <v>0.20713680305634849</v>
      </c>
      <c r="T4937">
        <v>0.15789020639852119</v>
      </c>
      <c r="U4937">
        <v>4.2673938428959426</v>
      </c>
      <c r="V4937">
        <v>0.22267382584799689</v>
      </c>
      <c r="W4937">
        <v>9.8249478173484981</v>
      </c>
      <c r="X4937">
        <v>0.33824028565305031</v>
      </c>
      <c r="Z4937" t="s">
        <v>392</v>
      </c>
      <c r="AA4937">
        <v>161</v>
      </c>
      <c r="AB4937" t="s">
        <v>5328</v>
      </c>
      <c r="AC4937" t="str">
        <f>HYPERLINK("plots/3FT6Y578R04_015_S31P_20251219032831_M5358ACSA301811_RBGEUFRF04/dpll_52094/txpa_54237.png","plot")</f>
        <v>plot</v>
      </c>
    </row>
    <row r="4938" spans="1:29" hidden="1" x14ac:dyDescent="0.35">
      <c r="A4938" t="s">
        <v>50</v>
      </c>
      <c r="B4938">
        <v>52094</v>
      </c>
      <c r="C4938" t="s">
        <v>53</v>
      </c>
      <c r="D4938">
        <v>54238</v>
      </c>
      <c r="E4938" t="s">
        <v>258</v>
      </c>
      <c r="F4938">
        <v>11781</v>
      </c>
      <c r="G4938">
        <v>0.80265984630119791</v>
      </c>
      <c r="H4938">
        <v>0</v>
      </c>
      <c r="I4938">
        <v>0</v>
      </c>
      <c r="J4938">
        <v>0.71135005665995732</v>
      </c>
      <c r="K4938">
        <v>0</v>
      </c>
      <c r="L4938">
        <v>0</v>
      </c>
      <c r="M4938">
        <v>0.52261487471876755</v>
      </c>
      <c r="N4938">
        <v>0</v>
      </c>
      <c r="O4938">
        <v>0</v>
      </c>
      <c r="P4938">
        <v>0.64426282886426267</v>
      </c>
      <c r="Q4938">
        <v>1.226993560544746</v>
      </c>
      <c r="R4938">
        <v>4.5960545269593762</v>
      </c>
      <c r="S4938">
        <v>0.20302082201752369</v>
      </c>
      <c r="T4938">
        <v>0.1565482766323138</v>
      </c>
      <c r="U4938">
        <v>4.2674026018164843</v>
      </c>
      <c r="V4938">
        <v>0.22268124725346999</v>
      </c>
      <c r="W4938">
        <v>9.8321300396400986</v>
      </c>
      <c r="X4938">
        <v>0.34040379332934928</v>
      </c>
      <c r="Z4938" t="s">
        <v>392</v>
      </c>
      <c r="AA4938">
        <v>161</v>
      </c>
      <c r="AB4938" t="s">
        <v>5329</v>
      </c>
      <c r="AC4938" t="str">
        <f>HYPERLINK("plots/3FT6Y578R04_015_S31P_20251219032831_M5358ACSA301811_RBGEUFRF04/dpll_52094/txpa_54238.png","plot")</f>
        <v>plot</v>
      </c>
    </row>
    <row r="4939" spans="1:29" hidden="1" x14ac:dyDescent="0.35">
      <c r="A4939" t="s">
        <v>50</v>
      </c>
      <c r="B4939">
        <v>52094</v>
      </c>
      <c r="C4939" t="s">
        <v>53</v>
      </c>
      <c r="D4939">
        <v>54239</v>
      </c>
      <c r="E4939" t="s">
        <v>259</v>
      </c>
      <c r="F4939">
        <v>11781</v>
      </c>
      <c r="G4939">
        <v>0.80411807603322771</v>
      </c>
      <c r="H4939">
        <v>0</v>
      </c>
      <c r="I4939">
        <v>0</v>
      </c>
      <c r="J4939">
        <v>0.70793123303964378</v>
      </c>
      <c r="K4939">
        <v>0</v>
      </c>
      <c r="L4939">
        <v>0</v>
      </c>
      <c r="M4939">
        <v>0.51823075567517185</v>
      </c>
      <c r="N4939">
        <v>0</v>
      </c>
      <c r="O4939">
        <v>0</v>
      </c>
      <c r="P4939">
        <v>0.64660588020337983</v>
      </c>
      <c r="Q4939">
        <v>1.2257231405840849</v>
      </c>
      <c r="R4939">
        <v>4.5761905550191564</v>
      </c>
      <c r="S4939">
        <v>0.20175671065912801</v>
      </c>
      <c r="T4939">
        <v>0.1561028553871093</v>
      </c>
      <c r="U4939">
        <v>4.2673648416942536</v>
      </c>
      <c r="V4939">
        <v>0.2226610238238293</v>
      </c>
      <c r="W4939">
        <v>9.8067983907987433</v>
      </c>
      <c r="X4939">
        <v>0.33940384819273001</v>
      </c>
      <c r="Z4939" t="s">
        <v>392</v>
      </c>
      <c r="AA4939">
        <v>161</v>
      </c>
      <c r="AB4939" t="s">
        <v>5330</v>
      </c>
      <c r="AC4939" t="str">
        <f>HYPERLINK("plots/3FT6Y578R04_015_S31P_20251219032831_M5358ACSA301811_RBGEUFRF04/dpll_52094/txpa_54239.png","plot")</f>
        <v>plot</v>
      </c>
    </row>
    <row r="4940" spans="1:29" hidden="1" x14ac:dyDescent="0.35">
      <c r="A4940" t="s">
        <v>50</v>
      </c>
      <c r="B4940">
        <v>52094</v>
      </c>
      <c r="C4940" t="s">
        <v>53</v>
      </c>
      <c r="D4940">
        <v>54240</v>
      </c>
      <c r="E4940" t="s">
        <v>260</v>
      </c>
      <c r="F4940">
        <v>11781</v>
      </c>
      <c r="G4940">
        <v>0.80710503980237425</v>
      </c>
      <c r="H4940">
        <v>0</v>
      </c>
      <c r="I4940">
        <v>0</v>
      </c>
      <c r="J4940">
        <v>0.71708103252488398</v>
      </c>
      <c r="K4940">
        <v>0</v>
      </c>
      <c r="L4940">
        <v>0</v>
      </c>
      <c r="M4940">
        <v>0.52748327901771719</v>
      </c>
      <c r="N4940">
        <v>0</v>
      </c>
      <c r="O4940">
        <v>0</v>
      </c>
      <c r="P4940">
        <v>0.65141854527439214</v>
      </c>
      <c r="Q4940">
        <v>1.237871329076105</v>
      </c>
      <c r="R4940">
        <v>4.5394596049662201</v>
      </c>
      <c r="S4940">
        <v>0.20160904329268919</v>
      </c>
      <c r="T4940">
        <v>0.15625945703569599</v>
      </c>
      <c r="U4940">
        <v>4.2673606822850356</v>
      </c>
      <c r="V4940">
        <v>0.2226541824443867</v>
      </c>
      <c r="W4940">
        <v>9.8219030443935136</v>
      </c>
      <c r="X4940">
        <v>0.34148867266926453</v>
      </c>
      <c r="Z4940" t="s">
        <v>392</v>
      </c>
      <c r="AA4940">
        <v>161</v>
      </c>
      <c r="AB4940" t="s">
        <v>5331</v>
      </c>
      <c r="AC4940" t="str">
        <f>HYPERLINK("plots/3FT6Y578R04_015_S31P_20251219032831_M5358ACSA301811_RBGEUFRF04/dpll_52094/txpa_54240.png","plot")</f>
        <v>plot</v>
      </c>
    </row>
    <row r="4941" spans="1:29" hidden="1" x14ac:dyDescent="0.35">
      <c r="A4941" t="s">
        <v>50</v>
      </c>
      <c r="B4941">
        <v>52094</v>
      </c>
      <c r="C4941" t="s">
        <v>53</v>
      </c>
      <c r="D4941">
        <v>54241</v>
      </c>
      <c r="E4941" t="s">
        <v>261</v>
      </c>
      <c r="F4941">
        <v>11782</v>
      </c>
      <c r="G4941">
        <v>0.80463524510338302</v>
      </c>
      <c r="H4941">
        <v>0</v>
      </c>
      <c r="I4941">
        <v>0</v>
      </c>
      <c r="J4941">
        <v>0.70911885753256099</v>
      </c>
      <c r="K4941">
        <v>0</v>
      </c>
      <c r="L4941">
        <v>0</v>
      </c>
      <c r="M4941">
        <v>0.52007684500756557</v>
      </c>
      <c r="N4941">
        <v>0</v>
      </c>
      <c r="O4941">
        <v>0</v>
      </c>
      <c r="P4941">
        <v>0.64743787766258132</v>
      </c>
      <c r="Q4941">
        <v>1.223895335008093</v>
      </c>
      <c r="R4941">
        <v>4.6042811494947031</v>
      </c>
      <c r="S4941">
        <v>0.2011007976791036</v>
      </c>
      <c r="T4941">
        <v>0.15587112105458961</v>
      </c>
      <c r="U4941">
        <v>4.2673938428959426</v>
      </c>
      <c r="V4941">
        <v>0.22267382584799689</v>
      </c>
      <c r="W4941">
        <v>9.8271245664573073</v>
      </c>
      <c r="X4941">
        <v>0.33869937756548563</v>
      </c>
      <c r="Z4941" t="s">
        <v>392</v>
      </c>
      <c r="AA4941">
        <v>161</v>
      </c>
      <c r="AB4941" t="s">
        <v>5332</v>
      </c>
      <c r="AC4941" t="str">
        <f>HYPERLINK("plots/3FT6Y578R04_015_S31P_20251219032831_M5358ACSA301811_RBGEUFRF04/dpll_52094/txpa_54241.png","plot")</f>
        <v>plot</v>
      </c>
    </row>
    <row r="4942" spans="1:29" hidden="1" x14ac:dyDescent="0.35">
      <c r="A4942" t="s">
        <v>50</v>
      </c>
      <c r="B4942">
        <v>52094</v>
      </c>
      <c r="C4942" t="s">
        <v>53</v>
      </c>
      <c r="D4942">
        <v>54242</v>
      </c>
      <c r="E4942" t="s">
        <v>262</v>
      </c>
      <c r="F4942">
        <v>11781</v>
      </c>
      <c r="G4942">
        <v>0.7976415524026591</v>
      </c>
      <c r="H4942">
        <v>0</v>
      </c>
      <c r="I4942">
        <v>0</v>
      </c>
      <c r="J4942">
        <v>0.70291540836170407</v>
      </c>
      <c r="K4942">
        <v>0</v>
      </c>
      <c r="L4942">
        <v>0</v>
      </c>
      <c r="M4942">
        <v>0.515321173515919</v>
      </c>
      <c r="N4942">
        <v>0</v>
      </c>
      <c r="O4942">
        <v>0</v>
      </c>
      <c r="P4942">
        <v>0.63623204611932394</v>
      </c>
      <c r="Q4942">
        <v>1.2150696132167591</v>
      </c>
      <c r="R4942">
        <v>4.6181561699830489</v>
      </c>
      <c r="S4942">
        <v>0.20457137781434709</v>
      </c>
      <c r="T4942">
        <v>0.15685626935703689</v>
      </c>
      <c r="U4942">
        <v>4.2674179181733303</v>
      </c>
      <c r="V4942">
        <v>0.22266794157249609</v>
      </c>
      <c r="W4942">
        <v>9.8033660092521853</v>
      </c>
      <c r="X4942">
        <v>0.33919628287580011</v>
      </c>
      <c r="Z4942" t="s">
        <v>392</v>
      </c>
      <c r="AA4942">
        <v>161</v>
      </c>
      <c r="AB4942" t="s">
        <v>5333</v>
      </c>
      <c r="AC4942" t="str">
        <f>HYPERLINK("plots/3FT6Y578R04_015_S31P_20251219032831_M5358ACSA301811_RBGEUFRF04/dpll_52094/txpa_54242.png","plot")</f>
        <v>plot</v>
      </c>
    </row>
    <row r="4943" spans="1:29" hidden="1" x14ac:dyDescent="0.35">
      <c r="A4943" t="s">
        <v>50</v>
      </c>
      <c r="B4943">
        <v>52094</v>
      </c>
      <c r="C4943" t="s">
        <v>53</v>
      </c>
      <c r="D4943">
        <v>54243</v>
      </c>
      <c r="E4943" t="s">
        <v>263</v>
      </c>
      <c r="F4943">
        <v>11782</v>
      </c>
      <c r="G4943">
        <v>0.78612884648317871</v>
      </c>
      <c r="H4943">
        <v>0</v>
      </c>
      <c r="I4943">
        <v>0</v>
      </c>
      <c r="J4943">
        <v>0.70226519276721389</v>
      </c>
      <c r="K4943">
        <v>0</v>
      </c>
      <c r="L4943">
        <v>0</v>
      </c>
      <c r="M4943">
        <v>0.51209024640519174</v>
      </c>
      <c r="N4943">
        <v>0</v>
      </c>
      <c r="O4943">
        <v>0</v>
      </c>
      <c r="P4943">
        <v>0.6179985632729732</v>
      </c>
      <c r="Q4943">
        <v>1.2454890339851989</v>
      </c>
      <c r="R4943">
        <v>6.0400607213512787</v>
      </c>
      <c r="S4943">
        <v>0.21803660610922271</v>
      </c>
      <c r="T4943">
        <v>0.16400239939431899</v>
      </c>
      <c r="U4943">
        <v>4.2673938428959426</v>
      </c>
      <c r="V4943">
        <v>0.22267382584799689</v>
      </c>
      <c r="W4943">
        <v>11.355052956374131</v>
      </c>
      <c r="X4943">
        <v>0.35278925266501371</v>
      </c>
      <c r="Z4943" t="s">
        <v>392</v>
      </c>
      <c r="AA4943">
        <v>161</v>
      </c>
      <c r="AB4943" t="s">
        <v>5334</v>
      </c>
      <c r="AC4943" t="str">
        <f>HYPERLINK("plots/3FT6Y578R04_015_S31P_20251219032831_M5358ACSA301811_RBGEUFRF04/dpll_52094/txpa_54243.png","plot")</f>
        <v>plot</v>
      </c>
    </row>
    <row r="4944" spans="1:29" hidden="1" x14ac:dyDescent="0.35">
      <c r="A4944" t="s">
        <v>50</v>
      </c>
      <c r="B4944">
        <v>52094</v>
      </c>
      <c r="C4944" t="s">
        <v>53</v>
      </c>
      <c r="D4944">
        <v>54244</v>
      </c>
      <c r="E4944" t="s">
        <v>264</v>
      </c>
      <c r="F4944">
        <v>11782</v>
      </c>
      <c r="G4944">
        <v>0.80204970060289293</v>
      </c>
      <c r="H4944">
        <v>0</v>
      </c>
      <c r="I4944">
        <v>0</v>
      </c>
      <c r="J4944">
        <v>0.71312904023623924</v>
      </c>
      <c r="K4944">
        <v>0</v>
      </c>
      <c r="L4944">
        <v>0</v>
      </c>
      <c r="M4944">
        <v>0.52462202760633969</v>
      </c>
      <c r="N4944">
        <v>0</v>
      </c>
      <c r="O4944">
        <v>0</v>
      </c>
      <c r="P4944">
        <v>0.64328372223719021</v>
      </c>
      <c r="Q4944">
        <v>1.2737553127345269</v>
      </c>
      <c r="R4944">
        <v>5.9499395626525722</v>
      </c>
      <c r="S4944">
        <v>0.2112014672412294</v>
      </c>
      <c r="T4944">
        <v>0.16133883471422439</v>
      </c>
      <c r="U4944">
        <v>4.2673938428959426</v>
      </c>
      <c r="V4944">
        <v>0.22267382584799689</v>
      </c>
      <c r="W4944">
        <v>11.38555514157189</v>
      </c>
      <c r="X4944">
        <v>0.35363390631229619</v>
      </c>
      <c r="Z4944" t="s">
        <v>392</v>
      </c>
      <c r="AA4944">
        <v>161</v>
      </c>
      <c r="AB4944" t="s">
        <v>5335</v>
      </c>
      <c r="AC4944" t="str">
        <f>HYPERLINK("plots/3FT6Y578R04_015_S31P_20251219032831_M5358ACSA301811_RBGEUFRF04/dpll_52094/txpa_54244.png","plot")</f>
        <v>plot</v>
      </c>
    </row>
    <row r="4945" spans="1:29" hidden="1" x14ac:dyDescent="0.35">
      <c r="A4945" t="s">
        <v>50</v>
      </c>
      <c r="B4945">
        <v>52094</v>
      </c>
      <c r="C4945" t="s">
        <v>53</v>
      </c>
      <c r="D4945">
        <v>54245</v>
      </c>
      <c r="E4945" t="s">
        <v>265</v>
      </c>
      <c r="F4945">
        <v>11782</v>
      </c>
      <c r="G4945">
        <v>0.79694616623262593</v>
      </c>
      <c r="H4945">
        <v>0</v>
      </c>
      <c r="I4945">
        <v>0</v>
      </c>
      <c r="J4945">
        <v>0.7059842908174544</v>
      </c>
      <c r="K4945">
        <v>0</v>
      </c>
      <c r="L4945">
        <v>0</v>
      </c>
      <c r="M4945">
        <v>0.51731104595489763</v>
      </c>
      <c r="N4945">
        <v>0</v>
      </c>
      <c r="O4945">
        <v>0</v>
      </c>
      <c r="P4945">
        <v>0.63512319187288024</v>
      </c>
      <c r="Q4945">
        <v>1.2499550507990751</v>
      </c>
      <c r="R4945">
        <v>6.0628988160918027</v>
      </c>
      <c r="S4945">
        <v>0.2109547359830711</v>
      </c>
      <c r="T4945">
        <v>0.16018958073270209</v>
      </c>
      <c r="U4945">
        <v>4.2673938428959426</v>
      </c>
      <c r="V4945">
        <v>0.22267382584799689</v>
      </c>
      <c r="W4945">
        <v>11.39694930376846</v>
      </c>
      <c r="X4945">
        <v>0.34924852529902611</v>
      </c>
      <c r="Z4945" t="s">
        <v>392</v>
      </c>
      <c r="AA4945">
        <v>161</v>
      </c>
      <c r="AB4945" t="s">
        <v>5336</v>
      </c>
      <c r="AC4945" t="str">
        <f>HYPERLINK("plots/3FT6Y578R04_015_S31P_20251219032831_M5358ACSA301811_RBGEUFRF04/dpll_52094/txpa_54245.png","plot")</f>
        <v>plot</v>
      </c>
    </row>
    <row r="4946" spans="1:29" hidden="1" x14ac:dyDescent="0.35">
      <c r="A4946" t="s">
        <v>50</v>
      </c>
      <c r="B4946">
        <v>52094</v>
      </c>
      <c r="C4946" t="s">
        <v>53</v>
      </c>
      <c r="D4946">
        <v>54246</v>
      </c>
      <c r="E4946" t="s">
        <v>266</v>
      </c>
      <c r="F4946">
        <v>11781</v>
      </c>
      <c r="G4946">
        <v>0.80838095048487835</v>
      </c>
      <c r="H4946">
        <v>0</v>
      </c>
      <c r="I4946">
        <v>0</v>
      </c>
      <c r="J4946">
        <v>0.71499797711655111</v>
      </c>
      <c r="K4946">
        <v>0</v>
      </c>
      <c r="L4946">
        <v>0</v>
      </c>
      <c r="M4946">
        <v>0.52619820289145702</v>
      </c>
      <c r="N4946">
        <v>0</v>
      </c>
      <c r="O4946">
        <v>0</v>
      </c>
      <c r="P4946">
        <v>0.65347976110683537</v>
      </c>
      <c r="Q4946">
        <v>1.2756058608643459</v>
      </c>
      <c r="R4946">
        <v>5.9598587835491008</v>
      </c>
      <c r="S4946">
        <v>0.20683781919632621</v>
      </c>
      <c r="T4946">
        <v>0.15893949138731461</v>
      </c>
      <c r="U4946">
        <v>4.2674026018164843</v>
      </c>
      <c r="V4946">
        <v>0.22268124725346999</v>
      </c>
      <c r="W4946">
        <v>11.403382553093969</v>
      </c>
      <c r="X4946">
        <v>0.35138569746198212</v>
      </c>
      <c r="Z4946" t="s">
        <v>392</v>
      </c>
      <c r="AA4946">
        <v>161</v>
      </c>
      <c r="AB4946" t="s">
        <v>5337</v>
      </c>
      <c r="AC4946" t="str">
        <f>HYPERLINK("plots/3FT6Y578R04_015_S31P_20251219032831_M5358ACSA301811_RBGEUFRF04/dpll_52094/txpa_54246.png","plot")</f>
        <v>plot</v>
      </c>
    </row>
    <row r="4947" spans="1:29" hidden="1" x14ac:dyDescent="0.35">
      <c r="A4947" t="s">
        <v>50</v>
      </c>
      <c r="B4947">
        <v>52094</v>
      </c>
      <c r="C4947" t="s">
        <v>53</v>
      </c>
      <c r="D4947">
        <v>54247</v>
      </c>
      <c r="E4947" t="s">
        <v>267</v>
      </c>
      <c r="F4947">
        <v>11781</v>
      </c>
      <c r="G4947">
        <v>0.80993805516100337</v>
      </c>
      <c r="H4947">
        <v>0</v>
      </c>
      <c r="I4947">
        <v>0</v>
      </c>
      <c r="J4947">
        <v>0.71169854104222108</v>
      </c>
      <c r="K4947">
        <v>0</v>
      </c>
      <c r="L4947">
        <v>0</v>
      </c>
      <c r="M4947">
        <v>0.5219225973248468</v>
      </c>
      <c r="N4947">
        <v>0</v>
      </c>
      <c r="O4947">
        <v>0</v>
      </c>
      <c r="P4947">
        <v>0.65599965319798859</v>
      </c>
      <c r="Q4947">
        <v>1.2756127167240501</v>
      </c>
      <c r="R4947">
        <v>5.9331280221133991</v>
      </c>
      <c r="S4947">
        <v>0.20567061388248789</v>
      </c>
      <c r="T4947">
        <v>0.15860528128815379</v>
      </c>
      <c r="U4947">
        <v>4.2673648416942536</v>
      </c>
      <c r="V4947">
        <v>0.2226610238238293</v>
      </c>
      <c r="W4947">
        <v>11.376632881079701</v>
      </c>
      <c r="X4947">
        <v>0.35068019300810932</v>
      </c>
      <c r="Z4947" t="s">
        <v>392</v>
      </c>
      <c r="AA4947">
        <v>161</v>
      </c>
      <c r="AB4947" t="s">
        <v>5338</v>
      </c>
      <c r="AC4947" t="str">
        <f>HYPERLINK("plots/3FT6Y578R04_015_S31P_20251219032831_M5358ACSA301811_RBGEUFRF04/dpll_52094/txpa_54247.png","plot")</f>
        <v>plot</v>
      </c>
    </row>
    <row r="4948" spans="1:29" hidden="1" x14ac:dyDescent="0.35">
      <c r="A4948" t="s">
        <v>50</v>
      </c>
      <c r="B4948">
        <v>52094</v>
      </c>
      <c r="C4948" t="s">
        <v>53</v>
      </c>
      <c r="D4948">
        <v>54248</v>
      </c>
      <c r="E4948" t="s">
        <v>268</v>
      </c>
      <c r="F4948">
        <v>11781</v>
      </c>
      <c r="G4948">
        <v>0.81258728244994349</v>
      </c>
      <c r="H4948">
        <v>0</v>
      </c>
      <c r="I4948">
        <v>0</v>
      </c>
      <c r="J4948">
        <v>0.7203744143681281</v>
      </c>
      <c r="K4948">
        <v>0</v>
      </c>
      <c r="L4948">
        <v>0</v>
      </c>
      <c r="M4948">
        <v>0.53090594796099255</v>
      </c>
      <c r="N4948">
        <v>0</v>
      </c>
      <c r="O4948">
        <v>0</v>
      </c>
      <c r="P4948">
        <v>0.66029809159938424</v>
      </c>
      <c r="Q4948">
        <v>1.2865402843812419</v>
      </c>
      <c r="R4948">
        <v>5.9036098273751092</v>
      </c>
      <c r="S4948">
        <v>0.20545408778049309</v>
      </c>
      <c r="T4948">
        <v>0.15858470903105951</v>
      </c>
      <c r="U4948">
        <v>4.2673606822850356</v>
      </c>
      <c r="V4948">
        <v>0.2226541824443867</v>
      </c>
      <c r="W4948">
        <v>11.39374125311943</v>
      </c>
      <c r="X4948">
        <v>0.35252037705662748</v>
      </c>
      <c r="Z4948" t="s">
        <v>392</v>
      </c>
      <c r="AA4948">
        <v>161</v>
      </c>
      <c r="AB4948" t="s">
        <v>5339</v>
      </c>
      <c r="AC4948" t="str">
        <f>HYPERLINK("plots/3FT6Y578R04_015_S31P_20251219032831_M5358ACSA301811_RBGEUFRF04/dpll_52094/txpa_54248.png","plot")</f>
        <v>plot</v>
      </c>
    </row>
    <row r="4949" spans="1:29" hidden="1" x14ac:dyDescent="0.35">
      <c r="A4949" t="s">
        <v>50</v>
      </c>
      <c r="B4949">
        <v>52094</v>
      </c>
      <c r="C4949" t="s">
        <v>53</v>
      </c>
      <c r="D4949">
        <v>54249</v>
      </c>
      <c r="E4949" t="s">
        <v>269</v>
      </c>
      <c r="F4949">
        <v>11782</v>
      </c>
      <c r="G4949">
        <v>0.81042962044183053</v>
      </c>
      <c r="H4949">
        <v>0</v>
      </c>
      <c r="I4949">
        <v>0</v>
      </c>
      <c r="J4949">
        <v>0.71277143995802661</v>
      </c>
      <c r="K4949">
        <v>0</v>
      </c>
      <c r="L4949">
        <v>0</v>
      </c>
      <c r="M4949">
        <v>0.52371164226001721</v>
      </c>
      <c r="N4949">
        <v>0</v>
      </c>
      <c r="O4949">
        <v>0</v>
      </c>
      <c r="P4949">
        <v>0.65679616968948951</v>
      </c>
      <c r="Q4949">
        <v>1.2731455705921451</v>
      </c>
      <c r="R4949">
        <v>5.9667789928188819</v>
      </c>
      <c r="S4949">
        <v>0.20492245991430999</v>
      </c>
      <c r="T4949">
        <v>0.1581397778235509</v>
      </c>
      <c r="U4949">
        <v>4.2673938428959426</v>
      </c>
      <c r="V4949">
        <v>0.22267382584799689</v>
      </c>
      <c r="W4949">
        <v>11.39979256187404</v>
      </c>
      <c r="X4949">
        <v>0.34980976498690569</v>
      </c>
      <c r="Z4949" t="s">
        <v>392</v>
      </c>
      <c r="AA4949">
        <v>161</v>
      </c>
      <c r="AB4949" t="s">
        <v>5340</v>
      </c>
      <c r="AC4949" t="str">
        <f>HYPERLINK("plots/3FT6Y578R04_015_S31P_20251219032831_M5358ACSA301811_RBGEUFRF04/dpll_52094/txpa_54249.png","plot")</f>
        <v>plot</v>
      </c>
    </row>
    <row r="4950" spans="1:29" hidden="1" x14ac:dyDescent="0.35">
      <c r="A4950" t="s">
        <v>50</v>
      </c>
      <c r="B4950">
        <v>52094</v>
      </c>
      <c r="C4950" t="s">
        <v>53</v>
      </c>
      <c r="D4950">
        <v>54250</v>
      </c>
      <c r="E4950" t="s">
        <v>270</v>
      </c>
      <c r="F4950">
        <v>11781</v>
      </c>
      <c r="G4950">
        <v>0.80300920810248133</v>
      </c>
      <c r="H4950">
        <v>0</v>
      </c>
      <c r="I4950">
        <v>0</v>
      </c>
      <c r="J4950">
        <v>0.70590113568222546</v>
      </c>
      <c r="K4950">
        <v>0</v>
      </c>
      <c r="L4950">
        <v>0</v>
      </c>
      <c r="M4950">
        <v>0.5182856619723184</v>
      </c>
      <c r="N4950">
        <v>0</v>
      </c>
      <c r="O4950">
        <v>0</v>
      </c>
      <c r="P4950">
        <v>0.64482378829737419</v>
      </c>
      <c r="Q4950">
        <v>1.2623582349858209</v>
      </c>
      <c r="R4950">
        <v>5.9908095521188436</v>
      </c>
      <c r="S4950">
        <v>0.20860431572308741</v>
      </c>
      <c r="T4950">
        <v>0.15932693458236449</v>
      </c>
      <c r="U4950">
        <v>4.2674179181733303</v>
      </c>
      <c r="V4950">
        <v>0.22266794157249609</v>
      </c>
      <c r="W4950">
        <v>11.377819703250999</v>
      </c>
      <c r="X4950">
        <v>0.35004170173290128</v>
      </c>
      <c r="Z4950" t="s">
        <v>392</v>
      </c>
      <c r="AA4950">
        <v>161</v>
      </c>
      <c r="AB4950" t="s">
        <v>5341</v>
      </c>
      <c r="AC4950" t="str">
        <f>HYPERLINK("plots/3FT6Y578R04_015_S31P_20251219032831_M5358ACSA301811_RBGEUFRF04/dpll_52094/txpa_54250.png","plot")</f>
        <v>plot</v>
      </c>
    </row>
    <row r="4951" spans="1:29" hidden="1" x14ac:dyDescent="0.35">
      <c r="A4951" t="s">
        <v>50</v>
      </c>
      <c r="B4951">
        <v>52094</v>
      </c>
      <c r="C4951" t="s">
        <v>53</v>
      </c>
      <c r="D4951">
        <v>54251</v>
      </c>
      <c r="E4951" t="s">
        <v>271</v>
      </c>
      <c r="F4951">
        <v>11782</v>
      </c>
      <c r="G4951">
        <v>0.78816277409565449</v>
      </c>
      <c r="H4951">
        <v>0</v>
      </c>
      <c r="I4951">
        <v>0</v>
      </c>
      <c r="J4951">
        <v>0.70313410273325261</v>
      </c>
      <c r="K4951">
        <v>0</v>
      </c>
      <c r="L4951">
        <v>0</v>
      </c>
      <c r="M4951">
        <v>0.51298515418271284</v>
      </c>
      <c r="N4951">
        <v>0</v>
      </c>
      <c r="O4951">
        <v>0</v>
      </c>
      <c r="P4951">
        <v>0.62120055847015765</v>
      </c>
      <c r="Q4951">
        <v>1.2611339649886459</v>
      </c>
      <c r="R4951">
        <v>6.5318643653071309</v>
      </c>
      <c r="S4951">
        <v>0.2192808511913443</v>
      </c>
      <c r="T4951">
        <v>0.16462866452876321</v>
      </c>
      <c r="U4951">
        <v>4.2673938428959426</v>
      </c>
      <c r="V4951">
        <v>0.22267382584799689</v>
      </c>
      <c r="W4951">
        <v>11.91361968256663</v>
      </c>
      <c r="X4951">
        <v>0.35629889423931838</v>
      </c>
      <c r="Z4951" t="s">
        <v>392</v>
      </c>
      <c r="AA4951">
        <v>161</v>
      </c>
      <c r="AB4951" t="s">
        <v>5342</v>
      </c>
      <c r="AC4951" t="str">
        <f>HYPERLINK("plots/3FT6Y578R04_015_S31P_20251219032831_M5358ACSA301811_RBGEUFRF04/dpll_52094/txpa_54251.png","plot")</f>
        <v>plot</v>
      </c>
    </row>
    <row r="4952" spans="1:29" hidden="1" x14ac:dyDescent="0.35">
      <c r="A4952" t="s">
        <v>50</v>
      </c>
      <c r="B4952">
        <v>52094</v>
      </c>
      <c r="C4952" t="s">
        <v>53</v>
      </c>
      <c r="D4952">
        <v>54252</v>
      </c>
      <c r="E4952" t="s">
        <v>272</v>
      </c>
      <c r="F4952">
        <v>11782</v>
      </c>
      <c r="G4952">
        <v>0.80401519233574814</v>
      </c>
      <c r="H4952">
        <v>0</v>
      </c>
      <c r="I4952">
        <v>0</v>
      </c>
      <c r="J4952">
        <v>0.71414284859912847</v>
      </c>
      <c r="K4952">
        <v>0</v>
      </c>
      <c r="L4952">
        <v>0</v>
      </c>
      <c r="M4952">
        <v>0.52564037548221476</v>
      </c>
      <c r="N4952">
        <v>0</v>
      </c>
      <c r="O4952">
        <v>0</v>
      </c>
      <c r="P4952">
        <v>0.64644042950669012</v>
      </c>
      <c r="Q4952">
        <v>1.290046668641696</v>
      </c>
      <c r="R4952">
        <v>6.4389983561565627</v>
      </c>
      <c r="S4952">
        <v>0.21243359813130391</v>
      </c>
      <c r="T4952">
        <v>0.1619917300033647</v>
      </c>
      <c r="U4952">
        <v>4.2673938428959426</v>
      </c>
      <c r="V4952">
        <v>0.22267382584799689</v>
      </c>
      <c r="W4952">
        <v>11.94413556696656</v>
      </c>
      <c r="X4952">
        <v>0.35728134240149151</v>
      </c>
      <c r="Z4952" t="s">
        <v>392</v>
      </c>
      <c r="AA4952">
        <v>161</v>
      </c>
      <c r="AB4952" t="s">
        <v>5343</v>
      </c>
      <c r="AC4952" t="str">
        <f>HYPERLINK("plots/3FT6Y578R04_015_S31P_20251219032831_M5358ACSA301811_RBGEUFRF04/dpll_52094/txpa_54252.png","plot")</f>
        <v>plot</v>
      </c>
    </row>
    <row r="4953" spans="1:29" hidden="1" x14ac:dyDescent="0.35">
      <c r="A4953" t="s">
        <v>50</v>
      </c>
      <c r="B4953">
        <v>52094</v>
      </c>
      <c r="C4953" t="s">
        <v>53</v>
      </c>
      <c r="D4953">
        <v>54253</v>
      </c>
      <c r="E4953" t="s">
        <v>273</v>
      </c>
      <c r="F4953">
        <v>11782</v>
      </c>
      <c r="G4953">
        <v>0.79902568260622686</v>
      </c>
      <c r="H4953">
        <v>0</v>
      </c>
      <c r="I4953">
        <v>0</v>
      </c>
      <c r="J4953">
        <v>0.70698781575340108</v>
      </c>
      <c r="K4953">
        <v>0</v>
      </c>
      <c r="L4953">
        <v>0</v>
      </c>
      <c r="M4953">
        <v>0.51833712605212023</v>
      </c>
      <c r="N4953">
        <v>0</v>
      </c>
      <c r="O4953">
        <v>0</v>
      </c>
      <c r="P4953">
        <v>0.6384420414643468</v>
      </c>
      <c r="Q4953">
        <v>1.2659399069996851</v>
      </c>
      <c r="R4953">
        <v>6.5536829869804469</v>
      </c>
      <c r="S4953">
        <v>0.21212509721475889</v>
      </c>
      <c r="T4953">
        <v>0.16084101809753701</v>
      </c>
      <c r="U4953">
        <v>4.2673938428959426</v>
      </c>
      <c r="V4953">
        <v>0.22267382584799689</v>
      </c>
      <c r="W4953">
        <v>11.95594715158717</v>
      </c>
      <c r="X4953">
        <v>0.35279426997367003</v>
      </c>
      <c r="Z4953" t="s">
        <v>392</v>
      </c>
      <c r="AA4953">
        <v>161</v>
      </c>
      <c r="AB4953" t="s">
        <v>5344</v>
      </c>
      <c r="AC4953" t="str">
        <f>HYPERLINK("plots/3FT6Y578R04_015_S31P_20251219032831_M5358ACSA301811_RBGEUFRF04/dpll_52094/txpa_54253.png","plot")</f>
        <v>plot</v>
      </c>
    </row>
    <row r="4954" spans="1:29" hidden="1" x14ac:dyDescent="0.35">
      <c r="A4954" t="s">
        <v>50</v>
      </c>
      <c r="B4954">
        <v>52094</v>
      </c>
      <c r="C4954" t="s">
        <v>53</v>
      </c>
      <c r="D4954">
        <v>54254</v>
      </c>
      <c r="E4954" t="s">
        <v>274</v>
      </c>
      <c r="F4954">
        <v>11781</v>
      </c>
      <c r="G4954">
        <v>0.81025443586622747</v>
      </c>
      <c r="H4954">
        <v>0</v>
      </c>
      <c r="I4954">
        <v>0</v>
      </c>
      <c r="J4954">
        <v>0.71588294473598324</v>
      </c>
      <c r="K4954">
        <v>0</v>
      </c>
      <c r="L4954">
        <v>0</v>
      </c>
      <c r="M4954">
        <v>0.52710117699877213</v>
      </c>
      <c r="N4954">
        <v>0</v>
      </c>
      <c r="O4954">
        <v>0</v>
      </c>
      <c r="P4954">
        <v>0.65651225084089848</v>
      </c>
      <c r="Q4954">
        <v>1.291864047899737</v>
      </c>
      <c r="R4954">
        <v>6.4491827582903607</v>
      </c>
      <c r="S4954">
        <v>0.20807324165399779</v>
      </c>
      <c r="T4954">
        <v>0.15962343095551959</v>
      </c>
      <c r="U4954">
        <v>4.2674026018164843</v>
      </c>
      <c r="V4954">
        <v>0.22268124725346999</v>
      </c>
      <c r="W4954">
        <v>11.962086757490869</v>
      </c>
      <c r="X4954">
        <v>0.3550414348064424</v>
      </c>
      <c r="Z4954" t="s">
        <v>392</v>
      </c>
      <c r="AA4954">
        <v>161</v>
      </c>
      <c r="AB4954" t="s">
        <v>5345</v>
      </c>
      <c r="AC4954" t="str">
        <f>HYPERLINK("plots/3FT6Y578R04_015_S31P_20251219032831_M5358ACSA301811_RBGEUFRF04/dpll_52094/txpa_54254.png","plot")</f>
        <v>plot</v>
      </c>
    </row>
    <row r="4955" spans="1:29" hidden="1" x14ac:dyDescent="0.35">
      <c r="A4955" t="s">
        <v>50</v>
      </c>
      <c r="B4955">
        <v>52094</v>
      </c>
      <c r="C4955" t="s">
        <v>53</v>
      </c>
      <c r="D4955">
        <v>54255</v>
      </c>
      <c r="E4955" t="s">
        <v>275</v>
      </c>
      <c r="F4955">
        <v>11781</v>
      </c>
      <c r="G4955">
        <v>0.81167977916123613</v>
      </c>
      <c r="H4955">
        <v>0</v>
      </c>
      <c r="I4955">
        <v>0</v>
      </c>
      <c r="J4955">
        <v>0.7124087000097471</v>
      </c>
      <c r="K4955">
        <v>0</v>
      </c>
      <c r="L4955">
        <v>0</v>
      </c>
      <c r="M4955">
        <v>0.52270890274684745</v>
      </c>
      <c r="N4955">
        <v>0</v>
      </c>
      <c r="O4955">
        <v>0</v>
      </c>
      <c r="P4955">
        <v>0.65882406389923309</v>
      </c>
      <c r="Q4955">
        <v>1.2918625406081781</v>
      </c>
      <c r="R4955">
        <v>6.4215968866001649</v>
      </c>
      <c r="S4955">
        <v>0.20698865543207551</v>
      </c>
      <c r="T4955">
        <v>0.15935892766493809</v>
      </c>
      <c r="U4955">
        <v>4.2673648416942536</v>
      </c>
      <c r="V4955">
        <v>0.2226610238238293</v>
      </c>
      <c r="W4955">
        <v>11.93444567269332</v>
      </c>
      <c r="X4955">
        <v>0.35438536639253942</v>
      </c>
      <c r="Z4955" t="s">
        <v>392</v>
      </c>
      <c r="AA4955">
        <v>161</v>
      </c>
      <c r="AB4955" t="s">
        <v>5346</v>
      </c>
      <c r="AC4955" t="str">
        <f>HYPERLINK("plots/3FT6Y578R04_015_S31P_20251219032831_M5358ACSA301811_RBGEUFRF04/dpll_52094/txpa_54255.png","plot")</f>
        <v>plot</v>
      </c>
    </row>
    <row r="4956" spans="1:29" hidden="1" x14ac:dyDescent="0.35">
      <c r="A4956" t="s">
        <v>50</v>
      </c>
      <c r="B4956">
        <v>52094</v>
      </c>
      <c r="C4956" t="s">
        <v>53</v>
      </c>
      <c r="D4956">
        <v>54256</v>
      </c>
      <c r="E4956" t="s">
        <v>276</v>
      </c>
      <c r="F4956">
        <v>11781</v>
      </c>
      <c r="G4956">
        <v>0.81447827634932068</v>
      </c>
      <c r="H4956">
        <v>0</v>
      </c>
      <c r="I4956">
        <v>0</v>
      </c>
      <c r="J4956">
        <v>0.72124527104066927</v>
      </c>
      <c r="K4956">
        <v>0</v>
      </c>
      <c r="L4956">
        <v>0</v>
      </c>
      <c r="M4956">
        <v>0.53190097602248321</v>
      </c>
      <c r="N4956">
        <v>0</v>
      </c>
      <c r="O4956">
        <v>0</v>
      </c>
      <c r="P4956">
        <v>0.66337486264496037</v>
      </c>
      <c r="Q4956">
        <v>1.3029780437673919</v>
      </c>
      <c r="R4956">
        <v>6.3918445587581951</v>
      </c>
      <c r="S4956">
        <v>0.20665374917465071</v>
      </c>
      <c r="T4956">
        <v>0.15921535576498311</v>
      </c>
      <c r="U4956">
        <v>4.2673606822850356</v>
      </c>
      <c r="V4956">
        <v>0.2226541824443867</v>
      </c>
      <c r="W4956">
        <v>11.95212183261183</v>
      </c>
      <c r="X4956">
        <v>0.35619551742788108</v>
      </c>
      <c r="Z4956" t="s">
        <v>392</v>
      </c>
      <c r="AA4956">
        <v>161</v>
      </c>
      <c r="AB4956" t="s">
        <v>5347</v>
      </c>
      <c r="AC4956" t="str">
        <f>HYPERLINK("plots/3FT6Y578R04_015_S31P_20251219032831_M5358ACSA301811_RBGEUFRF04/dpll_52094/txpa_54256.png","plot")</f>
        <v>plot</v>
      </c>
    </row>
    <row r="4957" spans="1:29" hidden="1" x14ac:dyDescent="0.35">
      <c r="A4957" t="s">
        <v>50</v>
      </c>
      <c r="B4957">
        <v>52094</v>
      </c>
      <c r="C4957" t="s">
        <v>53</v>
      </c>
      <c r="D4957">
        <v>54257</v>
      </c>
      <c r="E4957" t="s">
        <v>277</v>
      </c>
      <c r="F4957">
        <v>11782</v>
      </c>
      <c r="G4957">
        <v>0.81226010970165308</v>
      </c>
      <c r="H4957">
        <v>0</v>
      </c>
      <c r="I4957">
        <v>0</v>
      </c>
      <c r="J4957">
        <v>0.71350443304077782</v>
      </c>
      <c r="K4957">
        <v>0</v>
      </c>
      <c r="L4957">
        <v>0</v>
      </c>
      <c r="M4957">
        <v>0.52451463774505624</v>
      </c>
      <c r="N4957">
        <v>0</v>
      </c>
      <c r="O4957">
        <v>0</v>
      </c>
      <c r="P4957">
        <v>0.65976648581254149</v>
      </c>
      <c r="Q4957">
        <v>1.2893729330316399</v>
      </c>
      <c r="R4957">
        <v>6.4562638808193364</v>
      </c>
      <c r="S4957">
        <v>0.20616868879550129</v>
      </c>
      <c r="T4957">
        <v>0.15877875382880791</v>
      </c>
      <c r="U4957">
        <v>4.2673938428959426</v>
      </c>
      <c r="V4957">
        <v>0.22267382584799689</v>
      </c>
      <c r="W4957">
        <v>11.95852599643524</v>
      </c>
      <c r="X4957">
        <v>0.35347002827513591</v>
      </c>
      <c r="Z4957" t="s">
        <v>392</v>
      </c>
      <c r="AA4957">
        <v>161</v>
      </c>
      <c r="AB4957" t="s">
        <v>5348</v>
      </c>
      <c r="AC4957" t="str">
        <f>HYPERLINK("plots/3FT6Y578R04_015_S31P_20251219032831_M5358ACSA301811_RBGEUFRF04/dpll_52094/txpa_54257.png","plot")</f>
        <v>plot</v>
      </c>
    </row>
    <row r="4958" spans="1:29" hidden="1" x14ac:dyDescent="0.35">
      <c r="A4958" t="s">
        <v>50</v>
      </c>
      <c r="B4958">
        <v>52094</v>
      </c>
      <c r="C4958" t="s">
        <v>53</v>
      </c>
      <c r="D4958">
        <v>54258</v>
      </c>
      <c r="E4958" t="s">
        <v>278</v>
      </c>
      <c r="F4958">
        <v>11781</v>
      </c>
      <c r="G4958">
        <v>0.80461961948043137</v>
      </c>
      <c r="H4958">
        <v>0</v>
      </c>
      <c r="I4958">
        <v>0</v>
      </c>
      <c r="J4958">
        <v>0.7063373378053579</v>
      </c>
      <c r="K4958">
        <v>0</v>
      </c>
      <c r="L4958">
        <v>0</v>
      </c>
      <c r="M4958">
        <v>0.51881724902683168</v>
      </c>
      <c r="N4958">
        <v>0</v>
      </c>
      <c r="O4958">
        <v>0</v>
      </c>
      <c r="P4958">
        <v>0.64741273205283423</v>
      </c>
      <c r="Q4958">
        <v>1.2779099856543881</v>
      </c>
      <c r="R4958">
        <v>6.4836329955377483</v>
      </c>
      <c r="S4958">
        <v>0.2099820736349442</v>
      </c>
      <c r="T4958">
        <v>0.16010161797842021</v>
      </c>
      <c r="U4958">
        <v>4.2674179181733303</v>
      </c>
      <c r="V4958">
        <v>0.22266794157249609</v>
      </c>
      <c r="W4958">
        <v>11.937008966131909</v>
      </c>
      <c r="X4958">
        <v>0.35364485171806193</v>
      </c>
      <c r="Z4958" t="s">
        <v>392</v>
      </c>
      <c r="AA4958">
        <v>161</v>
      </c>
      <c r="AB4958" t="s">
        <v>5349</v>
      </c>
      <c r="AC4958" t="str">
        <f>HYPERLINK("plots/3FT6Y578R04_015_S31P_20251219032831_M5358ACSA301811_RBGEUFRF04/dpll_52094/txpa_54258.png","plot")</f>
        <v>plot</v>
      </c>
    </row>
    <row r="4959" spans="1:29" hidden="1" x14ac:dyDescent="0.35">
      <c r="A4959" t="s">
        <v>50</v>
      </c>
      <c r="B4959">
        <v>52094</v>
      </c>
      <c r="C4959" t="s">
        <v>53</v>
      </c>
      <c r="D4959">
        <v>55146</v>
      </c>
      <c r="E4959" t="s">
        <v>279</v>
      </c>
      <c r="F4959">
        <v>11782</v>
      </c>
      <c r="G4959">
        <v>-1.1777731745200779E-2</v>
      </c>
      <c r="H4959">
        <v>0.2011360327091673</v>
      </c>
      <c r="I4959">
        <v>0.20213274248473309</v>
      </c>
      <c r="J4959">
        <v>-1.1161911451459471E-2</v>
      </c>
      <c r="K4959">
        <v>0.22571226426928981</v>
      </c>
      <c r="L4959">
        <v>0.22660617422679191</v>
      </c>
      <c r="M4959">
        <v>-7.4315795324171501E-3</v>
      </c>
      <c r="N4959">
        <v>0.22635923770394209</v>
      </c>
      <c r="O4959">
        <v>0.22725570993247249</v>
      </c>
      <c r="P4959">
        <v>1.387149650619102E-4</v>
      </c>
      <c r="Q4959">
        <v>-0.24048094138139661</v>
      </c>
      <c r="R4959">
        <v>-10.31263592596282</v>
      </c>
      <c r="S4959">
        <v>4.5461066617235089</v>
      </c>
      <c r="T4959">
        <v>3.4905528543106179</v>
      </c>
      <c r="U4959">
        <v>4.2673938428959426</v>
      </c>
      <c r="V4959">
        <v>0.22267382584799689</v>
      </c>
      <c r="W4959">
        <v>-11.33886281454761</v>
      </c>
      <c r="X4959">
        <v>4.5466149526409234</v>
      </c>
      <c r="Z4959" t="s">
        <v>392</v>
      </c>
      <c r="AA4959">
        <v>161</v>
      </c>
      <c r="AB4959" t="s">
        <v>5350</v>
      </c>
      <c r="AC4959" t="str">
        <f>HYPERLINK("plots/3FT6Y578R04_015_S31P_20251219032831_M5358ACSA301811_RBGEUFRF04/dpll_52094/txpa_55146.png","plot")</f>
        <v>plot</v>
      </c>
    </row>
    <row r="4960" spans="1:29" hidden="1" x14ac:dyDescent="0.35">
      <c r="A4960" t="s">
        <v>50</v>
      </c>
      <c r="B4960">
        <v>52094</v>
      </c>
      <c r="C4960" t="s">
        <v>53</v>
      </c>
      <c r="D4960">
        <v>55147</v>
      </c>
      <c r="E4960" t="s">
        <v>280</v>
      </c>
      <c r="F4960">
        <v>11782</v>
      </c>
      <c r="G4960">
        <v>0.24678738852217999</v>
      </c>
      <c r="H4960">
        <v>5.4359165212829562E-163</v>
      </c>
      <c r="I4960">
        <v>5.4682731672429728E-163</v>
      </c>
      <c r="J4960">
        <v>0.2239936443146919</v>
      </c>
      <c r="K4960">
        <v>6.9372080887331104E-134</v>
      </c>
      <c r="L4960">
        <v>6.9923747534546466E-134</v>
      </c>
      <c r="M4960">
        <v>0.1511887177042239</v>
      </c>
      <c r="N4960">
        <v>1.4275810115643491E-132</v>
      </c>
      <c r="O4960">
        <v>1.438933544459493E-132</v>
      </c>
      <c r="P4960">
        <v>6.0904015133597417E-2</v>
      </c>
      <c r="Q4960">
        <v>1.2797575270928141</v>
      </c>
      <c r="R4960">
        <v>-27.637556573657861</v>
      </c>
      <c r="S4960">
        <v>1.118949436400936</v>
      </c>
      <c r="T4960">
        <v>0.90959645843140946</v>
      </c>
      <c r="U4960">
        <v>4.2673938428959426</v>
      </c>
      <c r="V4960">
        <v>0.22267382584799689</v>
      </c>
      <c r="W4960">
        <v>-22.176327182142249</v>
      </c>
      <c r="X4960">
        <v>1.154712590550051</v>
      </c>
      <c r="Z4960" t="s">
        <v>392</v>
      </c>
      <c r="AA4960">
        <v>161</v>
      </c>
      <c r="AB4960" t="s">
        <v>5351</v>
      </c>
      <c r="AC4960" t="str">
        <f>HYPERLINK("plots/3FT6Y578R04_015_S31P_20251219032831_M5358ACSA301811_RBGEUFRF04/dpll_52094/txpa_55147.png","plot")</f>
        <v>plot</v>
      </c>
    </row>
    <row r="4961" spans="1:29" hidden="1" x14ac:dyDescent="0.35">
      <c r="A4961" t="s">
        <v>50</v>
      </c>
      <c r="B4961">
        <v>52094</v>
      </c>
      <c r="C4961" t="s">
        <v>53</v>
      </c>
      <c r="D4961">
        <v>55148</v>
      </c>
      <c r="E4961" t="s">
        <v>281</v>
      </c>
      <c r="F4961">
        <v>11782</v>
      </c>
      <c r="G4961">
        <v>0.28133642658715552</v>
      </c>
      <c r="H4961">
        <v>3.0815356133171793E-213</v>
      </c>
      <c r="I4961">
        <v>3.2113844932205747E-213</v>
      </c>
      <c r="J4961">
        <v>0.25762502480105548</v>
      </c>
      <c r="K4961">
        <v>6.0621250178972126E-178</v>
      </c>
      <c r="L4961">
        <v>6.3371080083997665E-178</v>
      </c>
      <c r="M4961">
        <v>0.17416842797877941</v>
      </c>
      <c r="N4961">
        <v>1.3780817215755969E-175</v>
      </c>
      <c r="O4961">
        <v>1.440592645028511E-175</v>
      </c>
      <c r="P4961">
        <v>7.9150184924829919E-2</v>
      </c>
      <c r="Q4961">
        <v>1.4539365270899161</v>
      </c>
      <c r="R4961">
        <v>-28.2776704677594</v>
      </c>
      <c r="S4961">
        <v>1.1042429186202189</v>
      </c>
      <c r="T4961">
        <v>0.89305235279653794</v>
      </c>
      <c r="U4961">
        <v>4.2673938428959426</v>
      </c>
      <c r="V4961">
        <v>0.22267382584799689</v>
      </c>
      <c r="W4961">
        <v>-22.073150684094379</v>
      </c>
      <c r="X4961">
        <v>1.150770317781673</v>
      </c>
      <c r="Z4961" t="s">
        <v>392</v>
      </c>
      <c r="AA4961">
        <v>161</v>
      </c>
      <c r="AB4961" t="s">
        <v>5352</v>
      </c>
      <c r="AC4961" t="str">
        <f>HYPERLINK("plots/3FT6Y578R04_015_S31P_20251219032831_M5358ACSA301811_RBGEUFRF04/dpll_52094/txpa_55148.png","plot")</f>
        <v>plot</v>
      </c>
    </row>
    <row r="4962" spans="1:29" hidden="1" x14ac:dyDescent="0.35">
      <c r="A4962" t="s">
        <v>50</v>
      </c>
      <c r="B4962">
        <v>52094</v>
      </c>
      <c r="C4962" t="s">
        <v>53</v>
      </c>
      <c r="D4962">
        <v>55149</v>
      </c>
      <c r="E4962" t="s">
        <v>282</v>
      </c>
      <c r="F4962">
        <v>11782</v>
      </c>
      <c r="G4962">
        <v>0.255948434939551</v>
      </c>
      <c r="H4962">
        <v>1.3915870154770189E-175</v>
      </c>
      <c r="I4962">
        <v>1.4082527282372231E-175</v>
      </c>
      <c r="J4962">
        <v>0.2313739973631323</v>
      </c>
      <c r="K4962">
        <v>5.7563200995044268E-143</v>
      </c>
      <c r="L4962">
        <v>5.8369085808974884E-143</v>
      </c>
      <c r="M4962">
        <v>0.15587775296449971</v>
      </c>
      <c r="N4962">
        <v>3.5321872130257803E-141</v>
      </c>
      <c r="O4962">
        <v>3.5709250588316461E-141</v>
      </c>
      <c r="P4962">
        <v>6.5509601348005569E-2</v>
      </c>
      <c r="Q4962">
        <v>1.3240072039311119</v>
      </c>
      <c r="R4962">
        <v>-27.692508629149959</v>
      </c>
      <c r="S4962">
        <v>1.113463618502299</v>
      </c>
      <c r="T4962">
        <v>0.89823698686199549</v>
      </c>
      <c r="U4962">
        <v>4.2673938428959426</v>
      </c>
      <c r="V4962">
        <v>0.22267382584799689</v>
      </c>
      <c r="W4962">
        <v>-22.042448439144462</v>
      </c>
      <c r="X4962">
        <v>1.151879477674008</v>
      </c>
      <c r="Z4962" t="s">
        <v>392</v>
      </c>
      <c r="AA4962">
        <v>161</v>
      </c>
      <c r="AB4962" t="s">
        <v>5353</v>
      </c>
      <c r="AC4962" t="str">
        <f>HYPERLINK("plots/3FT6Y578R04_015_S31P_20251219032831_M5358ACSA301811_RBGEUFRF04/dpll_52094/txpa_55149.png","plot")</f>
        <v>plot</v>
      </c>
    </row>
    <row r="4963" spans="1:29" hidden="1" x14ac:dyDescent="0.35">
      <c r="A4963" t="s">
        <v>50</v>
      </c>
      <c r="B4963">
        <v>52094</v>
      </c>
      <c r="C4963" t="s">
        <v>53</v>
      </c>
      <c r="D4963">
        <v>55150</v>
      </c>
      <c r="E4963" t="s">
        <v>283</v>
      </c>
      <c r="F4963">
        <v>11782</v>
      </c>
      <c r="G4963">
        <v>0.2752992808496495</v>
      </c>
      <c r="H4963">
        <v>6.5487503820259632E-204</v>
      </c>
      <c r="I4963">
        <v>6.7690447373846359E-204</v>
      </c>
      <c r="J4963">
        <v>0.25142879798158158</v>
      </c>
      <c r="K4963">
        <v>2.6341583123549841E-169</v>
      </c>
      <c r="L4963">
        <v>2.7199964650997498E-169</v>
      </c>
      <c r="M4963">
        <v>0.1702806217089908</v>
      </c>
      <c r="N4963">
        <v>3.7607331444686189E-168</v>
      </c>
      <c r="O4963">
        <v>3.8872409872489101E-168</v>
      </c>
      <c r="P4963">
        <v>7.578969403633419E-2</v>
      </c>
      <c r="Q4963">
        <v>1.424325564355668</v>
      </c>
      <c r="R4963">
        <v>-28.058289000850529</v>
      </c>
      <c r="S4963">
        <v>1.1074913315519519</v>
      </c>
      <c r="T4963">
        <v>0.88867996157797802</v>
      </c>
      <c r="U4963">
        <v>4.2673938428959426</v>
      </c>
      <c r="V4963">
        <v>0.22267382584799689</v>
      </c>
      <c r="W4963">
        <v>-21.98013085723986</v>
      </c>
      <c r="X4963">
        <v>1.1520553983626129</v>
      </c>
      <c r="Z4963" t="s">
        <v>392</v>
      </c>
      <c r="AA4963">
        <v>161</v>
      </c>
      <c r="AB4963" t="s">
        <v>5354</v>
      </c>
      <c r="AC4963" t="str">
        <f>HYPERLINK("plots/3FT6Y578R04_015_S31P_20251219032831_M5358ACSA301811_RBGEUFRF04/dpll_52094/txpa_55150.png","plot")</f>
        <v>plot</v>
      </c>
    </row>
    <row r="4964" spans="1:29" hidden="1" x14ac:dyDescent="0.35">
      <c r="A4964" t="s">
        <v>50</v>
      </c>
      <c r="B4964">
        <v>52094</v>
      </c>
      <c r="C4964" t="s">
        <v>53</v>
      </c>
      <c r="D4964">
        <v>55151</v>
      </c>
      <c r="E4964" t="s">
        <v>284</v>
      </c>
      <c r="F4964">
        <v>11782</v>
      </c>
      <c r="G4964">
        <v>0.26574520070520702</v>
      </c>
      <c r="H4964">
        <v>1.255073792887651E-189</v>
      </c>
      <c r="I4964">
        <v>1.2790400261186719E-189</v>
      </c>
      <c r="J4964">
        <v>0.23975718771011981</v>
      </c>
      <c r="K4964">
        <v>1.116721686541122E-153</v>
      </c>
      <c r="L4964">
        <v>1.139190935767302E-153</v>
      </c>
      <c r="M4964">
        <v>0.16160293341015339</v>
      </c>
      <c r="N4964">
        <v>1.6742778949323761E-151</v>
      </c>
      <c r="O4964">
        <v>1.7079655789350391E-151</v>
      </c>
      <c r="P4964">
        <v>7.0620511697850732E-2</v>
      </c>
      <c r="Q4964">
        <v>1.3891351907510201</v>
      </c>
      <c r="R4964">
        <v>-27.969998109171652</v>
      </c>
      <c r="S4964">
        <v>1.12208657081237</v>
      </c>
      <c r="T4964">
        <v>0.9034128034464376</v>
      </c>
      <c r="U4964">
        <v>4.2673938428959426</v>
      </c>
      <c r="V4964">
        <v>0.22267382584799689</v>
      </c>
      <c r="W4964">
        <v>-22.042011149210659</v>
      </c>
      <c r="X4964">
        <v>1.163987333444835</v>
      </c>
      <c r="Z4964" t="s">
        <v>392</v>
      </c>
      <c r="AA4964">
        <v>161</v>
      </c>
      <c r="AB4964" t="s">
        <v>5355</v>
      </c>
      <c r="AC4964" t="str">
        <f>HYPERLINK("plots/3FT6Y578R04_015_S31P_20251219032831_M5358ACSA301811_RBGEUFRF04/dpll_52094/txpa_55151.png","plot")</f>
        <v>plot</v>
      </c>
    </row>
    <row r="4965" spans="1:29" hidden="1" x14ac:dyDescent="0.35">
      <c r="A4965" t="s">
        <v>50</v>
      </c>
      <c r="B4965">
        <v>52094</v>
      </c>
      <c r="C4965" t="s">
        <v>53</v>
      </c>
      <c r="D4965">
        <v>55152</v>
      </c>
      <c r="E4965" t="s">
        <v>285</v>
      </c>
      <c r="F4965">
        <v>11782</v>
      </c>
      <c r="G4965">
        <v>0.26939266361492592</v>
      </c>
      <c r="H4965">
        <v>5.1853541393317939E-195</v>
      </c>
      <c r="I4965">
        <v>5.3218108272089467E-195</v>
      </c>
      <c r="J4965">
        <v>0.24446105327180689</v>
      </c>
      <c r="K4965">
        <v>7.08544715561986E-160</v>
      </c>
      <c r="L4965">
        <v>7.2866566083149478E-160</v>
      </c>
      <c r="M4965">
        <v>0.16549662952797459</v>
      </c>
      <c r="N4965">
        <v>7.4248726023036837E-159</v>
      </c>
      <c r="O4965">
        <v>7.635720911496892E-159</v>
      </c>
      <c r="P4965">
        <v>7.2572407209544637E-2</v>
      </c>
      <c r="Q4965">
        <v>1.3991051377248691</v>
      </c>
      <c r="R4965">
        <v>-28.028749433519831</v>
      </c>
      <c r="S4965">
        <v>1.113666954606483</v>
      </c>
      <c r="T4965">
        <v>0.90279884738330662</v>
      </c>
      <c r="U4965">
        <v>4.2673938428959426</v>
      </c>
      <c r="V4965">
        <v>0.22267382584799689</v>
      </c>
      <c r="W4965">
        <v>-22.058216783228652</v>
      </c>
      <c r="X4965">
        <v>1.1564683670306291</v>
      </c>
      <c r="Z4965" t="s">
        <v>392</v>
      </c>
      <c r="AA4965">
        <v>161</v>
      </c>
      <c r="AB4965" t="s">
        <v>5356</v>
      </c>
      <c r="AC4965" t="str">
        <f>HYPERLINK("plots/3FT6Y578R04_015_S31P_20251219032831_M5358ACSA301811_RBGEUFRF04/dpll_52094/txpa_55152.png","plot")</f>
        <v>plot</v>
      </c>
    </row>
    <row r="4966" spans="1:29" hidden="1" x14ac:dyDescent="0.35">
      <c r="A4966" t="s">
        <v>50</v>
      </c>
      <c r="B4966">
        <v>52094</v>
      </c>
      <c r="C4966" t="s">
        <v>53</v>
      </c>
      <c r="D4966">
        <v>55153</v>
      </c>
      <c r="E4966" t="s">
        <v>286</v>
      </c>
      <c r="F4966">
        <v>11782</v>
      </c>
      <c r="G4966">
        <v>0.26662469035560088</v>
      </c>
      <c r="H4966">
        <v>6.4300780618651485E-191</v>
      </c>
      <c r="I4966">
        <v>6.5726805995274804E-191</v>
      </c>
      <c r="J4966">
        <v>0.24283970444147149</v>
      </c>
      <c r="K4966">
        <v>1.0042324680632031E-157</v>
      </c>
      <c r="L4966">
        <v>1.027539578825518E-157</v>
      </c>
      <c r="M4966">
        <v>0.16407391162534249</v>
      </c>
      <c r="N4966">
        <v>4.6378766119150553E-156</v>
      </c>
      <c r="O4966">
        <v>4.7455165332813989E-156</v>
      </c>
      <c r="P4966">
        <v>7.1088725507220049E-2</v>
      </c>
      <c r="Q4966">
        <v>1.373107332810281</v>
      </c>
      <c r="R4966">
        <v>-27.938023230394361</v>
      </c>
      <c r="S4966">
        <v>1.1052028066607851</v>
      </c>
      <c r="T4966">
        <v>0.89000702254097341</v>
      </c>
      <c r="U4966">
        <v>4.2673938428959426</v>
      </c>
      <c r="V4966">
        <v>0.22267382584799689</v>
      </c>
      <c r="W4966">
        <v>-22.0784334527245</v>
      </c>
      <c r="X4966">
        <v>1.1467619997570899</v>
      </c>
      <c r="Z4966" t="s">
        <v>392</v>
      </c>
      <c r="AA4966">
        <v>161</v>
      </c>
      <c r="AB4966" t="s">
        <v>5357</v>
      </c>
      <c r="AC4966" t="str">
        <f>HYPERLINK("plots/3FT6Y578R04_015_S31P_20251219032831_M5358ACSA301811_RBGEUFRF04/dpll_52094/txpa_55153.png","plot")</f>
        <v>plot</v>
      </c>
    </row>
    <row r="4967" spans="1:29" hidden="1" x14ac:dyDescent="0.35">
      <c r="A4967" t="s">
        <v>50</v>
      </c>
      <c r="B4967">
        <v>52094</v>
      </c>
      <c r="C4967" t="s">
        <v>53</v>
      </c>
      <c r="D4967">
        <v>55154</v>
      </c>
      <c r="E4967" t="s">
        <v>287</v>
      </c>
      <c r="F4967">
        <v>11782</v>
      </c>
      <c r="G4967">
        <v>0.25149217612384522</v>
      </c>
      <c r="H4967">
        <v>2.1552372704936471E-169</v>
      </c>
      <c r="I4967">
        <v>2.1745379027667251E-169</v>
      </c>
      <c r="J4967">
        <v>0.23163666573621119</v>
      </c>
      <c r="K4967">
        <v>2.697350808280885E-143</v>
      </c>
      <c r="L4967">
        <v>2.7405949094156488E-143</v>
      </c>
      <c r="M4967">
        <v>0.15679126629846149</v>
      </c>
      <c r="N4967">
        <v>2.777155722831918E-142</v>
      </c>
      <c r="O4967">
        <v>2.8245094312453011E-142</v>
      </c>
      <c r="P4967">
        <v>6.3248314651507181E-2</v>
      </c>
      <c r="Q4967">
        <v>1.3153337601957411</v>
      </c>
      <c r="R4967">
        <v>-27.81315170073113</v>
      </c>
      <c r="S4967">
        <v>1.127131195012691</v>
      </c>
      <c r="T4967">
        <v>0.91280299070093762</v>
      </c>
      <c r="U4967">
        <v>4.2673938428959426</v>
      </c>
      <c r="V4967">
        <v>0.22267382584799689</v>
      </c>
      <c r="W4967">
        <v>-22.20010451111866</v>
      </c>
      <c r="X4967">
        <v>1.1646103873449549</v>
      </c>
      <c r="Z4967" t="s">
        <v>392</v>
      </c>
      <c r="AA4967">
        <v>161</v>
      </c>
      <c r="AB4967" t="s">
        <v>5358</v>
      </c>
      <c r="AC4967" t="str">
        <f>HYPERLINK("plots/3FT6Y578R04_015_S31P_20251219032831_M5358ACSA301811_RBGEUFRF04/dpll_52094/txpa_55154.png","plot")</f>
        <v>plot</v>
      </c>
    </row>
    <row r="4968" spans="1:29" hidden="1" x14ac:dyDescent="0.35">
      <c r="A4968" t="s">
        <v>50</v>
      </c>
      <c r="B4968">
        <v>52094</v>
      </c>
      <c r="C4968" t="s">
        <v>53</v>
      </c>
      <c r="D4968">
        <v>55155</v>
      </c>
      <c r="E4968" t="s">
        <v>288</v>
      </c>
      <c r="F4968">
        <v>11782</v>
      </c>
      <c r="G4968">
        <v>0.58877731658444055</v>
      </c>
      <c r="H4968">
        <v>0</v>
      </c>
      <c r="I4968">
        <v>0</v>
      </c>
      <c r="J4968">
        <v>0.5189339319955123</v>
      </c>
      <c r="K4968">
        <v>0</v>
      </c>
      <c r="L4968">
        <v>0</v>
      </c>
      <c r="M4968">
        <v>0.36342219585491731</v>
      </c>
      <c r="N4968">
        <v>0</v>
      </c>
      <c r="O4968">
        <v>0</v>
      </c>
      <c r="P4968">
        <v>0.34665872852437452</v>
      </c>
      <c r="Q4968">
        <v>0.81389116209184564</v>
      </c>
      <c r="R4968">
        <v>-14.90412558017214</v>
      </c>
      <c r="S4968">
        <v>0.24879179250926861</v>
      </c>
      <c r="T4968">
        <v>0.1924704670078273</v>
      </c>
      <c r="U4968">
        <v>4.2673938428959426</v>
      </c>
      <c r="V4968">
        <v>0.22267382584799689</v>
      </c>
      <c r="W4968">
        <v>-11.430931446273981</v>
      </c>
      <c r="X4968">
        <v>0.30781121110135651</v>
      </c>
      <c r="Z4968" t="s">
        <v>392</v>
      </c>
      <c r="AA4968">
        <v>161</v>
      </c>
      <c r="AB4968" t="s">
        <v>5359</v>
      </c>
      <c r="AC4968" t="str">
        <f>HYPERLINK("plots/3FT6Y578R04_015_S31P_20251219032831_M5358ACSA301811_RBGEUFRF04/dpll_52094/txpa_55155.png","plot")</f>
        <v>plot</v>
      </c>
    </row>
    <row r="4969" spans="1:29" hidden="1" x14ac:dyDescent="0.35">
      <c r="A4969" t="s">
        <v>50</v>
      </c>
      <c r="B4969">
        <v>52094</v>
      </c>
      <c r="C4969" t="s">
        <v>53</v>
      </c>
      <c r="D4969">
        <v>55156</v>
      </c>
      <c r="E4969" t="s">
        <v>289</v>
      </c>
      <c r="F4969">
        <v>11782</v>
      </c>
      <c r="G4969">
        <v>0.61427972263984854</v>
      </c>
      <c r="H4969">
        <v>0</v>
      </c>
      <c r="I4969">
        <v>0</v>
      </c>
      <c r="J4969">
        <v>0.53923455989020108</v>
      </c>
      <c r="K4969">
        <v>0</v>
      </c>
      <c r="L4969">
        <v>0</v>
      </c>
      <c r="M4969">
        <v>0.38000997454494118</v>
      </c>
      <c r="N4969">
        <v>0</v>
      </c>
      <c r="O4969">
        <v>0</v>
      </c>
      <c r="P4969">
        <v>0.37733957764648918</v>
      </c>
      <c r="Q4969">
        <v>0.85657819057250439</v>
      </c>
      <c r="R4969">
        <v>-15.024847102417221</v>
      </c>
      <c r="S4969">
        <v>0.24500627292276919</v>
      </c>
      <c r="T4969">
        <v>0.19091715491881939</v>
      </c>
      <c r="U4969">
        <v>4.2673938428959426</v>
      </c>
      <c r="V4969">
        <v>0.22267382584799689</v>
      </c>
      <c r="W4969">
        <v>-11.369490606009171</v>
      </c>
      <c r="X4969">
        <v>0.31050600533100031</v>
      </c>
      <c r="Z4969" t="s">
        <v>392</v>
      </c>
      <c r="AA4969">
        <v>161</v>
      </c>
      <c r="AB4969" t="s">
        <v>5360</v>
      </c>
      <c r="AC4969" t="str">
        <f>HYPERLINK("plots/3FT6Y578R04_015_S31P_20251219032831_M5358ACSA301811_RBGEUFRF04/dpll_52094/txpa_55156.png","plot")</f>
        <v>plot</v>
      </c>
    </row>
    <row r="4970" spans="1:29" hidden="1" x14ac:dyDescent="0.35">
      <c r="A4970" t="s">
        <v>50</v>
      </c>
      <c r="B4970">
        <v>52094</v>
      </c>
      <c r="C4970" t="s">
        <v>53</v>
      </c>
      <c r="D4970">
        <v>55157</v>
      </c>
      <c r="E4970" t="s">
        <v>290</v>
      </c>
      <c r="F4970">
        <v>11782</v>
      </c>
      <c r="G4970">
        <v>0.61396979922267314</v>
      </c>
      <c r="H4970">
        <v>0</v>
      </c>
      <c r="I4970">
        <v>0</v>
      </c>
      <c r="J4970">
        <v>0.53407633014336864</v>
      </c>
      <c r="K4970">
        <v>0</v>
      </c>
      <c r="L4970">
        <v>0</v>
      </c>
      <c r="M4970">
        <v>0.37641412594900198</v>
      </c>
      <c r="N4970">
        <v>0</v>
      </c>
      <c r="O4970">
        <v>0</v>
      </c>
      <c r="P4970">
        <v>0.3769589143575296</v>
      </c>
      <c r="Q4970">
        <v>0.83807822675998767</v>
      </c>
      <c r="R4970">
        <v>-14.92159910001487</v>
      </c>
      <c r="S4970">
        <v>0.2399090504998736</v>
      </c>
      <c r="T4970">
        <v>0.1874525060465459</v>
      </c>
      <c r="U4970">
        <v>4.2673938428959426</v>
      </c>
      <c r="V4970">
        <v>0.22267382584799689</v>
      </c>
      <c r="W4970">
        <v>-11.34518923527415</v>
      </c>
      <c r="X4970">
        <v>0.3039531998948849</v>
      </c>
      <c r="Z4970" t="s">
        <v>392</v>
      </c>
      <c r="AA4970">
        <v>161</v>
      </c>
      <c r="AB4970" t="s">
        <v>5361</v>
      </c>
      <c r="AC4970" t="str">
        <f>HYPERLINK("plots/3FT6Y578R04_015_S31P_20251219032831_M5358ACSA301811_RBGEUFRF04/dpll_52094/txpa_55157.png","plot")</f>
        <v>plot</v>
      </c>
    </row>
    <row r="4971" spans="1:29" hidden="1" x14ac:dyDescent="0.35">
      <c r="A4971" t="s">
        <v>50</v>
      </c>
      <c r="B4971">
        <v>52094</v>
      </c>
      <c r="C4971" t="s">
        <v>53</v>
      </c>
      <c r="D4971">
        <v>55158</v>
      </c>
      <c r="E4971" t="s">
        <v>291</v>
      </c>
      <c r="F4971">
        <v>11781</v>
      </c>
      <c r="G4971">
        <v>0.62457895983800427</v>
      </c>
      <c r="H4971">
        <v>0</v>
      </c>
      <c r="I4971">
        <v>0</v>
      </c>
      <c r="J4971">
        <v>0.54212697206699023</v>
      </c>
      <c r="K4971">
        <v>0</v>
      </c>
      <c r="L4971">
        <v>0</v>
      </c>
      <c r="M4971">
        <v>0.3823810333008496</v>
      </c>
      <c r="N4971">
        <v>0</v>
      </c>
      <c r="O4971">
        <v>0</v>
      </c>
      <c r="P4971">
        <v>0.39009887707232332</v>
      </c>
      <c r="Q4971">
        <v>0.86933674083201262</v>
      </c>
      <c r="R4971">
        <v>-15.022497434913349</v>
      </c>
      <c r="S4971">
        <v>0.24204472005506431</v>
      </c>
      <c r="T4971">
        <v>0.18888645597682671</v>
      </c>
      <c r="U4971">
        <v>4.2674026018164843</v>
      </c>
      <c r="V4971">
        <v>0.22268124725346999</v>
      </c>
      <c r="W4971">
        <v>-11.312687565232149</v>
      </c>
      <c r="X4971">
        <v>0.30994478229293693</v>
      </c>
      <c r="Z4971" t="s">
        <v>392</v>
      </c>
      <c r="AA4971">
        <v>161</v>
      </c>
      <c r="AB4971" t="s">
        <v>5362</v>
      </c>
      <c r="AC4971" t="str">
        <f>HYPERLINK("plots/3FT6Y578R04_015_S31P_20251219032831_M5358ACSA301811_RBGEUFRF04/dpll_52094/txpa_55158.png","plot")</f>
        <v>plot</v>
      </c>
    </row>
    <row r="4972" spans="1:29" hidden="1" x14ac:dyDescent="0.35">
      <c r="A4972" t="s">
        <v>50</v>
      </c>
      <c r="B4972">
        <v>52094</v>
      </c>
      <c r="C4972" t="s">
        <v>53</v>
      </c>
      <c r="D4972">
        <v>55159</v>
      </c>
      <c r="E4972" t="s">
        <v>292</v>
      </c>
      <c r="F4972">
        <v>11781</v>
      </c>
      <c r="G4972">
        <v>0.62974701355601848</v>
      </c>
      <c r="H4972">
        <v>0</v>
      </c>
      <c r="I4972">
        <v>0</v>
      </c>
      <c r="J4972">
        <v>0.54501112855528777</v>
      </c>
      <c r="K4972">
        <v>0</v>
      </c>
      <c r="L4972">
        <v>0</v>
      </c>
      <c r="M4972">
        <v>0.3841312593396633</v>
      </c>
      <c r="N4972">
        <v>0</v>
      </c>
      <c r="O4972">
        <v>0</v>
      </c>
      <c r="P4972">
        <v>0.3965813010827241</v>
      </c>
      <c r="Q4972">
        <v>0.87555606207569003</v>
      </c>
      <c r="R4972">
        <v>-15.06811594071756</v>
      </c>
      <c r="S4972">
        <v>0.24046562038712729</v>
      </c>
      <c r="T4972">
        <v>0.1889932152022511</v>
      </c>
      <c r="U4972">
        <v>4.2673648416942536</v>
      </c>
      <c r="V4972">
        <v>0.2226610238238293</v>
      </c>
      <c r="W4972">
        <v>-11.331798784483491</v>
      </c>
      <c r="X4972">
        <v>0.3095722647354669</v>
      </c>
      <c r="Z4972" t="s">
        <v>392</v>
      </c>
      <c r="AA4972">
        <v>161</v>
      </c>
      <c r="AB4972" t="s">
        <v>5363</v>
      </c>
      <c r="AC4972" t="str">
        <f>HYPERLINK("plots/3FT6Y578R04_015_S31P_20251219032831_M5358ACSA301811_RBGEUFRF04/dpll_52094/txpa_55159.png","plot")</f>
        <v>plot</v>
      </c>
    </row>
    <row r="4973" spans="1:29" hidden="1" x14ac:dyDescent="0.35">
      <c r="A4973" t="s">
        <v>50</v>
      </c>
      <c r="B4973">
        <v>52094</v>
      </c>
      <c r="C4973" t="s">
        <v>53</v>
      </c>
      <c r="D4973">
        <v>55160</v>
      </c>
      <c r="E4973" t="s">
        <v>293</v>
      </c>
      <c r="F4973">
        <v>11782</v>
      </c>
      <c r="G4973">
        <v>0.62916950499409663</v>
      </c>
      <c r="H4973">
        <v>0</v>
      </c>
      <c r="I4973">
        <v>0</v>
      </c>
      <c r="J4973">
        <v>0.54572306277226368</v>
      </c>
      <c r="K4973">
        <v>0</v>
      </c>
      <c r="L4973">
        <v>0</v>
      </c>
      <c r="M4973">
        <v>0.38619546192055731</v>
      </c>
      <c r="N4973">
        <v>0</v>
      </c>
      <c r="O4973">
        <v>0</v>
      </c>
      <c r="P4973">
        <v>0.39585426601451662</v>
      </c>
      <c r="Q4973">
        <v>0.86431927607313497</v>
      </c>
      <c r="R4973">
        <v>-15.03333457385002</v>
      </c>
      <c r="S4973">
        <v>0.237754163158618</v>
      </c>
      <c r="T4973">
        <v>0.18606886367959111</v>
      </c>
      <c r="U4973">
        <v>4.2673938428959426</v>
      </c>
      <c r="V4973">
        <v>0.22267382584799689</v>
      </c>
      <c r="W4973">
        <v>-11.344943816839249</v>
      </c>
      <c r="X4973">
        <v>0.30589734313200978</v>
      </c>
      <c r="Z4973" t="s">
        <v>392</v>
      </c>
      <c r="AA4973">
        <v>161</v>
      </c>
      <c r="AB4973" t="s">
        <v>5364</v>
      </c>
      <c r="AC4973" t="str">
        <f>HYPERLINK("plots/3FT6Y578R04_015_S31P_20251219032831_M5358ACSA301811_RBGEUFRF04/dpll_52094/txpa_55160.png","plot")</f>
        <v>plot</v>
      </c>
    </row>
    <row r="4974" spans="1:29" hidden="1" x14ac:dyDescent="0.35">
      <c r="A4974" t="s">
        <v>50</v>
      </c>
      <c r="B4974">
        <v>52094</v>
      </c>
      <c r="C4974" t="s">
        <v>53</v>
      </c>
      <c r="D4974">
        <v>55161</v>
      </c>
      <c r="E4974" t="s">
        <v>294</v>
      </c>
      <c r="F4974">
        <v>11781</v>
      </c>
      <c r="G4974">
        <v>0.6235096227511755</v>
      </c>
      <c r="H4974">
        <v>0</v>
      </c>
      <c r="I4974">
        <v>0</v>
      </c>
      <c r="J4974">
        <v>0.5403899190686613</v>
      </c>
      <c r="K4974">
        <v>0</v>
      </c>
      <c r="L4974">
        <v>0</v>
      </c>
      <c r="M4974">
        <v>0.38113181973116439</v>
      </c>
      <c r="N4974">
        <v>0</v>
      </c>
      <c r="O4974">
        <v>0</v>
      </c>
      <c r="P4974">
        <v>0.38876424966331319</v>
      </c>
      <c r="Q4974">
        <v>0.85668293132510309</v>
      </c>
      <c r="R4974">
        <v>-14.99658919712294</v>
      </c>
      <c r="S4974">
        <v>0.23915705469797349</v>
      </c>
      <c r="T4974">
        <v>0.18740214375252329</v>
      </c>
      <c r="U4974">
        <v>4.2674299558611324</v>
      </c>
      <c r="V4974">
        <v>0.2226487707110591</v>
      </c>
      <c r="W4974">
        <v>-11.34075479331127</v>
      </c>
      <c r="X4974">
        <v>0.30591252257994322</v>
      </c>
      <c r="Z4974" t="s">
        <v>392</v>
      </c>
      <c r="AA4974">
        <v>161</v>
      </c>
      <c r="AB4974" t="s">
        <v>5365</v>
      </c>
      <c r="AC4974" t="str">
        <f>HYPERLINK("plots/3FT6Y578R04_015_S31P_20251219032831_M5358ACSA301811_RBGEUFRF04/dpll_52094/txpa_55161.png","plot")</f>
        <v>plot</v>
      </c>
    </row>
    <row r="4975" spans="1:29" hidden="1" x14ac:dyDescent="0.35">
      <c r="A4975" t="s">
        <v>50</v>
      </c>
      <c r="B4975">
        <v>52094</v>
      </c>
      <c r="C4975" t="s">
        <v>53</v>
      </c>
      <c r="D4975">
        <v>55162</v>
      </c>
      <c r="E4975" t="s">
        <v>295</v>
      </c>
      <c r="F4975">
        <v>11781</v>
      </c>
      <c r="G4975">
        <v>0.6085555514418115</v>
      </c>
      <c r="H4975">
        <v>0</v>
      </c>
      <c r="I4975">
        <v>0</v>
      </c>
      <c r="J4975">
        <v>0.52491863016195406</v>
      </c>
      <c r="K4975">
        <v>0</v>
      </c>
      <c r="L4975">
        <v>0</v>
      </c>
      <c r="M4975">
        <v>0.36961101279425662</v>
      </c>
      <c r="N4975">
        <v>0</v>
      </c>
      <c r="O4975">
        <v>0</v>
      </c>
      <c r="P4975">
        <v>0.37033985919064732</v>
      </c>
      <c r="Q4975">
        <v>0.83700597013571676</v>
      </c>
      <c r="R4975">
        <v>-14.97981081137174</v>
      </c>
      <c r="S4975">
        <v>0.24300806641596279</v>
      </c>
      <c r="T4975">
        <v>0.19001234106992801</v>
      </c>
      <c r="U4975">
        <v>4.2674179181733303</v>
      </c>
      <c r="V4975">
        <v>0.22266794157249609</v>
      </c>
      <c r="W4975">
        <v>-11.407956536796529</v>
      </c>
      <c r="X4975">
        <v>0.30625699825175418</v>
      </c>
      <c r="Z4975" t="s">
        <v>392</v>
      </c>
      <c r="AA4975">
        <v>161</v>
      </c>
      <c r="AB4975" t="s">
        <v>5366</v>
      </c>
      <c r="AC4975" t="str">
        <f>HYPERLINK("plots/3FT6Y578R04_015_S31P_20251219032831_M5358ACSA301811_RBGEUFRF04/dpll_52094/txpa_55162.png","plot")</f>
        <v>plot</v>
      </c>
    </row>
    <row r="4976" spans="1:29" hidden="1" x14ac:dyDescent="0.35">
      <c r="A4976" t="s">
        <v>50</v>
      </c>
      <c r="B4976">
        <v>52094</v>
      </c>
      <c r="C4976" t="s">
        <v>53</v>
      </c>
      <c r="D4976">
        <v>55163</v>
      </c>
      <c r="E4976" t="s">
        <v>296</v>
      </c>
      <c r="F4976">
        <v>11782</v>
      </c>
      <c r="G4976">
        <v>0.6024467179230234</v>
      </c>
      <c r="H4976">
        <v>0</v>
      </c>
      <c r="I4976">
        <v>0</v>
      </c>
      <c r="J4976">
        <v>0.53328437703121723</v>
      </c>
      <c r="K4976">
        <v>0</v>
      </c>
      <c r="L4976">
        <v>0</v>
      </c>
      <c r="M4976">
        <v>0.37434871087440741</v>
      </c>
      <c r="N4976">
        <v>0</v>
      </c>
      <c r="O4976">
        <v>0</v>
      </c>
      <c r="P4976">
        <v>0.36294204793622292</v>
      </c>
      <c r="Q4976">
        <v>0.73269202328298022</v>
      </c>
      <c r="R4976">
        <v>-8.6027678247548494</v>
      </c>
      <c r="S4976">
        <v>0.21614392372539659</v>
      </c>
      <c r="T4976">
        <v>0.16575813994049751</v>
      </c>
      <c r="U4976">
        <v>4.2673938428959426</v>
      </c>
      <c r="V4976">
        <v>0.22267382584799689</v>
      </c>
      <c r="W4976">
        <v>-5.4760823958580884</v>
      </c>
      <c r="X4976">
        <v>0.27081454863793802</v>
      </c>
      <c r="Z4976" t="s">
        <v>392</v>
      </c>
      <c r="AA4976">
        <v>161</v>
      </c>
      <c r="AB4976" t="s">
        <v>5367</v>
      </c>
      <c r="AC4976" t="str">
        <f>HYPERLINK("plots/3FT6Y578R04_015_S31P_20251219032831_M5358ACSA301811_RBGEUFRF04/dpll_52094/txpa_55163.png","plot")</f>
        <v>plot</v>
      </c>
    </row>
    <row r="4977" spans="1:29" hidden="1" x14ac:dyDescent="0.35">
      <c r="A4977" t="s">
        <v>50</v>
      </c>
      <c r="B4977">
        <v>52094</v>
      </c>
      <c r="C4977" t="s">
        <v>53</v>
      </c>
      <c r="D4977">
        <v>55164</v>
      </c>
      <c r="E4977" t="s">
        <v>297</v>
      </c>
      <c r="F4977">
        <v>11782</v>
      </c>
      <c r="G4977">
        <v>0.63005062459886974</v>
      </c>
      <c r="H4977">
        <v>0</v>
      </c>
      <c r="I4977">
        <v>0</v>
      </c>
      <c r="J4977">
        <v>0.55264981105228983</v>
      </c>
      <c r="K4977">
        <v>0</v>
      </c>
      <c r="L4977">
        <v>0</v>
      </c>
      <c r="M4977">
        <v>0.39120800148345408</v>
      </c>
      <c r="N4977">
        <v>0</v>
      </c>
      <c r="O4977">
        <v>0</v>
      </c>
      <c r="P4977">
        <v>0.39696378955742589</v>
      </c>
      <c r="Q4977">
        <v>0.77148103218132491</v>
      </c>
      <c r="R4977">
        <v>-8.7248046145859153</v>
      </c>
      <c r="S4977">
        <v>0.2117250488138146</v>
      </c>
      <c r="T4977">
        <v>0.16422658845197591</v>
      </c>
      <c r="U4977">
        <v>4.2673938428959426</v>
      </c>
      <c r="V4977">
        <v>0.22267382584799689</v>
      </c>
      <c r="W4977">
        <v>-5.4325912079443226</v>
      </c>
      <c r="X4977">
        <v>0.27265845996795701</v>
      </c>
      <c r="Z4977" t="s">
        <v>392</v>
      </c>
      <c r="AA4977">
        <v>161</v>
      </c>
      <c r="AB4977" t="s">
        <v>5368</v>
      </c>
      <c r="AC4977" t="str">
        <f>HYPERLINK("plots/3FT6Y578R04_015_S31P_20251219032831_M5358ACSA301811_RBGEUFRF04/dpll_52094/txpa_55164.png","plot")</f>
        <v>plot</v>
      </c>
    </row>
    <row r="4978" spans="1:29" hidden="1" x14ac:dyDescent="0.35">
      <c r="A4978" t="s">
        <v>50</v>
      </c>
      <c r="B4978">
        <v>52094</v>
      </c>
      <c r="C4978" t="s">
        <v>53</v>
      </c>
      <c r="D4978">
        <v>55165</v>
      </c>
      <c r="E4978" t="s">
        <v>298</v>
      </c>
      <c r="F4978">
        <v>11782</v>
      </c>
      <c r="G4978">
        <v>0.62041425423990093</v>
      </c>
      <c r="H4978">
        <v>0</v>
      </c>
      <c r="I4978">
        <v>0</v>
      </c>
      <c r="J4978">
        <v>0.54051101462056217</v>
      </c>
      <c r="K4978">
        <v>0</v>
      </c>
      <c r="L4978">
        <v>0</v>
      </c>
      <c r="M4978">
        <v>0.38147717601284342</v>
      </c>
      <c r="N4978">
        <v>0</v>
      </c>
      <c r="O4978">
        <v>0</v>
      </c>
      <c r="P4978">
        <v>0.38491384686405239</v>
      </c>
      <c r="Q4978">
        <v>0.74497012282485764</v>
      </c>
      <c r="R4978">
        <v>-8.5939283203937205</v>
      </c>
      <c r="S4978">
        <v>0.2096890746638852</v>
      </c>
      <c r="T4978">
        <v>0.16299545239609259</v>
      </c>
      <c r="U4978">
        <v>4.2673938428959426</v>
      </c>
      <c r="V4978">
        <v>0.22267382584799689</v>
      </c>
      <c r="W4978">
        <v>-5.414847405109489</v>
      </c>
      <c r="X4978">
        <v>0.26737836253471847</v>
      </c>
      <c r="Z4978" t="s">
        <v>392</v>
      </c>
      <c r="AA4978">
        <v>161</v>
      </c>
      <c r="AB4978" t="s">
        <v>5369</v>
      </c>
      <c r="AC4978" t="str">
        <f>HYPERLINK("plots/3FT6Y578R04_015_S31P_20251219032831_M5358ACSA301811_RBGEUFRF04/dpll_52094/txpa_55165.png","plot")</f>
        <v>plot</v>
      </c>
    </row>
    <row r="4979" spans="1:29" hidden="1" x14ac:dyDescent="0.35">
      <c r="A4979" t="s">
        <v>50</v>
      </c>
      <c r="B4979">
        <v>52094</v>
      </c>
      <c r="C4979" t="s">
        <v>53</v>
      </c>
      <c r="D4979">
        <v>55166</v>
      </c>
      <c r="E4979" t="s">
        <v>299</v>
      </c>
      <c r="F4979">
        <v>11781</v>
      </c>
      <c r="G4979">
        <v>0.64007465979402145</v>
      </c>
      <c r="H4979">
        <v>0</v>
      </c>
      <c r="I4979">
        <v>0</v>
      </c>
      <c r="J4979">
        <v>0.55512790895097652</v>
      </c>
      <c r="K4979">
        <v>0</v>
      </c>
      <c r="L4979">
        <v>0</v>
      </c>
      <c r="M4979">
        <v>0.39313434641307721</v>
      </c>
      <c r="N4979">
        <v>0</v>
      </c>
      <c r="O4979">
        <v>0</v>
      </c>
      <c r="P4979">
        <v>0.40969557011043228</v>
      </c>
      <c r="Q4979">
        <v>0.78044436428711261</v>
      </c>
      <c r="R4979">
        <v>-8.7236966663892517</v>
      </c>
      <c r="S4979">
        <v>0.20860011732967279</v>
      </c>
      <c r="T4979">
        <v>0.1625761135068883</v>
      </c>
      <c r="U4979">
        <v>4.2674026018164843</v>
      </c>
      <c r="V4979">
        <v>0.22268124725346999</v>
      </c>
      <c r="W4979">
        <v>-5.3932263556574149</v>
      </c>
      <c r="X4979">
        <v>0.27151570803837499</v>
      </c>
      <c r="Z4979" t="s">
        <v>392</v>
      </c>
      <c r="AA4979">
        <v>161</v>
      </c>
      <c r="AB4979" t="s">
        <v>5370</v>
      </c>
      <c r="AC4979" t="str">
        <f>HYPERLINK("plots/3FT6Y578R04_015_S31P_20251219032831_M5358ACSA301811_RBGEUFRF04/dpll_52094/txpa_55166.png","plot")</f>
        <v>plot</v>
      </c>
    </row>
    <row r="4980" spans="1:29" hidden="1" x14ac:dyDescent="0.35">
      <c r="A4980" t="s">
        <v>50</v>
      </c>
      <c r="B4980">
        <v>52094</v>
      </c>
      <c r="C4980" t="s">
        <v>53</v>
      </c>
      <c r="D4980">
        <v>55167</v>
      </c>
      <c r="E4980" t="s">
        <v>300</v>
      </c>
      <c r="F4980">
        <v>11781</v>
      </c>
      <c r="G4980">
        <v>0.63995406578551806</v>
      </c>
      <c r="H4980">
        <v>0</v>
      </c>
      <c r="I4980">
        <v>0</v>
      </c>
      <c r="J4980">
        <v>0.5513839422678849</v>
      </c>
      <c r="K4980">
        <v>0</v>
      </c>
      <c r="L4980">
        <v>0</v>
      </c>
      <c r="M4980">
        <v>0.38906303313116392</v>
      </c>
      <c r="N4980">
        <v>0</v>
      </c>
      <c r="O4980">
        <v>0</v>
      </c>
      <c r="P4980">
        <v>0.40954120631541518</v>
      </c>
      <c r="Q4980">
        <v>0.77767410069607035</v>
      </c>
      <c r="R4980">
        <v>-8.7302278789543699</v>
      </c>
      <c r="S4980">
        <v>0.2079071376975993</v>
      </c>
      <c r="T4980">
        <v>0.16266490568865249</v>
      </c>
      <c r="U4980">
        <v>4.2673648416942536</v>
      </c>
      <c r="V4980">
        <v>0.2226610238238293</v>
      </c>
      <c r="W4980">
        <v>-5.411608763347763</v>
      </c>
      <c r="X4980">
        <v>0.27057834416555909</v>
      </c>
      <c r="Z4980" t="s">
        <v>392</v>
      </c>
      <c r="AA4980">
        <v>161</v>
      </c>
      <c r="AB4980" t="s">
        <v>5371</v>
      </c>
      <c r="AC4980" t="str">
        <f>HYPERLINK("plots/3FT6Y578R04_015_S31P_20251219032831_M5358ACSA301811_RBGEUFRF04/dpll_52094/txpa_55167.png","plot")</f>
        <v>plot</v>
      </c>
    </row>
    <row r="4981" spans="1:29" hidden="1" x14ac:dyDescent="0.35">
      <c r="A4981" t="s">
        <v>50</v>
      </c>
      <c r="B4981">
        <v>52094</v>
      </c>
      <c r="C4981" t="s">
        <v>53</v>
      </c>
      <c r="D4981">
        <v>55168</v>
      </c>
      <c r="E4981" t="s">
        <v>301</v>
      </c>
      <c r="F4981">
        <v>11782</v>
      </c>
      <c r="G4981">
        <v>0.64388163381032837</v>
      </c>
      <c r="H4981">
        <v>0</v>
      </c>
      <c r="I4981">
        <v>0</v>
      </c>
      <c r="J4981">
        <v>0.56277574793804197</v>
      </c>
      <c r="K4981">
        <v>0</v>
      </c>
      <c r="L4981">
        <v>0</v>
      </c>
      <c r="M4981">
        <v>0.39912532120856098</v>
      </c>
      <c r="N4981">
        <v>0</v>
      </c>
      <c r="O4981">
        <v>0</v>
      </c>
      <c r="P4981">
        <v>0.41458355835825778</v>
      </c>
      <c r="Q4981">
        <v>0.78329039307594506</v>
      </c>
      <c r="R4981">
        <v>-8.757156083636783</v>
      </c>
      <c r="S4981">
        <v>0.20725258697111301</v>
      </c>
      <c r="T4981">
        <v>0.16187749233005569</v>
      </c>
      <c r="U4981">
        <v>4.2673938428959426</v>
      </c>
      <c r="V4981">
        <v>0.22267382584799689</v>
      </c>
      <c r="W4981">
        <v>-5.4145474830249531</v>
      </c>
      <c r="X4981">
        <v>0.27088560912048221</v>
      </c>
      <c r="Z4981" t="s">
        <v>392</v>
      </c>
      <c r="AA4981">
        <v>161</v>
      </c>
      <c r="AB4981" t="s">
        <v>5372</v>
      </c>
      <c r="AC4981" t="str">
        <f>HYPERLINK("plots/3FT6Y578R04_015_S31P_20251219032831_M5358ACSA301811_RBGEUFRF04/dpll_52094/txpa_55168.png","plot")</f>
        <v>plot</v>
      </c>
    </row>
    <row r="4982" spans="1:29" hidden="1" x14ac:dyDescent="0.35">
      <c r="A4982" t="s">
        <v>50</v>
      </c>
      <c r="B4982">
        <v>52094</v>
      </c>
      <c r="C4982" t="s">
        <v>53</v>
      </c>
      <c r="D4982">
        <v>55169</v>
      </c>
      <c r="E4982" t="s">
        <v>302</v>
      </c>
      <c r="F4982">
        <v>11782</v>
      </c>
      <c r="G4982">
        <v>0.64004906673085582</v>
      </c>
      <c r="H4982">
        <v>0</v>
      </c>
      <c r="I4982">
        <v>0</v>
      </c>
      <c r="J4982">
        <v>0.55374425476101197</v>
      </c>
      <c r="K4982">
        <v>0</v>
      </c>
      <c r="L4982">
        <v>0</v>
      </c>
      <c r="M4982">
        <v>0.39111047873376892</v>
      </c>
      <c r="N4982">
        <v>0</v>
      </c>
      <c r="O4982">
        <v>0</v>
      </c>
      <c r="P4982">
        <v>0.40966280782303949</v>
      </c>
      <c r="Q4982">
        <v>0.76748308910693153</v>
      </c>
      <c r="R4982">
        <v>-8.685181369124269</v>
      </c>
      <c r="S4982">
        <v>0.2051428376765117</v>
      </c>
      <c r="T4982">
        <v>0.16128871277291129</v>
      </c>
      <c r="U4982">
        <v>4.2673938428959426</v>
      </c>
      <c r="V4982">
        <v>0.22267382584799689</v>
      </c>
      <c r="W4982">
        <v>-5.4100287601425903</v>
      </c>
      <c r="X4982">
        <v>0.26700827265941968</v>
      </c>
      <c r="Z4982" t="s">
        <v>392</v>
      </c>
      <c r="AA4982">
        <v>161</v>
      </c>
      <c r="AB4982" t="s">
        <v>5373</v>
      </c>
      <c r="AC4982" t="str">
        <f>HYPERLINK("plots/3FT6Y578R04_015_S31P_20251219032831_M5358ACSA301811_RBGEUFRF04/dpll_52094/txpa_55169.png","plot")</f>
        <v>plot</v>
      </c>
    </row>
    <row r="4983" spans="1:29" hidden="1" x14ac:dyDescent="0.35">
      <c r="A4983" t="s">
        <v>50</v>
      </c>
      <c r="B4983">
        <v>52094</v>
      </c>
      <c r="C4983" t="s">
        <v>53</v>
      </c>
      <c r="D4983">
        <v>55170</v>
      </c>
      <c r="E4983" t="s">
        <v>303</v>
      </c>
      <c r="F4983">
        <v>11781</v>
      </c>
      <c r="G4983">
        <v>0.62629673141501541</v>
      </c>
      <c r="H4983">
        <v>0</v>
      </c>
      <c r="I4983">
        <v>0</v>
      </c>
      <c r="J4983">
        <v>0.54126452113804568</v>
      </c>
      <c r="K4983">
        <v>0</v>
      </c>
      <c r="L4983">
        <v>0</v>
      </c>
      <c r="M4983">
        <v>0.38247010948199212</v>
      </c>
      <c r="N4983">
        <v>0</v>
      </c>
      <c r="O4983">
        <v>0</v>
      </c>
      <c r="P4983">
        <v>0.39224759578113189</v>
      </c>
      <c r="Q4983">
        <v>0.7573369406891467</v>
      </c>
      <c r="R4983">
        <v>-8.6849034954548792</v>
      </c>
      <c r="S4983">
        <v>0.2098995947798015</v>
      </c>
      <c r="T4983">
        <v>0.1633334303519981</v>
      </c>
      <c r="U4983">
        <v>4.2674179181733303</v>
      </c>
      <c r="V4983">
        <v>0.22266794157249609</v>
      </c>
      <c r="W4983">
        <v>-5.4530302646634414</v>
      </c>
      <c r="X4983">
        <v>0.26925680624112691</v>
      </c>
      <c r="Z4983" t="s">
        <v>392</v>
      </c>
      <c r="AA4983">
        <v>161</v>
      </c>
      <c r="AB4983" t="s">
        <v>5374</v>
      </c>
      <c r="AC4983" t="str">
        <f>HYPERLINK("plots/3FT6Y578R04_015_S31P_20251219032831_M5358ACSA301811_RBGEUFRF04/dpll_52094/txpa_55170.png","plot")</f>
        <v>plot</v>
      </c>
    </row>
    <row r="4984" spans="1:29" hidden="1" x14ac:dyDescent="0.35">
      <c r="A4984" t="s">
        <v>50</v>
      </c>
      <c r="B4984">
        <v>52094</v>
      </c>
      <c r="C4984" t="s">
        <v>53</v>
      </c>
      <c r="D4984">
        <v>55171</v>
      </c>
      <c r="E4984" t="s">
        <v>304</v>
      </c>
      <c r="F4984">
        <v>11782</v>
      </c>
      <c r="G4984">
        <v>0.61666570897753403</v>
      </c>
      <c r="H4984">
        <v>0</v>
      </c>
      <c r="I4984">
        <v>0</v>
      </c>
      <c r="J4984">
        <v>0.5503515762896477</v>
      </c>
      <c r="K4984">
        <v>0</v>
      </c>
      <c r="L4984">
        <v>0</v>
      </c>
      <c r="M4984">
        <v>0.38706682473255871</v>
      </c>
      <c r="N4984">
        <v>0</v>
      </c>
      <c r="O4984">
        <v>0</v>
      </c>
      <c r="P4984">
        <v>0.38027659662876467</v>
      </c>
      <c r="Q4984">
        <v>0.75003559129039044</v>
      </c>
      <c r="R4984">
        <v>-5.620112968435242</v>
      </c>
      <c r="S4984">
        <v>0.2131973300445813</v>
      </c>
      <c r="T4984">
        <v>0.163323729989343</v>
      </c>
      <c r="U4984">
        <v>4.2673938428959426</v>
      </c>
      <c r="V4984">
        <v>0.22267382584799689</v>
      </c>
      <c r="W4984">
        <v>-2.4194157042098121</v>
      </c>
      <c r="X4984">
        <v>0.27083279028391749</v>
      </c>
      <c r="Z4984" t="s">
        <v>392</v>
      </c>
      <c r="AA4984">
        <v>161</v>
      </c>
      <c r="AB4984" t="s">
        <v>5375</v>
      </c>
      <c r="AC4984" t="str">
        <f>HYPERLINK("plots/3FT6Y578R04_015_S31P_20251219032831_M5358ACSA301811_RBGEUFRF04/dpll_52094/txpa_55171.png","plot")</f>
        <v>plot</v>
      </c>
    </row>
    <row r="4985" spans="1:29" hidden="1" x14ac:dyDescent="0.35">
      <c r="A4985" t="s">
        <v>50</v>
      </c>
      <c r="B4985">
        <v>52094</v>
      </c>
      <c r="C4985" t="s">
        <v>53</v>
      </c>
      <c r="D4985">
        <v>55172</v>
      </c>
      <c r="E4985" t="s">
        <v>305</v>
      </c>
      <c r="F4985">
        <v>11782</v>
      </c>
      <c r="G4985">
        <v>0.64260724982185402</v>
      </c>
      <c r="H4985">
        <v>0</v>
      </c>
      <c r="I4985">
        <v>0</v>
      </c>
      <c r="J4985">
        <v>0.5678742517443941</v>
      </c>
      <c r="K4985">
        <v>0</v>
      </c>
      <c r="L4985">
        <v>0</v>
      </c>
      <c r="M4985">
        <v>0.40292799775936611</v>
      </c>
      <c r="N4985">
        <v>0</v>
      </c>
      <c r="O4985">
        <v>0</v>
      </c>
      <c r="P4985">
        <v>0.41294407752360668</v>
      </c>
      <c r="Q4985">
        <v>0.78450347568385792</v>
      </c>
      <c r="R4985">
        <v>-5.729490123965272</v>
      </c>
      <c r="S4985">
        <v>0.20827623952152929</v>
      </c>
      <c r="T4985">
        <v>0.16145313655197779</v>
      </c>
      <c r="U4985">
        <v>4.2673938428959426</v>
      </c>
      <c r="V4985">
        <v>0.22267382584799689</v>
      </c>
      <c r="W4985">
        <v>-2.38170482210151</v>
      </c>
      <c r="X4985">
        <v>0.27184316761132621</v>
      </c>
      <c r="Z4985" t="s">
        <v>392</v>
      </c>
      <c r="AA4985">
        <v>161</v>
      </c>
      <c r="AB4985" t="s">
        <v>5376</v>
      </c>
      <c r="AC4985" t="str">
        <f>HYPERLINK("plots/3FT6Y578R04_015_S31P_20251219032831_M5358ACSA301811_RBGEUFRF04/dpll_52094/txpa_55172.png","plot")</f>
        <v>plot</v>
      </c>
    </row>
    <row r="4986" spans="1:29" hidden="1" x14ac:dyDescent="0.35">
      <c r="A4986" t="s">
        <v>50</v>
      </c>
      <c r="B4986">
        <v>52094</v>
      </c>
      <c r="C4986" t="s">
        <v>53</v>
      </c>
      <c r="D4986">
        <v>55173</v>
      </c>
      <c r="E4986" t="s">
        <v>306</v>
      </c>
      <c r="F4986">
        <v>11782</v>
      </c>
      <c r="G4986">
        <v>0.63187380360821765</v>
      </c>
      <c r="H4986">
        <v>0</v>
      </c>
      <c r="I4986">
        <v>0</v>
      </c>
      <c r="J4986">
        <v>0.55589748414471152</v>
      </c>
      <c r="K4986">
        <v>0</v>
      </c>
      <c r="L4986">
        <v>0</v>
      </c>
      <c r="M4986">
        <v>0.39331636262948688</v>
      </c>
      <c r="N4986">
        <v>0</v>
      </c>
      <c r="O4986">
        <v>0</v>
      </c>
      <c r="P4986">
        <v>0.39926450368631639</v>
      </c>
      <c r="Q4986">
        <v>0.75859548237086283</v>
      </c>
      <c r="R4986">
        <v>-5.6027527701613167</v>
      </c>
      <c r="S4986">
        <v>0.20719166877163511</v>
      </c>
      <c r="T4986">
        <v>0.16063415954429811</v>
      </c>
      <c r="U4986">
        <v>4.2673938428959426</v>
      </c>
      <c r="V4986">
        <v>0.22267382584799689</v>
      </c>
      <c r="W4986">
        <v>-2.3655270794432188</v>
      </c>
      <c r="X4986">
        <v>0.26733084575739452</v>
      </c>
      <c r="Z4986" t="s">
        <v>392</v>
      </c>
      <c r="AA4986">
        <v>161</v>
      </c>
      <c r="AB4986" t="s">
        <v>5377</v>
      </c>
      <c r="AC4986" t="str">
        <f>HYPERLINK("plots/3FT6Y578R04_015_S31P_20251219032831_M5358ACSA301811_RBGEUFRF04/dpll_52094/txpa_55173.png","plot")</f>
        <v>plot</v>
      </c>
    </row>
    <row r="4987" spans="1:29" hidden="1" x14ac:dyDescent="0.35">
      <c r="A4987" t="s">
        <v>50</v>
      </c>
      <c r="B4987">
        <v>52094</v>
      </c>
      <c r="C4987" t="s">
        <v>53</v>
      </c>
      <c r="D4987">
        <v>55174</v>
      </c>
      <c r="E4987" t="s">
        <v>307</v>
      </c>
      <c r="F4987">
        <v>11781</v>
      </c>
      <c r="G4987">
        <v>0.65012618440602643</v>
      </c>
      <c r="H4987">
        <v>0</v>
      </c>
      <c r="I4987">
        <v>0</v>
      </c>
      <c r="J4987">
        <v>0.56852531136588835</v>
      </c>
      <c r="K4987">
        <v>0</v>
      </c>
      <c r="L4987">
        <v>0</v>
      </c>
      <c r="M4987">
        <v>0.40339058930498728</v>
      </c>
      <c r="N4987">
        <v>0</v>
      </c>
      <c r="O4987">
        <v>0</v>
      </c>
      <c r="P4987">
        <v>0.42266405565033871</v>
      </c>
      <c r="Q4987">
        <v>0.78928631328290055</v>
      </c>
      <c r="R4987">
        <v>-5.7165483823386829</v>
      </c>
      <c r="S4987">
        <v>0.20540756054906451</v>
      </c>
      <c r="T4987">
        <v>0.160126014340327</v>
      </c>
      <c r="U4987">
        <v>4.2674026018164843</v>
      </c>
      <c r="V4987">
        <v>0.22268124725346999</v>
      </c>
      <c r="W4987">
        <v>-2.348345915457092</v>
      </c>
      <c r="X4987">
        <v>0.27034638028386432</v>
      </c>
      <c r="Z4987" t="s">
        <v>392</v>
      </c>
      <c r="AA4987">
        <v>161</v>
      </c>
      <c r="AB4987" t="s">
        <v>5378</v>
      </c>
      <c r="AC4987" t="str">
        <f>HYPERLINK("plots/3FT6Y578R04_015_S31P_20251219032831_M5358ACSA301811_RBGEUFRF04/dpll_52094/txpa_55174.png","plot")</f>
        <v>plot</v>
      </c>
    </row>
    <row r="4988" spans="1:29" hidden="1" x14ac:dyDescent="0.35">
      <c r="A4988" t="s">
        <v>50</v>
      </c>
      <c r="B4988">
        <v>52094</v>
      </c>
      <c r="C4988" t="s">
        <v>53</v>
      </c>
      <c r="D4988">
        <v>55175</v>
      </c>
      <c r="E4988" t="s">
        <v>308</v>
      </c>
      <c r="F4988">
        <v>11781</v>
      </c>
      <c r="G4988">
        <v>0.6515135528147934</v>
      </c>
      <c r="H4988">
        <v>0</v>
      </c>
      <c r="I4988">
        <v>0</v>
      </c>
      <c r="J4988">
        <v>0.56498670230685799</v>
      </c>
      <c r="K4988">
        <v>0</v>
      </c>
      <c r="L4988">
        <v>0</v>
      </c>
      <c r="M4988">
        <v>0.39950364646191522</v>
      </c>
      <c r="N4988">
        <v>0</v>
      </c>
      <c r="O4988">
        <v>0</v>
      </c>
      <c r="P4988">
        <v>0.4244699095013546</v>
      </c>
      <c r="Q4988">
        <v>0.78761773044279537</v>
      </c>
      <c r="R4988">
        <v>-5.7273480432647332</v>
      </c>
      <c r="S4988">
        <v>0.2041981561203729</v>
      </c>
      <c r="T4988">
        <v>0.15960025829915711</v>
      </c>
      <c r="U4988">
        <v>4.2673648416942536</v>
      </c>
      <c r="V4988">
        <v>0.2226610238238293</v>
      </c>
      <c r="W4988">
        <v>-2.366295831678126</v>
      </c>
      <c r="X4988">
        <v>0.26917593576452697</v>
      </c>
      <c r="Z4988" t="s">
        <v>392</v>
      </c>
      <c r="AA4988">
        <v>161</v>
      </c>
      <c r="AB4988" t="s">
        <v>5379</v>
      </c>
      <c r="AC4988" t="str">
        <f>HYPERLINK("plots/3FT6Y578R04_015_S31P_20251219032831_M5358ACSA301811_RBGEUFRF04/dpll_52094/txpa_55175.png","plot")</f>
        <v>plot</v>
      </c>
    </row>
    <row r="4989" spans="1:29" hidden="1" x14ac:dyDescent="0.35">
      <c r="A4989" t="s">
        <v>50</v>
      </c>
      <c r="B4989">
        <v>52094</v>
      </c>
      <c r="C4989" t="s">
        <v>53</v>
      </c>
      <c r="D4989">
        <v>55176</v>
      </c>
      <c r="E4989" t="s">
        <v>309</v>
      </c>
      <c r="F4989">
        <v>11782</v>
      </c>
      <c r="G4989">
        <v>0.65520612119394983</v>
      </c>
      <c r="H4989">
        <v>0</v>
      </c>
      <c r="I4989">
        <v>0</v>
      </c>
      <c r="J4989">
        <v>0.57720175001554319</v>
      </c>
      <c r="K4989">
        <v>0</v>
      </c>
      <c r="L4989">
        <v>0</v>
      </c>
      <c r="M4989">
        <v>0.41020625332982408</v>
      </c>
      <c r="N4989">
        <v>0</v>
      </c>
      <c r="O4989">
        <v>0</v>
      </c>
      <c r="P4989">
        <v>0.42929506125002093</v>
      </c>
      <c r="Q4989">
        <v>0.79565533587239645</v>
      </c>
      <c r="R4989">
        <v>-5.7610676328205344</v>
      </c>
      <c r="S4989">
        <v>0.20426952955251529</v>
      </c>
      <c r="T4989">
        <v>0.15926874556231341</v>
      </c>
      <c r="U4989">
        <v>4.2673938428959426</v>
      </c>
      <c r="V4989">
        <v>0.22267382584799689</v>
      </c>
      <c r="W4989">
        <v>-2.3656929514513672</v>
      </c>
      <c r="X4989">
        <v>0.27040592565317972</v>
      </c>
      <c r="Z4989" t="s">
        <v>392</v>
      </c>
      <c r="AA4989">
        <v>161</v>
      </c>
      <c r="AB4989" t="s">
        <v>5380</v>
      </c>
      <c r="AC4989" t="str">
        <f>HYPERLINK("plots/3FT6Y578R04_015_S31P_20251219032831_M5358ACSA301811_RBGEUFRF04/dpll_52094/txpa_55176.png","plot")</f>
        <v>plot</v>
      </c>
    </row>
    <row r="4990" spans="1:29" hidden="1" x14ac:dyDescent="0.35">
      <c r="A4990" t="s">
        <v>50</v>
      </c>
      <c r="B4990">
        <v>52094</v>
      </c>
      <c r="C4990" t="s">
        <v>53</v>
      </c>
      <c r="D4990">
        <v>55177</v>
      </c>
      <c r="E4990" t="s">
        <v>310</v>
      </c>
      <c r="F4990">
        <v>11782</v>
      </c>
      <c r="G4990">
        <v>0.65193241315433426</v>
      </c>
      <c r="H4990">
        <v>0</v>
      </c>
      <c r="I4990">
        <v>0</v>
      </c>
      <c r="J4990">
        <v>0.56916113549211367</v>
      </c>
      <c r="K4990">
        <v>0</v>
      </c>
      <c r="L4990">
        <v>0</v>
      </c>
      <c r="M4990">
        <v>0.4027835663736099</v>
      </c>
      <c r="N4990">
        <v>0</v>
      </c>
      <c r="O4990">
        <v>0</v>
      </c>
      <c r="P4990">
        <v>0.42501587132123358</v>
      </c>
      <c r="Q4990">
        <v>0.78047089538623649</v>
      </c>
      <c r="R4990">
        <v>-5.6904728485128846</v>
      </c>
      <c r="S4990">
        <v>0.20213094507404439</v>
      </c>
      <c r="T4990">
        <v>0.15868523680768101</v>
      </c>
      <c r="U4990">
        <v>4.2673938428959426</v>
      </c>
      <c r="V4990">
        <v>0.22267382584799689</v>
      </c>
      <c r="W4990">
        <v>-2.359896154982176</v>
      </c>
      <c r="X4990">
        <v>0.26657738859430358</v>
      </c>
      <c r="Z4990" t="s">
        <v>392</v>
      </c>
      <c r="AA4990">
        <v>161</v>
      </c>
      <c r="AB4990" t="s">
        <v>5381</v>
      </c>
      <c r="AC4990" t="str">
        <f>HYPERLINK("plots/3FT6Y578R04_015_S31P_20251219032831_M5358ACSA301811_RBGEUFRF04/dpll_52094/txpa_55177.png","plot")</f>
        <v>plot</v>
      </c>
    </row>
    <row r="4991" spans="1:29" hidden="1" x14ac:dyDescent="0.35">
      <c r="A4991" t="s">
        <v>50</v>
      </c>
      <c r="B4991">
        <v>52094</v>
      </c>
      <c r="C4991" t="s">
        <v>53</v>
      </c>
      <c r="D4991">
        <v>55178</v>
      </c>
      <c r="E4991" t="s">
        <v>311</v>
      </c>
      <c r="F4991">
        <v>11781</v>
      </c>
      <c r="G4991">
        <v>0.63873243353388665</v>
      </c>
      <c r="H4991">
        <v>0</v>
      </c>
      <c r="I4991">
        <v>0</v>
      </c>
      <c r="J4991">
        <v>0.55707780546321406</v>
      </c>
      <c r="K4991">
        <v>0</v>
      </c>
      <c r="L4991">
        <v>0</v>
      </c>
      <c r="M4991">
        <v>0.39454536049556388</v>
      </c>
      <c r="N4991">
        <v>0</v>
      </c>
      <c r="O4991">
        <v>0</v>
      </c>
      <c r="P4991">
        <v>0.40797912164812089</v>
      </c>
      <c r="Q4991">
        <v>0.77300632843112016</v>
      </c>
      <c r="R4991">
        <v>-5.694801473750875</v>
      </c>
      <c r="S4991">
        <v>0.20733463338890021</v>
      </c>
      <c r="T4991">
        <v>0.16112446393867211</v>
      </c>
      <c r="U4991">
        <v>4.2674179181733303</v>
      </c>
      <c r="V4991">
        <v>0.22266794157249609</v>
      </c>
      <c r="W4991">
        <v>-2.396060416942535</v>
      </c>
      <c r="X4991">
        <v>0.26947704380998633</v>
      </c>
      <c r="Z4991" t="s">
        <v>392</v>
      </c>
      <c r="AA4991">
        <v>161</v>
      </c>
      <c r="AB4991" t="s">
        <v>5382</v>
      </c>
      <c r="AC4991" t="str">
        <f>HYPERLINK("plots/3FT6Y578R04_015_S31P_20251219032831_M5358ACSA301811_RBGEUFRF04/dpll_52094/txpa_55178.png","plot")</f>
        <v>plot</v>
      </c>
    </row>
    <row r="4992" spans="1:29" hidden="1" x14ac:dyDescent="0.35">
      <c r="A4992" t="s">
        <v>50</v>
      </c>
      <c r="B4992">
        <v>52094</v>
      </c>
      <c r="C4992" t="s">
        <v>53</v>
      </c>
      <c r="D4992">
        <v>55179</v>
      </c>
      <c r="E4992" t="s">
        <v>312</v>
      </c>
      <c r="F4992">
        <v>11782</v>
      </c>
      <c r="G4992">
        <v>0.65545938818759575</v>
      </c>
      <c r="H4992">
        <v>0</v>
      </c>
      <c r="I4992">
        <v>0</v>
      </c>
      <c r="J4992">
        <v>0.59393146883328141</v>
      </c>
      <c r="K4992">
        <v>0</v>
      </c>
      <c r="L4992">
        <v>0</v>
      </c>
      <c r="M4992">
        <v>0.42120503696823258</v>
      </c>
      <c r="N4992">
        <v>0</v>
      </c>
      <c r="O4992">
        <v>0</v>
      </c>
      <c r="P4992">
        <v>0.42962700956325728</v>
      </c>
      <c r="Q4992">
        <v>0.81907946662292452</v>
      </c>
      <c r="R4992">
        <v>-2.339466381069371</v>
      </c>
      <c r="S4992">
        <v>0.21014084106119951</v>
      </c>
      <c r="T4992">
        <v>0.1603958306528592</v>
      </c>
      <c r="U4992">
        <v>4.2673938428959426</v>
      </c>
      <c r="V4992">
        <v>0.22267382584799689</v>
      </c>
      <c r="W4992">
        <v>1.15586829163979</v>
      </c>
      <c r="X4992">
        <v>0.27825912908316303</v>
      </c>
      <c r="Z4992" t="s">
        <v>392</v>
      </c>
      <c r="AA4992">
        <v>161</v>
      </c>
      <c r="AB4992" t="s">
        <v>5383</v>
      </c>
      <c r="AC4992" t="str">
        <f>HYPERLINK("plots/3FT6Y578R04_015_S31P_20251219032831_M5358ACSA301811_RBGEUFRF04/dpll_52094/txpa_55179.png","plot")</f>
        <v>plot</v>
      </c>
    </row>
    <row r="4993" spans="1:29" hidden="1" x14ac:dyDescent="0.35">
      <c r="A4993" t="s">
        <v>50</v>
      </c>
      <c r="B4993">
        <v>52094</v>
      </c>
      <c r="C4993" t="s">
        <v>53</v>
      </c>
      <c r="D4993">
        <v>55180</v>
      </c>
      <c r="E4993" t="s">
        <v>313</v>
      </c>
      <c r="F4993">
        <v>11782</v>
      </c>
      <c r="G4993">
        <v>0.68054868276445757</v>
      </c>
      <c r="H4993">
        <v>0</v>
      </c>
      <c r="I4993">
        <v>0</v>
      </c>
      <c r="J4993">
        <v>0.61050462243413772</v>
      </c>
      <c r="K4993">
        <v>0</v>
      </c>
      <c r="L4993">
        <v>0</v>
      </c>
      <c r="M4993">
        <v>0.43679006440192331</v>
      </c>
      <c r="N4993">
        <v>0</v>
      </c>
      <c r="O4993">
        <v>0</v>
      </c>
      <c r="P4993">
        <v>0.46314650961243831</v>
      </c>
      <c r="Q4993">
        <v>0.85112262611253453</v>
      </c>
      <c r="R4993">
        <v>-2.4419914129670048</v>
      </c>
      <c r="S4993">
        <v>0.20403823987372119</v>
      </c>
      <c r="T4993">
        <v>0.1578655788861385</v>
      </c>
      <c r="U4993">
        <v>4.2673938428959426</v>
      </c>
      <c r="V4993">
        <v>0.22267382584799689</v>
      </c>
      <c r="W4993">
        <v>1.19008404125505</v>
      </c>
      <c r="X4993">
        <v>0.27848519323027948</v>
      </c>
      <c r="Z4993" t="s">
        <v>392</v>
      </c>
      <c r="AA4993">
        <v>161</v>
      </c>
      <c r="AB4993" t="s">
        <v>5384</v>
      </c>
      <c r="AC4993" t="str">
        <f>HYPERLINK("plots/3FT6Y578R04_015_S31P_20251219032831_M5358ACSA301811_RBGEUFRF04/dpll_52094/txpa_55180.png","plot")</f>
        <v>plot</v>
      </c>
    </row>
    <row r="4994" spans="1:29" hidden="1" x14ac:dyDescent="0.35">
      <c r="A4994" t="s">
        <v>50</v>
      </c>
      <c r="B4994">
        <v>52094</v>
      </c>
      <c r="C4994" t="s">
        <v>53</v>
      </c>
      <c r="D4994">
        <v>55181</v>
      </c>
      <c r="E4994" t="s">
        <v>314</v>
      </c>
      <c r="F4994">
        <v>11782</v>
      </c>
      <c r="G4994">
        <v>0.66987249112180602</v>
      </c>
      <c r="H4994">
        <v>0</v>
      </c>
      <c r="I4994">
        <v>0</v>
      </c>
      <c r="J4994">
        <v>0.59847953342797788</v>
      </c>
      <c r="K4994">
        <v>0</v>
      </c>
      <c r="L4994">
        <v>0</v>
      </c>
      <c r="M4994">
        <v>0.4265400257753359</v>
      </c>
      <c r="N4994">
        <v>0</v>
      </c>
      <c r="O4994">
        <v>0</v>
      </c>
      <c r="P4994">
        <v>0.44872915436173411</v>
      </c>
      <c r="Q4994">
        <v>0.82615702855892714</v>
      </c>
      <c r="R4994">
        <v>-2.3207901444541239</v>
      </c>
      <c r="S4994">
        <v>0.20389365486489469</v>
      </c>
      <c r="T4994">
        <v>0.15763202924033221</v>
      </c>
      <c r="U4994">
        <v>4.2673938428959426</v>
      </c>
      <c r="V4994">
        <v>0.22267382584799689</v>
      </c>
      <c r="W4994">
        <v>1.2047472724834489</v>
      </c>
      <c r="X4994">
        <v>0.27462472147849137</v>
      </c>
      <c r="Z4994" t="s">
        <v>392</v>
      </c>
      <c r="AA4994">
        <v>161</v>
      </c>
      <c r="AB4994" t="s">
        <v>5385</v>
      </c>
      <c r="AC4994" t="str">
        <f>HYPERLINK("plots/3FT6Y578R04_015_S31P_20251219032831_M5358ACSA301811_RBGEUFRF04/dpll_52094/txpa_55181.png","plot")</f>
        <v>plot</v>
      </c>
    </row>
    <row r="4995" spans="1:29" hidden="1" x14ac:dyDescent="0.35">
      <c r="A4995" t="s">
        <v>50</v>
      </c>
      <c r="B4995">
        <v>52094</v>
      </c>
      <c r="C4995" t="s">
        <v>53</v>
      </c>
      <c r="D4995">
        <v>55182</v>
      </c>
      <c r="E4995" t="s">
        <v>315</v>
      </c>
      <c r="F4995">
        <v>11781</v>
      </c>
      <c r="G4995">
        <v>0.68756686915236198</v>
      </c>
      <c r="H4995">
        <v>0</v>
      </c>
      <c r="I4995">
        <v>0</v>
      </c>
      <c r="J4995">
        <v>0.61047627014154948</v>
      </c>
      <c r="K4995">
        <v>0</v>
      </c>
      <c r="L4995">
        <v>0</v>
      </c>
      <c r="M4995">
        <v>0.43681909356803889</v>
      </c>
      <c r="N4995">
        <v>0</v>
      </c>
      <c r="O4995">
        <v>0</v>
      </c>
      <c r="P4995">
        <v>0.47274819955598119</v>
      </c>
      <c r="Q4995">
        <v>0.8544565699776947</v>
      </c>
      <c r="R4995">
        <v>-2.4290935149634381</v>
      </c>
      <c r="S4995">
        <v>0.20093208916514921</v>
      </c>
      <c r="T4995">
        <v>0.15642309294461401</v>
      </c>
      <c r="U4995">
        <v>4.2674026018164843</v>
      </c>
      <c r="V4995">
        <v>0.22268124725346999</v>
      </c>
      <c r="W4995">
        <v>1.217216674898566</v>
      </c>
      <c r="X4995">
        <v>0.27673156352213868</v>
      </c>
      <c r="Z4995" t="s">
        <v>392</v>
      </c>
      <c r="AA4995">
        <v>161</v>
      </c>
      <c r="AB4995" t="s">
        <v>5386</v>
      </c>
      <c r="AC4995" t="str">
        <f>HYPERLINK("plots/3FT6Y578R04_015_S31P_20251219032831_M5358ACSA301811_RBGEUFRF04/dpll_52094/txpa_55182.png","plot")</f>
        <v>plot</v>
      </c>
    </row>
    <row r="4996" spans="1:29" hidden="1" x14ac:dyDescent="0.35">
      <c r="A4996" t="s">
        <v>50</v>
      </c>
      <c r="B4996">
        <v>52094</v>
      </c>
      <c r="C4996" t="s">
        <v>53</v>
      </c>
      <c r="D4996">
        <v>55183</v>
      </c>
      <c r="E4996" t="s">
        <v>316</v>
      </c>
      <c r="F4996">
        <v>11781</v>
      </c>
      <c r="G4996">
        <v>0.68771909934503139</v>
      </c>
      <c r="H4996">
        <v>0</v>
      </c>
      <c r="I4996">
        <v>0</v>
      </c>
      <c r="J4996">
        <v>0.60598633744867292</v>
      </c>
      <c r="K4996">
        <v>0</v>
      </c>
      <c r="L4996">
        <v>0</v>
      </c>
      <c r="M4996">
        <v>0.43197138210162478</v>
      </c>
      <c r="N4996">
        <v>0</v>
      </c>
      <c r="O4996">
        <v>0</v>
      </c>
      <c r="P4996">
        <v>0.47295755960394109</v>
      </c>
      <c r="Q4996">
        <v>0.85152695379578225</v>
      </c>
      <c r="R4996">
        <v>-2.434952013474887</v>
      </c>
      <c r="S4996">
        <v>0.20014091310233431</v>
      </c>
      <c r="T4996">
        <v>0.15619790266719799</v>
      </c>
      <c r="U4996">
        <v>4.2673648416942536</v>
      </c>
      <c r="V4996">
        <v>0.2226610238238293</v>
      </c>
      <c r="W4996">
        <v>1.1988241709082419</v>
      </c>
      <c r="X4996">
        <v>0.27569666674421012</v>
      </c>
      <c r="Z4996" t="s">
        <v>392</v>
      </c>
      <c r="AA4996">
        <v>161</v>
      </c>
      <c r="AB4996" t="s">
        <v>5387</v>
      </c>
      <c r="AC4996" t="str">
        <f>HYPERLINK("plots/3FT6Y578R04_015_S31P_20251219032831_M5358ACSA301811_RBGEUFRF04/dpll_52094/txpa_55183.png","plot")</f>
        <v>plot</v>
      </c>
    </row>
    <row r="4997" spans="1:29" hidden="1" x14ac:dyDescent="0.35">
      <c r="A4997" t="s">
        <v>50</v>
      </c>
      <c r="B4997">
        <v>52094</v>
      </c>
      <c r="C4997" t="s">
        <v>53</v>
      </c>
      <c r="D4997">
        <v>55184</v>
      </c>
      <c r="E4997" t="s">
        <v>317</v>
      </c>
      <c r="F4997">
        <v>11782</v>
      </c>
      <c r="G4997">
        <v>0.69248575575699656</v>
      </c>
      <c r="H4997">
        <v>0</v>
      </c>
      <c r="I4997">
        <v>0</v>
      </c>
      <c r="J4997">
        <v>0.61933483578191251</v>
      </c>
      <c r="K4997">
        <v>0</v>
      </c>
      <c r="L4997">
        <v>0</v>
      </c>
      <c r="M4997">
        <v>0.44357855614419212</v>
      </c>
      <c r="N4997">
        <v>0</v>
      </c>
      <c r="O4997">
        <v>0</v>
      </c>
      <c r="P4997">
        <v>0.47953652192633872</v>
      </c>
      <c r="Q4997">
        <v>0.86356623103884889</v>
      </c>
      <c r="R4997">
        <v>-2.4819721758998501</v>
      </c>
      <c r="S4997">
        <v>0.20032293583497129</v>
      </c>
      <c r="T4997">
        <v>0.1559923205410593</v>
      </c>
      <c r="U4997">
        <v>4.2673938428959426</v>
      </c>
      <c r="V4997">
        <v>0.22267382584799689</v>
      </c>
      <c r="W4997">
        <v>1.203205041368189</v>
      </c>
      <c r="X4997">
        <v>0.27768599561784241</v>
      </c>
      <c r="Z4997" t="s">
        <v>392</v>
      </c>
      <c r="AA4997">
        <v>161</v>
      </c>
      <c r="AB4997" t="s">
        <v>5388</v>
      </c>
      <c r="AC4997" t="str">
        <f>HYPERLINK("plots/3FT6Y578R04_015_S31P_20251219032831_M5358ACSA301811_RBGEUFRF04/dpll_52094/txpa_55184.png","plot")</f>
        <v>plot</v>
      </c>
    </row>
    <row r="4998" spans="1:29" hidden="1" x14ac:dyDescent="0.35">
      <c r="A4998" t="s">
        <v>50</v>
      </c>
      <c r="B4998">
        <v>52094</v>
      </c>
      <c r="C4998" t="s">
        <v>53</v>
      </c>
      <c r="D4998">
        <v>55185</v>
      </c>
      <c r="E4998" t="s">
        <v>318</v>
      </c>
      <c r="F4998">
        <v>11782</v>
      </c>
      <c r="G4998">
        <v>0.68922020312239218</v>
      </c>
      <c r="H4998">
        <v>0</v>
      </c>
      <c r="I4998">
        <v>0</v>
      </c>
      <c r="J4998">
        <v>0.61038660749584328</v>
      </c>
      <c r="K4998">
        <v>0</v>
      </c>
      <c r="L4998">
        <v>0</v>
      </c>
      <c r="M4998">
        <v>0.43550797679509268</v>
      </c>
      <c r="N4998">
        <v>0</v>
      </c>
      <c r="O4998">
        <v>0</v>
      </c>
      <c r="P4998">
        <v>0.47502448839207162</v>
      </c>
      <c r="Q4998">
        <v>0.84769279273972509</v>
      </c>
      <c r="R4998">
        <v>-2.4078570711328289</v>
      </c>
      <c r="S4998">
        <v>0.19842699423990931</v>
      </c>
      <c r="T4998">
        <v>0.15555148905227839</v>
      </c>
      <c r="U4998">
        <v>4.2673938428959426</v>
      </c>
      <c r="V4998">
        <v>0.22267382584799689</v>
      </c>
      <c r="W4998">
        <v>1.20958193327194</v>
      </c>
      <c r="X4998">
        <v>0.27387327946567408</v>
      </c>
      <c r="Z4998" t="s">
        <v>392</v>
      </c>
      <c r="AA4998">
        <v>161</v>
      </c>
      <c r="AB4998" t="s">
        <v>5389</v>
      </c>
      <c r="AC4998" t="str">
        <f>HYPERLINK("plots/3FT6Y578R04_015_S31P_20251219032831_M5358ACSA301811_RBGEUFRF04/dpll_52094/txpa_55185.png","plot")</f>
        <v>plot</v>
      </c>
    </row>
    <row r="4999" spans="1:29" hidden="1" x14ac:dyDescent="0.35">
      <c r="A4999" t="s">
        <v>50</v>
      </c>
      <c r="B4999">
        <v>52094</v>
      </c>
      <c r="C4999" t="s">
        <v>53</v>
      </c>
      <c r="D4999">
        <v>55186</v>
      </c>
      <c r="E4999" t="s">
        <v>319</v>
      </c>
      <c r="F4999">
        <v>11781</v>
      </c>
      <c r="G4999">
        <v>0.67749287125813629</v>
      </c>
      <c r="H4999">
        <v>0</v>
      </c>
      <c r="I4999">
        <v>0</v>
      </c>
      <c r="J4999">
        <v>0.59995100272266932</v>
      </c>
      <c r="K4999">
        <v>0</v>
      </c>
      <c r="L4999">
        <v>0</v>
      </c>
      <c r="M4999">
        <v>0.42830517652828298</v>
      </c>
      <c r="N4999">
        <v>0</v>
      </c>
      <c r="O4999">
        <v>0</v>
      </c>
      <c r="P4999">
        <v>0.45899659060559361</v>
      </c>
      <c r="Q4999">
        <v>0.84095268467320272</v>
      </c>
      <c r="R4999">
        <v>-2.4099865809096279</v>
      </c>
      <c r="S4999">
        <v>0.20328535576791501</v>
      </c>
      <c r="T4999">
        <v>0.1576499952447796</v>
      </c>
      <c r="U4999">
        <v>4.2674179181733303</v>
      </c>
      <c r="V4999">
        <v>0.22266794157249609</v>
      </c>
      <c r="W4999">
        <v>1.178709974000764</v>
      </c>
      <c r="X4999">
        <v>0.27639140011659208</v>
      </c>
      <c r="Z4999" t="s">
        <v>392</v>
      </c>
      <c r="AA4999">
        <v>161</v>
      </c>
      <c r="AB4999" t="s">
        <v>5390</v>
      </c>
      <c r="AC4999" t="str">
        <f>HYPERLINK("plots/3FT6Y578R04_015_S31P_20251219032831_M5358ACSA301811_RBGEUFRF04/dpll_52094/txpa_55186.png","plot")</f>
        <v>plot</v>
      </c>
    </row>
    <row r="5000" spans="1:29" hidden="1" x14ac:dyDescent="0.35">
      <c r="A5000" t="s">
        <v>50</v>
      </c>
      <c r="B5000">
        <v>52094</v>
      </c>
      <c r="C5000" t="s">
        <v>53</v>
      </c>
      <c r="D5000">
        <v>55187</v>
      </c>
      <c r="E5000" t="s">
        <v>320</v>
      </c>
      <c r="F5000">
        <v>11782</v>
      </c>
      <c r="G5000">
        <v>0.68716214398875419</v>
      </c>
      <c r="H5000">
        <v>0</v>
      </c>
      <c r="I5000">
        <v>0</v>
      </c>
      <c r="J5000">
        <v>0.62579141969721852</v>
      </c>
      <c r="K5000">
        <v>0</v>
      </c>
      <c r="L5000">
        <v>0</v>
      </c>
      <c r="M5000">
        <v>0.4467751763496926</v>
      </c>
      <c r="N5000">
        <v>0</v>
      </c>
      <c r="O5000">
        <v>0</v>
      </c>
      <c r="P5000">
        <v>0.47219181213122141</v>
      </c>
      <c r="Q5000">
        <v>0.88547092657143278</v>
      </c>
      <c r="R5000">
        <v>-0.60978913037741034</v>
      </c>
      <c r="S5000">
        <v>0.2084509513222037</v>
      </c>
      <c r="T5000">
        <v>0.15884435224483159</v>
      </c>
      <c r="U5000">
        <v>4.2673938428959426</v>
      </c>
      <c r="V5000">
        <v>0.22267382584799689</v>
      </c>
      <c r="W5000">
        <v>3.1688640497368872</v>
      </c>
      <c r="X5000">
        <v>0.28693547894288313</v>
      </c>
      <c r="Z5000" t="s">
        <v>392</v>
      </c>
      <c r="AA5000">
        <v>161</v>
      </c>
      <c r="AB5000" t="s">
        <v>5391</v>
      </c>
      <c r="AC5000" t="str">
        <f>HYPERLINK("plots/3FT6Y578R04_015_S31P_20251219032831_M5358ACSA301811_RBGEUFRF04/dpll_52094/txpa_55187.png","plot")</f>
        <v>plot</v>
      </c>
    </row>
    <row r="5001" spans="1:29" hidden="1" x14ac:dyDescent="0.35">
      <c r="A5001" t="s">
        <v>50</v>
      </c>
      <c r="B5001">
        <v>52094</v>
      </c>
      <c r="C5001" t="s">
        <v>53</v>
      </c>
      <c r="D5001">
        <v>55188</v>
      </c>
      <c r="E5001" t="s">
        <v>321</v>
      </c>
      <c r="F5001">
        <v>11782</v>
      </c>
      <c r="G5001">
        <v>0.71072951576282495</v>
      </c>
      <c r="H5001">
        <v>0</v>
      </c>
      <c r="I5001">
        <v>0</v>
      </c>
      <c r="J5001">
        <v>0.64099479618270683</v>
      </c>
      <c r="K5001">
        <v>0</v>
      </c>
      <c r="L5001">
        <v>0</v>
      </c>
      <c r="M5001">
        <v>0.46185310791450612</v>
      </c>
      <c r="N5001">
        <v>0</v>
      </c>
      <c r="O5001">
        <v>0</v>
      </c>
      <c r="P5001">
        <v>0.50513644457645968</v>
      </c>
      <c r="Q5001">
        <v>0.91640442589474114</v>
      </c>
      <c r="R5001">
        <v>-0.70834199687426302</v>
      </c>
      <c r="S5001">
        <v>0.2019650873647765</v>
      </c>
      <c r="T5001">
        <v>0.1562494853928717</v>
      </c>
      <c r="U5001">
        <v>4.2673938428959426</v>
      </c>
      <c r="V5001">
        <v>0.22267382584799689</v>
      </c>
      <c r="W5001">
        <v>3.202316607791547</v>
      </c>
      <c r="X5001">
        <v>0.28711243168085199</v>
      </c>
      <c r="Z5001" t="s">
        <v>392</v>
      </c>
      <c r="AA5001">
        <v>161</v>
      </c>
      <c r="AB5001" t="s">
        <v>5392</v>
      </c>
      <c r="AC5001" t="str">
        <f>HYPERLINK("plots/3FT6Y578R04_015_S31P_20251219032831_M5358ACSA301811_RBGEUFRF04/dpll_52094/txpa_55188.png","plot")</f>
        <v>plot</v>
      </c>
    </row>
    <row r="5002" spans="1:29" hidden="1" x14ac:dyDescent="0.35">
      <c r="A5002" t="s">
        <v>50</v>
      </c>
      <c r="B5002">
        <v>52094</v>
      </c>
      <c r="C5002" t="s">
        <v>53</v>
      </c>
      <c r="D5002">
        <v>55189</v>
      </c>
      <c r="E5002" t="s">
        <v>322</v>
      </c>
      <c r="F5002">
        <v>11782</v>
      </c>
      <c r="G5002">
        <v>0.7005256224348918</v>
      </c>
      <c r="H5002">
        <v>0</v>
      </c>
      <c r="I5002">
        <v>0</v>
      </c>
      <c r="J5002">
        <v>0.63010156689214725</v>
      </c>
      <c r="K5002">
        <v>0</v>
      </c>
      <c r="L5002">
        <v>0</v>
      </c>
      <c r="M5002">
        <v>0.45214276855709612</v>
      </c>
      <c r="N5002">
        <v>0</v>
      </c>
      <c r="O5002">
        <v>0</v>
      </c>
      <c r="P5002">
        <v>0.49073614768779261</v>
      </c>
      <c r="Q5002">
        <v>0.89180079200008155</v>
      </c>
      <c r="R5002">
        <v>-0.58908912492926779</v>
      </c>
      <c r="S5002">
        <v>0.20228607802587981</v>
      </c>
      <c r="T5002">
        <v>0.15599348736577151</v>
      </c>
      <c r="U5002">
        <v>4.2673938428959426</v>
      </c>
      <c r="V5002">
        <v>0.22267382584799689</v>
      </c>
      <c r="W5002">
        <v>3.216576083941606</v>
      </c>
      <c r="X5002">
        <v>0.28347384862055958</v>
      </c>
      <c r="Z5002" t="s">
        <v>392</v>
      </c>
      <c r="AA5002">
        <v>161</v>
      </c>
      <c r="AB5002" t="s">
        <v>5393</v>
      </c>
      <c r="AC5002" t="str">
        <f>HYPERLINK("plots/3FT6Y578R04_015_S31P_20251219032831_M5358ACSA301811_RBGEUFRF04/dpll_52094/txpa_55189.png","plot")</f>
        <v>plot</v>
      </c>
    </row>
    <row r="5003" spans="1:29" hidden="1" x14ac:dyDescent="0.35">
      <c r="A5003" t="s">
        <v>50</v>
      </c>
      <c r="B5003">
        <v>52094</v>
      </c>
      <c r="C5003" t="s">
        <v>53</v>
      </c>
      <c r="D5003">
        <v>55190</v>
      </c>
      <c r="E5003" t="s">
        <v>323</v>
      </c>
      <c r="F5003">
        <v>11781</v>
      </c>
      <c r="G5003">
        <v>0.71683757961900407</v>
      </c>
      <c r="H5003">
        <v>0</v>
      </c>
      <c r="I5003">
        <v>0</v>
      </c>
      <c r="J5003">
        <v>0.6410038803872844</v>
      </c>
      <c r="K5003">
        <v>0</v>
      </c>
      <c r="L5003">
        <v>0</v>
      </c>
      <c r="M5003">
        <v>0.46175118876387927</v>
      </c>
      <c r="N5003">
        <v>0</v>
      </c>
      <c r="O5003">
        <v>0</v>
      </c>
      <c r="P5003">
        <v>0.51385611555403199</v>
      </c>
      <c r="Q5003">
        <v>0.91823126202497363</v>
      </c>
      <c r="R5003">
        <v>-0.69221016647417866</v>
      </c>
      <c r="S5003">
        <v>0.19887442438518199</v>
      </c>
      <c r="T5003">
        <v>0.1547432507824672</v>
      </c>
      <c r="U5003">
        <v>4.2674026018164843</v>
      </c>
      <c r="V5003">
        <v>0.22268124725346999</v>
      </c>
      <c r="W5003">
        <v>3.2262523101604281</v>
      </c>
      <c r="X5003">
        <v>0.28524297345505439</v>
      </c>
      <c r="Z5003" t="s">
        <v>392</v>
      </c>
      <c r="AA5003">
        <v>161</v>
      </c>
      <c r="AB5003" t="s">
        <v>5394</v>
      </c>
      <c r="AC5003" t="str">
        <f>HYPERLINK("plots/3FT6Y578R04_015_S31P_20251219032831_M5358ACSA301811_RBGEUFRF04/dpll_52094/txpa_55190.png","plot")</f>
        <v>plot</v>
      </c>
    </row>
    <row r="5004" spans="1:29" hidden="1" x14ac:dyDescent="0.35">
      <c r="A5004" t="s">
        <v>50</v>
      </c>
      <c r="B5004">
        <v>52094</v>
      </c>
      <c r="C5004" t="s">
        <v>53</v>
      </c>
      <c r="D5004">
        <v>55191</v>
      </c>
      <c r="E5004" t="s">
        <v>324</v>
      </c>
      <c r="F5004">
        <v>11781</v>
      </c>
      <c r="G5004">
        <v>0.71773730583611306</v>
      </c>
      <c r="H5004">
        <v>0</v>
      </c>
      <c r="I5004">
        <v>0</v>
      </c>
      <c r="J5004">
        <v>0.63679776047821934</v>
      </c>
      <c r="K5004">
        <v>0</v>
      </c>
      <c r="L5004">
        <v>0</v>
      </c>
      <c r="M5004">
        <v>0.45691796879524288</v>
      </c>
      <c r="N5004">
        <v>0</v>
      </c>
      <c r="O5004">
        <v>0</v>
      </c>
      <c r="P5004">
        <v>0.51514684018888213</v>
      </c>
      <c r="Q5004">
        <v>0.9154041417280383</v>
      </c>
      <c r="R5004">
        <v>-0.6997116072142795</v>
      </c>
      <c r="S5004">
        <v>0.19773258178179759</v>
      </c>
      <c r="T5004">
        <v>0.1541460789282007</v>
      </c>
      <c r="U5004">
        <v>4.2673648416942536</v>
      </c>
      <c r="V5004">
        <v>0.2226610238238293</v>
      </c>
      <c r="W5004">
        <v>3.206651843137255</v>
      </c>
      <c r="X5004">
        <v>0.28398248461154912</v>
      </c>
      <c r="Z5004" t="s">
        <v>392</v>
      </c>
      <c r="AA5004">
        <v>161</v>
      </c>
      <c r="AB5004" t="s">
        <v>5395</v>
      </c>
      <c r="AC5004" t="str">
        <f>HYPERLINK("plots/3FT6Y578R04_015_S31P_20251219032831_M5358ACSA301811_RBGEUFRF04/dpll_52094/txpa_55191.png","plot")</f>
        <v>plot</v>
      </c>
    </row>
    <row r="5005" spans="1:29" hidden="1" x14ac:dyDescent="0.35">
      <c r="A5005" t="s">
        <v>50</v>
      </c>
      <c r="B5005">
        <v>52094</v>
      </c>
      <c r="C5005" t="s">
        <v>53</v>
      </c>
      <c r="D5005">
        <v>55192</v>
      </c>
      <c r="E5005" t="s">
        <v>325</v>
      </c>
      <c r="F5005">
        <v>11782</v>
      </c>
      <c r="G5005">
        <v>0.72172554180447746</v>
      </c>
      <c r="H5005">
        <v>0</v>
      </c>
      <c r="I5005">
        <v>0</v>
      </c>
      <c r="J5005">
        <v>0.65016694604554071</v>
      </c>
      <c r="K5005">
        <v>0</v>
      </c>
      <c r="L5005">
        <v>0</v>
      </c>
      <c r="M5005">
        <v>0.46898959013075181</v>
      </c>
      <c r="N5005">
        <v>0</v>
      </c>
      <c r="O5005">
        <v>0</v>
      </c>
      <c r="P5005">
        <v>0.52088775769296658</v>
      </c>
      <c r="Q5005">
        <v>0.92878458615184956</v>
      </c>
      <c r="R5005">
        <v>-0.74933692316675549</v>
      </c>
      <c r="S5005">
        <v>0.1983409084034963</v>
      </c>
      <c r="T5005">
        <v>0.1543164495482707</v>
      </c>
      <c r="U5005">
        <v>4.2673938428959426</v>
      </c>
      <c r="V5005">
        <v>0.22267382584799689</v>
      </c>
      <c r="W5005">
        <v>3.214152701154303</v>
      </c>
      <c r="X5005">
        <v>0.28655770816977583</v>
      </c>
      <c r="Z5005" t="s">
        <v>392</v>
      </c>
      <c r="AA5005">
        <v>161</v>
      </c>
      <c r="AB5005" t="s">
        <v>5396</v>
      </c>
      <c r="AC5005" t="str">
        <f>HYPERLINK("plots/3FT6Y578R04_015_S31P_20251219032831_M5358ACSA301811_RBGEUFRF04/dpll_52094/txpa_55192.png","plot")</f>
        <v>plot</v>
      </c>
    </row>
    <row r="5006" spans="1:29" hidden="1" x14ac:dyDescent="0.35">
      <c r="A5006" t="s">
        <v>50</v>
      </c>
      <c r="B5006">
        <v>52094</v>
      </c>
      <c r="C5006" t="s">
        <v>53</v>
      </c>
      <c r="D5006">
        <v>55193</v>
      </c>
      <c r="E5006" t="s">
        <v>326</v>
      </c>
      <c r="F5006">
        <v>11782</v>
      </c>
      <c r="G5006">
        <v>0.71882041328806645</v>
      </c>
      <c r="H5006">
        <v>0</v>
      </c>
      <c r="I5006">
        <v>0</v>
      </c>
      <c r="J5006">
        <v>0.64053232879510758</v>
      </c>
      <c r="K5006">
        <v>0</v>
      </c>
      <c r="L5006">
        <v>0</v>
      </c>
      <c r="M5006">
        <v>0.46021140704071772</v>
      </c>
      <c r="N5006">
        <v>0</v>
      </c>
      <c r="O5006">
        <v>0</v>
      </c>
      <c r="P5006">
        <v>0.51670278655962665</v>
      </c>
      <c r="Q5006">
        <v>0.91290522285097964</v>
      </c>
      <c r="R5006">
        <v>-0.67557316788193056</v>
      </c>
      <c r="S5006">
        <v>0.19659079332046531</v>
      </c>
      <c r="T5006">
        <v>0.15399582550771351</v>
      </c>
      <c r="U5006">
        <v>4.2673938428959426</v>
      </c>
      <c r="V5006">
        <v>0.22267382584799689</v>
      </c>
      <c r="W5006">
        <v>3.2201529592598881</v>
      </c>
      <c r="X5006">
        <v>0.28279678046285739</v>
      </c>
      <c r="Z5006" t="s">
        <v>392</v>
      </c>
      <c r="AA5006">
        <v>161</v>
      </c>
      <c r="AB5006" t="s">
        <v>5397</v>
      </c>
      <c r="AC5006" t="str">
        <f>HYPERLINK("plots/3FT6Y578R04_015_S31P_20251219032831_M5358ACSA301811_RBGEUFRF04/dpll_52094/txpa_55193.png","plot")</f>
        <v>plot</v>
      </c>
    </row>
    <row r="5007" spans="1:29" hidden="1" x14ac:dyDescent="0.35">
      <c r="A5007" t="s">
        <v>50</v>
      </c>
      <c r="B5007">
        <v>52094</v>
      </c>
      <c r="C5007" t="s">
        <v>53</v>
      </c>
      <c r="D5007">
        <v>55194</v>
      </c>
      <c r="E5007" t="s">
        <v>327</v>
      </c>
      <c r="F5007">
        <v>11781</v>
      </c>
      <c r="G5007">
        <v>0.70872294037516503</v>
      </c>
      <c r="H5007">
        <v>0</v>
      </c>
      <c r="I5007">
        <v>0</v>
      </c>
      <c r="J5007">
        <v>0.63167263402391172</v>
      </c>
      <c r="K5007">
        <v>0</v>
      </c>
      <c r="L5007">
        <v>0</v>
      </c>
      <c r="M5007">
        <v>0.45403606468291591</v>
      </c>
      <c r="N5007">
        <v>0</v>
      </c>
      <c r="O5007">
        <v>0</v>
      </c>
      <c r="P5007">
        <v>0.50228820621401971</v>
      </c>
      <c r="Q5007">
        <v>0.90684288211955377</v>
      </c>
      <c r="R5007">
        <v>-0.67859912154789814</v>
      </c>
      <c r="S5007">
        <v>0.20099432043424659</v>
      </c>
      <c r="T5007">
        <v>0.15559157313279551</v>
      </c>
      <c r="U5007">
        <v>4.2674179181733303</v>
      </c>
      <c r="V5007">
        <v>0.22266794157249609</v>
      </c>
      <c r="W5007">
        <v>3.1912784425770311</v>
      </c>
      <c r="X5007">
        <v>0.28491364733352792</v>
      </c>
      <c r="Z5007" t="s">
        <v>392</v>
      </c>
      <c r="AA5007">
        <v>161</v>
      </c>
      <c r="AB5007" t="s">
        <v>5398</v>
      </c>
      <c r="AC5007" t="str">
        <f>HYPERLINK("plots/3FT6Y578R04_015_S31P_20251219032831_M5358ACSA301811_RBGEUFRF04/dpll_52094/txpa_55194.png","plot")</f>
        <v>plot</v>
      </c>
    </row>
    <row r="5008" spans="1:29" hidden="1" x14ac:dyDescent="0.35">
      <c r="A5008" t="s">
        <v>50</v>
      </c>
      <c r="B5008">
        <v>52094</v>
      </c>
      <c r="C5008" t="s">
        <v>53</v>
      </c>
      <c r="D5008">
        <v>55195</v>
      </c>
      <c r="E5008" t="s">
        <v>328</v>
      </c>
      <c r="F5008">
        <v>11782</v>
      </c>
      <c r="G5008">
        <v>0.72526354193098985</v>
      </c>
      <c r="H5008">
        <v>0</v>
      </c>
      <c r="I5008">
        <v>0</v>
      </c>
      <c r="J5008">
        <v>0.65917349726280228</v>
      </c>
      <c r="K5008">
        <v>0</v>
      </c>
      <c r="L5008">
        <v>0</v>
      </c>
      <c r="M5008">
        <v>0.47473931793947438</v>
      </c>
      <c r="N5008">
        <v>0</v>
      </c>
      <c r="O5008">
        <v>0</v>
      </c>
      <c r="P5008">
        <v>0.52600720525428468</v>
      </c>
      <c r="Q5008">
        <v>0.9873817446707106</v>
      </c>
      <c r="R5008">
        <v>1.3733597046351831</v>
      </c>
      <c r="S5008">
        <v>0.20870163749592341</v>
      </c>
      <c r="T5008">
        <v>0.15840103798423849</v>
      </c>
      <c r="U5008">
        <v>4.2673938428959426</v>
      </c>
      <c r="V5008">
        <v>0.22267382584799689</v>
      </c>
      <c r="W5008">
        <v>5.5869064824308268</v>
      </c>
      <c r="X5008">
        <v>0.30315059002265088</v>
      </c>
      <c r="Z5008" t="s">
        <v>392</v>
      </c>
      <c r="AA5008">
        <v>161</v>
      </c>
      <c r="AB5008" t="s">
        <v>5399</v>
      </c>
      <c r="AC5008" t="str">
        <f>HYPERLINK("plots/3FT6Y578R04_015_S31P_20251219032831_M5358ACSA301811_RBGEUFRF04/dpll_52094/txpa_55195.png","plot")</f>
        <v>plot</v>
      </c>
    </row>
    <row r="5009" spans="1:29" hidden="1" x14ac:dyDescent="0.35">
      <c r="A5009" t="s">
        <v>50</v>
      </c>
      <c r="B5009">
        <v>52094</v>
      </c>
      <c r="C5009" t="s">
        <v>53</v>
      </c>
      <c r="D5009">
        <v>55196</v>
      </c>
      <c r="E5009" t="s">
        <v>329</v>
      </c>
      <c r="F5009">
        <v>11782</v>
      </c>
      <c r="G5009">
        <v>0.74615893389673249</v>
      </c>
      <c r="H5009">
        <v>0</v>
      </c>
      <c r="I5009">
        <v>0</v>
      </c>
      <c r="J5009">
        <v>0.67213613196722188</v>
      </c>
      <c r="K5009">
        <v>0</v>
      </c>
      <c r="L5009">
        <v>0</v>
      </c>
      <c r="M5009">
        <v>0.48843039440687058</v>
      </c>
      <c r="N5009">
        <v>0</v>
      </c>
      <c r="O5009">
        <v>0</v>
      </c>
      <c r="P5009">
        <v>0.5567531546339084</v>
      </c>
      <c r="Q5009">
        <v>1.0165675698841929</v>
      </c>
      <c r="R5009">
        <v>1.281898412135408</v>
      </c>
      <c r="S5009">
        <v>0.20196609760945339</v>
      </c>
      <c r="T5009">
        <v>0.15580235904392939</v>
      </c>
      <c r="U5009">
        <v>4.2673938428959426</v>
      </c>
      <c r="V5009">
        <v>0.22267382584799689</v>
      </c>
      <c r="W5009">
        <v>5.6199926007469019</v>
      </c>
      <c r="X5009">
        <v>0.30337101083405682</v>
      </c>
      <c r="Z5009" t="s">
        <v>392</v>
      </c>
      <c r="AA5009">
        <v>161</v>
      </c>
      <c r="AB5009" t="s">
        <v>5400</v>
      </c>
      <c r="AC5009" t="str">
        <f>HYPERLINK("plots/3FT6Y578R04_015_S31P_20251219032831_M5358ACSA301811_RBGEUFRF04/dpll_52094/txpa_55196.png","plot")</f>
        <v>plot</v>
      </c>
    </row>
    <row r="5010" spans="1:29" hidden="1" x14ac:dyDescent="0.35">
      <c r="A5010" t="s">
        <v>50</v>
      </c>
      <c r="B5010">
        <v>52094</v>
      </c>
      <c r="C5010" t="s">
        <v>53</v>
      </c>
      <c r="D5010">
        <v>55197</v>
      </c>
      <c r="E5010" t="s">
        <v>330</v>
      </c>
      <c r="F5010">
        <v>11782</v>
      </c>
      <c r="G5010">
        <v>0.73719281985596097</v>
      </c>
      <c r="H5010">
        <v>0</v>
      </c>
      <c r="I5010">
        <v>0</v>
      </c>
      <c r="J5010">
        <v>0.66251090790187606</v>
      </c>
      <c r="K5010">
        <v>0</v>
      </c>
      <c r="L5010">
        <v>0</v>
      </c>
      <c r="M5010">
        <v>0.47942749047932892</v>
      </c>
      <c r="N5010">
        <v>0</v>
      </c>
      <c r="O5010">
        <v>0</v>
      </c>
      <c r="P5010">
        <v>0.54345325364718333</v>
      </c>
      <c r="Q5010">
        <v>0.99194310864777546</v>
      </c>
      <c r="R5010">
        <v>1.400795266098168</v>
      </c>
      <c r="S5010">
        <v>0.20244126096598691</v>
      </c>
      <c r="T5010">
        <v>0.15539723992078511</v>
      </c>
      <c r="U5010">
        <v>4.2673938428959426</v>
      </c>
      <c r="V5010">
        <v>0.22267382584799689</v>
      </c>
      <c r="W5010">
        <v>5.6338071804447463</v>
      </c>
      <c r="X5010">
        <v>0.29962278670770659</v>
      </c>
      <c r="Z5010" t="s">
        <v>392</v>
      </c>
      <c r="AA5010">
        <v>161</v>
      </c>
      <c r="AB5010" t="s">
        <v>5401</v>
      </c>
      <c r="AC5010" t="str">
        <f>HYPERLINK("plots/3FT6Y578R04_015_S31P_20251219032831_M5358ACSA301811_RBGEUFRF04/dpll_52094/txpa_55197.png","plot")</f>
        <v>plot</v>
      </c>
    </row>
    <row r="5011" spans="1:29" hidden="1" x14ac:dyDescent="0.35">
      <c r="A5011" t="s">
        <v>50</v>
      </c>
      <c r="B5011">
        <v>52094</v>
      </c>
      <c r="C5011" t="s">
        <v>53</v>
      </c>
      <c r="D5011">
        <v>55198</v>
      </c>
      <c r="E5011" t="s">
        <v>331</v>
      </c>
      <c r="F5011">
        <v>11781</v>
      </c>
      <c r="G5011">
        <v>0.75226885821370415</v>
      </c>
      <c r="H5011">
        <v>0</v>
      </c>
      <c r="I5011">
        <v>0</v>
      </c>
      <c r="J5011">
        <v>0.67331845580986682</v>
      </c>
      <c r="K5011">
        <v>0</v>
      </c>
      <c r="L5011">
        <v>0</v>
      </c>
      <c r="M5011">
        <v>0.48930833158383241</v>
      </c>
      <c r="N5011">
        <v>0</v>
      </c>
      <c r="O5011">
        <v>0</v>
      </c>
      <c r="P5011">
        <v>0.56590843503815014</v>
      </c>
      <c r="Q5011">
        <v>1.0179747322281461</v>
      </c>
      <c r="R5011">
        <v>1.296823336970526</v>
      </c>
      <c r="S5011">
        <v>0.1985271008334914</v>
      </c>
      <c r="T5011">
        <v>0.15393721070213101</v>
      </c>
      <c r="U5011">
        <v>4.2674026018164843</v>
      </c>
      <c r="V5011">
        <v>0.22268124725346999</v>
      </c>
      <c r="W5011">
        <v>5.640931357864357</v>
      </c>
      <c r="X5011">
        <v>0.3013335997762181</v>
      </c>
      <c r="Z5011" t="s">
        <v>392</v>
      </c>
      <c r="AA5011">
        <v>161</v>
      </c>
      <c r="AB5011" t="s">
        <v>5402</v>
      </c>
      <c r="AC5011" t="str">
        <f>HYPERLINK("plots/3FT6Y578R04_015_S31P_20251219032831_M5358ACSA301811_RBGEUFRF04/dpll_52094/txpa_55198.png","plot")</f>
        <v>plot</v>
      </c>
    </row>
    <row r="5012" spans="1:29" hidden="1" x14ac:dyDescent="0.35">
      <c r="A5012" t="s">
        <v>50</v>
      </c>
      <c r="B5012">
        <v>52094</v>
      </c>
      <c r="C5012" t="s">
        <v>53</v>
      </c>
      <c r="D5012">
        <v>55199</v>
      </c>
      <c r="E5012" t="s">
        <v>332</v>
      </c>
      <c r="F5012">
        <v>11781</v>
      </c>
      <c r="G5012">
        <v>0.75347148011505038</v>
      </c>
      <c r="H5012">
        <v>0</v>
      </c>
      <c r="I5012">
        <v>0</v>
      </c>
      <c r="J5012">
        <v>0.66945303662965716</v>
      </c>
      <c r="K5012">
        <v>0</v>
      </c>
      <c r="L5012">
        <v>0</v>
      </c>
      <c r="M5012">
        <v>0.48463415499082008</v>
      </c>
      <c r="N5012">
        <v>0</v>
      </c>
      <c r="O5012">
        <v>0</v>
      </c>
      <c r="P5012">
        <v>0.56771927134676481</v>
      </c>
      <c r="Q5012">
        <v>1.015291463850114</v>
      </c>
      <c r="R5012">
        <v>1.2876533881119789</v>
      </c>
      <c r="S5012">
        <v>0.19725709037886599</v>
      </c>
      <c r="T5012">
        <v>0.1534198527394047</v>
      </c>
      <c r="U5012">
        <v>4.2673648416942536</v>
      </c>
      <c r="V5012">
        <v>0.2226610238238293</v>
      </c>
      <c r="W5012">
        <v>5.6202724850182486</v>
      </c>
      <c r="X5012">
        <v>0.30003237386761061</v>
      </c>
      <c r="Z5012" t="s">
        <v>392</v>
      </c>
      <c r="AA5012">
        <v>161</v>
      </c>
      <c r="AB5012" t="s">
        <v>5403</v>
      </c>
      <c r="AC5012" t="str">
        <f>HYPERLINK("plots/3FT6Y578R04_015_S31P_20251219032831_M5358ACSA301811_RBGEUFRF04/dpll_52094/txpa_55199.png","plot")</f>
        <v>plot</v>
      </c>
    </row>
    <row r="5013" spans="1:29" hidden="1" x14ac:dyDescent="0.35">
      <c r="A5013" t="s">
        <v>50</v>
      </c>
      <c r="B5013">
        <v>52094</v>
      </c>
      <c r="C5013" t="s">
        <v>53</v>
      </c>
      <c r="D5013">
        <v>55200</v>
      </c>
      <c r="E5013" t="s">
        <v>333</v>
      </c>
      <c r="F5013">
        <v>11781</v>
      </c>
      <c r="G5013">
        <v>0.7581347928978136</v>
      </c>
      <c r="H5013">
        <v>0</v>
      </c>
      <c r="I5013">
        <v>0</v>
      </c>
      <c r="J5013">
        <v>0.68116311122529816</v>
      </c>
      <c r="K5013">
        <v>0</v>
      </c>
      <c r="L5013">
        <v>0</v>
      </c>
      <c r="M5013">
        <v>0.49563277665540578</v>
      </c>
      <c r="N5013">
        <v>0</v>
      </c>
      <c r="O5013">
        <v>0</v>
      </c>
      <c r="P5013">
        <v>0.57476836420221067</v>
      </c>
      <c r="Q5013">
        <v>1.029746124803891</v>
      </c>
      <c r="R5013">
        <v>1.236285757308496</v>
      </c>
      <c r="S5013">
        <v>0.1972009244509223</v>
      </c>
      <c r="T5013">
        <v>0.15343660198739811</v>
      </c>
      <c r="U5013">
        <v>4.2673606822850356</v>
      </c>
      <c r="V5013">
        <v>0.2226541824443867</v>
      </c>
      <c r="W5013">
        <v>5.6305838830320019</v>
      </c>
      <c r="X5013">
        <v>0.30242284576746697</v>
      </c>
      <c r="Z5013" t="s">
        <v>392</v>
      </c>
      <c r="AA5013">
        <v>161</v>
      </c>
      <c r="AB5013" t="s">
        <v>5404</v>
      </c>
      <c r="AC5013" t="str">
        <f>HYPERLINK("plots/3FT6Y578R04_015_S31P_20251219032831_M5358ACSA301811_RBGEUFRF04/dpll_52094/txpa_55200.png","plot")</f>
        <v>plot</v>
      </c>
    </row>
    <row r="5014" spans="1:29" hidden="1" x14ac:dyDescent="0.35">
      <c r="A5014" t="s">
        <v>50</v>
      </c>
      <c r="B5014">
        <v>52094</v>
      </c>
      <c r="C5014" t="s">
        <v>53</v>
      </c>
      <c r="D5014">
        <v>55201</v>
      </c>
      <c r="E5014" t="s">
        <v>334</v>
      </c>
      <c r="F5014">
        <v>11782</v>
      </c>
      <c r="G5014">
        <v>0.75432646844003293</v>
      </c>
      <c r="H5014">
        <v>0</v>
      </c>
      <c r="I5014">
        <v>0</v>
      </c>
      <c r="J5014">
        <v>0.67207588213711011</v>
      </c>
      <c r="K5014">
        <v>0</v>
      </c>
      <c r="L5014">
        <v>0</v>
      </c>
      <c r="M5014">
        <v>0.48728707796785881</v>
      </c>
      <c r="N5014">
        <v>0</v>
      </c>
      <c r="O5014">
        <v>0</v>
      </c>
      <c r="P5014">
        <v>0.569008420989212</v>
      </c>
      <c r="Q5014">
        <v>1.013791335970355</v>
      </c>
      <c r="R5014">
        <v>1.3102832082072939</v>
      </c>
      <c r="S5014">
        <v>0.19646009992536331</v>
      </c>
      <c r="T5014">
        <v>0.15342765503114381</v>
      </c>
      <c r="U5014">
        <v>4.2673938428959426</v>
      </c>
      <c r="V5014">
        <v>0.22267382584799689</v>
      </c>
      <c r="W5014">
        <v>5.6365301133084378</v>
      </c>
      <c r="X5014">
        <v>0.29926670326034949</v>
      </c>
      <c r="Z5014" t="s">
        <v>392</v>
      </c>
      <c r="AA5014">
        <v>161</v>
      </c>
      <c r="AB5014" t="s">
        <v>5405</v>
      </c>
      <c r="AC5014" t="str">
        <f>HYPERLINK("plots/3FT6Y578R04_015_S31P_20251219032831_M5358ACSA301811_RBGEUFRF04/dpll_52094/txpa_55201.png","plot")</f>
        <v>plot</v>
      </c>
    </row>
    <row r="5015" spans="1:29" hidden="1" x14ac:dyDescent="0.35">
      <c r="A5015" t="s">
        <v>50</v>
      </c>
      <c r="B5015">
        <v>52094</v>
      </c>
      <c r="C5015" t="s">
        <v>53</v>
      </c>
      <c r="D5015">
        <v>55202</v>
      </c>
      <c r="E5015" t="s">
        <v>335</v>
      </c>
      <c r="F5015">
        <v>11781</v>
      </c>
      <c r="G5015">
        <v>0.74589055387016456</v>
      </c>
      <c r="H5015">
        <v>0</v>
      </c>
      <c r="I5015">
        <v>0</v>
      </c>
      <c r="J5015">
        <v>0.66480336688847042</v>
      </c>
      <c r="K5015">
        <v>0</v>
      </c>
      <c r="L5015">
        <v>0</v>
      </c>
      <c r="M5015">
        <v>0.4820980987532637</v>
      </c>
      <c r="N5015">
        <v>0</v>
      </c>
      <c r="O5015">
        <v>0</v>
      </c>
      <c r="P5015">
        <v>0.55635271835274092</v>
      </c>
      <c r="Q5015">
        <v>1.0090649553049991</v>
      </c>
      <c r="R5015">
        <v>1.303654969127279</v>
      </c>
      <c r="S5015">
        <v>0.20063291831985541</v>
      </c>
      <c r="T5015">
        <v>0.1547287197241303</v>
      </c>
      <c r="U5015">
        <v>4.2674179181733303</v>
      </c>
      <c r="V5015">
        <v>0.22266794157249609</v>
      </c>
      <c r="W5015">
        <v>5.6097568399966038</v>
      </c>
      <c r="X5015">
        <v>0.30123241988370542</v>
      </c>
      <c r="Z5015" t="s">
        <v>392</v>
      </c>
      <c r="AA5015">
        <v>161</v>
      </c>
      <c r="AB5015" t="s">
        <v>5406</v>
      </c>
      <c r="AC5015" t="str">
        <f>HYPERLINK("plots/3FT6Y578R04_015_S31P_20251219032831_M5358ACSA301811_RBGEUFRF04/dpll_52094/txpa_55202.png","plot")</f>
        <v>plot</v>
      </c>
    </row>
    <row r="5016" spans="1:29" hidden="1" x14ac:dyDescent="0.35">
      <c r="A5016" t="s">
        <v>50</v>
      </c>
      <c r="B5016">
        <v>52094</v>
      </c>
      <c r="C5016" t="s">
        <v>53</v>
      </c>
      <c r="D5016">
        <v>55203</v>
      </c>
      <c r="E5016" t="s">
        <v>336</v>
      </c>
      <c r="F5016">
        <v>11782</v>
      </c>
      <c r="G5016">
        <v>0.73847858956630896</v>
      </c>
      <c r="H5016">
        <v>0</v>
      </c>
      <c r="I5016">
        <v>0</v>
      </c>
      <c r="J5016">
        <v>0.66919795369751778</v>
      </c>
      <c r="K5016">
        <v>0</v>
      </c>
      <c r="L5016">
        <v>0</v>
      </c>
      <c r="M5016">
        <v>0.48335282918203498</v>
      </c>
      <c r="N5016">
        <v>0</v>
      </c>
      <c r="O5016">
        <v>0</v>
      </c>
      <c r="P5016">
        <v>0.545350627247845</v>
      </c>
      <c r="Q5016">
        <v>1.036430294701417</v>
      </c>
      <c r="R5016">
        <v>2.228850434636874</v>
      </c>
      <c r="S5016">
        <v>0.21071295046564861</v>
      </c>
      <c r="T5016">
        <v>0.15955766404268579</v>
      </c>
      <c r="U5016">
        <v>4.2673938428959426</v>
      </c>
      <c r="V5016">
        <v>0.22267382584799689</v>
      </c>
      <c r="W5016">
        <v>6.6517066928365303</v>
      </c>
      <c r="X5016">
        <v>0.31251535549793902</v>
      </c>
      <c r="Z5016" t="s">
        <v>392</v>
      </c>
      <c r="AA5016">
        <v>161</v>
      </c>
      <c r="AB5016" t="s">
        <v>5407</v>
      </c>
      <c r="AC5016" t="str">
        <f>HYPERLINK("plots/3FT6Y578R04_015_S31P_20251219032831_M5358ACSA301811_RBGEUFRF04/dpll_52094/txpa_55203.png","plot")</f>
        <v>plot</v>
      </c>
    </row>
    <row r="5017" spans="1:29" hidden="1" x14ac:dyDescent="0.35">
      <c r="A5017" t="s">
        <v>50</v>
      </c>
      <c r="B5017">
        <v>52094</v>
      </c>
      <c r="C5017" t="s">
        <v>53</v>
      </c>
      <c r="D5017">
        <v>55204</v>
      </c>
      <c r="E5017" t="s">
        <v>337</v>
      </c>
      <c r="F5017">
        <v>11782</v>
      </c>
      <c r="G5017">
        <v>0.75853412137571097</v>
      </c>
      <c r="H5017">
        <v>0</v>
      </c>
      <c r="I5017">
        <v>0</v>
      </c>
      <c r="J5017">
        <v>0.68212485723660488</v>
      </c>
      <c r="K5017">
        <v>0</v>
      </c>
      <c r="L5017">
        <v>0</v>
      </c>
      <c r="M5017">
        <v>0.49716687162204282</v>
      </c>
      <c r="N5017">
        <v>0</v>
      </c>
      <c r="O5017">
        <v>0</v>
      </c>
      <c r="P5017">
        <v>0.57537401329122184</v>
      </c>
      <c r="Q5017">
        <v>1.0649166697140879</v>
      </c>
      <c r="R5017">
        <v>2.139794523730846</v>
      </c>
      <c r="S5017">
        <v>0.20370164119548029</v>
      </c>
      <c r="T5017">
        <v>0.1567172769367276</v>
      </c>
      <c r="U5017">
        <v>4.2673938428959426</v>
      </c>
      <c r="V5017">
        <v>0.22267382584799689</v>
      </c>
      <c r="W5017">
        <v>6.6842133632659984</v>
      </c>
      <c r="X5017">
        <v>0.31261490073047188</v>
      </c>
      <c r="Z5017" t="s">
        <v>392</v>
      </c>
      <c r="AA5017">
        <v>161</v>
      </c>
      <c r="AB5017" t="s">
        <v>5408</v>
      </c>
      <c r="AC5017" t="str">
        <f>HYPERLINK("plots/3FT6Y578R04_015_S31P_20251219032831_M5358ACSA301811_RBGEUFRF04/dpll_52094/txpa_55204.png","plot")</f>
        <v>plot</v>
      </c>
    </row>
    <row r="5018" spans="1:29" hidden="1" x14ac:dyDescent="0.35">
      <c r="A5018" t="s">
        <v>50</v>
      </c>
      <c r="B5018">
        <v>52094</v>
      </c>
      <c r="C5018" t="s">
        <v>53</v>
      </c>
      <c r="D5018">
        <v>55205</v>
      </c>
      <c r="E5018" t="s">
        <v>338</v>
      </c>
      <c r="F5018">
        <v>11782</v>
      </c>
      <c r="G5018">
        <v>0.7501547130628079</v>
      </c>
      <c r="H5018">
        <v>0</v>
      </c>
      <c r="I5018">
        <v>0</v>
      </c>
      <c r="J5018">
        <v>0.67256077921469504</v>
      </c>
      <c r="K5018">
        <v>0</v>
      </c>
      <c r="L5018">
        <v>0</v>
      </c>
      <c r="M5018">
        <v>0.48808432997200679</v>
      </c>
      <c r="N5018">
        <v>0</v>
      </c>
      <c r="O5018">
        <v>0</v>
      </c>
      <c r="P5018">
        <v>0.5627320935303437</v>
      </c>
      <c r="Q5018">
        <v>1.040750495253864</v>
      </c>
      <c r="R5018">
        <v>2.2567188719604818</v>
      </c>
      <c r="S5018">
        <v>0.20427740178735171</v>
      </c>
      <c r="T5018">
        <v>0.15637990594378229</v>
      </c>
      <c r="U5018">
        <v>4.2673938428959426</v>
      </c>
      <c r="V5018">
        <v>0.22267382584799689</v>
      </c>
      <c r="W5018">
        <v>6.6980111273977254</v>
      </c>
      <c r="X5018">
        <v>0.30893346465180688</v>
      </c>
      <c r="Z5018" t="s">
        <v>392</v>
      </c>
      <c r="AA5018">
        <v>161</v>
      </c>
      <c r="AB5018" t="s">
        <v>5409</v>
      </c>
      <c r="AC5018" t="str">
        <f>HYPERLINK("plots/3FT6Y578R04_015_S31P_20251219032831_M5358ACSA301811_RBGEUFRF04/dpll_52094/txpa_55205.png","plot")</f>
        <v>plot</v>
      </c>
    </row>
    <row r="5019" spans="1:29" hidden="1" x14ac:dyDescent="0.35">
      <c r="A5019" t="s">
        <v>50</v>
      </c>
      <c r="B5019">
        <v>52094</v>
      </c>
      <c r="C5019" t="s">
        <v>53</v>
      </c>
      <c r="D5019">
        <v>55206</v>
      </c>
      <c r="E5019" t="s">
        <v>339</v>
      </c>
      <c r="F5019">
        <v>11781</v>
      </c>
      <c r="G5019">
        <v>0.76462482143981869</v>
      </c>
      <c r="H5019">
        <v>0</v>
      </c>
      <c r="I5019">
        <v>0</v>
      </c>
      <c r="J5019">
        <v>0.6831716942624404</v>
      </c>
      <c r="K5019">
        <v>0</v>
      </c>
      <c r="L5019">
        <v>0</v>
      </c>
      <c r="M5019">
        <v>0.49786065765396098</v>
      </c>
      <c r="N5019">
        <v>0</v>
      </c>
      <c r="O5019">
        <v>0</v>
      </c>
      <c r="P5019">
        <v>0.5846511175618746</v>
      </c>
      <c r="Q5019">
        <v>1.066438417676274</v>
      </c>
      <c r="R5019">
        <v>2.1533288434696081</v>
      </c>
      <c r="S5019">
        <v>0.200151627231031</v>
      </c>
      <c r="T5019">
        <v>0.1548809566346212</v>
      </c>
      <c r="U5019">
        <v>4.2674026018164843</v>
      </c>
      <c r="V5019">
        <v>0.22268124725346999</v>
      </c>
      <c r="W5019">
        <v>6.7042509217383923</v>
      </c>
      <c r="X5019">
        <v>0.31057824740765438</v>
      </c>
      <c r="Z5019" t="s">
        <v>392</v>
      </c>
      <c r="AA5019">
        <v>161</v>
      </c>
      <c r="AB5019" t="s">
        <v>5410</v>
      </c>
      <c r="AC5019" t="str">
        <f>HYPERLINK("plots/3FT6Y578R04_015_S31P_20251219032831_M5358ACSA301811_RBGEUFRF04/dpll_52094/txpa_55206.png","plot")</f>
        <v>plot</v>
      </c>
    </row>
    <row r="5020" spans="1:29" hidden="1" x14ac:dyDescent="0.35">
      <c r="A5020" t="s">
        <v>50</v>
      </c>
      <c r="B5020">
        <v>52094</v>
      </c>
      <c r="C5020" t="s">
        <v>53</v>
      </c>
      <c r="D5020">
        <v>55207</v>
      </c>
      <c r="E5020" t="s">
        <v>340</v>
      </c>
      <c r="F5020">
        <v>11781</v>
      </c>
      <c r="G5020">
        <v>0.76599083252916889</v>
      </c>
      <c r="H5020">
        <v>0</v>
      </c>
      <c r="I5020">
        <v>0</v>
      </c>
      <c r="J5020">
        <v>0.67946940586001536</v>
      </c>
      <c r="K5020">
        <v>0</v>
      </c>
      <c r="L5020">
        <v>0</v>
      </c>
      <c r="M5020">
        <v>0.4932601564960985</v>
      </c>
      <c r="N5020">
        <v>0</v>
      </c>
      <c r="O5020">
        <v>0</v>
      </c>
      <c r="P5020">
        <v>0.58674195551872921</v>
      </c>
      <c r="Q5020">
        <v>1.0642429504547231</v>
      </c>
      <c r="R5020">
        <v>2.1415373137685259</v>
      </c>
      <c r="S5020">
        <v>0.19886283991208839</v>
      </c>
      <c r="T5020">
        <v>0.15439972769396021</v>
      </c>
      <c r="U5020">
        <v>4.2673648416942536</v>
      </c>
      <c r="V5020">
        <v>0.2226610238238293</v>
      </c>
      <c r="W5020">
        <v>6.6830502635599691</v>
      </c>
      <c r="X5020">
        <v>0.30935804305010128</v>
      </c>
      <c r="Z5020" t="s">
        <v>392</v>
      </c>
      <c r="AA5020">
        <v>161</v>
      </c>
      <c r="AB5020" t="s">
        <v>5411</v>
      </c>
      <c r="AC5020" t="str">
        <f>HYPERLINK("plots/3FT6Y578R04_015_S31P_20251219032831_M5358ACSA301811_RBGEUFRF04/dpll_52094/txpa_55207.png","plot")</f>
        <v>plot</v>
      </c>
    </row>
    <row r="5021" spans="1:29" hidden="1" x14ac:dyDescent="0.35">
      <c r="A5021" t="s">
        <v>50</v>
      </c>
      <c r="B5021">
        <v>52094</v>
      </c>
      <c r="C5021" t="s">
        <v>53</v>
      </c>
      <c r="D5021">
        <v>55208</v>
      </c>
      <c r="E5021" t="s">
        <v>341</v>
      </c>
      <c r="F5021">
        <v>11781</v>
      </c>
      <c r="G5021">
        <v>0.77009559476811773</v>
      </c>
      <c r="H5021">
        <v>0</v>
      </c>
      <c r="I5021">
        <v>0</v>
      </c>
      <c r="J5021">
        <v>0.69033782803216037</v>
      </c>
      <c r="K5021">
        <v>0</v>
      </c>
      <c r="L5021">
        <v>0</v>
      </c>
      <c r="M5021">
        <v>0.50373674550344594</v>
      </c>
      <c r="N5021">
        <v>0</v>
      </c>
      <c r="O5021">
        <v>0</v>
      </c>
      <c r="P5021">
        <v>0.59304722508126095</v>
      </c>
      <c r="Q5021">
        <v>1.078335890770419</v>
      </c>
      <c r="R5021">
        <v>2.092328560829892</v>
      </c>
      <c r="S5021">
        <v>0.19888125556746331</v>
      </c>
      <c r="T5021">
        <v>0.1545083549105524</v>
      </c>
      <c r="U5021">
        <v>4.2673606822850356</v>
      </c>
      <c r="V5021">
        <v>0.2226541824443867</v>
      </c>
      <c r="W5021">
        <v>6.6939767434003903</v>
      </c>
      <c r="X5021">
        <v>0.31177427554591081</v>
      </c>
      <c r="Z5021" t="s">
        <v>392</v>
      </c>
      <c r="AA5021">
        <v>161</v>
      </c>
      <c r="AB5021" t="s">
        <v>5412</v>
      </c>
      <c r="AC5021" t="str">
        <f>HYPERLINK("plots/3FT6Y578R04_015_S31P_20251219032831_M5358ACSA301811_RBGEUFRF04/dpll_52094/txpa_55208.png","plot")</f>
        <v>plot</v>
      </c>
    </row>
    <row r="5022" spans="1:29" hidden="1" x14ac:dyDescent="0.35">
      <c r="A5022" t="s">
        <v>50</v>
      </c>
      <c r="B5022">
        <v>52094</v>
      </c>
      <c r="C5022" t="s">
        <v>53</v>
      </c>
      <c r="D5022">
        <v>55209</v>
      </c>
      <c r="E5022" t="s">
        <v>342</v>
      </c>
      <c r="F5022">
        <v>11782</v>
      </c>
      <c r="G5022">
        <v>0.76671591455548405</v>
      </c>
      <c r="H5022">
        <v>0</v>
      </c>
      <c r="I5022">
        <v>0</v>
      </c>
      <c r="J5022">
        <v>0.68166057187374562</v>
      </c>
      <c r="K5022">
        <v>0</v>
      </c>
      <c r="L5022">
        <v>0</v>
      </c>
      <c r="M5022">
        <v>0.49567751608787619</v>
      </c>
      <c r="N5022">
        <v>0</v>
      </c>
      <c r="O5022">
        <v>0</v>
      </c>
      <c r="P5022">
        <v>0.58785329363265226</v>
      </c>
      <c r="Q5022">
        <v>1.0629145649066321</v>
      </c>
      <c r="R5022">
        <v>2.163970830294867</v>
      </c>
      <c r="S5022">
        <v>0.19817119890013879</v>
      </c>
      <c r="T5022">
        <v>0.1544175934154588</v>
      </c>
      <c r="U5022">
        <v>4.2673938428959426</v>
      </c>
      <c r="V5022">
        <v>0.22267382584799689</v>
      </c>
      <c r="W5022">
        <v>6.6998459001018498</v>
      </c>
      <c r="X5022">
        <v>0.30869745654691372</v>
      </c>
      <c r="Z5022" t="s">
        <v>392</v>
      </c>
      <c r="AA5022">
        <v>161</v>
      </c>
      <c r="AB5022" t="s">
        <v>5413</v>
      </c>
      <c r="AC5022" t="str">
        <f>HYPERLINK("plots/3FT6Y578R04_015_S31P_20251219032831_M5358ACSA301811_RBGEUFRF04/dpll_52094/txpa_55209.png","plot")</f>
        <v>plot</v>
      </c>
    </row>
    <row r="5023" spans="1:29" hidden="1" x14ac:dyDescent="0.35">
      <c r="A5023" t="s">
        <v>50</v>
      </c>
      <c r="B5023">
        <v>52094</v>
      </c>
      <c r="C5023" t="s">
        <v>53</v>
      </c>
      <c r="D5023">
        <v>55210</v>
      </c>
      <c r="E5023" t="s">
        <v>343</v>
      </c>
      <c r="F5023">
        <v>11781</v>
      </c>
      <c r="G5023">
        <v>0.75867477616801549</v>
      </c>
      <c r="H5023">
        <v>0</v>
      </c>
      <c r="I5023">
        <v>0</v>
      </c>
      <c r="J5023">
        <v>0.67482429944433997</v>
      </c>
      <c r="K5023">
        <v>0</v>
      </c>
      <c r="L5023">
        <v>0</v>
      </c>
      <c r="M5023">
        <v>0.49075968017575589</v>
      </c>
      <c r="N5023">
        <v>0</v>
      </c>
      <c r="O5023">
        <v>0</v>
      </c>
      <c r="P5023">
        <v>0.57558741599358842</v>
      </c>
      <c r="Q5023">
        <v>1.057573680816722</v>
      </c>
      <c r="R5023">
        <v>2.1612217321129208</v>
      </c>
      <c r="S5023">
        <v>0.20220336413601511</v>
      </c>
      <c r="T5023">
        <v>0.15553894561247009</v>
      </c>
      <c r="U5023">
        <v>4.2674179181733303</v>
      </c>
      <c r="V5023">
        <v>0.22266794157249609</v>
      </c>
      <c r="W5023">
        <v>6.6743306074187254</v>
      </c>
      <c r="X5023">
        <v>0.31039354670275288</v>
      </c>
      <c r="Z5023" t="s">
        <v>392</v>
      </c>
      <c r="AA5023">
        <v>161</v>
      </c>
      <c r="AB5023" t="s">
        <v>5414</v>
      </c>
      <c r="AC5023" t="str">
        <f>HYPERLINK("plots/3FT6Y578R04_015_S31P_20251219032831_M5358ACSA301811_RBGEUFRF04/dpll_52094/txpa_55210.png","plot")</f>
        <v>plot</v>
      </c>
    </row>
    <row r="5024" spans="1:29" hidden="1" x14ac:dyDescent="0.35">
      <c r="A5024" t="s">
        <v>50</v>
      </c>
      <c r="B5024">
        <v>52094</v>
      </c>
      <c r="C5024" t="s">
        <v>53</v>
      </c>
      <c r="D5024">
        <v>55211</v>
      </c>
      <c r="E5024" t="s">
        <v>344</v>
      </c>
      <c r="F5024">
        <v>11782</v>
      </c>
      <c r="G5024">
        <v>0.74956594229395868</v>
      </c>
      <c r="H5024">
        <v>0</v>
      </c>
      <c r="I5024">
        <v>0</v>
      </c>
      <c r="J5024">
        <v>0.67768510166715679</v>
      </c>
      <c r="K5024">
        <v>0</v>
      </c>
      <c r="L5024">
        <v>0</v>
      </c>
      <c r="M5024">
        <v>0.49060254873578529</v>
      </c>
      <c r="N5024">
        <v>0</v>
      </c>
      <c r="O5024">
        <v>0</v>
      </c>
      <c r="P5024">
        <v>0.56184910184703019</v>
      </c>
      <c r="Q5024">
        <v>1.0870666164088629</v>
      </c>
      <c r="R5024">
        <v>3.046400381251702</v>
      </c>
      <c r="S5024">
        <v>0.21375136967765859</v>
      </c>
      <c r="T5024">
        <v>0.16151747716195999</v>
      </c>
      <c r="U5024">
        <v>4.2673938428959426</v>
      </c>
      <c r="V5024">
        <v>0.22267382584799689</v>
      </c>
      <c r="W5024">
        <v>7.6853417669326101</v>
      </c>
      <c r="X5024">
        <v>0.32293527329509952</v>
      </c>
      <c r="Z5024" t="s">
        <v>392</v>
      </c>
      <c r="AA5024">
        <v>161</v>
      </c>
      <c r="AB5024" t="s">
        <v>5415</v>
      </c>
      <c r="AC5024" t="str">
        <f>HYPERLINK("plots/3FT6Y578R04_015_S31P_20251219032831_M5358ACSA301811_RBGEUFRF04/dpll_52094/txpa_55211.png","plot")</f>
        <v>plot</v>
      </c>
    </row>
    <row r="5025" spans="1:29" hidden="1" x14ac:dyDescent="0.35">
      <c r="A5025" t="s">
        <v>50</v>
      </c>
      <c r="B5025">
        <v>52094</v>
      </c>
      <c r="C5025" t="s">
        <v>53</v>
      </c>
      <c r="D5025">
        <v>55212</v>
      </c>
      <c r="E5025" t="s">
        <v>345</v>
      </c>
      <c r="F5025">
        <v>11782</v>
      </c>
      <c r="G5025">
        <v>0.76857595979953663</v>
      </c>
      <c r="H5025">
        <v>0</v>
      </c>
      <c r="I5025">
        <v>0</v>
      </c>
      <c r="J5025">
        <v>0.6898509702468214</v>
      </c>
      <c r="K5025">
        <v>0</v>
      </c>
      <c r="L5025">
        <v>0</v>
      </c>
      <c r="M5025">
        <v>0.50388365674334035</v>
      </c>
      <c r="N5025">
        <v>0</v>
      </c>
      <c r="O5025">
        <v>0</v>
      </c>
      <c r="P5025">
        <v>0.590709005981779</v>
      </c>
      <c r="Q5025">
        <v>1.114681513825557</v>
      </c>
      <c r="R5025">
        <v>2.9603425960472309</v>
      </c>
      <c r="S5025">
        <v>0.2066002471440945</v>
      </c>
      <c r="T5025">
        <v>0.15868953770834349</v>
      </c>
      <c r="U5025">
        <v>4.2673938428959426</v>
      </c>
      <c r="V5025">
        <v>0.22267382584799689</v>
      </c>
      <c r="W5025">
        <v>7.7171276249363423</v>
      </c>
      <c r="X5025">
        <v>0.32294842704982968</v>
      </c>
      <c r="Z5025" t="s">
        <v>392</v>
      </c>
      <c r="AA5025">
        <v>161</v>
      </c>
      <c r="AB5025" t="s">
        <v>5416</v>
      </c>
      <c r="AC5025" t="str">
        <f>HYPERLINK("plots/3FT6Y578R04_015_S31P_20251219032831_M5358ACSA301811_RBGEUFRF04/dpll_52094/txpa_55212.png","plot")</f>
        <v>plot</v>
      </c>
    </row>
    <row r="5026" spans="1:29" hidden="1" x14ac:dyDescent="0.35">
      <c r="A5026" t="s">
        <v>50</v>
      </c>
      <c r="B5026">
        <v>52094</v>
      </c>
      <c r="C5026" t="s">
        <v>53</v>
      </c>
      <c r="D5026">
        <v>55213</v>
      </c>
      <c r="E5026" t="s">
        <v>346</v>
      </c>
      <c r="F5026">
        <v>11782</v>
      </c>
      <c r="G5026">
        <v>0.76069206749644858</v>
      </c>
      <c r="H5026">
        <v>0</v>
      </c>
      <c r="I5026">
        <v>0</v>
      </c>
      <c r="J5026">
        <v>0.68060631468367505</v>
      </c>
      <c r="K5026">
        <v>0</v>
      </c>
      <c r="L5026">
        <v>0</v>
      </c>
      <c r="M5026">
        <v>0.49493899560333898</v>
      </c>
      <c r="N5026">
        <v>0</v>
      </c>
      <c r="O5026">
        <v>0</v>
      </c>
      <c r="P5026">
        <v>0.57865242155202146</v>
      </c>
      <c r="Q5026">
        <v>1.0904057111755709</v>
      </c>
      <c r="R5026">
        <v>3.0777143413853119</v>
      </c>
      <c r="S5026">
        <v>0.2071811412273396</v>
      </c>
      <c r="T5026">
        <v>0.15826191608013179</v>
      </c>
      <c r="U5026">
        <v>4.2673938428959426</v>
      </c>
      <c r="V5026">
        <v>0.22267382584799689</v>
      </c>
      <c r="W5026">
        <v>7.730904959514513</v>
      </c>
      <c r="X5026">
        <v>0.319189356388423</v>
      </c>
      <c r="Z5026" t="s">
        <v>392</v>
      </c>
      <c r="AA5026">
        <v>161</v>
      </c>
      <c r="AB5026" t="s">
        <v>5417</v>
      </c>
      <c r="AC5026" t="str">
        <f>HYPERLINK("plots/3FT6Y578R04_015_S31P_20251219032831_M5358ACSA301811_RBGEUFRF04/dpll_52094/txpa_55213.png","plot")</f>
        <v>plot</v>
      </c>
    </row>
    <row r="5027" spans="1:29" hidden="1" x14ac:dyDescent="0.35">
      <c r="A5027" t="s">
        <v>50</v>
      </c>
      <c r="B5027">
        <v>52094</v>
      </c>
      <c r="C5027" t="s">
        <v>53</v>
      </c>
      <c r="D5027">
        <v>55214</v>
      </c>
      <c r="E5027" t="s">
        <v>347</v>
      </c>
      <c r="F5027">
        <v>11781</v>
      </c>
      <c r="G5027">
        <v>0.77455572979142007</v>
      </c>
      <c r="H5027">
        <v>0</v>
      </c>
      <c r="I5027">
        <v>0</v>
      </c>
      <c r="J5027">
        <v>0.69100491022295496</v>
      </c>
      <c r="K5027">
        <v>0</v>
      </c>
      <c r="L5027">
        <v>0</v>
      </c>
      <c r="M5027">
        <v>0.50466035871042714</v>
      </c>
      <c r="N5027">
        <v>0</v>
      </c>
      <c r="O5027">
        <v>0</v>
      </c>
      <c r="P5027">
        <v>0.59993657855271931</v>
      </c>
      <c r="Q5027">
        <v>1.11575973854972</v>
      </c>
      <c r="R5027">
        <v>2.9749199940584359</v>
      </c>
      <c r="S5027">
        <v>0.20288393050264281</v>
      </c>
      <c r="T5027">
        <v>0.15672619552940781</v>
      </c>
      <c r="U5027">
        <v>4.2674026018164843</v>
      </c>
      <c r="V5027">
        <v>0.22268124725346999</v>
      </c>
      <c r="W5027">
        <v>7.736316005347593</v>
      </c>
      <c r="X5027">
        <v>0.32077584692629513</v>
      </c>
      <c r="Z5027" t="s">
        <v>392</v>
      </c>
      <c r="AA5027">
        <v>161</v>
      </c>
      <c r="AB5027" t="s">
        <v>5418</v>
      </c>
      <c r="AC5027" t="str">
        <f>HYPERLINK("plots/3FT6Y578R04_015_S31P_20251219032831_M5358ACSA301811_RBGEUFRF04/dpll_52094/txpa_55214.png","plot")</f>
        <v>plot</v>
      </c>
    </row>
    <row r="5028" spans="1:29" hidden="1" x14ac:dyDescent="0.35">
      <c r="A5028" t="s">
        <v>50</v>
      </c>
      <c r="B5028">
        <v>52094</v>
      </c>
      <c r="C5028" t="s">
        <v>53</v>
      </c>
      <c r="D5028">
        <v>55215</v>
      </c>
      <c r="E5028" t="s">
        <v>348</v>
      </c>
      <c r="F5028">
        <v>11781</v>
      </c>
      <c r="G5028">
        <v>0.77617063066110548</v>
      </c>
      <c r="H5028">
        <v>0</v>
      </c>
      <c r="I5028">
        <v>0</v>
      </c>
      <c r="J5028">
        <v>0.68738885848392173</v>
      </c>
      <c r="K5028">
        <v>0</v>
      </c>
      <c r="L5028">
        <v>0</v>
      </c>
      <c r="M5028">
        <v>0.50017396031309325</v>
      </c>
      <c r="N5028">
        <v>0</v>
      </c>
      <c r="O5028">
        <v>0</v>
      </c>
      <c r="P5028">
        <v>0.60244084790085817</v>
      </c>
      <c r="Q5028">
        <v>1.114472013894261</v>
      </c>
      <c r="R5028">
        <v>2.958724271639753</v>
      </c>
      <c r="S5028">
        <v>0.20157590038579351</v>
      </c>
      <c r="T5028">
        <v>0.1562203131081974</v>
      </c>
      <c r="U5028">
        <v>4.2673648416942536</v>
      </c>
      <c r="V5028">
        <v>0.2226610238238293</v>
      </c>
      <c r="W5028">
        <v>7.7145829607843126</v>
      </c>
      <c r="X5028">
        <v>0.31970995788044559</v>
      </c>
      <c r="Z5028" t="s">
        <v>392</v>
      </c>
      <c r="AA5028">
        <v>161</v>
      </c>
      <c r="AB5028" t="s">
        <v>5419</v>
      </c>
      <c r="AC5028" t="str">
        <f>HYPERLINK("plots/3FT6Y578R04_015_S31P_20251219032831_M5358ACSA301811_RBGEUFRF04/dpll_52094/txpa_55215.png","plot")</f>
        <v>plot</v>
      </c>
    </row>
    <row r="5029" spans="1:29" hidden="1" x14ac:dyDescent="0.35">
      <c r="A5029" t="s">
        <v>50</v>
      </c>
      <c r="B5029">
        <v>52094</v>
      </c>
      <c r="C5029" t="s">
        <v>53</v>
      </c>
      <c r="D5029">
        <v>55216</v>
      </c>
      <c r="E5029" t="s">
        <v>349</v>
      </c>
      <c r="F5029">
        <v>11781</v>
      </c>
      <c r="G5029">
        <v>0.77991528393007536</v>
      </c>
      <c r="H5029">
        <v>0</v>
      </c>
      <c r="I5029">
        <v>0</v>
      </c>
      <c r="J5029">
        <v>0.69778383769325125</v>
      </c>
      <c r="K5029">
        <v>0</v>
      </c>
      <c r="L5029">
        <v>0</v>
      </c>
      <c r="M5029">
        <v>0.51031692528203321</v>
      </c>
      <c r="N5029">
        <v>0</v>
      </c>
      <c r="O5029">
        <v>0</v>
      </c>
      <c r="P5029">
        <v>0.6082678501077301</v>
      </c>
      <c r="Q5029">
        <v>1.128159751331856</v>
      </c>
      <c r="R5029">
        <v>2.9118863658391421</v>
      </c>
      <c r="S5029">
        <v>0.20157199918236671</v>
      </c>
      <c r="T5029">
        <v>0.15637513915973311</v>
      </c>
      <c r="U5029">
        <v>4.2673606822850356</v>
      </c>
      <c r="V5029">
        <v>0.2226541824443867</v>
      </c>
      <c r="W5029">
        <v>7.7261509320091672</v>
      </c>
      <c r="X5029">
        <v>0.32207278441023329</v>
      </c>
      <c r="Z5029" t="s">
        <v>392</v>
      </c>
      <c r="AA5029">
        <v>161</v>
      </c>
      <c r="AB5029" t="s">
        <v>5420</v>
      </c>
      <c r="AC5029" t="str">
        <f>HYPERLINK("plots/3FT6Y578R04_015_S31P_20251219032831_M5358ACSA301811_RBGEUFRF04/dpll_52094/txpa_55216.png","plot")</f>
        <v>plot</v>
      </c>
    </row>
    <row r="5030" spans="1:29" hidden="1" x14ac:dyDescent="0.35">
      <c r="A5030" t="s">
        <v>50</v>
      </c>
      <c r="B5030">
        <v>52094</v>
      </c>
      <c r="C5030" t="s">
        <v>53</v>
      </c>
      <c r="D5030">
        <v>55217</v>
      </c>
      <c r="E5030" t="s">
        <v>350</v>
      </c>
      <c r="F5030">
        <v>11782</v>
      </c>
      <c r="G5030">
        <v>0.77694603209571578</v>
      </c>
      <c r="H5030">
        <v>0</v>
      </c>
      <c r="I5030">
        <v>0</v>
      </c>
      <c r="J5030">
        <v>0.68937799177933334</v>
      </c>
      <c r="K5030">
        <v>0</v>
      </c>
      <c r="L5030">
        <v>0</v>
      </c>
      <c r="M5030">
        <v>0.50247038424337431</v>
      </c>
      <c r="N5030">
        <v>0</v>
      </c>
      <c r="O5030">
        <v>0</v>
      </c>
      <c r="P5030">
        <v>0.603645136789277</v>
      </c>
      <c r="Q5030">
        <v>1.1131886171862</v>
      </c>
      <c r="R5030">
        <v>2.9818801252896701</v>
      </c>
      <c r="S5030">
        <v>0.20084949272306879</v>
      </c>
      <c r="T5030">
        <v>0.15618614753908969</v>
      </c>
      <c r="U5030">
        <v>4.2673938428959426</v>
      </c>
      <c r="V5030">
        <v>0.22267382584799689</v>
      </c>
      <c r="W5030">
        <v>7.7322943762519092</v>
      </c>
      <c r="X5030">
        <v>0.31904142377903932</v>
      </c>
      <c r="Z5030" t="s">
        <v>392</v>
      </c>
      <c r="AA5030">
        <v>161</v>
      </c>
      <c r="AB5030" t="s">
        <v>5421</v>
      </c>
      <c r="AC5030" t="str">
        <f>HYPERLINK("plots/3FT6Y578R04_015_S31P_20251219032831_M5358ACSA301811_RBGEUFRF04/dpll_52094/txpa_55217.png","plot")</f>
        <v>plot</v>
      </c>
    </row>
    <row r="5031" spans="1:29" hidden="1" x14ac:dyDescent="0.35">
      <c r="A5031" t="s">
        <v>50</v>
      </c>
      <c r="B5031">
        <v>52094</v>
      </c>
      <c r="C5031" t="s">
        <v>53</v>
      </c>
      <c r="D5031">
        <v>55218</v>
      </c>
      <c r="E5031" t="s">
        <v>351</v>
      </c>
      <c r="F5031">
        <v>11781</v>
      </c>
      <c r="G5031">
        <v>0.76899462396346496</v>
      </c>
      <c r="H5031">
        <v>0</v>
      </c>
      <c r="I5031">
        <v>0</v>
      </c>
      <c r="J5031">
        <v>0.68245980542429607</v>
      </c>
      <c r="K5031">
        <v>0</v>
      </c>
      <c r="L5031">
        <v>0</v>
      </c>
      <c r="M5031">
        <v>0.49733285520080678</v>
      </c>
      <c r="N5031">
        <v>0</v>
      </c>
      <c r="O5031">
        <v>0</v>
      </c>
      <c r="P5031">
        <v>0.59135273168471092</v>
      </c>
      <c r="Q5031">
        <v>1.1073012328337331</v>
      </c>
      <c r="R5031">
        <v>2.9822629163870049</v>
      </c>
      <c r="S5031">
        <v>0.2049538314107755</v>
      </c>
      <c r="T5031">
        <v>0.15738020177508011</v>
      </c>
      <c r="U5031">
        <v>4.2674179181733303</v>
      </c>
      <c r="V5031">
        <v>0.22266794157249609</v>
      </c>
      <c r="W5031">
        <v>7.7075800381970971</v>
      </c>
      <c r="X5031">
        <v>0.32062706101244298</v>
      </c>
      <c r="Z5031" t="s">
        <v>392</v>
      </c>
      <c r="AA5031">
        <v>161</v>
      </c>
      <c r="AB5031" t="s">
        <v>5422</v>
      </c>
      <c r="AC5031" t="str">
        <f>HYPERLINK("plots/3FT6Y578R04_015_S31P_20251219032831_M5358ACSA301811_RBGEUFRF04/dpll_52094/txpa_55218.png","plot")</f>
        <v>plot</v>
      </c>
    </row>
    <row r="5032" spans="1:29" hidden="1" x14ac:dyDescent="0.35">
      <c r="A5032" t="s">
        <v>50</v>
      </c>
      <c r="B5032">
        <v>52094</v>
      </c>
      <c r="C5032" t="s">
        <v>53</v>
      </c>
      <c r="D5032">
        <v>55219</v>
      </c>
      <c r="E5032" t="s">
        <v>352</v>
      </c>
      <c r="F5032">
        <v>11782</v>
      </c>
      <c r="G5032">
        <v>0.76043964342812109</v>
      </c>
      <c r="H5032">
        <v>0</v>
      </c>
      <c r="I5032">
        <v>0</v>
      </c>
      <c r="J5032">
        <v>0.68587922910873367</v>
      </c>
      <c r="K5032">
        <v>0</v>
      </c>
      <c r="L5032">
        <v>0</v>
      </c>
      <c r="M5032">
        <v>0.49772190952877821</v>
      </c>
      <c r="N5032">
        <v>0</v>
      </c>
      <c r="O5032">
        <v>0</v>
      </c>
      <c r="P5032">
        <v>0.57826845129708793</v>
      </c>
      <c r="Q5032">
        <v>1.1385335661446649</v>
      </c>
      <c r="R5032">
        <v>3.860042428722434</v>
      </c>
      <c r="S5032">
        <v>0.21649599894140009</v>
      </c>
      <c r="T5032">
        <v>0.16318926909018749</v>
      </c>
      <c r="U5032">
        <v>4.2673938428959426</v>
      </c>
      <c r="V5032">
        <v>0.22267382584799689</v>
      </c>
      <c r="W5032">
        <v>8.7186135588185358</v>
      </c>
      <c r="X5032">
        <v>0.33338822774533522</v>
      </c>
      <c r="Z5032" t="s">
        <v>392</v>
      </c>
      <c r="AA5032">
        <v>161</v>
      </c>
      <c r="AB5032" t="s">
        <v>5423</v>
      </c>
      <c r="AC5032" t="str">
        <f>HYPERLINK("plots/3FT6Y578R04_015_S31P_20251219032831_M5358ACSA301811_RBGEUFRF04/dpll_52094/txpa_55219.png","plot")</f>
        <v>plot</v>
      </c>
    </row>
    <row r="5033" spans="1:29" hidden="1" x14ac:dyDescent="0.35">
      <c r="A5033" t="s">
        <v>50</v>
      </c>
      <c r="B5033">
        <v>52094</v>
      </c>
      <c r="C5033" t="s">
        <v>53</v>
      </c>
      <c r="D5033">
        <v>55220</v>
      </c>
      <c r="E5033" t="s">
        <v>353</v>
      </c>
      <c r="F5033">
        <v>11782</v>
      </c>
      <c r="G5033">
        <v>0.7786132484040279</v>
      </c>
      <c r="H5033">
        <v>0</v>
      </c>
      <c r="I5033">
        <v>0</v>
      </c>
      <c r="J5033">
        <v>0.69756650064563619</v>
      </c>
      <c r="K5033">
        <v>0</v>
      </c>
      <c r="L5033">
        <v>0</v>
      </c>
      <c r="M5033">
        <v>0.51072520817610634</v>
      </c>
      <c r="N5033">
        <v>0</v>
      </c>
      <c r="O5033">
        <v>0</v>
      </c>
      <c r="P5033">
        <v>0.60623859059027241</v>
      </c>
      <c r="Q5033">
        <v>1.1659194720286949</v>
      </c>
      <c r="R5033">
        <v>3.7732353582285758</v>
      </c>
      <c r="S5033">
        <v>0.2092252433109347</v>
      </c>
      <c r="T5033">
        <v>0.1603748268310341</v>
      </c>
      <c r="U5033">
        <v>4.2673938428959426</v>
      </c>
      <c r="V5033">
        <v>0.22267382584799689</v>
      </c>
      <c r="W5033">
        <v>8.7486729344763194</v>
      </c>
      <c r="X5033">
        <v>0.33343864877648161</v>
      </c>
      <c r="Z5033" t="s">
        <v>392</v>
      </c>
      <c r="AA5033">
        <v>161</v>
      </c>
      <c r="AB5033" t="s">
        <v>5424</v>
      </c>
      <c r="AC5033" t="str">
        <f>HYPERLINK("plots/3FT6Y578R04_015_S31P_20251219032831_M5358ACSA301811_RBGEUFRF04/dpll_52094/txpa_55220.png","plot")</f>
        <v>plot</v>
      </c>
    </row>
    <row r="5034" spans="1:29" hidden="1" x14ac:dyDescent="0.35">
      <c r="A5034" t="s">
        <v>50</v>
      </c>
      <c r="B5034">
        <v>52094</v>
      </c>
      <c r="C5034" t="s">
        <v>53</v>
      </c>
      <c r="D5034">
        <v>55221</v>
      </c>
      <c r="E5034" t="s">
        <v>354</v>
      </c>
      <c r="F5034">
        <v>11782</v>
      </c>
      <c r="G5034">
        <v>0.77141614963111527</v>
      </c>
      <c r="H5034">
        <v>0</v>
      </c>
      <c r="I5034">
        <v>0</v>
      </c>
      <c r="J5034">
        <v>0.68893235286731713</v>
      </c>
      <c r="K5034">
        <v>0</v>
      </c>
      <c r="L5034">
        <v>0</v>
      </c>
      <c r="M5034">
        <v>0.50222135457836092</v>
      </c>
      <c r="N5034">
        <v>0</v>
      </c>
      <c r="O5034">
        <v>0</v>
      </c>
      <c r="P5034">
        <v>0.59508287591169517</v>
      </c>
      <c r="Q5034">
        <v>1.1414627690250161</v>
      </c>
      <c r="R5034">
        <v>3.8912937280395989</v>
      </c>
      <c r="S5034">
        <v>0.2096557779386711</v>
      </c>
      <c r="T5034">
        <v>0.15967093842482649</v>
      </c>
      <c r="U5034">
        <v>4.2673938428959426</v>
      </c>
      <c r="V5034">
        <v>0.22267382584799689</v>
      </c>
      <c r="W5034">
        <v>8.7623649204719065</v>
      </c>
      <c r="X5034">
        <v>0.32948996720303608</v>
      </c>
      <c r="Z5034" t="s">
        <v>392</v>
      </c>
      <c r="AA5034">
        <v>161</v>
      </c>
      <c r="AB5034" t="s">
        <v>5425</v>
      </c>
      <c r="AC5034" t="str">
        <f>HYPERLINK("plots/3FT6Y578R04_015_S31P_20251219032831_M5358ACSA301811_RBGEUFRF04/dpll_52094/txpa_55221.png","plot")</f>
        <v>plot</v>
      </c>
    </row>
    <row r="5035" spans="1:29" hidden="1" x14ac:dyDescent="0.35">
      <c r="A5035" t="s">
        <v>50</v>
      </c>
      <c r="B5035">
        <v>52094</v>
      </c>
      <c r="C5035" t="s">
        <v>53</v>
      </c>
      <c r="D5035">
        <v>55222</v>
      </c>
      <c r="E5035" t="s">
        <v>355</v>
      </c>
      <c r="F5035">
        <v>11781</v>
      </c>
      <c r="G5035">
        <v>0.78444047722008881</v>
      </c>
      <c r="H5035">
        <v>0</v>
      </c>
      <c r="I5035">
        <v>0</v>
      </c>
      <c r="J5035">
        <v>0.69863366799394044</v>
      </c>
      <c r="K5035">
        <v>0</v>
      </c>
      <c r="L5035">
        <v>0</v>
      </c>
      <c r="M5035">
        <v>0.51141416089939284</v>
      </c>
      <c r="N5035">
        <v>0</v>
      </c>
      <c r="O5035">
        <v>0</v>
      </c>
      <c r="P5035">
        <v>0.61534686230128066</v>
      </c>
      <c r="Q5035">
        <v>1.1668927360189669</v>
      </c>
      <c r="R5035">
        <v>3.787719678776448</v>
      </c>
      <c r="S5035">
        <v>0.2054332766677906</v>
      </c>
      <c r="T5035">
        <v>0.15835001057398351</v>
      </c>
      <c r="U5035">
        <v>4.2674026018164843</v>
      </c>
      <c r="V5035">
        <v>0.22268124725346999</v>
      </c>
      <c r="W5035">
        <v>8.7673207765045422</v>
      </c>
      <c r="X5035">
        <v>0.33124900794074319</v>
      </c>
      <c r="Z5035" t="s">
        <v>392</v>
      </c>
      <c r="AA5035">
        <v>161</v>
      </c>
      <c r="AB5035" t="s">
        <v>5426</v>
      </c>
      <c r="AC5035" t="str">
        <f>HYPERLINK("plots/3FT6Y578R04_015_S31P_20251219032831_M5358ACSA301811_RBGEUFRF04/dpll_52094/txpa_55222.png","plot")</f>
        <v>plot</v>
      </c>
    </row>
    <row r="5036" spans="1:29" hidden="1" x14ac:dyDescent="0.35">
      <c r="A5036" t="s">
        <v>50</v>
      </c>
      <c r="B5036">
        <v>52094</v>
      </c>
      <c r="C5036" t="s">
        <v>53</v>
      </c>
      <c r="D5036">
        <v>55223</v>
      </c>
      <c r="E5036" t="s">
        <v>356</v>
      </c>
      <c r="F5036">
        <v>11781</v>
      </c>
      <c r="G5036">
        <v>0.78625865650065174</v>
      </c>
      <c r="H5036">
        <v>0</v>
      </c>
      <c r="I5036">
        <v>0</v>
      </c>
      <c r="J5036">
        <v>0.69530998959039803</v>
      </c>
      <c r="K5036">
        <v>0</v>
      </c>
      <c r="L5036">
        <v>0</v>
      </c>
      <c r="M5036">
        <v>0.50718553650514075</v>
      </c>
      <c r="N5036">
        <v>0</v>
      </c>
      <c r="O5036">
        <v>0</v>
      </c>
      <c r="P5036">
        <v>0.61820267492220982</v>
      </c>
      <c r="Q5036">
        <v>1.166050915198015</v>
      </c>
      <c r="R5036">
        <v>3.7690553530290258</v>
      </c>
      <c r="S5036">
        <v>0.2040301194310763</v>
      </c>
      <c r="T5036">
        <v>0.15777332612878769</v>
      </c>
      <c r="U5036">
        <v>4.2673648416942536</v>
      </c>
      <c r="V5036">
        <v>0.2226610238238293</v>
      </c>
      <c r="W5036">
        <v>8.7450200321704443</v>
      </c>
      <c r="X5036">
        <v>0.33021460363214211</v>
      </c>
      <c r="Z5036" t="s">
        <v>392</v>
      </c>
      <c r="AA5036">
        <v>161</v>
      </c>
      <c r="AB5036" t="s">
        <v>5427</v>
      </c>
      <c r="AC5036" t="str">
        <f>HYPERLINK("plots/3FT6Y578R04_015_S31P_20251219032831_M5358ACSA301811_RBGEUFRF04/dpll_52094/txpa_55223.png","plot")</f>
        <v>plot</v>
      </c>
    </row>
    <row r="5037" spans="1:29" hidden="1" x14ac:dyDescent="0.35">
      <c r="A5037" t="s">
        <v>50</v>
      </c>
      <c r="B5037">
        <v>52094</v>
      </c>
      <c r="C5037" t="s">
        <v>53</v>
      </c>
      <c r="D5037">
        <v>55224</v>
      </c>
      <c r="E5037" t="s">
        <v>357</v>
      </c>
      <c r="F5037">
        <v>11781</v>
      </c>
      <c r="G5037">
        <v>0.78950117136298636</v>
      </c>
      <c r="H5037">
        <v>0</v>
      </c>
      <c r="I5037">
        <v>0</v>
      </c>
      <c r="J5037">
        <v>0.70491229793417598</v>
      </c>
      <c r="K5037">
        <v>0</v>
      </c>
      <c r="L5037">
        <v>0</v>
      </c>
      <c r="M5037">
        <v>0.51673993406864005</v>
      </c>
      <c r="N5037">
        <v>0</v>
      </c>
      <c r="O5037">
        <v>0</v>
      </c>
      <c r="P5037">
        <v>0.62331209958352751</v>
      </c>
      <c r="Q5037">
        <v>1.179139542732192</v>
      </c>
      <c r="R5037">
        <v>3.7256123772574221</v>
      </c>
      <c r="S5037">
        <v>0.2040871613379141</v>
      </c>
      <c r="T5037">
        <v>0.15807017595671269</v>
      </c>
      <c r="U5037">
        <v>4.2673606822850356</v>
      </c>
      <c r="V5037">
        <v>0.2226541824443867</v>
      </c>
      <c r="W5037">
        <v>8.7574261008403358</v>
      </c>
      <c r="X5037">
        <v>0.332539533059384</v>
      </c>
      <c r="Z5037" t="s">
        <v>392</v>
      </c>
      <c r="AA5037">
        <v>161</v>
      </c>
      <c r="AB5037" t="s">
        <v>5428</v>
      </c>
      <c r="AC5037" t="str">
        <f>HYPERLINK("plots/3FT6Y578R04_015_S31P_20251219032831_M5358ACSA301811_RBGEUFRF04/dpll_52094/txpa_55224.png","plot")</f>
        <v>plot</v>
      </c>
    </row>
    <row r="5038" spans="1:29" hidden="1" x14ac:dyDescent="0.35">
      <c r="A5038" t="s">
        <v>50</v>
      </c>
      <c r="B5038">
        <v>52094</v>
      </c>
      <c r="C5038" t="s">
        <v>53</v>
      </c>
      <c r="D5038">
        <v>55225</v>
      </c>
      <c r="E5038" t="s">
        <v>358</v>
      </c>
      <c r="F5038">
        <v>11782</v>
      </c>
      <c r="G5038">
        <v>0.78694342842845633</v>
      </c>
      <c r="H5038">
        <v>0</v>
      </c>
      <c r="I5038">
        <v>0</v>
      </c>
      <c r="J5038">
        <v>0.6967954500750394</v>
      </c>
      <c r="K5038">
        <v>0</v>
      </c>
      <c r="L5038">
        <v>0</v>
      </c>
      <c r="M5038">
        <v>0.50909627839504101</v>
      </c>
      <c r="N5038">
        <v>0</v>
      </c>
      <c r="O5038">
        <v>0</v>
      </c>
      <c r="P5038">
        <v>0.61927995954673298</v>
      </c>
      <c r="Q5038">
        <v>1.1644374300052169</v>
      </c>
      <c r="R5038">
        <v>3.7946513985819599</v>
      </c>
      <c r="S5038">
        <v>0.2032947918758109</v>
      </c>
      <c r="T5038">
        <v>0.157697498718154</v>
      </c>
      <c r="U5038">
        <v>4.2673938428959426</v>
      </c>
      <c r="V5038">
        <v>0.22267382584799689</v>
      </c>
      <c r="W5038">
        <v>8.7637645178237982</v>
      </c>
      <c r="X5038">
        <v>0.32948967884219832</v>
      </c>
      <c r="Z5038" t="s">
        <v>392</v>
      </c>
      <c r="AA5038">
        <v>161</v>
      </c>
      <c r="AB5038" t="s">
        <v>5429</v>
      </c>
      <c r="AC5038" t="str">
        <f>HYPERLINK("plots/3FT6Y578R04_015_S31P_20251219032831_M5358ACSA301811_RBGEUFRF04/dpll_52094/txpa_55225.png","plot")</f>
        <v>plot</v>
      </c>
    </row>
    <row r="5039" spans="1:29" hidden="1" x14ac:dyDescent="0.35">
      <c r="A5039" t="s">
        <v>50</v>
      </c>
      <c r="B5039">
        <v>52094</v>
      </c>
      <c r="C5039" t="s">
        <v>53</v>
      </c>
      <c r="D5039">
        <v>55226</v>
      </c>
      <c r="E5039" t="s">
        <v>359</v>
      </c>
      <c r="F5039">
        <v>11781</v>
      </c>
      <c r="G5039">
        <v>0.77925303428362847</v>
      </c>
      <c r="H5039">
        <v>0</v>
      </c>
      <c r="I5039">
        <v>0</v>
      </c>
      <c r="J5039">
        <v>0.69000194996372766</v>
      </c>
      <c r="K5039">
        <v>0</v>
      </c>
      <c r="L5039">
        <v>0</v>
      </c>
      <c r="M5039">
        <v>0.50396106564281684</v>
      </c>
      <c r="N5039">
        <v>0</v>
      </c>
      <c r="O5039">
        <v>0</v>
      </c>
      <c r="P5039">
        <v>0.6072352914402418</v>
      </c>
      <c r="Q5039">
        <v>1.1579795265179069</v>
      </c>
      <c r="R5039">
        <v>3.7991516081835082</v>
      </c>
      <c r="S5039">
        <v>0.20736137761322751</v>
      </c>
      <c r="T5039">
        <v>0.1589393269650822</v>
      </c>
      <c r="U5039">
        <v>4.2674179181733303</v>
      </c>
      <c r="V5039">
        <v>0.22266794157249609</v>
      </c>
      <c r="W5039">
        <v>8.7407341885238949</v>
      </c>
      <c r="X5039">
        <v>0.33088728077892449</v>
      </c>
      <c r="Z5039" t="s">
        <v>392</v>
      </c>
      <c r="AA5039">
        <v>161</v>
      </c>
      <c r="AB5039" t="s">
        <v>5430</v>
      </c>
      <c r="AC5039" t="str">
        <f>HYPERLINK("plots/3FT6Y578R04_015_S31P_20251219032831_M5358ACSA301811_RBGEUFRF04/dpll_52094/txpa_55226.png","plot")</f>
        <v>plot</v>
      </c>
    </row>
    <row r="5040" spans="1:29" hidden="1" x14ac:dyDescent="0.35">
      <c r="A5040" t="s">
        <v>50</v>
      </c>
      <c r="B5040">
        <v>52094</v>
      </c>
      <c r="C5040" t="s">
        <v>53</v>
      </c>
      <c r="D5040">
        <v>55227</v>
      </c>
      <c r="E5040" t="s">
        <v>360</v>
      </c>
      <c r="F5040">
        <v>11782</v>
      </c>
      <c r="G5040">
        <v>0.76352604572351013</v>
      </c>
      <c r="H5040">
        <v>0</v>
      </c>
      <c r="I5040">
        <v>0</v>
      </c>
      <c r="J5040">
        <v>0.68795111468508208</v>
      </c>
      <c r="K5040">
        <v>0</v>
      </c>
      <c r="L5040">
        <v>0</v>
      </c>
      <c r="M5040">
        <v>0.49957590080266279</v>
      </c>
      <c r="N5040">
        <v>0</v>
      </c>
      <c r="O5040">
        <v>0</v>
      </c>
      <c r="P5040">
        <v>0.5829720224981797</v>
      </c>
      <c r="Q5040">
        <v>1.1582804664701261</v>
      </c>
      <c r="R5040">
        <v>4.2835047598382694</v>
      </c>
      <c r="S5040">
        <v>0.2181339238083925</v>
      </c>
      <c r="T5040">
        <v>0.1642287993049355</v>
      </c>
      <c r="U5040">
        <v>4.2673938428959426</v>
      </c>
      <c r="V5040">
        <v>0.22267382584799689</v>
      </c>
      <c r="W5040">
        <v>9.2263436907995242</v>
      </c>
      <c r="X5040">
        <v>0.33779953456532558</v>
      </c>
      <c r="Z5040" t="s">
        <v>392</v>
      </c>
      <c r="AA5040">
        <v>161</v>
      </c>
      <c r="AB5040" t="s">
        <v>5431</v>
      </c>
      <c r="AC5040" t="str">
        <f>HYPERLINK("plots/3FT6Y578R04_015_S31P_20251219032831_M5358ACSA301811_RBGEUFRF04/dpll_52094/txpa_55227.png","plot")</f>
        <v>plot</v>
      </c>
    </row>
    <row r="5041" spans="1:29" hidden="1" x14ac:dyDescent="0.35">
      <c r="A5041" t="s">
        <v>50</v>
      </c>
      <c r="B5041">
        <v>52094</v>
      </c>
      <c r="C5041" t="s">
        <v>53</v>
      </c>
      <c r="D5041">
        <v>55228</v>
      </c>
      <c r="E5041" t="s">
        <v>361</v>
      </c>
      <c r="F5041">
        <v>11782</v>
      </c>
      <c r="G5041">
        <v>0.78133509797439782</v>
      </c>
      <c r="H5041">
        <v>0</v>
      </c>
      <c r="I5041">
        <v>0</v>
      </c>
      <c r="J5041">
        <v>0.69957295778005824</v>
      </c>
      <c r="K5041">
        <v>0</v>
      </c>
      <c r="L5041">
        <v>0</v>
      </c>
      <c r="M5041">
        <v>0.5125415701215944</v>
      </c>
      <c r="N5041">
        <v>0</v>
      </c>
      <c r="O5041">
        <v>0</v>
      </c>
      <c r="P5041">
        <v>0.6104845353266618</v>
      </c>
      <c r="Q5041">
        <v>1.1855503741383531</v>
      </c>
      <c r="R5041">
        <v>4.1966472810662934</v>
      </c>
      <c r="S5041">
        <v>0.21086076152056821</v>
      </c>
      <c r="T5041">
        <v>0.16138115736969871</v>
      </c>
      <c r="U5041">
        <v>4.2673938428959426</v>
      </c>
      <c r="V5041">
        <v>0.22267382584799689</v>
      </c>
      <c r="W5041">
        <v>9.2558576481072823</v>
      </c>
      <c r="X5041">
        <v>0.33787172524222281</v>
      </c>
      <c r="Z5041" t="s">
        <v>392</v>
      </c>
      <c r="AA5041">
        <v>161</v>
      </c>
      <c r="AB5041" t="s">
        <v>5432</v>
      </c>
      <c r="AC5041" t="str">
        <f>HYPERLINK("plots/3FT6Y578R04_015_S31P_20251219032831_M5358ACSA301811_RBGEUFRF04/dpll_52094/txpa_55228.png","plot")</f>
        <v>plot</v>
      </c>
    </row>
    <row r="5042" spans="1:29" hidden="1" x14ac:dyDescent="0.35">
      <c r="A5042" t="s">
        <v>50</v>
      </c>
      <c r="B5042">
        <v>52094</v>
      </c>
      <c r="C5042" t="s">
        <v>53</v>
      </c>
      <c r="D5042">
        <v>55229</v>
      </c>
      <c r="E5042" t="s">
        <v>362</v>
      </c>
      <c r="F5042">
        <v>11782</v>
      </c>
      <c r="G5042">
        <v>0.77437199614917052</v>
      </c>
      <c r="H5042">
        <v>0</v>
      </c>
      <c r="I5042">
        <v>0</v>
      </c>
      <c r="J5042">
        <v>0.69097074589892427</v>
      </c>
      <c r="K5042">
        <v>0</v>
      </c>
      <c r="L5042">
        <v>0</v>
      </c>
      <c r="M5042">
        <v>0.50402551077792057</v>
      </c>
      <c r="N5042">
        <v>0</v>
      </c>
      <c r="O5042">
        <v>0</v>
      </c>
      <c r="P5042">
        <v>0.59965198842005096</v>
      </c>
      <c r="Q5042">
        <v>1.161392475797685</v>
      </c>
      <c r="R5042">
        <v>4.3134200556808366</v>
      </c>
      <c r="S5042">
        <v>0.21129973223603041</v>
      </c>
      <c r="T5042">
        <v>0.16070251711543521</v>
      </c>
      <c r="U5042">
        <v>4.2673938428959426</v>
      </c>
      <c r="V5042">
        <v>0.22267382584799689</v>
      </c>
      <c r="W5042">
        <v>9.2695391560855533</v>
      </c>
      <c r="X5042">
        <v>0.33396314327349469</v>
      </c>
      <c r="Z5042" t="s">
        <v>392</v>
      </c>
      <c r="AA5042">
        <v>161</v>
      </c>
      <c r="AB5042" t="s">
        <v>5433</v>
      </c>
      <c r="AC5042" t="str">
        <f>HYPERLINK("plots/3FT6Y578R04_015_S31P_20251219032831_M5358ACSA301811_RBGEUFRF04/dpll_52094/txpa_55229.png","plot")</f>
        <v>plot</v>
      </c>
    </row>
    <row r="5043" spans="1:29" hidden="1" x14ac:dyDescent="0.35">
      <c r="A5043" t="s">
        <v>50</v>
      </c>
      <c r="B5043">
        <v>52094</v>
      </c>
      <c r="C5043" t="s">
        <v>53</v>
      </c>
      <c r="D5043">
        <v>55230</v>
      </c>
      <c r="E5043" t="s">
        <v>363</v>
      </c>
      <c r="F5043">
        <v>11781</v>
      </c>
      <c r="G5043">
        <v>0.78718622176304354</v>
      </c>
      <c r="H5043">
        <v>0</v>
      </c>
      <c r="I5043">
        <v>0</v>
      </c>
      <c r="J5043">
        <v>0.7006467988673879</v>
      </c>
      <c r="K5043">
        <v>0</v>
      </c>
      <c r="L5043">
        <v>0</v>
      </c>
      <c r="M5043">
        <v>0.51326018555934561</v>
      </c>
      <c r="N5043">
        <v>0</v>
      </c>
      <c r="O5043">
        <v>0</v>
      </c>
      <c r="P5043">
        <v>0.61966214773357553</v>
      </c>
      <c r="Q5043">
        <v>1.186567134137388</v>
      </c>
      <c r="R5043">
        <v>4.2107594815846916</v>
      </c>
      <c r="S5043">
        <v>0.20699736555476289</v>
      </c>
      <c r="T5043">
        <v>0.1593504393643769</v>
      </c>
      <c r="U5043">
        <v>4.2674026018164843</v>
      </c>
      <c r="V5043">
        <v>0.22268124725346999</v>
      </c>
      <c r="W5043">
        <v>9.2743191570325099</v>
      </c>
      <c r="X5043">
        <v>0.33565913893653671</v>
      </c>
      <c r="Z5043" t="s">
        <v>392</v>
      </c>
      <c r="AA5043">
        <v>161</v>
      </c>
      <c r="AB5043" t="s">
        <v>5434</v>
      </c>
      <c r="AC5043" t="str">
        <f>HYPERLINK("plots/3FT6Y578R04_015_S31P_20251219032831_M5358ACSA301811_RBGEUFRF04/dpll_52094/txpa_55230.png","plot")</f>
        <v>plot</v>
      </c>
    </row>
    <row r="5044" spans="1:29" hidden="1" x14ac:dyDescent="0.35">
      <c r="A5044" t="s">
        <v>50</v>
      </c>
      <c r="B5044">
        <v>52094</v>
      </c>
      <c r="C5044" t="s">
        <v>53</v>
      </c>
      <c r="D5044">
        <v>55231</v>
      </c>
      <c r="E5044" t="s">
        <v>364</v>
      </c>
      <c r="F5044">
        <v>11781</v>
      </c>
      <c r="G5044">
        <v>0.78905063279419285</v>
      </c>
      <c r="H5044">
        <v>0</v>
      </c>
      <c r="I5044">
        <v>0</v>
      </c>
      <c r="J5044">
        <v>0.69734727317063505</v>
      </c>
      <c r="K5044">
        <v>0</v>
      </c>
      <c r="L5044">
        <v>0</v>
      </c>
      <c r="M5044">
        <v>0.50905647550383404</v>
      </c>
      <c r="N5044">
        <v>0</v>
      </c>
      <c r="O5044">
        <v>0</v>
      </c>
      <c r="P5044">
        <v>0.62260090111291622</v>
      </c>
      <c r="Q5044">
        <v>1.1860226141843571</v>
      </c>
      <c r="R5044">
        <v>4.1904105068541382</v>
      </c>
      <c r="S5044">
        <v>0.2055958271416658</v>
      </c>
      <c r="T5044">
        <v>0.1587933652316072</v>
      </c>
      <c r="U5044">
        <v>4.2673648416942536</v>
      </c>
      <c r="V5044">
        <v>0.2226610238238293</v>
      </c>
      <c r="W5044">
        <v>9.2516017120787719</v>
      </c>
      <c r="X5044">
        <v>0.33468195648907528</v>
      </c>
      <c r="Z5044" t="s">
        <v>392</v>
      </c>
      <c r="AA5044">
        <v>161</v>
      </c>
      <c r="AB5044" t="s">
        <v>5435</v>
      </c>
      <c r="AC5044" t="str">
        <f>HYPERLINK("plots/3FT6Y578R04_015_S31P_20251219032831_M5358ACSA301811_RBGEUFRF04/dpll_52094/txpa_55231.png","plot")</f>
        <v>plot</v>
      </c>
    </row>
    <row r="5045" spans="1:29" hidden="1" x14ac:dyDescent="0.35">
      <c r="A5045" t="s">
        <v>50</v>
      </c>
      <c r="B5045">
        <v>52094</v>
      </c>
      <c r="C5045" t="s">
        <v>53</v>
      </c>
      <c r="D5045">
        <v>55232</v>
      </c>
      <c r="E5045" t="s">
        <v>365</v>
      </c>
      <c r="F5045">
        <v>11781</v>
      </c>
      <c r="G5045">
        <v>0.79216686657807533</v>
      </c>
      <c r="H5045">
        <v>0</v>
      </c>
      <c r="I5045">
        <v>0</v>
      </c>
      <c r="J5045">
        <v>0.70658934205326385</v>
      </c>
      <c r="K5045">
        <v>0</v>
      </c>
      <c r="L5045">
        <v>0</v>
      </c>
      <c r="M5045">
        <v>0.51832342861248148</v>
      </c>
      <c r="N5045">
        <v>0</v>
      </c>
      <c r="O5045">
        <v>0</v>
      </c>
      <c r="P5045">
        <v>0.6275283445041262</v>
      </c>
      <c r="Q5045">
        <v>1.198814829268573</v>
      </c>
      <c r="R5045">
        <v>4.1485080529248961</v>
      </c>
      <c r="S5045">
        <v>0.20563378639198271</v>
      </c>
      <c r="T5045">
        <v>0.1590633002817223</v>
      </c>
      <c r="U5045">
        <v>4.2673606822850356</v>
      </c>
      <c r="V5045">
        <v>0.2226541824443867</v>
      </c>
      <c r="W5045">
        <v>9.2642833206858501</v>
      </c>
      <c r="X5045">
        <v>0.33695064382839041</v>
      </c>
      <c r="Z5045" t="s">
        <v>392</v>
      </c>
      <c r="AA5045">
        <v>161</v>
      </c>
      <c r="AB5045" t="s">
        <v>5436</v>
      </c>
      <c r="AC5045" t="str">
        <f>HYPERLINK("plots/3FT6Y578R04_015_S31P_20251219032831_M5358ACSA301811_RBGEUFRF04/dpll_52094/txpa_55232.png","plot")</f>
        <v>plot</v>
      </c>
    </row>
    <row r="5046" spans="1:29" hidden="1" x14ac:dyDescent="0.35">
      <c r="A5046" t="s">
        <v>50</v>
      </c>
      <c r="B5046">
        <v>52094</v>
      </c>
      <c r="C5046" t="s">
        <v>53</v>
      </c>
      <c r="D5046">
        <v>55233</v>
      </c>
      <c r="E5046" t="s">
        <v>366</v>
      </c>
      <c r="F5046">
        <v>11782</v>
      </c>
      <c r="G5046">
        <v>0.78972323798080901</v>
      </c>
      <c r="H5046">
        <v>0</v>
      </c>
      <c r="I5046">
        <v>0</v>
      </c>
      <c r="J5046">
        <v>0.69879887847479905</v>
      </c>
      <c r="K5046">
        <v>0</v>
      </c>
      <c r="L5046">
        <v>0</v>
      </c>
      <c r="M5046">
        <v>0.51094821084967768</v>
      </c>
      <c r="N5046">
        <v>0</v>
      </c>
      <c r="O5046">
        <v>0</v>
      </c>
      <c r="P5046">
        <v>0.6236627926068935</v>
      </c>
      <c r="Q5046">
        <v>1.184304074743382</v>
      </c>
      <c r="R5046">
        <v>4.2168691412932997</v>
      </c>
      <c r="S5046">
        <v>0.20484606450746759</v>
      </c>
      <c r="T5046">
        <v>0.15865363925181949</v>
      </c>
      <c r="U5046">
        <v>4.2673938428959426</v>
      </c>
      <c r="V5046">
        <v>0.22267382584799689</v>
      </c>
      <c r="W5046">
        <v>9.2707610579697857</v>
      </c>
      <c r="X5046">
        <v>0.33393156818425718</v>
      </c>
      <c r="Z5046" t="s">
        <v>392</v>
      </c>
      <c r="AA5046">
        <v>161</v>
      </c>
      <c r="AB5046" t="s">
        <v>5437</v>
      </c>
      <c r="AC5046" t="str">
        <f>HYPERLINK("plots/3FT6Y578R04_015_S31P_20251219032831_M5358ACSA301811_RBGEUFRF04/dpll_52094/txpa_55233.png","plot")</f>
        <v>plot</v>
      </c>
    </row>
    <row r="5047" spans="1:29" hidden="1" x14ac:dyDescent="0.35">
      <c r="A5047" t="s">
        <v>50</v>
      </c>
      <c r="B5047">
        <v>52094</v>
      </c>
      <c r="C5047" t="s">
        <v>53</v>
      </c>
      <c r="D5047">
        <v>55234</v>
      </c>
      <c r="E5047" t="s">
        <v>367</v>
      </c>
      <c r="F5047">
        <v>11781</v>
      </c>
      <c r="G5047">
        <v>0.78200701296117758</v>
      </c>
      <c r="H5047">
        <v>0</v>
      </c>
      <c r="I5047">
        <v>0</v>
      </c>
      <c r="J5047">
        <v>0.6916354632447026</v>
      </c>
      <c r="K5047">
        <v>0</v>
      </c>
      <c r="L5047">
        <v>0</v>
      </c>
      <c r="M5047">
        <v>0.50546602600629043</v>
      </c>
      <c r="N5047">
        <v>0</v>
      </c>
      <c r="O5047">
        <v>0</v>
      </c>
      <c r="P5047">
        <v>0.61153496832046339</v>
      </c>
      <c r="Q5047">
        <v>1.177386460797812</v>
      </c>
      <c r="R5047">
        <v>4.2239785660227938</v>
      </c>
      <c r="S5047">
        <v>0.208940974909162</v>
      </c>
      <c r="T5047">
        <v>0.15992587825166479</v>
      </c>
      <c r="U5047">
        <v>4.2674179181733303</v>
      </c>
      <c r="V5047">
        <v>0.22266794157249609</v>
      </c>
      <c r="W5047">
        <v>9.2483786454460581</v>
      </c>
      <c r="X5047">
        <v>0.3352479137858963</v>
      </c>
      <c r="Z5047" t="s">
        <v>392</v>
      </c>
      <c r="AA5047">
        <v>161</v>
      </c>
      <c r="AB5047" t="s">
        <v>5438</v>
      </c>
      <c r="AC5047" t="str">
        <f>HYPERLINK("plots/3FT6Y578R04_015_S31P_20251219032831_M5358ACSA301811_RBGEUFRF04/dpll_52094/txpa_55234.png","plot")</f>
        <v>plot</v>
      </c>
    </row>
    <row r="5048" spans="1:29" hidden="1" x14ac:dyDescent="0.35">
      <c r="A5048" t="s">
        <v>50</v>
      </c>
      <c r="B5048">
        <v>52094</v>
      </c>
      <c r="C5048" t="s">
        <v>53</v>
      </c>
      <c r="D5048">
        <v>55235</v>
      </c>
      <c r="E5048" t="s">
        <v>368</v>
      </c>
      <c r="F5048">
        <v>11782</v>
      </c>
      <c r="G5048">
        <v>0.7660954202540472</v>
      </c>
      <c r="H5048">
        <v>0</v>
      </c>
      <c r="I5048">
        <v>0</v>
      </c>
      <c r="J5048">
        <v>0.6896718399216617</v>
      </c>
      <c r="K5048">
        <v>0</v>
      </c>
      <c r="L5048">
        <v>0</v>
      </c>
      <c r="M5048">
        <v>0.50108624119514455</v>
      </c>
      <c r="N5048">
        <v>0</v>
      </c>
      <c r="O5048">
        <v>0</v>
      </c>
      <c r="P5048">
        <v>0.58690219293422519</v>
      </c>
      <c r="Q5048">
        <v>1.175143647071305</v>
      </c>
      <c r="R5048">
        <v>4.6927792423352734</v>
      </c>
      <c r="S5048">
        <v>0.21952565190012779</v>
      </c>
      <c r="T5048">
        <v>0.16505826699890969</v>
      </c>
      <c r="U5048">
        <v>4.2673938428959426</v>
      </c>
      <c r="V5048">
        <v>0.22267382584799689</v>
      </c>
      <c r="W5048">
        <v>9.7075800063656423</v>
      </c>
      <c r="X5048">
        <v>0.3415680669746875</v>
      </c>
      <c r="Z5048" t="s">
        <v>392</v>
      </c>
      <c r="AA5048">
        <v>161</v>
      </c>
      <c r="AB5048" t="s">
        <v>5439</v>
      </c>
      <c r="AC5048" t="str">
        <f>HYPERLINK("plots/3FT6Y578R04_015_S31P_20251219032831_M5358ACSA301811_RBGEUFRF04/dpll_52094/txpa_55235.png","plot")</f>
        <v>plot</v>
      </c>
    </row>
    <row r="5049" spans="1:29" hidden="1" x14ac:dyDescent="0.35">
      <c r="A5049" t="s">
        <v>50</v>
      </c>
      <c r="B5049">
        <v>52094</v>
      </c>
      <c r="C5049" t="s">
        <v>53</v>
      </c>
      <c r="D5049">
        <v>55236</v>
      </c>
      <c r="E5049" t="s">
        <v>369</v>
      </c>
      <c r="F5049">
        <v>11782</v>
      </c>
      <c r="G5049">
        <v>0.78365814617736362</v>
      </c>
      <c r="H5049">
        <v>0</v>
      </c>
      <c r="I5049">
        <v>0</v>
      </c>
      <c r="J5049">
        <v>0.70107733168226516</v>
      </c>
      <c r="K5049">
        <v>0</v>
      </c>
      <c r="L5049">
        <v>0</v>
      </c>
      <c r="M5049">
        <v>0.51390026576907721</v>
      </c>
      <c r="N5049">
        <v>0</v>
      </c>
      <c r="O5049">
        <v>0</v>
      </c>
      <c r="P5049">
        <v>0.61412009007014223</v>
      </c>
      <c r="Q5049">
        <v>1.2025505002115959</v>
      </c>
      <c r="R5049">
        <v>4.6053972297902579</v>
      </c>
      <c r="S5049">
        <v>0.21225283262335651</v>
      </c>
      <c r="T5049">
        <v>0.16224816533739139</v>
      </c>
      <c r="U5049">
        <v>4.2673938428959426</v>
      </c>
      <c r="V5049">
        <v>0.22267382584799689</v>
      </c>
      <c r="W5049">
        <v>9.7371538301646581</v>
      </c>
      <c r="X5049">
        <v>0.34170067900619128</v>
      </c>
      <c r="Z5049" t="s">
        <v>392</v>
      </c>
      <c r="AA5049">
        <v>161</v>
      </c>
      <c r="AB5049" t="s">
        <v>5440</v>
      </c>
      <c r="AC5049" t="str">
        <f>HYPERLINK("plots/3FT6Y578R04_015_S31P_20251219032831_M5358ACSA301811_RBGEUFRF04/dpll_52094/txpa_55236.png","plot")</f>
        <v>plot</v>
      </c>
    </row>
    <row r="5050" spans="1:29" hidden="1" x14ac:dyDescent="0.35">
      <c r="A5050" t="s">
        <v>50</v>
      </c>
      <c r="B5050">
        <v>52094</v>
      </c>
      <c r="C5050" t="s">
        <v>53</v>
      </c>
      <c r="D5050">
        <v>55237</v>
      </c>
      <c r="E5050" t="s">
        <v>370</v>
      </c>
      <c r="F5050">
        <v>11782</v>
      </c>
      <c r="G5050">
        <v>0.77699360058673284</v>
      </c>
      <c r="H5050">
        <v>0</v>
      </c>
      <c r="I5050">
        <v>0</v>
      </c>
      <c r="J5050">
        <v>0.69267176826560872</v>
      </c>
      <c r="K5050">
        <v>0</v>
      </c>
      <c r="L5050">
        <v>0</v>
      </c>
      <c r="M5050">
        <v>0.50550656579759401</v>
      </c>
      <c r="N5050">
        <v>0</v>
      </c>
      <c r="O5050">
        <v>0</v>
      </c>
      <c r="P5050">
        <v>0.60371905535273529</v>
      </c>
      <c r="Q5050">
        <v>1.1783089067253101</v>
      </c>
      <c r="R5050">
        <v>4.722790231011202</v>
      </c>
      <c r="S5050">
        <v>0.21256612379734829</v>
      </c>
      <c r="T5050">
        <v>0.16144239901579879</v>
      </c>
      <c r="U5050">
        <v>4.2673938428959426</v>
      </c>
      <c r="V5050">
        <v>0.22267382584799689</v>
      </c>
      <c r="W5050">
        <v>9.7510984046002385</v>
      </c>
      <c r="X5050">
        <v>0.33768431566638979</v>
      </c>
      <c r="Z5050" t="s">
        <v>392</v>
      </c>
      <c r="AA5050">
        <v>161</v>
      </c>
      <c r="AB5050" t="s">
        <v>5441</v>
      </c>
      <c r="AC5050" t="str">
        <f>HYPERLINK("plots/3FT6Y578R04_015_S31P_20251219032831_M5358ACSA301811_RBGEUFRF04/dpll_52094/txpa_55237.png","plot")</f>
        <v>plot</v>
      </c>
    </row>
    <row r="5051" spans="1:29" hidden="1" x14ac:dyDescent="0.35">
      <c r="A5051" t="s">
        <v>50</v>
      </c>
      <c r="B5051">
        <v>52094</v>
      </c>
      <c r="C5051" t="s">
        <v>53</v>
      </c>
      <c r="D5051">
        <v>55238</v>
      </c>
      <c r="E5051" t="s">
        <v>371</v>
      </c>
      <c r="F5051">
        <v>11781</v>
      </c>
      <c r="G5051">
        <v>0.78959823817310293</v>
      </c>
      <c r="H5051">
        <v>0</v>
      </c>
      <c r="I5051">
        <v>0</v>
      </c>
      <c r="J5051">
        <v>0.70223625349785002</v>
      </c>
      <c r="K5051">
        <v>0</v>
      </c>
      <c r="L5051">
        <v>0</v>
      </c>
      <c r="M5051">
        <v>0.51469010259953241</v>
      </c>
      <c r="N5051">
        <v>0</v>
      </c>
      <c r="O5051">
        <v>0</v>
      </c>
      <c r="P5051">
        <v>0.62346537772606814</v>
      </c>
      <c r="Q5051">
        <v>1.203528434754523</v>
      </c>
      <c r="R5051">
        <v>4.6194434425677162</v>
      </c>
      <c r="S5051">
        <v>0.2082657501891077</v>
      </c>
      <c r="T5051">
        <v>0.16012248681693531</v>
      </c>
      <c r="U5051">
        <v>4.2674026018164843</v>
      </c>
      <c r="V5051">
        <v>0.22268124725346999</v>
      </c>
      <c r="W5051">
        <v>9.7553838163992879</v>
      </c>
      <c r="X5051">
        <v>0.33941718712067281</v>
      </c>
      <c r="Z5051" t="s">
        <v>392</v>
      </c>
      <c r="AA5051">
        <v>161</v>
      </c>
      <c r="AB5051" t="s">
        <v>5442</v>
      </c>
      <c r="AC5051" t="str">
        <f>HYPERLINK("plots/3FT6Y578R04_015_S31P_20251219032831_M5358ACSA301811_RBGEUFRF04/dpll_52094/txpa_55238.png","plot")</f>
        <v>plot</v>
      </c>
    </row>
    <row r="5052" spans="1:29" hidden="1" x14ac:dyDescent="0.35">
      <c r="A5052" t="s">
        <v>50</v>
      </c>
      <c r="B5052">
        <v>52094</v>
      </c>
      <c r="C5052" t="s">
        <v>53</v>
      </c>
      <c r="D5052">
        <v>55239</v>
      </c>
      <c r="E5052" t="s">
        <v>372</v>
      </c>
      <c r="F5052">
        <v>11781</v>
      </c>
      <c r="G5052">
        <v>0.79148492665342918</v>
      </c>
      <c r="H5052">
        <v>0</v>
      </c>
      <c r="I5052">
        <v>0</v>
      </c>
      <c r="J5052">
        <v>0.69897804413756159</v>
      </c>
      <c r="K5052">
        <v>0</v>
      </c>
      <c r="L5052">
        <v>0</v>
      </c>
      <c r="M5052">
        <v>0.51049458879920462</v>
      </c>
      <c r="N5052">
        <v>0</v>
      </c>
      <c r="O5052">
        <v>0</v>
      </c>
      <c r="P5052">
        <v>0.62644838911958411</v>
      </c>
      <c r="Q5052">
        <v>1.203242513945215</v>
      </c>
      <c r="R5052">
        <v>4.5976052171046353</v>
      </c>
      <c r="S5052">
        <v>0.20687670749151271</v>
      </c>
      <c r="T5052">
        <v>0.1596089489345674</v>
      </c>
      <c r="U5052">
        <v>4.2673648416942536</v>
      </c>
      <c r="V5052">
        <v>0.2226610238238293</v>
      </c>
      <c r="W5052">
        <v>9.7322800171462536</v>
      </c>
      <c r="X5052">
        <v>0.33849692020820099</v>
      </c>
      <c r="Z5052" t="s">
        <v>392</v>
      </c>
      <c r="AA5052">
        <v>161</v>
      </c>
      <c r="AB5052" t="s">
        <v>5443</v>
      </c>
      <c r="AC5052" t="str">
        <f>HYPERLINK("plots/3FT6Y578R04_015_S31P_20251219032831_M5358ACSA301811_RBGEUFRF04/dpll_52094/txpa_55239.png","plot")</f>
        <v>plot</v>
      </c>
    </row>
    <row r="5053" spans="1:29" hidden="1" x14ac:dyDescent="0.35">
      <c r="A5053" t="s">
        <v>50</v>
      </c>
      <c r="B5053">
        <v>52094</v>
      </c>
      <c r="C5053" t="s">
        <v>53</v>
      </c>
      <c r="D5053">
        <v>55240</v>
      </c>
      <c r="E5053" t="s">
        <v>373</v>
      </c>
      <c r="F5053">
        <v>11781</v>
      </c>
      <c r="G5053">
        <v>0.79436995759641027</v>
      </c>
      <c r="H5053">
        <v>0</v>
      </c>
      <c r="I5053">
        <v>0</v>
      </c>
      <c r="J5053">
        <v>0.70792826756675931</v>
      </c>
      <c r="K5053">
        <v>0</v>
      </c>
      <c r="L5053">
        <v>0</v>
      </c>
      <c r="M5053">
        <v>0.51956188516081436</v>
      </c>
      <c r="N5053">
        <v>0</v>
      </c>
      <c r="O5053">
        <v>0</v>
      </c>
      <c r="P5053">
        <v>0.63102362953172264</v>
      </c>
      <c r="Q5053">
        <v>1.2156056628687191</v>
      </c>
      <c r="R5053">
        <v>4.5581439050943544</v>
      </c>
      <c r="S5053">
        <v>0.20695770771168889</v>
      </c>
      <c r="T5053">
        <v>0.15988435818956709</v>
      </c>
      <c r="U5053">
        <v>4.2673606822850356</v>
      </c>
      <c r="V5053">
        <v>0.2226541824443867</v>
      </c>
      <c r="W5053">
        <v>9.7455717159833615</v>
      </c>
      <c r="X5053">
        <v>0.34072245866366652</v>
      </c>
      <c r="Z5053" t="s">
        <v>392</v>
      </c>
      <c r="AA5053">
        <v>161</v>
      </c>
      <c r="AB5053" t="s">
        <v>5444</v>
      </c>
      <c r="AC5053" t="str">
        <f>HYPERLINK("plots/3FT6Y578R04_015_S31P_20251219032831_M5358ACSA301811_RBGEUFRF04/dpll_52094/txpa_55240.png","plot")</f>
        <v>plot</v>
      </c>
    </row>
    <row r="5054" spans="1:29" hidden="1" x14ac:dyDescent="0.35">
      <c r="A5054" t="s">
        <v>50</v>
      </c>
      <c r="B5054">
        <v>52094</v>
      </c>
      <c r="C5054" t="s">
        <v>53</v>
      </c>
      <c r="D5054">
        <v>55241</v>
      </c>
      <c r="E5054" t="s">
        <v>374</v>
      </c>
      <c r="F5054">
        <v>11782</v>
      </c>
      <c r="G5054">
        <v>0.79205224989232381</v>
      </c>
      <c r="H5054">
        <v>0</v>
      </c>
      <c r="I5054">
        <v>0</v>
      </c>
      <c r="J5054">
        <v>0.70025569413604127</v>
      </c>
      <c r="K5054">
        <v>0</v>
      </c>
      <c r="L5054">
        <v>0</v>
      </c>
      <c r="M5054">
        <v>0.51227781637307335</v>
      </c>
      <c r="N5054">
        <v>0</v>
      </c>
      <c r="O5054">
        <v>0</v>
      </c>
      <c r="P5054">
        <v>0.62734676655949217</v>
      </c>
      <c r="Q5054">
        <v>1.2015010945417279</v>
      </c>
      <c r="R5054">
        <v>4.6246858123722774</v>
      </c>
      <c r="S5054">
        <v>0.20619281392931779</v>
      </c>
      <c r="T5054">
        <v>0.159492913304872</v>
      </c>
      <c r="U5054">
        <v>4.2673938428959426</v>
      </c>
      <c r="V5054">
        <v>0.22267382584799689</v>
      </c>
      <c r="W5054">
        <v>9.7519641854523851</v>
      </c>
      <c r="X5054">
        <v>0.337784338746003</v>
      </c>
      <c r="Z5054" t="s">
        <v>392</v>
      </c>
      <c r="AA5054">
        <v>161</v>
      </c>
      <c r="AB5054" t="s">
        <v>5445</v>
      </c>
      <c r="AC5054" t="str">
        <f>HYPERLINK("plots/3FT6Y578R04_015_S31P_20251219032831_M5358ACSA301811_RBGEUFRF04/dpll_52094/txpa_55241.png","plot")</f>
        <v>plot</v>
      </c>
    </row>
    <row r="5055" spans="1:29" hidden="1" x14ac:dyDescent="0.35">
      <c r="A5055" t="s">
        <v>50</v>
      </c>
      <c r="B5055">
        <v>52094</v>
      </c>
      <c r="C5055" t="s">
        <v>53</v>
      </c>
      <c r="D5055">
        <v>55242</v>
      </c>
      <c r="E5055" t="s">
        <v>375</v>
      </c>
      <c r="F5055">
        <v>11781</v>
      </c>
      <c r="G5055">
        <v>0.78425648124729475</v>
      </c>
      <c r="H5055">
        <v>0</v>
      </c>
      <c r="I5055">
        <v>0</v>
      </c>
      <c r="J5055">
        <v>0.69313121774466657</v>
      </c>
      <c r="K5055">
        <v>0</v>
      </c>
      <c r="L5055">
        <v>0</v>
      </c>
      <c r="M5055">
        <v>0.50683273878572166</v>
      </c>
      <c r="N5055">
        <v>0</v>
      </c>
      <c r="O5055">
        <v>0</v>
      </c>
      <c r="P5055">
        <v>0.61505822837838842</v>
      </c>
      <c r="Q5055">
        <v>1.1939867153866071</v>
      </c>
      <c r="R5055">
        <v>4.6346842522538294</v>
      </c>
      <c r="S5055">
        <v>0.21031883149658739</v>
      </c>
      <c r="T5055">
        <v>0.1607419601057784</v>
      </c>
      <c r="U5055">
        <v>4.2674179181733303</v>
      </c>
      <c r="V5055">
        <v>0.22266794157249609</v>
      </c>
      <c r="W5055">
        <v>9.7299245555555558</v>
      </c>
      <c r="X5055">
        <v>0.33899951168680081</v>
      </c>
      <c r="Z5055" t="s">
        <v>392</v>
      </c>
      <c r="AA5055">
        <v>161</v>
      </c>
      <c r="AB5055" t="s">
        <v>5446</v>
      </c>
      <c r="AC5055" t="str">
        <f>HYPERLINK("plots/3FT6Y578R04_015_S31P_20251219032831_M5358ACSA301811_RBGEUFRF04/dpll_52094/txpa_55242.png","plot")</f>
        <v>plot</v>
      </c>
    </row>
    <row r="5056" spans="1:29" hidden="1" x14ac:dyDescent="0.35">
      <c r="A5056" t="s">
        <v>50</v>
      </c>
      <c r="B5056">
        <v>52094</v>
      </c>
      <c r="C5056" t="s">
        <v>53</v>
      </c>
      <c r="D5056">
        <v>55243</v>
      </c>
      <c r="E5056" t="s">
        <v>376</v>
      </c>
      <c r="F5056">
        <v>11782</v>
      </c>
      <c r="G5056">
        <v>0.77217058587574172</v>
      </c>
      <c r="H5056">
        <v>0</v>
      </c>
      <c r="I5056">
        <v>0</v>
      </c>
      <c r="J5056">
        <v>0.69346748967252181</v>
      </c>
      <c r="K5056">
        <v>0</v>
      </c>
      <c r="L5056">
        <v>0</v>
      </c>
      <c r="M5056">
        <v>0.50474633840183714</v>
      </c>
      <c r="N5056">
        <v>0</v>
      </c>
      <c r="O5056">
        <v>0</v>
      </c>
      <c r="P5056">
        <v>0.59624741369168621</v>
      </c>
      <c r="Q5056">
        <v>1.218685906947413</v>
      </c>
      <c r="R5056">
        <v>6.0822967520465197</v>
      </c>
      <c r="S5056">
        <v>0.22329907971731919</v>
      </c>
      <c r="T5056">
        <v>0.16718040948930141</v>
      </c>
      <c r="U5056">
        <v>4.2673938428959426</v>
      </c>
      <c r="V5056">
        <v>0.22267382584799689</v>
      </c>
      <c r="W5056">
        <v>11.282909487777969</v>
      </c>
      <c r="X5056">
        <v>0.35143718029513921</v>
      </c>
      <c r="Z5056" t="s">
        <v>392</v>
      </c>
      <c r="AA5056">
        <v>161</v>
      </c>
      <c r="AB5056" t="s">
        <v>5447</v>
      </c>
      <c r="AC5056" t="str">
        <f>HYPERLINK("plots/3FT6Y578R04_015_S31P_20251219032831_M5358ACSA301811_RBGEUFRF04/dpll_52094/txpa_55243.png","plot")</f>
        <v>plot</v>
      </c>
    </row>
    <row r="5057" spans="1:29" hidden="1" x14ac:dyDescent="0.35">
      <c r="A5057" t="s">
        <v>50</v>
      </c>
      <c r="B5057">
        <v>52094</v>
      </c>
      <c r="C5057" t="s">
        <v>53</v>
      </c>
      <c r="D5057">
        <v>55244</v>
      </c>
      <c r="E5057" t="s">
        <v>377</v>
      </c>
      <c r="F5057">
        <v>11782</v>
      </c>
      <c r="G5057">
        <v>0.78936965024382055</v>
      </c>
      <c r="H5057">
        <v>0</v>
      </c>
      <c r="I5057">
        <v>0</v>
      </c>
      <c r="J5057">
        <v>0.70486898226104233</v>
      </c>
      <c r="K5057">
        <v>0</v>
      </c>
      <c r="L5057">
        <v>0</v>
      </c>
      <c r="M5057">
        <v>0.51761793133170819</v>
      </c>
      <c r="N5057">
        <v>0</v>
      </c>
      <c r="O5057">
        <v>0</v>
      </c>
      <c r="P5057">
        <v>0.62310444472605164</v>
      </c>
      <c r="Q5057">
        <v>1.246576550959428</v>
      </c>
      <c r="R5057">
        <v>5.992215894862384</v>
      </c>
      <c r="S5057">
        <v>0.2158737204236941</v>
      </c>
      <c r="T5057">
        <v>0.16436182550936629</v>
      </c>
      <c r="U5057">
        <v>4.2673938428959426</v>
      </c>
      <c r="V5057">
        <v>0.22267382584799689</v>
      </c>
      <c r="W5057">
        <v>11.31184899312511</v>
      </c>
      <c r="X5057">
        <v>0.35164763394285198</v>
      </c>
      <c r="Z5057" t="s">
        <v>392</v>
      </c>
      <c r="AA5057">
        <v>161</v>
      </c>
      <c r="AB5057" t="s">
        <v>5448</v>
      </c>
      <c r="AC5057" t="str">
        <f>HYPERLINK("plots/3FT6Y578R04_015_S31P_20251219032831_M5358ACSA301811_RBGEUFRF04/dpll_52094/txpa_55244.png","plot")</f>
        <v>plot</v>
      </c>
    </row>
    <row r="5058" spans="1:29" hidden="1" x14ac:dyDescent="0.35">
      <c r="A5058" t="s">
        <v>50</v>
      </c>
      <c r="B5058">
        <v>52094</v>
      </c>
      <c r="C5058" t="s">
        <v>53</v>
      </c>
      <c r="D5058">
        <v>55245</v>
      </c>
      <c r="E5058" t="s">
        <v>378</v>
      </c>
      <c r="F5058">
        <v>11782</v>
      </c>
      <c r="G5058">
        <v>0.78313592455272651</v>
      </c>
      <c r="H5058">
        <v>0</v>
      </c>
      <c r="I5058">
        <v>0</v>
      </c>
      <c r="J5058">
        <v>0.69673583997660105</v>
      </c>
      <c r="K5058">
        <v>0</v>
      </c>
      <c r="L5058">
        <v>0</v>
      </c>
      <c r="M5058">
        <v>0.50944773194465509</v>
      </c>
      <c r="N5058">
        <v>0</v>
      </c>
      <c r="O5058">
        <v>0</v>
      </c>
      <c r="P5058">
        <v>0.61330187632505373</v>
      </c>
      <c r="Q5058">
        <v>1.222237623175398</v>
      </c>
      <c r="R5058">
        <v>6.1101516080244256</v>
      </c>
      <c r="S5058">
        <v>0.21610025214856099</v>
      </c>
      <c r="T5058">
        <v>0.16345814472777159</v>
      </c>
      <c r="U5058">
        <v>4.2673938428959426</v>
      </c>
      <c r="V5058">
        <v>0.22267382584799689</v>
      </c>
      <c r="W5058">
        <v>11.325920915718889</v>
      </c>
      <c r="X5058">
        <v>0.34752629666844559</v>
      </c>
      <c r="Z5058" t="s">
        <v>392</v>
      </c>
      <c r="AA5058">
        <v>161</v>
      </c>
      <c r="AB5058" t="s">
        <v>5449</v>
      </c>
      <c r="AC5058" t="str">
        <f>HYPERLINK("plots/3FT6Y578R04_015_S31P_20251219032831_M5358ACSA301811_RBGEUFRF04/dpll_52094/txpa_55245.png","plot")</f>
        <v>plot</v>
      </c>
    </row>
    <row r="5059" spans="1:29" hidden="1" x14ac:dyDescent="0.35">
      <c r="A5059" t="s">
        <v>50</v>
      </c>
      <c r="B5059">
        <v>52094</v>
      </c>
      <c r="C5059" t="s">
        <v>53</v>
      </c>
      <c r="D5059">
        <v>55246</v>
      </c>
      <c r="E5059" t="s">
        <v>379</v>
      </c>
      <c r="F5059">
        <v>11781</v>
      </c>
      <c r="G5059">
        <v>0.79510135605345433</v>
      </c>
      <c r="H5059">
        <v>0</v>
      </c>
      <c r="I5059">
        <v>0</v>
      </c>
      <c r="J5059">
        <v>0.70571851755944437</v>
      </c>
      <c r="K5059">
        <v>0</v>
      </c>
      <c r="L5059">
        <v>0</v>
      </c>
      <c r="M5059">
        <v>0.5181034882365797</v>
      </c>
      <c r="N5059">
        <v>0</v>
      </c>
      <c r="O5059">
        <v>0</v>
      </c>
      <c r="P5059">
        <v>0.63218616639804193</v>
      </c>
      <c r="Q5059">
        <v>1.2468317536583851</v>
      </c>
      <c r="R5059">
        <v>6.0088391816628146</v>
      </c>
      <c r="S5059">
        <v>0.2117700806202035</v>
      </c>
      <c r="T5059">
        <v>0.1622156608036974</v>
      </c>
      <c r="U5059">
        <v>4.2674026018164843</v>
      </c>
      <c r="V5059">
        <v>0.22268124725346999</v>
      </c>
      <c r="W5059">
        <v>11.329572251252021</v>
      </c>
      <c r="X5059">
        <v>0.34919579485815189</v>
      </c>
      <c r="Z5059" t="s">
        <v>392</v>
      </c>
      <c r="AA5059">
        <v>161</v>
      </c>
      <c r="AB5059" t="s">
        <v>5450</v>
      </c>
      <c r="AC5059" t="str">
        <f>HYPERLINK("plots/3FT6Y578R04_015_S31P_20251219032831_M5358ACSA301811_RBGEUFRF04/dpll_52094/txpa_55246.png","plot")</f>
        <v>plot</v>
      </c>
    </row>
    <row r="5060" spans="1:29" hidden="1" x14ac:dyDescent="0.35">
      <c r="A5060" t="s">
        <v>50</v>
      </c>
      <c r="B5060">
        <v>52094</v>
      </c>
      <c r="C5060" t="s">
        <v>53</v>
      </c>
      <c r="D5060">
        <v>55247</v>
      </c>
      <c r="E5060" t="s">
        <v>380</v>
      </c>
      <c r="F5060">
        <v>11781</v>
      </c>
      <c r="G5060">
        <v>0.79689865456048792</v>
      </c>
      <c r="H5060">
        <v>0</v>
      </c>
      <c r="I5060">
        <v>0</v>
      </c>
      <c r="J5060">
        <v>0.70245804385047428</v>
      </c>
      <c r="K5060">
        <v>0</v>
      </c>
      <c r="L5060">
        <v>0</v>
      </c>
      <c r="M5060">
        <v>0.51396365427753965</v>
      </c>
      <c r="N5060">
        <v>0</v>
      </c>
      <c r="O5060">
        <v>0</v>
      </c>
      <c r="P5060">
        <v>0.63504746564031589</v>
      </c>
      <c r="Q5060">
        <v>1.247205269260123</v>
      </c>
      <c r="R5060">
        <v>5.9828448502417144</v>
      </c>
      <c r="S5060">
        <v>0.21051294372487259</v>
      </c>
      <c r="T5060">
        <v>0.16181038419888899</v>
      </c>
      <c r="U5060">
        <v>4.2673648416942536</v>
      </c>
      <c r="V5060">
        <v>0.2226610238238293</v>
      </c>
      <c r="W5060">
        <v>11.30512476665818</v>
      </c>
      <c r="X5060">
        <v>0.34848095248083372</v>
      </c>
      <c r="Z5060" t="s">
        <v>392</v>
      </c>
      <c r="AA5060">
        <v>161</v>
      </c>
      <c r="AB5060" t="s">
        <v>5451</v>
      </c>
      <c r="AC5060" t="str">
        <f>HYPERLINK("plots/3FT6Y578R04_015_S31P_20251219032831_M5358ACSA301811_RBGEUFRF04/dpll_52094/txpa_55247.png","plot")</f>
        <v>plot</v>
      </c>
    </row>
    <row r="5061" spans="1:29" hidden="1" x14ac:dyDescent="0.35">
      <c r="A5061" t="s">
        <v>50</v>
      </c>
      <c r="B5061">
        <v>52094</v>
      </c>
      <c r="C5061" t="s">
        <v>53</v>
      </c>
      <c r="D5061">
        <v>55248</v>
      </c>
      <c r="E5061" t="s">
        <v>381</v>
      </c>
      <c r="F5061">
        <v>11781</v>
      </c>
      <c r="G5061">
        <v>0.79974522130988668</v>
      </c>
      <c r="H5061">
        <v>0</v>
      </c>
      <c r="I5061">
        <v>0</v>
      </c>
      <c r="J5061">
        <v>0.71111116105304939</v>
      </c>
      <c r="K5061">
        <v>0</v>
      </c>
      <c r="L5061">
        <v>0</v>
      </c>
      <c r="M5061">
        <v>0.52290012821123733</v>
      </c>
      <c r="N5061">
        <v>0</v>
      </c>
      <c r="O5061">
        <v>0</v>
      </c>
      <c r="P5061">
        <v>0.63959241900799957</v>
      </c>
      <c r="Q5061">
        <v>1.2592622851472151</v>
      </c>
      <c r="R5061">
        <v>5.9467730497348974</v>
      </c>
      <c r="S5061">
        <v>0.21046211297689371</v>
      </c>
      <c r="T5061">
        <v>0.16192389521924649</v>
      </c>
      <c r="U5061">
        <v>4.2673606822850356</v>
      </c>
      <c r="V5061">
        <v>0.2226541824443867</v>
      </c>
      <c r="W5061">
        <v>11.320499414056529</v>
      </c>
      <c r="X5061">
        <v>0.35058667074405853</v>
      </c>
      <c r="Z5061" t="s">
        <v>392</v>
      </c>
      <c r="AA5061">
        <v>161</v>
      </c>
      <c r="AB5061" t="s">
        <v>5452</v>
      </c>
      <c r="AC5061" t="str">
        <f>HYPERLINK("plots/3FT6Y578R04_015_S31P_20251219032831_M5358ACSA301811_RBGEUFRF04/dpll_52094/txpa_55248.png","plot")</f>
        <v>plot</v>
      </c>
    </row>
    <row r="5062" spans="1:29" hidden="1" x14ac:dyDescent="0.35">
      <c r="A5062" t="s">
        <v>50</v>
      </c>
      <c r="B5062">
        <v>52094</v>
      </c>
      <c r="C5062" t="s">
        <v>53</v>
      </c>
      <c r="D5062">
        <v>55249</v>
      </c>
      <c r="E5062" t="s">
        <v>382</v>
      </c>
      <c r="F5062">
        <v>11782</v>
      </c>
      <c r="G5062">
        <v>0.79764300222700224</v>
      </c>
      <c r="H5062">
        <v>0</v>
      </c>
      <c r="I5062">
        <v>0</v>
      </c>
      <c r="J5062">
        <v>0.70368215537577283</v>
      </c>
      <c r="K5062">
        <v>0</v>
      </c>
      <c r="L5062">
        <v>0</v>
      </c>
      <c r="M5062">
        <v>0.51571478536616877</v>
      </c>
      <c r="N5062">
        <v>0</v>
      </c>
      <c r="O5062">
        <v>0</v>
      </c>
      <c r="P5062">
        <v>0.63623435900170555</v>
      </c>
      <c r="Q5062">
        <v>1.2453720502338921</v>
      </c>
      <c r="R5062">
        <v>6.0129956941784073</v>
      </c>
      <c r="S5062">
        <v>0.20967764634226549</v>
      </c>
      <c r="T5062">
        <v>0.161451396950197</v>
      </c>
      <c r="U5062">
        <v>4.2673938428959426</v>
      </c>
      <c r="V5062">
        <v>0.22267382584799689</v>
      </c>
      <c r="W5062">
        <v>11.327488713461211</v>
      </c>
      <c r="X5062">
        <v>0.34766400288787802</v>
      </c>
      <c r="Z5062" t="s">
        <v>392</v>
      </c>
      <c r="AA5062">
        <v>161</v>
      </c>
      <c r="AB5062" t="s">
        <v>5453</v>
      </c>
      <c r="AC5062" t="str">
        <f>HYPERLINK("plots/3FT6Y578R04_015_S31P_20251219032831_M5358ACSA301811_RBGEUFRF04/dpll_52094/txpa_55249.png","plot")</f>
        <v>plot</v>
      </c>
    </row>
    <row r="5063" spans="1:29" hidden="1" x14ac:dyDescent="0.35">
      <c r="A5063" t="s">
        <v>50</v>
      </c>
      <c r="B5063">
        <v>52094</v>
      </c>
      <c r="C5063" t="s">
        <v>53</v>
      </c>
      <c r="D5063">
        <v>55250</v>
      </c>
      <c r="E5063" t="s">
        <v>383</v>
      </c>
      <c r="F5063">
        <v>11781</v>
      </c>
      <c r="G5063">
        <v>0.78949587404646437</v>
      </c>
      <c r="H5063">
        <v>0</v>
      </c>
      <c r="I5063">
        <v>0</v>
      </c>
      <c r="J5063">
        <v>0.69595087034240299</v>
      </c>
      <c r="K5063">
        <v>0</v>
      </c>
      <c r="L5063">
        <v>0</v>
      </c>
      <c r="M5063">
        <v>0.50966129316236075</v>
      </c>
      <c r="N5063">
        <v>0</v>
      </c>
      <c r="O5063">
        <v>0</v>
      </c>
      <c r="P5063">
        <v>0.6233037351363907</v>
      </c>
      <c r="Q5063">
        <v>1.2364128224152671</v>
      </c>
      <c r="R5063">
        <v>6.0311120285490896</v>
      </c>
      <c r="S5063">
        <v>0.2140171390653248</v>
      </c>
      <c r="T5063">
        <v>0.16292585758272901</v>
      </c>
      <c r="U5063">
        <v>4.2674179181733303</v>
      </c>
      <c r="V5063">
        <v>0.22266794157249609</v>
      </c>
      <c r="W5063">
        <v>11.30740226118326</v>
      </c>
      <c r="X5063">
        <v>0.34871556286923022</v>
      </c>
      <c r="Z5063" t="s">
        <v>392</v>
      </c>
      <c r="AA5063">
        <v>161</v>
      </c>
      <c r="AB5063" t="s">
        <v>5454</v>
      </c>
      <c r="AC5063" t="str">
        <f>HYPERLINK("plots/3FT6Y578R04_015_S31P_20251219032831_M5358ACSA301811_RBGEUFRF04/dpll_52094/txpa_55250.png","plot")</f>
        <v>plot</v>
      </c>
    </row>
    <row r="5064" spans="1:29" hidden="1" x14ac:dyDescent="0.35">
      <c r="A5064" t="s">
        <v>50</v>
      </c>
      <c r="B5064">
        <v>52094</v>
      </c>
      <c r="C5064" t="s">
        <v>53</v>
      </c>
      <c r="D5064">
        <v>55251</v>
      </c>
      <c r="E5064" t="s">
        <v>384</v>
      </c>
      <c r="F5064">
        <v>11782</v>
      </c>
      <c r="G5064">
        <v>0.77409716455189337</v>
      </c>
      <c r="H5064">
        <v>0</v>
      </c>
      <c r="I5064">
        <v>0</v>
      </c>
      <c r="J5064">
        <v>0.6942459393496867</v>
      </c>
      <c r="K5064">
        <v>0</v>
      </c>
      <c r="L5064">
        <v>0</v>
      </c>
      <c r="M5064">
        <v>0.50554594601010527</v>
      </c>
      <c r="N5064">
        <v>0</v>
      </c>
      <c r="O5064">
        <v>0</v>
      </c>
      <c r="P5064">
        <v>0.59922642016728112</v>
      </c>
      <c r="Q5064">
        <v>1.2322014309454521</v>
      </c>
      <c r="R5064">
        <v>6.5852012173508543</v>
      </c>
      <c r="S5064">
        <v>0.2243812245374126</v>
      </c>
      <c r="T5064">
        <v>0.16768733063913871</v>
      </c>
      <c r="U5064">
        <v>4.2673938428959426</v>
      </c>
      <c r="V5064">
        <v>0.22267382584799689</v>
      </c>
      <c r="W5064">
        <v>11.84349001697505</v>
      </c>
      <c r="X5064">
        <v>0.35445034474817089</v>
      </c>
      <c r="Z5064" t="s">
        <v>392</v>
      </c>
      <c r="AA5064">
        <v>161</v>
      </c>
      <c r="AB5064" t="s">
        <v>5455</v>
      </c>
      <c r="AC5064" t="str">
        <f>HYPERLINK("plots/3FT6Y578R04_015_S31P_20251219032831_M5358ACSA301811_RBGEUFRF04/dpll_52094/txpa_55251.png","plot")</f>
        <v>plot</v>
      </c>
    </row>
    <row r="5065" spans="1:29" hidden="1" x14ac:dyDescent="0.35">
      <c r="A5065" t="s">
        <v>50</v>
      </c>
      <c r="B5065">
        <v>52094</v>
      </c>
      <c r="C5065" t="s">
        <v>53</v>
      </c>
      <c r="D5065">
        <v>55252</v>
      </c>
      <c r="E5065" t="s">
        <v>385</v>
      </c>
      <c r="F5065">
        <v>11782</v>
      </c>
      <c r="G5065">
        <v>0.79116844669751885</v>
      </c>
      <c r="H5065">
        <v>0</v>
      </c>
      <c r="I5065">
        <v>0</v>
      </c>
      <c r="J5065">
        <v>0.70571698420075468</v>
      </c>
      <c r="K5065">
        <v>0</v>
      </c>
      <c r="L5065">
        <v>0</v>
      </c>
      <c r="M5065">
        <v>0.51852323131989908</v>
      </c>
      <c r="N5065">
        <v>0</v>
      </c>
      <c r="O5065">
        <v>0</v>
      </c>
      <c r="P5065">
        <v>0.62594751104976476</v>
      </c>
      <c r="Q5065">
        <v>1.260372583478075</v>
      </c>
      <c r="R5065">
        <v>6.4938432042329284</v>
      </c>
      <c r="S5065">
        <v>0.21694368025030741</v>
      </c>
      <c r="T5065">
        <v>0.16484706453336001</v>
      </c>
      <c r="U5065">
        <v>4.2673938428959426</v>
      </c>
      <c r="V5065">
        <v>0.22267382584799689</v>
      </c>
      <c r="W5065">
        <v>11.872349406722121</v>
      </c>
      <c r="X5065">
        <v>0.35473101376638477</v>
      </c>
      <c r="Z5065" t="s">
        <v>392</v>
      </c>
      <c r="AA5065">
        <v>161</v>
      </c>
      <c r="AB5065" t="s">
        <v>5456</v>
      </c>
      <c r="AC5065" t="str">
        <f>HYPERLINK("plots/3FT6Y578R04_015_S31P_20251219032831_M5358ACSA301811_RBGEUFRF04/dpll_52094/txpa_55252.png","plot")</f>
        <v>plot</v>
      </c>
    </row>
    <row r="5066" spans="1:29" hidden="1" x14ac:dyDescent="0.35">
      <c r="A5066" t="s">
        <v>50</v>
      </c>
      <c r="B5066">
        <v>52094</v>
      </c>
      <c r="C5066" t="s">
        <v>53</v>
      </c>
      <c r="D5066">
        <v>55253</v>
      </c>
      <c r="E5066" t="s">
        <v>386</v>
      </c>
      <c r="F5066">
        <v>11782</v>
      </c>
      <c r="G5066">
        <v>0.78508154719001333</v>
      </c>
      <c r="H5066">
        <v>0</v>
      </c>
      <c r="I5066">
        <v>0</v>
      </c>
      <c r="J5066">
        <v>0.69758887323455909</v>
      </c>
      <c r="K5066">
        <v>0</v>
      </c>
      <c r="L5066">
        <v>0</v>
      </c>
      <c r="M5066">
        <v>0.51035178036255946</v>
      </c>
      <c r="N5066">
        <v>0</v>
      </c>
      <c r="O5066">
        <v>0</v>
      </c>
      <c r="P5066">
        <v>0.61635303573826516</v>
      </c>
      <c r="Q5066">
        <v>1.2359409519775779</v>
      </c>
      <c r="R5066">
        <v>6.6124109166916778</v>
      </c>
      <c r="S5066">
        <v>0.2171198726617373</v>
      </c>
      <c r="T5066">
        <v>0.1639843905253788</v>
      </c>
      <c r="U5066">
        <v>4.2673938428959426</v>
      </c>
      <c r="V5066">
        <v>0.22267382584799689</v>
      </c>
      <c r="W5066">
        <v>11.88665772534374</v>
      </c>
      <c r="X5066">
        <v>0.35055173731201339</v>
      </c>
      <c r="Z5066" t="s">
        <v>392</v>
      </c>
      <c r="AA5066">
        <v>161</v>
      </c>
      <c r="AB5066" t="s">
        <v>5457</v>
      </c>
      <c r="AC5066" t="str">
        <f>HYPERLINK("plots/3FT6Y578R04_015_S31P_20251219032831_M5358ACSA301811_RBGEUFRF04/dpll_52094/txpa_55253.png","plot")</f>
        <v>plot</v>
      </c>
    </row>
    <row r="5067" spans="1:29" hidden="1" x14ac:dyDescent="0.35">
      <c r="A5067" t="s">
        <v>50</v>
      </c>
      <c r="B5067">
        <v>52094</v>
      </c>
      <c r="C5067" t="s">
        <v>53</v>
      </c>
      <c r="D5067">
        <v>55254</v>
      </c>
      <c r="E5067" t="s">
        <v>387</v>
      </c>
      <c r="F5067">
        <v>11781</v>
      </c>
      <c r="G5067">
        <v>0.7968324429981507</v>
      </c>
      <c r="H5067">
        <v>0</v>
      </c>
      <c r="I5067">
        <v>0</v>
      </c>
      <c r="J5067">
        <v>0.70641311810545004</v>
      </c>
      <c r="K5067">
        <v>0</v>
      </c>
      <c r="L5067">
        <v>0</v>
      </c>
      <c r="M5067">
        <v>0.51887343241182093</v>
      </c>
      <c r="N5067">
        <v>0</v>
      </c>
      <c r="O5067">
        <v>0</v>
      </c>
      <c r="P5067">
        <v>0.63494194221440103</v>
      </c>
      <c r="Q5067">
        <v>1.2602725813730269</v>
      </c>
      <c r="R5067">
        <v>6.5119012948749084</v>
      </c>
      <c r="S5067">
        <v>0.21278629931710641</v>
      </c>
      <c r="T5067">
        <v>0.16271503392541051</v>
      </c>
      <c r="U5067">
        <v>4.2674026018164843</v>
      </c>
      <c r="V5067">
        <v>0.22268124725346999</v>
      </c>
      <c r="W5067">
        <v>11.88999178762414</v>
      </c>
      <c r="X5067">
        <v>0.35219332842870599</v>
      </c>
      <c r="Z5067" t="s">
        <v>392</v>
      </c>
      <c r="AA5067">
        <v>161</v>
      </c>
      <c r="AB5067" t="s">
        <v>5458</v>
      </c>
      <c r="AC5067" t="str">
        <f>HYPERLINK("plots/3FT6Y578R04_015_S31P_20251219032831_M5358ACSA301811_RBGEUFRF04/dpll_52094/txpa_55254.png","plot")</f>
        <v>plot</v>
      </c>
    </row>
    <row r="5068" spans="1:29" hidden="1" x14ac:dyDescent="0.35">
      <c r="A5068" t="s">
        <v>50</v>
      </c>
      <c r="B5068">
        <v>52094</v>
      </c>
      <c r="C5068" t="s">
        <v>53</v>
      </c>
      <c r="D5068">
        <v>55255</v>
      </c>
      <c r="E5068" t="s">
        <v>388</v>
      </c>
      <c r="F5068">
        <v>11781</v>
      </c>
      <c r="G5068">
        <v>0.79863453484633873</v>
      </c>
      <c r="H5068">
        <v>0</v>
      </c>
      <c r="I5068">
        <v>0</v>
      </c>
      <c r="J5068">
        <v>0.70312506733752145</v>
      </c>
      <c r="K5068">
        <v>0</v>
      </c>
      <c r="L5068">
        <v>0</v>
      </c>
      <c r="M5068">
        <v>0.51471847200194087</v>
      </c>
      <c r="N5068">
        <v>0</v>
      </c>
      <c r="O5068">
        <v>0</v>
      </c>
      <c r="P5068">
        <v>0.63781712024922788</v>
      </c>
      <c r="Q5068">
        <v>1.2613060885956511</v>
      </c>
      <c r="R5068">
        <v>6.4823012348906319</v>
      </c>
      <c r="S5068">
        <v>0.21162264279311821</v>
      </c>
      <c r="T5068">
        <v>0.1623869712971733</v>
      </c>
      <c r="U5068">
        <v>4.2673648416942536</v>
      </c>
      <c r="V5068">
        <v>0.2226610238238293</v>
      </c>
      <c r="W5068">
        <v>11.86475449197861</v>
      </c>
      <c r="X5068">
        <v>0.35165484685178661</v>
      </c>
      <c r="Z5068" t="s">
        <v>392</v>
      </c>
      <c r="AA5068">
        <v>161</v>
      </c>
      <c r="AB5068" t="s">
        <v>5459</v>
      </c>
      <c r="AC5068" t="str">
        <f>HYPERLINK("plots/3FT6Y578R04_015_S31P_20251219032831_M5358ACSA301811_RBGEUFRF04/dpll_52094/txpa_55255.png","plot")</f>
        <v>plot</v>
      </c>
    </row>
    <row r="5069" spans="1:29" hidden="1" x14ac:dyDescent="0.35">
      <c r="A5069" t="s">
        <v>50</v>
      </c>
      <c r="B5069">
        <v>52094</v>
      </c>
      <c r="C5069" t="s">
        <v>53</v>
      </c>
      <c r="D5069">
        <v>55256</v>
      </c>
      <c r="E5069" t="s">
        <v>389</v>
      </c>
      <c r="F5069">
        <v>11781</v>
      </c>
      <c r="G5069">
        <v>0.80147037966192491</v>
      </c>
      <c r="H5069">
        <v>0</v>
      </c>
      <c r="I5069">
        <v>0</v>
      </c>
      <c r="J5069">
        <v>0.71180932243759776</v>
      </c>
      <c r="K5069">
        <v>0</v>
      </c>
      <c r="L5069">
        <v>0</v>
      </c>
      <c r="M5069">
        <v>0.52371705188410134</v>
      </c>
      <c r="N5069">
        <v>0</v>
      </c>
      <c r="O5069">
        <v>0</v>
      </c>
      <c r="P5069">
        <v>0.64235476947543002</v>
      </c>
      <c r="Q5069">
        <v>1.273088071667299</v>
      </c>
      <c r="R5069">
        <v>6.4480462783002146</v>
      </c>
      <c r="S5069">
        <v>0.2114996320193597</v>
      </c>
      <c r="T5069">
        <v>0.1624083126341114</v>
      </c>
      <c r="U5069">
        <v>4.2673606822850356</v>
      </c>
      <c r="V5069">
        <v>0.2226541824443867</v>
      </c>
      <c r="W5069">
        <v>11.88077226041932</v>
      </c>
      <c r="X5069">
        <v>0.3536729378524896</v>
      </c>
      <c r="Z5069" t="s">
        <v>392</v>
      </c>
      <c r="AA5069">
        <v>161</v>
      </c>
      <c r="AB5069" t="s">
        <v>5460</v>
      </c>
      <c r="AC5069" t="str">
        <f>HYPERLINK("plots/3FT6Y578R04_015_S31P_20251219032831_M5358ACSA301811_RBGEUFRF04/dpll_52094/txpa_55256.png","plot")</f>
        <v>plot</v>
      </c>
    </row>
    <row r="5070" spans="1:29" hidden="1" x14ac:dyDescent="0.35">
      <c r="A5070" t="s">
        <v>50</v>
      </c>
      <c r="B5070">
        <v>52094</v>
      </c>
      <c r="C5070" t="s">
        <v>53</v>
      </c>
      <c r="D5070">
        <v>55257</v>
      </c>
      <c r="E5070" t="s">
        <v>390</v>
      </c>
      <c r="F5070">
        <v>11782</v>
      </c>
      <c r="G5070">
        <v>0.79943260046202202</v>
      </c>
      <c r="H5070">
        <v>0</v>
      </c>
      <c r="I5070">
        <v>0</v>
      </c>
      <c r="J5070">
        <v>0.7043642022678408</v>
      </c>
      <c r="K5070">
        <v>0</v>
      </c>
      <c r="L5070">
        <v>0</v>
      </c>
      <c r="M5070">
        <v>0.51651088355951547</v>
      </c>
      <c r="N5070">
        <v>0</v>
      </c>
      <c r="O5070">
        <v>0</v>
      </c>
      <c r="P5070">
        <v>0.6390924826814709</v>
      </c>
      <c r="Q5070">
        <v>1.259348714053236</v>
      </c>
      <c r="R5070">
        <v>6.5138753542553838</v>
      </c>
      <c r="S5070">
        <v>0.21072344233982701</v>
      </c>
      <c r="T5070">
        <v>0.16192660840783249</v>
      </c>
      <c r="U5070">
        <v>4.2673938428959426</v>
      </c>
      <c r="V5070">
        <v>0.22267382584799689</v>
      </c>
      <c r="W5070">
        <v>11.88801230266508</v>
      </c>
      <c r="X5070">
        <v>0.35077878494437348</v>
      </c>
      <c r="Z5070" t="s">
        <v>392</v>
      </c>
      <c r="AA5070">
        <v>161</v>
      </c>
      <c r="AB5070" t="s">
        <v>5461</v>
      </c>
      <c r="AC5070" t="str">
        <f>HYPERLINK("plots/3FT6Y578R04_015_S31P_20251219032831_M5358ACSA301811_RBGEUFRF04/dpll_52094/txpa_55257.png","plot")</f>
        <v>plot</v>
      </c>
    </row>
    <row r="5071" spans="1:29" hidden="1" x14ac:dyDescent="0.35">
      <c r="A5071" t="s">
        <v>50</v>
      </c>
      <c r="B5071">
        <v>52094</v>
      </c>
      <c r="C5071" t="s">
        <v>53</v>
      </c>
      <c r="D5071">
        <v>55258</v>
      </c>
      <c r="E5071" t="s">
        <v>391</v>
      </c>
      <c r="F5071">
        <v>11781</v>
      </c>
      <c r="G5071">
        <v>0.79102917536859696</v>
      </c>
      <c r="H5071">
        <v>0</v>
      </c>
      <c r="I5071">
        <v>0</v>
      </c>
      <c r="J5071">
        <v>0.69640146579795581</v>
      </c>
      <c r="K5071">
        <v>0</v>
      </c>
      <c r="L5071">
        <v>0</v>
      </c>
      <c r="M5071">
        <v>0.51019977173468656</v>
      </c>
      <c r="N5071">
        <v>0</v>
      </c>
      <c r="O5071">
        <v>0</v>
      </c>
      <c r="P5071">
        <v>0.62572715628432252</v>
      </c>
      <c r="Q5071">
        <v>1.249548981549641</v>
      </c>
      <c r="R5071">
        <v>6.5361409657290928</v>
      </c>
      <c r="S5071">
        <v>0.2151761848981249</v>
      </c>
      <c r="T5071">
        <v>0.16354586738234991</v>
      </c>
      <c r="U5071">
        <v>4.2674179181733303</v>
      </c>
      <c r="V5071">
        <v>0.22266794157249609</v>
      </c>
      <c r="W5071">
        <v>11.868488679229269</v>
      </c>
      <c r="X5071">
        <v>0.35173734203421508</v>
      </c>
      <c r="Z5071" t="s">
        <v>392</v>
      </c>
      <c r="AA5071">
        <v>161</v>
      </c>
      <c r="AB5071" t="s">
        <v>5462</v>
      </c>
      <c r="AC5071" t="str">
        <f>HYPERLINK("plots/3FT6Y578R04_015_S31P_20251219032831_M5358ACSA301811_RBGEUFRF04/dpll_52094/txpa_55258.png","plot")</f>
        <v>plot</v>
      </c>
    </row>
  </sheetData>
  <autoFilter ref="A1:AC5071" xr:uid="{7E1D34A6-CD9D-4208-A2FD-845533E6D5C7}">
    <filterColumn colId="1">
      <filters>
        <filter val="52046"/>
      </filters>
    </filterColumn>
    <filterColumn colId="4">
      <filters>
        <filter val="TXPA_81FwLu114Tx1_D095"/>
        <filter val="TXPA_81FwLu114Tx2_D095"/>
        <filter val="TXPA_81FwLu114Tx3_D095"/>
        <filter val="TXPA_81FwLu114Tx4_D095"/>
        <filter val="TXPA_81FwLu114Tx5_D095"/>
        <filter val="TXPA_81FwLu114Tx6_D095"/>
        <filter val="TXPA_81FwLu114Tx7_D095"/>
        <filter val="TXPA_81FwLu114Tx8_D095"/>
        <filter val="TXPA_81FwLu12Tx1__D095"/>
        <filter val="TXPA_81FwLu12Tx2__D095"/>
        <filter val="TXPA_81FwLu12Tx3__D095"/>
        <filter val="TXPA_81FwLu12Tx4__D095"/>
        <filter val="TXPA_81FwLu12Tx5__D095"/>
        <filter val="TXPA_81FwLu12Tx6__D095"/>
        <filter val="TXPA_81FwLu12Tx7__D095"/>
        <filter val="TXPA_81FwLu12Tx8__D095"/>
        <filter val="TXPA_81FwLu130Tx1_D095"/>
        <filter val="TXPA_81FwLu130Tx2_D095"/>
        <filter val="TXPA_81FwLu130Tx3_D095"/>
        <filter val="TXPA_81FwLu130Tx4_D095"/>
        <filter val="TXPA_81FwLu130Tx5_D095"/>
        <filter val="TXPA_81FwLu130Tx6_D095"/>
        <filter val="TXPA_81FwLu130Tx7_D095"/>
        <filter val="TXPA_81FwLu130Tx8_D095"/>
        <filter val="TXPA_81FwLu148Tx1_D095"/>
        <filter val="TXPA_81FwLu148Tx2_D095"/>
        <filter val="TXPA_81FwLu148Tx3_D095"/>
        <filter val="TXPA_81FwLu148Tx4_D095"/>
        <filter val="TXPA_81FwLu148Tx5_D095"/>
        <filter val="TXPA_81FwLu148Tx6_D095"/>
        <filter val="TXPA_81FwLu148Tx7_D095"/>
        <filter val="TXPA_81FwLu148Tx8_D095"/>
        <filter val="TXPA_81FwLu170Tx1_D095"/>
        <filter val="TXPA_81FwLu170Tx2_D095"/>
        <filter val="TXPA_81FwLu170Tx3_D095"/>
        <filter val="TXPA_81FwLu170Tx4_D095"/>
        <filter val="TXPA_81FwLu170Tx5_D095"/>
        <filter val="TXPA_81FwLu170Tx6_D095"/>
        <filter val="TXPA_81FwLu170Tx7_D095"/>
        <filter val="TXPA_81FwLu170Tx8_D095"/>
        <filter val="TXPA_81FwLu182Tx1_D095"/>
        <filter val="TXPA_81FwLu182Tx2_D095"/>
        <filter val="TXPA_81FwLu182Tx3_D095"/>
        <filter val="TXPA_81FwLu182Tx4_D095"/>
        <filter val="TXPA_81FwLu182Tx5_D095"/>
        <filter val="TXPA_81FwLu182Tx6_D095"/>
        <filter val="TXPA_81FwLu182Tx7_D095"/>
        <filter val="TXPA_81FwLu182Tx8_D095"/>
        <filter val="TXPA_81FwLu195Tx1_D095"/>
        <filter val="TXPA_81FwLu195Tx2_D095"/>
        <filter val="TXPA_81FwLu195Tx3_D095"/>
        <filter val="TXPA_81FwLu195Tx4_D095"/>
        <filter val="TXPA_81FwLu195Tx5_D095"/>
        <filter val="TXPA_81FwLu195Tx6_D095"/>
        <filter val="TXPA_81FwLu195Tx7_D095"/>
        <filter val="TXPA_81FwLu195Tx8_D095"/>
        <filter val="TXPA_81FwLu22Tx1__D095"/>
        <filter val="TXPA_81FwLu22Tx2__D095"/>
        <filter val="TXPA_81FwLu22Tx3__D095"/>
        <filter val="TXPA_81FwLu22Tx4__D095"/>
        <filter val="TXPA_81FwLu22Tx5__D095"/>
        <filter val="TXPA_81FwLu22Tx6__D095"/>
        <filter val="TXPA_81FwLu22Tx7__D095"/>
        <filter val="TXPA_81FwLu22Tx8__D095"/>
        <filter val="TXPA_81FwLu244Tx1_D095"/>
        <filter val="TXPA_81FwLu244Tx2_D095"/>
        <filter val="TXPA_81FwLu244Tx3_D095"/>
        <filter val="TXPA_81FwLu244Tx4_D095"/>
        <filter val="TXPA_81FwLu244Tx5_D095"/>
        <filter val="TXPA_81FwLu244Tx6_D095"/>
        <filter val="TXPA_81FwLu244Tx7_D095"/>
        <filter val="TXPA_81FwLu244Tx8_D095"/>
        <filter val="TXPA_81FwLu255Tx1_D095"/>
        <filter val="TXPA_81FwLu255Tx2_D095"/>
        <filter val="TXPA_81FwLu255Tx3_D095"/>
        <filter val="TXPA_81FwLu255Tx4_D095"/>
        <filter val="TXPA_81FwLu255Tx5_D095"/>
        <filter val="TXPA_81FwLu255Tx6_D095"/>
        <filter val="TXPA_81FwLu255Tx7_D095"/>
        <filter val="TXPA_81FwLu255Tx8_D095"/>
        <filter val="TXPA_81FwLu36Tx1__D095"/>
        <filter val="TXPA_81FwLu36Tx2__D095"/>
        <filter val="TXPA_81FwLu36Tx3__D095"/>
        <filter val="TXPA_81FwLu36Tx4__D095"/>
        <filter val="TXPA_81FwLu36Tx5__D095"/>
        <filter val="TXPA_81FwLu36Tx6__D095"/>
        <filter val="TXPA_81FwLu36Tx7__D095"/>
        <filter val="TXPA_81FwLu36Tx8__D095"/>
        <filter val="TXPA_81FwLu48Tx1__D095"/>
        <filter val="TXPA_81FwLu48Tx2__D095"/>
        <filter val="TXPA_81FwLu48Tx3__D095"/>
        <filter val="TXPA_81FwLu48Tx4__D095"/>
        <filter val="TXPA_81FwLu48Tx5__D095"/>
        <filter val="TXPA_81FwLu48Tx6__D095"/>
        <filter val="TXPA_81FwLu48Tx7__D095"/>
        <filter val="TXPA_81FwLu48Tx8__D095"/>
        <filter val="TXPA_81FwLu69Tx1__D095"/>
        <filter val="TXPA_81FwLu69Tx2__D095"/>
        <filter val="TXPA_81FwLu69Tx3__D095"/>
        <filter val="TXPA_81FwLu69Tx4__D095"/>
        <filter val="TXPA_81FwLu69Tx5__D095"/>
        <filter val="TXPA_81FwLu69Tx6__D095"/>
        <filter val="TXPA_81FwLu69Tx7__D095"/>
        <filter val="TXPA_81FwLu69Tx8__D095"/>
        <filter val="TXPA_81FwLu86Tx1__D095"/>
        <filter val="TXPA_81FwLu86Tx2__D095"/>
        <filter val="TXPA_81FwLu86Tx3__D095"/>
        <filter val="TXPA_81FwLu86Tx4__D095"/>
        <filter val="TXPA_81FwLu86Tx5__D095"/>
        <filter val="TXPA_81FwLu86Tx6__D095"/>
        <filter val="TXPA_81FwLu86Tx7__D095"/>
        <filter val="TXPA_81FwLu86Tx8__D095"/>
        <filter val="TXPB_77FwLu114Tx1_D095"/>
        <filter val="TXPB_77FwLu114Tx2_D095"/>
        <filter val="TXPB_77FwLu114Tx3_D095"/>
        <filter val="TXPB_77FwLu114Tx4_D095"/>
        <filter val="TXPB_77FwLu114Tx5_D095"/>
        <filter val="TXPB_77FwLu114Tx6_D095"/>
        <filter val="TXPB_77FwLu114Tx7_D095"/>
        <filter val="TXPB_77FwLu114Tx8_D095"/>
        <filter val="TXPB_77FwLu12Tx1__D095"/>
        <filter val="TXPB_77FwLu12Tx2__D095"/>
        <filter val="TXPB_77FwLu12Tx3__D095"/>
        <filter val="TXPB_77FwLu12Tx4__D095"/>
        <filter val="TXPB_77FwLu12Tx5__D095"/>
        <filter val="TXPB_77FwLu12Tx6__D095"/>
        <filter val="TXPB_77FwLu12Tx7__D095"/>
        <filter val="TXPB_77FwLu12Tx8__D095"/>
        <filter val="TXPB_77FwLu130Tx1_D095"/>
        <filter val="TXPB_77FwLu130Tx2_D095"/>
        <filter val="TXPB_77FwLu130Tx3_D095"/>
        <filter val="TXPB_77FwLu130Tx4_D095"/>
        <filter val="TXPB_77FwLu130Tx5_D095"/>
        <filter val="TXPB_77FwLu130Tx6_D095"/>
        <filter val="TXPB_77FwLu130Tx7_D095"/>
        <filter val="TXPB_77FwLu130Tx8_D095"/>
        <filter val="TXPB_77FwLu148Tx1_D095"/>
        <filter val="TXPB_77FwLu148Tx2_D095"/>
        <filter val="TXPB_77FwLu148Tx3_D095"/>
        <filter val="TXPB_77FwLu148Tx4_D095"/>
        <filter val="TXPB_77FwLu148Tx5_D095"/>
        <filter val="TXPB_77FwLu148Tx6_D095"/>
        <filter val="TXPB_77FwLu148Tx7_D095"/>
        <filter val="TXPB_77FwLu148Tx8_D095"/>
        <filter val="TXPB_77FwLu170Tx1_D095"/>
        <filter val="TXPB_77FwLu170Tx2_D095"/>
        <filter val="TXPB_77FwLu170Tx3_D095"/>
        <filter val="TXPB_77FwLu170Tx4_D095"/>
        <filter val="TXPB_77FwLu170Tx5_D095"/>
        <filter val="TXPB_77FwLu170Tx6_D095"/>
        <filter val="TXPB_77FwLu170Tx7_D095"/>
        <filter val="TXPB_77FwLu170Tx8_D095"/>
        <filter val="TXPB_77FwLu182Tx1_D095"/>
        <filter val="TXPB_77FwLu182Tx2_D095"/>
        <filter val="TXPB_77FwLu182Tx3_D095"/>
        <filter val="TXPB_77FwLu182Tx4_D095"/>
        <filter val="TXPB_77FwLu182Tx5_D095"/>
        <filter val="TXPB_77FwLu182Tx6_D095"/>
        <filter val="TXPB_77FwLu182Tx7_D095"/>
        <filter val="TXPB_77FwLu182Tx8_D095"/>
        <filter val="TXPB_77FwLu195Tx1_D095"/>
        <filter val="TXPB_77FwLu195Tx2_D095"/>
        <filter val="TXPB_77FwLu195Tx3_D095"/>
        <filter val="TXPB_77FwLu195Tx4_D095"/>
        <filter val="TXPB_77FwLu195Tx5_D095"/>
        <filter val="TXPB_77FwLu195Tx6_D095"/>
        <filter val="TXPB_77FwLu195Tx7_D095"/>
        <filter val="TXPB_77FwLu195Tx8_D095"/>
        <filter val="TXPB_77FwLu22Tx1__D095"/>
        <filter val="TXPB_77FwLu22Tx2__D095"/>
        <filter val="TXPB_77FwLu22Tx3__D095"/>
        <filter val="TXPB_77FwLu22Tx4__D095"/>
        <filter val="TXPB_77FwLu22Tx5__D095"/>
        <filter val="TXPB_77FwLu22Tx6__D095"/>
        <filter val="TXPB_77FwLu22Tx7__D095"/>
        <filter val="TXPB_77FwLu22Tx8__D095"/>
        <filter val="TXPB_77FwLu244Tx1_D095"/>
        <filter val="TXPB_77FwLu244Tx2_D095"/>
        <filter val="TXPB_77FwLu244Tx3_D095"/>
        <filter val="TXPB_77FwLu244Tx4_D095"/>
        <filter val="TXPB_77FwLu244Tx5_D095"/>
        <filter val="TXPB_77FwLu244Tx6_D095"/>
        <filter val="TXPB_77FwLu244Tx7_D095"/>
        <filter val="TXPB_77FwLu244Tx8_D095"/>
        <filter val="TXPB_77FwLu255Tx1_D095"/>
        <filter val="TXPB_77FwLu255Tx2_D095"/>
        <filter val="TXPB_77FwLu255Tx3_D095"/>
        <filter val="TXPB_77FwLu255Tx4_D095"/>
        <filter val="TXPB_77FwLu255Tx5_D095"/>
        <filter val="TXPB_77FwLu255Tx6_D095"/>
        <filter val="TXPB_77FwLu255Tx7_D095"/>
        <filter val="TXPB_77FwLu255Tx8_D095"/>
        <filter val="TXPB_77FwLu36Tx1__D095"/>
        <filter val="TXPB_77FwLu36Tx2__D095"/>
        <filter val="TXPB_77FwLu36Tx3__D095"/>
        <filter val="TXPB_77FwLu36Tx4__D095"/>
        <filter val="TXPB_77FwLu36Tx5__D095"/>
        <filter val="TXPB_77FwLu36Tx6__D095"/>
        <filter val="TXPB_77FwLu36Tx7__D095"/>
        <filter val="TXPB_77FwLu36Tx8__D095"/>
        <filter val="TXPB_77FwLu48Tx1__D095"/>
        <filter val="TXPB_77FwLu48Tx2__D095"/>
        <filter val="TXPB_77FwLu48Tx3__D095"/>
        <filter val="TXPB_77FwLu48Tx4__D095"/>
        <filter val="TXPB_77FwLu48Tx5__D095"/>
        <filter val="TXPB_77FwLu48Tx6__D095"/>
        <filter val="TXPB_77FwLu48Tx7__D095"/>
        <filter val="TXPB_77FwLu48Tx8__D095"/>
        <filter val="TXPB_77FwLu69Tx1__D095"/>
        <filter val="TXPB_77FwLu69Tx2__D095"/>
        <filter val="TXPB_77FwLu69Tx3__D095"/>
        <filter val="TXPB_77FwLu69Tx4__D095"/>
        <filter val="TXPB_77FwLu69Tx5__D095"/>
        <filter val="TXPB_77FwLu69Tx6__D095"/>
        <filter val="TXPB_77FwLu69Tx7__D095"/>
        <filter val="TXPB_77FwLu69Tx8__D095"/>
        <filter val="TXPB_77FwLu86Tx1__D095"/>
        <filter val="TXPB_77FwLu86Tx2__D095"/>
        <filter val="TXPB_77FwLu86Tx3__D095"/>
        <filter val="TXPB_77FwLu86Tx4__D095"/>
        <filter val="TXPB_77FwLu86Tx5__D095"/>
        <filter val="TXPB_77FwLu86Tx6__D095"/>
        <filter val="TXPB_77FwLu86Tx7__D095"/>
        <filter val="TXPB_77FwLu86Tx8__D095"/>
        <filter val="TXPC_76FwLu114Tx1_D095"/>
        <filter val="TXPC_76FwLu114Tx2_D095"/>
        <filter val="TXPC_76FwLu114Tx3_D095"/>
        <filter val="TXPC_76FwLu114Tx4_D095"/>
        <filter val="TXPC_76FwLu114Tx5_D095"/>
        <filter val="TXPC_76FwLu114Tx6_D095"/>
        <filter val="TXPC_76FwLu114Tx7_D095"/>
        <filter val="TXPC_76FwLu114Tx8_D095"/>
        <filter val="TXPC_76FwLu12Tx1__D095"/>
        <filter val="TXPC_76FwLu12Tx2__D095"/>
        <filter val="TXPC_76FwLu12Tx3__D095"/>
        <filter val="TXPC_76FwLu12Tx4__D095"/>
        <filter val="TXPC_76FwLu12Tx5__D095"/>
        <filter val="TXPC_76FwLu12Tx6__D095"/>
        <filter val="TXPC_76FwLu12Tx7__D095"/>
        <filter val="TXPC_76FwLu12Tx8__D095"/>
        <filter val="TXPC_76FwLu130Tx1_D095"/>
        <filter val="TXPC_76FwLu130Tx2_D095"/>
        <filter val="TXPC_76FwLu130Tx3_D095"/>
        <filter val="TXPC_76FwLu130Tx4_D095"/>
        <filter val="TXPC_76FwLu130Tx5_D095"/>
        <filter val="TXPC_76FwLu130Tx6_D095"/>
        <filter val="TXPC_76FwLu130Tx7_D095"/>
        <filter val="TXPC_76FwLu130Tx8_D095"/>
        <filter val="TXPC_76FwLu148Tx1_D095"/>
        <filter val="TXPC_76FwLu148Tx2_D095"/>
        <filter val="TXPC_76FwLu148Tx3_D095"/>
        <filter val="TXPC_76FwLu148Tx4_D095"/>
        <filter val="TXPC_76FwLu148Tx5_D095"/>
        <filter val="TXPC_76FwLu148Tx6_D095"/>
        <filter val="TXPC_76FwLu148Tx7_D095"/>
        <filter val="TXPC_76FwLu148Tx8_D095"/>
        <filter val="TXPC_76FwLu170Tx1_D095"/>
        <filter val="TXPC_76FwLu170Tx2_D095"/>
        <filter val="TXPC_76FwLu170Tx3_D095"/>
        <filter val="TXPC_76FwLu170Tx4_D095"/>
        <filter val="TXPC_76FwLu170Tx5_D095"/>
        <filter val="TXPC_76FwLu170Tx6_D095"/>
        <filter val="TXPC_76FwLu170Tx7_D095"/>
        <filter val="TXPC_76FwLu170Tx8_D095"/>
        <filter val="TXPC_76FwLu182Tx1_D095"/>
        <filter val="TXPC_76FwLu182Tx2_D095"/>
        <filter val="TXPC_76FwLu182Tx3_D095"/>
        <filter val="TXPC_76FwLu182Tx4_D095"/>
        <filter val="TXPC_76FwLu182Tx5_D095"/>
        <filter val="TXPC_76FwLu182Tx6_D095"/>
        <filter val="TXPC_76FwLu182Tx7_D095"/>
        <filter val="TXPC_76FwLu182Tx8_D095"/>
        <filter val="TXPC_76FwLu195Tx1_D095"/>
        <filter val="TXPC_76FwLu195Tx2_D095"/>
        <filter val="TXPC_76FwLu195Tx3_D095"/>
        <filter val="TXPC_76FwLu195Tx4_D095"/>
        <filter val="TXPC_76FwLu195Tx5_D095"/>
        <filter val="TXPC_76FwLu195Tx6_D095"/>
        <filter val="TXPC_76FwLu195Tx7_D095"/>
        <filter val="TXPC_76FwLu195Tx8_D095"/>
        <filter val="TXPC_76FwLu22Tx1__D095"/>
        <filter val="TXPC_76FwLu22Tx2__D095"/>
        <filter val="TXPC_76FwLu22Tx3__D095"/>
        <filter val="TXPC_76FwLu22Tx4__D095"/>
        <filter val="TXPC_76FwLu22Tx5__D095"/>
        <filter val="TXPC_76FwLu22Tx6__D095"/>
        <filter val="TXPC_76FwLu22Tx7__D095"/>
        <filter val="TXPC_76FwLu22Tx8__D095"/>
        <filter val="TXPC_76FwLu244Tx1_D095"/>
        <filter val="TXPC_76FwLu244Tx2_D095"/>
        <filter val="TXPC_76FwLu244Tx3_D095"/>
        <filter val="TXPC_76FwLu244Tx4_D095"/>
        <filter val="TXPC_76FwLu244Tx5_D095"/>
        <filter val="TXPC_76FwLu244Tx6_D095"/>
        <filter val="TXPC_76FwLu244Tx7_D095"/>
        <filter val="TXPC_76FwLu244Tx8_D095"/>
        <filter val="TXPC_76FwLu255Tx1_D095"/>
        <filter val="TXPC_76FwLu255Tx2_D095"/>
        <filter val="TXPC_76FwLu255Tx3_D095"/>
        <filter val="TXPC_76FwLu255Tx4_D095"/>
        <filter val="TXPC_76FwLu255Tx5_D095"/>
        <filter val="TXPC_76FwLu255Tx6_D095"/>
        <filter val="TXPC_76FwLu255Tx7_D095"/>
        <filter val="TXPC_76FwLu255Tx8_D095"/>
        <filter val="TXPC_76FwLu36Tx1__D095"/>
        <filter val="TXPC_76FwLu36Tx2__D095"/>
        <filter val="TXPC_76FwLu36Tx3__D095"/>
        <filter val="TXPC_76FwLu36Tx4__D095"/>
        <filter val="TXPC_76FwLu36Tx5__D095"/>
        <filter val="TXPC_76FwLu36Tx6__D095"/>
        <filter val="TXPC_76FwLu36Tx7__D095"/>
        <filter val="TXPC_76FwLu36Tx8__D095"/>
        <filter val="TXPC_76FwLu48Tx1__D095"/>
        <filter val="TXPC_76FwLu48Tx2__D095"/>
        <filter val="TXPC_76FwLu48Tx3__D095"/>
        <filter val="TXPC_76FwLu48Tx4__D095"/>
        <filter val="TXPC_76FwLu48Tx5__D095"/>
        <filter val="TXPC_76FwLu48Tx6__D095"/>
        <filter val="TXPC_76FwLu48Tx7__D095"/>
        <filter val="TXPC_76FwLu48Tx8__D095"/>
        <filter val="TXPC_76FwLu69Tx1__D095"/>
        <filter val="TXPC_76FwLu69Tx2__D095"/>
        <filter val="TXPC_76FwLu69Tx3__D095"/>
        <filter val="TXPC_76FwLu69Tx4__D095"/>
        <filter val="TXPC_76FwLu69Tx5__D095"/>
        <filter val="TXPC_76FwLu69Tx6__D095"/>
        <filter val="TXPC_76FwLu69Tx7__D095"/>
        <filter val="TXPC_76FwLu69Tx8__D095"/>
        <filter val="TXPC_76FwLu86Tx1__D095"/>
        <filter val="TXPC_76FwLu86Tx2__D095"/>
        <filter val="TXPC_76FwLu86Tx3__D095"/>
        <filter val="TXPC_76FwLu86Tx4__D095"/>
        <filter val="TXPC_76FwLu86Tx5__D095"/>
        <filter val="TXPC_76FwLu86Tx6__D095"/>
        <filter val="TXPC_76FwLu86Tx7__D095"/>
        <filter val="TXPC_76FwLu86Tx8__D095"/>
      </filters>
    </filterColumn>
  </autoFilter>
  <conditionalFormatting sqref="G2:G507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507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507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015"/>
  <sheetViews>
    <sheetView workbookViewId="0">
      <selection activeCell="D30" sqref="D30"/>
    </sheetView>
  </sheetViews>
  <sheetFormatPr defaultRowHeight="14.5" x14ac:dyDescent="0.35"/>
  <cols>
    <col min="1" max="1" width="70" bestFit="1" customWidth="1"/>
    <col min="2" max="2" width="12.7265625" bestFit="1" customWidth="1"/>
    <col min="3" max="3" width="22.54296875" bestFit="1" customWidth="1"/>
    <col min="4" max="4" width="13.36328125" bestFit="1" customWidth="1"/>
    <col min="5" max="5" width="23.7265625" bestFit="1" customWidth="1"/>
    <col min="6" max="6" width="6.453125" bestFit="1" customWidth="1"/>
    <col min="7" max="7" width="13.90625" bestFit="1" customWidth="1"/>
    <col min="8" max="8" width="14.26953125" bestFit="1" customWidth="1"/>
    <col min="9" max="9" width="17.81640625" bestFit="1" customWidth="1"/>
    <col min="10" max="10" width="17.7265625" bestFit="1" customWidth="1"/>
    <col min="11" max="11" width="15.81640625" bestFit="1" customWidth="1"/>
    <col min="12" max="12" width="19.36328125" bestFit="1" customWidth="1"/>
    <col min="13" max="13" width="15.26953125" bestFit="1" customWidth="1"/>
    <col min="14" max="14" width="13.54296875" bestFit="1" customWidth="1"/>
    <col min="15" max="15" width="17" bestFit="1" customWidth="1"/>
    <col min="16" max="16" width="11.81640625" bestFit="1" customWidth="1"/>
    <col min="17" max="17" width="12.453125" bestFit="1" customWidth="1"/>
    <col min="18" max="18" width="13" bestFit="1" customWidth="1"/>
    <col min="19" max="20" width="11.81640625" bestFit="1" customWidth="1"/>
    <col min="21" max="21" width="12" bestFit="1" customWidth="1"/>
    <col min="22" max="22" width="11.81640625" bestFit="1" customWidth="1"/>
    <col min="23" max="23" width="12.453125" bestFit="1" customWidth="1"/>
    <col min="24" max="24" width="11.81640625" bestFit="1" customWidth="1"/>
    <col min="25" max="25" width="9.26953125" bestFit="1" customWidth="1"/>
    <col min="26" max="26" width="18.6328125" bestFit="1" customWidth="1"/>
    <col min="27" max="27" width="27.08984375" bestFit="1" customWidth="1"/>
    <col min="28" max="28" width="96.453125" bestFit="1" customWidth="1"/>
    <col min="29" max="29" width="12.7265625" bestFit="1" customWidth="1"/>
  </cols>
  <sheetData>
    <row r="1" spans="1:29" x14ac:dyDescent="0.3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</row>
    <row r="2" spans="1:29" x14ac:dyDescent="0.35">
      <c r="A2" t="s">
        <v>46</v>
      </c>
      <c r="B2">
        <v>52046</v>
      </c>
      <c r="C2" t="s">
        <v>51</v>
      </c>
      <c r="D2">
        <v>53179</v>
      </c>
      <c r="E2" t="s">
        <v>54</v>
      </c>
      <c r="F2">
        <v>8716</v>
      </c>
      <c r="G2">
        <v>0.1509483337981635</v>
      </c>
      <c r="H2">
        <v>1.3711305692375361E-45</v>
      </c>
      <c r="I2">
        <v>1.400127288224433E-45</v>
      </c>
      <c r="J2">
        <v>0.12878735577720299</v>
      </c>
      <c r="K2">
        <v>1.482943062687176E-33</v>
      </c>
      <c r="L2">
        <v>1.5297093240740561E-33</v>
      </c>
      <c r="M2">
        <v>8.6200755910701421E-2</v>
      </c>
      <c r="N2">
        <v>1.6624679613174241E-33</v>
      </c>
      <c r="O2">
        <v>1.7148957403620229E-33</v>
      </c>
      <c r="P2">
        <v>2.278539947644179E-2</v>
      </c>
      <c r="Q2">
        <v>1.25019813309756</v>
      </c>
      <c r="R2">
        <v>-27.055879827393849</v>
      </c>
      <c r="S2">
        <v>1.077998370437288</v>
      </c>
      <c r="T2">
        <v>0.83113699570912281</v>
      </c>
      <c r="U2">
        <v>4.4782817893529154</v>
      </c>
      <c r="V2">
        <v>0.1316732403778659</v>
      </c>
      <c r="W2">
        <v>-21.457140294860029</v>
      </c>
      <c r="X2">
        <v>1.090556186724315</v>
      </c>
      <c r="Z2" t="s">
        <v>392</v>
      </c>
      <c r="AA2">
        <v>9937</v>
      </c>
      <c r="AB2" t="s">
        <v>393</v>
      </c>
      <c r="AC2" t="str">
        <f>HYPERLINK("plots/20251231000436_3FT6Y121H01_04823_B11P_N_UFLEX98_M5358A8BH101511/dpll_52046/txpa_53179.png","plot")</f>
        <v>plot</v>
      </c>
    </row>
    <row r="3" spans="1:29" x14ac:dyDescent="0.35">
      <c r="A3" t="s">
        <v>46</v>
      </c>
      <c r="B3">
        <v>52046</v>
      </c>
      <c r="C3" t="s">
        <v>51</v>
      </c>
      <c r="D3">
        <v>53180</v>
      </c>
      <c r="E3" t="s">
        <v>55</v>
      </c>
      <c r="F3">
        <v>8716</v>
      </c>
      <c r="G3">
        <v>0.17578014959996399</v>
      </c>
      <c r="H3">
        <v>1.9764084334396181E-61</v>
      </c>
      <c r="I3">
        <v>2.0618087978475029E-61</v>
      </c>
      <c r="J3">
        <v>0.12603219774345681</v>
      </c>
      <c r="K3">
        <v>3.39453113066551E-32</v>
      </c>
      <c r="L3">
        <v>3.4768227944392191E-32</v>
      </c>
      <c r="M3">
        <v>8.4888747268509632E-2</v>
      </c>
      <c r="N3">
        <v>1.5130565657959779E-32</v>
      </c>
      <c r="O3">
        <v>1.5497367249667889E-32</v>
      </c>
      <c r="P3">
        <v>3.0898660993385708E-2</v>
      </c>
      <c r="Q3">
        <v>1.4332499461415411</v>
      </c>
      <c r="R3">
        <v>-27.442903317426079</v>
      </c>
      <c r="S3">
        <v>1.0568401632678579</v>
      </c>
      <c r="T3">
        <v>0.81680629620893863</v>
      </c>
      <c r="U3">
        <v>4.4782817893529154</v>
      </c>
      <c r="V3">
        <v>0.1316732403778659</v>
      </c>
      <c r="W3">
        <v>-21.02440618402937</v>
      </c>
      <c r="X3">
        <v>1.0736176133047111</v>
      </c>
      <c r="Z3" t="s">
        <v>392</v>
      </c>
      <c r="AA3">
        <v>9937</v>
      </c>
      <c r="AB3" t="s">
        <v>394</v>
      </c>
      <c r="AC3" t="str">
        <f>HYPERLINK("plots/20251231000436_3FT6Y121H01_04823_B11P_N_UFLEX98_M5358A8BH101511/dpll_52046/txpa_53180.png","plot")</f>
        <v>plot</v>
      </c>
    </row>
    <row r="4" spans="1:29" x14ac:dyDescent="0.35">
      <c r="A4" t="s">
        <v>46</v>
      </c>
      <c r="B4">
        <v>52046</v>
      </c>
      <c r="C4" t="s">
        <v>51</v>
      </c>
      <c r="D4">
        <v>53181</v>
      </c>
      <c r="E4" t="s">
        <v>56</v>
      </c>
      <c r="F4">
        <v>8716</v>
      </c>
      <c r="G4">
        <v>0.15770465846220541</v>
      </c>
      <c r="H4">
        <v>1.1911286907920761E-49</v>
      </c>
      <c r="I4">
        <v>1.223712758321343E-49</v>
      </c>
      <c r="J4">
        <v>0.12769434166451951</v>
      </c>
      <c r="K4">
        <v>5.1773512515488153E-33</v>
      </c>
      <c r="L4">
        <v>5.3243754250207902E-33</v>
      </c>
      <c r="M4">
        <v>8.5753155179045915E-2</v>
      </c>
      <c r="N4">
        <v>3.5452947468160541E-33</v>
      </c>
      <c r="O4">
        <v>3.6533830012921531E-33</v>
      </c>
      <c r="P4">
        <v>2.4870759300680851E-2</v>
      </c>
      <c r="Q4">
        <v>1.2485827745494591</v>
      </c>
      <c r="R4">
        <v>-26.763102397129419</v>
      </c>
      <c r="S4">
        <v>1.0293818700498021</v>
      </c>
      <c r="T4">
        <v>0.79525199588227247</v>
      </c>
      <c r="U4">
        <v>4.4782817893529154</v>
      </c>
      <c r="V4">
        <v>0.1316732403778659</v>
      </c>
      <c r="W4">
        <v>-21.17159689536485</v>
      </c>
      <c r="X4">
        <v>1.042486261395468</v>
      </c>
      <c r="Z4" t="s">
        <v>392</v>
      </c>
      <c r="AA4">
        <v>9937</v>
      </c>
      <c r="AB4" t="s">
        <v>395</v>
      </c>
      <c r="AC4" t="str">
        <f>HYPERLINK("plots/20251231000436_3FT6Y121H01_04823_B11P_N_UFLEX98_M5358A8BH101511/dpll_52046/txpa_53181.png","plot")</f>
        <v>plot</v>
      </c>
    </row>
    <row r="5" spans="1:29" x14ac:dyDescent="0.35">
      <c r="A5" t="s">
        <v>46</v>
      </c>
      <c r="B5">
        <v>52046</v>
      </c>
      <c r="C5" t="s">
        <v>51</v>
      </c>
      <c r="D5">
        <v>53182</v>
      </c>
      <c r="E5" t="s">
        <v>57</v>
      </c>
      <c r="F5">
        <v>8716</v>
      </c>
      <c r="G5">
        <v>0.15929945392256981</v>
      </c>
      <c r="H5">
        <v>1.231259801525343E-50</v>
      </c>
      <c r="I5">
        <v>1.2662245829074009E-50</v>
      </c>
      <c r="J5">
        <v>0.11056505622243511</v>
      </c>
      <c r="K5">
        <v>4.073872068548737E-25</v>
      </c>
      <c r="L5">
        <v>4.122660955597225E-25</v>
      </c>
      <c r="M5">
        <v>7.450025844827951E-2</v>
      </c>
      <c r="N5">
        <v>1.895268070374227E-25</v>
      </c>
      <c r="O5">
        <v>1.917965891576314E-25</v>
      </c>
      <c r="P5">
        <v>2.5376316020028919E-2</v>
      </c>
      <c r="Q5">
        <v>1.2579345886857849</v>
      </c>
      <c r="R5">
        <v>-26.618044104765609</v>
      </c>
      <c r="S5">
        <v>1.026443054725678</v>
      </c>
      <c r="T5">
        <v>0.793435673730294</v>
      </c>
      <c r="U5">
        <v>4.4782817893529154</v>
      </c>
      <c r="V5">
        <v>0.1316732403778659</v>
      </c>
      <c r="W5">
        <v>-20.984658544056909</v>
      </c>
      <c r="X5">
        <v>1.039779606251291</v>
      </c>
      <c r="Z5" t="s">
        <v>392</v>
      </c>
      <c r="AA5">
        <v>9937</v>
      </c>
      <c r="AB5" t="s">
        <v>396</v>
      </c>
      <c r="AC5" t="str">
        <f>HYPERLINK("plots/20251231000436_3FT6Y121H01_04823_B11P_N_UFLEX98_M5358A8BH101511/dpll_52046/txpa_53182.png","plot")</f>
        <v>plot</v>
      </c>
    </row>
    <row r="6" spans="1:29" x14ac:dyDescent="0.35">
      <c r="A6" t="s">
        <v>46</v>
      </c>
      <c r="B6">
        <v>52046</v>
      </c>
      <c r="C6" t="s">
        <v>51</v>
      </c>
      <c r="D6">
        <v>53183</v>
      </c>
      <c r="E6" t="s">
        <v>58</v>
      </c>
      <c r="F6">
        <v>8716</v>
      </c>
      <c r="G6">
        <v>0.18234911991616989</v>
      </c>
      <c r="H6">
        <v>4.7974680753380874E-66</v>
      </c>
      <c r="I6">
        <v>5.0832106879757794E-66</v>
      </c>
      <c r="J6">
        <v>0.13436440796460769</v>
      </c>
      <c r="K6">
        <v>2.1230428163876481E-36</v>
      </c>
      <c r="L6">
        <v>2.2262310401417531E-36</v>
      </c>
      <c r="M6">
        <v>9.0362887130110717E-2</v>
      </c>
      <c r="N6">
        <v>1.18986631456649E-36</v>
      </c>
      <c r="O6">
        <v>1.248990106594639E-36</v>
      </c>
      <c r="P6">
        <v>3.3251201534201733E-2</v>
      </c>
      <c r="Q6">
        <v>1.31438600055233</v>
      </c>
      <c r="R6">
        <v>-26.629985047177179</v>
      </c>
      <c r="S6">
        <v>0.93314403017824132</v>
      </c>
      <c r="T6">
        <v>0.72523073924608927</v>
      </c>
      <c r="U6">
        <v>4.4782817893529154</v>
      </c>
      <c r="V6">
        <v>0.1316732403778659</v>
      </c>
      <c r="W6">
        <v>-20.743794156723268</v>
      </c>
      <c r="X6">
        <v>0.94911049682933923</v>
      </c>
      <c r="Z6" t="s">
        <v>392</v>
      </c>
      <c r="AA6">
        <v>9937</v>
      </c>
      <c r="AB6" t="s">
        <v>397</v>
      </c>
      <c r="AC6" t="str">
        <f>HYPERLINK("plots/20251231000436_3FT6Y121H01_04823_B11P_N_UFLEX98_M5358A8BH101511/dpll_52046/txpa_53183.png","plot")</f>
        <v>plot</v>
      </c>
    </row>
    <row r="7" spans="1:29" x14ac:dyDescent="0.35">
      <c r="A7" t="s">
        <v>46</v>
      </c>
      <c r="B7">
        <v>52046</v>
      </c>
      <c r="C7" t="s">
        <v>51</v>
      </c>
      <c r="D7">
        <v>53184</v>
      </c>
      <c r="E7" t="s">
        <v>59</v>
      </c>
      <c r="F7">
        <v>8716</v>
      </c>
      <c r="G7">
        <v>0.18926175728320541</v>
      </c>
      <c r="H7">
        <v>4.2689679222860473E-71</v>
      </c>
      <c r="I7">
        <v>4.5517702136677727E-71</v>
      </c>
      <c r="J7">
        <v>0.1334504445615449</v>
      </c>
      <c r="K7">
        <v>6.3315142794579134E-36</v>
      </c>
      <c r="L7">
        <v>6.6255474503305724E-36</v>
      </c>
      <c r="M7">
        <v>8.9695509901311463E-2</v>
      </c>
      <c r="N7">
        <v>3.8851497865948703E-36</v>
      </c>
      <c r="O7">
        <v>4.0697746731479321E-36</v>
      </c>
      <c r="P7">
        <v>3.5820012769926947E-2</v>
      </c>
      <c r="Q7">
        <v>1.412711305297621</v>
      </c>
      <c r="R7">
        <v>-27.105933252008001</v>
      </c>
      <c r="S7">
        <v>0.96503311688824656</v>
      </c>
      <c r="T7">
        <v>0.74993115542058308</v>
      </c>
      <c r="U7">
        <v>4.4782817893529154</v>
      </c>
      <c r="V7">
        <v>0.1316732403778659</v>
      </c>
      <c r="W7">
        <v>-20.77941393988068</v>
      </c>
      <c r="X7">
        <v>0.98285188702244475</v>
      </c>
      <c r="Z7" t="s">
        <v>392</v>
      </c>
      <c r="AA7">
        <v>9937</v>
      </c>
      <c r="AB7" t="s">
        <v>398</v>
      </c>
      <c r="AC7" t="str">
        <f>HYPERLINK("plots/20251231000436_3FT6Y121H01_04823_B11P_N_UFLEX98_M5358A8BH101511/dpll_52046/txpa_53184.png","plot")</f>
        <v>plot</v>
      </c>
    </row>
    <row r="8" spans="1:29" x14ac:dyDescent="0.35">
      <c r="A8" t="s">
        <v>46</v>
      </c>
      <c r="B8">
        <v>52046</v>
      </c>
      <c r="C8" t="s">
        <v>51</v>
      </c>
      <c r="D8">
        <v>53185</v>
      </c>
      <c r="E8" t="s">
        <v>60</v>
      </c>
      <c r="F8">
        <v>8716</v>
      </c>
      <c r="G8">
        <v>0.17056825267835429</v>
      </c>
      <c r="H8">
        <v>6.7637339289179731E-58</v>
      </c>
      <c r="I8">
        <v>7.034283286074692E-58</v>
      </c>
      <c r="J8">
        <v>0.1304501641662664</v>
      </c>
      <c r="K8">
        <v>2.167817656575994E-34</v>
      </c>
      <c r="L8">
        <v>2.2499151522702739E-34</v>
      </c>
      <c r="M8">
        <v>8.7563488866899533E-2</v>
      </c>
      <c r="N8">
        <v>1.608247978359692E-34</v>
      </c>
      <c r="O8">
        <v>1.6708641906318931E-34</v>
      </c>
      <c r="P8">
        <v>2.9093528821746921E-2</v>
      </c>
      <c r="Q8">
        <v>1.2742384545962899</v>
      </c>
      <c r="R8">
        <v>-26.548707583813279</v>
      </c>
      <c r="S8">
        <v>0.96920090931146607</v>
      </c>
      <c r="T8">
        <v>0.75183969436019193</v>
      </c>
      <c r="U8">
        <v>4.4782817893529154</v>
      </c>
      <c r="V8">
        <v>0.1316732403778659</v>
      </c>
      <c r="W8">
        <v>-20.84230871730151</v>
      </c>
      <c r="X8">
        <v>0.98367136730403981</v>
      </c>
      <c r="Z8" t="s">
        <v>392</v>
      </c>
      <c r="AA8">
        <v>9937</v>
      </c>
      <c r="AB8" t="s">
        <v>399</v>
      </c>
      <c r="AC8" t="str">
        <f>HYPERLINK("plots/20251231000436_3FT6Y121H01_04823_B11P_N_UFLEX98_M5358A8BH101511/dpll_52046/txpa_53185.png","plot")</f>
        <v>plot</v>
      </c>
    </row>
    <row r="9" spans="1:29" x14ac:dyDescent="0.35">
      <c r="A9" t="s">
        <v>46</v>
      </c>
      <c r="B9">
        <v>52046</v>
      </c>
      <c r="C9" t="s">
        <v>51</v>
      </c>
      <c r="D9">
        <v>53186</v>
      </c>
      <c r="E9" t="s">
        <v>61</v>
      </c>
      <c r="F9">
        <v>8716</v>
      </c>
      <c r="G9">
        <v>0.19298861429238659</v>
      </c>
      <c r="H9">
        <v>6.6688347808424667E-74</v>
      </c>
      <c r="I9">
        <v>7.148201340141925E-74</v>
      </c>
      <c r="J9">
        <v>0.15226821084996089</v>
      </c>
      <c r="K9">
        <v>2.2815796433318639E-46</v>
      </c>
      <c r="L9">
        <v>2.4611933599345849E-46</v>
      </c>
      <c r="M9">
        <v>0.10266485447946749</v>
      </c>
      <c r="N9">
        <v>8.3638135164409975E-47</v>
      </c>
      <c r="O9">
        <v>9.0222413890118835E-47</v>
      </c>
      <c r="P9">
        <v>3.7244605246495581E-2</v>
      </c>
      <c r="Q9">
        <v>1.587343458554858</v>
      </c>
      <c r="R9">
        <v>-28.492111614817141</v>
      </c>
      <c r="S9">
        <v>1.0625999901015739</v>
      </c>
      <c r="T9">
        <v>0.825543332032042</v>
      </c>
      <c r="U9">
        <v>4.4782817893529154</v>
      </c>
      <c r="V9">
        <v>0.1316732403778659</v>
      </c>
      <c r="W9">
        <v>-21.383540310922449</v>
      </c>
      <c r="X9">
        <v>1.083020661850373</v>
      </c>
      <c r="Z9" t="s">
        <v>392</v>
      </c>
      <c r="AA9">
        <v>9937</v>
      </c>
      <c r="AB9" t="s">
        <v>400</v>
      </c>
      <c r="AC9" t="str">
        <f>HYPERLINK("plots/20251231000436_3FT6Y121H01_04823_B11P_N_UFLEX98_M5358A8BH101511/dpll_52046/txpa_53186.png","plot")</f>
        <v>plot</v>
      </c>
    </row>
    <row r="10" spans="1:29" x14ac:dyDescent="0.35">
      <c r="A10" t="s">
        <v>46</v>
      </c>
      <c r="B10">
        <v>52046</v>
      </c>
      <c r="C10" t="s">
        <v>51</v>
      </c>
      <c r="D10">
        <v>53187</v>
      </c>
      <c r="E10" t="s">
        <v>62</v>
      </c>
      <c r="F10">
        <v>8716</v>
      </c>
      <c r="G10">
        <v>0.35964812812070979</v>
      </c>
      <c r="H10">
        <v>1.9107205040679759E-264</v>
      </c>
      <c r="I10">
        <v>2.380185001381975E-264</v>
      </c>
      <c r="J10">
        <v>0.28863802094506219</v>
      </c>
      <c r="K10">
        <v>7.4197159506470133E-167</v>
      </c>
      <c r="L10">
        <v>9.9386948136804107E-167</v>
      </c>
      <c r="M10">
        <v>0.1964275554230942</v>
      </c>
      <c r="N10">
        <v>1.8373803509087641E-166</v>
      </c>
      <c r="O10">
        <v>2.4644228516157231E-166</v>
      </c>
      <c r="P10">
        <v>0.1293467760607305</v>
      </c>
      <c r="Q10">
        <v>0.78550915036777769</v>
      </c>
      <c r="R10">
        <v>-11.49423903651855</v>
      </c>
      <c r="S10">
        <v>0.2683296466673285</v>
      </c>
      <c r="T10">
        <v>0.2020330114362979</v>
      </c>
      <c r="U10">
        <v>4.4782817893529154</v>
      </c>
      <c r="V10">
        <v>0.1316732403778659</v>
      </c>
      <c r="W10">
        <v>-7.9765077130564483</v>
      </c>
      <c r="X10">
        <v>0.28758813709347297</v>
      </c>
      <c r="Z10" t="s">
        <v>392</v>
      </c>
      <c r="AA10">
        <v>9937</v>
      </c>
      <c r="AB10" t="s">
        <v>401</v>
      </c>
      <c r="AC10" t="str">
        <f>HYPERLINK("plots/20251231000436_3FT6Y121H01_04823_B11P_N_UFLEX98_M5358A8BH101511/dpll_52046/txpa_53187.png","plot")</f>
        <v>plot</v>
      </c>
    </row>
    <row r="11" spans="1:29" x14ac:dyDescent="0.35">
      <c r="A11" t="s">
        <v>46</v>
      </c>
      <c r="B11">
        <v>52046</v>
      </c>
      <c r="C11" t="s">
        <v>51</v>
      </c>
      <c r="D11">
        <v>53188</v>
      </c>
      <c r="E11" t="s">
        <v>63</v>
      </c>
      <c r="F11">
        <v>8716</v>
      </c>
      <c r="G11">
        <v>0.31500574555713329</v>
      </c>
      <c r="H11">
        <v>4.8839410563970491E-200</v>
      </c>
      <c r="I11">
        <v>5.6340343927037624E-200</v>
      </c>
      <c r="J11">
        <v>0.1950267411073012</v>
      </c>
      <c r="K11">
        <v>1.8389586440282751E-75</v>
      </c>
      <c r="L11">
        <v>2.02465153642201E-75</v>
      </c>
      <c r="M11">
        <v>0.1327397106068583</v>
      </c>
      <c r="N11">
        <v>4.3827085827280088E-77</v>
      </c>
      <c r="O11">
        <v>4.8410310488956443E-77</v>
      </c>
      <c r="P11">
        <v>9.9228619734005402E-2</v>
      </c>
      <c r="Q11">
        <v>0.93653267964113918</v>
      </c>
      <c r="R11">
        <v>-11.851399645931149</v>
      </c>
      <c r="S11">
        <v>0.37152184862052151</v>
      </c>
      <c r="T11">
        <v>0.29497077872313071</v>
      </c>
      <c r="U11">
        <v>4.4782817893529154</v>
      </c>
      <c r="V11">
        <v>0.1316732403778659</v>
      </c>
      <c r="W11">
        <v>-7.6573424015603493</v>
      </c>
      <c r="X11">
        <v>0.39147315370394847</v>
      </c>
      <c r="Z11" t="s">
        <v>392</v>
      </c>
      <c r="AA11">
        <v>9937</v>
      </c>
      <c r="AB11" t="s">
        <v>402</v>
      </c>
      <c r="AC11" t="str">
        <f>HYPERLINK("plots/20251231000436_3FT6Y121H01_04823_B11P_N_UFLEX98_M5358A8BH101511/dpll_52046/txpa_53188.png","plot")</f>
        <v>plot</v>
      </c>
    </row>
    <row r="12" spans="1:29" x14ac:dyDescent="0.35">
      <c r="A12" t="s">
        <v>46</v>
      </c>
      <c r="B12">
        <v>52046</v>
      </c>
      <c r="C12" t="s">
        <v>51</v>
      </c>
      <c r="D12">
        <v>53189</v>
      </c>
      <c r="E12" t="s">
        <v>64</v>
      </c>
      <c r="F12">
        <v>8716</v>
      </c>
      <c r="G12">
        <v>0.36352984441636588</v>
      </c>
      <c r="H12">
        <v>1.4647455272069461E-270</v>
      </c>
      <c r="I12">
        <v>1.8427443729377711E-270</v>
      </c>
      <c r="J12">
        <v>0.27477472497378469</v>
      </c>
      <c r="K12">
        <v>8.8371483629915463E-151</v>
      </c>
      <c r="L12">
        <v>1.134287144313092E-150</v>
      </c>
      <c r="M12">
        <v>0.18713230772545261</v>
      </c>
      <c r="N12">
        <v>2.8475244408287911E-151</v>
      </c>
      <c r="O12">
        <v>3.673523896947066E-151</v>
      </c>
      <c r="P12">
        <v>0.1321539477813872</v>
      </c>
      <c r="Q12">
        <v>0.80148592251078687</v>
      </c>
      <c r="R12">
        <v>-11.332612359504751</v>
      </c>
      <c r="S12">
        <v>0.27042683325554911</v>
      </c>
      <c r="T12">
        <v>0.21003957745476079</v>
      </c>
      <c r="U12">
        <v>4.4782817893529154</v>
      </c>
      <c r="V12">
        <v>0.1316732403778659</v>
      </c>
      <c r="W12">
        <v>-7.7433325483019733</v>
      </c>
      <c r="X12">
        <v>0.29030422166210279</v>
      </c>
      <c r="Z12" t="s">
        <v>392</v>
      </c>
      <c r="AA12">
        <v>9937</v>
      </c>
      <c r="AB12" t="s">
        <v>403</v>
      </c>
      <c r="AC12" t="str">
        <f>HYPERLINK("plots/20251231000436_3FT6Y121H01_04823_B11P_N_UFLEX98_M5358A8BH101511/dpll_52046/txpa_53189.png","plot")</f>
        <v>plot</v>
      </c>
    </row>
    <row r="13" spans="1:29" x14ac:dyDescent="0.35">
      <c r="A13" t="s">
        <v>46</v>
      </c>
      <c r="B13">
        <v>52046</v>
      </c>
      <c r="C13" t="s">
        <v>51</v>
      </c>
      <c r="D13">
        <v>53190</v>
      </c>
      <c r="E13" t="s">
        <v>65</v>
      </c>
      <c r="F13">
        <v>8716</v>
      </c>
      <c r="G13">
        <v>0.34143398543541781</v>
      </c>
      <c r="H13">
        <v>7.158356674522107E-237</v>
      </c>
      <c r="I13">
        <v>8.5495567349415984E-237</v>
      </c>
      <c r="J13">
        <v>0.2168202710420444</v>
      </c>
      <c r="K13">
        <v>3.0240030771790622E-93</v>
      </c>
      <c r="L13">
        <v>3.4299095304916882E-93</v>
      </c>
      <c r="M13">
        <v>0.14773998589567741</v>
      </c>
      <c r="N13">
        <v>4.9218690077718593E-95</v>
      </c>
      <c r="O13">
        <v>5.6842541843743353E-95</v>
      </c>
      <c r="P13">
        <v>0.1165771664103131</v>
      </c>
      <c r="Q13">
        <v>0.89970115821710439</v>
      </c>
      <c r="R13">
        <v>-11.71133434540187</v>
      </c>
      <c r="S13">
        <v>0.3260982367066752</v>
      </c>
      <c r="T13">
        <v>0.25413591378690392</v>
      </c>
      <c r="U13">
        <v>4.4782817893529154</v>
      </c>
      <c r="V13">
        <v>0.1316732403778659</v>
      </c>
      <c r="W13">
        <v>-7.6822190326984856</v>
      </c>
      <c r="X13">
        <v>0.34696770657756659</v>
      </c>
      <c r="Z13" t="s">
        <v>392</v>
      </c>
      <c r="AA13">
        <v>9937</v>
      </c>
      <c r="AB13" t="s">
        <v>404</v>
      </c>
      <c r="AC13" t="str">
        <f>HYPERLINK("plots/20251231000436_3FT6Y121H01_04823_B11P_N_UFLEX98_M5358A8BH101511/dpll_52046/txpa_53190.png","plot")</f>
        <v>plot</v>
      </c>
    </row>
    <row r="14" spans="1:29" x14ac:dyDescent="0.35">
      <c r="A14" t="s">
        <v>46</v>
      </c>
      <c r="B14">
        <v>52046</v>
      </c>
      <c r="C14" t="s">
        <v>51</v>
      </c>
      <c r="D14">
        <v>53191</v>
      </c>
      <c r="E14" t="s">
        <v>66</v>
      </c>
      <c r="F14">
        <v>8716</v>
      </c>
      <c r="G14">
        <v>0.39261013196608319</v>
      </c>
      <c r="H14">
        <v>0</v>
      </c>
      <c r="I14">
        <v>0</v>
      </c>
      <c r="J14">
        <v>0.28517323195705019</v>
      </c>
      <c r="K14">
        <v>9.4420787984994635E-163</v>
      </c>
      <c r="L14">
        <v>1.245028335718915E-162</v>
      </c>
      <c r="M14">
        <v>0.19491976048663509</v>
      </c>
      <c r="N14">
        <v>5.9556562299916513E-164</v>
      </c>
      <c r="O14">
        <v>7.9252433296739297E-164</v>
      </c>
      <c r="P14">
        <v>0.15414271572242519</v>
      </c>
      <c r="Q14">
        <v>0.8382305069150584</v>
      </c>
      <c r="R14">
        <v>-11.295023764443661</v>
      </c>
      <c r="S14">
        <v>0.25853724386306082</v>
      </c>
      <c r="T14">
        <v>0.20011934628851069</v>
      </c>
      <c r="U14">
        <v>4.4782817893529154</v>
      </c>
      <c r="V14">
        <v>0.1316732403778659</v>
      </c>
      <c r="W14">
        <v>-7.5411913500458931</v>
      </c>
      <c r="X14">
        <v>0.28112500937347618</v>
      </c>
      <c r="Z14" t="s">
        <v>392</v>
      </c>
      <c r="AA14">
        <v>9937</v>
      </c>
      <c r="AB14" t="s">
        <v>405</v>
      </c>
      <c r="AC14" t="str">
        <f>HYPERLINK("plots/20251231000436_3FT6Y121H01_04823_B11P_N_UFLEX98_M5358A8BH101511/dpll_52046/txpa_53191.png","plot")</f>
        <v>plot</v>
      </c>
    </row>
    <row r="15" spans="1:29" x14ac:dyDescent="0.35">
      <c r="A15" t="s">
        <v>46</v>
      </c>
      <c r="B15">
        <v>52046</v>
      </c>
      <c r="C15" t="s">
        <v>51</v>
      </c>
      <c r="D15">
        <v>53192</v>
      </c>
      <c r="E15" t="s">
        <v>67</v>
      </c>
      <c r="F15">
        <v>8714</v>
      </c>
      <c r="G15">
        <v>0.37047485652135892</v>
      </c>
      <c r="H15">
        <v>1.1862245796513599E-281</v>
      </c>
      <c r="I15">
        <v>1.5091991515263229E-281</v>
      </c>
      <c r="J15">
        <v>0.24696073897522369</v>
      </c>
      <c r="K15">
        <v>3.0955368996353621E-121</v>
      </c>
      <c r="L15">
        <v>3.710253447080682E-121</v>
      </c>
      <c r="M15">
        <v>0.16918820145721661</v>
      </c>
      <c r="N15">
        <v>5.4079232873413503E-124</v>
      </c>
      <c r="O15">
        <v>6.5126297070832886E-124</v>
      </c>
      <c r="P15">
        <v>0.13725161931452151</v>
      </c>
      <c r="Q15">
        <v>0.93831071471840521</v>
      </c>
      <c r="R15">
        <v>-11.73178436146384</v>
      </c>
      <c r="S15">
        <v>0.3095219693381337</v>
      </c>
      <c r="T15">
        <v>0.24010393914324049</v>
      </c>
      <c r="U15">
        <v>4.478363023295846</v>
      </c>
      <c r="V15">
        <v>0.13157894114453109</v>
      </c>
      <c r="W15">
        <v>-7.5296883523066329</v>
      </c>
      <c r="X15">
        <v>0.33325319690109118</v>
      </c>
      <c r="Z15" t="s">
        <v>392</v>
      </c>
      <c r="AA15">
        <v>9937</v>
      </c>
      <c r="AB15" t="s">
        <v>406</v>
      </c>
      <c r="AC15" t="str">
        <f>HYPERLINK("plots/20251231000436_3FT6Y121H01_04823_B11P_N_UFLEX98_M5358A8BH101511/dpll_52046/txpa_53192.png","plot")</f>
        <v>plot</v>
      </c>
    </row>
    <row r="16" spans="1:29" x14ac:dyDescent="0.35">
      <c r="A16" t="s">
        <v>46</v>
      </c>
      <c r="B16">
        <v>52046</v>
      </c>
      <c r="C16" t="s">
        <v>51</v>
      </c>
      <c r="D16">
        <v>53193</v>
      </c>
      <c r="E16" t="s">
        <v>68</v>
      </c>
      <c r="F16">
        <v>8716</v>
      </c>
      <c r="G16">
        <v>0.38305261753470449</v>
      </c>
      <c r="H16">
        <v>1.240465523225822E-302</v>
      </c>
      <c r="I16">
        <v>1.618831455020571E-302</v>
      </c>
      <c r="J16">
        <v>0.28601147129182231</v>
      </c>
      <c r="K16">
        <v>9.7132461864110983E-164</v>
      </c>
      <c r="L16">
        <v>1.2874812592184121E-163</v>
      </c>
      <c r="M16">
        <v>0.19551695460262089</v>
      </c>
      <c r="N16">
        <v>6.0113800150300871E-165</v>
      </c>
      <c r="O16">
        <v>8.0416086216893257E-165</v>
      </c>
      <c r="P16">
        <v>0.14672930780018861</v>
      </c>
      <c r="Q16">
        <v>0.8423398577780139</v>
      </c>
      <c r="R16">
        <v>-11.277201012054739</v>
      </c>
      <c r="S16">
        <v>0.26745143933384707</v>
      </c>
      <c r="T16">
        <v>0.20935595361717049</v>
      </c>
      <c r="U16">
        <v>4.4782817893529154</v>
      </c>
      <c r="V16">
        <v>0.1316732403778659</v>
      </c>
      <c r="W16">
        <v>-7.504965766521341</v>
      </c>
      <c r="X16">
        <v>0.28955191400829711</v>
      </c>
      <c r="Z16" t="s">
        <v>392</v>
      </c>
      <c r="AA16">
        <v>9937</v>
      </c>
      <c r="AB16" t="s">
        <v>407</v>
      </c>
      <c r="AC16" t="str">
        <f>HYPERLINK("plots/20251231000436_3FT6Y121H01_04823_B11P_N_UFLEX98_M5358A8BH101511/dpll_52046/txpa_53193.png","plot")</f>
        <v>plot</v>
      </c>
    </row>
    <row r="17" spans="1:29" x14ac:dyDescent="0.35">
      <c r="A17" t="s">
        <v>46</v>
      </c>
      <c r="B17">
        <v>52046</v>
      </c>
      <c r="C17" t="s">
        <v>51</v>
      </c>
      <c r="D17">
        <v>53194</v>
      </c>
      <c r="E17" t="s">
        <v>69</v>
      </c>
      <c r="F17">
        <v>8713</v>
      </c>
      <c r="G17">
        <v>0.39276496416722773</v>
      </c>
      <c r="H17">
        <v>0</v>
      </c>
      <c r="I17">
        <v>0</v>
      </c>
      <c r="J17">
        <v>0.28259800885131442</v>
      </c>
      <c r="K17">
        <v>1.102806740371676E-159</v>
      </c>
      <c r="L17">
        <v>1.4428981093379089E-159</v>
      </c>
      <c r="M17">
        <v>0.19347183996800671</v>
      </c>
      <c r="N17">
        <v>1.686256397654094E-161</v>
      </c>
      <c r="O17">
        <v>2.2263854000276711E-161</v>
      </c>
      <c r="P17">
        <v>0.15426431707728361</v>
      </c>
      <c r="Q17">
        <v>0.91904746875162557</v>
      </c>
      <c r="R17">
        <v>-12.01721550413032</v>
      </c>
      <c r="S17">
        <v>0.28301153554852421</v>
      </c>
      <c r="T17">
        <v>0.21718767980642939</v>
      </c>
      <c r="U17">
        <v>4.4784064057155977</v>
      </c>
      <c r="V17">
        <v>0.1315244611822548</v>
      </c>
      <c r="W17">
        <v>-7.9013474329163316</v>
      </c>
      <c r="X17">
        <v>0.3077596887613599</v>
      </c>
      <c r="Z17" t="s">
        <v>392</v>
      </c>
      <c r="AA17">
        <v>9937</v>
      </c>
      <c r="AB17" t="s">
        <v>408</v>
      </c>
      <c r="AC17" t="str">
        <f>HYPERLINK("plots/20251231000436_3FT6Y121H01_04823_B11P_N_UFLEX98_M5358A8BH101511/dpll_52046/txpa_53194.png","plot")</f>
        <v>plot</v>
      </c>
    </row>
    <row r="18" spans="1:29" x14ac:dyDescent="0.35">
      <c r="A18" t="s">
        <v>46</v>
      </c>
      <c r="B18">
        <v>52046</v>
      </c>
      <c r="C18" t="s">
        <v>51</v>
      </c>
      <c r="D18">
        <v>53195</v>
      </c>
      <c r="E18" t="s">
        <v>70</v>
      </c>
      <c r="F18">
        <v>8715</v>
      </c>
      <c r="G18">
        <v>0.38713921739715701</v>
      </c>
      <c r="H18">
        <v>0</v>
      </c>
      <c r="I18">
        <v>0</v>
      </c>
      <c r="J18">
        <v>0.30988462781193787</v>
      </c>
      <c r="K18">
        <v>2.6812076486637508E-193</v>
      </c>
      <c r="L18">
        <v>3.9118626701367528E-193</v>
      </c>
      <c r="M18">
        <v>0.21125755743575839</v>
      </c>
      <c r="N18">
        <v>3.1042232005828839E-192</v>
      </c>
      <c r="O18">
        <v>4.5421101376494154E-192</v>
      </c>
      <c r="P18">
        <v>0.14987677364688309</v>
      </c>
      <c r="Q18">
        <v>0.76885210435307194</v>
      </c>
      <c r="R18">
        <v>-5.3984675772945554</v>
      </c>
      <c r="S18">
        <v>0.24107068950471841</v>
      </c>
      <c r="T18">
        <v>0.17931814000677321</v>
      </c>
      <c r="U18">
        <v>4.4783070546184733</v>
      </c>
      <c r="V18">
        <v>0.13165966554254599</v>
      </c>
      <c r="W18">
        <v>-1.955311774411933</v>
      </c>
      <c r="X18">
        <v>0.26147392555934718</v>
      </c>
      <c r="Z18" t="s">
        <v>392</v>
      </c>
      <c r="AA18">
        <v>9937</v>
      </c>
      <c r="AB18" t="s">
        <v>409</v>
      </c>
      <c r="AC18" t="str">
        <f>HYPERLINK("plots/20251231000436_3FT6Y121H01_04823_B11P_N_UFLEX98_M5358A8BH101511/dpll_52046/txpa_53195.png","plot")</f>
        <v>plot</v>
      </c>
    </row>
    <row r="19" spans="1:29" x14ac:dyDescent="0.35">
      <c r="A19" t="s">
        <v>46</v>
      </c>
      <c r="B19">
        <v>52046</v>
      </c>
      <c r="C19" t="s">
        <v>51</v>
      </c>
      <c r="D19">
        <v>53196</v>
      </c>
      <c r="E19" t="s">
        <v>71</v>
      </c>
      <c r="F19">
        <v>8716</v>
      </c>
      <c r="G19">
        <v>0.33308724282360153</v>
      </c>
      <c r="H19">
        <v>7.6984672564211257E-225</v>
      </c>
      <c r="I19">
        <v>9.0350067106609044E-225</v>
      </c>
      <c r="J19">
        <v>0.20679756095109261</v>
      </c>
      <c r="K19">
        <v>8.1774134103167316E-85</v>
      </c>
      <c r="L19">
        <v>9.1219991177790603E-85</v>
      </c>
      <c r="M19">
        <v>0.14090100253399121</v>
      </c>
      <c r="N19">
        <v>1.2638240571585879E-86</v>
      </c>
      <c r="O19">
        <v>1.416041540285976E-86</v>
      </c>
      <c r="P19">
        <v>0.1109471113318288</v>
      </c>
      <c r="Q19">
        <v>0.89467000927695206</v>
      </c>
      <c r="R19">
        <v>-5.6760599795180644</v>
      </c>
      <c r="S19">
        <v>0.33345811185419638</v>
      </c>
      <c r="T19">
        <v>0.26394312057934582</v>
      </c>
      <c r="U19">
        <v>4.4782817893529154</v>
      </c>
      <c r="V19">
        <v>0.1316732403778659</v>
      </c>
      <c r="W19">
        <v>-1.6694755694928869</v>
      </c>
      <c r="X19">
        <v>0.35367340457640722</v>
      </c>
      <c r="Z19" t="s">
        <v>392</v>
      </c>
      <c r="AA19">
        <v>9937</v>
      </c>
      <c r="AB19" t="s">
        <v>410</v>
      </c>
      <c r="AC19" t="str">
        <f>HYPERLINK("plots/20251231000436_3FT6Y121H01_04823_B11P_N_UFLEX98_M5358A8BH101511/dpll_52046/txpa_53196.png","plot")</f>
        <v>plot</v>
      </c>
    </row>
    <row r="20" spans="1:29" x14ac:dyDescent="0.35">
      <c r="A20" t="s">
        <v>46</v>
      </c>
      <c r="B20">
        <v>52046</v>
      </c>
      <c r="C20" t="s">
        <v>51</v>
      </c>
      <c r="D20">
        <v>53197</v>
      </c>
      <c r="E20" t="s">
        <v>72</v>
      </c>
      <c r="F20">
        <v>8716</v>
      </c>
      <c r="G20">
        <v>0.39401792552631359</v>
      </c>
      <c r="H20">
        <v>0</v>
      </c>
      <c r="I20">
        <v>0</v>
      </c>
      <c r="J20">
        <v>0.30007073016125813</v>
      </c>
      <c r="K20">
        <v>8.1130234626555199E-181</v>
      </c>
      <c r="L20">
        <v>1.1362715181122509E-180</v>
      </c>
      <c r="M20">
        <v>0.20516820449850021</v>
      </c>
      <c r="N20">
        <v>1.8847682665040369E-181</v>
      </c>
      <c r="O20">
        <v>2.6692109249093481E-181</v>
      </c>
      <c r="P20">
        <v>0.15525012563605961</v>
      </c>
      <c r="Q20">
        <v>0.78667967031593922</v>
      </c>
      <c r="R20">
        <v>-5.2778419024377357</v>
      </c>
      <c r="S20">
        <v>0.24161206833966639</v>
      </c>
      <c r="T20">
        <v>0.18569677872017731</v>
      </c>
      <c r="U20">
        <v>4.4782817893529154</v>
      </c>
      <c r="V20">
        <v>0.1316732403778659</v>
      </c>
      <c r="W20">
        <v>-1.75486866080771</v>
      </c>
      <c r="X20">
        <v>0.26289327114122202</v>
      </c>
      <c r="Z20" t="s">
        <v>392</v>
      </c>
      <c r="AA20">
        <v>9937</v>
      </c>
      <c r="AB20" t="s">
        <v>411</v>
      </c>
      <c r="AC20" t="str">
        <f>HYPERLINK("plots/20251231000436_3FT6Y121H01_04823_B11P_N_UFLEX98_M5358A8BH101511/dpll_52046/txpa_53197.png","plot")</f>
        <v>plot</v>
      </c>
    </row>
    <row r="21" spans="1:29" x14ac:dyDescent="0.35">
      <c r="A21" t="s">
        <v>46</v>
      </c>
      <c r="B21">
        <v>52046</v>
      </c>
      <c r="C21" t="s">
        <v>51</v>
      </c>
      <c r="D21">
        <v>53198</v>
      </c>
      <c r="E21" t="s">
        <v>73</v>
      </c>
      <c r="F21">
        <v>8716</v>
      </c>
      <c r="G21">
        <v>0.36340634953676032</v>
      </c>
      <c r="H21">
        <v>2.29951917450014E-270</v>
      </c>
      <c r="I21">
        <v>2.8893586653570541E-270</v>
      </c>
      <c r="J21">
        <v>0.23379843176248799</v>
      </c>
      <c r="K21">
        <v>1.569531012035063E-108</v>
      </c>
      <c r="L21">
        <v>1.8356452666707661E-108</v>
      </c>
      <c r="M21">
        <v>0.15958505978709689</v>
      </c>
      <c r="N21">
        <v>1.4182004514219539E-110</v>
      </c>
      <c r="O21">
        <v>1.6760550789532189E-110</v>
      </c>
      <c r="P21">
        <v>0.13206417488363401</v>
      </c>
      <c r="Q21">
        <v>0.86570255151307351</v>
      </c>
      <c r="R21">
        <v>-5.5813105834841608</v>
      </c>
      <c r="S21">
        <v>0.29220833660674012</v>
      </c>
      <c r="T21">
        <v>0.22657779009524551</v>
      </c>
      <c r="U21">
        <v>4.4782817893529154</v>
      </c>
      <c r="V21">
        <v>0.1316732403778659</v>
      </c>
      <c r="W21">
        <v>-1.7044506120468099</v>
      </c>
      <c r="X21">
        <v>0.31367052421185659</v>
      </c>
      <c r="Z21" t="s">
        <v>392</v>
      </c>
      <c r="AA21">
        <v>9937</v>
      </c>
      <c r="AB21" t="s">
        <v>412</v>
      </c>
      <c r="AC21" t="str">
        <f>HYPERLINK("plots/20251231000436_3FT6Y121H01_04823_B11P_N_UFLEX98_M5358A8BH101511/dpll_52046/txpa_53198.png","plot")</f>
        <v>plot</v>
      </c>
    </row>
    <row r="22" spans="1:29" x14ac:dyDescent="0.35">
      <c r="A22" t="s">
        <v>46</v>
      </c>
      <c r="B22">
        <v>52046</v>
      </c>
      <c r="C22" t="s">
        <v>51</v>
      </c>
      <c r="D22">
        <v>53199</v>
      </c>
      <c r="E22" t="s">
        <v>74</v>
      </c>
      <c r="F22">
        <v>8713</v>
      </c>
      <c r="G22">
        <v>0.42485818937844427</v>
      </c>
      <c r="H22">
        <v>0</v>
      </c>
      <c r="I22">
        <v>0</v>
      </c>
      <c r="J22">
        <v>0.31506820825768739</v>
      </c>
      <c r="K22">
        <v>4.7226937599846479E-200</v>
      </c>
      <c r="L22">
        <v>7.0320285941621633E-200</v>
      </c>
      <c r="M22">
        <v>0.2163107294679775</v>
      </c>
      <c r="N22">
        <v>2.145844941327774E-201</v>
      </c>
      <c r="O22">
        <v>3.2140129549577001E-201</v>
      </c>
      <c r="P22">
        <v>0.1805044810819301</v>
      </c>
      <c r="Q22">
        <v>0.82083162616116789</v>
      </c>
      <c r="R22">
        <v>-5.2641221406992011</v>
      </c>
      <c r="S22">
        <v>0.230117247415976</v>
      </c>
      <c r="T22">
        <v>0.17671682992238269</v>
      </c>
      <c r="U22">
        <v>4.4783822412487089</v>
      </c>
      <c r="V22">
        <v>0.1315802524523027</v>
      </c>
      <c r="W22">
        <v>-1.5881243630437281</v>
      </c>
      <c r="X22">
        <v>0.25421478340603321</v>
      </c>
      <c r="Z22" t="s">
        <v>392</v>
      </c>
      <c r="AA22">
        <v>9937</v>
      </c>
      <c r="AB22" t="s">
        <v>413</v>
      </c>
      <c r="AC22" t="str">
        <f>HYPERLINK("plots/20251231000436_3FT6Y121H01_04823_B11P_N_UFLEX98_M5358A8BH101511/dpll_52046/txpa_53199.png","plot")</f>
        <v>plot</v>
      </c>
    </row>
    <row r="23" spans="1:29" x14ac:dyDescent="0.35">
      <c r="A23" t="s">
        <v>46</v>
      </c>
      <c r="B23">
        <v>52046</v>
      </c>
      <c r="C23" t="s">
        <v>51</v>
      </c>
      <c r="D23">
        <v>53200</v>
      </c>
      <c r="E23" t="s">
        <v>75</v>
      </c>
      <c r="F23">
        <v>8712</v>
      </c>
      <c r="G23">
        <v>0.39375450818928459</v>
      </c>
      <c r="H23">
        <v>0</v>
      </c>
      <c r="I23">
        <v>0</v>
      </c>
      <c r="J23">
        <v>0.26652381999909308</v>
      </c>
      <c r="K23">
        <v>1.389370946289874E-141</v>
      </c>
      <c r="L23">
        <v>1.7371419723032449E-141</v>
      </c>
      <c r="M23">
        <v>0.18305822294282911</v>
      </c>
      <c r="N23">
        <v>8.3929029137074452E-145</v>
      </c>
      <c r="O23">
        <v>1.065131859136339E-144</v>
      </c>
      <c r="P23">
        <v>0.15504261271938541</v>
      </c>
      <c r="Q23">
        <v>0.90388550454437189</v>
      </c>
      <c r="R23">
        <v>-5.6196995951965114</v>
      </c>
      <c r="S23">
        <v>0.2775374432398301</v>
      </c>
      <c r="T23">
        <v>0.21391482498037859</v>
      </c>
      <c r="U23">
        <v>4.4784221364784207</v>
      </c>
      <c r="V23">
        <v>0.13153496798293221</v>
      </c>
      <c r="W23">
        <v>-1.5717187428030299</v>
      </c>
      <c r="X23">
        <v>0.30194587853030169</v>
      </c>
      <c r="Z23" t="s">
        <v>392</v>
      </c>
      <c r="AA23">
        <v>9937</v>
      </c>
      <c r="AB23" t="s">
        <v>414</v>
      </c>
      <c r="AC23" t="str">
        <f>HYPERLINK("plots/20251231000436_3FT6Y121H01_04823_B11P_N_UFLEX98_M5358A8BH101511/dpll_52046/txpa_53200.png","plot")</f>
        <v>plot</v>
      </c>
    </row>
    <row r="24" spans="1:29" x14ac:dyDescent="0.35">
      <c r="A24" t="s">
        <v>46</v>
      </c>
      <c r="B24">
        <v>52046</v>
      </c>
      <c r="C24" t="s">
        <v>51</v>
      </c>
      <c r="D24">
        <v>53201</v>
      </c>
      <c r="E24" t="s">
        <v>76</v>
      </c>
      <c r="F24">
        <v>8715</v>
      </c>
      <c r="G24">
        <v>0.4149215462533199</v>
      </c>
      <c r="H24">
        <v>0</v>
      </c>
      <c r="I24">
        <v>0</v>
      </c>
      <c r="J24">
        <v>0.31163674442432793</v>
      </c>
      <c r="K24">
        <v>1.3973110289378E-195</v>
      </c>
      <c r="L24">
        <v>2.05046799326039E-195</v>
      </c>
      <c r="M24">
        <v>0.21365806981095289</v>
      </c>
      <c r="N24">
        <v>1.393913936279841E-196</v>
      </c>
      <c r="O24">
        <v>2.0603917367168489E-196</v>
      </c>
      <c r="P24">
        <v>0.17215988954524589</v>
      </c>
      <c r="Q24">
        <v>0.82571162715120738</v>
      </c>
      <c r="R24">
        <v>-5.2425969668721564</v>
      </c>
      <c r="S24">
        <v>0.238346266832865</v>
      </c>
      <c r="T24">
        <v>0.18481809400738031</v>
      </c>
      <c r="U24">
        <v>4.4783155982788294</v>
      </c>
      <c r="V24">
        <v>0.13164295642035209</v>
      </c>
      <c r="W24">
        <v>-1.5447997073207109</v>
      </c>
      <c r="X24">
        <v>0.26197511488709452</v>
      </c>
      <c r="Z24" t="s">
        <v>392</v>
      </c>
      <c r="AA24">
        <v>9937</v>
      </c>
      <c r="AB24" t="s">
        <v>415</v>
      </c>
      <c r="AC24" t="str">
        <f>HYPERLINK("plots/20251231000436_3FT6Y121H01_04823_B11P_N_UFLEX98_M5358A8BH101511/dpll_52046/txpa_53201.png","plot")</f>
        <v>plot</v>
      </c>
    </row>
    <row r="25" spans="1:29" x14ac:dyDescent="0.35">
      <c r="A25" t="s">
        <v>46</v>
      </c>
      <c r="B25">
        <v>52046</v>
      </c>
      <c r="C25" t="s">
        <v>51</v>
      </c>
      <c r="D25">
        <v>53202</v>
      </c>
      <c r="E25" t="s">
        <v>77</v>
      </c>
      <c r="F25">
        <v>8712</v>
      </c>
      <c r="G25">
        <v>0.41152251448852828</v>
      </c>
      <c r="H25">
        <v>0</v>
      </c>
      <c r="I25">
        <v>0</v>
      </c>
      <c r="J25">
        <v>0.29599007889539608</v>
      </c>
      <c r="K25">
        <v>1.111759815735352E-175</v>
      </c>
      <c r="L25">
        <v>1.533774766198159E-175</v>
      </c>
      <c r="M25">
        <v>0.20297160428939301</v>
      </c>
      <c r="N25">
        <v>1.50045773396136E-177</v>
      </c>
      <c r="O25">
        <v>2.0927979948236852E-177</v>
      </c>
      <c r="P25">
        <v>0.16935077993096101</v>
      </c>
      <c r="Q25">
        <v>0.87140843061409623</v>
      </c>
      <c r="R25">
        <v>-5.7826792140875547</v>
      </c>
      <c r="S25">
        <v>0.25375714123882642</v>
      </c>
      <c r="T25">
        <v>0.19372177239626759</v>
      </c>
      <c r="U25">
        <v>4.4784402405876946</v>
      </c>
      <c r="V25">
        <v>0.131494083357066</v>
      </c>
      <c r="W25">
        <v>-1.8801286324380171</v>
      </c>
      <c r="X25">
        <v>0.27844175902656287</v>
      </c>
      <c r="Z25" t="s">
        <v>392</v>
      </c>
      <c r="AA25">
        <v>9937</v>
      </c>
      <c r="AB25" t="s">
        <v>416</v>
      </c>
      <c r="AC25" t="str">
        <f>HYPERLINK("plots/20251231000436_3FT6Y121H01_04823_B11P_N_UFLEX98_M5358A8BH101511/dpll_52046/txpa_53202.png","plot")</f>
        <v>plot</v>
      </c>
    </row>
    <row r="26" spans="1:29" x14ac:dyDescent="0.35">
      <c r="A26" t="s">
        <v>46</v>
      </c>
      <c r="B26">
        <v>52046</v>
      </c>
      <c r="C26" t="s">
        <v>51</v>
      </c>
      <c r="D26">
        <v>53203</v>
      </c>
      <c r="E26" t="s">
        <v>78</v>
      </c>
      <c r="F26">
        <v>8711</v>
      </c>
      <c r="G26">
        <v>0.40537574635353829</v>
      </c>
      <c r="H26">
        <v>0</v>
      </c>
      <c r="I26">
        <v>0</v>
      </c>
      <c r="J26">
        <v>0.32783305906702709</v>
      </c>
      <c r="K26">
        <v>2.473962841837385E-217</v>
      </c>
      <c r="L26">
        <v>3.8357772501882397E-217</v>
      </c>
      <c r="M26">
        <v>0.22404675131488519</v>
      </c>
      <c r="N26">
        <v>7.3220258981445012E-216</v>
      </c>
      <c r="O26">
        <v>1.133516681025729E-215</v>
      </c>
      <c r="P26">
        <v>0.16432949573168831</v>
      </c>
      <c r="Q26">
        <v>0.80403324509619734</v>
      </c>
      <c r="R26">
        <v>-2.6997961377728368</v>
      </c>
      <c r="S26">
        <v>0.2383549933749475</v>
      </c>
      <c r="T26">
        <v>0.17571407861106519</v>
      </c>
      <c r="U26">
        <v>4.4784712066352892</v>
      </c>
      <c r="V26">
        <v>0.13146659114673959</v>
      </c>
      <c r="W26">
        <v>0.90104359956801749</v>
      </c>
      <c r="X26">
        <v>0.26075440095338448</v>
      </c>
      <c r="Z26" t="s">
        <v>392</v>
      </c>
      <c r="AA26">
        <v>9937</v>
      </c>
      <c r="AB26" t="s">
        <v>417</v>
      </c>
      <c r="AC26" t="str">
        <f>HYPERLINK("plots/20251231000436_3FT6Y121H01_04823_B11P_N_UFLEX98_M5358A8BH101511/dpll_52046/txpa_53203.png","plot")</f>
        <v>plot</v>
      </c>
    </row>
    <row r="27" spans="1:29" x14ac:dyDescent="0.35">
      <c r="A27" t="s">
        <v>46</v>
      </c>
      <c r="B27">
        <v>52046</v>
      </c>
      <c r="C27" t="s">
        <v>51</v>
      </c>
      <c r="D27">
        <v>53204</v>
      </c>
      <c r="E27" t="s">
        <v>79</v>
      </c>
      <c r="F27">
        <v>8716</v>
      </c>
      <c r="G27">
        <v>0.356183126120722</v>
      </c>
      <c r="H27">
        <v>4.6598937670933452E-259</v>
      </c>
      <c r="I27">
        <v>5.7135819586851891E-259</v>
      </c>
      <c r="J27">
        <v>0.2233024065647144</v>
      </c>
      <c r="K27">
        <v>6.2325604741800221E-99</v>
      </c>
      <c r="L27">
        <v>7.239193952827655E-99</v>
      </c>
      <c r="M27">
        <v>0.15227156527185459</v>
      </c>
      <c r="N27">
        <v>7.5325788022965851E-101</v>
      </c>
      <c r="O27">
        <v>8.7491808768943154E-101</v>
      </c>
      <c r="P27">
        <v>0.1268664193331302</v>
      </c>
      <c r="Q27">
        <v>0.93267551762496215</v>
      </c>
      <c r="R27">
        <v>-2.9999695522794032</v>
      </c>
      <c r="S27">
        <v>0.32215894145412349</v>
      </c>
      <c r="T27">
        <v>0.25321064247227693</v>
      </c>
      <c r="U27">
        <v>4.4782817893529154</v>
      </c>
      <c r="V27">
        <v>0.1316732403778659</v>
      </c>
      <c r="W27">
        <v>1.176814233675769</v>
      </c>
      <c r="X27">
        <v>0.34479007740854772</v>
      </c>
      <c r="Z27" t="s">
        <v>392</v>
      </c>
      <c r="AA27">
        <v>9937</v>
      </c>
      <c r="AB27" t="s">
        <v>418</v>
      </c>
      <c r="AC27" t="str">
        <f>HYPERLINK("plots/20251231000436_3FT6Y121H01_04823_B11P_N_UFLEX98_M5358A8BH101511/dpll_52046/txpa_53204.png","plot")</f>
        <v>plot</v>
      </c>
    </row>
    <row r="28" spans="1:29" x14ac:dyDescent="0.35">
      <c r="A28" t="s">
        <v>46</v>
      </c>
      <c r="B28">
        <v>52046</v>
      </c>
      <c r="C28" t="s">
        <v>51</v>
      </c>
      <c r="D28">
        <v>53205</v>
      </c>
      <c r="E28" t="s">
        <v>80</v>
      </c>
      <c r="F28">
        <v>8715</v>
      </c>
      <c r="G28">
        <v>0.42040476346492123</v>
      </c>
      <c r="H28">
        <v>0</v>
      </c>
      <c r="I28">
        <v>0</v>
      </c>
      <c r="J28">
        <v>0.32497310303893018</v>
      </c>
      <c r="K28">
        <v>1.7861498161961919E-213</v>
      </c>
      <c r="L28">
        <v>2.7400240750725248E-213</v>
      </c>
      <c r="M28">
        <v>0.22285314837935441</v>
      </c>
      <c r="N28">
        <v>1.0925137918135769E-213</v>
      </c>
      <c r="O28">
        <v>1.6836002810014701E-213</v>
      </c>
      <c r="P28">
        <v>0.17674016514399629</v>
      </c>
      <c r="Q28">
        <v>0.83781535336079349</v>
      </c>
      <c r="R28">
        <v>-2.6667953852939972</v>
      </c>
      <c r="S28">
        <v>0.23799065352188281</v>
      </c>
      <c r="T28">
        <v>0.18064079356352991</v>
      </c>
      <c r="U28">
        <v>4.4783231440045892</v>
      </c>
      <c r="V28">
        <v>0.1316241771431339</v>
      </c>
      <c r="W28">
        <v>1.085212502064028</v>
      </c>
      <c r="X28">
        <v>0.26231091097805798</v>
      </c>
      <c r="Z28" t="s">
        <v>392</v>
      </c>
      <c r="AA28">
        <v>9937</v>
      </c>
      <c r="AB28" t="s">
        <v>419</v>
      </c>
      <c r="AC28" t="str">
        <f>HYPERLINK("plots/20251231000436_3FT6Y121H01_04823_B11P_N_UFLEX98_M5358A8BH101511/dpll_52046/txpa_53205.png","plot")</f>
        <v>plot</v>
      </c>
    </row>
    <row r="29" spans="1:29" x14ac:dyDescent="0.35">
      <c r="A29" t="s">
        <v>46</v>
      </c>
      <c r="B29">
        <v>52046</v>
      </c>
      <c r="C29" t="s">
        <v>51</v>
      </c>
      <c r="D29">
        <v>53206</v>
      </c>
      <c r="E29" t="s">
        <v>81</v>
      </c>
      <c r="F29">
        <v>8713</v>
      </c>
      <c r="G29">
        <v>0.38572121686052802</v>
      </c>
      <c r="H29">
        <v>4.3709295646156661E-307</v>
      </c>
      <c r="I29">
        <v>5.7485377153311093E-307</v>
      </c>
      <c r="J29">
        <v>0.25338547531838268</v>
      </c>
      <c r="K29">
        <v>1.015394968927942E-127</v>
      </c>
      <c r="L29">
        <v>1.2315915053743221E-127</v>
      </c>
      <c r="M29">
        <v>0.17322377053486621</v>
      </c>
      <c r="N29">
        <v>6.8710937724028118E-130</v>
      </c>
      <c r="O29">
        <v>8.3842227258922394E-130</v>
      </c>
      <c r="P29">
        <v>0.14878085713636649</v>
      </c>
      <c r="Q29">
        <v>0.900340067290613</v>
      </c>
      <c r="R29">
        <v>-2.8901291425562259</v>
      </c>
      <c r="S29">
        <v>0.28325181647206571</v>
      </c>
      <c r="T29">
        <v>0.21838277495175831</v>
      </c>
      <c r="U29">
        <v>4.4783986741650406</v>
      </c>
      <c r="V29">
        <v>0.13153577465989449</v>
      </c>
      <c r="W29">
        <v>1.1419526210957189</v>
      </c>
      <c r="X29">
        <v>0.30702725966778749</v>
      </c>
      <c r="Z29" t="s">
        <v>392</v>
      </c>
      <c r="AA29">
        <v>9937</v>
      </c>
      <c r="AB29" t="s">
        <v>420</v>
      </c>
      <c r="AC29" t="str">
        <f>HYPERLINK("plots/20251231000436_3FT6Y121H01_04823_B11P_N_UFLEX98_M5358A8BH101511/dpll_52046/txpa_53206.png","plot")</f>
        <v>plot</v>
      </c>
    </row>
    <row r="30" spans="1:29" x14ac:dyDescent="0.35">
      <c r="A30" t="s">
        <v>46</v>
      </c>
      <c r="B30">
        <v>52046</v>
      </c>
      <c r="C30" t="s">
        <v>51</v>
      </c>
      <c r="D30">
        <v>53207</v>
      </c>
      <c r="E30" t="s">
        <v>82</v>
      </c>
      <c r="F30">
        <v>8712</v>
      </c>
      <c r="G30">
        <v>0.44945837116719128</v>
      </c>
      <c r="H30">
        <v>0</v>
      </c>
      <c r="I30">
        <v>0</v>
      </c>
      <c r="J30">
        <v>0.33939042697111182</v>
      </c>
      <c r="K30">
        <v>8.7403640496151419E-234</v>
      </c>
      <c r="L30">
        <v>1.4203091580624611E-233</v>
      </c>
      <c r="M30">
        <v>0.2338588775652333</v>
      </c>
      <c r="N30">
        <v>5.0711221384328712E-235</v>
      </c>
      <c r="O30">
        <v>8.3340645840695796E-235</v>
      </c>
      <c r="P30">
        <v>0.2020128274122647</v>
      </c>
      <c r="Q30">
        <v>0.86931004138388124</v>
      </c>
      <c r="R30">
        <v>-2.650219856003114</v>
      </c>
      <c r="S30">
        <v>0.22723706118894671</v>
      </c>
      <c r="T30">
        <v>0.17231186092269821</v>
      </c>
      <c r="U30">
        <v>4.4784244446740127</v>
      </c>
      <c r="V30">
        <v>0.1315288166323213</v>
      </c>
      <c r="W30">
        <v>1.242919483331038</v>
      </c>
      <c r="X30">
        <v>0.25439357316427369</v>
      </c>
      <c r="Z30" t="s">
        <v>392</v>
      </c>
      <c r="AA30">
        <v>9937</v>
      </c>
      <c r="AB30" t="s">
        <v>421</v>
      </c>
      <c r="AC30" t="str">
        <f>HYPERLINK("plots/20251231000436_3FT6Y121H01_04823_B11P_N_UFLEX98_M5358A8BH101511/dpll_52046/txpa_53207.png","plot")</f>
        <v>plot</v>
      </c>
    </row>
    <row r="31" spans="1:29" x14ac:dyDescent="0.35">
      <c r="A31" t="s">
        <v>46</v>
      </c>
      <c r="B31">
        <v>52046</v>
      </c>
      <c r="C31" t="s">
        <v>51</v>
      </c>
      <c r="D31">
        <v>53208</v>
      </c>
      <c r="E31" t="s">
        <v>83</v>
      </c>
      <c r="F31">
        <v>8707</v>
      </c>
      <c r="G31">
        <v>0.41446701797581009</v>
      </c>
      <c r="H31">
        <v>0</v>
      </c>
      <c r="I31">
        <v>0</v>
      </c>
      <c r="J31">
        <v>0.28672259788465121</v>
      </c>
      <c r="K31">
        <v>2.0636948569897249E-164</v>
      </c>
      <c r="L31">
        <v>2.7389876766853158E-164</v>
      </c>
      <c r="M31">
        <v>0.1971941174414486</v>
      </c>
      <c r="N31">
        <v>1.300802274966574E-167</v>
      </c>
      <c r="O31">
        <v>1.747037757372326E-167</v>
      </c>
      <c r="P31">
        <v>0.17178290898976051</v>
      </c>
      <c r="Q31">
        <v>0.92819097276637164</v>
      </c>
      <c r="R31">
        <v>-2.8993682864649259</v>
      </c>
      <c r="S31">
        <v>0.26752712445772758</v>
      </c>
      <c r="T31">
        <v>0.2051472061186484</v>
      </c>
      <c r="U31">
        <v>4.4786344009417718</v>
      </c>
      <c r="V31">
        <v>0.1312723634072499</v>
      </c>
      <c r="W31">
        <v>1.257659734810153</v>
      </c>
      <c r="X31">
        <v>0.29398195128623561</v>
      </c>
      <c r="Z31" t="s">
        <v>392</v>
      </c>
      <c r="AA31">
        <v>9937</v>
      </c>
      <c r="AB31" t="s">
        <v>422</v>
      </c>
      <c r="AC31" t="str">
        <f>HYPERLINK("plots/20251231000436_3FT6Y121H01_04823_B11P_N_UFLEX98_M5358A8BH101511/dpll_52046/txpa_53208.png","plot")</f>
        <v>plot</v>
      </c>
    </row>
    <row r="32" spans="1:29" x14ac:dyDescent="0.35">
      <c r="A32" t="s">
        <v>46</v>
      </c>
      <c r="B32">
        <v>52046</v>
      </c>
      <c r="C32" t="s">
        <v>51</v>
      </c>
      <c r="D32">
        <v>53209</v>
      </c>
      <c r="E32" t="s">
        <v>84</v>
      </c>
      <c r="F32">
        <v>8714</v>
      </c>
      <c r="G32">
        <v>0.44175356847584618</v>
      </c>
      <c r="H32">
        <v>0</v>
      </c>
      <c r="I32">
        <v>0</v>
      </c>
      <c r="J32">
        <v>0.33408719950594912</v>
      </c>
      <c r="K32">
        <v>3.2816860316592619E-226</v>
      </c>
      <c r="L32">
        <v>5.1913098847152763E-226</v>
      </c>
      <c r="M32">
        <v>0.2297443973830586</v>
      </c>
      <c r="N32">
        <v>5.9778862726132913E-227</v>
      </c>
      <c r="O32">
        <v>9.5158189645680968E-227</v>
      </c>
      <c r="P32">
        <v>0.19514621526114409</v>
      </c>
      <c r="Q32">
        <v>0.8744148876317297</v>
      </c>
      <c r="R32">
        <v>-2.6320308317570609</v>
      </c>
      <c r="S32">
        <v>0.23367200477313169</v>
      </c>
      <c r="T32">
        <v>0.17920573271298959</v>
      </c>
      <c r="U32">
        <v>4.4783569615561172</v>
      </c>
      <c r="V32">
        <v>0.13159386215411439</v>
      </c>
      <c r="W32">
        <v>1.2839111675568049</v>
      </c>
      <c r="X32">
        <v>0.2604792363885724</v>
      </c>
      <c r="Z32" t="s">
        <v>392</v>
      </c>
      <c r="AA32">
        <v>9937</v>
      </c>
      <c r="AB32" t="s">
        <v>423</v>
      </c>
      <c r="AC32" t="str">
        <f>HYPERLINK("plots/20251231000436_3FT6Y121H01_04823_B11P_N_UFLEX98_M5358A8BH101511/dpll_52046/txpa_53209.png","plot")</f>
        <v>plot</v>
      </c>
    </row>
    <row r="33" spans="1:29" x14ac:dyDescent="0.35">
      <c r="A33" t="s">
        <v>46</v>
      </c>
      <c r="B33">
        <v>52046</v>
      </c>
      <c r="C33" t="s">
        <v>51</v>
      </c>
      <c r="D33">
        <v>53210</v>
      </c>
      <c r="E33" t="s">
        <v>85</v>
      </c>
      <c r="F33">
        <v>8708</v>
      </c>
      <c r="G33">
        <v>0.42795740132436882</v>
      </c>
      <c r="H33">
        <v>0</v>
      </c>
      <c r="I33">
        <v>0</v>
      </c>
      <c r="J33">
        <v>0.31077521454665819</v>
      </c>
      <c r="K33">
        <v>2.657002320092021E-194</v>
      </c>
      <c r="L33">
        <v>3.8933531106550697E-194</v>
      </c>
      <c r="M33">
        <v>0.21338664538456059</v>
      </c>
      <c r="N33">
        <v>6.1517573727303836E-196</v>
      </c>
      <c r="O33">
        <v>9.0666889185299545E-196</v>
      </c>
      <c r="P33">
        <v>0.1831475373483068</v>
      </c>
      <c r="Q33">
        <v>0.89821247784337166</v>
      </c>
      <c r="R33">
        <v>-3.0447270436039169</v>
      </c>
      <c r="S33">
        <v>0.2490094902538324</v>
      </c>
      <c r="T33">
        <v>0.18899722295224669</v>
      </c>
      <c r="U33">
        <v>4.4786118559944876</v>
      </c>
      <c r="V33">
        <v>0.13127755623753801</v>
      </c>
      <c r="W33">
        <v>0.97801800886759283</v>
      </c>
      <c r="X33">
        <v>0.27553008478983682</v>
      </c>
      <c r="Z33" t="s">
        <v>392</v>
      </c>
      <c r="AA33">
        <v>9937</v>
      </c>
      <c r="AB33" t="s">
        <v>424</v>
      </c>
      <c r="AC33" t="str">
        <f>HYPERLINK("plots/20251231000436_3FT6Y121H01_04823_B11P_N_UFLEX98_M5358A8BH101511/dpll_52046/txpa_53210.png","plot")</f>
        <v>plot</v>
      </c>
    </row>
    <row r="34" spans="1:29" x14ac:dyDescent="0.35">
      <c r="A34" t="s">
        <v>46</v>
      </c>
      <c r="B34">
        <v>52046</v>
      </c>
      <c r="C34" t="s">
        <v>51</v>
      </c>
      <c r="D34">
        <v>53211</v>
      </c>
      <c r="E34" t="s">
        <v>86</v>
      </c>
      <c r="F34">
        <v>8702</v>
      </c>
      <c r="G34">
        <v>0.4297354453734335</v>
      </c>
      <c r="H34">
        <v>0</v>
      </c>
      <c r="I34">
        <v>0</v>
      </c>
      <c r="J34">
        <v>0.35760137581946932</v>
      </c>
      <c r="K34">
        <v>7.7236119190939569E-261</v>
      </c>
      <c r="L34">
        <v>1.381259697700401E-260</v>
      </c>
      <c r="M34">
        <v>0.24540916156610351</v>
      </c>
      <c r="N34">
        <v>2.6438769910715082E-258</v>
      </c>
      <c r="O34">
        <v>4.7115839524543213E-258</v>
      </c>
      <c r="P34">
        <v>0.18467255301030319</v>
      </c>
      <c r="Q34">
        <v>0.8873608967788128</v>
      </c>
      <c r="R34">
        <v>0.12856271284789139</v>
      </c>
      <c r="S34">
        <v>0.24429659346193</v>
      </c>
      <c r="T34">
        <v>0.1770397115929275</v>
      </c>
      <c r="U34">
        <v>4.4788360271202023</v>
      </c>
      <c r="V34">
        <v>0.1310319562022047</v>
      </c>
      <c r="W34">
        <v>4.1029066663985292</v>
      </c>
      <c r="X34">
        <v>0.27056793991296518</v>
      </c>
      <c r="Z34" t="s">
        <v>392</v>
      </c>
      <c r="AA34">
        <v>9937</v>
      </c>
      <c r="AB34" t="s">
        <v>425</v>
      </c>
      <c r="AC34" t="str">
        <f>HYPERLINK("plots/20251231000436_3FT6Y121H01_04823_B11P_N_UFLEX98_M5358A8BH101511/dpll_52046/txpa_53211.png","plot")</f>
        <v>plot</v>
      </c>
    </row>
    <row r="35" spans="1:29" x14ac:dyDescent="0.35">
      <c r="A35" t="s">
        <v>46</v>
      </c>
      <c r="B35">
        <v>52046</v>
      </c>
      <c r="C35" t="s">
        <v>51</v>
      </c>
      <c r="D35">
        <v>53212</v>
      </c>
      <c r="E35" t="s">
        <v>87</v>
      </c>
      <c r="F35">
        <v>8710</v>
      </c>
      <c r="G35">
        <v>0.39228389859019741</v>
      </c>
      <c r="H35">
        <v>0</v>
      </c>
      <c r="I35">
        <v>0</v>
      </c>
      <c r="J35">
        <v>0.25800916489200088</v>
      </c>
      <c r="K35">
        <v>1.812056205874627E-132</v>
      </c>
      <c r="L35">
        <v>2.2164354556777709E-132</v>
      </c>
      <c r="M35">
        <v>0.17624636953834741</v>
      </c>
      <c r="N35">
        <v>2.3882479864373272E-134</v>
      </c>
      <c r="O35">
        <v>2.935373888784787E-134</v>
      </c>
      <c r="P35">
        <v>0.1538866570931243</v>
      </c>
      <c r="Q35">
        <v>1.010862519895001</v>
      </c>
      <c r="R35">
        <v>-0.1603789766051005</v>
      </c>
      <c r="S35">
        <v>0.3114513317593019</v>
      </c>
      <c r="T35">
        <v>0.24106710596257441</v>
      </c>
      <c r="U35">
        <v>4.4785170879448906</v>
      </c>
      <c r="V35">
        <v>0.13140419831271541</v>
      </c>
      <c r="W35">
        <v>4.3667860923076924</v>
      </c>
      <c r="X35">
        <v>0.33861083645938128</v>
      </c>
      <c r="Z35" t="s">
        <v>392</v>
      </c>
      <c r="AA35">
        <v>9937</v>
      </c>
      <c r="AB35" t="s">
        <v>426</v>
      </c>
      <c r="AC35" t="str">
        <f>HYPERLINK("plots/20251231000436_3FT6Y121H01_04823_B11P_N_UFLEX98_M5358A8BH101511/dpll_52046/txpa_53212.png","plot")</f>
        <v>plot</v>
      </c>
    </row>
    <row r="36" spans="1:29" x14ac:dyDescent="0.35">
      <c r="A36" t="s">
        <v>46</v>
      </c>
      <c r="B36">
        <v>52046</v>
      </c>
      <c r="C36" t="s">
        <v>51</v>
      </c>
      <c r="D36">
        <v>53213</v>
      </c>
      <c r="E36" t="s">
        <v>88</v>
      </c>
      <c r="F36">
        <v>8703</v>
      </c>
      <c r="G36">
        <v>0.45091228245187032</v>
      </c>
      <c r="H36">
        <v>0</v>
      </c>
      <c r="I36">
        <v>0</v>
      </c>
      <c r="J36">
        <v>0.36358135345805331</v>
      </c>
      <c r="K36">
        <v>3.0521525635754078E-270</v>
      </c>
      <c r="L36">
        <v>5.596532910425794E-270</v>
      </c>
      <c r="M36">
        <v>0.25074035518150312</v>
      </c>
      <c r="N36">
        <v>1.3846065180318081E-269</v>
      </c>
      <c r="O36">
        <v>2.5388625846008191E-269</v>
      </c>
      <c r="P36">
        <v>0.20332188646595531</v>
      </c>
      <c r="Q36">
        <v>0.92393207716620118</v>
      </c>
      <c r="R36">
        <v>0.12577905579361559</v>
      </c>
      <c r="S36">
        <v>0.23968960089195471</v>
      </c>
      <c r="T36">
        <v>0.1780269153524888</v>
      </c>
      <c r="U36">
        <v>4.4788008825692289</v>
      </c>
      <c r="V36">
        <v>0.13106439327268321</v>
      </c>
      <c r="W36">
        <v>4.2638868584396183</v>
      </c>
      <c r="X36">
        <v>0.26855466535641209</v>
      </c>
      <c r="Z36" t="s">
        <v>392</v>
      </c>
      <c r="AA36">
        <v>9937</v>
      </c>
      <c r="AB36" t="s">
        <v>427</v>
      </c>
      <c r="AC36" t="str">
        <f>HYPERLINK("plots/20251231000436_3FT6Y121H01_04823_B11P_N_UFLEX98_M5358A8BH101511/dpll_52046/txpa_53213.png","plot")</f>
        <v>plot</v>
      </c>
    </row>
    <row r="37" spans="1:29" x14ac:dyDescent="0.35">
      <c r="A37" t="s">
        <v>46</v>
      </c>
      <c r="B37">
        <v>52046</v>
      </c>
      <c r="C37" t="s">
        <v>51</v>
      </c>
      <c r="D37">
        <v>53214</v>
      </c>
      <c r="E37" t="s">
        <v>89</v>
      </c>
      <c r="F37">
        <v>8697</v>
      </c>
      <c r="G37">
        <v>0.41369969036830451</v>
      </c>
      <c r="H37">
        <v>0</v>
      </c>
      <c r="I37">
        <v>0</v>
      </c>
      <c r="J37">
        <v>0.28807222078658867</v>
      </c>
      <c r="K37">
        <v>7.990397197559783E-166</v>
      </c>
      <c r="L37">
        <v>1.067491799515892E-165</v>
      </c>
      <c r="M37">
        <v>0.19744988644053521</v>
      </c>
      <c r="N37">
        <v>7.4622015165715463E-168</v>
      </c>
      <c r="O37">
        <v>1.0035374453320359E-167</v>
      </c>
      <c r="P37">
        <v>0.171147433810831</v>
      </c>
      <c r="Q37">
        <v>0.95455751899325536</v>
      </c>
      <c r="R37">
        <v>6.1095860199285923E-2</v>
      </c>
      <c r="S37">
        <v>0.27469556826240782</v>
      </c>
      <c r="T37">
        <v>0.20979567852059211</v>
      </c>
      <c r="U37">
        <v>4.479046353800161</v>
      </c>
      <c r="V37">
        <v>0.13077389893473579</v>
      </c>
      <c r="W37">
        <v>4.3366032351385542</v>
      </c>
      <c r="X37">
        <v>0.30174353866468367</v>
      </c>
      <c r="Z37" t="s">
        <v>392</v>
      </c>
      <c r="AA37">
        <v>9937</v>
      </c>
      <c r="AB37" t="s">
        <v>428</v>
      </c>
      <c r="AC37" t="str">
        <f>HYPERLINK("plots/20251231000436_3FT6Y121H01_04823_B11P_N_UFLEX98_M5358A8BH101511/dpll_52046/txpa_53214.png","plot")</f>
        <v>plot</v>
      </c>
    </row>
    <row r="38" spans="1:29" x14ac:dyDescent="0.35">
      <c r="A38" t="s">
        <v>46</v>
      </c>
      <c r="B38">
        <v>52046</v>
      </c>
      <c r="C38" t="s">
        <v>51</v>
      </c>
      <c r="D38">
        <v>53215</v>
      </c>
      <c r="E38" t="s">
        <v>90</v>
      </c>
      <c r="F38">
        <v>8698</v>
      </c>
      <c r="G38">
        <v>0.47514899452992548</v>
      </c>
      <c r="H38">
        <v>0</v>
      </c>
      <c r="I38">
        <v>0</v>
      </c>
      <c r="J38">
        <v>0.37476384028958881</v>
      </c>
      <c r="K38">
        <v>3.7469370250751053E-288</v>
      </c>
      <c r="L38">
        <v>7.2646159530136832E-288</v>
      </c>
      <c r="M38">
        <v>0.25962270919529939</v>
      </c>
      <c r="N38">
        <v>1.0554109830275711E-288</v>
      </c>
      <c r="O38">
        <v>2.0659975613705729E-288</v>
      </c>
      <c r="P38">
        <v>0.22576656700279921</v>
      </c>
      <c r="Q38">
        <v>0.94951715934062586</v>
      </c>
      <c r="R38">
        <v>0.160142346847163</v>
      </c>
      <c r="S38">
        <v>0.23001982493295739</v>
      </c>
      <c r="T38">
        <v>0.17136006017577121</v>
      </c>
      <c r="U38">
        <v>4.4790075093124857</v>
      </c>
      <c r="V38">
        <v>0.13082214680276741</v>
      </c>
      <c r="W38">
        <v>4.4130368337548864</v>
      </c>
      <c r="X38">
        <v>0.26142930878744097</v>
      </c>
      <c r="Z38" t="s">
        <v>392</v>
      </c>
      <c r="AA38">
        <v>9937</v>
      </c>
      <c r="AB38" t="s">
        <v>429</v>
      </c>
      <c r="AC38" t="str">
        <f>HYPERLINK("plots/20251231000436_3FT6Y121H01_04823_B11P_N_UFLEX98_M5358A8BH101511/dpll_52046/txpa_53215.png","plot")</f>
        <v>plot</v>
      </c>
    </row>
    <row r="39" spans="1:29" x14ac:dyDescent="0.35">
      <c r="A39" t="s">
        <v>46</v>
      </c>
      <c r="B39">
        <v>52046</v>
      </c>
      <c r="C39" t="s">
        <v>51</v>
      </c>
      <c r="D39">
        <v>53216</v>
      </c>
      <c r="E39" t="s">
        <v>91</v>
      </c>
      <c r="F39">
        <v>8694</v>
      </c>
      <c r="G39">
        <v>0.44394441970285892</v>
      </c>
      <c r="H39">
        <v>0</v>
      </c>
      <c r="I39">
        <v>0</v>
      </c>
      <c r="J39">
        <v>0.32443882959819292</v>
      </c>
      <c r="K39">
        <v>3.1200851807204109E-212</v>
      </c>
      <c r="L39">
        <v>4.7791032828557356E-212</v>
      </c>
      <c r="M39">
        <v>0.2238256628488115</v>
      </c>
      <c r="N39">
        <v>4.9893825261155937E-215</v>
      </c>
      <c r="O39">
        <v>7.7122467705506273E-215</v>
      </c>
      <c r="P39">
        <v>0.19708664778530821</v>
      </c>
      <c r="Q39">
        <v>0.98816700547481806</v>
      </c>
      <c r="R39">
        <v>-2.6124560257132501E-3</v>
      </c>
      <c r="S39">
        <v>0.26045602219345743</v>
      </c>
      <c r="T39">
        <v>0.1969992964638512</v>
      </c>
      <c r="U39">
        <v>4.4791817298136651</v>
      </c>
      <c r="V39">
        <v>0.13059402100173159</v>
      </c>
      <c r="W39">
        <v>4.4235671409017714</v>
      </c>
      <c r="X39">
        <v>0.29068661962813142</v>
      </c>
      <c r="Z39" t="s">
        <v>392</v>
      </c>
      <c r="AA39">
        <v>9937</v>
      </c>
      <c r="AB39" t="s">
        <v>430</v>
      </c>
      <c r="AC39" t="str">
        <f>HYPERLINK("plots/20251231000436_3FT6Y121H01_04823_B11P_N_UFLEX98_M5358A8BH101511/dpll_52046/txpa_53216.png","plot")</f>
        <v>plot</v>
      </c>
    </row>
    <row r="40" spans="1:29" x14ac:dyDescent="0.35">
      <c r="A40" t="s">
        <v>46</v>
      </c>
      <c r="B40">
        <v>52046</v>
      </c>
      <c r="C40" t="s">
        <v>51</v>
      </c>
      <c r="D40">
        <v>53217</v>
      </c>
      <c r="E40" t="s">
        <v>92</v>
      </c>
      <c r="F40">
        <v>8708</v>
      </c>
      <c r="G40">
        <v>0.47594057828398229</v>
      </c>
      <c r="H40">
        <v>0</v>
      </c>
      <c r="I40">
        <v>0</v>
      </c>
      <c r="J40">
        <v>0.36792207760242829</v>
      </c>
      <c r="K40">
        <v>2.4863041426710632E-277</v>
      </c>
      <c r="L40">
        <v>4.6429325979161281E-277</v>
      </c>
      <c r="M40">
        <v>0.25456344285105731</v>
      </c>
      <c r="N40">
        <v>5.8278571197202879E-278</v>
      </c>
      <c r="O40">
        <v>1.096372378366674E-277</v>
      </c>
      <c r="P40">
        <v>0.2265194340572915</v>
      </c>
      <c r="Q40">
        <v>0.97130725177139743</v>
      </c>
      <c r="R40">
        <v>9.6599908637111653E-2</v>
      </c>
      <c r="S40">
        <v>0.23563764952126079</v>
      </c>
      <c r="T40">
        <v>0.1773011594824003</v>
      </c>
      <c r="U40">
        <v>4.4786068054662387</v>
      </c>
      <c r="V40">
        <v>0.13129283301679501</v>
      </c>
      <c r="W40">
        <v>4.4467031766192013</v>
      </c>
      <c r="X40">
        <v>0.26794454314994898</v>
      </c>
      <c r="Z40" t="s">
        <v>392</v>
      </c>
      <c r="AA40">
        <v>9937</v>
      </c>
      <c r="AB40" t="s">
        <v>431</v>
      </c>
      <c r="AC40" t="str">
        <f>HYPERLINK("plots/20251231000436_3FT6Y121H01_04823_B11P_N_UFLEX98_M5358A8BH101511/dpll_52046/txpa_53217.png","plot")</f>
        <v>plot</v>
      </c>
    </row>
    <row r="41" spans="1:29" x14ac:dyDescent="0.35">
      <c r="A41" t="s">
        <v>46</v>
      </c>
      <c r="B41">
        <v>52046</v>
      </c>
      <c r="C41" t="s">
        <v>51</v>
      </c>
      <c r="D41">
        <v>53218</v>
      </c>
      <c r="E41" t="s">
        <v>93</v>
      </c>
      <c r="F41">
        <v>8695</v>
      </c>
      <c r="G41">
        <v>0.44855966842777512</v>
      </c>
      <c r="H41">
        <v>0</v>
      </c>
      <c r="I41">
        <v>0</v>
      </c>
      <c r="J41">
        <v>0.33642589018866348</v>
      </c>
      <c r="K41">
        <v>4.6441589450337803E-229</v>
      </c>
      <c r="L41">
        <v>7.4512296997852095E-229</v>
      </c>
      <c r="M41">
        <v>0.23171315161566869</v>
      </c>
      <c r="N41">
        <v>2.5215431690993431E-230</v>
      </c>
      <c r="O41">
        <v>4.0649360468469542E-230</v>
      </c>
      <c r="P41">
        <v>0.20120577614003551</v>
      </c>
      <c r="Q41">
        <v>0.95461610105820072</v>
      </c>
      <c r="R41">
        <v>-9.2269157856372352E-2</v>
      </c>
      <c r="S41">
        <v>0.2485183167104123</v>
      </c>
      <c r="T41">
        <v>0.18655434021495029</v>
      </c>
      <c r="U41">
        <v>4.4791339606670499</v>
      </c>
      <c r="V41">
        <v>0.1306644328136112</v>
      </c>
      <c r="W41">
        <v>4.1835842397929834</v>
      </c>
      <c r="X41">
        <v>0.27807754503812437</v>
      </c>
      <c r="Z41" t="s">
        <v>392</v>
      </c>
      <c r="AA41">
        <v>9937</v>
      </c>
      <c r="AB41" t="s">
        <v>432</v>
      </c>
      <c r="AC41" t="str">
        <f>HYPERLINK("plots/20251231000436_3FT6Y121H01_04823_B11P_N_UFLEX98_M5358A8BH101511/dpll_52046/txpa_53218.png","plot")</f>
        <v>plot</v>
      </c>
    </row>
    <row r="42" spans="1:29" x14ac:dyDescent="0.35">
      <c r="A42" t="s">
        <v>46</v>
      </c>
      <c r="B42">
        <v>52046</v>
      </c>
      <c r="C42" t="s">
        <v>51</v>
      </c>
      <c r="D42">
        <v>53219</v>
      </c>
      <c r="E42" t="s">
        <v>94</v>
      </c>
      <c r="F42">
        <v>8697</v>
      </c>
      <c r="G42">
        <v>0.44251525650167028</v>
      </c>
      <c r="H42">
        <v>0</v>
      </c>
      <c r="I42">
        <v>0</v>
      </c>
      <c r="J42">
        <v>0.37582992993205139</v>
      </c>
      <c r="K42">
        <v>7.0273574499234176E-290</v>
      </c>
      <c r="L42">
        <v>1.3756255703131941E-289</v>
      </c>
      <c r="M42">
        <v>0.25894852255174883</v>
      </c>
      <c r="N42">
        <v>3.4786244735970542E-287</v>
      </c>
      <c r="O42">
        <v>6.7702979198222889E-287</v>
      </c>
      <c r="P42">
        <v>0.19581975223673909</v>
      </c>
      <c r="Q42">
        <v>0.96282180812047569</v>
      </c>
      <c r="R42">
        <v>1.547622574388563</v>
      </c>
      <c r="S42">
        <v>0.25507848558440799</v>
      </c>
      <c r="T42">
        <v>0.182251243039637</v>
      </c>
      <c r="U42">
        <v>4.4790585187995857</v>
      </c>
      <c r="V42">
        <v>0.13073878008976639</v>
      </c>
      <c r="W42">
        <v>5.8601577961365994</v>
      </c>
      <c r="X42">
        <v>0.28446058477764341</v>
      </c>
      <c r="Z42" t="s">
        <v>392</v>
      </c>
      <c r="AA42">
        <v>9937</v>
      </c>
      <c r="AB42" t="s">
        <v>433</v>
      </c>
      <c r="AC42" t="str">
        <f>HYPERLINK("plots/20251231000436_3FT6Y121H01_04823_B11P_N_UFLEX98_M5358A8BH101511/dpll_52046/txpa_53219.png","plot")</f>
        <v>plot</v>
      </c>
    </row>
    <row r="43" spans="1:29" x14ac:dyDescent="0.35">
      <c r="A43" t="s">
        <v>46</v>
      </c>
      <c r="B43">
        <v>52046</v>
      </c>
      <c r="C43" t="s">
        <v>51</v>
      </c>
      <c r="D43">
        <v>53220</v>
      </c>
      <c r="E43" t="s">
        <v>95</v>
      </c>
      <c r="F43">
        <v>8702</v>
      </c>
      <c r="G43">
        <v>0.41295436139970698</v>
      </c>
      <c r="H43">
        <v>0</v>
      </c>
      <c r="I43">
        <v>0</v>
      </c>
      <c r="J43">
        <v>0.28600873480436168</v>
      </c>
      <c r="K43">
        <v>1.7798560458346949E-163</v>
      </c>
      <c r="L43">
        <v>2.3530300266967161E-163</v>
      </c>
      <c r="M43">
        <v>0.19556653194247239</v>
      </c>
      <c r="N43">
        <v>8.4301719997840379E-165</v>
      </c>
      <c r="O43">
        <v>1.126244322500792E-164</v>
      </c>
      <c r="P43">
        <v>0.17053130459903981</v>
      </c>
      <c r="Q43">
        <v>1.068840644661506</v>
      </c>
      <c r="R43">
        <v>1.3314075569544479</v>
      </c>
      <c r="S43">
        <v>0.30889247674990727</v>
      </c>
      <c r="T43">
        <v>0.23531810043981041</v>
      </c>
      <c r="U43">
        <v>4.4788314037002994</v>
      </c>
      <c r="V43">
        <v>0.13104527995678941</v>
      </c>
      <c r="W43">
        <v>6.1185646018156747</v>
      </c>
      <c r="X43">
        <v>0.33918160116800178</v>
      </c>
      <c r="Z43" t="s">
        <v>392</v>
      </c>
      <c r="AA43">
        <v>9937</v>
      </c>
      <c r="AB43" t="s">
        <v>434</v>
      </c>
      <c r="AC43" t="str">
        <f>HYPERLINK("plots/20251231000436_3FT6Y121H01_04823_B11P_N_UFLEX98_M5358A8BH101511/dpll_52046/txpa_53220.png","plot")</f>
        <v>plot</v>
      </c>
    </row>
    <row r="44" spans="1:29" x14ac:dyDescent="0.35">
      <c r="A44" t="s">
        <v>46</v>
      </c>
      <c r="B44">
        <v>52046</v>
      </c>
      <c r="C44" t="s">
        <v>51</v>
      </c>
      <c r="D44">
        <v>53221</v>
      </c>
      <c r="E44" t="s">
        <v>96</v>
      </c>
      <c r="F44">
        <v>8697</v>
      </c>
      <c r="G44">
        <v>0.4671459760747757</v>
      </c>
      <c r="H44">
        <v>0</v>
      </c>
      <c r="I44">
        <v>0</v>
      </c>
      <c r="J44">
        <v>0.38684384235519598</v>
      </c>
      <c r="K44">
        <v>0</v>
      </c>
      <c r="L44">
        <v>3.9675855503936862E-308</v>
      </c>
      <c r="M44">
        <v>0.26815074208349587</v>
      </c>
      <c r="N44">
        <v>8.4061927887949602E-308</v>
      </c>
      <c r="O44">
        <v>1.757500925327441E-307</v>
      </c>
      <c r="P44">
        <v>0.21822536296285491</v>
      </c>
      <c r="Q44">
        <v>1.0057045329542851</v>
      </c>
      <c r="R44">
        <v>1.5001108337236879</v>
      </c>
      <c r="S44">
        <v>0.24892243186551921</v>
      </c>
      <c r="T44">
        <v>0.1812634759872658</v>
      </c>
      <c r="U44">
        <v>4.4790455516844876</v>
      </c>
      <c r="V44">
        <v>0.13077671409651431</v>
      </c>
      <c r="W44">
        <v>6.0047072483615036</v>
      </c>
      <c r="X44">
        <v>0.2815452576020438</v>
      </c>
      <c r="Z44" t="s">
        <v>392</v>
      </c>
      <c r="AA44">
        <v>9937</v>
      </c>
      <c r="AB44" t="s">
        <v>435</v>
      </c>
      <c r="AC44" t="str">
        <f>HYPERLINK("plots/20251231000436_3FT6Y121H01_04823_B11P_N_UFLEX98_M5358A8BH101511/dpll_52046/txpa_53221.png","plot")</f>
        <v>plot</v>
      </c>
    </row>
    <row r="45" spans="1:29" x14ac:dyDescent="0.35">
      <c r="A45" t="s">
        <v>46</v>
      </c>
      <c r="B45">
        <v>52046</v>
      </c>
      <c r="C45" t="s">
        <v>51</v>
      </c>
      <c r="D45">
        <v>53222</v>
      </c>
      <c r="E45" t="s">
        <v>97</v>
      </c>
      <c r="F45">
        <v>8691</v>
      </c>
      <c r="G45">
        <v>0.43452950905667193</v>
      </c>
      <c r="H45">
        <v>0</v>
      </c>
      <c r="I45">
        <v>0</v>
      </c>
      <c r="J45">
        <v>0.31682622551793149</v>
      </c>
      <c r="K45">
        <v>6.9717221717414173E-202</v>
      </c>
      <c r="L45">
        <v>1.044213631040738E-201</v>
      </c>
      <c r="M45">
        <v>0.21779203994564819</v>
      </c>
      <c r="N45">
        <v>1.2342642971628701E-203</v>
      </c>
      <c r="O45">
        <v>1.8596493273746661E-203</v>
      </c>
      <c r="P45">
        <v>0.18881589424103229</v>
      </c>
      <c r="Q45">
        <v>1.026155508272526</v>
      </c>
      <c r="R45">
        <v>1.49413118103001</v>
      </c>
      <c r="S45">
        <v>0.27745139619801412</v>
      </c>
      <c r="T45">
        <v>0.2088769536017418</v>
      </c>
      <c r="U45">
        <v>4.4793019514440227</v>
      </c>
      <c r="V45">
        <v>0.13045426409445199</v>
      </c>
      <c r="W45">
        <v>6.0905915517201699</v>
      </c>
      <c r="X45">
        <v>0.30807196953959182</v>
      </c>
      <c r="Z45" t="s">
        <v>392</v>
      </c>
      <c r="AA45">
        <v>9937</v>
      </c>
      <c r="AB45" t="s">
        <v>436</v>
      </c>
      <c r="AC45" t="str">
        <f>HYPERLINK("plots/20251231000436_3FT6Y121H01_04823_B11P_N_UFLEX98_M5358A8BH101511/dpll_52046/txpa_53222.png","plot")</f>
        <v>plot</v>
      </c>
    </row>
    <row r="46" spans="1:29" x14ac:dyDescent="0.35">
      <c r="A46" t="s">
        <v>46</v>
      </c>
      <c r="B46">
        <v>52046</v>
      </c>
      <c r="C46" t="s">
        <v>51</v>
      </c>
      <c r="D46">
        <v>53223</v>
      </c>
      <c r="E46" t="s">
        <v>98</v>
      </c>
      <c r="F46">
        <v>8689</v>
      </c>
      <c r="G46">
        <v>0.48582628310045961</v>
      </c>
      <c r="H46">
        <v>0</v>
      </c>
      <c r="I46">
        <v>0</v>
      </c>
      <c r="J46">
        <v>0.39321093368373861</v>
      </c>
      <c r="K46">
        <v>0</v>
      </c>
      <c r="L46">
        <v>0</v>
      </c>
      <c r="M46">
        <v>0.27356543627839552</v>
      </c>
      <c r="N46">
        <v>0</v>
      </c>
      <c r="O46">
        <v>0</v>
      </c>
      <c r="P46">
        <v>0.2360271773512079</v>
      </c>
      <c r="Q46">
        <v>1.019682807183846</v>
      </c>
      <c r="R46">
        <v>1.582406553835632</v>
      </c>
      <c r="S46">
        <v>0.23914188798580821</v>
      </c>
      <c r="T46">
        <v>0.1754752197895901</v>
      </c>
      <c r="U46">
        <v>4.4793798157440454</v>
      </c>
      <c r="V46">
        <v>0.13036397700869029</v>
      </c>
      <c r="W46">
        <v>6.1499531387961799</v>
      </c>
      <c r="X46">
        <v>0.2736161271134529</v>
      </c>
      <c r="Z46" t="s">
        <v>392</v>
      </c>
      <c r="AA46">
        <v>9937</v>
      </c>
      <c r="AB46" t="s">
        <v>437</v>
      </c>
      <c r="AC46" t="str">
        <f>HYPERLINK("plots/20251231000436_3FT6Y121H01_04823_B11P_N_UFLEX98_M5358A8BH101511/dpll_52046/txpa_53223.png","plot")</f>
        <v>plot</v>
      </c>
    </row>
    <row r="47" spans="1:29" x14ac:dyDescent="0.35">
      <c r="A47" t="s">
        <v>46</v>
      </c>
      <c r="B47">
        <v>52046</v>
      </c>
      <c r="C47" t="s">
        <v>51</v>
      </c>
      <c r="D47">
        <v>53224</v>
      </c>
      <c r="E47" t="s">
        <v>99</v>
      </c>
      <c r="F47">
        <v>8690</v>
      </c>
      <c r="G47">
        <v>0.46334369099697659</v>
      </c>
      <c r="H47">
        <v>0</v>
      </c>
      <c r="I47">
        <v>0</v>
      </c>
      <c r="J47">
        <v>0.35351868602437919</v>
      </c>
      <c r="K47">
        <v>3.3082251540167608E-254</v>
      </c>
      <c r="L47">
        <v>5.7244715122406069E-254</v>
      </c>
      <c r="M47">
        <v>0.24463210200311269</v>
      </c>
      <c r="N47">
        <v>2.4609334563037559E-256</v>
      </c>
      <c r="O47">
        <v>4.347363283435554E-256</v>
      </c>
      <c r="P47">
        <v>0.21468737598670171</v>
      </c>
      <c r="Q47">
        <v>1.059887723574408</v>
      </c>
      <c r="R47">
        <v>1.4085217998480579</v>
      </c>
      <c r="S47">
        <v>0.26411613751056362</v>
      </c>
      <c r="T47">
        <v>0.19631266372768719</v>
      </c>
      <c r="U47">
        <v>4.4793747550057539</v>
      </c>
      <c r="V47">
        <v>0.1302992841344256</v>
      </c>
      <c r="W47">
        <v>6.1561561119677783</v>
      </c>
      <c r="X47">
        <v>0.29805652764464291</v>
      </c>
      <c r="Z47" t="s">
        <v>392</v>
      </c>
      <c r="AA47">
        <v>9937</v>
      </c>
      <c r="AB47" t="s">
        <v>438</v>
      </c>
      <c r="AC47" t="str">
        <f>HYPERLINK("plots/20251231000436_3FT6Y121H01_04823_B11P_N_UFLEX98_M5358A8BH101511/dpll_52046/txpa_53224.png","plot")</f>
        <v>plot</v>
      </c>
    </row>
    <row r="48" spans="1:29" x14ac:dyDescent="0.35">
      <c r="A48" t="s">
        <v>46</v>
      </c>
      <c r="B48">
        <v>52046</v>
      </c>
      <c r="C48" t="s">
        <v>51</v>
      </c>
      <c r="D48">
        <v>53225</v>
      </c>
      <c r="E48" t="s">
        <v>100</v>
      </c>
      <c r="F48">
        <v>8698</v>
      </c>
      <c r="G48">
        <v>0.48977858510985112</v>
      </c>
      <c r="H48">
        <v>0</v>
      </c>
      <c r="I48">
        <v>0</v>
      </c>
      <c r="J48">
        <v>0.3864808448369858</v>
      </c>
      <c r="K48">
        <v>7.2958282361950423E-308</v>
      </c>
      <c r="L48">
        <v>1.5348485127597041E-307</v>
      </c>
      <c r="M48">
        <v>0.26851400646606771</v>
      </c>
      <c r="N48">
        <v>0</v>
      </c>
      <c r="O48">
        <v>2.4174032620128898E-308</v>
      </c>
      <c r="P48">
        <v>0.23988306243220761</v>
      </c>
      <c r="Q48">
        <v>1.0389726761967459</v>
      </c>
      <c r="R48">
        <v>1.5246705534265499</v>
      </c>
      <c r="S48">
        <v>0.24197674024777199</v>
      </c>
      <c r="T48">
        <v>0.17982298138084829</v>
      </c>
      <c r="U48">
        <v>4.4789993992871926</v>
      </c>
      <c r="V48">
        <v>0.1308440714654297</v>
      </c>
      <c r="W48">
        <v>6.178228545987583</v>
      </c>
      <c r="X48">
        <v>0.27756096168317662</v>
      </c>
      <c r="Z48" t="s">
        <v>392</v>
      </c>
      <c r="AA48">
        <v>9937</v>
      </c>
      <c r="AB48" t="s">
        <v>439</v>
      </c>
      <c r="AC48" t="str">
        <f>HYPERLINK("plots/20251231000436_3FT6Y121H01_04823_B11P_N_UFLEX98_M5358A8BH101511/dpll_52046/txpa_53225.png","plot")</f>
        <v>plot</v>
      </c>
    </row>
    <row r="49" spans="1:29" x14ac:dyDescent="0.35">
      <c r="A49" t="s">
        <v>46</v>
      </c>
      <c r="B49">
        <v>52046</v>
      </c>
      <c r="C49" t="s">
        <v>51</v>
      </c>
      <c r="D49">
        <v>53226</v>
      </c>
      <c r="E49" t="s">
        <v>101</v>
      </c>
      <c r="F49">
        <v>8691</v>
      </c>
      <c r="G49">
        <v>0.46297567992175392</v>
      </c>
      <c r="H49">
        <v>0</v>
      </c>
      <c r="I49">
        <v>0</v>
      </c>
      <c r="J49">
        <v>0.35491491360616723</v>
      </c>
      <c r="K49">
        <v>2.2637075819932181E-256</v>
      </c>
      <c r="L49">
        <v>3.9439853748129259E-256</v>
      </c>
      <c r="M49">
        <v>0.24523960060594571</v>
      </c>
      <c r="N49">
        <v>1.2537043332872201E-257</v>
      </c>
      <c r="O49">
        <v>2.2263681155048E-257</v>
      </c>
      <c r="P49">
        <v>0.21434648019901029</v>
      </c>
      <c r="Q49">
        <v>1.024788293250013</v>
      </c>
      <c r="R49">
        <v>1.3529780641185361</v>
      </c>
      <c r="S49">
        <v>0.25594735445498362</v>
      </c>
      <c r="T49">
        <v>0.1894198370533095</v>
      </c>
      <c r="U49">
        <v>4.4792986239788277</v>
      </c>
      <c r="V49">
        <v>0.13046202762306691</v>
      </c>
      <c r="W49">
        <v>5.9433108559429293</v>
      </c>
      <c r="X49">
        <v>0.28877533835983432</v>
      </c>
      <c r="Z49" t="s">
        <v>392</v>
      </c>
      <c r="AA49">
        <v>9937</v>
      </c>
      <c r="AB49" t="s">
        <v>440</v>
      </c>
      <c r="AC49" t="str">
        <f>HYPERLINK("plots/20251231000436_3FT6Y121H01_04823_B11P_N_UFLEX98_M5358A8BH101511/dpll_52046/txpa_53226.png","plot")</f>
        <v>plot</v>
      </c>
    </row>
    <row r="50" spans="1:29" x14ac:dyDescent="0.35">
      <c r="A50" t="s">
        <v>46</v>
      </c>
      <c r="B50">
        <v>52046</v>
      </c>
      <c r="C50" t="s">
        <v>51</v>
      </c>
      <c r="D50">
        <v>53227</v>
      </c>
      <c r="E50" t="s">
        <v>102</v>
      </c>
      <c r="F50">
        <v>8686</v>
      </c>
      <c r="G50">
        <v>0.44806287368236208</v>
      </c>
      <c r="H50">
        <v>0</v>
      </c>
      <c r="I50">
        <v>0</v>
      </c>
      <c r="J50">
        <v>0.39289172418370583</v>
      </c>
      <c r="K50">
        <v>0</v>
      </c>
      <c r="L50">
        <v>0</v>
      </c>
      <c r="M50">
        <v>0.2722719508613502</v>
      </c>
      <c r="N50">
        <v>0</v>
      </c>
      <c r="O50">
        <v>0</v>
      </c>
      <c r="P50">
        <v>0.20076033877249641</v>
      </c>
      <c r="Q50">
        <v>1.0636151218114951</v>
      </c>
      <c r="R50">
        <v>3.1662993945902951</v>
      </c>
      <c r="S50">
        <v>0.27622453237701788</v>
      </c>
      <c r="T50">
        <v>0.19339144519242579</v>
      </c>
      <c r="U50">
        <v>4.4795173153350216</v>
      </c>
      <c r="V50">
        <v>0.13016768806460641</v>
      </c>
      <c r="W50">
        <v>7.9307817495970534</v>
      </c>
      <c r="X50">
        <v>0.30899306666257043</v>
      </c>
      <c r="Z50" t="s">
        <v>392</v>
      </c>
      <c r="AA50">
        <v>9937</v>
      </c>
      <c r="AB50" t="s">
        <v>441</v>
      </c>
      <c r="AC50" t="str">
        <f>HYPERLINK("plots/20251231000436_3FT6Y121H01_04823_B11P_N_UFLEX98_M5358A8BH101511/dpll_52046/txpa_53227.png","plot")</f>
        <v>plot</v>
      </c>
    </row>
    <row r="51" spans="1:29" x14ac:dyDescent="0.35">
      <c r="A51" t="s">
        <v>46</v>
      </c>
      <c r="B51">
        <v>52046</v>
      </c>
      <c r="C51" t="s">
        <v>51</v>
      </c>
      <c r="D51">
        <v>53228</v>
      </c>
      <c r="E51" t="s">
        <v>103</v>
      </c>
      <c r="F51">
        <v>8686</v>
      </c>
      <c r="G51">
        <v>0.42919291066874699</v>
      </c>
      <c r="H51">
        <v>0</v>
      </c>
      <c r="I51">
        <v>0</v>
      </c>
      <c r="J51">
        <v>0.32773499420041108</v>
      </c>
      <c r="K51">
        <v>1.403491201129801E-216</v>
      </c>
      <c r="L51">
        <v>2.1628268661787509E-216</v>
      </c>
      <c r="M51">
        <v>0.22505104803327269</v>
      </c>
      <c r="N51">
        <v>3.5975066962656389E-217</v>
      </c>
      <c r="O51">
        <v>5.5863273966513897E-217</v>
      </c>
      <c r="P51">
        <v>0.18420655456831109</v>
      </c>
      <c r="Q51">
        <v>1.1410180596122039</v>
      </c>
      <c r="R51">
        <v>3.0648900727683031</v>
      </c>
      <c r="S51">
        <v>0.31239727834875419</v>
      </c>
      <c r="T51">
        <v>0.2311792540033322</v>
      </c>
      <c r="U51">
        <v>4.4795361264103164</v>
      </c>
      <c r="V51">
        <v>0.13010744796096169</v>
      </c>
      <c r="W51">
        <v>8.1761216916877721</v>
      </c>
      <c r="X51">
        <v>0.34589328976146699</v>
      </c>
      <c r="Z51" t="s">
        <v>392</v>
      </c>
      <c r="AA51">
        <v>9937</v>
      </c>
      <c r="AB51" t="s">
        <v>442</v>
      </c>
      <c r="AC51" t="str">
        <f>HYPERLINK("plots/20251231000436_3FT6Y121H01_04823_B11P_N_UFLEX98_M5358A8BH101511/dpll_52046/txpa_53228.png","plot")</f>
        <v>plot</v>
      </c>
    </row>
    <row r="52" spans="1:29" x14ac:dyDescent="0.35">
      <c r="A52" t="s">
        <v>46</v>
      </c>
      <c r="B52">
        <v>52046</v>
      </c>
      <c r="C52" t="s">
        <v>51</v>
      </c>
      <c r="D52">
        <v>53229</v>
      </c>
      <c r="E52" t="s">
        <v>104</v>
      </c>
      <c r="F52">
        <v>8685</v>
      </c>
      <c r="G52">
        <v>0.47503479298697648</v>
      </c>
      <c r="H52">
        <v>0</v>
      </c>
      <c r="I52">
        <v>0</v>
      </c>
      <c r="J52">
        <v>0.41062203304513689</v>
      </c>
      <c r="K52">
        <v>0</v>
      </c>
      <c r="L52">
        <v>0</v>
      </c>
      <c r="M52">
        <v>0.286906681458103</v>
      </c>
      <c r="N52">
        <v>0</v>
      </c>
      <c r="O52">
        <v>0</v>
      </c>
      <c r="P52">
        <v>0.22565805454817961</v>
      </c>
      <c r="Q52">
        <v>1.1207678016445191</v>
      </c>
      <c r="R52">
        <v>3.0256706886168532</v>
      </c>
      <c r="S52">
        <v>0.27015001934009869</v>
      </c>
      <c r="T52">
        <v>0.19090076368073419</v>
      </c>
      <c r="U52">
        <v>4.4795540095567068</v>
      </c>
      <c r="V52">
        <v>0.13012878908861431</v>
      </c>
      <c r="W52">
        <v>8.0462105882556152</v>
      </c>
      <c r="X52">
        <v>0.30701784170471941</v>
      </c>
      <c r="Z52" t="s">
        <v>392</v>
      </c>
      <c r="AA52">
        <v>9937</v>
      </c>
      <c r="AB52" t="s">
        <v>443</v>
      </c>
      <c r="AC52" t="str">
        <f>HYPERLINK("plots/20251231000436_3FT6Y121H01_04823_B11P_N_UFLEX98_M5358A8BH101511/dpll_52046/txpa_53229.png","plot")</f>
        <v>plot</v>
      </c>
    </row>
    <row r="53" spans="1:29" x14ac:dyDescent="0.35">
      <c r="A53" t="s">
        <v>46</v>
      </c>
      <c r="B53">
        <v>52046</v>
      </c>
      <c r="C53" t="s">
        <v>51</v>
      </c>
      <c r="D53">
        <v>53230</v>
      </c>
      <c r="E53" t="s">
        <v>105</v>
      </c>
      <c r="F53">
        <v>8672</v>
      </c>
      <c r="G53">
        <v>0.44229358929774931</v>
      </c>
      <c r="H53">
        <v>0</v>
      </c>
      <c r="I53">
        <v>0</v>
      </c>
      <c r="J53">
        <v>0.35360574041450782</v>
      </c>
      <c r="K53">
        <v>8.1153064195098528E-254</v>
      </c>
      <c r="L53">
        <v>1.397100290217825E-253</v>
      </c>
      <c r="M53">
        <v>0.24449874798273841</v>
      </c>
      <c r="N53">
        <v>1.5596261279289529E-255</v>
      </c>
      <c r="O53">
        <v>2.7408334379895292E-255</v>
      </c>
      <c r="P53">
        <v>0.19562361913388621</v>
      </c>
      <c r="Q53">
        <v>1.0992836820519529</v>
      </c>
      <c r="R53">
        <v>3.226811137930552</v>
      </c>
      <c r="S53">
        <v>0.28757385499034982</v>
      </c>
      <c r="T53">
        <v>0.21083567532112529</v>
      </c>
      <c r="U53">
        <v>4.480231090636531</v>
      </c>
      <c r="V53">
        <v>0.1290166168060887</v>
      </c>
      <c r="W53">
        <v>8.1518560676891134</v>
      </c>
      <c r="X53">
        <v>0.32065999824611241</v>
      </c>
      <c r="Z53" t="s">
        <v>392</v>
      </c>
      <c r="AA53">
        <v>9937</v>
      </c>
      <c r="AB53" t="s">
        <v>444</v>
      </c>
      <c r="AC53" t="str">
        <f>HYPERLINK("plots/20251231000436_3FT6Y121H01_04823_B11P_N_UFLEX98_M5358A8BH101511/dpll_52046/txpa_53230.png","plot")</f>
        <v>plot</v>
      </c>
    </row>
    <row r="54" spans="1:29" x14ac:dyDescent="0.35">
      <c r="A54" t="s">
        <v>46</v>
      </c>
      <c r="B54">
        <v>52046</v>
      </c>
      <c r="C54" t="s">
        <v>51</v>
      </c>
      <c r="D54">
        <v>53231</v>
      </c>
      <c r="E54" t="s">
        <v>106</v>
      </c>
      <c r="F54">
        <v>8683</v>
      </c>
      <c r="G54">
        <v>0.49113299647868047</v>
      </c>
      <c r="H54">
        <v>0</v>
      </c>
      <c r="I54">
        <v>0</v>
      </c>
      <c r="J54">
        <v>0.41355791769634431</v>
      </c>
      <c r="K54">
        <v>0</v>
      </c>
      <c r="L54">
        <v>0</v>
      </c>
      <c r="M54">
        <v>0.2896563747084881</v>
      </c>
      <c r="N54">
        <v>0</v>
      </c>
      <c r="O54">
        <v>0</v>
      </c>
      <c r="P54">
        <v>0.2412116202301276</v>
      </c>
      <c r="Q54">
        <v>1.146929434707435</v>
      </c>
      <c r="R54">
        <v>3.0479781935034742</v>
      </c>
      <c r="S54">
        <v>0.26388717013297242</v>
      </c>
      <c r="T54">
        <v>0.18758978338751939</v>
      </c>
      <c r="U54">
        <v>4.4797284027409887</v>
      </c>
      <c r="V54">
        <v>0.1297314775076219</v>
      </c>
      <c r="W54">
        <v>8.185910558102039</v>
      </c>
      <c r="X54">
        <v>0.30295836612158072</v>
      </c>
      <c r="Z54" t="s">
        <v>392</v>
      </c>
      <c r="AA54">
        <v>9937</v>
      </c>
      <c r="AB54" t="s">
        <v>445</v>
      </c>
      <c r="AC54" t="str">
        <f>HYPERLINK("plots/20251231000436_3FT6Y121H01_04823_B11P_N_UFLEX98_M5358A8BH101511/dpll_52046/txpa_53231.png","plot")</f>
        <v>plot</v>
      </c>
    </row>
    <row r="55" spans="1:29" x14ac:dyDescent="0.35">
      <c r="A55" t="s">
        <v>46</v>
      </c>
      <c r="B55">
        <v>52046</v>
      </c>
      <c r="C55" t="s">
        <v>51</v>
      </c>
      <c r="D55">
        <v>53232</v>
      </c>
      <c r="E55" t="s">
        <v>107</v>
      </c>
      <c r="F55">
        <v>8679</v>
      </c>
      <c r="G55">
        <v>0.4745344967982999</v>
      </c>
      <c r="H55">
        <v>0</v>
      </c>
      <c r="I55">
        <v>0</v>
      </c>
      <c r="J55">
        <v>0.38755912580192531</v>
      </c>
      <c r="K55">
        <v>0</v>
      </c>
      <c r="L55">
        <v>0</v>
      </c>
      <c r="M55">
        <v>0.27001888928080542</v>
      </c>
      <c r="N55">
        <v>0</v>
      </c>
      <c r="O55">
        <v>0</v>
      </c>
      <c r="P55">
        <v>0.22518298865161571</v>
      </c>
      <c r="Q55">
        <v>1.1550246371576509</v>
      </c>
      <c r="R55">
        <v>3.012819058378104</v>
      </c>
      <c r="S55">
        <v>0.27763837518340351</v>
      </c>
      <c r="T55">
        <v>0.20054508687786299</v>
      </c>
      <c r="U55">
        <v>4.4798762714598457</v>
      </c>
      <c r="V55">
        <v>0.12959298196875599</v>
      </c>
      <c r="W55">
        <v>8.1871865233321817</v>
      </c>
      <c r="X55">
        <v>0.31543141328303242</v>
      </c>
      <c r="Z55" t="s">
        <v>392</v>
      </c>
      <c r="AA55">
        <v>9937</v>
      </c>
      <c r="AB55" t="s">
        <v>446</v>
      </c>
      <c r="AC55" t="str">
        <f>HYPERLINK("plots/20251231000436_3FT6Y121H01_04823_B11P_N_UFLEX98_M5358A8BH101511/dpll_52046/txpa_53232.png","plot")</f>
        <v>plot</v>
      </c>
    </row>
    <row r="56" spans="1:29" x14ac:dyDescent="0.35">
      <c r="A56" t="s">
        <v>46</v>
      </c>
      <c r="B56">
        <v>52046</v>
      </c>
      <c r="C56" t="s">
        <v>51</v>
      </c>
      <c r="D56">
        <v>53233</v>
      </c>
      <c r="E56" t="s">
        <v>108</v>
      </c>
      <c r="F56">
        <v>8689</v>
      </c>
      <c r="G56">
        <v>0.49853358480987969</v>
      </c>
      <c r="H56">
        <v>0</v>
      </c>
      <c r="I56">
        <v>0</v>
      </c>
      <c r="J56">
        <v>0.40721454081364422</v>
      </c>
      <c r="K56">
        <v>0</v>
      </c>
      <c r="L56">
        <v>0</v>
      </c>
      <c r="M56">
        <v>0.28490173097349242</v>
      </c>
      <c r="N56">
        <v>0</v>
      </c>
      <c r="O56">
        <v>0</v>
      </c>
      <c r="P56">
        <v>0.24853573518338951</v>
      </c>
      <c r="Q56">
        <v>1.160023067551035</v>
      </c>
      <c r="R56">
        <v>3.0107044359017472</v>
      </c>
      <c r="S56">
        <v>0.26284130220606933</v>
      </c>
      <c r="T56">
        <v>0.18966569949074469</v>
      </c>
      <c r="U56">
        <v>4.4793956586488664</v>
      </c>
      <c r="V56">
        <v>0.13031434683227061</v>
      </c>
      <c r="W56">
        <v>8.2069067286223962</v>
      </c>
      <c r="X56">
        <v>0.30322460304440529</v>
      </c>
      <c r="Z56" t="s">
        <v>392</v>
      </c>
      <c r="AA56">
        <v>9937</v>
      </c>
      <c r="AB56" t="s">
        <v>447</v>
      </c>
      <c r="AC56" t="str">
        <f>HYPERLINK("plots/20251231000436_3FT6Y121H01_04823_B11P_N_UFLEX98_M5358A8BH101511/dpll_52046/txpa_53233.png","plot")</f>
        <v>plot</v>
      </c>
    </row>
    <row r="57" spans="1:29" x14ac:dyDescent="0.35">
      <c r="A57" t="s">
        <v>46</v>
      </c>
      <c r="B57">
        <v>52046</v>
      </c>
      <c r="C57" t="s">
        <v>51</v>
      </c>
      <c r="D57">
        <v>53234</v>
      </c>
      <c r="E57" t="s">
        <v>109</v>
      </c>
      <c r="F57">
        <v>8686</v>
      </c>
      <c r="G57">
        <v>0.47241817953681953</v>
      </c>
      <c r="H57">
        <v>0</v>
      </c>
      <c r="I57">
        <v>0</v>
      </c>
      <c r="J57">
        <v>0.37464377818264211</v>
      </c>
      <c r="K57">
        <v>1.465081141845621E-287</v>
      </c>
      <c r="L57">
        <v>2.8243199198316731E-287</v>
      </c>
      <c r="M57">
        <v>0.26011246775994779</v>
      </c>
      <c r="N57">
        <v>2.1647171355815678E-289</v>
      </c>
      <c r="O57">
        <v>4.2539208827126157E-289</v>
      </c>
      <c r="P57">
        <v>0.22317893635688271</v>
      </c>
      <c r="Q57">
        <v>1.130176067837825</v>
      </c>
      <c r="R57">
        <v>2.9549648031612361</v>
      </c>
      <c r="S57">
        <v>0.27434124862862552</v>
      </c>
      <c r="T57">
        <v>0.19831287729485861</v>
      </c>
      <c r="U57">
        <v>4.47953574245913</v>
      </c>
      <c r="V57">
        <v>0.1301176199170829</v>
      </c>
      <c r="W57">
        <v>8.0176288943126881</v>
      </c>
      <c r="X57">
        <v>0.31128315209733431</v>
      </c>
      <c r="Z57" t="s">
        <v>392</v>
      </c>
      <c r="AA57">
        <v>9937</v>
      </c>
      <c r="AB57" t="s">
        <v>448</v>
      </c>
      <c r="AC57" t="str">
        <f>HYPERLINK("plots/20251231000436_3FT6Y121H01_04823_B11P_N_UFLEX98_M5358A8BH101511/dpll_52046/txpa_53234.png","plot")</f>
        <v>plot</v>
      </c>
    </row>
    <row r="58" spans="1:29" x14ac:dyDescent="0.35">
      <c r="A58" t="s">
        <v>46</v>
      </c>
      <c r="B58">
        <v>52046</v>
      </c>
      <c r="C58" t="s">
        <v>51</v>
      </c>
      <c r="D58">
        <v>53235</v>
      </c>
      <c r="E58" t="s">
        <v>110</v>
      </c>
      <c r="F58">
        <v>8682</v>
      </c>
      <c r="G58">
        <v>0.45340819240149999</v>
      </c>
      <c r="H58">
        <v>0</v>
      </c>
      <c r="I58">
        <v>0</v>
      </c>
      <c r="J58">
        <v>0.40174283547802792</v>
      </c>
      <c r="K58">
        <v>0</v>
      </c>
      <c r="L58">
        <v>0</v>
      </c>
      <c r="M58">
        <v>0.27953112636109079</v>
      </c>
      <c r="N58">
        <v>0</v>
      </c>
      <c r="O58">
        <v>0</v>
      </c>
      <c r="P58">
        <v>0.2055789889367956</v>
      </c>
      <c r="Q58">
        <v>1.137321274099002</v>
      </c>
      <c r="R58">
        <v>3.7248318454122979</v>
      </c>
      <c r="S58">
        <v>0.29079607522120637</v>
      </c>
      <c r="T58">
        <v>0.20137824056645429</v>
      </c>
      <c r="U58">
        <v>4.4795571361437458</v>
      </c>
      <c r="V58">
        <v>0.13007516706453201</v>
      </c>
      <c r="W58">
        <v>8.8195274748905792</v>
      </c>
      <c r="X58">
        <v>0.32627830112843093</v>
      </c>
      <c r="Z58" t="s">
        <v>392</v>
      </c>
      <c r="AA58">
        <v>9937</v>
      </c>
      <c r="AB58" t="s">
        <v>449</v>
      </c>
      <c r="AC58" t="str">
        <f>HYPERLINK("plots/20251231000436_3FT6Y121H01_04823_B11P_N_UFLEX98_M5358A8BH101511/dpll_52046/txpa_53235.png","plot")</f>
        <v>plot</v>
      </c>
    </row>
    <row r="59" spans="1:29" x14ac:dyDescent="0.35">
      <c r="A59" t="s">
        <v>46</v>
      </c>
      <c r="B59">
        <v>52046</v>
      </c>
      <c r="C59" t="s">
        <v>51</v>
      </c>
      <c r="D59">
        <v>53236</v>
      </c>
      <c r="E59" t="s">
        <v>111</v>
      </c>
      <c r="F59">
        <v>8681</v>
      </c>
      <c r="G59">
        <v>0.43663975259199139</v>
      </c>
      <c r="H59">
        <v>0</v>
      </c>
      <c r="I59">
        <v>0</v>
      </c>
      <c r="J59">
        <v>0.35302569291946462</v>
      </c>
      <c r="K59">
        <v>3.3993545646199407E-253</v>
      </c>
      <c r="L59">
        <v>5.8422805568213902E-253</v>
      </c>
      <c r="M59">
        <v>0.24360173753570691</v>
      </c>
      <c r="N59">
        <v>6.1310068384666338E-254</v>
      </c>
      <c r="O59">
        <v>1.0681857275266611E-253</v>
      </c>
      <c r="P59">
        <v>0.19065427354359549</v>
      </c>
      <c r="Q59">
        <v>1.1973004612163241</v>
      </c>
      <c r="R59">
        <v>3.687605004415579</v>
      </c>
      <c r="S59">
        <v>0.31987800349959961</v>
      </c>
      <c r="T59">
        <v>0.2315866114166511</v>
      </c>
      <c r="U59">
        <v>4.479796807280267</v>
      </c>
      <c r="V59">
        <v>0.12967685695843439</v>
      </c>
      <c r="W59">
        <v>9.0512677879276584</v>
      </c>
      <c r="X59">
        <v>0.3555841164798802</v>
      </c>
      <c r="Z59" t="s">
        <v>392</v>
      </c>
      <c r="AA59">
        <v>9937</v>
      </c>
      <c r="AB59" t="s">
        <v>450</v>
      </c>
      <c r="AC59" t="str">
        <f>HYPERLINK("plots/20251231000436_3FT6Y121H01_04823_B11P_N_UFLEX98_M5358A8BH101511/dpll_52046/txpa_53236.png","plot")</f>
        <v>plot</v>
      </c>
    </row>
    <row r="60" spans="1:29" x14ac:dyDescent="0.35">
      <c r="A60" t="s">
        <v>46</v>
      </c>
      <c r="B60">
        <v>52046</v>
      </c>
      <c r="C60" t="s">
        <v>51</v>
      </c>
      <c r="D60">
        <v>53237</v>
      </c>
      <c r="E60" t="s">
        <v>112</v>
      </c>
      <c r="F60">
        <v>8677</v>
      </c>
      <c r="G60">
        <v>0.4765327498096909</v>
      </c>
      <c r="H60">
        <v>0</v>
      </c>
      <c r="I60">
        <v>0</v>
      </c>
      <c r="J60">
        <v>0.42214467739939471</v>
      </c>
      <c r="K60">
        <v>0</v>
      </c>
      <c r="L60">
        <v>0</v>
      </c>
      <c r="M60">
        <v>0.29653350282691082</v>
      </c>
      <c r="N60">
        <v>0</v>
      </c>
      <c r="O60">
        <v>0</v>
      </c>
      <c r="P60">
        <v>0.22708346164118551</v>
      </c>
      <c r="Q60">
        <v>1.1930265796743</v>
      </c>
      <c r="R60">
        <v>3.5719261350562901</v>
      </c>
      <c r="S60">
        <v>0.28532574209525052</v>
      </c>
      <c r="T60">
        <v>0.1984013128565911</v>
      </c>
      <c r="U60">
        <v>4.4798231930390688</v>
      </c>
      <c r="V60">
        <v>0.1296409831582499</v>
      </c>
      <c r="W60">
        <v>8.9164742765932932</v>
      </c>
      <c r="X60">
        <v>0.32456350331570638</v>
      </c>
      <c r="Z60" t="s">
        <v>392</v>
      </c>
      <c r="AA60">
        <v>9937</v>
      </c>
      <c r="AB60" t="s">
        <v>451</v>
      </c>
      <c r="AC60" t="str">
        <f>HYPERLINK("plots/20251231000436_3FT6Y121H01_04823_B11P_N_UFLEX98_M5358A8BH101511/dpll_52046/txpa_53237.png","plot")</f>
        <v>plot</v>
      </c>
    </row>
    <row r="61" spans="1:29" x14ac:dyDescent="0.35">
      <c r="A61" t="s">
        <v>46</v>
      </c>
      <c r="B61">
        <v>52046</v>
      </c>
      <c r="C61" t="s">
        <v>51</v>
      </c>
      <c r="D61">
        <v>53238</v>
      </c>
      <c r="E61" t="s">
        <v>113</v>
      </c>
      <c r="F61">
        <v>8662</v>
      </c>
      <c r="G61">
        <v>0.44063064632872329</v>
      </c>
      <c r="H61">
        <v>0</v>
      </c>
      <c r="I61">
        <v>0</v>
      </c>
      <c r="J61">
        <v>0.37341421498623001</v>
      </c>
      <c r="K61">
        <v>9.2695482650127174E-285</v>
      </c>
      <c r="L61">
        <v>1.7768094405903389E-284</v>
      </c>
      <c r="M61">
        <v>0.25943694006792217</v>
      </c>
      <c r="N61">
        <v>4.1155695188470819E-287</v>
      </c>
      <c r="O61">
        <v>7.9946120538523775E-287</v>
      </c>
      <c r="P61">
        <v>0.19415536648406839</v>
      </c>
      <c r="Q61">
        <v>1.1426502865293191</v>
      </c>
      <c r="R61">
        <v>3.909692626782924</v>
      </c>
      <c r="S61">
        <v>0.29797978404524728</v>
      </c>
      <c r="T61">
        <v>0.21420608472104771</v>
      </c>
      <c r="U61">
        <v>4.4807910106211031</v>
      </c>
      <c r="V61">
        <v>0.1280110851345595</v>
      </c>
      <c r="W61">
        <v>9.0296697589471258</v>
      </c>
      <c r="X61">
        <v>0.33196034893771409</v>
      </c>
      <c r="Z61" t="s">
        <v>392</v>
      </c>
      <c r="AA61">
        <v>9937</v>
      </c>
      <c r="AB61" t="s">
        <v>452</v>
      </c>
      <c r="AC61" t="str">
        <f>HYPERLINK("plots/20251231000436_3FT6Y121H01_04823_B11P_N_UFLEX98_M5358A8BH101511/dpll_52046/txpa_53238.png","plot")</f>
        <v>plot</v>
      </c>
    </row>
    <row r="62" spans="1:29" x14ac:dyDescent="0.35">
      <c r="A62" t="s">
        <v>46</v>
      </c>
      <c r="B62">
        <v>52046</v>
      </c>
      <c r="C62" t="s">
        <v>51</v>
      </c>
      <c r="D62">
        <v>53239</v>
      </c>
      <c r="E62" t="s">
        <v>114</v>
      </c>
      <c r="F62">
        <v>8668</v>
      </c>
      <c r="G62">
        <v>0.47871930777261268</v>
      </c>
      <c r="H62">
        <v>0</v>
      </c>
      <c r="I62">
        <v>0</v>
      </c>
      <c r="J62">
        <v>0.42043371807038421</v>
      </c>
      <c r="K62">
        <v>0</v>
      </c>
      <c r="L62">
        <v>0</v>
      </c>
      <c r="M62">
        <v>0.29556400440992309</v>
      </c>
      <c r="N62">
        <v>0</v>
      </c>
      <c r="O62">
        <v>0</v>
      </c>
      <c r="P62">
        <v>0.22917217563428949</v>
      </c>
      <c r="Q62">
        <v>1.185118571035114</v>
      </c>
      <c r="R62">
        <v>3.74418299653026</v>
      </c>
      <c r="S62">
        <v>0.2792128731300656</v>
      </c>
      <c r="T62">
        <v>0.19509739169811779</v>
      </c>
      <c r="U62">
        <v>4.4804997157360402</v>
      </c>
      <c r="V62">
        <v>0.12846976786917319</v>
      </c>
      <c r="W62">
        <v>9.0541064171665901</v>
      </c>
      <c r="X62">
        <v>0.3180400398444877</v>
      </c>
      <c r="Z62" t="s">
        <v>392</v>
      </c>
      <c r="AA62">
        <v>9937</v>
      </c>
      <c r="AB62" t="s">
        <v>453</v>
      </c>
      <c r="AC62" t="str">
        <f>HYPERLINK("plots/20251231000436_3FT6Y121H01_04823_B11P_N_UFLEX98_M5358A8BH101511/dpll_52046/txpa_53239.png","plot")</f>
        <v>plot</v>
      </c>
    </row>
    <row r="63" spans="1:29" x14ac:dyDescent="0.35">
      <c r="A63" t="s">
        <v>46</v>
      </c>
      <c r="B63">
        <v>52046</v>
      </c>
      <c r="C63" t="s">
        <v>51</v>
      </c>
      <c r="D63">
        <v>53240</v>
      </c>
      <c r="E63" t="s">
        <v>115</v>
      </c>
      <c r="F63">
        <v>8675</v>
      </c>
      <c r="G63">
        <v>0.47762769697997448</v>
      </c>
      <c r="H63">
        <v>0</v>
      </c>
      <c r="I63">
        <v>0</v>
      </c>
      <c r="J63">
        <v>0.40409452977103999</v>
      </c>
      <c r="K63">
        <v>0</v>
      </c>
      <c r="L63">
        <v>0</v>
      </c>
      <c r="M63">
        <v>0.28303663634790138</v>
      </c>
      <c r="N63">
        <v>0</v>
      </c>
      <c r="O63">
        <v>0</v>
      </c>
      <c r="P63">
        <v>0.22812821692239429</v>
      </c>
      <c r="Q63">
        <v>1.220299342375742</v>
      </c>
      <c r="R63">
        <v>3.5814891520645409</v>
      </c>
      <c r="S63">
        <v>0.29026860310791491</v>
      </c>
      <c r="T63">
        <v>0.20599356767261079</v>
      </c>
      <c r="U63">
        <v>4.4800581983861667</v>
      </c>
      <c r="V63">
        <v>0.12932296079719729</v>
      </c>
      <c r="W63">
        <v>9.0485012253602299</v>
      </c>
      <c r="X63">
        <v>0.33040949051478541</v>
      </c>
      <c r="Z63" t="s">
        <v>392</v>
      </c>
      <c r="AA63">
        <v>9937</v>
      </c>
      <c r="AB63" t="s">
        <v>454</v>
      </c>
      <c r="AC63" t="str">
        <f>HYPERLINK("plots/20251231000436_3FT6Y121H01_04823_B11P_N_UFLEX98_M5358A8BH101511/dpll_52046/txpa_53240.png","plot")</f>
        <v>plot</v>
      </c>
    </row>
    <row r="64" spans="1:29" x14ac:dyDescent="0.35">
      <c r="A64" t="s">
        <v>46</v>
      </c>
      <c r="B64">
        <v>52046</v>
      </c>
      <c r="C64" t="s">
        <v>51</v>
      </c>
      <c r="D64">
        <v>53241</v>
      </c>
      <c r="E64" t="s">
        <v>116</v>
      </c>
      <c r="F64">
        <v>8679</v>
      </c>
      <c r="G64">
        <v>0.49423248733074848</v>
      </c>
      <c r="H64">
        <v>0</v>
      </c>
      <c r="I64">
        <v>0</v>
      </c>
      <c r="J64">
        <v>0.41672138076354209</v>
      </c>
      <c r="K64">
        <v>0</v>
      </c>
      <c r="L64">
        <v>0</v>
      </c>
      <c r="M64">
        <v>0.29273784653438228</v>
      </c>
      <c r="N64">
        <v>0</v>
      </c>
      <c r="O64">
        <v>0</v>
      </c>
      <c r="P64">
        <v>0.24426575153313851</v>
      </c>
      <c r="Q64">
        <v>1.2167413339480699</v>
      </c>
      <c r="R64">
        <v>3.6182517506973402</v>
      </c>
      <c r="S64">
        <v>0.2775160369606528</v>
      </c>
      <c r="T64">
        <v>0.1967470660477352</v>
      </c>
      <c r="U64">
        <v>4.4798488034335744</v>
      </c>
      <c r="V64">
        <v>0.12967659006923321</v>
      </c>
      <c r="W64">
        <v>9.0690689596727729</v>
      </c>
      <c r="X64">
        <v>0.3192482712636513</v>
      </c>
      <c r="Z64" t="s">
        <v>392</v>
      </c>
      <c r="AA64">
        <v>9937</v>
      </c>
      <c r="AB64" t="s">
        <v>455</v>
      </c>
      <c r="AC64" t="str">
        <f>HYPERLINK("plots/20251231000436_3FT6Y121H01_04823_B11P_N_UFLEX98_M5358A8BH101511/dpll_52046/txpa_53241.png","plot")</f>
        <v>plot</v>
      </c>
    </row>
    <row r="65" spans="1:29" x14ac:dyDescent="0.35">
      <c r="A65" t="s">
        <v>46</v>
      </c>
      <c r="B65">
        <v>52046</v>
      </c>
      <c r="C65" t="s">
        <v>51</v>
      </c>
      <c r="D65">
        <v>53242</v>
      </c>
      <c r="E65" t="s">
        <v>117</v>
      </c>
      <c r="F65">
        <v>8680</v>
      </c>
      <c r="G65">
        <v>0.47077276008639413</v>
      </c>
      <c r="H65">
        <v>0</v>
      </c>
      <c r="I65">
        <v>0</v>
      </c>
      <c r="J65">
        <v>0.38385146026174483</v>
      </c>
      <c r="K65">
        <v>9.562163141457881E-303</v>
      </c>
      <c r="L65">
        <v>1.958794631401675E-302</v>
      </c>
      <c r="M65">
        <v>0.26731873961505381</v>
      </c>
      <c r="N65">
        <v>2.5653280262959208E-305</v>
      </c>
      <c r="O65">
        <v>5.3304152021804577E-305</v>
      </c>
      <c r="P65">
        <v>0.22162699163936159</v>
      </c>
      <c r="Q65">
        <v>1.1788075134836249</v>
      </c>
      <c r="R65">
        <v>3.626896117473295</v>
      </c>
      <c r="S65">
        <v>0.28642089222094741</v>
      </c>
      <c r="T65">
        <v>0.20446932590603181</v>
      </c>
      <c r="U65">
        <v>4.4798304763824888</v>
      </c>
      <c r="V65">
        <v>0.12965947486312629</v>
      </c>
      <c r="W65">
        <v>8.9077539421658987</v>
      </c>
      <c r="X65">
        <v>0.3246652655411611</v>
      </c>
      <c r="Z65" t="s">
        <v>392</v>
      </c>
      <c r="AA65">
        <v>9937</v>
      </c>
      <c r="AB65" t="s">
        <v>456</v>
      </c>
      <c r="AC65" t="str">
        <f>HYPERLINK("plots/20251231000436_3FT6Y121H01_04823_B11P_N_UFLEX98_M5358A8BH101511/dpll_52046/txpa_53242.png","plot")</f>
        <v>plot</v>
      </c>
    </row>
    <row r="66" spans="1:29" x14ac:dyDescent="0.35">
      <c r="A66" t="s">
        <v>46</v>
      </c>
      <c r="B66">
        <v>52046</v>
      </c>
      <c r="C66" t="s">
        <v>51</v>
      </c>
      <c r="D66">
        <v>53243</v>
      </c>
      <c r="E66" t="s">
        <v>118</v>
      </c>
      <c r="F66">
        <v>8666</v>
      </c>
      <c r="G66">
        <v>0.4465826370322184</v>
      </c>
      <c r="H66">
        <v>0</v>
      </c>
      <c r="I66">
        <v>0</v>
      </c>
      <c r="J66">
        <v>0.41055097100707161</v>
      </c>
      <c r="K66">
        <v>0</v>
      </c>
      <c r="L66">
        <v>0</v>
      </c>
      <c r="M66">
        <v>0.28709958656901619</v>
      </c>
      <c r="N66">
        <v>0</v>
      </c>
      <c r="O66">
        <v>0</v>
      </c>
      <c r="P66">
        <v>0.19943605169865011</v>
      </c>
      <c r="Q66">
        <v>1.1845128289399121</v>
      </c>
      <c r="R66">
        <v>4.3490900699858379</v>
      </c>
      <c r="S66">
        <v>0.30627747654686138</v>
      </c>
      <c r="T66">
        <v>0.20955076757104399</v>
      </c>
      <c r="U66">
        <v>4.4802166243941839</v>
      </c>
      <c r="V66">
        <v>0.12906371739378891</v>
      </c>
      <c r="W66">
        <v>9.6559641380106154</v>
      </c>
      <c r="X66">
        <v>0.34232774928190712</v>
      </c>
      <c r="Z66" t="s">
        <v>392</v>
      </c>
      <c r="AA66">
        <v>9937</v>
      </c>
      <c r="AB66" t="s">
        <v>457</v>
      </c>
      <c r="AC66" t="str">
        <f>HYPERLINK("plots/20251231000436_3FT6Y121H01_04823_B11P_N_UFLEX98_M5358A8BH101511/dpll_52046/txpa_53243.png","plot")</f>
        <v>plot</v>
      </c>
    </row>
    <row r="67" spans="1:29" x14ac:dyDescent="0.35">
      <c r="A67" t="s">
        <v>46</v>
      </c>
      <c r="B67">
        <v>52046</v>
      </c>
      <c r="C67" t="s">
        <v>51</v>
      </c>
      <c r="D67">
        <v>53244</v>
      </c>
      <c r="E67" t="s">
        <v>119</v>
      </c>
      <c r="F67">
        <v>8653</v>
      </c>
      <c r="G67">
        <v>0.41940354121392909</v>
      </c>
      <c r="H67">
        <v>0</v>
      </c>
      <c r="I67">
        <v>0</v>
      </c>
      <c r="J67">
        <v>0.37907423788437561</v>
      </c>
      <c r="K67">
        <v>8.5874503197466849E-294</v>
      </c>
      <c r="L67">
        <v>1.6974024608622101E-293</v>
      </c>
      <c r="M67">
        <v>0.26353533963394432</v>
      </c>
      <c r="N67">
        <v>7.0114556375384059E-296</v>
      </c>
      <c r="O67">
        <v>1.410638098504751E-295</v>
      </c>
      <c r="P67">
        <v>0.17589933038278391</v>
      </c>
      <c r="Q67">
        <v>1.1795666262162181</v>
      </c>
      <c r="R67">
        <v>4.5802264985452732</v>
      </c>
      <c r="S67">
        <v>0.32476444904199192</v>
      </c>
      <c r="T67">
        <v>0.2292103938407215</v>
      </c>
      <c r="U67">
        <v>4.4812696641627179</v>
      </c>
      <c r="V67">
        <v>0.12720760086541991</v>
      </c>
      <c r="W67">
        <v>9.8661826374667747</v>
      </c>
      <c r="X67">
        <v>0.35776960811436109</v>
      </c>
      <c r="Z67" t="s">
        <v>392</v>
      </c>
      <c r="AA67">
        <v>9937</v>
      </c>
      <c r="AB67" t="s">
        <v>458</v>
      </c>
      <c r="AC67" t="str">
        <f>HYPERLINK("plots/20251231000436_3FT6Y121H01_04823_B11P_N_UFLEX98_M5358A8BH101511/dpll_52046/txpa_53244.png","plot")</f>
        <v>plot</v>
      </c>
    </row>
    <row r="68" spans="1:29" x14ac:dyDescent="0.35">
      <c r="A68" t="s">
        <v>46</v>
      </c>
      <c r="B68">
        <v>52046</v>
      </c>
      <c r="C68" t="s">
        <v>51</v>
      </c>
      <c r="D68">
        <v>53245</v>
      </c>
      <c r="E68" t="s">
        <v>120</v>
      </c>
      <c r="F68">
        <v>8659</v>
      </c>
      <c r="G68">
        <v>0.46159403811784427</v>
      </c>
      <c r="H68">
        <v>0</v>
      </c>
      <c r="I68">
        <v>0</v>
      </c>
      <c r="J68">
        <v>0.43150342711852158</v>
      </c>
      <c r="K68">
        <v>0</v>
      </c>
      <c r="L68">
        <v>0</v>
      </c>
      <c r="M68">
        <v>0.30495756426164011</v>
      </c>
      <c r="N68">
        <v>0</v>
      </c>
      <c r="O68">
        <v>0</v>
      </c>
      <c r="P68">
        <v>0.2130690560259379</v>
      </c>
      <c r="Q68">
        <v>1.236193995842783</v>
      </c>
      <c r="R68">
        <v>4.1881558589504344</v>
      </c>
      <c r="S68">
        <v>0.30404742015401509</v>
      </c>
      <c r="T68">
        <v>0.2073356186844755</v>
      </c>
      <c r="U68">
        <v>4.4807891465527199</v>
      </c>
      <c r="V68">
        <v>0.1279887068926838</v>
      </c>
      <c r="W68">
        <v>9.7272804985564161</v>
      </c>
      <c r="X68">
        <v>0.34276627930801962</v>
      </c>
      <c r="Z68" t="s">
        <v>392</v>
      </c>
      <c r="AA68">
        <v>9937</v>
      </c>
      <c r="AB68" t="s">
        <v>459</v>
      </c>
      <c r="AC68" t="str">
        <f>HYPERLINK("plots/20251231000436_3FT6Y121H01_04823_B11P_N_UFLEX98_M5358A8BH101511/dpll_52046/txpa_53245.png","plot")</f>
        <v>plot</v>
      </c>
    </row>
    <row r="69" spans="1:29" x14ac:dyDescent="0.35">
      <c r="A69" t="s">
        <v>46</v>
      </c>
      <c r="B69">
        <v>52046</v>
      </c>
      <c r="C69" t="s">
        <v>51</v>
      </c>
      <c r="D69">
        <v>53246</v>
      </c>
      <c r="E69" t="s">
        <v>121</v>
      </c>
      <c r="F69">
        <v>8648</v>
      </c>
      <c r="G69">
        <v>0.43689467465184723</v>
      </c>
      <c r="H69">
        <v>0</v>
      </c>
      <c r="I69">
        <v>0</v>
      </c>
      <c r="J69">
        <v>0.39579660720420279</v>
      </c>
      <c r="K69">
        <v>0</v>
      </c>
      <c r="L69">
        <v>0</v>
      </c>
      <c r="M69">
        <v>0.27698636888527639</v>
      </c>
      <c r="N69">
        <v>0</v>
      </c>
      <c r="O69">
        <v>0</v>
      </c>
      <c r="P69">
        <v>0.1908769567391434</v>
      </c>
      <c r="Q69">
        <v>1.1911646798004021</v>
      </c>
      <c r="R69">
        <v>4.5043087827495789</v>
      </c>
      <c r="S69">
        <v>0.31125424198782331</v>
      </c>
      <c r="T69">
        <v>0.21898895635788571</v>
      </c>
      <c r="U69">
        <v>4.4814871130897318</v>
      </c>
      <c r="V69">
        <v>0.12692233372597661</v>
      </c>
      <c r="W69">
        <v>9.842497944842739</v>
      </c>
      <c r="X69">
        <v>0.34604541960301838</v>
      </c>
      <c r="Z69" t="s">
        <v>392</v>
      </c>
      <c r="AA69">
        <v>9937</v>
      </c>
      <c r="AB69" t="s">
        <v>460</v>
      </c>
      <c r="AC69" t="str">
        <f>HYPERLINK("plots/20251231000436_3FT6Y121H01_04823_B11P_N_UFLEX98_M5358A8BH101511/dpll_52046/txpa_53246.png","plot")</f>
        <v>plot</v>
      </c>
    </row>
    <row r="70" spans="1:29" x14ac:dyDescent="0.35">
      <c r="A70" t="s">
        <v>46</v>
      </c>
      <c r="B70">
        <v>52046</v>
      </c>
      <c r="C70" t="s">
        <v>51</v>
      </c>
      <c r="D70">
        <v>53247</v>
      </c>
      <c r="E70" t="s">
        <v>122</v>
      </c>
      <c r="F70">
        <v>8651</v>
      </c>
      <c r="G70">
        <v>0.4671030152277042</v>
      </c>
      <c r="H70">
        <v>0</v>
      </c>
      <c r="I70">
        <v>0</v>
      </c>
      <c r="J70">
        <v>0.42905351657567159</v>
      </c>
      <c r="K70">
        <v>0</v>
      </c>
      <c r="L70">
        <v>0</v>
      </c>
      <c r="M70">
        <v>0.30318792312902088</v>
      </c>
      <c r="N70">
        <v>0</v>
      </c>
      <c r="O70">
        <v>0</v>
      </c>
      <c r="P70">
        <v>0.2181852268348129</v>
      </c>
      <c r="Q70">
        <v>1.2365467107168131</v>
      </c>
      <c r="R70">
        <v>4.3183232834971728</v>
      </c>
      <c r="S70">
        <v>0.29773876193974569</v>
      </c>
      <c r="T70">
        <v>0.20458415033032171</v>
      </c>
      <c r="U70">
        <v>4.4812777484683846</v>
      </c>
      <c r="V70">
        <v>0.12720690563156181</v>
      </c>
      <c r="W70">
        <v>9.8596325431742002</v>
      </c>
      <c r="X70">
        <v>0.33675072866419492</v>
      </c>
      <c r="Z70" t="s">
        <v>392</v>
      </c>
      <c r="AA70">
        <v>9937</v>
      </c>
      <c r="AB70" t="s">
        <v>461</v>
      </c>
      <c r="AC70" t="str">
        <f>HYPERLINK("plots/20251231000436_3FT6Y121H01_04823_B11P_N_UFLEX98_M5358A8BH101511/dpll_52046/txpa_53247.png","plot")</f>
        <v>plot</v>
      </c>
    </row>
    <row r="71" spans="1:29" x14ac:dyDescent="0.35">
      <c r="A71" t="s">
        <v>46</v>
      </c>
      <c r="B71">
        <v>52046</v>
      </c>
      <c r="C71" t="s">
        <v>51</v>
      </c>
      <c r="D71">
        <v>53248</v>
      </c>
      <c r="E71" t="s">
        <v>123</v>
      </c>
      <c r="F71">
        <v>8654</v>
      </c>
      <c r="G71">
        <v>0.46091417365892517</v>
      </c>
      <c r="H71">
        <v>0</v>
      </c>
      <c r="I71">
        <v>0</v>
      </c>
      <c r="J71">
        <v>0.41820487276300661</v>
      </c>
      <c r="K71">
        <v>0</v>
      </c>
      <c r="L71">
        <v>0</v>
      </c>
      <c r="M71">
        <v>0.29499088146327512</v>
      </c>
      <c r="N71">
        <v>0</v>
      </c>
      <c r="O71">
        <v>0</v>
      </c>
      <c r="P71">
        <v>0.2124418754796899</v>
      </c>
      <c r="Q71">
        <v>1.2357343343799221</v>
      </c>
      <c r="R71">
        <v>4.3109148657239542</v>
      </c>
      <c r="S71">
        <v>0.30305971678724702</v>
      </c>
      <c r="T71">
        <v>0.2112523671699133</v>
      </c>
      <c r="U71">
        <v>4.4811903045990293</v>
      </c>
      <c r="V71">
        <v>0.12738167297969649</v>
      </c>
      <c r="W71">
        <v>9.8484755840073959</v>
      </c>
      <c r="X71">
        <v>0.34151674187448389</v>
      </c>
      <c r="Z71" t="s">
        <v>392</v>
      </c>
      <c r="AA71">
        <v>9937</v>
      </c>
      <c r="AB71" t="s">
        <v>462</v>
      </c>
      <c r="AC71" t="str">
        <f>HYPERLINK("plots/20251231000436_3FT6Y121H01_04823_B11P_N_UFLEX98_M5358A8BH101511/dpll_52046/txpa_53248.png","plot")</f>
        <v>plot</v>
      </c>
    </row>
    <row r="72" spans="1:29" x14ac:dyDescent="0.35">
      <c r="A72" t="s">
        <v>46</v>
      </c>
      <c r="B72">
        <v>52046</v>
      </c>
      <c r="C72" t="s">
        <v>51</v>
      </c>
      <c r="D72">
        <v>53249</v>
      </c>
      <c r="E72" t="s">
        <v>124</v>
      </c>
      <c r="F72">
        <v>8669</v>
      </c>
      <c r="G72">
        <v>0.48742728424156517</v>
      </c>
      <c r="H72">
        <v>0</v>
      </c>
      <c r="I72">
        <v>0</v>
      </c>
      <c r="J72">
        <v>0.428236402791358</v>
      </c>
      <c r="K72">
        <v>0</v>
      </c>
      <c r="L72">
        <v>0</v>
      </c>
      <c r="M72">
        <v>0.3024830117002193</v>
      </c>
      <c r="N72">
        <v>0</v>
      </c>
      <c r="O72">
        <v>0</v>
      </c>
      <c r="P72">
        <v>0.2375853574231076</v>
      </c>
      <c r="Q72">
        <v>1.2887490401833479</v>
      </c>
      <c r="R72">
        <v>4.0938350269354338</v>
      </c>
      <c r="S72">
        <v>0.29734589739602818</v>
      </c>
      <c r="T72">
        <v>0.20672259814017671</v>
      </c>
      <c r="U72">
        <v>4.4803728758795716</v>
      </c>
      <c r="V72">
        <v>0.1288050431277955</v>
      </c>
      <c r="W72">
        <v>9.8679112703887402</v>
      </c>
      <c r="X72">
        <v>0.34055823518376199</v>
      </c>
      <c r="Z72" t="s">
        <v>392</v>
      </c>
      <c r="AA72">
        <v>9937</v>
      </c>
      <c r="AB72" t="s">
        <v>463</v>
      </c>
      <c r="AC72" t="str">
        <f>HYPERLINK("plots/20251231000436_3FT6Y121H01_04823_B11P_N_UFLEX98_M5358A8BH101511/dpll_52046/txpa_53249.png","plot")</f>
        <v>plot</v>
      </c>
    </row>
    <row r="73" spans="1:29" x14ac:dyDescent="0.35">
      <c r="A73" t="s">
        <v>46</v>
      </c>
      <c r="B73">
        <v>52046</v>
      </c>
      <c r="C73" t="s">
        <v>51</v>
      </c>
      <c r="D73">
        <v>53250</v>
      </c>
      <c r="E73" t="s">
        <v>125</v>
      </c>
      <c r="F73">
        <v>8671</v>
      </c>
      <c r="G73">
        <v>0.46677341730709909</v>
      </c>
      <c r="H73">
        <v>0</v>
      </c>
      <c r="I73">
        <v>0</v>
      </c>
      <c r="J73">
        <v>0.39573112742472039</v>
      </c>
      <c r="K73">
        <v>0</v>
      </c>
      <c r="L73">
        <v>0</v>
      </c>
      <c r="M73">
        <v>0.27691077644438938</v>
      </c>
      <c r="N73">
        <v>0</v>
      </c>
      <c r="O73">
        <v>0</v>
      </c>
      <c r="P73">
        <v>0.2178774231045473</v>
      </c>
      <c r="Q73">
        <v>1.2315658985564839</v>
      </c>
      <c r="R73">
        <v>4.2244237999741392</v>
      </c>
      <c r="S73">
        <v>0.30090161057423748</v>
      </c>
      <c r="T73">
        <v>0.21203196771621091</v>
      </c>
      <c r="U73">
        <v>4.4802737415523008</v>
      </c>
      <c r="V73">
        <v>0.12896165724826739</v>
      </c>
      <c r="W73">
        <v>9.7421761562680196</v>
      </c>
      <c r="X73">
        <v>0.34026097759504992</v>
      </c>
      <c r="Z73" t="s">
        <v>392</v>
      </c>
      <c r="AA73">
        <v>9937</v>
      </c>
      <c r="AB73" t="s">
        <v>464</v>
      </c>
      <c r="AC73" t="str">
        <f>HYPERLINK("plots/20251231000436_3FT6Y121H01_04823_B11P_N_UFLEX98_M5358A8BH101511/dpll_52046/txpa_53250.png","plot")</f>
        <v>plot</v>
      </c>
    </row>
    <row r="74" spans="1:29" x14ac:dyDescent="0.35">
      <c r="A74" t="s">
        <v>46</v>
      </c>
      <c r="B74">
        <v>52046</v>
      </c>
      <c r="C74" t="s">
        <v>51</v>
      </c>
      <c r="D74">
        <v>53251</v>
      </c>
      <c r="E74" t="s">
        <v>126</v>
      </c>
      <c r="F74">
        <v>8642</v>
      </c>
      <c r="G74">
        <v>0.42906816006604342</v>
      </c>
      <c r="H74">
        <v>0</v>
      </c>
      <c r="I74">
        <v>0</v>
      </c>
      <c r="J74">
        <v>0.42138514466393079</v>
      </c>
      <c r="K74">
        <v>0</v>
      </c>
      <c r="L74">
        <v>0</v>
      </c>
      <c r="M74">
        <v>0.29681296364270188</v>
      </c>
      <c r="N74">
        <v>0</v>
      </c>
      <c r="O74">
        <v>0</v>
      </c>
      <c r="P74">
        <v>0.1840994859824599</v>
      </c>
      <c r="Q74">
        <v>1.213160150141654</v>
      </c>
      <c r="R74">
        <v>5.0186395158445416</v>
      </c>
      <c r="S74">
        <v>0.32466859672876758</v>
      </c>
      <c r="T74">
        <v>0.21878022649796569</v>
      </c>
      <c r="U74">
        <v>4.4813952302707696</v>
      </c>
      <c r="V74">
        <v>0.12713202386827399</v>
      </c>
      <c r="W74">
        <v>10.455289626243919</v>
      </c>
      <c r="X74">
        <v>0.35945688708318002</v>
      </c>
      <c r="Z74" t="s">
        <v>392</v>
      </c>
      <c r="AA74">
        <v>9937</v>
      </c>
      <c r="AB74" t="s">
        <v>465</v>
      </c>
      <c r="AC74" t="str">
        <f>HYPERLINK("plots/20251231000436_3FT6Y121H01_04823_B11P_N_UFLEX98_M5358A8BH101511/dpll_52046/txpa_53251.png","plot")</f>
        <v>plot</v>
      </c>
    </row>
    <row r="75" spans="1:29" x14ac:dyDescent="0.35">
      <c r="A75" t="s">
        <v>46</v>
      </c>
      <c r="B75">
        <v>52046</v>
      </c>
      <c r="C75" t="s">
        <v>51</v>
      </c>
      <c r="D75">
        <v>53252</v>
      </c>
      <c r="E75" t="s">
        <v>127</v>
      </c>
      <c r="F75">
        <v>8641</v>
      </c>
      <c r="G75">
        <v>0.42244179863551651</v>
      </c>
      <c r="H75">
        <v>0</v>
      </c>
      <c r="I75">
        <v>0</v>
      </c>
      <c r="J75">
        <v>0.41193263176286271</v>
      </c>
      <c r="K75">
        <v>0</v>
      </c>
      <c r="L75">
        <v>0</v>
      </c>
      <c r="M75">
        <v>0.29042673117171453</v>
      </c>
      <c r="N75">
        <v>0</v>
      </c>
      <c r="O75">
        <v>0</v>
      </c>
      <c r="P75">
        <v>0.17845707323441021</v>
      </c>
      <c r="Q75">
        <v>1.2484755561534009</v>
      </c>
      <c r="R75">
        <v>5.026479913333902</v>
      </c>
      <c r="S75">
        <v>0.33818347250680703</v>
      </c>
      <c r="T75">
        <v>0.2317916739152463</v>
      </c>
      <c r="U75">
        <v>4.4818709691007976</v>
      </c>
      <c r="V75">
        <v>0.12625518407767039</v>
      </c>
      <c r="W75">
        <v>10.6219862640898</v>
      </c>
      <c r="X75">
        <v>0.37313190046002082</v>
      </c>
      <c r="Z75" t="s">
        <v>392</v>
      </c>
      <c r="AA75">
        <v>9937</v>
      </c>
      <c r="AB75" t="s">
        <v>466</v>
      </c>
      <c r="AC75" t="str">
        <f>HYPERLINK("plots/20251231000436_3FT6Y121H01_04823_B11P_N_UFLEX98_M5358A8BH101511/dpll_52046/txpa_53252.png","plot")</f>
        <v>plot</v>
      </c>
    </row>
    <row r="76" spans="1:29" x14ac:dyDescent="0.35">
      <c r="A76" t="s">
        <v>46</v>
      </c>
      <c r="B76">
        <v>52046</v>
      </c>
      <c r="C76" t="s">
        <v>51</v>
      </c>
      <c r="D76">
        <v>53253</v>
      </c>
      <c r="E76" t="s">
        <v>128</v>
      </c>
      <c r="F76">
        <v>8629</v>
      </c>
      <c r="G76">
        <v>0.4372686662402071</v>
      </c>
      <c r="H76">
        <v>0</v>
      </c>
      <c r="I76">
        <v>0</v>
      </c>
      <c r="J76">
        <v>0.44001636648192283</v>
      </c>
      <c r="K76">
        <v>0</v>
      </c>
      <c r="L76">
        <v>0</v>
      </c>
      <c r="M76">
        <v>0.31319234865871842</v>
      </c>
      <c r="N76">
        <v>0</v>
      </c>
      <c r="O76">
        <v>0</v>
      </c>
      <c r="P76">
        <v>0.19120388647548961</v>
      </c>
      <c r="Q76">
        <v>1.256165200846298</v>
      </c>
      <c r="R76">
        <v>4.8609615156574302</v>
      </c>
      <c r="S76">
        <v>0.32440331711981019</v>
      </c>
      <c r="T76">
        <v>0.21713773568975059</v>
      </c>
      <c r="U76">
        <v>4.4822586678641789</v>
      </c>
      <c r="V76">
        <v>0.1255719170552311</v>
      </c>
      <c r="W76">
        <v>10.49141887542009</v>
      </c>
      <c r="X76">
        <v>0.36073719565738882</v>
      </c>
      <c r="Z76" t="s">
        <v>392</v>
      </c>
      <c r="AA76">
        <v>9937</v>
      </c>
      <c r="AB76" t="s">
        <v>467</v>
      </c>
      <c r="AC76" t="str">
        <f>HYPERLINK("plots/20251231000436_3FT6Y121H01_04823_B11P_N_UFLEX98_M5358A8BH101511/dpll_52046/txpa_53253.png","plot")</f>
        <v>plot</v>
      </c>
    </row>
    <row r="77" spans="1:29" x14ac:dyDescent="0.35">
      <c r="A77" t="s">
        <v>46</v>
      </c>
      <c r="B77">
        <v>52046</v>
      </c>
      <c r="C77" t="s">
        <v>51</v>
      </c>
      <c r="D77">
        <v>53254</v>
      </c>
      <c r="E77" t="s">
        <v>129</v>
      </c>
      <c r="F77">
        <v>8634</v>
      </c>
      <c r="G77">
        <v>0.43435003658798599</v>
      </c>
      <c r="H77">
        <v>0</v>
      </c>
      <c r="I77">
        <v>0</v>
      </c>
      <c r="J77">
        <v>0.42058474149261071</v>
      </c>
      <c r="K77">
        <v>0</v>
      </c>
      <c r="L77">
        <v>0</v>
      </c>
      <c r="M77">
        <v>0.29755077707139599</v>
      </c>
      <c r="N77">
        <v>0</v>
      </c>
      <c r="O77">
        <v>0</v>
      </c>
      <c r="P77">
        <v>0.1886599542839848</v>
      </c>
      <c r="Q77">
        <v>1.2634621591397881</v>
      </c>
      <c r="R77">
        <v>4.9354844204145971</v>
      </c>
      <c r="S77">
        <v>0.32948794987254071</v>
      </c>
      <c r="T77">
        <v>0.22623578946803291</v>
      </c>
      <c r="U77">
        <v>4.4821985843178132</v>
      </c>
      <c r="V77">
        <v>0.1257595152986335</v>
      </c>
      <c r="W77">
        <v>10.598572721450079</v>
      </c>
      <c r="X77">
        <v>0.36581645066673768</v>
      </c>
      <c r="Z77" t="s">
        <v>392</v>
      </c>
      <c r="AA77">
        <v>9937</v>
      </c>
      <c r="AB77" t="s">
        <v>468</v>
      </c>
      <c r="AC77" t="str">
        <f>HYPERLINK("plots/20251231000436_3FT6Y121H01_04823_B11P_N_UFLEX98_M5358A8BH101511/dpll_52046/txpa_53254.png","plot")</f>
        <v>plot</v>
      </c>
    </row>
    <row r="78" spans="1:29" x14ac:dyDescent="0.35">
      <c r="A78" t="s">
        <v>46</v>
      </c>
      <c r="B78">
        <v>52046</v>
      </c>
      <c r="C78" t="s">
        <v>51</v>
      </c>
      <c r="D78">
        <v>53255</v>
      </c>
      <c r="E78" t="s">
        <v>130</v>
      </c>
      <c r="F78">
        <v>8626</v>
      </c>
      <c r="G78">
        <v>0.44519593571324428</v>
      </c>
      <c r="H78">
        <v>0</v>
      </c>
      <c r="I78">
        <v>0</v>
      </c>
      <c r="J78">
        <v>0.43675007465442489</v>
      </c>
      <c r="K78">
        <v>0</v>
      </c>
      <c r="L78">
        <v>0</v>
      </c>
      <c r="M78">
        <v>0.31056845245052139</v>
      </c>
      <c r="N78">
        <v>0</v>
      </c>
      <c r="O78">
        <v>0</v>
      </c>
      <c r="P78">
        <v>0.19819942117559119</v>
      </c>
      <c r="Q78">
        <v>1.2673118669122601</v>
      </c>
      <c r="R78">
        <v>4.9326161622511044</v>
      </c>
      <c r="S78">
        <v>0.31917588330114521</v>
      </c>
      <c r="T78">
        <v>0.21544392851191019</v>
      </c>
      <c r="U78">
        <v>4.4825238418734061</v>
      </c>
      <c r="V78">
        <v>0.12522462811419649</v>
      </c>
      <c r="W78">
        <v>10.6133718207744</v>
      </c>
      <c r="X78">
        <v>0.35646924086255682</v>
      </c>
      <c r="Z78" t="s">
        <v>392</v>
      </c>
      <c r="AA78">
        <v>9937</v>
      </c>
      <c r="AB78" t="s">
        <v>469</v>
      </c>
      <c r="AC78" t="str">
        <f>HYPERLINK("plots/20251231000436_3FT6Y121H01_04823_B11P_N_UFLEX98_M5358A8BH101511/dpll_52046/txpa_53255.png","plot")</f>
        <v>plot</v>
      </c>
    </row>
    <row r="79" spans="1:29" x14ac:dyDescent="0.35">
      <c r="A79" t="s">
        <v>46</v>
      </c>
      <c r="B79">
        <v>52046</v>
      </c>
      <c r="C79" t="s">
        <v>51</v>
      </c>
      <c r="D79">
        <v>53256</v>
      </c>
      <c r="E79" t="s">
        <v>131</v>
      </c>
      <c r="F79">
        <v>8649</v>
      </c>
      <c r="G79">
        <v>0.46280475868239068</v>
      </c>
      <c r="H79">
        <v>0</v>
      </c>
      <c r="I79">
        <v>0</v>
      </c>
      <c r="J79">
        <v>0.43573065666777938</v>
      </c>
      <c r="K79">
        <v>0</v>
      </c>
      <c r="L79">
        <v>0</v>
      </c>
      <c r="M79">
        <v>0.3104435579726193</v>
      </c>
      <c r="N79">
        <v>0</v>
      </c>
      <c r="O79">
        <v>0</v>
      </c>
      <c r="P79">
        <v>0.21418824465906591</v>
      </c>
      <c r="Q79">
        <v>1.336619141130315</v>
      </c>
      <c r="R79">
        <v>4.6003073553499458</v>
      </c>
      <c r="S79">
        <v>0.32504493242425547</v>
      </c>
      <c r="T79">
        <v>0.2221890282619241</v>
      </c>
      <c r="U79">
        <v>4.4814469539831192</v>
      </c>
      <c r="V79">
        <v>0.12696949336934829</v>
      </c>
      <c r="W79">
        <v>10.590295134003931</v>
      </c>
      <c r="X79">
        <v>0.36669859588361847</v>
      </c>
      <c r="Z79" t="s">
        <v>392</v>
      </c>
      <c r="AA79">
        <v>9937</v>
      </c>
      <c r="AB79" t="s">
        <v>470</v>
      </c>
      <c r="AC79" t="str">
        <f>HYPERLINK("plots/20251231000436_3FT6Y121H01_04823_B11P_N_UFLEX98_M5358A8BH101511/dpll_52046/txpa_53256.png","plot")</f>
        <v>plot</v>
      </c>
    </row>
    <row r="80" spans="1:29" x14ac:dyDescent="0.35">
      <c r="A80" t="s">
        <v>46</v>
      </c>
      <c r="B80">
        <v>52046</v>
      </c>
      <c r="C80" t="s">
        <v>51</v>
      </c>
      <c r="D80">
        <v>53257</v>
      </c>
      <c r="E80" t="s">
        <v>132</v>
      </c>
      <c r="F80">
        <v>8646</v>
      </c>
      <c r="G80">
        <v>0.46666186579403401</v>
      </c>
      <c r="H80">
        <v>0</v>
      </c>
      <c r="I80">
        <v>0</v>
      </c>
      <c r="J80">
        <v>0.43791311216598111</v>
      </c>
      <c r="K80">
        <v>0</v>
      </c>
      <c r="L80">
        <v>0</v>
      </c>
      <c r="M80">
        <v>0.31130594673199752</v>
      </c>
      <c r="N80">
        <v>0</v>
      </c>
      <c r="O80">
        <v>0</v>
      </c>
      <c r="P80">
        <v>0.21777329698636899</v>
      </c>
      <c r="Q80">
        <v>1.3297388802326431</v>
      </c>
      <c r="R80">
        <v>4.656691555816443</v>
      </c>
      <c r="S80">
        <v>0.31934872883302978</v>
      </c>
      <c r="T80">
        <v>0.2178306905500019</v>
      </c>
      <c r="U80">
        <v>4.4816001524404347</v>
      </c>
      <c r="V80">
        <v>0.1267243101329221</v>
      </c>
      <c r="W80">
        <v>10.616049524173031</v>
      </c>
      <c r="X80">
        <v>0.36109709107617499</v>
      </c>
      <c r="Z80" t="s">
        <v>392</v>
      </c>
      <c r="AA80">
        <v>9937</v>
      </c>
      <c r="AB80" t="s">
        <v>471</v>
      </c>
      <c r="AC80" t="str">
        <f>HYPERLINK("plots/20251231000436_3FT6Y121H01_04823_B11P_N_UFLEX98_M5358A8BH101511/dpll_52046/txpa_53257.png","plot")</f>
        <v>plot</v>
      </c>
    </row>
    <row r="81" spans="1:29" x14ac:dyDescent="0.35">
      <c r="A81" t="s">
        <v>46</v>
      </c>
      <c r="B81">
        <v>52046</v>
      </c>
      <c r="C81" t="s">
        <v>51</v>
      </c>
      <c r="D81">
        <v>53258</v>
      </c>
      <c r="E81" t="s">
        <v>133</v>
      </c>
      <c r="F81">
        <v>8662</v>
      </c>
      <c r="G81">
        <v>0.46317106615696368</v>
      </c>
      <c r="H81">
        <v>0</v>
      </c>
      <c r="I81">
        <v>0</v>
      </c>
      <c r="J81">
        <v>0.412440969357174</v>
      </c>
      <c r="K81">
        <v>0</v>
      </c>
      <c r="L81">
        <v>0</v>
      </c>
      <c r="M81">
        <v>0.29071303053490422</v>
      </c>
      <c r="N81">
        <v>0</v>
      </c>
      <c r="O81">
        <v>0</v>
      </c>
      <c r="P81">
        <v>0.21452743652497849</v>
      </c>
      <c r="Q81">
        <v>1.303914635526465</v>
      </c>
      <c r="R81">
        <v>4.6924680229360201</v>
      </c>
      <c r="S81">
        <v>0.31969102896601481</v>
      </c>
      <c r="T81">
        <v>0.22173374712065</v>
      </c>
      <c r="U81">
        <v>4.4807597223504958</v>
      </c>
      <c r="V81">
        <v>0.12813927769112229</v>
      </c>
      <c r="W81">
        <v>10.53499620318633</v>
      </c>
      <c r="X81">
        <v>0.36073643579156922</v>
      </c>
      <c r="Z81" t="s">
        <v>392</v>
      </c>
      <c r="AA81">
        <v>9937</v>
      </c>
      <c r="AB81" t="s">
        <v>472</v>
      </c>
      <c r="AC81" t="str">
        <f>HYPERLINK("plots/20251231000436_3FT6Y121H01_04823_B11P_N_UFLEX98_M5358A8BH101511/dpll_52046/txpa_53258.png","plot")</f>
        <v>plot</v>
      </c>
    </row>
    <row r="82" spans="1:29" x14ac:dyDescent="0.35">
      <c r="A82" t="s">
        <v>46</v>
      </c>
      <c r="B82">
        <v>52046</v>
      </c>
      <c r="C82" t="s">
        <v>51</v>
      </c>
      <c r="D82">
        <v>53259</v>
      </c>
      <c r="E82" t="s">
        <v>134</v>
      </c>
      <c r="F82">
        <v>8632</v>
      </c>
      <c r="G82">
        <v>0.42283473479129319</v>
      </c>
      <c r="H82">
        <v>0</v>
      </c>
      <c r="I82">
        <v>0</v>
      </c>
      <c r="J82">
        <v>0.42790809571794453</v>
      </c>
      <c r="K82">
        <v>0</v>
      </c>
      <c r="L82">
        <v>0</v>
      </c>
      <c r="M82">
        <v>0.3027578537012115</v>
      </c>
      <c r="N82">
        <v>0</v>
      </c>
      <c r="O82">
        <v>0</v>
      </c>
      <c r="P82">
        <v>0.17878921294602329</v>
      </c>
      <c r="Q82">
        <v>1.2411549378623949</v>
      </c>
      <c r="R82">
        <v>5.2496495263973726</v>
      </c>
      <c r="S82">
        <v>0.3360934797096623</v>
      </c>
      <c r="T82">
        <v>0.22476867553107149</v>
      </c>
      <c r="U82">
        <v>4.4818818222891563</v>
      </c>
      <c r="V82">
        <v>0.12635795215220569</v>
      </c>
      <c r="W82">
        <v>10.81235928104727</v>
      </c>
      <c r="X82">
        <v>0.37090092971973992</v>
      </c>
      <c r="Z82" t="s">
        <v>392</v>
      </c>
      <c r="AA82">
        <v>9937</v>
      </c>
      <c r="AB82" t="s">
        <v>473</v>
      </c>
      <c r="AC82" t="str">
        <f>HYPERLINK("plots/20251231000436_3FT6Y121H01_04823_B11P_N_UFLEX98_M5358A8BH101511/dpll_52046/txpa_53259.png","plot")</f>
        <v>plot</v>
      </c>
    </row>
    <row r="83" spans="1:29" x14ac:dyDescent="0.35">
      <c r="A83" t="s">
        <v>46</v>
      </c>
      <c r="B83">
        <v>52046</v>
      </c>
      <c r="C83" t="s">
        <v>51</v>
      </c>
      <c r="D83">
        <v>53260</v>
      </c>
      <c r="E83" t="s">
        <v>135</v>
      </c>
      <c r="F83">
        <v>8639</v>
      </c>
      <c r="G83">
        <v>0.42811079132817542</v>
      </c>
      <c r="H83">
        <v>0</v>
      </c>
      <c r="I83">
        <v>0</v>
      </c>
      <c r="J83">
        <v>0.42702719635977548</v>
      </c>
      <c r="K83">
        <v>0</v>
      </c>
      <c r="L83">
        <v>0</v>
      </c>
      <c r="M83">
        <v>0.30345152624154498</v>
      </c>
      <c r="N83">
        <v>0</v>
      </c>
      <c r="O83">
        <v>0</v>
      </c>
      <c r="P83">
        <v>0.18327884965163649</v>
      </c>
      <c r="Q83">
        <v>1.308694327214313</v>
      </c>
      <c r="R83">
        <v>5.0861184702261264</v>
      </c>
      <c r="S83">
        <v>0.34833293938708559</v>
      </c>
      <c r="T83">
        <v>0.23537799630610681</v>
      </c>
      <c r="U83">
        <v>4.4819717397846972</v>
      </c>
      <c r="V83">
        <v>0.1260958332194326</v>
      </c>
      <c r="W83">
        <v>10.951649460817221</v>
      </c>
      <c r="X83">
        <v>0.38546307395726032</v>
      </c>
      <c r="Z83" t="s">
        <v>392</v>
      </c>
      <c r="AA83">
        <v>9937</v>
      </c>
      <c r="AB83" t="s">
        <v>474</v>
      </c>
      <c r="AC83" t="str">
        <f>HYPERLINK("plots/20251231000436_3FT6Y121H01_04823_B11P_N_UFLEX98_M5358A8BH101511/dpll_52046/txpa_53260.png","plot")</f>
        <v>plot</v>
      </c>
    </row>
    <row r="84" spans="1:29" x14ac:dyDescent="0.35">
      <c r="A84" t="s">
        <v>46</v>
      </c>
      <c r="B84">
        <v>52046</v>
      </c>
      <c r="C84" t="s">
        <v>51</v>
      </c>
      <c r="D84">
        <v>53261</v>
      </c>
      <c r="E84" t="s">
        <v>136</v>
      </c>
      <c r="F84">
        <v>8620</v>
      </c>
      <c r="G84">
        <v>0.43319600952265519</v>
      </c>
      <c r="H84">
        <v>0</v>
      </c>
      <c r="I84">
        <v>0</v>
      </c>
      <c r="J84">
        <v>0.44507029997378089</v>
      </c>
      <c r="K84">
        <v>0</v>
      </c>
      <c r="L84">
        <v>0</v>
      </c>
      <c r="M84">
        <v>0.3180855278088241</v>
      </c>
      <c r="N84">
        <v>0</v>
      </c>
      <c r="O84">
        <v>0</v>
      </c>
      <c r="P84">
        <v>0.18765878266635239</v>
      </c>
      <c r="Q84">
        <v>1.2960873369057939</v>
      </c>
      <c r="R84">
        <v>5.0180216784869689</v>
      </c>
      <c r="S84">
        <v>0.33712361653475059</v>
      </c>
      <c r="T84">
        <v>0.22396384704067321</v>
      </c>
      <c r="U84">
        <v>4.482622956148492</v>
      </c>
      <c r="V84">
        <v>0.1250245514124278</v>
      </c>
      <c r="W84">
        <v>10.82789252807425</v>
      </c>
      <c r="X84">
        <v>0.37406332081990379</v>
      </c>
      <c r="Z84" t="s">
        <v>392</v>
      </c>
      <c r="AA84">
        <v>9937</v>
      </c>
      <c r="AB84" t="s">
        <v>475</v>
      </c>
      <c r="AC84" t="str">
        <f>HYPERLINK("plots/20251231000436_3FT6Y121H01_04823_B11P_N_UFLEX98_M5358A8BH101511/dpll_52046/txpa_53261.png","plot")</f>
        <v>plot</v>
      </c>
    </row>
    <row r="85" spans="1:29" x14ac:dyDescent="0.35">
      <c r="A85" t="s">
        <v>46</v>
      </c>
      <c r="B85">
        <v>52046</v>
      </c>
      <c r="C85" t="s">
        <v>51</v>
      </c>
      <c r="D85">
        <v>53262</v>
      </c>
      <c r="E85" t="s">
        <v>137</v>
      </c>
      <c r="F85">
        <v>8631</v>
      </c>
      <c r="G85">
        <v>0.43729251674986752</v>
      </c>
      <c r="H85">
        <v>0</v>
      </c>
      <c r="I85">
        <v>0</v>
      </c>
      <c r="J85">
        <v>0.4322661534231782</v>
      </c>
      <c r="K85">
        <v>0</v>
      </c>
      <c r="L85">
        <v>0</v>
      </c>
      <c r="M85">
        <v>0.3075944866134166</v>
      </c>
      <c r="N85">
        <v>0</v>
      </c>
      <c r="O85">
        <v>0</v>
      </c>
      <c r="P85">
        <v>0.1912247452054332</v>
      </c>
      <c r="Q85">
        <v>1.324336174878801</v>
      </c>
      <c r="R85">
        <v>4.9918700759636012</v>
      </c>
      <c r="S85">
        <v>0.34175512441347872</v>
      </c>
      <c r="T85">
        <v>0.2318613864745824</v>
      </c>
      <c r="U85">
        <v>4.4823587222801526</v>
      </c>
      <c r="V85">
        <v>0.1254873856327294</v>
      </c>
      <c r="W85">
        <v>10.928019880662729</v>
      </c>
      <c r="X85">
        <v>0.38003733866648692</v>
      </c>
      <c r="Z85" t="s">
        <v>392</v>
      </c>
      <c r="AA85">
        <v>9937</v>
      </c>
      <c r="AB85" t="s">
        <v>476</v>
      </c>
      <c r="AC85" t="str">
        <f>HYPERLINK("plots/20251231000436_3FT6Y121H01_04823_B11P_N_UFLEX98_M5358A8BH101511/dpll_52046/txpa_53262.png","plot")</f>
        <v>plot</v>
      </c>
    </row>
    <row r="86" spans="1:29" x14ac:dyDescent="0.35">
      <c r="A86" t="s">
        <v>46</v>
      </c>
      <c r="B86">
        <v>52046</v>
      </c>
      <c r="C86" t="s">
        <v>51</v>
      </c>
      <c r="D86">
        <v>53263</v>
      </c>
      <c r="E86" t="s">
        <v>138</v>
      </c>
      <c r="F86">
        <v>8620</v>
      </c>
      <c r="G86">
        <v>0.44087299651077061</v>
      </c>
      <c r="H86">
        <v>0</v>
      </c>
      <c r="I86">
        <v>0</v>
      </c>
      <c r="J86">
        <v>0.44153474322114128</v>
      </c>
      <c r="K86">
        <v>0</v>
      </c>
      <c r="L86">
        <v>0</v>
      </c>
      <c r="M86">
        <v>0.31520477249746509</v>
      </c>
      <c r="N86">
        <v>0</v>
      </c>
      <c r="O86">
        <v>0</v>
      </c>
      <c r="P86">
        <v>0.19436899905238589</v>
      </c>
      <c r="Q86">
        <v>1.311738539252846</v>
      </c>
      <c r="R86">
        <v>5.0621946463573266</v>
      </c>
      <c r="S86">
        <v>0.33305194799451049</v>
      </c>
      <c r="T86">
        <v>0.22294239951081921</v>
      </c>
      <c r="U86">
        <v>4.4828300126450111</v>
      </c>
      <c r="V86">
        <v>0.1247197715089452</v>
      </c>
      <c r="W86">
        <v>10.94249553886311</v>
      </c>
      <c r="X86">
        <v>0.3710813140969853</v>
      </c>
      <c r="Z86" t="s">
        <v>392</v>
      </c>
      <c r="AA86">
        <v>9937</v>
      </c>
      <c r="AB86" t="s">
        <v>477</v>
      </c>
      <c r="AC86" t="str">
        <f>HYPERLINK("plots/20251231000436_3FT6Y121H01_04823_B11P_N_UFLEX98_M5358A8BH101511/dpll_52046/txpa_53263.png","plot")</f>
        <v>plot</v>
      </c>
    </row>
    <row r="87" spans="1:29" x14ac:dyDescent="0.35">
      <c r="A87" t="s">
        <v>46</v>
      </c>
      <c r="B87">
        <v>52046</v>
      </c>
      <c r="C87" t="s">
        <v>51</v>
      </c>
      <c r="D87">
        <v>53264</v>
      </c>
      <c r="E87" t="s">
        <v>139</v>
      </c>
      <c r="F87">
        <v>8645</v>
      </c>
      <c r="G87">
        <v>0.46217399541654092</v>
      </c>
      <c r="H87">
        <v>0</v>
      </c>
      <c r="I87">
        <v>0</v>
      </c>
      <c r="J87">
        <v>0.44290720628819608</v>
      </c>
      <c r="K87">
        <v>0</v>
      </c>
      <c r="L87">
        <v>0</v>
      </c>
      <c r="M87">
        <v>0.31702600021862248</v>
      </c>
      <c r="N87">
        <v>0</v>
      </c>
      <c r="O87">
        <v>0</v>
      </c>
      <c r="P87">
        <v>0.2136048020392888</v>
      </c>
      <c r="Q87">
        <v>1.389755782902877</v>
      </c>
      <c r="R87">
        <v>4.685368146418404</v>
      </c>
      <c r="S87">
        <v>0.33762228044124343</v>
      </c>
      <c r="T87">
        <v>0.2289255985453468</v>
      </c>
      <c r="U87">
        <v>4.4816571230769231</v>
      </c>
      <c r="V87">
        <v>0.12662014551241091</v>
      </c>
      <c r="W87">
        <v>10.91377705020243</v>
      </c>
      <c r="X87">
        <v>0.38074638816335921</v>
      </c>
      <c r="Z87" t="s">
        <v>392</v>
      </c>
      <c r="AA87">
        <v>9937</v>
      </c>
      <c r="AB87" t="s">
        <v>478</v>
      </c>
      <c r="AC87" t="str">
        <f>HYPERLINK("plots/20251231000436_3FT6Y121H01_04823_B11P_N_UFLEX98_M5358A8BH101511/dpll_52046/txpa_53264.png","plot")</f>
        <v>plot</v>
      </c>
    </row>
    <row r="88" spans="1:29" x14ac:dyDescent="0.35">
      <c r="A88" t="s">
        <v>46</v>
      </c>
      <c r="B88">
        <v>52046</v>
      </c>
      <c r="C88" t="s">
        <v>51</v>
      </c>
      <c r="D88">
        <v>53265</v>
      </c>
      <c r="E88" t="s">
        <v>140</v>
      </c>
      <c r="F88">
        <v>8640</v>
      </c>
      <c r="G88">
        <v>0.4626149183471151</v>
      </c>
      <c r="H88">
        <v>0</v>
      </c>
      <c r="I88">
        <v>0</v>
      </c>
      <c r="J88">
        <v>0.44286783922176282</v>
      </c>
      <c r="K88">
        <v>0</v>
      </c>
      <c r="L88">
        <v>0</v>
      </c>
      <c r="M88">
        <v>0.31595408443844758</v>
      </c>
      <c r="N88">
        <v>0</v>
      </c>
      <c r="O88">
        <v>0</v>
      </c>
      <c r="P88">
        <v>0.214012562677308</v>
      </c>
      <c r="Q88">
        <v>1.3761337090644039</v>
      </c>
      <c r="R88">
        <v>4.7744220561270616</v>
      </c>
      <c r="S88">
        <v>0.33299004616530392</v>
      </c>
      <c r="T88">
        <v>0.22519422831081409</v>
      </c>
      <c r="U88">
        <v>4.4818939099537038</v>
      </c>
      <c r="V88">
        <v>0.12627215259421309</v>
      </c>
      <c r="W88">
        <v>10.942107346064811</v>
      </c>
      <c r="X88">
        <v>0.37561989207325458</v>
      </c>
      <c r="Z88" t="s">
        <v>392</v>
      </c>
      <c r="AA88">
        <v>9937</v>
      </c>
      <c r="AB88" t="s">
        <v>479</v>
      </c>
      <c r="AC88" t="str">
        <f>HYPERLINK("plots/20251231000436_3FT6Y121H01_04823_B11P_N_UFLEX98_M5358A8BH101511/dpll_52046/txpa_53265.png","plot")</f>
        <v>plot</v>
      </c>
    </row>
    <row r="89" spans="1:29" x14ac:dyDescent="0.35">
      <c r="A89" t="s">
        <v>46</v>
      </c>
      <c r="B89">
        <v>52046</v>
      </c>
      <c r="C89" t="s">
        <v>51</v>
      </c>
      <c r="D89">
        <v>53266</v>
      </c>
      <c r="E89" t="s">
        <v>141</v>
      </c>
      <c r="F89">
        <v>8652</v>
      </c>
      <c r="G89">
        <v>0.45591970991576752</v>
      </c>
      <c r="H89">
        <v>0</v>
      </c>
      <c r="I89">
        <v>0</v>
      </c>
      <c r="J89">
        <v>0.42059132518638348</v>
      </c>
      <c r="K89">
        <v>0</v>
      </c>
      <c r="L89">
        <v>0</v>
      </c>
      <c r="M89">
        <v>0.29763191141201523</v>
      </c>
      <c r="N89">
        <v>0</v>
      </c>
      <c r="O89">
        <v>0</v>
      </c>
      <c r="P89">
        <v>0.20786278188967761</v>
      </c>
      <c r="Q89">
        <v>1.3258755310797921</v>
      </c>
      <c r="R89">
        <v>4.9466181261635089</v>
      </c>
      <c r="S89">
        <v>0.32926309708770268</v>
      </c>
      <c r="T89">
        <v>0.22659518593143929</v>
      </c>
      <c r="U89">
        <v>4.4812963066343041</v>
      </c>
      <c r="V89">
        <v>0.1272194637637363</v>
      </c>
      <c r="W89">
        <v>10.888259246648181</v>
      </c>
      <c r="X89">
        <v>0.3699712261016172</v>
      </c>
      <c r="Z89" t="s">
        <v>392</v>
      </c>
      <c r="AA89">
        <v>9937</v>
      </c>
      <c r="AB89" t="s">
        <v>480</v>
      </c>
      <c r="AC89" t="str">
        <f>HYPERLINK("plots/20251231000436_3FT6Y121H01_04823_B11P_N_UFLEX98_M5358A8BH101511/dpll_52046/txpa_53266.png","plot")</f>
        <v>plot</v>
      </c>
    </row>
    <row r="90" spans="1:29" x14ac:dyDescent="0.35">
      <c r="A90" t="s">
        <v>46</v>
      </c>
      <c r="B90">
        <v>52046</v>
      </c>
      <c r="C90" t="s">
        <v>51</v>
      </c>
      <c r="D90">
        <v>53267</v>
      </c>
      <c r="E90" t="s">
        <v>142</v>
      </c>
      <c r="F90">
        <v>8630</v>
      </c>
      <c r="G90">
        <v>0.4252637018224284</v>
      </c>
      <c r="H90">
        <v>0</v>
      </c>
      <c r="I90">
        <v>0</v>
      </c>
      <c r="J90">
        <v>0.43589830311174332</v>
      </c>
      <c r="K90">
        <v>0</v>
      </c>
      <c r="L90">
        <v>0</v>
      </c>
      <c r="M90">
        <v>0.31003206217909479</v>
      </c>
      <c r="N90">
        <v>0</v>
      </c>
      <c r="O90">
        <v>0</v>
      </c>
      <c r="P90">
        <v>0.18084921608771529</v>
      </c>
      <c r="Q90">
        <v>1.300504078450438</v>
      </c>
      <c r="R90">
        <v>5.3018971723804356</v>
      </c>
      <c r="S90">
        <v>0.34924646561874401</v>
      </c>
      <c r="T90">
        <v>0.2317758083789313</v>
      </c>
      <c r="U90">
        <v>4.4819846169177282</v>
      </c>
      <c r="V90">
        <v>0.12618910330883101</v>
      </c>
      <c r="W90">
        <v>11.130736446234071</v>
      </c>
      <c r="X90">
        <v>0.3859004255615105</v>
      </c>
      <c r="Z90" t="s">
        <v>392</v>
      </c>
      <c r="AA90">
        <v>9937</v>
      </c>
      <c r="AB90" t="s">
        <v>481</v>
      </c>
      <c r="AC90" t="str">
        <f>HYPERLINK("plots/20251231000436_3FT6Y121H01_04823_B11P_N_UFLEX98_M5358A8BH101511/dpll_52046/txpa_53267.png","plot")</f>
        <v>plot</v>
      </c>
    </row>
    <row r="91" spans="1:29" x14ac:dyDescent="0.35">
      <c r="A91" t="s">
        <v>46</v>
      </c>
      <c r="B91">
        <v>52046</v>
      </c>
      <c r="C91" t="s">
        <v>51</v>
      </c>
      <c r="D91">
        <v>53268</v>
      </c>
      <c r="E91" t="s">
        <v>143</v>
      </c>
      <c r="F91">
        <v>8632</v>
      </c>
      <c r="G91">
        <v>0.43006444303081942</v>
      </c>
      <c r="H91">
        <v>0</v>
      </c>
      <c r="I91">
        <v>0</v>
      </c>
      <c r="J91">
        <v>0.43893270959242731</v>
      </c>
      <c r="K91">
        <v>0</v>
      </c>
      <c r="L91">
        <v>0</v>
      </c>
      <c r="M91">
        <v>0.31393530555985172</v>
      </c>
      <c r="N91">
        <v>0</v>
      </c>
      <c r="O91">
        <v>0</v>
      </c>
      <c r="P91">
        <v>0.18495542515940891</v>
      </c>
      <c r="Q91">
        <v>1.353826061756698</v>
      </c>
      <c r="R91">
        <v>5.1757590596758227</v>
      </c>
      <c r="S91">
        <v>0.35686257826351431</v>
      </c>
      <c r="T91">
        <v>0.23852989967778551</v>
      </c>
      <c r="U91">
        <v>4.4822749672150133</v>
      </c>
      <c r="V91">
        <v>0.12557585766963969</v>
      </c>
      <c r="W91">
        <v>11.24397972625116</v>
      </c>
      <c r="X91">
        <v>0.39530789302761499</v>
      </c>
      <c r="Z91" t="s">
        <v>392</v>
      </c>
      <c r="AA91">
        <v>9937</v>
      </c>
      <c r="AB91" t="s">
        <v>482</v>
      </c>
      <c r="AC91" t="str">
        <f>HYPERLINK("plots/20251231000436_3FT6Y121H01_04823_B11P_N_UFLEX98_M5358A8BH101511/dpll_52046/txpa_53268.png","plot")</f>
        <v>plot</v>
      </c>
    </row>
    <row r="92" spans="1:29" x14ac:dyDescent="0.35">
      <c r="A92" t="s">
        <v>46</v>
      </c>
      <c r="B92">
        <v>52046</v>
      </c>
      <c r="C92" t="s">
        <v>51</v>
      </c>
      <c r="D92">
        <v>53269</v>
      </c>
      <c r="E92" t="s">
        <v>144</v>
      </c>
      <c r="F92">
        <v>8614</v>
      </c>
      <c r="G92">
        <v>0.43192190557598509</v>
      </c>
      <c r="H92">
        <v>0</v>
      </c>
      <c r="I92">
        <v>0</v>
      </c>
      <c r="J92">
        <v>0.44955945796916719</v>
      </c>
      <c r="K92">
        <v>0</v>
      </c>
      <c r="L92">
        <v>0</v>
      </c>
      <c r="M92">
        <v>0.32241665676429282</v>
      </c>
      <c r="N92">
        <v>0</v>
      </c>
      <c r="O92">
        <v>0</v>
      </c>
      <c r="P92">
        <v>0.18655653251639021</v>
      </c>
      <c r="Q92">
        <v>1.3456470126278091</v>
      </c>
      <c r="R92">
        <v>5.094373908587567</v>
      </c>
      <c r="S92">
        <v>0.35016584417604962</v>
      </c>
      <c r="T92">
        <v>0.23127291721497389</v>
      </c>
      <c r="U92">
        <v>4.48286752623636</v>
      </c>
      <c r="V92">
        <v>0.1246262086014614</v>
      </c>
      <c r="W92">
        <v>11.12673120327374</v>
      </c>
      <c r="X92">
        <v>0.38827131278754701</v>
      </c>
      <c r="Z92" t="s">
        <v>392</v>
      </c>
      <c r="AA92">
        <v>9937</v>
      </c>
      <c r="AB92" t="s">
        <v>483</v>
      </c>
      <c r="AC92" t="str">
        <f>HYPERLINK("plots/20251231000436_3FT6Y121H01_04823_B11P_N_UFLEX98_M5358A8BH101511/dpll_52046/txpa_53269.png","plot")</f>
        <v>plot</v>
      </c>
    </row>
    <row r="93" spans="1:29" x14ac:dyDescent="0.35">
      <c r="A93" t="s">
        <v>46</v>
      </c>
      <c r="B93">
        <v>52046</v>
      </c>
      <c r="C93" t="s">
        <v>51</v>
      </c>
      <c r="D93">
        <v>53270</v>
      </c>
      <c r="E93" t="s">
        <v>145</v>
      </c>
      <c r="F93">
        <v>8623</v>
      </c>
      <c r="G93">
        <v>0.43611336566318493</v>
      </c>
      <c r="H93">
        <v>0</v>
      </c>
      <c r="I93">
        <v>0</v>
      </c>
      <c r="J93">
        <v>0.44086430987413638</v>
      </c>
      <c r="K93">
        <v>0</v>
      </c>
      <c r="L93">
        <v>0</v>
      </c>
      <c r="M93">
        <v>0.3152930568612855</v>
      </c>
      <c r="N93">
        <v>0</v>
      </c>
      <c r="O93">
        <v>0</v>
      </c>
      <c r="P93">
        <v>0.19019486771007091</v>
      </c>
      <c r="Q93">
        <v>1.364986233016531</v>
      </c>
      <c r="R93">
        <v>5.1007900614140587</v>
      </c>
      <c r="S93">
        <v>0.35190039940571849</v>
      </c>
      <c r="T93">
        <v>0.23663262701354659</v>
      </c>
      <c r="U93">
        <v>4.4827288094630644</v>
      </c>
      <c r="V93">
        <v>0.1249469924122564</v>
      </c>
      <c r="W93">
        <v>11.21965317267772</v>
      </c>
      <c r="X93">
        <v>0.39107016186077947</v>
      </c>
      <c r="Z93" t="s">
        <v>392</v>
      </c>
      <c r="AA93">
        <v>9937</v>
      </c>
      <c r="AB93" t="s">
        <v>484</v>
      </c>
      <c r="AC93" t="str">
        <f>HYPERLINK("plots/20251231000436_3FT6Y121H01_04823_B11P_N_UFLEX98_M5358A8BH101511/dpll_52046/txpa_53270.png","plot")</f>
        <v>plot</v>
      </c>
    </row>
    <row r="94" spans="1:29" x14ac:dyDescent="0.35">
      <c r="A94" t="s">
        <v>46</v>
      </c>
      <c r="B94">
        <v>52046</v>
      </c>
      <c r="C94" t="s">
        <v>51</v>
      </c>
      <c r="D94">
        <v>53271</v>
      </c>
      <c r="E94" t="s">
        <v>146</v>
      </c>
      <c r="F94">
        <v>8618</v>
      </c>
      <c r="G94">
        <v>0.44203103622108442</v>
      </c>
      <c r="H94">
        <v>0</v>
      </c>
      <c r="I94">
        <v>0</v>
      </c>
      <c r="J94">
        <v>0.44664471264974609</v>
      </c>
      <c r="K94">
        <v>0</v>
      </c>
      <c r="L94">
        <v>0</v>
      </c>
      <c r="M94">
        <v>0.32007122195759702</v>
      </c>
      <c r="N94">
        <v>0</v>
      </c>
      <c r="O94">
        <v>0</v>
      </c>
      <c r="P94">
        <v>0.19539143698268571</v>
      </c>
      <c r="Q94">
        <v>1.3721194466437661</v>
      </c>
      <c r="R94">
        <v>5.0820878804129901</v>
      </c>
      <c r="S94">
        <v>0.34686709423673501</v>
      </c>
      <c r="T94">
        <v>0.23062934849888159</v>
      </c>
      <c r="U94">
        <v>4.482923429449988</v>
      </c>
      <c r="V94">
        <v>0.1245824362531858</v>
      </c>
      <c r="W94">
        <v>11.233194295776279</v>
      </c>
      <c r="X94">
        <v>0.38671941444345992</v>
      </c>
      <c r="Z94" t="s">
        <v>392</v>
      </c>
      <c r="AA94">
        <v>9937</v>
      </c>
      <c r="AB94" t="s">
        <v>485</v>
      </c>
      <c r="AC94" t="str">
        <f>HYPERLINK("plots/20251231000436_3FT6Y121H01_04823_B11P_N_UFLEX98_M5358A8BH101511/dpll_52046/txpa_53271.png","plot")</f>
        <v>plot</v>
      </c>
    </row>
    <row r="95" spans="1:29" x14ac:dyDescent="0.35">
      <c r="A95" t="s">
        <v>46</v>
      </c>
      <c r="B95">
        <v>52046</v>
      </c>
      <c r="C95" t="s">
        <v>51</v>
      </c>
      <c r="D95">
        <v>53272</v>
      </c>
      <c r="E95" t="s">
        <v>147</v>
      </c>
      <c r="F95">
        <v>8646</v>
      </c>
      <c r="G95">
        <v>0.46669813102683427</v>
      </c>
      <c r="H95">
        <v>0</v>
      </c>
      <c r="I95">
        <v>0</v>
      </c>
      <c r="J95">
        <v>0.44976973355288508</v>
      </c>
      <c r="K95">
        <v>0</v>
      </c>
      <c r="L95">
        <v>0</v>
      </c>
      <c r="M95">
        <v>0.32341720511554012</v>
      </c>
      <c r="N95">
        <v>0</v>
      </c>
      <c r="O95">
        <v>0</v>
      </c>
      <c r="P95">
        <v>0.2178071455039402</v>
      </c>
      <c r="Q95">
        <v>1.463438699870484</v>
      </c>
      <c r="R95">
        <v>4.6403421909529428</v>
      </c>
      <c r="S95">
        <v>0.35121782874733282</v>
      </c>
      <c r="T95">
        <v>0.23657652019657111</v>
      </c>
      <c r="U95">
        <v>4.481621013185288</v>
      </c>
      <c r="V95">
        <v>0.1266503150727164</v>
      </c>
      <c r="W95">
        <v>11.198919819801061</v>
      </c>
      <c r="X95">
        <v>0.39714102137157758</v>
      </c>
      <c r="Z95" t="s">
        <v>392</v>
      </c>
      <c r="AA95">
        <v>9937</v>
      </c>
      <c r="AB95" t="s">
        <v>486</v>
      </c>
      <c r="AC95" t="str">
        <f>HYPERLINK("plots/20251231000436_3FT6Y121H01_04823_B11P_N_UFLEX98_M5358A8BH101511/dpll_52046/txpa_53272.png","plot")</f>
        <v>plot</v>
      </c>
    </row>
    <row r="96" spans="1:29" x14ac:dyDescent="0.35">
      <c r="A96" t="s">
        <v>46</v>
      </c>
      <c r="B96">
        <v>52046</v>
      </c>
      <c r="C96" t="s">
        <v>51</v>
      </c>
      <c r="D96">
        <v>53273</v>
      </c>
      <c r="E96" t="s">
        <v>148</v>
      </c>
      <c r="F96">
        <v>8639</v>
      </c>
      <c r="G96">
        <v>0.46424795447202472</v>
      </c>
      <c r="H96">
        <v>0</v>
      </c>
      <c r="I96">
        <v>0</v>
      </c>
      <c r="J96">
        <v>0.44787617765759757</v>
      </c>
      <c r="K96">
        <v>0</v>
      </c>
      <c r="L96">
        <v>0</v>
      </c>
      <c r="M96">
        <v>0.32064226106460031</v>
      </c>
      <c r="N96">
        <v>0</v>
      </c>
      <c r="O96">
        <v>0</v>
      </c>
      <c r="P96">
        <v>0.21552616323145909</v>
      </c>
      <c r="Q96">
        <v>1.4412242932554471</v>
      </c>
      <c r="R96">
        <v>4.7706932519777414</v>
      </c>
      <c r="S96">
        <v>0.34707582310872648</v>
      </c>
      <c r="T96">
        <v>0.23300872775190301</v>
      </c>
      <c r="U96">
        <v>4.4819300840375043</v>
      </c>
      <c r="V96">
        <v>0.12623468259422091</v>
      </c>
      <c r="W96">
        <v>11.23015976976502</v>
      </c>
      <c r="X96">
        <v>0.39188646811182598</v>
      </c>
      <c r="Z96" t="s">
        <v>392</v>
      </c>
      <c r="AA96">
        <v>9937</v>
      </c>
      <c r="AB96" t="s">
        <v>487</v>
      </c>
      <c r="AC96" t="str">
        <f>HYPERLINK("plots/20251231000436_3FT6Y121H01_04823_B11P_N_UFLEX98_M5358A8BH101511/dpll_52046/txpa_53273.png","plot")</f>
        <v>plot</v>
      </c>
    </row>
    <row r="97" spans="1:29" x14ac:dyDescent="0.35">
      <c r="A97" t="s">
        <v>46</v>
      </c>
      <c r="B97">
        <v>52046</v>
      </c>
      <c r="C97" t="s">
        <v>51</v>
      </c>
      <c r="D97">
        <v>53274</v>
      </c>
      <c r="E97" t="s">
        <v>149</v>
      </c>
      <c r="F97">
        <v>8648</v>
      </c>
      <c r="G97">
        <v>0.45672221256051521</v>
      </c>
      <c r="H97">
        <v>0</v>
      </c>
      <c r="I97">
        <v>0</v>
      </c>
      <c r="J97">
        <v>0.42976862132984472</v>
      </c>
      <c r="K97">
        <v>0</v>
      </c>
      <c r="L97">
        <v>0</v>
      </c>
      <c r="M97">
        <v>0.30551015127151671</v>
      </c>
      <c r="N97">
        <v>0</v>
      </c>
      <c r="O97">
        <v>0</v>
      </c>
      <c r="P97">
        <v>0.2085951794461724</v>
      </c>
      <c r="Q97">
        <v>1.375664814845551</v>
      </c>
      <c r="R97">
        <v>5.0378311714817068</v>
      </c>
      <c r="S97">
        <v>0.34003019411584801</v>
      </c>
      <c r="T97">
        <v>0.23217275871872431</v>
      </c>
      <c r="U97">
        <v>4.4814951984273828</v>
      </c>
      <c r="V97">
        <v>0.12690617458798259</v>
      </c>
      <c r="W97">
        <v>11.20286643385754</v>
      </c>
      <c r="X97">
        <v>0.38224626340940759</v>
      </c>
      <c r="Z97" t="s">
        <v>392</v>
      </c>
      <c r="AA97">
        <v>9937</v>
      </c>
      <c r="AB97" t="s">
        <v>488</v>
      </c>
      <c r="AC97" t="str">
        <f>HYPERLINK("plots/20251231000436_3FT6Y121H01_04823_B11P_N_UFLEX98_M5358A8BH101511/dpll_52046/txpa_53274.png","plot")</f>
        <v>plot</v>
      </c>
    </row>
    <row r="98" spans="1:29" x14ac:dyDescent="0.35">
      <c r="A98" t="s">
        <v>46</v>
      </c>
      <c r="B98">
        <v>52046</v>
      </c>
      <c r="C98" t="s">
        <v>51</v>
      </c>
      <c r="D98">
        <v>53275</v>
      </c>
      <c r="E98" t="s">
        <v>150</v>
      </c>
      <c r="F98">
        <v>8620</v>
      </c>
      <c r="G98">
        <v>0.43380748280151771</v>
      </c>
      <c r="H98">
        <v>0</v>
      </c>
      <c r="I98">
        <v>0</v>
      </c>
      <c r="J98">
        <v>0.45631226195462821</v>
      </c>
      <c r="K98">
        <v>0</v>
      </c>
      <c r="L98">
        <v>0</v>
      </c>
      <c r="M98">
        <v>0.32889280817591948</v>
      </c>
      <c r="N98">
        <v>0</v>
      </c>
      <c r="O98">
        <v>0</v>
      </c>
      <c r="P98">
        <v>0.18818893213458901</v>
      </c>
      <c r="Q98">
        <v>1.4749552260442511</v>
      </c>
      <c r="R98">
        <v>5.3558780674729993</v>
      </c>
      <c r="S98">
        <v>0.38398482084850127</v>
      </c>
      <c r="T98">
        <v>0.25093801059914361</v>
      </c>
      <c r="U98">
        <v>4.4824977975638038</v>
      </c>
      <c r="V98">
        <v>0.12535162469910921</v>
      </c>
      <c r="W98">
        <v>11.967361619721579</v>
      </c>
      <c r="X98">
        <v>0.42619835128035699</v>
      </c>
      <c r="Z98" t="s">
        <v>392</v>
      </c>
      <c r="AA98">
        <v>9937</v>
      </c>
      <c r="AB98" t="s">
        <v>489</v>
      </c>
      <c r="AC98" t="str">
        <f>HYPERLINK("plots/20251231000436_3FT6Y121H01_04823_B11P_N_UFLEX98_M5358A8BH101511/dpll_52046/txpa_53275.png","plot")</f>
        <v>plot</v>
      </c>
    </row>
    <row r="99" spans="1:29" x14ac:dyDescent="0.35">
      <c r="A99" t="s">
        <v>46</v>
      </c>
      <c r="B99">
        <v>52046</v>
      </c>
      <c r="C99" t="s">
        <v>51</v>
      </c>
      <c r="D99">
        <v>53276</v>
      </c>
      <c r="E99" t="s">
        <v>151</v>
      </c>
      <c r="F99">
        <v>8642</v>
      </c>
      <c r="G99">
        <v>0.46111014831444069</v>
      </c>
      <c r="H99">
        <v>0</v>
      </c>
      <c r="I99">
        <v>0</v>
      </c>
      <c r="J99">
        <v>0.46155898631644399</v>
      </c>
      <c r="K99">
        <v>0</v>
      </c>
      <c r="L99">
        <v>0</v>
      </c>
      <c r="M99">
        <v>0.33412020164663142</v>
      </c>
      <c r="N99">
        <v>0</v>
      </c>
      <c r="O99">
        <v>0</v>
      </c>
      <c r="P99">
        <v>0.21262256887856551</v>
      </c>
      <c r="Q99">
        <v>1.612081744340943</v>
      </c>
      <c r="R99">
        <v>4.7539997024352907</v>
      </c>
      <c r="S99">
        <v>0.39229390729006369</v>
      </c>
      <c r="T99">
        <v>0.25915924952388503</v>
      </c>
      <c r="U99">
        <v>4.4817521100439706</v>
      </c>
      <c r="V99">
        <v>0.1264628109815947</v>
      </c>
      <c r="W99">
        <v>11.97895046169868</v>
      </c>
      <c r="X99">
        <v>0.44212514009222381</v>
      </c>
      <c r="Z99" t="s">
        <v>392</v>
      </c>
      <c r="AA99">
        <v>9937</v>
      </c>
      <c r="AB99" t="s">
        <v>490</v>
      </c>
      <c r="AC99" t="str">
        <f>HYPERLINK("plots/20251231000436_3FT6Y121H01_04823_B11P_N_UFLEX98_M5358A8BH101511/dpll_52046/txpa_53276.png","plot")</f>
        <v>plot</v>
      </c>
    </row>
    <row r="100" spans="1:29" x14ac:dyDescent="0.35">
      <c r="A100" t="s">
        <v>46</v>
      </c>
      <c r="B100">
        <v>52046</v>
      </c>
      <c r="C100" t="s">
        <v>51</v>
      </c>
      <c r="D100">
        <v>53277</v>
      </c>
      <c r="E100" t="s">
        <v>152</v>
      </c>
      <c r="F100">
        <v>8621</v>
      </c>
      <c r="G100">
        <v>0.4453545374013359</v>
      </c>
      <c r="H100">
        <v>0</v>
      </c>
      <c r="I100">
        <v>0</v>
      </c>
      <c r="J100">
        <v>0.46006951139616531</v>
      </c>
      <c r="K100">
        <v>0</v>
      </c>
      <c r="L100">
        <v>0</v>
      </c>
      <c r="M100">
        <v>0.33284574031347558</v>
      </c>
      <c r="N100">
        <v>0</v>
      </c>
      <c r="O100">
        <v>0</v>
      </c>
      <c r="P100">
        <v>0.19834066398395789</v>
      </c>
      <c r="Q100">
        <v>1.5683821514983789</v>
      </c>
      <c r="R100">
        <v>4.8581637123090138</v>
      </c>
      <c r="S100">
        <v>0.39370938215934698</v>
      </c>
      <c r="T100">
        <v>0.25747932394583067</v>
      </c>
      <c r="U100">
        <v>4.4827231485906509</v>
      </c>
      <c r="V100">
        <v>0.12487054770490261</v>
      </c>
      <c r="W100">
        <v>11.88878668866721</v>
      </c>
      <c r="X100">
        <v>0.43975018063352223</v>
      </c>
      <c r="Z100" t="s">
        <v>392</v>
      </c>
      <c r="AA100">
        <v>9937</v>
      </c>
      <c r="AB100" t="s">
        <v>491</v>
      </c>
      <c r="AC100" t="str">
        <f>HYPERLINK("plots/20251231000436_3FT6Y121H01_04823_B11P_N_UFLEX98_M5358A8BH101511/dpll_52046/txpa_53277.png","plot")</f>
        <v>plot</v>
      </c>
    </row>
    <row r="101" spans="1:29" x14ac:dyDescent="0.35">
      <c r="A101" t="s">
        <v>46</v>
      </c>
      <c r="B101">
        <v>52046</v>
      </c>
      <c r="C101" t="s">
        <v>51</v>
      </c>
      <c r="D101">
        <v>53278</v>
      </c>
      <c r="E101" t="s">
        <v>153</v>
      </c>
      <c r="F101">
        <v>8627</v>
      </c>
      <c r="G101">
        <v>0.45874104008203892</v>
      </c>
      <c r="H101">
        <v>0</v>
      </c>
      <c r="I101">
        <v>0</v>
      </c>
      <c r="J101">
        <v>0.46038765862847703</v>
      </c>
      <c r="K101">
        <v>0</v>
      </c>
      <c r="L101">
        <v>0</v>
      </c>
      <c r="M101">
        <v>0.33288651770058758</v>
      </c>
      <c r="N101">
        <v>0</v>
      </c>
      <c r="O101">
        <v>0</v>
      </c>
      <c r="P101">
        <v>0.2104433418555508</v>
      </c>
      <c r="Q101">
        <v>1.601433879507741</v>
      </c>
      <c r="R101">
        <v>4.7716861844982272</v>
      </c>
      <c r="S101">
        <v>0.38823743767136581</v>
      </c>
      <c r="T101">
        <v>0.25766135887167768</v>
      </c>
      <c r="U101">
        <v>4.4825607270198207</v>
      </c>
      <c r="V101">
        <v>0.12516690594522031</v>
      </c>
      <c r="W101">
        <v>11.95021079969862</v>
      </c>
      <c r="X101">
        <v>0.43694918540095679</v>
      </c>
      <c r="Z101" t="s">
        <v>392</v>
      </c>
      <c r="AA101">
        <v>9937</v>
      </c>
      <c r="AB101" t="s">
        <v>492</v>
      </c>
      <c r="AC101" t="str">
        <f>HYPERLINK("plots/20251231000436_3FT6Y121H01_04823_B11P_N_UFLEX98_M5358A8BH101511/dpll_52046/txpa_53278.png","plot")</f>
        <v>plot</v>
      </c>
    </row>
    <row r="102" spans="1:29" x14ac:dyDescent="0.35">
      <c r="A102" t="s">
        <v>46</v>
      </c>
      <c r="B102">
        <v>52046</v>
      </c>
      <c r="C102" t="s">
        <v>51</v>
      </c>
      <c r="D102">
        <v>53279</v>
      </c>
      <c r="E102" t="s">
        <v>154</v>
      </c>
      <c r="F102">
        <v>8624</v>
      </c>
      <c r="G102">
        <v>0.45814909025479772</v>
      </c>
      <c r="H102">
        <v>0</v>
      </c>
      <c r="I102">
        <v>0</v>
      </c>
      <c r="J102">
        <v>0.46069652462906568</v>
      </c>
      <c r="K102">
        <v>0</v>
      </c>
      <c r="L102">
        <v>0</v>
      </c>
      <c r="M102">
        <v>0.3334085940839594</v>
      </c>
      <c r="N102">
        <v>0</v>
      </c>
      <c r="O102">
        <v>0</v>
      </c>
      <c r="P102">
        <v>0.20990058890129881</v>
      </c>
      <c r="Q102">
        <v>1.589982791720719</v>
      </c>
      <c r="R102">
        <v>4.8466045552393444</v>
      </c>
      <c r="S102">
        <v>0.3853093829463336</v>
      </c>
      <c r="T102">
        <v>0.2533024448884868</v>
      </c>
      <c r="U102">
        <v>4.4827149889842293</v>
      </c>
      <c r="V102">
        <v>0.124913190548075</v>
      </c>
      <c r="W102">
        <v>11.974044247912801</v>
      </c>
      <c r="X102">
        <v>0.43350478622562427</v>
      </c>
      <c r="Z102" t="s">
        <v>392</v>
      </c>
      <c r="AA102">
        <v>9937</v>
      </c>
      <c r="AB102" t="s">
        <v>493</v>
      </c>
      <c r="AC102" t="str">
        <f>HYPERLINK("plots/20251231000436_3FT6Y121H01_04823_B11P_N_UFLEX98_M5358A8BH101511/dpll_52046/txpa_53279.png","plot")</f>
        <v>plot</v>
      </c>
    </row>
    <row r="103" spans="1:29" x14ac:dyDescent="0.35">
      <c r="A103" t="s">
        <v>46</v>
      </c>
      <c r="B103">
        <v>52046</v>
      </c>
      <c r="C103" t="s">
        <v>51</v>
      </c>
      <c r="D103">
        <v>53280</v>
      </c>
      <c r="E103" t="s">
        <v>155</v>
      </c>
      <c r="F103">
        <v>8665</v>
      </c>
      <c r="G103">
        <v>0.49797852630951178</v>
      </c>
      <c r="H103">
        <v>0</v>
      </c>
      <c r="I103">
        <v>0</v>
      </c>
      <c r="J103">
        <v>0.46606994554605091</v>
      </c>
      <c r="K103">
        <v>0</v>
      </c>
      <c r="L103">
        <v>0</v>
      </c>
      <c r="M103">
        <v>0.33792460383177519</v>
      </c>
      <c r="N103">
        <v>0</v>
      </c>
      <c r="O103">
        <v>0</v>
      </c>
      <c r="P103">
        <v>0.24798261266539309</v>
      </c>
      <c r="Q103">
        <v>1.754116515131342</v>
      </c>
      <c r="R103">
        <v>4.0647670350754694</v>
      </c>
      <c r="S103">
        <v>0.39185730552732112</v>
      </c>
      <c r="T103">
        <v>0.2626222993048476</v>
      </c>
      <c r="U103">
        <v>4.4806313115983842</v>
      </c>
      <c r="V103">
        <v>0.12828953965438369</v>
      </c>
      <c r="W103">
        <v>11.9243164169648</v>
      </c>
      <c r="X103">
        <v>0.45189659460633919</v>
      </c>
      <c r="Z103" t="s">
        <v>392</v>
      </c>
      <c r="AA103">
        <v>9937</v>
      </c>
      <c r="AB103" t="s">
        <v>494</v>
      </c>
      <c r="AC103" t="str">
        <f>HYPERLINK("plots/20251231000436_3FT6Y121H01_04823_B11P_N_UFLEX98_M5358A8BH101511/dpll_52046/txpa_53280.png","plot")</f>
        <v>plot</v>
      </c>
    </row>
    <row r="104" spans="1:29" x14ac:dyDescent="0.35">
      <c r="A104" t="s">
        <v>46</v>
      </c>
      <c r="B104">
        <v>52046</v>
      </c>
      <c r="C104" t="s">
        <v>51</v>
      </c>
      <c r="D104">
        <v>53281</v>
      </c>
      <c r="E104" t="s">
        <v>156</v>
      </c>
      <c r="F104">
        <v>8651</v>
      </c>
      <c r="G104">
        <v>0.4849421709729933</v>
      </c>
      <c r="H104">
        <v>0</v>
      </c>
      <c r="I104">
        <v>0</v>
      </c>
      <c r="J104">
        <v>0.46103115827238389</v>
      </c>
      <c r="K104">
        <v>0</v>
      </c>
      <c r="L104">
        <v>0</v>
      </c>
      <c r="M104">
        <v>0.33264066648290341</v>
      </c>
      <c r="N104">
        <v>0</v>
      </c>
      <c r="O104">
        <v>0</v>
      </c>
      <c r="P104">
        <v>0.2351689091879999</v>
      </c>
      <c r="Q104">
        <v>1.689063479126198</v>
      </c>
      <c r="R104">
        <v>4.3961679514788701</v>
      </c>
      <c r="S104">
        <v>0.38720068743363872</v>
      </c>
      <c r="T104">
        <v>0.25779146321023222</v>
      </c>
      <c r="U104">
        <v>4.4813522602011329</v>
      </c>
      <c r="V104">
        <v>0.12712250306744979</v>
      </c>
      <c r="W104">
        <v>11.965456391284251</v>
      </c>
      <c r="X104">
        <v>0.44277027274308822</v>
      </c>
      <c r="Z104" t="s">
        <v>392</v>
      </c>
      <c r="AA104">
        <v>9937</v>
      </c>
      <c r="AB104" t="s">
        <v>495</v>
      </c>
      <c r="AC104" t="str">
        <f>HYPERLINK("plots/20251231000436_3FT6Y121H01_04823_B11P_N_UFLEX98_M5358A8BH101511/dpll_52046/txpa_53281.png","plot")</f>
        <v>plot</v>
      </c>
    </row>
    <row r="105" spans="1:29" x14ac:dyDescent="0.35">
      <c r="A105" t="s">
        <v>46</v>
      </c>
      <c r="B105">
        <v>52046</v>
      </c>
      <c r="C105" t="s">
        <v>51</v>
      </c>
      <c r="D105">
        <v>53282</v>
      </c>
      <c r="E105" t="s">
        <v>157</v>
      </c>
      <c r="F105">
        <v>8640</v>
      </c>
      <c r="G105">
        <v>0.46639784053149042</v>
      </c>
      <c r="H105">
        <v>0</v>
      </c>
      <c r="I105">
        <v>0</v>
      </c>
      <c r="J105">
        <v>0.45264944356964593</v>
      </c>
      <c r="K105">
        <v>0</v>
      </c>
      <c r="L105">
        <v>0</v>
      </c>
      <c r="M105">
        <v>0.32538182629271423</v>
      </c>
      <c r="N105">
        <v>0</v>
      </c>
      <c r="O105">
        <v>0</v>
      </c>
      <c r="P105">
        <v>0.21752694565243749</v>
      </c>
      <c r="Q105">
        <v>1.5498156288711651</v>
      </c>
      <c r="R105">
        <v>5.0786399265060131</v>
      </c>
      <c r="S105">
        <v>0.37095430247107097</v>
      </c>
      <c r="T105">
        <v>0.24894931707148599</v>
      </c>
      <c r="U105">
        <v>4.4819133194444438</v>
      </c>
      <c r="V105">
        <v>0.12620813412661461</v>
      </c>
      <c r="W105">
        <v>12.02477923622685</v>
      </c>
      <c r="X105">
        <v>0.41938302831161811</v>
      </c>
      <c r="Z105" t="s">
        <v>392</v>
      </c>
      <c r="AA105">
        <v>9937</v>
      </c>
      <c r="AB105" t="s">
        <v>496</v>
      </c>
      <c r="AC105" t="str">
        <f>HYPERLINK("plots/20251231000436_3FT6Y121H01_04823_B11P_N_UFLEX98_M5358A8BH101511/dpll_52046/txpa_53282.png","plot")</f>
        <v>plot</v>
      </c>
    </row>
    <row r="106" spans="1:29" x14ac:dyDescent="0.35">
      <c r="A106" t="s">
        <v>46</v>
      </c>
      <c r="B106">
        <v>52046</v>
      </c>
      <c r="C106" t="s">
        <v>51</v>
      </c>
      <c r="D106">
        <v>53283</v>
      </c>
      <c r="E106" t="s">
        <v>158</v>
      </c>
      <c r="F106">
        <v>8626</v>
      </c>
      <c r="G106">
        <v>0.44594118394025373</v>
      </c>
      <c r="H106">
        <v>0</v>
      </c>
      <c r="I106">
        <v>0</v>
      </c>
      <c r="J106">
        <v>0.4626018597237721</v>
      </c>
      <c r="K106">
        <v>0</v>
      </c>
      <c r="L106">
        <v>0</v>
      </c>
      <c r="M106">
        <v>0.33462846707283839</v>
      </c>
      <c r="N106">
        <v>0</v>
      </c>
      <c r="O106">
        <v>0</v>
      </c>
      <c r="P106">
        <v>0.19886353953403521</v>
      </c>
      <c r="Q106">
        <v>1.571170888140589</v>
      </c>
      <c r="R106">
        <v>5.1181757525795852</v>
      </c>
      <c r="S106">
        <v>0.39685986916707722</v>
      </c>
      <c r="T106">
        <v>0.25874943773515219</v>
      </c>
      <c r="U106">
        <v>4.4822265323440762</v>
      </c>
      <c r="V106">
        <v>0.12585291241697061</v>
      </c>
      <c r="W106">
        <v>12.160519594249941</v>
      </c>
      <c r="X106">
        <v>0.44341370409005337</v>
      </c>
      <c r="Z106" t="s">
        <v>392</v>
      </c>
      <c r="AA106">
        <v>9937</v>
      </c>
      <c r="AB106" t="s">
        <v>497</v>
      </c>
      <c r="AC106" t="str">
        <f>HYPERLINK("plots/20251231000436_3FT6Y121H01_04823_B11P_N_UFLEX98_M5358A8BH101511/dpll_52046/txpa_53283.png","plot")</f>
        <v>plot</v>
      </c>
    </row>
    <row r="107" spans="1:29" x14ac:dyDescent="0.35">
      <c r="A107" t="s">
        <v>46</v>
      </c>
      <c r="B107">
        <v>52046</v>
      </c>
      <c r="C107" t="s">
        <v>51</v>
      </c>
      <c r="D107">
        <v>53284</v>
      </c>
      <c r="E107" t="s">
        <v>159</v>
      </c>
      <c r="F107">
        <v>8647</v>
      </c>
      <c r="G107">
        <v>0.46965440018733401</v>
      </c>
      <c r="H107">
        <v>0</v>
      </c>
      <c r="I107">
        <v>0</v>
      </c>
      <c r="J107">
        <v>0.46478100345785228</v>
      </c>
      <c r="K107">
        <v>0</v>
      </c>
      <c r="L107">
        <v>0</v>
      </c>
      <c r="M107">
        <v>0.33690856611372599</v>
      </c>
      <c r="N107">
        <v>0</v>
      </c>
      <c r="O107">
        <v>0</v>
      </c>
      <c r="P107">
        <v>0.22057525561532451</v>
      </c>
      <c r="Q107">
        <v>1.6948736708004219</v>
      </c>
      <c r="R107">
        <v>4.5499423452232168</v>
      </c>
      <c r="S107">
        <v>0.40396415805326458</v>
      </c>
      <c r="T107">
        <v>0.26727107031967401</v>
      </c>
      <c r="U107">
        <v>4.4815533150225511</v>
      </c>
      <c r="V107">
        <v>0.12680077721440039</v>
      </c>
      <c r="W107">
        <v>12.14560906314329</v>
      </c>
      <c r="X107">
        <v>0.45759456028090939</v>
      </c>
      <c r="Z107" t="s">
        <v>392</v>
      </c>
      <c r="AA107">
        <v>9937</v>
      </c>
      <c r="AB107" t="s">
        <v>498</v>
      </c>
      <c r="AC107" t="str">
        <f>HYPERLINK("plots/20251231000436_3FT6Y121H01_04823_B11P_N_UFLEX98_M5358A8BH101511/dpll_52046/txpa_53284.png","plot")</f>
        <v>plot</v>
      </c>
    </row>
    <row r="108" spans="1:29" x14ac:dyDescent="0.35">
      <c r="A108" t="s">
        <v>46</v>
      </c>
      <c r="B108">
        <v>52046</v>
      </c>
      <c r="C108" t="s">
        <v>51</v>
      </c>
      <c r="D108">
        <v>53285</v>
      </c>
      <c r="E108" t="s">
        <v>160</v>
      </c>
      <c r="F108">
        <v>8636</v>
      </c>
      <c r="G108">
        <v>0.460788076790562</v>
      </c>
      <c r="H108">
        <v>0</v>
      </c>
      <c r="I108">
        <v>0</v>
      </c>
      <c r="J108">
        <v>0.46432200407426588</v>
      </c>
      <c r="K108">
        <v>0</v>
      </c>
      <c r="L108">
        <v>0</v>
      </c>
      <c r="M108">
        <v>0.33677477205311451</v>
      </c>
      <c r="N108">
        <v>0</v>
      </c>
      <c r="O108">
        <v>0</v>
      </c>
      <c r="P108">
        <v>0.21232565171234491</v>
      </c>
      <c r="Q108">
        <v>1.6901842321584259</v>
      </c>
      <c r="R108">
        <v>4.4855547200640631</v>
      </c>
      <c r="S108">
        <v>0.40995197407595951</v>
      </c>
      <c r="T108">
        <v>0.26810645537567329</v>
      </c>
      <c r="U108">
        <v>4.482096130616025</v>
      </c>
      <c r="V108">
        <v>0.125936599906532</v>
      </c>
      <c r="W108">
        <v>12.06112292704956</v>
      </c>
      <c r="X108">
        <v>0.46193915627381188</v>
      </c>
      <c r="Z108" t="s">
        <v>392</v>
      </c>
      <c r="AA108">
        <v>9937</v>
      </c>
      <c r="AB108" t="s">
        <v>499</v>
      </c>
      <c r="AC108" t="str">
        <f>HYPERLINK("plots/20251231000436_3FT6Y121H01_04823_B11P_N_UFLEX98_M5358A8BH101511/dpll_52046/txpa_53285.png","plot")</f>
        <v>plot</v>
      </c>
    </row>
    <row r="109" spans="1:29" x14ac:dyDescent="0.35">
      <c r="A109" t="s">
        <v>46</v>
      </c>
      <c r="B109">
        <v>52046</v>
      </c>
      <c r="C109" t="s">
        <v>51</v>
      </c>
      <c r="D109">
        <v>53286</v>
      </c>
      <c r="E109" t="s">
        <v>161</v>
      </c>
      <c r="F109">
        <v>8635</v>
      </c>
      <c r="G109">
        <v>0.4719468366060357</v>
      </c>
      <c r="H109">
        <v>0</v>
      </c>
      <c r="I109">
        <v>0</v>
      </c>
      <c r="J109">
        <v>0.46525581833674118</v>
      </c>
      <c r="K109">
        <v>0</v>
      </c>
      <c r="L109">
        <v>0</v>
      </c>
      <c r="M109">
        <v>0.33709546578400729</v>
      </c>
      <c r="N109">
        <v>0</v>
      </c>
      <c r="O109">
        <v>0</v>
      </c>
      <c r="P109">
        <v>0.22273381658244409</v>
      </c>
      <c r="Q109">
        <v>1.704871976314452</v>
      </c>
      <c r="R109">
        <v>4.4717372872232346</v>
      </c>
      <c r="S109">
        <v>0.40055431623318621</v>
      </c>
      <c r="T109">
        <v>0.26579179696170241</v>
      </c>
      <c r="U109">
        <v>4.482167707353792</v>
      </c>
      <c r="V109">
        <v>0.12577750784070979</v>
      </c>
      <c r="W109">
        <v>12.113259404632309</v>
      </c>
      <c r="X109">
        <v>0.45436166054292182</v>
      </c>
      <c r="Z109" t="s">
        <v>392</v>
      </c>
      <c r="AA109">
        <v>9937</v>
      </c>
      <c r="AB109" t="s">
        <v>500</v>
      </c>
      <c r="AC109" t="str">
        <f>HYPERLINK("plots/20251231000436_3FT6Y121H01_04823_B11P_N_UFLEX98_M5358A8BH101511/dpll_52046/txpa_53286.png","plot")</f>
        <v>plot</v>
      </c>
    </row>
    <row r="110" spans="1:29" x14ac:dyDescent="0.35">
      <c r="A110" t="s">
        <v>46</v>
      </c>
      <c r="B110">
        <v>52046</v>
      </c>
      <c r="C110" t="s">
        <v>51</v>
      </c>
      <c r="D110">
        <v>53287</v>
      </c>
      <c r="E110" t="s">
        <v>162</v>
      </c>
      <c r="F110">
        <v>8629</v>
      </c>
      <c r="G110">
        <v>0.46811325734690029</v>
      </c>
      <c r="H110">
        <v>0</v>
      </c>
      <c r="I110">
        <v>0</v>
      </c>
      <c r="J110">
        <v>0.46539307847809802</v>
      </c>
      <c r="K110">
        <v>0</v>
      </c>
      <c r="L110">
        <v>0</v>
      </c>
      <c r="M110">
        <v>0.33775062004682382</v>
      </c>
      <c r="N110">
        <v>0</v>
      </c>
      <c r="O110">
        <v>0</v>
      </c>
      <c r="P110">
        <v>0.21913002170392529</v>
      </c>
      <c r="Q110">
        <v>1.675054785177537</v>
      </c>
      <c r="R110">
        <v>4.6314393314792692</v>
      </c>
      <c r="S110">
        <v>0.3963316842755239</v>
      </c>
      <c r="T110">
        <v>0.26046597712503522</v>
      </c>
      <c r="U110">
        <v>4.4824555818750724</v>
      </c>
      <c r="V110">
        <v>0.12534774376761931</v>
      </c>
      <c r="W110">
        <v>12.13979800324487</v>
      </c>
      <c r="X110">
        <v>0.44853320155716592</v>
      </c>
      <c r="Z110" t="s">
        <v>392</v>
      </c>
      <c r="AA110">
        <v>9937</v>
      </c>
      <c r="AB110" t="s">
        <v>501</v>
      </c>
      <c r="AC110" t="str">
        <f>HYPERLINK("plots/20251231000436_3FT6Y121H01_04823_B11P_N_UFLEX98_M5358A8BH101511/dpll_52046/txpa_53287.png","plot")</f>
        <v>plot</v>
      </c>
    </row>
    <row r="111" spans="1:29" x14ac:dyDescent="0.35">
      <c r="A111" t="s">
        <v>46</v>
      </c>
      <c r="B111">
        <v>52046</v>
      </c>
      <c r="C111" t="s">
        <v>51</v>
      </c>
      <c r="D111">
        <v>53288</v>
      </c>
      <c r="E111" t="s">
        <v>163</v>
      </c>
      <c r="F111">
        <v>8666</v>
      </c>
      <c r="G111">
        <v>0.50247942591198136</v>
      </c>
      <c r="H111">
        <v>0</v>
      </c>
      <c r="I111">
        <v>0</v>
      </c>
      <c r="J111">
        <v>0.46882621690356152</v>
      </c>
      <c r="K111">
        <v>0</v>
      </c>
      <c r="L111">
        <v>0</v>
      </c>
      <c r="M111">
        <v>0.34034252897856332</v>
      </c>
      <c r="N111">
        <v>0</v>
      </c>
      <c r="O111">
        <v>0</v>
      </c>
      <c r="P111">
        <v>0.25248557346483441</v>
      </c>
      <c r="Q111">
        <v>1.8221759335721419</v>
      </c>
      <c r="R111">
        <v>3.923182882431727</v>
      </c>
      <c r="S111">
        <v>0.40233342700345698</v>
      </c>
      <c r="T111">
        <v>0.26969960445144592</v>
      </c>
      <c r="U111">
        <v>4.4805913004846527</v>
      </c>
      <c r="V111">
        <v>0.12833034558694439</v>
      </c>
      <c r="W111">
        <v>12.087608518347571</v>
      </c>
      <c r="X111">
        <v>0.46537321772153012</v>
      </c>
      <c r="Z111" t="s">
        <v>392</v>
      </c>
      <c r="AA111">
        <v>9937</v>
      </c>
      <c r="AB111" t="s">
        <v>502</v>
      </c>
      <c r="AC111" t="str">
        <f>HYPERLINK("plots/20251231000436_3FT6Y121H01_04823_B11P_N_UFLEX98_M5358A8BH101511/dpll_52046/txpa_53288.png","plot")</f>
        <v>plot</v>
      </c>
    </row>
    <row r="112" spans="1:29" x14ac:dyDescent="0.35">
      <c r="A112" t="s">
        <v>46</v>
      </c>
      <c r="B112">
        <v>52046</v>
      </c>
      <c r="C112" t="s">
        <v>51</v>
      </c>
      <c r="D112">
        <v>53289</v>
      </c>
      <c r="E112" t="s">
        <v>164</v>
      </c>
      <c r="F112">
        <v>8655</v>
      </c>
      <c r="G112">
        <v>0.49284769699279157</v>
      </c>
      <c r="H112">
        <v>0</v>
      </c>
      <c r="I112">
        <v>0</v>
      </c>
      <c r="J112">
        <v>0.46458701834258043</v>
      </c>
      <c r="K112">
        <v>0</v>
      </c>
      <c r="L112">
        <v>0</v>
      </c>
      <c r="M112">
        <v>0.33581000200921052</v>
      </c>
      <c r="N112">
        <v>0</v>
      </c>
      <c r="O112">
        <v>0</v>
      </c>
      <c r="P112">
        <v>0.24289885243109849</v>
      </c>
      <c r="Q112">
        <v>1.7678547870147781</v>
      </c>
      <c r="R112">
        <v>4.2085464963538621</v>
      </c>
      <c r="S112">
        <v>0.39795501225638602</v>
      </c>
      <c r="T112">
        <v>0.26513667992669521</v>
      </c>
      <c r="U112">
        <v>4.4811322499133448</v>
      </c>
      <c r="V112">
        <v>0.12751117863499159</v>
      </c>
      <c r="W112">
        <v>12.13053759560947</v>
      </c>
      <c r="X112">
        <v>0.45738521032606838</v>
      </c>
      <c r="Z112" t="s">
        <v>392</v>
      </c>
      <c r="AA112">
        <v>9937</v>
      </c>
      <c r="AB112" t="s">
        <v>503</v>
      </c>
      <c r="AC112" t="str">
        <f>HYPERLINK("plots/20251231000436_3FT6Y121H01_04823_B11P_N_UFLEX98_M5358A8BH101511/dpll_52046/txpa_53289.png","plot")</f>
        <v>plot</v>
      </c>
    </row>
    <row r="113" spans="1:29" x14ac:dyDescent="0.35">
      <c r="A113" t="s">
        <v>46</v>
      </c>
      <c r="B113">
        <v>52046</v>
      </c>
      <c r="C113" t="s">
        <v>51</v>
      </c>
      <c r="D113">
        <v>53290</v>
      </c>
      <c r="E113" t="s">
        <v>165</v>
      </c>
      <c r="F113">
        <v>8647</v>
      </c>
      <c r="G113">
        <v>0.47874174027788191</v>
      </c>
      <c r="H113">
        <v>0</v>
      </c>
      <c r="I113">
        <v>0</v>
      </c>
      <c r="J113">
        <v>0.45948912631516198</v>
      </c>
      <c r="K113">
        <v>0</v>
      </c>
      <c r="L113">
        <v>0</v>
      </c>
      <c r="M113">
        <v>0.33126315259236472</v>
      </c>
      <c r="N113">
        <v>0</v>
      </c>
      <c r="O113">
        <v>0</v>
      </c>
      <c r="P113">
        <v>0.22919365388429491</v>
      </c>
      <c r="Q113">
        <v>1.6499719052812321</v>
      </c>
      <c r="R113">
        <v>4.8167037230069294</v>
      </c>
      <c r="S113">
        <v>0.38339732590418102</v>
      </c>
      <c r="T113">
        <v>0.25653938782262159</v>
      </c>
      <c r="U113">
        <v>4.4815791968312713</v>
      </c>
      <c r="V113">
        <v>0.1267144950700432</v>
      </c>
      <c r="W113">
        <v>12.211183489071351</v>
      </c>
      <c r="X113">
        <v>0.43671846272713188</v>
      </c>
      <c r="Z113" t="s">
        <v>392</v>
      </c>
      <c r="AA113">
        <v>9937</v>
      </c>
      <c r="AB113" t="s">
        <v>504</v>
      </c>
      <c r="AC113" t="str">
        <f>HYPERLINK("plots/20251231000436_3FT6Y121H01_04823_B11P_N_UFLEX98_M5358A8BH101511/dpll_52046/txpa_53290.png","plot")</f>
        <v>plot</v>
      </c>
    </row>
    <row r="114" spans="1:29" x14ac:dyDescent="0.35">
      <c r="A114" t="s">
        <v>46</v>
      </c>
      <c r="B114">
        <v>52046</v>
      </c>
      <c r="C114" t="s">
        <v>51</v>
      </c>
      <c r="D114">
        <v>54146</v>
      </c>
      <c r="E114" t="s">
        <v>166</v>
      </c>
      <c r="F114">
        <v>8705</v>
      </c>
      <c r="G114">
        <v>-7.2334814450869343E-3</v>
      </c>
      <c r="H114">
        <v>0.49980284503849509</v>
      </c>
      <c r="I114">
        <v>0.50178226224656841</v>
      </c>
      <c r="J114">
        <v>-4.0799104077502094E-3</v>
      </c>
      <c r="K114">
        <v>0.70349639616272819</v>
      </c>
      <c r="L114">
        <v>0.70488670524605368</v>
      </c>
      <c r="M114">
        <v>-2.811816598500392E-3</v>
      </c>
      <c r="N114">
        <v>0.69400295165114612</v>
      </c>
      <c r="O114">
        <v>0.695374498986425</v>
      </c>
      <c r="P114">
        <v>5.2323253816416961E-5</v>
      </c>
      <c r="Q114">
        <v>-0.28305452836042588</v>
      </c>
      <c r="R114">
        <v>-9.3409990175615718</v>
      </c>
      <c r="S114">
        <v>5.1528256574457529</v>
      </c>
      <c r="T114">
        <v>3.8876364499145519</v>
      </c>
      <c r="U114">
        <v>4.4783006029867893</v>
      </c>
      <c r="V114">
        <v>0.13169188737223891</v>
      </c>
      <c r="W114">
        <v>-10.608602282596211</v>
      </c>
      <c r="X114">
        <v>5.1532564715931723</v>
      </c>
      <c r="Z114" t="s">
        <v>392</v>
      </c>
      <c r="AA114">
        <v>9937</v>
      </c>
      <c r="AB114" t="s">
        <v>505</v>
      </c>
      <c r="AC114" t="str">
        <f>HYPERLINK("plots/20251231000436_3FT6Y121H01_04823_B11P_N_UFLEX98_M5358A8BH101511/dpll_52046/txpa_54146.png","plot")</f>
        <v>plot</v>
      </c>
    </row>
    <row r="115" spans="1:29" x14ac:dyDescent="0.35">
      <c r="A115" t="s">
        <v>46</v>
      </c>
      <c r="B115">
        <v>52046</v>
      </c>
      <c r="C115" t="s">
        <v>51</v>
      </c>
      <c r="D115">
        <v>54147</v>
      </c>
      <c r="E115" t="s">
        <v>167</v>
      </c>
      <c r="F115">
        <v>8716</v>
      </c>
      <c r="G115">
        <v>0.1134643969788439</v>
      </c>
      <c r="H115">
        <v>2.2608590751260369E-26</v>
      </c>
      <c r="I115">
        <v>2.2743165696208351E-26</v>
      </c>
      <c r="J115">
        <v>9.7786473331585202E-2</v>
      </c>
      <c r="K115">
        <v>5.6973757073472851E-20</v>
      </c>
      <c r="L115">
        <v>5.7312886579862572E-20</v>
      </c>
      <c r="M115">
        <v>6.4893888932638352E-2</v>
      </c>
      <c r="N115">
        <v>1.075554860800454E-19</v>
      </c>
      <c r="O115">
        <v>1.081956973067123E-19</v>
      </c>
      <c r="P115">
        <v>1.2874169381772681E-2</v>
      </c>
      <c r="Q115">
        <v>1.041881364680457</v>
      </c>
      <c r="R115">
        <v>-26.71548080310593</v>
      </c>
      <c r="S115">
        <v>1.2012060955498081</v>
      </c>
      <c r="T115">
        <v>0.93851206283750288</v>
      </c>
      <c r="U115">
        <v>4.4782817893529154</v>
      </c>
      <c r="V115">
        <v>0.1316732403778659</v>
      </c>
      <c r="W115">
        <v>-22.049642460991279</v>
      </c>
      <c r="X115">
        <v>1.209083192874749</v>
      </c>
      <c r="Z115" t="s">
        <v>392</v>
      </c>
      <c r="AA115">
        <v>9937</v>
      </c>
      <c r="AB115" t="s">
        <v>506</v>
      </c>
      <c r="AC115" t="str">
        <f>HYPERLINK("plots/20251231000436_3FT6Y121H01_04823_B11P_N_UFLEX98_M5358A8BH101511/dpll_52046/txpa_54147.png","plot")</f>
        <v>plot</v>
      </c>
    </row>
    <row r="116" spans="1:29" x14ac:dyDescent="0.35">
      <c r="A116" t="s">
        <v>46</v>
      </c>
      <c r="B116">
        <v>52046</v>
      </c>
      <c r="C116" t="s">
        <v>51</v>
      </c>
      <c r="D116">
        <v>54148</v>
      </c>
      <c r="E116" t="s">
        <v>168</v>
      </c>
      <c r="F116">
        <v>8716</v>
      </c>
      <c r="G116">
        <v>0.1558822244578755</v>
      </c>
      <c r="H116">
        <v>1.547407340745784E-48</v>
      </c>
      <c r="I116">
        <v>1.5849202459759849E-48</v>
      </c>
      <c r="J116">
        <v>0.13122099812633861</v>
      </c>
      <c r="K116">
        <v>8.8141313603365597E-35</v>
      </c>
      <c r="L116">
        <v>9.1666966147500227E-35</v>
      </c>
      <c r="M116">
        <v>8.767389335639636E-2</v>
      </c>
      <c r="N116">
        <v>1.3301939462555659E-34</v>
      </c>
      <c r="O116">
        <v>1.384822034397479E-34</v>
      </c>
      <c r="P116">
        <v>2.4299267901935481E-2</v>
      </c>
      <c r="Q116">
        <v>1.3641755709101691</v>
      </c>
      <c r="R116">
        <v>-27.688895556108879</v>
      </c>
      <c r="S116">
        <v>1.138163351140931</v>
      </c>
      <c r="T116">
        <v>0.88267281202852088</v>
      </c>
      <c r="U116">
        <v>4.4782817893529154</v>
      </c>
      <c r="V116">
        <v>0.1316732403778659</v>
      </c>
      <c r="W116">
        <v>-21.579732939421749</v>
      </c>
      <c r="X116">
        <v>1.1523149511803881</v>
      </c>
      <c r="Z116" t="s">
        <v>392</v>
      </c>
      <c r="AA116">
        <v>9937</v>
      </c>
      <c r="AB116" t="s">
        <v>507</v>
      </c>
      <c r="AC116" t="str">
        <f>HYPERLINK("plots/20251231000436_3FT6Y121H01_04823_B11P_N_UFLEX98_M5358A8BH101511/dpll_52046/txpa_54148.png","plot")</f>
        <v>plot</v>
      </c>
    </row>
    <row r="117" spans="1:29" x14ac:dyDescent="0.35">
      <c r="A117" t="s">
        <v>46</v>
      </c>
      <c r="B117">
        <v>52046</v>
      </c>
      <c r="C117" t="s">
        <v>51</v>
      </c>
      <c r="D117">
        <v>54149</v>
      </c>
      <c r="E117" t="s">
        <v>169</v>
      </c>
      <c r="F117">
        <v>8716</v>
      </c>
      <c r="G117">
        <v>0.18140410740909571</v>
      </c>
      <c r="H117">
        <v>2.2696530198101441E-65</v>
      </c>
      <c r="I117">
        <v>2.3998208155239691E-65</v>
      </c>
      <c r="J117">
        <v>0.13630964070861479</v>
      </c>
      <c r="K117">
        <v>2.0225658709592949E-37</v>
      </c>
      <c r="L117">
        <v>2.136335201200756E-37</v>
      </c>
      <c r="M117">
        <v>9.1471202717638506E-2</v>
      </c>
      <c r="N117">
        <v>1.627536935887206E-37</v>
      </c>
      <c r="O117">
        <v>1.719085888530861E-37</v>
      </c>
      <c r="P117">
        <v>3.2907450184890732E-2</v>
      </c>
      <c r="Q117">
        <v>1.461604920166913</v>
      </c>
      <c r="R117">
        <v>-27.60850282181055</v>
      </c>
      <c r="S117">
        <v>1.0432526754303999</v>
      </c>
      <c r="T117">
        <v>0.81135231634774108</v>
      </c>
      <c r="U117">
        <v>4.4782817893529154</v>
      </c>
      <c r="V117">
        <v>0.1316732403778659</v>
      </c>
      <c r="W117">
        <v>-21.063024124598439</v>
      </c>
      <c r="X117">
        <v>1.060914544545531</v>
      </c>
      <c r="Z117" t="s">
        <v>392</v>
      </c>
      <c r="AA117">
        <v>9937</v>
      </c>
      <c r="AB117" t="s">
        <v>508</v>
      </c>
      <c r="AC117" t="str">
        <f>HYPERLINK("plots/20251231000436_3FT6Y121H01_04823_B11P_N_UFLEX98_M5358A8BH101511/dpll_52046/txpa_54149.png","plot")</f>
        <v>plot</v>
      </c>
    </row>
    <row r="118" spans="1:29" x14ac:dyDescent="0.35">
      <c r="A118" t="s">
        <v>46</v>
      </c>
      <c r="B118">
        <v>52046</v>
      </c>
      <c r="C118" t="s">
        <v>51</v>
      </c>
      <c r="D118">
        <v>54150</v>
      </c>
      <c r="E118" t="s">
        <v>170</v>
      </c>
      <c r="F118">
        <v>8716</v>
      </c>
      <c r="G118">
        <v>0.18035922141313279</v>
      </c>
      <c r="H118">
        <v>1.2528730676733999E-64</v>
      </c>
      <c r="I118">
        <v>1.3219701255159499E-64</v>
      </c>
      <c r="J118">
        <v>0.14605663659848769</v>
      </c>
      <c r="K118">
        <v>9.1702496657913656E-43</v>
      </c>
      <c r="L118">
        <v>9.8502469927038595E-43</v>
      </c>
      <c r="M118">
        <v>9.7981418038788501E-2</v>
      </c>
      <c r="N118">
        <v>8.6855647343691888E-43</v>
      </c>
      <c r="O118">
        <v>9.3296214413669026E-43</v>
      </c>
      <c r="P118">
        <v>3.252944874875148E-2</v>
      </c>
      <c r="Q118">
        <v>1.552713229074681</v>
      </c>
      <c r="R118">
        <v>-28.577254208967691</v>
      </c>
      <c r="S118">
        <v>1.114921747582887</v>
      </c>
      <c r="T118">
        <v>0.86601943364679235</v>
      </c>
      <c r="U118">
        <v>4.4782817893529154</v>
      </c>
      <c r="V118">
        <v>0.1316732403778659</v>
      </c>
      <c r="W118">
        <v>-21.623766831115191</v>
      </c>
      <c r="X118">
        <v>1.133575431563467</v>
      </c>
      <c r="Z118" t="s">
        <v>392</v>
      </c>
      <c r="AA118">
        <v>9937</v>
      </c>
      <c r="AB118" t="s">
        <v>509</v>
      </c>
      <c r="AC118" t="str">
        <f>HYPERLINK("plots/20251231000436_3FT6Y121H01_04823_B11P_N_UFLEX98_M5358A8BH101511/dpll_52046/txpa_54150.png","plot")</f>
        <v>plot</v>
      </c>
    </row>
    <row r="119" spans="1:29" x14ac:dyDescent="0.35">
      <c r="A119" t="s">
        <v>46</v>
      </c>
      <c r="B119">
        <v>52046</v>
      </c>
      <c r="C119" t="s">
        <v>51</v>
      </c>
      <c r="D119">
        <v>54151</v>
      </c>
      <c r="E119" t="s">
        <v>171</v>
      </c>
      <c r="F119">
        <v>8716</v>
      </c>
      <c r="G119">
        <v>0.16160072190286509</v>
      </c>
      <c r="H119">
        <v>4.4656647951397037E-52</v>
      </c>
      <c r="I119">
        <v>4.6111854401951741E-52</v>
      </c>
      <c r="J119">
        <v>0.12772721588522609</v>
      </c>
      <c r="K119">
        <v>4.9870686437880319E-33</v>
      </c>
      <c r="L119">
        <v>5.133896045483314E-33</v>
      </c>
      <c r="M119">
        <v>8.5209434771422551E-2</v>
      </c>
      <c r="N119">
        <v>8.8787796843646326E-33</v>
      </c>
      <c r="O119">
        <v>9.1124317813215968E-33</v>
      </c>
      <c r="P119">
        <v>2.6114793319527149E-2</v>
      </c>
      <c r="Q119">
        <v>1.264278089944203</v>
      </c>
      <c r="R119">
        <v>-26.840867953713008</v>
      </c>
      <c r="S119">
        <v>1.01654312583611</v>
      </c>
      <c r="T119">
        <v>0.78414462457946021</v>
      </c>
      <c r="U119">
        <v>4.4782817893529154</v>
      </c>
      <c r="V119">
        <v>0.1316732403778659</v>
      </c>
      <c r="W119">
        <v>-21.179074406838001</v>
      </c>
      <c r="X119">
        <v>1.0301413934385439</v>
      </c>
      <c r="Z119" t="s">
        <v>392</v>
      </c>
      <c r="AA119">
        <v>9937</v>
      </c>
      <c r="AB119" t="s">
        <v>510</v>
      </c>
      <c r="AC119" t="str">
        <f>HYPERLINK("plots/20251231000436_3FT6Y121H01_04823_B11P_N_UFLEX98_M5358A8BH101511/dpll_52046/txpa_54151.png","plot")</f>
        <v>plot</v>
      </c>
    </row>
    <row r="120" spans="1:29" x14ac:dyDescent="0.35">
      <c r="A120" t="s">
        <v>46</v>
      </c>
      <c r="B120">
        <v>52046</v>
      </c>
      <c r="C120" t="s">
        <v>51</v>
      </c>
      <c r="D120">
        <v>54152</v>
      </c>
      <c r="E120" t="s">
        <v>172</v>
      </c>
      <c r="F120">
        <v>8716</v>
      </c>
      <c r="G120">
        <v>0.17896949250237029</v>
      </c>
      <c r="H120">
        <v>1.195857940258602E-63</v>
      </c>
      <c r="I120">
        <v>1.255279452818036E-63</v>
      </c>
      <c r="J120">
        <v>0.13591172695480369</v>
      </c>
      <c r="K120">
        <v>3.2808965589409951E-37</v>
      </c>
      <c r="L120">
        <v>3.454651205364661E-37</v>
      </c>
      <c r="M120">
        <v>9.0869115683770194E-2</v>
      </c>
      <c r="N120">
        <v>4.8290586372507308E-37</v>
      </c>
      <c r="O120">
        <v>5.0795284835811632E-37</v>
      </c>
      <c r="P120">
        <v>3.2030079246555973E-2</v>
      </c>
      <c r="Q120">
        <v>1.44693962262278</v>
      </c>
      <c r="R120">
        <v>-27.86554757637381</v>
      </c>
      <c r="S120">
        <v>1.0473092567811091</v>
      </c>
      <c r="T120">
        <v>0.81145616999915704</v>
      </c>
      <c r="U120">
        <v>4.4782817893529154</v>
      </c>
      <c r="V120">
        <v>0.1316732403778659</v>
      </c>
      <c r="W120">
        <v>-21.38574421408903</v>
      </c>
      <c r="X120">
        <v>1.064557015153544</v>
      </c>
      <c r="Z120" t="s">
        <v>392</v>
      </c>
      <c r="AA120">
        <v>9937</v>
      </c>
      <c r="AB120" t="s">
        <v>511</v>
      </c>
      <c r="AC120" t="str">
        <f>HYPERLINK("plots/20251231000436_3FT6Y121H01_04823_B11P_N_UFLEX98_M5358A8BH101511/dpll_52046/txpa_54152.png","plot")</f>
        <v>plot</v>
      </c>
    </row>
    <row r="121" spans="1:29" x14ac:dyDescent="0.35">
      <c r="A121" t="s">
        <v>46</v>
      </c>
      <c r="B121">
        <v>52046</v>
      </c>
      <c r="C121" t="s">
        <v>51</v>
      </c>
      <c r="D121">
        <v>54153</v>
      </c>
      <c r="E121" t="s">
        <v>173</v>
      </c>
      <c r="F121">
        <v>8716</v>
      </c>
      <c r="G121">
        <v>0.19160392875958709</v>
      </c>
      <c r="H121">
        <v>7.4736762255268017E-73</v>
      </c>
      <c r="I121">
        <v>7.9855718574121994E-73</v>
      </c>
      <c r="J121">
        <v>0.13548591960576331</v>
      </c>
      <c r="K121">
        <v>5.4968257309882839E-37</v>
      </c>
      <c r="L121">
        <v>5.7759391618882066E-37</v>
      </c>
      <c r="M121">
        <v>9.0837291497826669E-2</v>
      </c>
      <c r="N121">
        <v>5.0982020430128168E-37</v>
      </c>
      <c r="O121">
        <v>5.357074478357509E-37</v>
      </c>
      <c r="P121">
        <v>3.6712065516108908E-2</v>
      </c>
      <c r="Q121">
        <v>1.513866311643268</v>
      </c>
      <c r="R121">
        <v>-27.911220302087798</v>
      </c>
      <c r="S121">
        <v>1.0210189047892499</v>
      </c>
      <c r="T121">
        <v>0.79183460918027015</v>
      </c>
      <c r="U121">
        <v>4.4782817893529154</v>
      </c>
      <c r="V121">
        <v>0.1316732403778659</v>
      </c>
      <c r="W121">
        <v>-21.131700367140891</v>
      </c>
      <c r="X121">
        <v>1.0403527946604461</v>
      </c>
      <c r="Z121" t="s">
        <v>392</v>
      </c>
      <c r="AA121">
        <v>9937</v>
      </c>
      <c r="AB121" t="s">
        <v>512</v>
      </c>
      <c r="AC121" t="str">
        <f>HYPERLINK("plots/20251231000436_3FT6Y121H01_04823_B11P_N_UFLEX98_M5358A8BH101511/dpll_52046/txpa_54153.png","plot")</f>
        <v>plot</v>
      </c>
    </row>
    <row r="122" spans="1:29" x14ac:dyDescent="0.35">
      <c r="A122" t="s">
        <v>46</v>
      </c>
      <c r="B122">
        <v>52046</v>
      </c>
      <c r="C122" t="s">
        <v>51</v>
      </c>
      <c r="D122">
        <v>54154</v>
      </c>
      <c r="E122" t="s">
        <v>174</v>
      </c>
      <c r="F122">
        <v>8716</v>
      </c>
      <c r="G122">
        <v>0.1240527006311565</v>
      </c>
      <c r="H122">
        <v>3.084374568368221E-31</v>
      </c>
      <c r="I122">
        <v>3.1119958331595778E-31</v>
      </c>
      <c r="J122">
        <v>0.1065794014551882</v>
      </c>
      <c r="K122">
        <v>1.9179794137482869E-23</v>
      </c>
      <c r="L122">
        <v>1.9370827943633099E-23</v>
      </c>
      <c r="M122">
        <v>7.1157040840570271E-2</v>
      </c>
      <c r="N122">
        <v>2.3536824415885859E-23</v>
      </c>
      <c r="O122">
        <v>2.3771254937956441E-23</v>
      </c>
      <c r="P122">
        <v>1.538907253388333E-2</v>
      </c>
      <c r="Q122">
        <v>1.1987310979381609</v>
      </c>
      <c r="R122">
        <v>-27.75646933943538</v>
      </c>
      <c r="S122">
        <v>1.262468302251559</v>
      </c>
      <c r="T122">
        <v>0.98907757524943307</v>
      </c>
      <c r="U122">
        <v>4.4782817893529154</v>
      </c>
      <c r="V122">
        <v>0.1316732403778659</v>
      </c>
      <c r="W122">
        <v>-22.388213693207891</v>
      </c>
      <c r="X122">
        <v>1.272368978701558</v>
      </c>
      <c r="Z122" t="s">
        <v>392</v>
      </c>
      <c r="AA122">
        <v>9937</v>
      </c>
      <c r="AB122" t="s">
        <v>513</v>
      </c>
      <c r="AC122" t="str">
        <f>HYPERLINK("plots/20251231000436_3FT6Y121H01_04823_B11P_N_UFLEX98_M5358A8BH101511/dpll_52046/txpa_54154.png","plot")</f>
        <v>plot</v>
      </c>
    </row>
    <row r="123" spans="1:29" x14ac:dyDescent="0.35">
      <c r="A123" t="s">
        <v>46</v>
      </c>
      <c r="B123">
        <v>52046</v>
      </c>
      <c r="C123" t="s">
        <v>51</v>
      </c>
      <c r="D123">
        <v>54155</v>
      </c>
      <c r="E123" t="s">
        <v>175</v>
      </c>
      <c r="F123">
        <v>8716</v>
      </c>
      <c r="G123">
        <v>0.20571369374288101</v>
      </c>
      <c r="H123">
        <v>6.2878567311097204E-84</v>
      </c>
      <c r="I123">
        <v>6.8118447920355299E-84</v>
      </c>
      <c r="J123">
        <v>0.18043448139977919</v>
      </c>
      <c r="K123">
        <v>1.108201506597021E-64</v>
      </c>
      <c r="L123">
        <v>1.206999277861846E-64</v>
      </c>
      <c r="M123">
        <v>0.1180998048953493</v>
      </c>
      <c r="N123">
        <v>2.1128486359351119E-61</v>
      </c>
      <c r="O123">
        <v>2.3012121555727211E-61</v>
      </c>
      <c r="P123">
        <v>4.231812379333983E-2</v>
      </c>
      <c r="Q123">
        <v>0.63113855550277986</v>
      </c>
      <c r="R123">
        <v>-11.510860682755171</v>
      </c>
      <c r="S123">
        <v>0.39531632720778792</v>
      </c>
      <c r="T123">
        <v>0.30154820200270271</v>
      </c>
      <c r="U123">
        <v>4.4782817893529154</v>
      </c>
      <c r="V123">
        <v>0.1316732403778659</v>
      </c>
      <c r="W123">
        <v>-8.6844443830885716</v>
      </c>
      <c r="X123">
        <v>0.40397922577933643</v>
      </c>
      <c r="Z123" t="s">
        <v>392</v>
      </c>
      <c r="AA123">
        <v>9937</v>
      </c>
      <c r="AB123" t="s">
        <v>514</v>
      </c>
      <c r="AC123" t="str">
        <f>HYPERLINK("plots/20251231000436_3FT6Y121H01_04823_B11P_N_UFLEX98_M5358A8BH101511/dpll_52046/txpa_54155.png","plot")</f>
        <v>plot</v>
      </c>
    </row>
    <row r="124" spans="1:29" x14ac:dyDescent="0.35">
      <c r="A124" t="s">
        <v>46</v>
      </c>
      <c r="B124">
        <v>52046</v>
      </c>
      <c r="C124" t="s">
        <v>51</v>
      </c>
      <c r="D124">
        <v>54156</v>
      </c>
      <c r="E124" t="s">
        <v>176</v>
      </c>
      <c r="F124">
        <v>8716</v>
      </c>
      <c r="G124">
        <v>0.33093928112273979</v>
      </c>
      <c r="H124">
        <v>8.3648349260337446E-222</v>
      </c>
      <c r="I124">
        <v>9.7605783831970279E-222</v>
      </c>
      <c r="J124">
        <v>0.26624738385898211</v>
      </c>
      <c r="K124">
        <v>2.394053816911525E-141</v>
      </c>
      <c r="L124">
        <v>2.989618929000352E-141</v>
      </c>
      <c r="M124">
        <v>0.17905696943525051</v>
      </c>
      <c r="N124">
        <v>1.130617308924756E-138</v>
      </c>
      <c r="O124">
        <v>1.4084102595205189E-138</v>
      </c>
      <c r="P124">
        <v>0.1095208077900358</v>
      </c>
      <c r="Q124">
        <v>0.90368200911350682</v>
      </c>
      <c r="R124">
        <v>-12.26481174994638</v>
      </c>
      <c r="S124">
        <v>0.33927496412601571</v>
      </c>
      <c r="T124">
        <v>0.26690030391669162</v>
      </c>
      <c r="U124">
        <v>4.4782817893529154</v>
      </c>
      <c r="V124">
        <v>0.1316732403778659</v>
      </c>
      <c r="W124">
        <v>-8.2178690651675073</v>
      </c>
      <c r="X124">
        <v>0.35955459263545031</v>
      </c>
      <c r="Z124" t="s">
        <v>392</v>
      </c>
      <c r="AA124">
        <v>9937</v>
      </c>
      <c r="AB124" t="s">
        <v>515</v>
      </c>
      <c r="AC124" t="str">
        <f>HYPERLINK("plots/20251231000436_3FT6Y121H01_04823_B11P_N_UFLEX98_M5358A8BH101511/dpll_52046/txpa_54156.png","plot")</f>
        <v>plot</v>
      </c>
    </row>
    <row r="125" spans="1:29" x14ac:dyDescent="0.35">
      <c r="A125" t="s">
        <v>46</v>
      </c>
      <c r="B125">
        <v>52046</v>
      </c>
      <c r="C125" t="s">
        <v>51</v>
      </c>
      <c r="D125">
        <v>54157</v>
      </c>
      <c r="E125" t="s">
        <v>177</v>
      </c>
      <c r="F125">
        <v>8716</v>
      </c>
      <c r="G125">
        <v>0.34328537698351358</v>
      </c>
      <c r="H125">
        <v>1.3653448204934931E-239</v>
      </c>
      <c r="I125">
        <v>1.636477125272343E-239</v>
      </c>
      <c r="J125">
        <v>0.2194429188696542</v>
      </c>
      <c r="K125">
        <v>1.592970589424251E-95</v>
      </c>
      <c r="L125">
        <v>1.8355365655411249E-95</v>
      </c>
      <c r="M125">
        <v>0.14766127563622591</v>
      </c>
      <c r="N125">
        <v>6.1553955255979101E-95</v>
      </c>
      <c r="O125">
        <v>7.1007634390856446E-95</v>
      </c>
      <c r="P125">
        <v>0.117844850050713</v>
      </c>
      <c r="Q125">
        <v>0.99412161286766143</v>
      </c>
      <c r="R125">
        <v>-12.25891874467867</v>
      </c>
      <c r="S125">
        <v>0.35812060284568398</v>
      </c>
      <c r="T125">
        <v>0.28695062997639392</v>
      </c>
      <c r="U125">
        <v>4.4782817893529154</v>
      </c>
      <c r="V125">
        <v>0.1316732403778659</v>
      </c>
      <c r="W125">
        <v>-7.8069620293712712</v>
      </c>
      <c r="X125">
        <v>0.38131310819639691</v>
      </c>
      <c r="Z125" t="s">
        <v>392</v>
      </c>
      <c r="AA125">
        <v>9937</v>
      </c>
      <c r="AB125" t="s">
        <v>516</v>
      </c>
      <c r="AC125" t="str">
        <f>HYPERLINK("plots/20251231000436_3FT6Y121H01_04823_B11P_N_UFLEX98_M5358A8BH101511/dpll_52046/txpa_54157.png","plot")</f>
        <v>plot</v>
      </c>
    </row>
    <row r="126" spans="1:29" x14ac:dyDescent="0.35">
      <c r="A126" t="s">
        <v>46</v>
      </c>
      <c r="B126">
        <v>52046</v>
      </c>
      <c r="C126" t="s">
        <v>51</v>
      </c>
      <c r="D126">
        <v>54158</v>
      </c>
      <c r="E126" t="s">
        <v>178</v>
      </c>
      <c r="F126">
        <v>8716</v>
      </c>
      <c r="G126">
        <v>0.3710866996251807</v>
      </c>
      <c r="H126">
        <v>1.032535848238753E-282</v>
      </c>
      <c r="I126">
        <v>1.3202917403708639E-282</v>
      </c>
      <c r="J126">
        <v>0.28001725558871471</v>
      </c>
      <c r="K126">
        <v>9.4565795835302154E-157</v>
      </c>
      <c r="L126">
        <v>1.2309334656867321E-156</v>
      </c>
      <c r="M126">
        <v>0.18879019004525291</v>
      </c>
      <c r="N126">
        <v>6.2205890422755608E-154</v>
      </c>
      <c r="O126">
        <v>8.0867657549582289E-154</v>
      </c>
      <c r="P126">
        <v>0.1377053386387091</v>
      </c>
      <c r="Q126">
        <v>0.99118829751454895</v>
      </c>
      <c r="R126">
        <v>-12.691854096314779</v>
      </c>
      <c r="S126">
        <v>0.32657372055441952</v>
      </c>
      <c r="T126">
        <v>0.2590961472635821</v>
      </c>
      <c r="U126">
        <v>4.4782817893529154</v>
      </c>
      <c r="V126">
        <v>0.1316732403778659</v>
      </c>
      <c r="W126">
        <v>-8.2530335937356583</v>
      </c>
      <c r="X126">
        <v>0.35170480399913739</v>
      </c>
      <c r="Z126" t="s">
        <v>392</v>
      </c>
      <c r="AA126">
        <v>9937</v>
      </c>
      <c r="AB126" t="s">
        <v>517</v>
      </c>
      <c r="AC126" t="str">
        <f>HYPERLINK("plots/20251231000436_3FT6Y121H01_04823_B11P_N_UFLEX98_M5358A8BH101511/dpll_52046/txpa_54158.png","plot")</f>
        <v>plot</v>
      </c>
    </row>
    <row r="127" spans="1:29" x14ac:dyDescent="0.35">
      <c r="A127" t="s">
        <v>46</v>
      </c>
      <c r="B127">
        <v>52046</v>
      </c>
      <c r="C127" t="s">
        <v>51</v>
      </c>
      <c r="D127">
        <v>54159</v>
      </c>
      <c r="E127" t="s">
        <v>179</v>
      </c>
      <c r="F127">
        <v>8716</v>
      </c>
      <c r="G127">
        <v>0.3633899695019458</v>
      </c>
      <c r="H127">
        <v>2.441242078184232E-270</v>
      </c>
      <c r="I127">
        <v>3.0636379545529838E-270</v>
      </c>
      <c r="J127">
        <v>0.25471818555606068</v>
      </c>
      <c r="K127">
        <v>3.9023715835601387E-129</v>
      </c>
      <c r="L127">
        <v>4.744610054832112E-129</v>
      </c>
      <c r="M127">
        <v>0.1703319836920372</v>
      </c>
      <c r="N127">
        <v>1.123091846158699E-125</v>
      </c>
      <c r="O127">
        <v>1.3573481907090829E-125</v>
      </c>
      <c r="P127">
        <v>0.1320522699346251</v>
      </c>
      <c r="Q127">
        <v>0.90490195380172256</v>
      </c>
      <c r="R127">
        <v>-12.04156721759257</v>
      </c>
      <c r="S127">
        <v>0.3054555247239113</v>
      </c>
      <c r="T127">
        <v>0.24064621964319299</v>
      </c>
      <c r="U127">
        <v>4.4782817893529154</v>
      </c>
      <c r="V127">
        <v>0.1316732403778659</v>
      </c>
      <c r="W127">
        <v>-7.9891612767324469</v>
      </c>
      <c r="X127">
        <v>0.32788844624589092</v>
      </c>
      <c r="Z127" t="s">
        <v>392</v>
      </c>
      <c r="AA127">
        <v>9937</v>
      </c>
      <c r="AB127" t="s">
        <v>518</v>
      </c>
      <c r="AC127" t="str">
        <f>HYPERLINK("plots/20251231000436_3FT6Y121H01_04823_B11P_N_UFLEX98_M5358A8BH101511/dpll_52046/txpa_54159.png","plot")</f>
        <v>plot</v>
      </c>
    </row>
    <row r="128" spans="1:29" x14ac:dyDescent="0.35">
      <c r="A128" t="s">
        <v>46</v>
      </c>
      <c r="B128">
        <v>52046</v>
      </c>
      <c r="C128" t="s">
        <v>51</v>
      </c>
      <c r="D128">
        <v>54160</v>
      </c>
      <c r="E128" t="s">
        <v>180</v>
      </c>
      <c r="F128">
        <v>8716</v>
      </c>
      <c r="G128">
        <v>0.39088312093165128</v>
      </c>
      <c r="H128">
        <v>0</v>
      </c>
      <c r="I128">
        <v>0</v>
      </c>
      <c r="J128">
        <v>0.28488142413095069</v>
      </c>
      <c r="K128">
        <v>2.0802137456942589E-162</v>
      </c>
      <c r="L128">
        <v>2.73939836121296E-162</v>
      </c>
      <c r="M128">
        <v>0.1905697895902545</v>
      </c>
      <c r="N128">
        <v>8.3148142215945603E-157</v>
      </c>
      <c r="O128">
        <v>1.087899563960888E-156</v>
      </c>
      <c r="P128">
        <v>0.1527896142292679</v>
      </c>
      <c r="Q128">
        <v>0.92828442904166131</v>
      </c>
      <c r="R128">
        <v>-12.246544020438479</v>
      </c>
      <c r="S128">
        <v>0.28780768904498449</v>
      </c>
      <c r="T128">
        <v>0.22623123130743469</v>
      </c>
      <c r="U128">
        <v>4.4782817893529154</v>
      </c>
      <c r="V128">
        <v>0.1316732403778659</v>
      </c>
      <c r="W128">
        <v>-8.0894247665213381</v>
      </c>
      <c r="X128">
        <v>0.31270272932968513</v>
      </c>
      <c r="Z128" t="s">
        <v>392</v>
      </c>
      <c r="AA128">
        <v>9937</v>
      </c>
      <c r="AB128" t="s">
        <v>519</v>
      </c>
      <c r="AC128" t="str">
        <f>HYPERLINK("plots/20251231000436_3FT6Y121H01_04823_B11P_N_UFLEX98_M5358A8BH101511/dpll_52046/txpa_54160.png","plot")</f>
        <v>plot</v>
      </c>
    </row>
    <row r="129" spans="1:29" x14ac:dyDescent="0.35">
      <c r="A129" t="s">
        <v>46</v>
      </c>
      <c r="B129">
        <v>52046</v>
      </c>
      <c r="C129" t="s">
        <v>51</v>
      </c>
      <c r="D129">
        <v>54161</v>
      </c>
      <c r="E129" t="s">
        <v>181</v>
      </c>
      <c r="F129">
        <v>8716</v>
      </c>
      <c r="G129">
        <v>0.35586968333854901</v>
      </c>
      <c r="H129">
        <v>1.420299050074259E-258</v>
      </c>
      <c r="I129">
        <v>1.7393517352358691E-258</v>
      </c>
      <c r="J129">
        <v>0.21828386368304631</v>
      </c>
      <c r="K129">
        <v>1.6323533028604089E-94</v>
      </c>
      <c r="L129">
        <v>1.861874295951018E-94</v>
      </c>
      <c r="M129">
        <v>0.14632017839947781</v>
      </c>
      <c r="N129">
        <v>2.9684079843362062E-93</v>
      </c>
      <c r="O129">
        <v>3.3896010091406672E-93</v>
      </c>
      <c r="P129">
        <v>0.12664323151947909</v>
      </c>
      <c r="Q129">
        <v>0.96464838063169001</v>
      </c>
      <c r="R129">
        <v>-12.2046990858868</v>
      </c>
      <c r="S129">
        <v>0.33353890693724492</v>
      </c>
      <c r="T129">
        <v>0.2687881104293996</v>
      </c>
      <c r="U129">
        <v>4.4782817893529154</v>
      </c>
      <c r="V129">
        <v>0.1316732403778659</v>
      </c>
      <c r="W129">
        <v>-7.8847318097751264</v>
      </c>
      <c r="X129">
        <v>0.35692385176345409</v>
      </c>
      <c r="Z129" t="s">
        <v>392</v>
      </c>
      <c r="AA129">
        <v>9937</v>
      </c>
      <c r="AB129" t="s">
        <v>520</v>
      </c>
      <c r="AC129" t="str">
        <f>HYPERLINK("plots/20251231000436_3FT6Y121H01_04823_B11P_N_UFLEX98_M5358A8BH101511/dpll_52046/txpa_54161.png","plot")</f>
        <v>plot</v>
      </c>
    </row>
    <row r="130" spans="1:29" x14ac:dyDescent="0.35">
      <c r="A130" t="s">
        <v>46</v>
      </c>
      <c r="B130">
        <v>52046</v>
      </c>
      <c r="C130" t="s">
        <v>51</v>
      </c>
      <c r="D130">
        <v>54162</v>
      </c>
      <c r="E130" t="s">
        <v>182</v>
      </c>
      <c r="F130">
        <v>8716</v>
      </c>
      <c r="G130">
        <v>0.23619126857360609</v>
      </c>
      <c r="H130">
        <v>8.6890271366227077E-111</v>
      </c>
      <c r="I130">
        <v>9.5976835692107041E-111</v>
      </c>
      <c r="J130">
        <v>0.2226975066893214</v>
      </c>
      <c r="K130">
        <v>2.153016985800473E-98</v>
      </c>
      <c r="L130">
        <v>2.497893848514507E-98</v>
      </c>
      <c r="M130">
        <v>0.14823339144894249</v>
      </c>
      <c r="N130">
        <v>1.1859276121561351E-95</v>
      </c>
      <c r="O130">
        <v>1.372751825030047E-95</v>
      </c>
      <c r="P130">
        <v>5.5786315350409309E-2</v>
      </c>
      <c r="Q130">
        <v>0.73686703048393631</v>
      </c>
      <c r="R130">
        <v>-12.108145573685221</v>
      </c>
      <c r="S130">
        <v>0.39914715689227293</v>
      </c>
      <c r="T130">
        <v>0.2989024726841667</v>
      </c>
      <c r="U130">
        <v>4.4782817893529154</v>
      </c>
      <c r="V130">
        <v>0.1316732403778659</v>
      </c>
      <c r="W130">
        <v>-8.8082473698944472</v>
      </c>
      <c r="X130">
        <v>0.41079278763092292</v>
      </c>
      <c r="Z130" t="s">
        <v>392</v>
      </c>
      <c r="AA130">
        <v>9937</v>
      </c>
      <c r="AB130" t="s">
        <v>521</v>
      </c>
      <c r="AC130" t="str">
        <f>HYPERLINK("plots/20251231000436_3FT6Y121H01_04823_B11P_N_UFLEX98_M5358A8BH101511/dpll_52046/txpa_54162.png","plot")</f>
        <v>plot</v>
      </c>
    </row>
    <row r="131" spans="1:29" x14ac:dyDescent="0.35">
      <c r="A131" t="s">
        <v>46</v>
      </c>
      <c r="B131">
        <v>52046</v>
      </c>
      <c r="C131" t="s">
        <v>51</v>
      </c>
      <c r="D131">
        <v>54163</v>
      </c>
      <c r="E131" t="s">
        <v>183</v>
      </c>
      <c r="F131">
        <v>8716</v>
      </c>
      <c r="G131">
        <v>0.21802984863229541</v>
      </c>
      <c r="H131">
        <v>2.7133909738112321E-94</v>
      </c>
      <c r="I131">
        <v>2.9712510231583028E-94</v>
      </c>
      <c r="J131">
        <v>0.19391260898217169</v>
      </c>
      <c r="K131">
        <v>1.3159203097140151E-74</v>
      </c>
      <c r="L131">
        <v>1.4472268915943721E-74</v>
      </c>
      <c r="M131">
        <v>0.12735835659640071</v>
      </c>
      <c r="N131">
        <v>4.0748084458460033E-71</v>
      </c>
      <c r="O131">
        <v>4.4814053840432188E-71</v>
      </c>
      <c r="P131">
        <v>4.7537014894621643E-2</v>
      </c>
      <c r="Q131">
        <v>0.58995188484533145</v>
      </c>
      <c r="R131">
        <v>-5.3202119419740992</v>
      </c>
      <c r="S131">
        <v>0.34769408421153508</v>
      </c>
      <c r="T131">
        <v>0.26390955893233298</v>
      </c>
      <c r="U131">
        <v>4.4782817893529154</v>
      </c>
      <c r="V131">
        <v>0.1316732403778659</v>
      </c>
      <c r="W131">
        <v>-2.6782411594768241</v>
      </c>
      <c r="X131">
        <v>0.35628551242826489</v>
      </c>
      <c r="Z131" t="s">
        <v>392</v>
      </c>
      <c r="AA131">
        <v>9937</v>
      </c>
      <c r="AB131" t="s">
        <v>522</v>
      </c>
      <c r="AC131" t="str">
        <f>HYPERLINK("plots/20251231000436_3FT6Y121H01_04823_B11P_N_UFLEX98_M5358A8BH101511/dpll_52046/txpa_54163.png","plot")</f>
        <v>plot</v>
      </c>
    </row>
    <row r="132" spans="1:29" x14ac:dyDescent="0.35">
      <c r="A132" t="s">
        <v>46</v>
      </c>
      <c r="B132">
        <v>52046</v>
      </c>
      <c r="C132" t="s">
        <v>51</v>
      </c>
      <c r="D132">
        <v>54164</v>
      </c>
      <c r="E132" t="s">
        <v>184</v>
      </c>
      <c r="F132">
        <v>8716</v>
      </c>
      <c r="G132">
        <v>0.35737266200055012</v>
      </c>
      <c r="H132">
        <v>6.7073228190952688E-261</v>
      </c>
      <c r="I132">
        <v>8.2739967622416086E-261</v>
      </c>
      <c r="J132">
        <v>0.28874812047987569</v>
      </c>
      <c r="K132">
        <v>5.4827308161440793E-167</v>
      </c>
      <c r="L132">
        <v>7.363561652410724E-167</v>
      </c>
      <c r="M132">
        <v>0.19460819480903199</v>
      </c>
      <c r="N132">
        <v>1.8412236816238999E-163</v>
      </c>
      <c r="O132">
        <v>2.4437183418411449E-163</v>
      </c>
      <c r="P132">
        <v>0.12771521954535939</v>
      </c>
      <c r="Q132">
        <v>0.85590702956419784</v>
      </c>
      <c r="R132">
        <v>-6.1032122264281234</v>
      </c>
      <c r="S132">
        <v>0.29451473083331198</v>
      </c>
      <c r="T132">
        <v>0.231429698097982</v>
      </c>
      <c r="U132">
        <v>4.4782817893529154</v>
      </c>
      <c r="V132">
        <v>0.1316732403778659</v>
      </c>
      <c r="W132">
        <v>-2.27021936255163</v>
      </c>
      <c r="X132">
        <v>0.31535722798163662</v>
      </c>
      <c r="Z132" t="s">
        <v>392</v>
      </c>
      <c r="AA132">
        <v>9937</v>
      </c>
      <c r="AB132" t="s">
        <v>523</v>
      </c>
      <c r="AC132" t="str">
        <f>HYPERLINK("plots/20251231000436_3FT6Y121H01_04823_B11P_N_UFLEX98_M5358A8BH101511/dpll_52046/txpa_54164.png","plot")</f>
        <v>plot</v>
      </c>
    </row>
    <row r="133" spans="1:29" x14ac:dyDescent="0.35">
      <c r="A133" t="s">
        <v>46</v>
      </c>
      <c r="B133">
        <v>52046</v>
      </c>
      <c r="C133" t="s">
        <v>51</v>
      </c>
      <c r="D133">
        <v>54165</v>
      </c>
      <c r="E133" t="s">
        <v>185</v>
      </c>
      <c r="F133">
        <v>8716</v>
      </c>
      <c r="G133">
        <v>0.36983201338090382</v>
      </c>
      <c r="H133">
        <v>1.1330153450315661E-280</v>
      </c>
      <c r="I133">
        <v>1.4396961903032679E-280</v>
      </c>
      <c r="J133">
        <v>0.23901904517859579</v>
      </c>
      <c r="K133">
        <v>1.7335199724044629E-113</v>
      </c>
      <c r="L133">
        <v>2.0607142462111669E-113</v>
      </c>
      <c r="M133">
        <v>0.160889206140372</v>
      </c>
      <c r="N133">
        <v>2.3380069474044921E-112</v>
      </c>
      <c r="O133">
        <v>2.7727942042902389E-112</v>
      </c>
      <c r="P133">
        <v>0.13677571812137301</v>
      </c>
      <c r="Q133">
        <v>0.94340946845364138</v>
      </c>
      <c r="R133">
        <v>-6.1418278861573476</v>
      </c>
      <c r="S133">
        <v>0.31205429273297058</v>
      </c>
      <c r="T133">
        <v>0.2497008202996242</v>
      </c>
      <c r="U133">
        <v>4.4782817893529154</v>
      </c>
      <c r="V133">
        <v>0.1316732403778659</v>
      </c>
      <c r="W133">
        <v>-1.9169744436782929</v>
      </c>
      <c r="X133">
        <v>0.33588704390095731</v>
      </c>
      <c r="Z133" t="s">
        <v>392</v>
      </c>
      <c r="AA133">
        <v>9937</v>
      </c>
      <c r="AB133" t="s">
        <v>524</v>
      </c>
      <c r="AC133" t="str">
        <f>HYPERLINK("plots/20251231000436_3FT6Y121H01_04823_B11P_N_UFLEX98_M5358A8BH101511/dpll_52046/txpa_54165.png","plot")</f>
        <v>plot</v>
      </c>
    </row>
    <row r="134" spans="1:29" x14ac:dyDescent="0.35">
      <c r="A134" t="s">
        <v>46</v>
      </c>
      <c r="B134">
        <v>52046</v>
      </c>
      <c r="C134" t="s">
        <v>51</v>
      </c>
      <c r="D134">
        <v>54166</v>
      </c>
      <c r="E134" t="s">
        <v>186</v>
      </c>
      <c r="F134">
        <v>8716</v>
      </c>
      <c r="G134">
        <v>0.39635118197191721</v>
      </c>
      <c r="H134">
        <v>0</v>
      </c>
      <c r="I134">
        <v>0</v>
      </c>
      <c r="J134">
        <v>0.29942751438015253</v>
      </c>
      <c r="K134">
        <v>5.1498730465486418E-180</v>
      </c>
      <c r="L134">
        <v>7.2027189920004457E-180</v>
      </c>
      <c r="M134">
        <v>0.20225904285399801</v>
      </c>
      <c r="N134">
        <v>2.1117709865416388E-176</v>
      </c>
      <c r="O134">
        <v>2.9293239129319049E-176</v>
      </c>
      <c r="P134">
        <v>0.15709425945053579</v>
      </c>
      <c r="Q134">
        <v>0.92824268171005475</v>
      </c>
      <c r="R134">
        <v>-6.4606006424852254</v>
      </c>
      <c r="S134">
        <v>0.2831023603877767</v>
      </c>
      <c r="T134">
        <v>0.22407073535992481</v>
      </c>
      <c r="U134">
        <v>4.4782817893529154</v>
      </c>
      <c r="V134">
        <v>0.1316732403778659</v>
      </c>
      <c r="W134">
        <v>-2.3036683448829738</v>
      </c>
      <c r="X134">
        <v>0.30837481334031441</v>
      </c>
      <c r="Z134" t="s">
        <v>392</v>
      </c>
      <c r="AA134">
        <v>9937</v>
      </c>
      <c r="AB134" t="s">
        <v>525</v>
      </c>
      <c r="AC134" t="str">
        <f>HYPERLINK("plots/20251231000436_3FT6Y121H01_04823_B11P_N_UFLEX98_M5358A8BH101511/dpll_52046/txpa_54166.png","plot")</f>
        <v>plot</v>
      </c>
    </row>
    <row r="135" spans="1:29" x14ac:dyDescent="0.35">
      <c r="A135" t="s">
        <v>46</v>
      </c>
      <c r="B135">
        <v>52046</v>
      </c>
      <c r="C135" t="s">
        <v>51</v>
      </c>
      <c r="D135">
        <v>54167</v>
      </c>
      <c r="E135" t="s">
        <v>187</v>
      </c>
      <c r="F135">
        <v>8716</v>
      </c>
      <c r="G135">
        <v>0.39379692784498133</v>
      </c>
      <c r="H135">
        <v>0</v>
      </c>
      <c r="I135">
        <v>0</v>
      </c>
      <c r="J135">
        <v>0.27767652328736298</v>
      </c>
      <c r="K135">
        <v>4.5473754534270107E-154</v>
      </c>
      <c r="L135">
        <v>5.8739346621337438E-154</v>
      </c>
      <c r="M135">
        <v>0.1862896507031841</v>
      </c>
      <c r="N135">
        <v>5.9068515630269392E-150</v>
      </c>
      <c r="O135">
        <v>7.6106067152596137E-150</v>
      </c>
      <c r="P135">
        <v>0.1550760203801454</v>
      </c>
      <c r="Q135">
        <v>0.86637802572705502</v>
      </c>
      <c r="R135">
        <v>-5.9585839591731604</v>
      </c>
      <c r="S135">
        <v>0.26626650089790521</v>
      </c>
      <c r="T135">
        <v>0.20912075084815551</v>
      </c>
      <c r="U135">
        <v>4.4782817893529154</v>
      </c>
      <c r="V135">
        <v>0.1316732403778659</v>
      </c>
      <c r="W135">
        <v>-2.0786990238641581</v>
      </c>
      <c r="X135">
        <v>0.28968941597372411</v>
      </c>
      <c r="Z135" t="s">
        <v>392</v>
      </c>
      <c r="AA135">
        <v>9937</v>
      </c>
      <c r="AB135" t="s">
        <v>526</v>
      </c>
      <c r="AC135" t="str">
        <f>HYPERLINK("plots/20251231000436_3FT6Y121H01_04823_B11P_N_UFLEX98_M5358A8BH101511/dpll_52046/txpa_54167.png","plot")</f>
        <v>plot</v>
      </c>
    </row>
    <row r="136" spans="1:29" x14ac:dyDescent="0.35">
      <c r="A136" t="s">
        <v>46</v>
      </c>
      <c r="B136">
        <v>52046</v>
      </c>
      <c r="C136" t="s">
        <v>51</v>
      </c>
      <c r="D136">
        <v>54168</v>
      </c>
      <c r="E136" t="s">
        <v>188</v>
      </c>
      <c r="F136">
        <v>8716</v>
      </c>
      <c r="G136">
        <v>0.41945701797907031</v>
      </c>
      <c r="H136">
        <v>0</v>
      </c>
      <c r="I136">
        <v>0</v>
      </c>
      <c r="J136">
        <v>0.3066248360311512</v>
      </c>
      <c r="K136">
        <v>4.1024722023835047E-189</v>
      </c>
      <c r="L136">
        <v>5.917363887932964E-189</v>
      </c>
      <c r="M136">
        <v>0.20583068955245551</v>
      </c>
      <c r="N136">
        <v>1.3025506098643201E-182</v>
      </c>
      <c r="O136">
        <v>1.852435229175905E-182</v>
      </c>
      <c r="P136">
        <v>0.17594418993189409</v>
      </c>
      <c r="Q136">
        <v>0.87150862195063694</v>
      </c>
      <c r="R136">
        <v>-6.0641629422076377</v>
      </c>
      <c r="S136">
        <v>0.24833340544822169</v>
      </c>
      <c r="T136">
        <v>0.19440208847912199</v>
      </c>
      <c r="U136">
        <v>4.4782817893529154</v>
      </c>
      <c r="V136">
        <v>0.1316732403778659</v>
      </c>
      <c r="W136">
        <v>-2.1613017512620472</v>
      </c>
      <c r="X136">
        <v>0.27357836286151921</v>
      </c>
      <c r="Z136" t="s">
        <v>392</v>
      </c>
      <c r="AA136">
        <v>9937</v>
      </c>
      <c r="AB136" t="s">
        <v>527</v>
      </c>
      <c r="AC136" t="str">
        <f>HYPERLINK("plots/20251231000436_3FT6Y121H01_04823_B11P_N_UFLEX98_M5358A8BH101511/dpll_52046/txpa_54168.png","plot")</f>
        <v>plot</v>
      </c>
    </row>
    <row r="137" spans="1:29" x14ac:dyDescent="0.35">
      <c r="A137" t="s">
        <v>46</v>
      </c>
      <c r="B137">
        <v>52046</v>
      </c>
      <c r="C137" t="s">
        <v>51</v>
      </c>
      <c r="D137">
        <v>54169</v>
      </c>
      <c r="E137" t="s">
        <v>189</v>
      </c>
      <c r="F137">
        <v>8716</v>
      </c>
      <c r="G137">
        <v>0.38221882958403658</v>
      </c>
      <c r="H137">
        <v>3.2284932538041198E-301</v>
      </c>
      <c r="I137">
        <v>4.1970412299453561E-301</v>
      </c>
      <c r="J137">
        <v>0.23735370469500411</v>
      </c>
      <c r="K137">
        <v>6.8136950994836277E-112</v>
      </c>
      <c r="L137">
        <v>8.0713631201827088E-112</v>
      </c>
      <c r="M137">
        <v>0.15957194779913031</v>
      </c>
      <c r="N137">
        <v>1.4783096714681019E-110</v>
      </c>
      <c r="O137">
        <v>1.7450593793581561E-110</v>
      </c>
      <c r="P137">
        <v>0.14609123368859081</v>
      </c>
      <c r="Q137">
        <v>0.91146858962511323</v>
      </c>
      <c r="R137">
        <v>-6.0632895446427417</v>
      </c>
      <c r="S137">
        <v>0.2901402446782928</v>
      </c>
      <c r="T137">
        <v>0.2336026163418585</v>
      </c>
      <c r="U137">
        <v>4.4782817893529154</v>
      </c>
      <c r="V137">
        <v>0.1316732403778659</v>
      </c>
      <c r="W137">
        <v>-1.981476358157412</v>
      </c>
      <c r="X137">
        <v>0.3139981952987343</v>
      </c>
      <c r="Z137" t="s">
        <v>392</v>
      </c>
      <c r="AA137">
        <v>9937</v>
      </c>
      <c r="AB137" t="s">
        <v>528</v>
      </c>
      <c r="AC137" t="str">
        <f>HYPERLINK("plots/20251231000436_3FT6Y121H01_04823_B11P_N_UFLEX98_M5358A8BH101511/dpll_52046/txpa_54169.png","plot")</f>
        <v>plot</v>
      </c>
    </row>
    <row r="138" spans="1:29" x14ac:dyDescent="0.35">
      <c r="A138" t="s">
        <v>46</v>
      </c>
      <c r="B138">
        <v>52046</v>
      </c>
      <c r="C138" t="s">
        <v>51</v>
      </c>
      <c r="D138">
        <v>54170</v>
      </c>
      <c r="E138" t="s">
        <v>190</v>
      </c>
      <c r="F138">
        <v>8716</v>
      </c>
      <c r="G138">
        <v>0.25112998778284668</v>
      </c>
      <c r="H138">
        <v>1.8481858903599051E-125</v>
      </c>
      <c r="I138">
        <v>2.0684994402041321E-125</v>
      </c>
      <c r="J138">
        <v>0.2373133535929855</v>
      </c>
      <c r="K138">
        <v>7.4449514345240177E-112</v>
      </c>
      <c r="L138">
        <v>8.8088456879899115E-112</v>
      </c>
      <c r="M138">
        <v>0.15835825934044551</v>
      </c>
      <c r="N138">
        <v>6.5616780755914386E-109</v>
      </c>
      <c r="O138">
        <v>7.7187257176910884E-109</v>
      </c>
      <c r="P138">
        <v>6.3066270763812743E-2</v>
      </c>
      <c r="Q138">
        <v>0.68810538060111448</v>
      </c>
      <c r="R138">
        <v>-5.8454391225455087</v>
      </c>
      <c r="S138">
        <v>0.34920738809816138</v>
      </c>
      <c r="T138">
        <v>0.26083746836804678</v>
      </c>
      <c r="U138">
        <v>4.4782817893529154</v>
      </c>
      <c r="V138">
        <v>0.1316732403778659</v>
      </c>
      <c r="W138">
        <v>-2.7639093274437809</v>
      </c>
      <c r="X138">
        <v>0.36078950978781599</v>
      </c>
      <c r="Z138" t="s">
        <v>392</v>
      </c>
      <c r="AA138">
        <v>9937</v>
      </c>
      <c r="AB138" t="s">
        <v>529</v>
      </c>
      <c r="AC138" t="str">
        <f>HYPERLINK("plots/20251231000436_3FT6Y121H01_04823_B11P_N_UFLEX98_M5358A8BH101511/dpll_52046/txpa_54170.png","plot")</f>
        <v>plot</v>
      </c>
    </row>
    <row r="139" spans="1:29" x14ac:dyDescent="0.35">
      <c r="A139" t="s">
        <v>46</v>
      </c>
      <c r="B139">
        <v>52046</v>
      </c>
      <c r="C139" t="s">
        <v>51</v>
      </c>
      <c r="D139">
        <v>54171</v>
      </c>
      <c r="E139" t="s">
        <v>191</v>
      </c>
      <c r="F139">
        <v>8716</v>
      </c>
      <c r="G139">
        <v>0.24434634265925881</v>
      </c>
      <c r="H139">
        <v>1.1338616193817109E-118</v>
      </c>
      <c r="I139">
        <v>1.259294284833577E-118</v>
      </c>
      <c r="J139">
        <v>0.2172727467374124</v>
      </c>
      <c r="K139">
        <v>1.229258765253652E-93</v>
      </c>
      <c r="L139">
        <v>1.397386085165025E-93</v>
      </c>
      <c r="M139">
        <v>0.1434432612077059</v>
      </c>
      <c r="N139">
        <v>1.038403049618487E-89</v>
      </c>
      <c r="O139">
        <v>1.175157022670922E-89</v>
      </c>
      <c r="P139">
        <v>5.9705135170955922E-2</v>
      </c>
      <c r="Q139">
        <v>0.62932050121705341</v>
      </c>
      <c r="R139">
        <v>-2.647184528459757</v>
      </c>
      <c r="S139">
        <v>0.32882942827636569</v>
      </c>
      <c r="T139">
        <v>0.24785598011162049</v>
      </c>
      <c r="U139">
        <v>4.4782817893529154</v>
      </c>
      <c r="V139">
        <v>0.1316732403778659</v>
      </c>
      <c r="W139">
        <v>0.1710900118070216</v>
      </c>
      <c r="X139">
        <v>0.3391279309918997</v>
      </c>
      <c r="Z139" t="s">
        <v>392</v>
      </c>
      <c r="AA139">
        <v>9937</v>
      </c>
      <c r="AB139" t="s">
        <v>530</v>
      </c>
      <c r="AC139" t="str">
        <f>HYPERLINK("plots/20251231000436_3FT6Y121H01_04823_B11P_N_UFLEX98_M5358A8BH101511/dpll_52046/txpa_54171.png","plot")</f>
        <v>plot</v>
      </c>
    </row>
    <row r="140" spans="1:29" x14ac:dyDescent="0.35">
      <c r="A140" t="s">
        <v>46</v>
      </c>
      <c r="B140">
        <v>52046</v>
      </c>
      <c r="C140" t="s">
        <v>51</v>
      </c>
      <c r="D140">
        <v>54172</v>
      </c>
      <c r="E140" t="s">
        <v>192</v>
      </c>
      <c r="F140">
        <v>8716</v>
      </c>
      <c r="G140">
        <v>0.38438360284277712</v>
      </c>
      <c r="H140">
        <v>6.6919824376367261E-305</v>
      </c>
      <c r="I140">
        <v>8.7557034732434064E-305</v>
      </c>
      <c r="J140">
        <v>0.30959847372243671</v>
      </c>
      <c r="K140">
        <v>5.9952721477862411E-193</v>
      </c>
      <c r="L140">
        <v>8.7344913187575405E-193</v>
      </c>
      <c r="M140">
        <v>0.2093527933199823</v>
      </c>
      <c r="N140">
        <v>7.5299701678267164E-189</v>
      </c>
      <c r="O140">
        <v>1.095464813511663E-188</v>
      </c>
      <c r="P140">
        <v>0.14775075413439381</v>
      </c>
      <c r="Q140">
        <v>0.88480754361542358</v>
      </c>
      <c r="R140">
        <v>-3.414956680519539</v>
      </c>
      <c r="S140">
        <v>0.27979495833729501</v>
      </c>
      <c r="T140">
        <v>0.2187794605245251</v>
      </c>
      <c r="U140">
        <v>4.4782817893529154</v>
      </c>
      <c r="V140">
        <v>0.1316732403778659</v>
      </c>
      <c r="W140">
        <v>0.54746082913549787</v>
      </c>
      <c r="X140">
        <v>0.30309689465675888</v>
      </c>
      <c r="Z140" t="s">
        <v>392</v>
      </c>
      <c r="AA140">
        <v>9937</v>
      </c>
      <c r="AB140" t="s">
        <v>531</v>
      </c>
      <c r="AC140" t="str">
        <f>HYPERLINK("plots/20251231000436_3FT6Y121H01_04823_B11P_N_UFLEX98_M5358A8BH101511/dpll_52046/txpa_54172.png","plot")</f>
        <v>plot</v>
      </c>
    </row>
    <row r="141" spans="1:29" x14ac:dyDescent="0.35">
      <c r="A141" t="s">
        <v>46</v>
      </c>
      <c r="B141">
        <v>52046</v>
      </c>
      <c r="C141" t="s">
        <v>51</v>
      </c>
      <c r="D141">
        <v>54173</v>
      </c>
      <c r="E141" t="s">
        <v>193</v>
      </c>
      <c r="F141">
        <v>8716</v>
      </c>
      <c r="G141">
        <v>0.39826706542746859</v>
      </c>
      <c r="H141">
        <v>0</v>
      </c>
      <c r="I141">
        <v>0</v>
      </c>
      <c r="J141">
        <v>0.26475993535525028</v>
      </c>
      <c r="K141">
        <v>9.7604194208223698E-140</v>
      </c>
      <c r="L141">
        <v>1.212875648616897E-139</v>
      </c>
      <c r="M141">
        <v>0.1785211540121148</v>
      </c>
      <c r="N141">
        <v>7.0545515886041455E-138</v>
      </c>
      <c r="O141">
        <v>8.7663177828977981E-138</v>
      </c>
      <c r="P141">
        <v>0.15861665540420761</v>
      </c>
      <c r="Q141">
        <v>0.97046562407314452</v>
      </c>
      <c r="R141">
        <v>-3.4779933806807839</v>
      </c>
      <c r="S141">
        <v>0.29428987872392892</v>
      </c>
      <c r="T141">
        <v>0.2332385073246126</v>
      </c>
      <c r="U141">
        <v>4.4782817893529154</v>
      </c>
      <c r="V141">
        <v>0.1316732403778659</v>
      </c>
      <c r="W141">
        <v>0.86802515079899034</v>
      </c>
      <c r="X141">
        <v>0.32085091761199269</v>
      </c>
      <c r="Z141" t="s">
        <v>392</v>
      </c>
      <c r="AA141">
        <v>9937</v>
      </c>
      <c r="AB141" t="s">
        <v>532</v>
      </c>
      <c r="AC141" t="str">
        <f>HYPERLINK("plots/20251231000436_3FT6Y121H01_04823_B11P_N_UFLEX98_M5358A8BH101511/dpll_52046/txpa_54173.png","plot")</f>
        <v>plot</v>
      </c>
    </row>
    <row r="142" spans="1:29" x14ac:dyDescent="0.35">
      <c r="A142" t="s">
        <v>46</v>
      </c>
      <c r="B142">
        <v>52046</v>
      </c>
      <c r="C142" t="s">
        <v>51</v>
      </c>
      <c r="D142">
        <v>54174</v>
      </c>
      <c r="E142" t="s">
        <v>194</v>
      </c>
      <c r="F142">
        <v>8716</v>
      </c>
      <c r="G142">
        <v>0.42145376720731109</v>
      </c>
      <c r="H142">
        <v>0</v>
      </c>
      <c r="I142">
        <v>0</v>
      </c>
      <c r="J142">
        <v>0.31963122078285189</v>
      </c>
      <c r="K142">
        <v>3.2053854442891308E-206</v>
      </c>
      <c r="L142">
        <v>4.8656599408820051E-206</v>
      </c>
      <c r="M142">
        <v>0.21640825760713431</v>
      </c>
      <c r="N142">
        <v>1.192742430237839E-201</v>
      </c>
      <c r="O142">
        <v>1.79176418409062E-201</v>
      </c>
      <c r="P142">
        <v>0.1776232778932344</v>
      </c>
      <c r="Q142">
        <v>0.95034787826548051</v>
      </c>
      <c r="R142">
        <v>-3.7408465720183539</v>
      </c>
      <c r="S142">
        <v>0.26924068200733781</v>
      </c>
      <c r="T142">
        <v>0.21178937228092151</v>
      </c>
      <c r="U142">
        <v>4.4782817893529154</v>
      </c>
      <c r="V142">
        <v>0.1316732403778659</v>
      </c>
      <c r="W142">
        <v>0.51507902476812761</v>
      </c>
      <c r="X142">
        <v>0.29691366966923322</v>
      </c>
      <c r="Z142" t="s">
        <v>392</v>
      </c>
      <c r="AA142">
        <v>9937</v>
      </c>
      <c r="AB142" t="s">
        <v>533</v>
      </c>
      <c r="AC142" t="str">
        <f>HYPERLINK("plots/20251231000436_3FT6Y121H01_04823_B11P_N_UFLEX98_M5358A8BH101511/dpll_52046/txpa_54174.png","plot")</f>
        <v>plot</v>
      </c>
    </row>
    <row r="143" spans="1:29" x14ac:dyDescent="0.35">
      <c r="A143" t="s">
        <v>46</v>
      </c>
      <c r="B143">
        <v>52046</v>
      </c>
      <c r="C143" t="s">
        <v>51</v>
      </c>
      <c r="D143">
        <v>54175</v>
      </c>
      <c r="E143" t="s">
        <v>195</v>
      </c>
      <c r="F143">
        <v>8716</v>
      </c>
      <c r="G143">
        <v>0.42389287594689212</v>
      </c>
      <c r="H143">
        <v>0</v>
      </c>
      <c r="I143">
        <v>0</v>
      </c>
      <c r="J143">
        <v>0.30270778999165349</v>
      </c>
      <c r="K143">
        <v>3.9542845618475652E-184</v>
      </c>
      <c r="L143">
        <v>5.5922518071317025E-184</v>
      </c>
      <c r="M143">
        <v>0.20357657402315191</v>
      </c>
      <c r="N143">
        <v>1.101383431105728E-178</v>
      </c>
      <c r="O143">
        <v>1.544678836986457E-178</v>
      </c>
      <c r="P143">
        <v>0.17968517027852721</v>
      </c>
      <c r="Q143">
        <v>0.89938107054745375</v>
      </c>
      <c r="R143">
        <v>-3.304414397207073</v>
      </c>
      <c r="S143">
        <v>0.25301747338535407</v>
      </c>
      <c r="T143">
        <v>0.19740503224161141</v>
      </c>
      <c r="U143">
        <v>4.4782817893529154</v>
      </c>
      <c r="V143">
        <v>0.1316732403778659</v>
      </c>
      <c r="W143">
        <v>0.72326747271431857</v>
      </c>
      <c r="X143">
        <v>0.27937346111080708</v>
      </c>
      <c r="Z143" t="s">
        <v>392</v>
      </c>
      <c r="AA143">
        <v>9937</v>
      </c>
      <c r="AB143" t="s">
        <v>534</v>
      </c>
      <c r="AC143" t="str">
        <f>HYPERLINK("plots/20251231000436_3FT6Y121H01_04823_B11P_N_UFLEX98_M5358A8BH101511/dpll_52046/txpa_54175.png","plot")</f>
        <v>plot</v>
      </c>
    </row>
    <row r="144" spans="1:29" x14ac:dyDescent="0.35">
      <c r="A144" t="s">
        <v>46</v>
      </c>
      <c r="B144">
        <v>52046</v>
      </c>
      <c r="C144" t="s">
        <v>51</v>
      </c>
      <c r="D144">
        <v>54176</v>
      </c>
      <c r="E144" t="s">
        <v>196</v>
      </c>
      <c r="F144">
        <v>8716</v>
      </c>
      <c r="G144">
        <v>0.44855188818705788</v>
      </c>
      <c r="H144">
        <v>0</v>
      </c>
      <c r="I144">
        <v>0</v>
      </c>
      <c r="J144">
        <v>0.33124490552911201</v>
      </c>
      <c r="K144">
        <v>3.1042909936815627E-222</v>
      </c>
      <c r="L144">
        <v>4.88781221675948E-222</v>
      </c>
      <c r="M144">
        <v>0.22318643854829839</v>
      </c>
      <c r="N144">
        <v>2.4041970524813271E-214</v>
      </c>
      <c r="O144">
        <v>3.7105872316835099E-214</v>
      </c>
      <c r="P144">
        <v>0.20119879639617491</v>
      </c>
      <c r="Q144">
        <v>0.89998998923837747</v>
      </c>
      <c r="R144">
        <v>-3.3859165328671428</v>
      </c>
      <c r="S144">
        <v>0.23611139825866831</v>
      </c>
      <c r="T144">
        <v>0.1835305162382018</v>
      </c>
      <c r="U144">
        <v>4.4782817893529154</v>
      </c>
      <c r="V144">
        <v>0.1316732403778659</v>
      </c>
      <c r="W144">
        <v>0.64449224653900872</v>
      </c>
      <c r="X144">
        <v>0.26419373390584933</v>
      </c>
      <c r="Z144" t="s">
        <v>392</v>
      </c>
      <c r="AA144">
        <v>9937</v>
      </c>
      <c r="AB144" t="s">
        <v>535</v>
      </c>
      <c r="AC144" t="str">
        <f>HYPERLINK("plots/20251231000436_3FT6Y121H01_04823_B11P_N_UFLEX98_M5358A8BH101511/dpll_52046/txpa_54176.png","plot")</f>
        <v>plot</v>
      </c>
    </row>
    <row r="145" spans="1:29" x14ac:dyDescent="0.35">
      <c r="A145" t="s">
        <v>46</v>
      </c>
      <c r="B145">
        <v>52046</v>
      </c>
      <c r="C145" t="s">
        <v>51</v>
      </c>
      <c r="D145">
        <v>54177</v>
      </c>
      <c r="E145" t="s">
        <v>197</v>
      </c>
      <c r="F145">
        <v>8716</v>
      </c>
      <c r="G145">
        <v>0.41159441212033959</v>
      </c>
      <c r="H145">
        <v>0</v>
      </c>
      <c r="I145">
        <v>0</v>
      </c>
      <c r="J145">
        <v>0.26120187631945008</v>
      </c>
      <c r="K145">
        <v>6.3029309077666933E-136</v>
      </c>
      <c r="L145">
        <v>7.7657010212338112E-136</v>
      </c>
      <c r="M145">
        <v>0.17588450224638749</v>
      </c>
      <c r="N145">
        <v>6.8013204246902815E-134</v>
      </c>
      <c r="O145">
        <v>8.339224801252655E-134</v>
      </c>
      <c r="P145">
        <v>0.169409960088688</v>
      </c>
      <c r="Q145">
        <v>0.9376209273595878</v>
      </c>
      <c r="R145">
        <v>-3.386053922920087</v>
      </c>
      <c r="S145">
        <v>0.27335296550834709</v>
      </c>
      <c r="T145">
        <v>0.21819350092122661</v>
      </c>
      <c r="U145">
        <v>4.4782817893529154</v>
      </c>
      <c r="V145">
        <v>0.1316732403778659</v>
      </c>
      <c r="W145">
        <v>0.81287680139054608</v>
      </c>
      <c r="X145">
        <v>0.29995447488106369</v>
      </c>
      <c r="Z145" t="s">
        <v>392</v>
      </c>
      <c r="AA145">
        <v>9937</v>
      </c>
      <c r="AB145" t="s">
        <v>536</v>
      </c>
      <c r="AC145" t="str">
        <f>HYPERLINK("plots/20251231000436_3FT6Y121H01_04823_B11P_N_UFLEX98_M5358A8BH101511/dpll_52046/txpa_54177.png","plot")</f>
        <v>plot</v>
      </c>
    </row>
    <row r="146" spans="1:29" x14ac:dyDescent="0.35">
      <c r="A146" t="s">
        <v>46</v>
      </c>
      <c r="B146">
        <v>52046</v>
      </c>
      <c r="C146" t="s">
        <v>51</v>
      </c>
      <c r="D146">
        <v>54178</v>
      </c>
      <c r="E146" t="s">
        <v>198</v>
      </c>
      <c r="F146">
        <v>8716</v>
      </c>
      <c r="G146">
        <v>0.27743648399293552</v>
      </c>
      <c r="H146">
        <v>8.5372304417401433E-154</v>
      </c>
      <c r="I146">
        <v>9.6507822384888571E-154</v>
      </c>
      <c r="J146">
        <v>0.2579399654847791</v>
      </c>
      <c r="K146">
        <v>1.7408487306221909E-132</v>
      </c>
      <c r="L146">
        <v>2.1319089527184811E-132</v>
      </c>
      <c r="M146">
        <v>0.17313012563469199</v>
      </c>
      <c r="N146">
        <v>8.5558699956353616E-130</v>
      </c>
      <c r="O146">
        <v>1.04274665571806E-129</v>
      </c>
      <c r="P146">
        <v>7.6971002650362372E-2</v>
      </c>
      <c r="Q146">
        <v>0.7227349789480223</v>
      </c>
      <c r="R146">
        <v>-3.1380683059900458</v>
      </c>
      <c r="S146">
        <v>0.32953062569432018</v>
      </c>
      <c r="T146">
        <v>0.2455064790745636</v>
      </c>
      <c r="U146">
        <v>4.4782817893529154</v>
      </c>
      <c r="V146">
        <v>0.1316732403778659</v>
      </c>
      <c r="W146">
        <v>9.8542588761243693E-2</v>
      </c>
      <c r="X146">
        <v>0.34301493171654401</v>
      </c>
      <c r="Z146" t="s">
        <v>392</v>
      </c>
      <c r="AA146">
        <v>9937</v>
      </c>
      <c r="AB146" t="s">
        <v>537</v>
      </c>
      <c r="AC146" t="str">
        <f>HYPERLINK("plots/20251231000436_3FT6Y121H01_04823_B11P_N_UFLEX98_M5358A8BH101511/dpll_52046/txpa_54178.png","plot")</f>
        <v>plot</v>
      </c>
    </row>
    <row r="147" spans="1:29" x14ac:dyDescent="0.35">
      <c r="A147" t="s">
        <v>46</v>
      </c>
      <c r="B147">
        <v>52046</v>
      </c>
      <c r="C147" t="s">
        <v>51</v>
      </c>
      <c r="D147">
        <v>54179</v>
      </c>
      <c r="E147" t="s">
        <v>199</v>
      </c>
      <c r="F147">
        <v>8716</v>
      </c>
      <c r="G147">
        <v>0.29881945476067379</v>
      </c>
      <c r="H147">
        <v>2.942054703584667E-179</v>
      </c>
      <c r="I147">
        <v>3.359508411525735E-179</v>
      </c>
      <c r="J147">
        <v>0.26512214998245381</v>
      </c>
      <c r="K147">
        <v>3.9653678825307318E-140</v>
      </c>
      <c r="L147">
        <v>4.9335988133572548E-140</v>
      </c>
      <c r="M147">
        <v>0.17796028193521771</v>
      </c>
      <c r="N147">
        <v>5.0039725447721788E-137</v>
      </c>
      <c r="O147">
        <v>6.1878392199987673E-137</v>
      </c>
      <c r="P147">
        <v>8.9293066543466401E-2</v>
      </c>
      <c r="Q147">
        <v>0.73155069261855288</v>
      </c>
      <c r="R147">
        <v>9.9799648855804168E-2</v>
      </c>
      <c r="S147">
        <v>0.30760790126616722</v>
      </c>
      <c r="T147">
        <v>0.22794368882496499</v>
      </c>
      <c r="U147">
        <v>4.4782817893529154</v>
      </c>
      <c r="V147">
        <v>0.1316732403778659</v>
      </c>
      <c r="W147">
        <v>3.375889793597981</v>
      </c>
      <c r="X147">
        <v>0.3223540123078828</v>
      </c>
      <c r="Z147" t="s">
        <v>392</v>
      </c>
      <c r="AA147">
        <v>9937</v>
      </c>
      <c r="AB147" t="s">
        <v>538</v>
      </c>
      <c r="AC147" t="str">
        <f>HYPERLINK("plots/20251231000436_3FT6Y121H01_04823_B11P_N_UFLEX98_M5358A8BH101511/dpll_52046/txpa_54179.png","plot")</f>
        <v>plot</v>
      </c>
    </row>
    <row r="148" spans="1:29" x14ac:dyDescent="0.35">
      <c r="A148" t="s">
        <v>46</v>
      </c>
      <c r="B148">
        <v>52046</v>
      </c>
      <c r="C148" t="s">
        <v>51</v>
      </c>
      <c r="D148">
        <v>54180</v>
      </c>
      <c r="E148" t="s">
        <v>200</v>
      </c>
      <c r="F148">
        <v>8716</v>
      </c>
      <c r="G148">
        <v>0.43132035906825172</v>
      </c>
      <c r="H148">
        <v>0</v>
      </c>
      <c r="I148">
        <v>0</v>
      </c>
      <c r="J148">
        <v>0.34689797649970111</v>
      </c>
      <c r="K148">
        <v>5.9550894477408738E-245</v>
      </c>
      <c r="L148">
        <v>1.0047355574058651E-244</v>
      </c>
      <c r="M148">
        <v>0.23615139270481561</v>
      </c>
      <c r="N148">
        <v>1.007480516516689E-239</v>
      </c>
      <c r="O148">
        <v>1.685784230607132E-239</v>
      </c>
      <c r="P148">
        <v>0.18603725214676561</v>
      </c>
      <c r="Q148">
        <v>0.97208244420839129</v>
      </c>
      <c r="R148">
        <v>-0.64715996044755908</v>
      </c>
      <c r="S148">
        <v>0.26771827293304401</v>
      </c>
      <c r="T148">
        <v>0.20648257270031731</v>
      </c>
      <c r="U148">
        <v>4.4782817893529154</v>
      </c>
      <c r="V148">
        <v>0.1316732403778659</v>
      </c>
      <c r="W148">
        <v>3.70609914720055</v>
      </c>
      <c r="X148">
        <v>0.29675679028891111</v>
      </c>
      <c r="Z148" t="s">
        <v>392</v>
      </c>
      <c r="AA148">
        <v>9937</v>
      </c>
      <c r="AB148" t="s">
        <v>539</v>
      </c>
      <c r="AC148" t="str">
        <f>HYPERLINK("plots/20251231000436_3FT6Y121H01_04823_B11P_N_UFLEX98_M5358A8BH101511/dpll_52046/txpa_54180.png","plot")</f>
        <v>plot</v>
      </c>
    </row>
    <row r="149" spans="1:29" x14ac:dyDescent="0.35">
      <c r="A149" t="s">
        <v>46</v>
      </c>
      <c r="B149">
        <v>52046</v>
      </c>
      <c r="C149" t="s">
        <v>51</v>
      </c>
      <c r="D149">
        <v>54181</v>
      </c>
      <c r="E149" t="s">
        <v>201</v>
      </c>
      <c r="F149">
        <v>8716</v>
      </c>
      <c r="G149">
        <v>0.44535841336135801</v>
      </c>
      <c r="H149">
        <v>0</v>
      </c>
      <c r="I149">
        <v>0</v>
      </c>
      <c r="J149">
        <v>0.31455217226021331</v>
      </c>
      <c r="K149">
        <v>1.9460171318406949E-199</v>
      </c>
      <c r="L149">
        <v>2.8806735353087082E-199</v>
      </c>
      <c r="M149">
        <v>0.21307390863521861</v>
      </c>
      <c r="N149">
        <v>1.496991169536801E-195</v>
      </c>
      <c r="O149">
        <v>2.20311907969567E-195</v>
      </c>
      <c r="P149">
        <v>0.1983441163517462</v>
      </c>
      <c r="Q149">
        <v>1.0502524674844551</v>
      </c>
      <c r="R149">
        <v>-0.72328472755960904</v>
      </c>
      <c r="S149">
        <v>0.27800374729491611</v>
      </c>
      <c r="T149">
        <v>0.21466617266409871</v>
      </c>
      <c r="U149">
        <v>4.4782817893529154</v>
      </c>
      <c r="V149">
        <v>0.1316732403778659</v>
      </c>
      <c r="W149">
        <v>3.98004177179899</v>
      </c>
      <c r="X149">
        <v>0.31051427672552068</v>
      </c>
      <c r="Z149" t="s">
        <v>392</v>
      </c>
      <c r="AA149">
        <v>9937</v>
      </c>
      <c r="AB149" t="s">
        <v>540</v>
      </c>
      <c r="AC149" t="str">
        <f>HYPERLINK("plots/20251231000436_3FT6Y121H01_04823_B11P_N_UFLEX98_M5358A8BH101511/dpll_52046/txpa_54181.png","plot")</f>
        <v>plot</v>
      </c>
    </row>
    <row r="150" spans="1:29" x14ac:dyDescent="0.35">
      <c r="A150" t="s">
        <v>46</v>
      </c>
      <c r="B150">
        <v>52046</v>
      </c>
      <c r="C150" t="s">
        <v>51</v>
      </c>
      <c r="D150">
        <v>54182</v>
      </c>
      <c r="E150" t="s">
        <v>202</v>
      </c>
      <c r="F150">
        <v>8716</v>
      </c>
      <c r="G150">
        <v>0.465713825204779</v>
      </c>
      <c r="H150">
        <v>0</v>
      </c>
      <c r="I150">
        <v>0</v>
      </c>
      <c r="J150">
        <v>0.35755315203239141</v>
      </c>
      <c r="K150">
        <v>3.518791850739881E-261</v>
      </c>
      <c r="L150">
        <v>6.3151414807968836E-261</v>
      </c>
      <c r="M150">
        <v>0.24367079875389769</v>
      </c>
      <c r="N150">
        <v>4.2803666552985043E-255</v>
      </c>
      <c r="O150">
        <v>7.4961861631652563E-255</v>
      </c>
      <c r="P150">
        <v>0.21688936698686739</v>
      </c>
      <c r="Q150">
        <v>1.0319772556134841</v>
      </c>
      <c r="R150">
        <v>-0.9474330390688066</v>
      </c>
      <c r="S150">
        <v>0.25818747115317919</v>
      </c>
      <c r="T150">
        <v>0.19964859294933479</v>
      </c>
      <c r="U150">
        <v>4.4782817893529154</v>
      </c>
      <c r="V150">
        <v>0.1316732403778659</v>
      </c>
      <c r="W150">
        <v>3.6740519117714552</v>
      </c>
      <c r="X150">
        <v>0.29177529609118902</v>
      </c>
      <c r="Z150" t="s">
        <v>392</v>
      </c>
      <c r="AA150">
        <v>9937</v>
      </c>
      <c r="AB150" t="s">
        <v>541</v>
      </c>
      <c r="AC150" t="str">
        <f>HYPERLINK("plots/20251231000436_3FT6Y121H01_04823_B11P_N_UFLEX98_M5358A8BH101511/dpll_52046/txpa_54182.png","plot")</f>
        <v>plot</v>
      </c>
    </row>
    <row r="151" spans="1:29" x14ac:dyDescent="0.35">
      <c r="A151" t="s">
        <v>46</v>
      </c>
      <c r="B151">
        <v>52046</v>
      </c>
      <c r="C151" t="s">
        <v>51</v>
      </c>
      <c r="D151">
        <v>54183</v>
      </c>
      <c r="E151" t="s">
        <v>203</v>
      </c>
      <c r="F151">
        <v>8716</v>
      </c>
      <c r="G151">
        <v>0.47419984636337381</v>
      </c>
      <c r="H151">
        <v>0</v>
      </c>
      <c r="I151">
        <v>0</v>
      </c>
      <c r="J151">
        <v>0.34699010231842858</v>
      </c>
      <c r="K151">
        <v>4.3377100582058411E-245</v>
      </c>
      <c r="L151">
        <v>7.330729998367872E-245</v>
      </c>
      <c r="M151">
        <v>0.23497939080026159</v>
      </c>
      <c r="N151">
        <v>2.269127515685144E-237</v>
      </c>
      <c r="O151">
        <v>3.7657860898604509E-237</v>
      </c>
      <c r="P151">
        <v>0.2248654942910473</v>
      </c>
      <c r="Q151">
        <v>0.99134143911765027</v>
      </c>
      <c r="R151">
        <v>-0.57821641617200736</v>
      </c>
      <c r="S151">
        <v>0.24233882341999841</v>
      </c>
      <c r="T151">
        <v>0.18515802616373081</v>
      </c>
      <c r="U151">
        <v>4.4782817893529154</v>
      </c>
      <c r="V151">
        <v>0.1316732403778659</v>
      </c>
      <c r="W151">
        <v>3.8612898976594772</v>
      </c>
      <c r="X151">
        <v>0.27527031189599321</v>
      </c>
      <c r="Z151" t="s">
        <v>392</v>
      </c>
      <c r="AA151">
        <v>9937</v>
      </c>
      <c r="AB151" t="s">
        <v>542</v>
      </c>
      <c r="AC151" t="str">
        <f>HYPERLINK("plots/20251231000436_3FT6Y121H01_04823_B11P_N_UFLEX98_M5358A8BH101511/dpll_52046/txpa_54183.png","plot")</f>
        <v>plot</v>
      </c>
    </row>
    <row r="152" spans="1:29" x14ac:dyDescent="0.35">
      <c r="A152" t="s">
        <v>46</v>
      </c>
      <c r="B152">
        <v>52046</v>
      </c>
      <c r="C152" t="s">
        <v>51</v>
      </c>
      <c r="D152">
        <v>54184</v>
      </c>
      <c r="E152" t="s">
        <v>204</v>
      </c>
      <c r="F152">
        <v>8715</v>
      </c>
      <c r="G152">
        <v>0.49649632803489369</v>
      </c>
      <c r="H152">
        <v>0</v>
      </c>
      <c r="I152">
        <v>0</v>
      </c>
      <c r="J152">
        <v>0.3747431164518229</v>
      </c>
      <c r="K152">
        <v>1.1188707356992261E-288</v>
      </c>
      <c r="L152">
        <v>2.1776102226468629E-288</v>
      </c>
      <c r="M152">
        <v>0.25485419682185217</v>
      </c>
      <c r="N152">
        <v>8.1924314224548674E-279</v>
      </c>
      <c r="O152">
        <v>1.5440753647526459E-278</v>
      </c>
      <c r="P152">
        <v>0.24650860375213279</v>
      </c>
      <c r="Q152">
        <v>0.98538532438581938</v>
      </c>
      <c r="R152">
        <v>-0.62567402318790544</v>
      </c>
      <c r="S152">
        <v>0.2267785149408128</v>
      </c>
      <c r="T152">
        <v>0.1722968922774287</v>
      </c>
      <c r="U152">
        <v>4.4783155982788294</v>
      </c>
      <c r="V152">
        <v>0.13164295642035209</v>
      </c>
      <c r="W152">
        <v>3.7871924453241541</v>
      </c>
      <c r="X152">
        <v>0.26126887549963979</v>
      </c>
      <c r="Z152" t="s">
        <v>392</v>
      </c>
      <c r="AA152">
        <v>9937</v>
      </c>
      <c r="AB152" t="s">
        <v>543</v>
      </c>
      <c r="AC152" t="str">
        <f>HYPERLINK("plots/20251231000436_3FT6Y121H01_04823_B11P_N_UFLEX98_M5358A8BH101511/dpll_52046/txpa_54184.png","plot")</f>
        <v>plot</v>
      </c>
    </row>
    <row r="153" spans="1:29" x14ac:dyDescent="0.35">
      <c r="A153" t="s">
        <v>46</v>
      </c>
      <c r="B153">
        <v>52046</v>
      </c>
      <c r="C153" t="s">
        <v>51</v>
      </c>
      <c r="D153">
        <v>54185</v>
      </c>
      <c r="E153" t="s">
        <v>205</v>
      </c>
      <c r="F153">
        <v>8716</v>
      </c>
      <c r="G153">
        <v>0.46157967399586441</v>
      </c>
      <c r="H153">
        <v>0</v>
      </c>
      <c r="I153">
        <v>0</v>
      </c>
      <c r="J153">
        <v>0.30987176605354139</v>
      </c>
      <c r="K153">
        <v>2.649026715813552E-193</v>
      </c>
      <c r="L153">
        <v>3.8704799565344982E-193</v>
      </c>
      <c r="M153">
        <v>0.20957766159158689</v>
      </c>
      <c r="N153">
        <v>2.969785779247946E-189</v>
      </c>
      <c r="O153">
        <v>4.3266706611457148E-189</v>
      </c>
      <c r="P153">
        <v>0.2130557954461284</v>
      </c>
      <c r="Q153">
        <v>1.016716533558041</v>
      </c>
      <c r="R153">
        <v>-0.61371365127897359</v>
      </c>
      <c r="S153">
        <v>0.2572751196627171</v>
      </c>
      <c r="T153">
        <v>0.20052390973532799</v>
      </c>
      <c r="U153">
        <v>4.4782817893529154</v>
      </c>
      <c r="V153">
        <v>0.1316732403778659</v>
      </c>
      <c r="W153">
        <v>3.9394294858880219</v>
      </c>
      <c r="X153">
        <v>0.29003521615325267</v>
      </c>
      <c r="Z153" t="s">
        <v>392</v>
      </c>
      <c r="AA153">
        <v>9937</v>
      </c>
      <c r="AB153" t="s">
        <v>544</v>
      </c>
      <c r="AC153" t="str">
        <f>HYPERLINK("plots/20251231000436_3FT6Y121H01_04823_B11P_N_UFLEX98_M5358A8BH101511/dpll_52046/txpa_54185.png","plot")</f>
        <v>plot</v>
      </c>
    </row>
    <row r="154" spans="1:29" x14ac:dyDescent="0.35">
      <c r="A154" t="s">
        <v>46</v>
      </c>
      <c r="B154">
        <v>52046</v>
      </c>
      <c r="C154" t="s">
        <v>51</v>
      </c>
      <c r="D154">
        <v>54186</v>
      </c>
      <c r="E154" t="s">
        <v>206</v>
      </c>
      <c r="F154">
        <v>8716</v>
      </c>
      <c r="G154">
        <v>0.32974892150641821</v>
      </c>
      <c r="H154">
        <v>3.9306100630713097E-220</v>
      </c>
      <c r="I154">
        <v>4.5811937976486312E-220</v>
      </c>
      <c r="J154">
        <v>0.29479771218581913</v>
      </c>
      <c r="K154">
        <v>2.681627858853827E-174</v>
      </c>
      <c r="L154">
        <v>3.6945253381491582E-174</v>
      </c>
      <c r="M154">
        <v>0.2007198925439026</v>
      </c>
      <c r="N154">
        <v>9.1530110209641735E-174</v>
      </c>
      <c r="O154">
        <v>1.261026246638271E-173</v>
      </c>
      <c r="P154">
        <v>0.10873435123464591</v>
      </c>
      <c r="Q154">
        <v>0.81227379411174316</v>
      </c>
      <c r="R154">
        <v>-0.3207204062934168</v>
      </c>
      <c r="S154">
        <v>0.30619299492162488</v>
      </c>
      <c r="T154">
        <v>0.22669783412090641</v>
      </c>
      <c r="U154">
        <v>4.4782817893529154</v>
      </c>
      <c r="V154">
        <v>0.1316732403778659</v>
      </c>
      <c r="W154">
        <v>3.3168705338458011</v>
      </c>
      <c r="X154">
        <v>0.32435200108041912</v>
      </c>
      <c r="Z154" t="s">
        <v>392</v>
      </c>
      <c r="AA154">
        <v>9937</v>
      </c>
      <c r="AB154" t="s">
        <v>545</v>
      </c>
      <c r="AC154" t="str">
        <f>HYPERLINK("plots/20251231000436_3FT6Y121H01_04823_B11P_N_UFLEX98_M5358A8BH101511/dpll_52046/txpa_54186.png","plot")</f>
        <v>plot</v>
      </c>
    </row>
    <row r="155" spans="1:29" x14ac:dyDescent="0.35">
      <c r="A155" t="s">
        <v>46</v>
      </c>
      <c r="B155">
        <v>52046</v>
      </c>
      <c r="C155" t="s">
        <v>51</v>
      </c>
      <c r="D155">
        <v>54187</v>
      </c>
      <c r="E155" t="s">
        <v>207</v>
      </c>
      <c r="F155">
        <v>8716</v>
      </c>
      <c r="G155">
        <v>0.34085019092517471</v>
      </c>
      <c r="H155">
        <v>5.1111545850974901E-236</v>
      </c>
      <c r="I155">
        <v>6.0901418910562326E-236</v>
      </c>
      <c r="J155">
        <v>0.29862783657262298</v>
      </c>
      <c r="K155">
        <v>5.0907072275154897E-179</v>
      </c>
      <c r="L155">
        <v>7.1003811949115628E-179</v>
      </c>
      <c r="M155">
        <v>0.20312866709077931</v>
      </c>
      <c r="N155">
        <v>6.5231712502764196E-178</v>
      </c>
      <c r="O155">
        <v>9.1234422728003997E-178</v>
      </c>
      <c r="P155">
        <v>0.116178852653728</v>
      </c>
      <c r="Q155">
        <v>0.8178619032583867</v>
      </c>
      <c r="R155">
        <v>1.484239787985457</v>
      </c>
      <c r="S155">
        <v>0.29701011498663238</v>
      </c>
      <c r="T155">
        <v>0.21667928809698939</v>
      </c>
      <c r="U155">
        <v>4.4782817893529154</v>
      </c>
      <c r="V155">
        <v>0.1316732403778659</v>
      </c>
      <c r="W155">
        <v>5.1468558555530057</v>
      </c>
      <c r="X155">
        <v>0.31594679965217132</v>
      </c>
      <c r="Z155" t="s">
        <v>392</v>
      </c>
      <c r="AA155">
        <v>9937</v>
      </c>
      <c r="AB155" t="s">
        <v>546</v>
      </c>
      <c r="AC155" t="str">
        <f>HYPERLINK("plots/20251231000436_3FT6Y121H01_04823_B11P_N_UFLEX98_M5358A8BH101511/dpll_52046/txpa_54187.png","plot")</f>
        <v>plot</v>
      </c>
    </row>
    <row r="156" spans="1:29" x14ac:dyDescent="0.35">
      <c r="A156" t="s">
        <v>46</v>
      </c>
      <c r="B156">
        <v>52046</v>
      </c>
      <c r="C156" t="s">
        <v>51</v>
      </c>
      <c r="D156">
        <v>54188</v>
      </c>
      <c r="E156" t="s">
        <v>208</v>
      </c>
      <c r="F156">
        <v>8716</v>
      </c>
      <c r="G156">
        <v>0.46015064780037851</v>
      </c>
      <c r="H156">
        <v>0</v>
      </c>
      <c r="I156">
        <v>0</v>
      </c>
      <c r="J156">
        <v>0.37136067288837121</v>
      </c>
      <c r="K156">
        <v>3.691200185048681E-283</v>
      </c>
      <c r="L156">
        <v>6.9699757684159458E-283</v>
      </c>
      <c r="M156">
        <v>0.25425527541010451</v>
      </c>
      <c r="N156">
        <v>1.507139489038688E-277</v>
      </c>
      <c r="O156">
        <v>2.8300730405282028E-277</v>
      </c>
      <c r="P156">
        <v>0.21173861867110799</v>
      </c>
      <c r="Q156">
        <v>1.04670935958787</v>
      </c>
      <c r="R156">
        <v>0.75738565450059792</v>
      </c>
      <c r="S156">
        <v>0.26590946923146258</v>
      </c>
      <c r="T156">
        <v>0.20158998045384069</v>
      </c>
      <c r="U156">
        <v>4.4782817893529154</v>
      </c>
      <c r="V156">
        <v>0.1316732403778659</v>
      </c>
      <c r="W156">
        <v>5.4448451182882058</v>
      </c>
      <c r="X156">
        <v>0.29951845937760352</v>
      </c>
      <c r="Z156" t="s">
        <v>392</v>
      </c>
      <c r="AA156">
        <v>9937</v>
      </c>
      <c r="AB156" t="s">
        <v>547</v>
      </c>
      <c r="AC156" t="str">
        <f>HYPERLINK("plots/20251231000436_3FT6Y121H01_04823_B11P_N_UFLEX98_M5358A8BH101511/dpll_52046/txpa_54188.png","plot")</f>
        <v>plot</v>
      </c>
    </row>
    <row r="157" spans="1:29" x14ac:dyDescent="0.35">
      <c r="A157" t="s">
        <v>46</v>
      </c>
      <c r="B157">
        <v>52046</v>
      </c>
      <c r="C157" t="s">
        <v>51</v>
      </c>
      <c r="D157">
        <v>54189</v>
      </c>
      <c r="E157" t="s">
        <v>209</v>
      </c>
      <c r="F157">
        <v>8713</v>
      </c>
      <c r="G157">
        <v>0.47281263662844358</v>
      </c>
      <c r="H157">
        <v>0</v>
      </c>
      <c r="I157">
        <v>0</v>
      </c>
      <c r="J157">
        <v>0.35286878967942148</v>
      </c>
      <c r="K157">
        <v>7.0016040885758146E-254</v>
      </c>
      <c r="L157">
        <v>1.2094764132565381E-253</v>
      </c>
      <c r="M157">
        <v>0.24043988760406881</v>
      </c>
      <c r="N157">
        <v>2.3917270510062371E-248</v>
      </c>
      <c r="O157">
        <v>4.069146358591148E-248</v>
      </c>
      <c r="P157">
        <v>0.2235517893555406</v>
      </c>
      <c r="Q157">
        <v>1.1136601110261479</v>
      </c>
      <c r="R157">
        <v>0.70082437625523841</v>
      </c>
      <c r="S157">
        <v>0.27295411539149023</v>
      </c>
      <c r="T157">
        <v>0.2050049393663089</v>
      </c>
      <c r="U157">
        <v>4.4784062690232993</v>
      </c>
      <c r="V157">
        <v>0.13152088857069821</v>
      </c>
      <c r="W157">
        <v>5.6882467990359231</v>
      </c>
      <c r="X157">
        <v>0.30978352950199051</v>
      </c>
      <c r="Z157" t="s">
        <v>392</v>
      </c>
      <c r="AA157">
        <v>9937</v>
      </c>
      <c r="AB157" t="s">
        <v>548</v>
      </c>
      <c r="AC157" t="str">
        <f>HYPERLINK("plots/20251231000436_3FT6Y121H01_04823_B11P_N_UFLEX98_M5358A8BH101511/dpll_52046/txpa_54189.png","plot")</f>
        <v>plot</v>
      </c>
    </row>
    <row r="158" spans="1:29" x14ac:dyDescent="0.35">
      <c r="A158" t="s">
        <v>46</v>
      </c>
      <c r="B158">
        <v>52046</v>
      </c>
      <c r="C158" t="s">
        <v>51</v>
      </c>
      <c r="D158">
        <v>54190</v>
      </c>
      <c r="E158" t="s">
        <v>210</v>
      </c>
      <c r="F158">
        <v>8715</v>
      </c>
      <c r="G158">
        <v>0.49257924648305351</v>
      </c>
      <c r="H158">
        <v>0</v>
      </c>
      <c r="I158">
        <v>0</v>
      </c>
      <c r="J158">
        <v>0.38337060756515817</v>
      </c>
      <c r="K158">
        <v>3.8656866401395552E-303</v>
      </c>
      <c r="L158">
        <v>7.9833121244429923E-303</v>
      </c>
      <c r="M158">
        <v>0.26287215314028339</v>
      </c>
      <c r="N158">
        <v>1.7004490501783661E-296</v>
      </c>
      <c r="O158">
        <v>3.4416274189238791E-296</v>
      </c>
      <c r="P158">
        <v>0.24263431406581279</v>
      </c>
      <c r="Q158">
        <v>1.101864919577956</v>
      </c>
      <c r="R158">
        <v>0.47884220909175568</v>
      </c>
      <c r="S158">
        <v>0.25625819801662753</v>
      </c>
      <c r="T158">
        <v>0.19445019005001021</v>
      </c>
      <c r="U158">
        <v>4.4783155982788294</v>
      </c>
      <c r="V158">
        <v>0.13164295642035209</v>
      </c>
      <c r="W158">
        <v>5.413341065633964</v>
      </c>
      <c r="X158">
        <v>0.29447597848421719</v>
      </c>
      <c r="Z158" t="s">
        <v>392</v>
      </c>
      <c r="AA158">
        <v>9937</v>
      </c>
      <c r="AB158" t="s">
        <v>549</v>
      </c>
      <c r="AC158" t="str">
        <f>HYPERLINK("plots/20251231000436_3FT6Y121H01_04823_B11P_N_UFLEX98_M5358A8BH101511/dpll_52046/txpa_54190.png","plot")</f>
        <v>plot</v>
      </c>
    </row>
    <row r="159" spans="1:29" x14ac:dyDescent="0.35">
      <c r="A159" t="s">
        <v>46</v>
      </c>
      <c r="B159">
        <v>52046</v>
      </c>
      <c r="C159" t="s">
        <v>51</v>
      </c>
      <c r="D159">
        <v>54191</v>
      </c>
      <c r="E159" t="s">
        <v>211</v>
      </c>
      <c r="F159">
        <v>8713</v>
      </c>
      <c r="G159">
        <v>0.50249855338469929</v>
      </c>
      <c r="H159">
        <v>0</v>
      </c>
      <c r="I159">
        <v>0</v>
      </c>
      <c r="J159">
        <v>0.37646379904344779</v>
      </c>
      <c r="K159">
        <v>1.844777917456501E-291</v>
      </c>
      <c r="L159">
        <v>3.6252031168621947E-291</v>
      </c>
      <c r="M159">
        <v>0.25666277309106439</v>
      </c>
      <c r="N159">
        <v>1.0852246901129131E-282</v>
      </c>
      <c r="O159">
        <v>2.0801849447532958E-282</v>
      </c>
      <c r="P159">
        <v>0.25250479615371552</v>
      </c>
      <c r="Q159">
        <v>1.0615687096029041</v>
      </c>
      <c r="R159">
        <v>0.83338176599454084</v>
      </c>
      <c r="S159">
        <v>0.24025078975897751</v>
      </c>
      <c r="T159">
        <v>0.1798587751480932</v>
      </c>
      <c r="U159">
        <v>4.4783984655113054</v>
      </c>
      <c r="V159">
        <v>0.13154436513250781</v>
      </c>
      <c r="W159">
        <v>5.5875094461150008</v>
      </c>
      <c r="X159">
        <v>0.27789807753405082</v>
      </c>
      <c r="Z159" t="s">
        <v>392</v>
      </c>
      <c r="AA159">
        <v>9937</v>
      </c>
      <c r="AB159" t="s">
        <v>550</v>
      </c>
      <c r="AC159" t="str">
        <f>HYPERLINK("plots/20251231000436_3FT6Y121H01_04823_B11P_N_UFLEX98_M5358A8BH101511/dpll_52046/txpa_54191.png","plot")</f>
        <v>plot</v>
      </c>
    </row>
    <row r="160" spans="1:29" x14ac:dyDescent="0.35">
      <c r="A160" t="s">
        <v>46</v>
      </c>
      <c r="B160">
        <v>52046</v>
      </c>
      <c r="C160" t="s">
        <v>51</v>
      </c>
      <c r="D160">
        <v>54192</v>
      </c>
      <c r="E160" t="s">
        <v>212</v>
      </c>
      <c r="F160">
        <v>8710</v>
      </c>
      <c r="G160">
        <v>0.52063237612979818</v>
      </c>
      <c r="H160">
        <v>0</v>
      </c>
      <c r="I160">
        <v>0</v>
      </c>
      <c r="J160">
        <v>0.40196336971793722</v>
      </c>
      <c r="K160">
        <v>0</v>
      </c>
      <c r="L160">
        <v>0</v>
      </c>
      <c r="M160">
        <v>0.27576148554122398</v>
      </c>
      <c r="N160">
        <v>0</v>
      </c>
      <c r="O160">
        <v>0</v>
      </c>
      <c r="P160">
        <v>0.27105807107455959</v>
      </c>
      <c r="Q160">
        <v>1.04709212762009</v>
      </c>
      <c r="R160">
        <v>0.82685544322158844</v>
      </c>
      <c r="S160">
        <v>0.22558739970824071</v>
      </c>
      <c r="T160">
        <v>0.16776075198218279</v>
      </c>
      <c r="U160">
        <v>4.4785273634902403</v>
      </c>
      <c r="V160">
        <v>0.13138312331066171</v>
      </c>
      <c r="W160">
        <v>5.5162861888633747</v>
      </c>
      <c r="X160">
        <v>0.26423680206633138</v>
      </c>
      <c r="Z160" t="s">
        <v>392</v>
      </c>
      <c r="AA160">
        <v>9937</v>
      </c>
      <c r="AB160" t="s">
        <v>551</v>
      </c>
      <c r="AC160" t="str">
        <f>HYPERLINK("plots/20251231000436_3FT6Y121H01_04823_B11P_N_UFLEX98_M5358A8BH101511/dpll_52046/txpa_54192.png","plot")</f>
        <v>plot</v>
      </c>
    </row>
    <row r="161" spans="1:29" x14ac:dyDescent="0.35">
      <c r="A161" t="s">
        <v>46</v>
      </c>
      <c r="B161">
        <v>52046</v>
      </c>
      <c r="C161" t="s">
        <v>51</v>
      </c>
      <c r="D161">
        <v>54193</v>
      </c>
      <c r="E161" t="s">
        <v>213</v>
      </c>
      <c r="F161">
        <v>8710</v>
      </c>
      <c r="G161">
        <v>0.48997186318314268</v>
      </c>
      <c r="H161">
        <v>0</v>
      </c>
      <c r="I161">
        <v>0</v>
      </c>
      <c r="J161">
        <v>0.34650805375939808</v>
      </c>
      <c r="K161">
        <v>3.3395301772094858E-244</v>
      </c>
      <c r="L161">
        <v>5.6157273626706792E-244</v>
      </c>
      <c r="M161">
        <v>0.23551688001816551</v>
      </c>
      <c r="N161">
        <v>2.7530151825792731E-238</v>
      </c>
      <c r="O161">
        <v>4.5838380872502187E-238</v>
      </c>
      <c r="P161">
        <v>0.2400724267111603</v>
      </c>
      <c r="Q161">
        <v>1.0727934104948531</v>
      </c>
      <c r="R161">
        <v>0.85350347626864043</v>
      </c>
      <c r="S161">
        <v>0.25080064353689802</v>
      </c>
      <c r="T161">
        <v>0.19119219047441111</v>
      </c>
      <c r="U161">
        <v>4.4785181290470728</v>
      </c>
      <c r="V161">
        <v>0.13140821660253749</v>
      </c>
      <c r="W161">
        <v>5.6580282138920781</v>
      </c>
      <c r="X161">
        <v>0.28771829455723069</v>
      </c>
      <c r="Z161" t="s">
        <v>392</v>
      </c>
      <c r="AA161">
        <v>9937</v>
      </c>
      <c r="AB161" t="s">
        <v>552</v>
      </c>
      <c r="AC161" t="str">
        <f>HYPERLINK("plots/20251231000436_3FT6Y121H01_04823_B11P_N_UFLEX98_M5358A8BH101511/dpll_52046/txpa_54193.png","plot")</f>
        <v>plot</v>
      </c>
    </row>
    <row r="162" spans="1:29" x14ac:dyDescent="0.35">
      <c r="A162" t="s">
        <v>46</v>
      </c>
      <c r="B162">
        <v>52046</v>
      </c>
      <c r="C162" t="s">
        <v>51</v>
      </c>
      <c r="D162">
        <v>54194</v>
      </c>
      <c r="E162" t="s">
        <v>214</v>
      </c>
      <c r="F162">
        <v>8716</v>
      </c>
      <c r="G162">
        <v>0.37083121763496463</v>
      </c>
      <c r="H162">
        <v>2.692152156732644E-282</v>
      </c>
      <c r="I162">
        <v>3.433763882926919E-282</v>
      </c>
      <c r="J162">
        <v>0.31910337176923859</v>
      </c>
      <c r="K162">
        <v>1.6482767055591569E-205</v>
      </c>
      <c r="L162">
        <v>2.4871318146383701E-205</v>
      </c>
      <c r="M162">
        <v>0.21926338103858239</v>
      </c>
      <c r="N162">
        <v>5.9114424934719983E-207</v>
      </c>
      <c r="O162">
        <v>8.9733573179350388E-207</v>
      </c>
      <c r="P162">
        <v>0.1375157919726305</v>
      </c>
      <c r="Q162">
        <v>0.89044051145314895</v>
      </c>
      <c r="R162">
        <v>1.10766591236429</v>
      </c>
      <c r="S162">
        <v>0.29361403238515582</v>
      </c>
      <c r="T162">
        <v>0.2158141071739608</v>
      </c>
      <c r="U162">
        <v>4.4782817893529154</v>
      </c>
      <c r="V162">
        <v>0.1316732403778659</v>
      </c>
      <c r="W162">
        <v>5.0953094393070222</v>
      </c>
      <c r="X162">
        <v>0.31617399488242398</v>
      </c>
      <c r="Z162" t="s">
        <v>392</v>
      </c>
      <c r="AA162">
        <v>9937</v>
      </c>
      <c r="AB162" t="s">
        <v>553</v>
      </c>
      <c r="AC162" t="str">
        <f>HYPERLINK("plots/20251231000436_3FT6Y121H01_04823_B11P_N_UFLEX98_M5358A8BH101511/dpll_52046/txpa_54194.png","plot")</f>
        <v>plot</v>
      </c>
    </row>
    <row r="163" spans="1:29" x14ac:dyDescent="0.35">
      <c r="A163" t="s">
        <v>46</v>
      </c>
      <c r="B163">
        <v>52046</v>
      </c>
      <c r="C163" t="s">
        <v>51</v>
      </c>
      <c r="D163">
        <v>54195</v>
      </c>
      <c r="E163" t="s">
        <v>215</v>
      </c>
      <c r="F163">
        <v>8716</v>
      </c>
      <c r="G163">
        <v>0.39606574926359578</v>
      </c>
      <c r="H163">
        <v>0</v>
      </c>
      <c r="I163">
        <v>0</v>
      </c>
      <c r="J163">
        <v>0.33525529924461439</v>
      </c>
      <c r="K163">
        <v>6.2672837456920398E-228</v>
      </c>
      <c r="L163">
        <v>1.000791451674288E-227</v>
      </c>
      <c r="M163">
        <v>0.23065455722030459</v>
      </c>
      <c r="N163">
        <v>8.5704315791731828E-229</v>
      </c>
      <c r="O163">
        <v>1.3772452648623779E-228</v>
      </c>
      <c r="P163">
        <v>0.1568680777397336</v>
      </c>
      <c r="Q163">
        <v>0.94792270186374405</v>
      </c>
      <c r="R163">
        <v>3.0084131428671528</v>
      </c>
      <c r="S163">
        <v>0.28935168221983598</v>
      </c>
      <c r="T163">
        <v>0.20634069323719159</v>
      </c>
      <c r="U163">
        <v>4.4782817893529154</v>
      </c>
      <c r="V163">
        <v>0.1316732403778659</v>
      </c>
      <c r="W163">
        <v>7.25347811633777</v>
      </c>
      <c r="X163">
        <v>0.31513973125475009</v>
      </c>
      <c r="Z163" t="s">
        <v>392</v>
      </c>
      <c r="AA163">
        <v>9937</v>
      </c>
      <c r="AB163" t="s">
        <v>554</v>
      </c>
      <c r="AC163" t="str">
        <f>HYPERLINK("plots/20251231000436_3FT6Y121H01_04823_B11P_N_UFLEX98_M5358A8BH101511/dpll_52046/txpa_54195.png","plot")</f>
        <v>plot</v>
      </c>
    </row>
    <row r="164" spans="1:29" x14ac:dyDescent="0.35">
      <c r="A164" t="s">
        <v>46</v>
      </c>
      <c r="B164">
        <v>52046</v>
      </c>
      <c r="C164" t="s">
        <v>51</v>
      </c>
      <c r="D164">
        <v>54196</v>
      </c>
      <c r="E164" t="s">
        <v>216</v>
      </c>
      <c r="F164">
        <v>8710</v>
      </c>
      <c r="G164">
        <v>0.48662373461269398</v>
      </c>
      <c r="H164">
        <v>0</v>
      </c>
      <c r="I164">
        <v>0</v>
      </c>
      <c r="J164">
        <v>0.40059816508327339</v>
      </c>
      <c r="K164">
        <v>0</v>
      </c>
      <c r="L164">
        <v>0</v>
      </c>
      <c r="M164">
        <v>0.27661105765445748</v>
      </c>
      <c r="N164">
        <v>0</v>
      </c>
      <c r="O164">
        <v>0</v>
      </c>
      <c r="P164">
        <v>0.2368026590884057</v>
      </c>
      <c r="Q164">
        <v>1.144948251121052</v>
      </c>
      <c r="R164">
        <v>2.37577350103424</v>
      </c>
      <c r="S164">
        <v>0.27011426026573182</v>
      </c>
      <c r="T164">
        <v>0.19828397468011971</v>
      </c>
      <c r="U164">
        <v>4.4785108305396086</v>
      </c>
      <c r="V164">
        <v>0.1314199961104176</v>
      </c>
      <c r="W164">
        <v>7.5034366440872562</v>
      </c>
      <c r="X164">
        <v>0.3092103487897423</v>
      </c>
      <c r="Z164" t="s">
        <v>392</v>
      </c>
      <c r="AA164">
        <v>9937</v>
      </c>
      <c r="AB164" t="s">
        <v>555</v>
      </c>
      <c r="AC164" t="str">
        <f>HYPERLINK("plots/20251231000436_3FT6Y121H01_04823_B11P_N_UFLEX98_M5358A8BH101511/dpll_52046/txpa_54196.png","plot")</f>
        <v>plot</v>
      </c>
    </row>
    <row r="165" spans="1:29" x14ac:dyDescent="0.35">
      <c r="A165" t="s">
        <v>46</v>
      </c>
      <c r="B165">
        <v>52046</v>
      </c>
      <c r="C165" t="s">
        <v>51</v>
      </c>
      <c r="D165">
        <v>54197</v>
      </c>
      <c r="E165" t="s">
        <v>217</v>
      </c>
      <c r="F165">
        <v>8695</v>
      </c>
      <c r="G165">
        <v>0.48992052957739091</v>
      </c>
      <c r="H165">
        <v>0</v>
      </c>
      <c r="I165">
        <v>0</v>
      </c>
      <c r="J165">
        <v>0.39867942577185822</v>
      </c>
      <c r="K165">
        <v>0</v>
      </c>
      <c r="L165">
        <v>0</v>
      </c>
      <c r="M165">
        <v>0.27496720468954022</v>
      </c>
      <c r="N165">
        <v>0</v>
      </c>
      <c r="O165">
        <v>0</v>
      </c>
      <c r="P165">
        <v>0.24002212530139119</v>
      </c>
      <c r="Q165">
        <v>1.1751275488313031</v>
      </c>
      <c r="R165">
        <v>2.4371640315889569</v>
      </c>
      <c r="S165">
        <v>0.27300047660607868</v>
      </c>
      <c r="T165">
        <v>0.19594024284025019</v>
      </c>
      <c r="U165">
        <v>4.4791615510063254</v>
      </c>
      <c r="V165">
        <v>0.1305655302615378</v>
      </c>
      <c r="W165">
        <v>7.7007501658424378</v>
      </c>
      <c r="X165">
        <v>0.31317559129528838</v>
      </c>
      <c r="Z165" t="s">
        <v>392</v>
      </c>
      <c r="AA165">
        <v>9937</v>
      </c>
      <c r="AB165" t="s">
        <v>556</v>
      </c>
      <c r="AC165" t="str">
        <f>HYPERLINK("plots/20251231000436_3FT6Y121H01_04823_B11P_N_UFLEX98_M5358A8BH101511/dpll_52046/txpa_54197.png","plot")</f>
        <v>plot</v>
      </c>
    </row>
    <row r="166" spans="1:29" x14ac:dyDescent="0.35">
      <c r="A166" t="s">
        <v>46</v>
      </c>
      <c r="B166">
        <v>52046</v>
      </c>
      <c r="C166" t="s">
        <v>51</v>
      </c>
      <c r="D166">
        <v>54198</v>
      </c>
      <c r="E166" t="s">
        <v>218</v>
      </c>
      <c r="F166">
        <v>8705</v>
      </c>
      <c r="G166">
        <v>0.51349007713464512</v>
      </c>
      <c r="H166">
        <v>0</v>
      </c>
      <c r="I166">
        <v>0</v>
      </c>
      <c r="J166">
        <v>0.41386521006363602</v>
      </c>
      <c r="K166">
        <v>0</v>
      </c>
      <c r="L166">
        <v>0</v>
      </c>
      <c r="M166">
        <v>0.28679228110257698</v>
      </c>
      <c r="N166">
        <v>0</v>
      </c>
      <c r="O166">
        <v>0</v>
      </c>
      <c r="P166">
        <v>0.26367205931574378</v>
      </c>
      <c r="Q166">
        <v>1.1864336450667929</v>
      </c>
      <c r="R166">
        <v>2.1583146839776508</v>
      </c>
      <c r="S166">
        <v>0.26002131031973802</v>
      </c>
      <c r="T166">
        <v>0.19067869745918081</v>
      </c>
      <c r="U166">
        <v>4.4787218099942567</v>
      </c>
      <c r="V166">
        <v>0.13115560356113631</v>
      </c>
      <c r="W166">
        <v>7.4720209262492823</v>
      </c>
      <c r="X166">
        <v>0.30303880782329401</v>
      </c>
      <c r="Z166" t="s">
        <v>392</v>
      </c>
      <c r="AA166">
        <v>9937</v>
      </c>
      <c r="AB166" t="s">
        <v>557</v>
      </c>
      <c r="AC166" t="str">
        <f>HYPERLINK("plots/20251231000436_3FT6Y121H01_04823_B11P_N_UFLEX98_M5358A8BH101511/dpll_52046/txpa_54198.png","plot")</f>
        <v>plot</v>
      </c>
    </row>
    <row r="167" spans="1:29" x14ac:dyDescent="0.35">
      <c r="A167" t="s">
        <v>46</v>
      </c>
      <c r="B167">
        <v>52046</v>
      </c>
      <c r="C167" t="s">
        <v>51</v>
      </c>
      <c r="D167">
        <v>54199</v>
      </c>
      <c r="E167" t="s">
        <v>219</v>
      </c>
      <c r="F167">
        <v>8693</v>
      </c>
      <c r="G167">
        <v>0.51897754634932713</v>
      </c>
      <c r="H167">
        <v>0</v>
      </c>
      <c r="I167">
        <v>0</v>
      </c>
      <c r="J167">
        <v>0.40858485627787527</v>
      </c>
      <c r="K167">
        <v>0</v>
      </c>
      <c r="L167">
        <v>0</v>
      </c>
      <c r="M167">
        <v>0.28172998769000102</v>
      </c>
      <c r="N167">
        <v>0</v>
      </c>
      <c r="O167">
        <v>0</v>
      </c>
      <c r="P167">
        <v>0.269337693614768</v>
      </c>
      <c r="Q167">
        <v>1.1358254874368481</v>
      </c>
      <c r="R167">
        <v>2.5420255068580841</v>
      </c>
      <c r="S167">
        <v>0.24425634214703901</v>
      </c>
      <c r="T167">
        <v>0.17646272551277581</v>
      </c>
      <c r="U167">
        <v>4.4792113273898542</v>
      </c>
      <c r="V167">
        <v>0.1305718137677479</v>
      </c>
      <c r="W167">
        <v>7.6296278961233179</v>
      </c>
      <c r="X167">
        <v>0.28576726500309751</v>
      </c>
      <c r="Z167" t="s">
        <v>392</v>
      </c>
      <c r="AA167">
        <v>9937</v>
      </c>
      <c r="AB167" t="s">
        <v>558</v>
      </c>
      <c r="AC167" t="str">
        <f>HYPERLINK("plots/20251231000436_3FT6Y121H01_04823_B11P_N_UFLEX98_M5358A8BH101511/dpll_52046/txpa_54199.png","plot")</f>
        <v>plot</v>
      </c>
    </row>
    <row r="168" spans="1:29" x14ac:dyDescent="0.35">
      <c r="A168" t="s">
        <v>46</v>
      </c>
      <c r="B168">
        <v>52046</v>
      </c>
      <c r="C168" t="s">
        <v>51</v>
      </c>
      <c r="D168">
        <v>54200</v>
      </c>
      <c r="E168" t="s">
        <v>220</v>
      </c>
      <c r="F168">
        <v>8692</v>
      </c>
      <c r="G168">
        <v>0.53311800801478859</v>
      </c>
      <c r="H168">
        <v>0</v>
      </c>
      <c r="I168">
        <v>0</v>
      </c>
      <c r="J168">
        <v>0.43193111585410388</v>
      </c>
      <c r="K168">
        <v>0</v>
      </c>
      <c r="L168">
        <v>0</v>
      </c>
      <c r="M168">
        <v>0.30057266975320618</v>
      </c>
      <c r="N168">
        <v>0</v>
      </c>
      <c r="O168">
        <v>0</v>
      </c>
      <c r="P168">
        <v>0.28421481046965619</v>
      </c>
      <c r="Q168">
        <v>1.1182084422792979</v>
      </c>
      <c r="R168">
        <v>2.5534759444493331</v>
      </c>
      <c r="S168">
        <v>0.231466448372557</v>
      </c>
      <c r="T168">
        <v>0.1657798299976288</v>
      </c>
      <c r="U168">
        <v>4.4792783726415104</v>
      </c>
      <c r="V168">
        <v>0.13044344608523431</v>
      </c>
      <c r="W168">
        <v>7.5622428360561438</v>
      </c>
      <c r="X168">
        <v>0.27360351828232982</v>
      </c>
      <c r="Z168" t="s">
        <v>392</v>
      </c>
      <c r="AA168">
        <v>9937</v>
      </c>
      <c r="AB168" t="s">
        <v>559</v>
      </c>
      <c r="AC168" t="str">
        <f>HYPERLINK("plots/20251231000436_3FT6Y121H01_04823_B11P_N_UFLEX98_M5358A8BH101511/dpll_52046/txpa_54200.png","plot")</f>
        <v>plot</v>
      </c>
    </row>
    <row r="169" spans="1:29" x14ac:dyDescent="0.35">
      <c r="A169" t="s">
        <v>46</v>
      </c>
      <c r="B169">
        <v>52046</v>
      </c>
      <c r="C169" t="s">
        <v>51</v>
      </c>
      <c r="D169">
        <v>54201</v>
      </c>
      <c r="E169" t="s">
        <v>221</v>
      </c>
      <c r="F169">
        <v>8692</v>
      </c>
      <c r="G169">
        <v>0.50918920730135364</v>
      </c>
      <c r="H169">
        <v>0</v>
      </c>
      <c r="I169">
        <v>0</v>
      </c>
      <c r="J169">
        <v>0.38980994721333362</v>
      </c>
      <c r="K169">
        <v>0</v>
      </c>
      <c r="L169">
        <v>0</v>
      </c>
      <c r="M169">
        <v>0.26785191130689179</v>
      </c>
      <c r="N169">
        <v>6.0119666207203578E-307</v>
      </c>
      <c r="O169">
        <v>1.2543485912367169E-306</v>
      </c>
      <c r="P169">
        <v>0.2592736488321809</v>
      </c>
      <c r="Q169">
        <v>1.134791731778521</v>
      </c>
      <c r="R169">
        <v>2.604190742993203</v>
      </c>
      <c r="S169">
        <v>0.25008269465098099</v>
      </c>
      <c r="T169">
        <v>0.18306211010518589</v>
      </c>
      <c r="U169">
        <v>4.4792965539576617</v>
      </c>
      <c r="V169">
        <v>0.130389540153794</v>
      </c>
      <c r="W169">
        <v>7.6872594366083771</v>
      </c>
      <c r="X169">
        <v>0.29058937219256242</v>
      </c>
      <c r="Z169" t="s">
        <v>392</v>
      </c>
      <c r="AA169">
        <v>9937</v>
      </c>
      <c r="AB169" t="s">
        <v>560</v>
      </c>
      <c r="AC169" t="str">
        <f>HYPERLINK("plots/20251231000436_3FT6Y121H01_04823_B11P_N_UFLEX98_M5358A8BH101511/dpll_52046/txpa_54201.png","plot")</f>
        <v>plot</v>
      </c>
    </row>
    <row r="170" spans="1:29" x14ac:dyDescent="0.35">
      <c r="A170" t="s">
        <v>46</v>
      </c>
      <c r="B170">
        <v>52046</v>
      </c>
      <c r="C170" t="s">
        <v>51</v>
      </c>
      <c r="D170">
        <v>54202</v>
      </c>
      <c r="E170" t="s">
        <v>222</v>
      </c>
      <c r="F170">
        <v>8714</v>
      </c>
      <c r="G170">
        <v>0.42337516234948408</v>
      </c>
      <c r="H170">
        <v>0</v>
      </c>
      <c r="I170">
        <v>0</v>
      </c>
      <c r="J170">
        <v>0.34377786803388621</v>
      </c>
      <c r="K170">
        <v>2.9063289072719697E-240</v>
      </c>
      <c r="L170">
        <v>4.8311762491373393E-240</v>
      </c>
      <c r="M170">
        <v>0.23778045900277059</v>
      </c>
      <c r="N170">
        <v>5.8453073649683375E-243</v>
      </c>
      <c r="O170">
        <v>9.8621325591978271E-243</v>
      </c>
      <c r="P170">
        <v>0.17924652809445199</v>
      </c>
      <c r="Q170">
        <v>0.99916829400571683</v>
      </c>
      <c r="R170">
        <v>2.738122603094832</v>
      </c>
      <c r="S170">
        <v>0.28134100730948258</v>
      </c>
      <c r="T170">
        <v>0.20482365393470409</v>
      </c>
      <c r="U170">
        <v>4.4783566626118887</v>
      </c>
      <c r="V170">
        <v>0.1315946781972934</v>
      </c>
      <c r="W170">
        <v>7.2127545896258889</v>
      </c>
      <c r="X170">
        <v>0.31056434530772892</v>
      </c>
      <c r="Z170" t="s">
        <v>392</v>
      </c>
      <c r="AA170">
        <v>9937</v>
      </c>
      <c r="AB170" t="s">
        <v>561</v>
      </c>
      <c r="AC170" t="str">
        <f>HYPERLINK("plots/20251231000436_3FT6Y121H01_04823_B11P_N_UFLEX98_M5358A8BH101511/dpll_52046/txpa_54202.png","plot")</f>
        <v>plot</v>
      </c>
    </row>
    <row r="171" spans="1:29" x14ac:dyDescent="0.35">
      <c r="A171" t="s">
        <v>46</v>
      </c>
      <c r="B171">
        <v>52046</v>
      </c>
      <c r="C171" t="s">
        <v>51</v>
      </c>
      <c r="D171">
        <v>54203</v>
      </c>
      <c r="E171" t="s">
        <v>223</v>
      </c>
      <c r="F171">
        <v>8715</v>
      </c>
      <c r="G171">
        <v>0.42065802972954008</v>
      </c>
      <c r="H171">
        <v>0</v>
      </c>
      <c r="I171">
        <v>0</v>
      </c>
      <c r="J171">
        <v>0.35148974416082002</v>
      </c>
      <c r="K171">
        <v>7.7106982614037305E-252</v>
      </c>
      <c r="L171">
        <v>1.3207175738282741E-251</v>
      </c>
      <c r="M171">
        <v>0.24260671974613321</v>
      </c>
      <c r="N171">
        <v>7.2797354512461872E-253</v>
      </c>
      <c r="O171">
        <v>1.2596675337139309E-252</v>
      </c>
      <c r="P171">
        <v>0.1769531779759386</v>
      </c>
      <c r="Q171">
        <v>1.0203786015178311</v>
      </c>
      <c r="R171">
        <v>3.6013699850250172</v>
      </c>
      <c r="S171">
        <v>0.28971585281336809</v>
      </c>
      <c r="T171">
        <v>0.20395383785288551</v>
      </c>
      <c r="U171">
        <v>4.4783070546184733</v>
      </c>
      <c r="V171">
        <v>0.13165966554254599</v>
      </c>
      <c r="W171">
        <v>8.1709386745840504</v>
      </c>
      <c r="X171">
        <v>0.31936322596524158</v>
      </c>
      <c r="Z171" t="s">
        <v>392</v>
      </c>
      <c r="AA171">
        <v>9937</v>
      </c>
      <c r="AB171" t="s">
        <v>562</v>
      </c>
      <c r="AC171" t="str">
        <f>HYPERLINK("plots/20251231000436_3FT6Y121H01_04823_B11P_N_UFLEX98_M5358A8BH101511/dpll_52046/txpa_54203.png","plot")</f>
        <v>plot</v>
      </c>
    </row>
    <row r="172" spans="1:29" x14ac:dyDescent="0.35">
      <c r="A172" t="s">
        <v>46</v>
      </c>
      <c r="B172">
        <v>52046</v>
      </c>
      <c r="C172" t="s">
        <v>51</v>
      </c>
      <c r="D172">
        <v>54204</v>
      </c>
      <c r="E172" t="s">
        <v>224</v>
      </c>
      <c r="F172">
        <v>8704</v>
      </c>
      <c r="G172">
        <v>0.49351862910864341</v>
      </c>
      <c r="H172">
        <v>0</v>
      </c>
      <c r="I172">
        <v>0</v>
      </c>
      <c r="J172">
        <v>0.41469891445399432</v>
      </c>
      <c r="K172">
        <v>0</v>
      </c>
      <c r="L172">
        <v>0</v>
      </c>
      <c r="M172">
        <v>0.287966784329242</v>
      </c>
      <c r="N172">
        <v>0</v>
      </c>
      <c r="O172">
        <v>0</v>
      </c>
      <c r="P172">
        <v>0.2435606372772747</v>
      </c>
      <c r="Q172">
        <v>1.194095745152328</v>
      </c>
      <c r="R172">
        <v>3.046508216208617</v>
      </c>
      <c r="S172">
        <v>0.27594552025095398</v>
      </c>
      <c r="T172">
        <v>0.1982417932172689</v>
      </c>
      <c r="U172">
        <v>4.4787511749770221</v>
      </c>
      <c r="V172">
        <v>0.13113711874936271</v>
      </c>
      <c r="W172">
        <v>8.3945659378446678</v>
      </c>
      <c r="X172">
        <v>0.31729354535809767</v>
      </c>
      <c r="Z172" t="s">
        <v>392</v>
      </c>
      <c r="AA172">
        <v>9937</v>
      </c>
      <c r="AB172" t="s">
        <v>563</v>
      </c>
      <c r="AC172" t="str">
        <f>HYPERLINK("plots/20251231000436_3FT6Y121H01_04823_B11P_N_UFLEX98_M5358A8BH101511/dpll_52046/txpa_54204.png","plot")</f>
        <v>plot</v>
      </c>
    </row>
    <row r="173" spans="1:29" x14ac:dyDescent="0.35">
      <c r="A173" t="s">
        <v>46</v>
      </c>
      <c r="B173">
        <v>52046</v>
      </c>
      <c r="C173" t="s">
        <v>51</v>
      </c>
      <c r="D173">
        <v>54205</v>
      </c>
      <c r="E173" t="s">
        <v>225</v>
      </c>
      <c r="F173">
        <v>8675</v>
      </c>
      <c r="G173">
        <v>0.48266788480883033</v>
      </c>
      <c r="H173">
        <v>0</v>
      </c>
      <c r="I173">
        <v>0</v>
      </c>
      <c r="J173">
        <v>0.41748636075258738</v>
      </c>
      <c r="K173">
        <v>0</v>
      </c>
      <c r="L173">
        <v>0</v>
      </c>
      <c r="M173">
        <v>0.29055227460065702</v>
      </c>
      <c r="N173">
        <v>0</v>
      </c>
      <c r="O173">
        <v>0</v>
      </c>
      <c r="P173">
        <v>0.23296828702583031</v>
      </c>
      <c r="Q173">
        <v>1.182875092413874</v>
      </c>
      <c r="R173">
        <v>3.2646851570072459</v>
      </c>
      <c r="S173">
        <v>0.27723344090993862</v>
      </c>
      <c r="T173">
        <v>0.19371946736910839</v>
      </c>
      <c r="U173">
        <v>4.4801033088184434</v>
      </c>
      <c r="V173">
        <v>0.12917352292111101</v>
      </c>
      <c r="W173">
        <v>8.5640877724495663</v>
      </c>
      <c r="X173">
        <v>0.31656579538796659</v>
      </c>
      <c r="Z173" t="s">
        <v>392</v>
      </c>
      <c r="AA173">
        <v>9937</v>
      </c>
      <c r="AB173" t="s">
        <v>564</v>
      </c>
      <c r="AC173" t="str">
        <f>HYPERLINK("plots/20251231000436_3FT6Y121H01_04823_B11P_N_UFLEX98_M5358A8BH101511/dpll_52046/txpa_54205.png","plot")</f>
        <v>plot</v>
      </c>
    </row>
    <row r="174" spans="1:29" x14ac:dyDescent="0.35">
      <c r="A174" t="s">
        <v>46</v>
      </c>
      <c r="B174">
        <v>52046</v>
      </c>
      <c r="C174" t="s">
        <v>51</v>
      </c>
      <c r="D174">
        <v>54206</v>
      </c>
      <c r="E174" t="s">
        <v>226</v>
      </c>
      <c r="F174">
        <v>8696</v>
      </c>
      <c r="G174">
        <v>0.51681917008362921</v>
      </c>
      <c r="H174">
        <v>0</v>
      </c>
      <c r="I174">
        <v>0</v>
      </c>
      <c r="J174">
        <v>0.42795419470682672</v>
      </c>
      <c r="K174">
        <v>0</v>
      </c>
      <c r="L174">
        <v>0</v>
      </c>
      <c r="M174">
        <v>0.29862459394617369</v>
      </c>
      <c r="N174">
        <v>0</v>
      </c>
      <c r="O174">
        <v>0</v>
      </c>
      <c r="P174">
        <v>0.26710205456593128</v>
      </c>
      <c r="Q174">
        <v>1.2272895920124831</v>
      </c>
      <c r="R174">
        <v>2.8660896086639891</v>
      </c>
      <c r="S174">
        <v>0.26570201469037341</v>
      </c>
      <c r="T174">
        <v>0.1905956446163041</v>
      </c>
      <c r="U174">
        <v>4.4790909145584168</v>
      </c>
      <c r="V174">
        <v>0.13070422635826401</v>
      </c>
      <c r="W174">
        <v>8.3632312697792095</v>
      </c>
      <c r="X174">
        <v>0.31038310095111982</v>
      </c>
      <c r="Z174" t="s">
        <v>392</v>
      </c>
      <c r="AA174">
        <v>9937</v>
      </c>
      <c r="AB174" t="s">
        <v>565</v>
      </c>
      <c r="AC174" t="str">
        <f>HYPERLINK("plots/20251231000436_3FT6Y121H01_04823_B11P_N_UFLEX98_M5358A8BH101511/dpll_52046/txpa_54206.png","plot")</f>
        <v>plot</v>
      </c>
    </row>
    <row r="175" spans="1:29" x14ac:dyDescent="0.35">
      <c r="A175" t="s">
        <v>46</v>
      </c>
      <c r="B175">
        <v>52046</v>
      </c>
      <c r="C175" t="s">
        <v>51</v>
      </c>
      <c r="D175">
        <v>54207</v>
      </c>
      <c r="E175" t="s">
        <v>227</v>
      </c>
      <c r="F175">
        <v>8678</v>
      </c>
      <c r="G175">
        <v>0.51437099222642813</v>
      </c>
      <c r="H175">
        <v>0</v>
      </c>
      <c r="I175">
        <v>0</v>
      </c>
      <c r="J175">
        <v>0.42333205085639158</v>
      </c>
      <c r="K175">
        <v>0</v>
      </c>
      <c r="L175">
        <v>0</v>
      </c>
      <c r="M175">
        <v>0.29433045602780389</v>
      </c>
      <c r="N175">
        <v>0</v>
      </c>
      <c r="O175">
        <v>0</v>
      </c>
      <c r="P175">
        <v>0.26457751764400023</v>
      </c>
      <c r="Q175">
        <v>1.16705893729279</v>
      </c>
      <c r="R175">
        <v>3.2815795204610971</v>
      </c>
      <c r="S175">
        <v>0.25164733514324639</v>
      </c>
      <c r="T175">
        <v>0.17707163669059919</v>
      </c>
      <c r="U175">
        <v>4.4799764622032718</v>
      </c>
      <c r="V175">
        <v>0.12933992019513199</v>
      </c>
      <c r="W175">
        <v>8.5099760895367602</v>
      </c>
      <c r="X175">
        <v>0.2934599969549167</v>
      </c>
      <c r="Z175" t="s">
        <v>392</v>
      </c>
      <c r="AA175">
        <v>9937</v>
      </c>
      <c r="AB175" t="s">
        <v>566</v>
      </c>
      <c r="AC175" t="str">
        <f>HYPERLINK("plots/20251231000436_3FT6Y121H01_04823_B11P_N_UFLEX98_M5358A8BH101511/dpll_52046/txpa_54207.png","plot")</f>
        <v>plot</v>
      </c>
    </row>
    <row r="176" spans="1:29" x14ac:dyDescent="0.35">
      <c r="A176" t="s">
        <v>46</v>
      </c>
      <c r="B176">
        <v>52046</v>
      </c>
      <c r="C176" t="s">
        <v>51</v>
      </c>
      <c r="D176">
        <v>54208</v>
      </c>
      <c r="E176" t="s">
        <v>228</v>
      </c>
      <c r="F176">
        <v>8684</v>
      </c>
      <c r="G176">
        <v>0.53151028000054057</v>
      </c>
      <c r="H176">
        <v>0</v>
      </c>
      <c r="I176">
        <v>0</v>
      </c>
      <c r="J176">
        <v>0.44551940045917998</v>
      </c>
      <c r="K176">
        <v>0</v>
      </c>
      <c r="L176">
        <v>0</v>
      </c>
      <c r="M176">
        <v>0.3129914683286501</v>
      </c>
      <c r="N176">
        <v>0</v>
      </c>
      <c r="O176">
        <v>0</v>
      </c>
      <c r="P176">
        <v>0.28250317774625311</v>
      </c>
      <c r="Q176">
        <v>1.1636818424105919</v>
      </c>
      <c r="R176">
        <v>3.2308975271063578</v>
      </c>
      <c r="S176">
        <v>0.2407044925539801</v>
      </c>
      <c r="T176">
        <v>0.16802690070414539</v>
      </c>
      <c r="U176">
        <v>4.4796826308152928</v>
      </c>
      <c r="V176">
        <v>0.1298005769495412</v>
      </c>
      <c r="W176">
        <v>8.4438228643482258</v>
      </c>
      <c r="X176">
        <v>0.28418373117909651</v>
      </c>
      <c r="Z176" t="s">
        <v>392</v>
      </c>
      <c r="AA176">
        <v>9937</v>
      </c>
      <c r="AB176" t="s">
        <v>567</v>
      </c>
      <c r="AC176" t="str">
        <f>HYPERLINK("plots/20251231000436_3FT6Y121H01_04823_B11P_N_UFLEX98_M5358A8BH101511/dpll_52046/txpa_54208.png","plot")</f>
        <v>plot</v>
      </c>
    </row>
    <row r="177" spans="1:29" x14ac:dyDescent="0.35">
      <c r="A177" t="s">
        <v>46</v>
      </c>
      <c r="B177">
        <v>52046</v>
      </c>
      <c r="C177" t="s">
        <v>51</v>
      </c>
      <c r="D177">
        <v>54209</v>
      </c>
      <c r="E177" t="s">
        <v>229</v>
      </c>
      <c r="F177">
        <v>8664</v>
      </c>
      <c r="G177">
        <v>0.49467268606651371</v>
      </c>
      <c r="H177">
        <v>0</v>
      </c>
      <c r="I177">
        <v>0</v>
      </c>
      <c r="J177">
        <v>0.40666063887593801</v>
      </c>
      <c r="K177">
        <v>0</v>
      </c>
      <c r="L177">
        <v>0</v>
      </c>
      <c r="M177">
        <v>0.28148433963078862</v>
      </c>
      <c r="N177">
        <v>0</v>
      </c>
      <c r="O177">
        <v>0</v>
      </c>
      <c r="P177">
        <v>0.24470106634025959</v>
      </c>
      <c r="Q177">
        <v>1.1203771032168619</v>
      </c>
      <c r="R177">
        <v>3.5399184899934779</v>
      </c>
      <c r="S177">
        <v>0.25232544321485822</v>
      </c>
      <c r="T177">
        <v>0.1798644688112277</v>
      </c>
      <c r="U177">
        <v>4.4806866147276088</v>
      </c>
      <c r="V177">
        <v>0.12819774318151669</v>
      </c>
      <c r="W177">
        <v>8.5599771798245623</v>
      </c>
      <c r="X177">
        <v>0.29035323799004809</v>
      </c>
      <c r="Z177" t="s">
        <v>392</v>
      </c>
      <c r="AA177">
        <v>9937</v>
      </c>
      <c r="AB177" t="s">
        <v>568</v>
      </c>
      <c r="AC177" t="str">
        <f>HYPERLINK("plots/20251231000436_3FT6Y121H01_04823_B11P_N_UFLEX98_M5358A8BH101511/dpll_52046/txpa_54209.png","plot")</f>
        <v>plot</v>
      </c>
    </row>
    <row r="178" spans="1:29" x14ac:dyDescent="0.35">
      <c r="A178" t="s">
        <v>46</v>
      </c>
      <c r="B178">
        <v>52046</v>
      </c>
      <c r="C178" t="s">
        <v>51</v>
      </c>
      <c r="D178">
        <v>54210</v>
      </c>
      <c r="E178" t="s">
        <v>230</v>
      </c>
      <c r="F178">
        <v>8712</v>
      </c>
      <c r="G178">
        <v>0.4464322321084</v>
      </c>
      <c r="H178">
        <v>0</v>
      </c>
      <c r="I178">
        <v>0</v>
      </c>
      <c r="J178">
        <v>0.35419389390759609</v>
      </c>
      <c r="K178">
        <v>7.035381901524262E-256</v>
      </c>
      <c r="L178">
        <v>1.223649613747102E-255</v>
      </c>
      <c r="M178">
        <v>0.24526261545555109</v>
      </c>
      <c r="N178">
        <v>2.6967311953058329E-258</v>
      </c>
      <c r="O178">
        <v>4.7973428632282714E-258</v>
      </c>
      <c r="P178">
        <v>0.19930173786528829</v>
      </c>
      <c r="Q178">
        <v>1.056677541676994</v>
      </c>
      <c r="R178">
        <v>3.4030178117263579</v>
      </c>
      <c r="S178">
        <v>0.27848554821442961</v>
      </c>
      <c r="T178">
        <v>0.20140014257467401</v>
      </c>
      <c r="U178">
        <v>4.4784402405876946</v>
      </c>
      <c r="V178">
        <v>0.131494083357066</v>
      </c>
      <c r="W178">
        <v>8.1352850356978887</v>
      </c>
      <c r="X178">
        <v>0.31123838010216959</v>
      </c>
      <c r="Z178" t="s">
        <v>392</v>
      </c>
      <c r="AA178">
        <v>9937</v>
      </c>
      <c r="AB178" t="s">
        <v>569</v>
      </c>
      <c r="AC178" t="str">
        <f>HYPERLINK("plots/20251231000436_3FT6Y121H01_04823_B11P_N_UFLEX98_M5358A8BH101511/dpll_52046/txpa_54210.png","plot")</f>
        <v>plot</v>
      </c>
    </row>
    <row r="179" spans="1:29" x14ac:dyDescent="0.35">
      <c r="A179" t="s">
        <v>46</v>
      </c>
      <c r="B179">
        <v>52046</v>
      </c>
      <c r="C179" t="s">
        <v>51</v>
      </c>
      <c r="D179">
        <v>54211</v>
      </c>
      <c r="E179" t="s">
        <v>231</v>
      </c>
      <c r="F179">
        <v>8707</v>
      </c>
      <c r="G179">
        <v>0.43851833925103018</v>
      </c>
      <c r="H179">
        <v>0</v>
      </c>
      <c r="I179">
        <v>0</v>
      </c>
      <c r="J179">
        <v>0.36897555291714479</v>
      </c>
      <c r="K179">
        <v>5.3456653905557733E-279</v>
      </c>
      <c r="L179">
        <v>1.0037971677821399E-278</v>
      </c>
      <c r="M179">
        <v>0.25548785319192391</v>
      </c>
      <c r="N179">
        <v>6.1246857960379301E-280</v>
      </c>
      <c r="O179">
        <v>1.160828298538778E-279</v>
      </c>
      <c r="P179">
        <v>0.19229833385948161</v>
      </c>
      <c r="Q179">
        <v>1.0869862096741509</v>
      </c>
      <c r="R179">
        <v>4.1794099023856432</v>
      </c>
      <c r="S179">
        <v>0.292439861397992</v>
      </c>
      <c r="T179">
        <v>0.20293557820795119</v>
      </c>
      <c r="U179">
        <v>4.4786296923165274</v>
      </c>
      <c r="V179">
        <v>0.131280356437662</v>
      </c>
      <c r="W179">
        <v>9.0476186161708956</v>
      </c>
      <c r="X179">
        <v>0.32541384082720681</v>
      </c>
      <c r="Z179" t="s">
        <v>392</v>
      </c>
      <c r="AA179">
        <v>9937</v>
      </c>
      <c r="AB179" t="s">
        <v>570</v>
      </c>
      <c r="AC179" t="str">
        <f>HYPERLINK("plots/20251231000436_3FT6Y121H01_04823_B11P_N_UFLEX98_M5358A8BH101511/dpll_52046/txpa_54211.png","plot")</f>
        <v>plot</v>
      </c>
    </row>
    <row r="180" spans="1:29" x14ac:dyDescent="0.35">
      <c r="A180" t="s">
        <v>46</v>
      </c>
      <c r="B180">
        <v>52046</v>
      </c>
      <c r="C180" t="s">
        <v>51</v>
      </c>
      <c r="D180">
        <v>54212</v>
      </c>
      <c r="E180" t="s">
        <v>232</v>
      </c>
      <c r="F180">
        <v>8689</v>
      </c>
      <c r="G180">
        <v>0.49408328286950998</v>
      </c>
      <c r="H180">
        <v>0</v>
      </c>
      <c r="I180">
        <v>0</v>
      </c>
      <c r="J180">
        <v>0.4302284152279458</v>
      </c>
      <c r="K180">
        <v>0</v>
      </c>
      <c r="L180">
        <v>0</v>
      </c>
      <c r="M180">
        <v>0.30117439065886997</v>
      </c>
      <c r="N180">
        <v>0</v>
      </c>
      <c r="O180">
        <v>0</v>
      </c>
      <c r="P180">
        <v>0.24411829041111219</v>
      </c>
      <c r="Q180">
        <v>1.2377346159431359</v>
      </c>
      <c r="R180">
        <v>3.695270009315974</v>
      </c>
      <c r="S180">
        <v>0.28391591283980672</v>
      </c>
      <c r="T180">
        <v>0.1988822294750206</v>
      </c>
      <c r="U180">
        <v>4.4793358372655083</v>
      </c>
      <c r="V180">
        <v>0.1303648266324062</v>
      </c>
      <c r="W180">
        <v>9.2394990315341232</v>
      </c>
      <c r="X180">
        <v>0.3265786644049844</v>
      </c>
      <c r="Z180" t="s">
        <v>392</v>
      </c>
      <c r="AA180">
        <v>9937</v>
      </c>
      <c r="AB180" t="s">
        <v>571</v>
      </c>
      <c r="AC180" t="str">
        <f>HYPERLINK("plots/20251231000436_3FT6Y121H01_04823_B11P_N_UFLEX98_M5358A8BH101511/dpll_52046/txpa_54212.png","plot")</f>
        <v>plot</v>
      </c>
    </row>
    <row r="181" spans="1:29" x14ac:dyDescent="0.35">
      <c r="A181" t="s">
        <v>46</v>
      </c>
      <c r="B181">
        <v>52046</v>
      </c>
      <c r="C181" t="s">
        <v>51</v>
      </c>
      <c r="D181">
        <v>54213</v>
      </c>
      <c r="E181" t="s">
        <v>233</v>
      </c>
      <c r="F181">
        <v>8631</v>
      </c>
      <c r="G181">
        <v>0.46156494454646602</v>
      </c>
      <c r="H181">
        <v>0</v>
      </c>
      <c r="I181">
        <v>0</v>
      </c>
      <c r="J181">
        <v>0.43547811727293267</v>
      </c>
      <c r="K181">
        <v>0</v>
      </c>
      <c r="L181">
        <v>0</v>
      </c>
      <c r="M181">
        <v>0.30688643769364771</v>
      </c>
      <c r="N181">
        <v>0</v>
      </c>
      <c r="O181">
        <v>0</v>
      </c>
      <c r="P181">
        <v>0.21304219803418231</v>
      </c>
      <c r="Q181">
        <v>1.155815280387863</v>
      </c>
      <c r="R181">
        <v>4.1944280059430481</v>
      </c>
      <c r="S181">
        <v>0.28011385969612812</v>
      </c>
      <c r="T181">
        <v>0.19104990020068721</v>
      </c>
      <c r="U181">
        <v>4.4819011113428333</v>
      </c>
      <c r="V181">
        <v>0.1261038717520776</v>
      </c>
      <c r="W181">
        <v>9.3746777956204372</v>
      </c>
      <c r="X181">
        <v>0.31577957470392259</v>
      </c>
      <c r="Z181" t="s">
        <v>392</v>
      </c>
      <c r="AA181">
        <v>9937</v>
      </c>
      <c r="AB181" t="s">
        <v>572</v>
      </c>
      <c r="AC181" t="str">
        <f>HYPERLINK("plots/20251231000436_3FT6Y121H01_04823_B11P_N_UFLEX98_M5358A8BH101511/dpll_52046/txpa_54213.png","plot")</f>
        <v>plot</v>
      </c>
    </row>
    <row r="182" spans="1:29" x14ac:dyDescent="0.35">
      <c r="A182" t="s">
        <v>46</v>
      </c>
      <c r="B182">
        <v>52046</v>
      </c>
      <c r="C182" t="s">
        <v>51</v>
      </c>
      <c r="D182">
        <v>54214</v>
      </c>
      <c r="E182" t="s">
        <v>234</v>
      </c>
      <c r="F182">
        <v>8684</v>
      </c>
      <c r="G182">
        <v>0.5168129125408536</v>
      </c>
      <c r="H182">
        <v>0</v>
      </c>
      <c r="I182">
        <v>0</v>
      </c>
      <c r="J182">
        <v>0.44378812839917892</v>
      </c>
      <c r="K182">
        <v>0</v>
      </c>
      <c r="L182">
        <v>0</v>
      </c>
      <c r="M182">
        <v>0.31278430344148189</v>
      </c>
      <c r="N182">
        <v>0</v>
      </c>
      <c r="O182">
        <v>0</v>
      </c>
      <c r="P182">
        <v>0.26709558656895999</v>
      </c>
      <c r="Q182">
        <v>1.277512738573169</v>
      </c>
      <c r="R182">
        <v>3.4836959934698801</v>
      </c>
      <c r="S182">
        <v>0.27511258825425061</v>
      </c>
      <c r="T182">
        <v>0.19218811961614729</v>
      </c>
      <c r="U182">
        <v>4.4795735756563788</v>
      </c>
      <c r="V182">
        <v>0.1300109458151647</v>
      </c>
      <c r="W182">
        <v>9.206408299746661</v>
      </c>
      <c r="X182">
        <v>0.32137478650882112</v>
      </c>
      <c r="Z182" t="s">
        <v>392</v>
      </c>
      <c r="AA182">
        <v>9937</v>
      </c>
      <c r="AB182" t="s">
        <v>573</v>
      </c>
      <c r="AC182" t="str">
        <f>HYPERLINK("plots/20251231000436_3FT6Y121H01_04823_B11P_N_UFLEX98_M5358A8BH101511/dpll_52046/txpa_54214.png","plot")</f>
        <v>plot</v>
      </c>
    </row>
    <row r="183" spans="1:29" x14ac:dyDescent="0.35">
      <c r="A183" t="s">
        <v>46</v>
      </c>
      <c r="B183">
        <v>52046</v>
      </c>
      <c r="C183" t="s">
        <v>51</v>
      </c>
      <c r="D183">
        <v>54215</v>
      </c>
      <c r="E183" t="s">
        <v>235</v>
      </c>
      <c r="F183">
        <v>8633</v>
      </c>
      <c r="G183">
        <v>0.4853100638587009</v>
      </c>
      <c r="H183">
        <v>0</v>
      </c>
      <c r="I183">
        <v>0</v>
      </c>
      <c r="J183">
        <v>0.43546106539377077</v>
      </c>
      <c r="K183">
        <v>0</v>
      </c>
      <c r="L183">
        <v>0</v>
      </c>
      <c r="M183">
        <v>0.30579942983463859</v>
      </c>
      <c r="N183">
        <v>0</v>
      </c>
      <c r="O183">
        <v>0</v>
      </c>
      <c r="P183">
        <v>0.23552585808253629</v>
      </c>
      <c r="Q183">
        <v>1.13328576897644</v>
      </c>
      <c r="R183">
        <v>4.2643777216105043</v>
      </c>
      <c r="S183">
        <v>0.25711186462411639</v>
      </c>
      <c r="T183">
        <v>0.17610461149908871</v>
      </c>
      <c r="U183">
        <v>4.4820551042511294</v>
      </c>
      <c r="V183">
        <v>0.12593479357582871</v>
      </c>
      <c r="W183">
        <v>9.3438269870265245</v>
      </c>
      <c r="X183">
        <v>0.29408025921346959</v>
      </c>
      <c r="Z183" t="s">
        <v>392</v>
      </c>
      <c r="AA183">
        <v>9937</v>
      </c>
      <c r="AB183" t="s">
        <v>574</v>
      </c>
      <c r="AC183" t="str">
        <f>HYPERLINK("plots/20251231000436_3FT6Y121H01_04823_B11P_N_UFLEX98_M5358A8BH101511/dpll_52046/txpa_54215.png","plot")</f>
        <v>plot</v>
      </c>
    </row>
    <row r="184" spans="1:29" x14ac:dyDescent="0.35">
      <c r="A184" t="s">
        <v>46</v>
      </c>
      <c r="B184">
        <v>52046</v>
      </c>
      <c r="C184" t="s">
        <v>51</v>
      </c>
      <c r="D184">
        <v>54216</v>
      </c>
      <c r="E184" t="s">
        <v>236</v>
      </c>
      <c r="F184">
        <v>8648</v>
      </c>
      <c r="G184">
        <v>0.50322055784049569</v>
      </c>
      <c r="H184">
        <v>0</v>
      </c>
      <c r="I184">
        <v>0</v>
      </c>
      <c r="J184">
        <v>0.45470404814149779</v>
      </c>
      <c r="K184">
        <v>0</v>
      </c>
      <c r="L184">
        <v>0</v>
      </c>
      <c r="M184">
        <v>0.32290233496109799</v>
      </c>
      <c r="N184">
        <v>0</v>
      </c>
      <c r="O184">
        <v>0</v>
      </c>
      <c r="P184">
        <v>0.25323092983329959</v>
      </c>
      <c r="Q184">
        <v>1.1467033146747421</v>
      </c>
      <c r="R184">
        <v>4.1406416657600289</v>
      </c>
      <c r="S184">
        <v>0.2500191272832113</v>
      </c>
      <c r="T184">
        <v>0.17009683606215761</v>
      </c>
      <c r="U184">
        <v>4.481473116790009</v>
      </c>
      <c r="V184">
        <v>0.12697332482931131</v>
      </c>
      <c r="W184">
        <v>9.2795617434088804</v>
      </c>
      <c r="X184">
        <v>0.28933780663069542</v>
      </c>
      <c r="Z184" t="s">
        <v>392</v>
      </c>
      <c r="AA184">
        <v>9937</v>
      </c>
      <c r="AB184" t="s">
        <v>575</v>
      </c>
      <c r="AC184" t="str">
        <f>HYPERLINK("plots/20251231000436_3FT6Y121H01_04823_B11P_N_UFLEX98_M5358A8BH101511/dpll_52046/txpa_54216.png","plot")</f>
        <v>plot</v>
      </c>
    </row>
    <row r="185" spans="1:29" x14ac:dyDescent="0.35">
      <c r="A185" t="s">
        <v>46</v>
      </c>
      <c r="B185">
        <v>52046</v>
      </c>
      <c r="C185" t="s">
        <v>51</v>
      </c>
      <c r="D185">
        <v>54217</v>
      </c>
      <c r="E185" t="s">
        <v>237</v>
      </c>
      <c r="F185">
        <v>8630</v>
      </c>
      <c r="G185">
        <v>0.46885309452696289</v>
      </c>
      <c r="H185">
        <v>0</v>
      </c>
      <c r="I185">
        <v>0</v>
      </c>
      <c r="J185">
        <v>0.42336231997537671</v>
      </c>
      <c r="K185">
        <v>0</v>
      </c>
      <c r="L185">
        <v>0</v>
      </c>
      <c r="M185">
        <v>0.29626511872312439</v>
      </c>
      <c r="N185">
        <v>0</v>
      </c>
      <c r="O185">
        <v>0</v>
      </c>
      <c r="P185">
        <v>0.21982322424750919</v>
      </c>
      <c r="Q185">
        <v>1.096588007799562</v>
      </c>
      <c r="R185">
        <v>4.4631930438401257</v>
      </c>
      <c r="S185">
        <v>0.2592446613889931</v>
      </c>
      <c r="T185">
        <v>0.17926105963200001</v>
      </c>
      <c r="U185">
        <v>4.482379063267671</v>
      </c>
      <c r="V185">
        <v>0.1254965453177993</v>
      </c>
      <c r="W185">
        <v>9.3785161710312863</v>
      </c>
      <c r="X185">
        <v>0.29352052534625811</v>
      </c>
      <c r="Z185" t="s">
        <v>392</v>
      </c>
      <c r="AA185">
        <v>9937</v>
      </c>
      <c r="AB185" t="s">
        <v>576</v>
      </c>
      <c r="AC185" t="str">
        <f>HYPERLINK("plots/20251231000436_3FT6Y121H01_04823_B11P_N_UFLEX98_M5358A8BH101511/dpll_52046/txpa_54217.png","plot")</f>
        <v>plot</v>
      </c>
    </row>
    <row r="186" spans="1:29" x14ac:dyDescent="0.35">
      <c r="A186" t="s">
        <v>46</v>
      </c>
      <c r="B186">
        <v>52046</v>
      </c>
      <c r="C186" t="s">
        <v>51</v>
      </c>
      <c r="D186">
        <v>54218</v>
      </c>
      <c r="E186" t="s">
        <v>238</v>
      </c>
      <c r="F186">
        <v>8709</v>
      </c>
      <c r="G186">
        <v>0.46795439565653418</v>
      </c>
      <c r="H186">
        <v>0</v>
      </c>
      <c r="I186">
        <v>0</v>
      </c>
      <c r="J186">
        <v>0.36681648819519952</v>
      </c>
      <c r="K186">
        <v>1.3826791804964709E-275</v>
      </c>
      <c r="L186">
        <v>2.5772733254107011E-275</v>
      </c>
      <c r="M186">
        <v>0.25414746064471921</v>
      </c>
      <c r="N186">
        <v>4.274463580632394E-277</v>
      </c>
      <c r="O186">
        <v>7.9968746693011954E-277</v>
      </c>
      <c r="P186">
        <v>0.21898131641427221</v>
      </c>
      <c r="Q186">
        <v>1.124327471783964</v>
      </c>
      <c r="R186">
        <v>3.9811670138026121</v>
      </c>
      <c r="S186">
        <v>0.27887819741368269</v>
      </c>
      <c r="T186">
        <v>0.199897640791559</v>
      </c>
      <c r="U186">
        <v>4.4785637383166836</v>
      </c>
      <c r="V186">
        <v>0.13134679949712469</v>
      </c>
      <c r="W186">
        <v>9.0165392589275459</v>
      </c>
      <c r="X186">
        <v>0.31557950171261601</v>
      </c>
      <c r="Z186" t="s">
        <v>392</v>
      </c>
      <c r="AA186">
        <v>9937</v>
      </c>
      <c r="AB186" t="s">
        <v>577</v>
      </c>
      <c r="AC186" t="str">
        <f>HYPERLINK("plots/20251231000436_3FT6Y121H01_04823_B11P_N_UFLEX98_M5358A8BH101511/dpll_52046/txpa_54218.png","plot")</f>
        <v>plot</v>
      </c>
    </row>
    <row r="187" spans="1:29" x14ac:dyDescent="0.35">
      <c r="A187" t="s">
        <v>46</v>
      </c>
      <c r="B187">
        <v>52046</v>
      </c>
      <c r="C187" t="s">
        <v>51</v>
      </c>
      <c r="D187">
        <v>54219</v>
      </c>
      <c r="E187" t="s">
        <v>239</v>
      </c>
      <c r="F187">
        <v>8697</v>
      </c>
      <c r="G187">
        <v>0.46028316941515668</v>
      </c>
      <c r="H187">
        <v>0</v>
      </c>
      <c r="I187">
        <v>0</v>
      </c>
      <c r="J187">
        <v>0.39329939782043738</v>
      </c>
      <c r="K187">
        <v>0</v>
      </c>
      <c r="L187">
        <v>0</v>
      </c>
      <c r="M187">
        <v>0.27374029386500642</v>
      </c>
      <c r="N187">
        <v>0</v>
      </c>
      <c r="O187">
        <v>0</v>
      </c>
      <c r="P187">
        <v>0.2118605960468618</v>
      </c>
      <c r="Q187">
        <v>1.188500711268071</v>
      </c>
      <c r="R187">
        <v>4.5847768919849461</v>
      </c>
      <c r="S187">
        <v>0.3002088865763563</v>
      </c>
      <c r="T187">
        <v>0.2049403403046581</v>
      </c>
      <c r="U187">
        <v>4.4788322689433144</v>
      </c>
      <c r="V187">
        <v>0.13097024551861941</v>
      </c>
      <c r="W187">
        <v>9.9078722292744619</v>
      </c>
      <c r="X187">
        <v>0.33817927809877318</v>
      </c>
      <c r="Z187" t="s">
        <v>392</v>
      </c>
      <c r="AA187">
        <v>9937</v>
      </c>
      <c r="AB187" t="s">
        <v>578</v>
      </c>
      <c r="AC187" t="str">
        <f>HYPERLINK("plots/20251231000436_3FT6Y121H01_04823_B11P_N_UFLEX98_M5358A8BH101511/dpll_52046/txpa_54219.png","plot")</f>
        <v>plot</v>
      </c>
    </row>
    <row r="188" spans="1:29" x14ac:dyDescent="0.35">
      <c r="A188" t="s">
        <v>46</v>
      </c>
      <c r="B188">
        <v>52046</v>
      </c>
      <c r="C188" t="s">
        <v>51</v>
      </c>
      <c r="D188">
        <v>54220</v>
      </c>
      <c r="E188" t="s">
        <v>240</v>
      </c>
      <c r="F188">
        <v>8666</v>
      </c>
      <c r="G188">
        <v>0.49415495152853123</v>
      </c>
      <c r="H188">
        <v>0</v>
      </c>
      <c r="I188">
        <v>0</v>
      </c>
      <c r="J188">
        <v>0.45072802500088888</v>
      </c>
      <c r="K188">
        <v>0</v>
      </c>
      <c r="L188">
        <v>0</v>
      </c>
      <c r="M188">
        <v>0.31954026659348422</v>
      </c>
      <c r="N188">
        <v>0</v>
      </c>
      <c r="O188">
        <v>0</v>
      </c>
      <c r="P188">
        <v>0.24418911612016511</v>
      </c>
      <c r="Q188">
        <v>1.30043574079137</v>
      </c>
      <c r="R188">
        <v>4.2327279831242111</v>
      </c>
      <c r="S188">
        <v>0.29502792363461988</v>
      </c>
      <c r="T188">
        <v>0.20082849927783711</v>
      </c>
      <c r="U188">
        <v>4.4800894562658673</v>
      </c>
      <c r="V188">
        <v>0.12896024966259881</v>
      </c>
      <c r="W188">
        <v>10.058796433994919</v>
      </c>
      <c r="X188">
        <v>0.33937637836851448</v>
      </c>
      <c r="Z188" t="s">
        <v>392</v>
      </c>
      <c r="AA188">
        <v>9937</v>
      </c>
      <c r="AB188" t="s">
        <v>579</v>
      </c>
      <c r="AC188" t="str">
        <f>HYPERLINK("plots/20251231000436_3FT6Y121H01_04823_B11P_N_UFLEX98_M5358A8BH101511/dpll_52046/txpa_54220.png","plot")</f>
        <v>plot</v>
      </c>
    </row>
    <row r="189" spans="1:29" x14ac:dyDescent="0.35">
      <c r="A189" t="s">
        <v>46</v>
      </c>
      <c r="B189">
        <v>52046</v>
      </c>
      <c r="C189" t="s">
        <v>51</v>
      </c>
      <c r="D189">
        <v>54221</v>
      </c>
      <c r="E189" t="s">
        <v>241</v>
      </c>
      <c r="F189">
        <v>8588</v>
      </c>
      <c r="G189">
        <v>0.42424219700136429</v>
      </c>
      <c r="H189">
        <v>0</v>
      </c>
      <c r="I189">
        <v>0</v>
      </c>
      <c r="J189">
        <v>0.44579279111548809</v>
      </c>
      <c r="K189">
        <v>0</v>
      </c>
      <c r="L189">
        <v>0</v>
      </c>
      <c r="M189">
        <v>0.31783553937055858</v>
      </c>
      <c r="N189">
        <v>0</v>
      </c>
      <c r="O189">
        <v>0</v>
      </c>
      <c r="P189">
        <v>0.1799814417165444</v>
      </c>
      <c r="Q189">
        <v>1.1113846643867411</v>
      </c>
      <c r="R189">
        <v>5.158874332095805</v>
      </c>
      <c r="S189">
        <v>0.29190277906842221</v>
      </c>
      <c r="T189">
        <v>0.19487589224809279</v>
      </c>
      <c r="U189">
        <v>4.4838849913833254</v>
      </c>
      <c r="V189">
        <v>0.12305553102826999</v>
      </c>
      <c r="W189">
        <v>10.142195348393111</v>
      </c>
      <c r="X189">
        <v>0.32236781494026201</v>
      </c>
      <c r="Z189" t="s">
        <v>392</v>
      </c>
      <c r="AA189">
        <v>9937</v>
      </c>
      <c r="AB189" t="s">
        <v>580</v>
      </c>
      <c r="AC189" t="str">
        <f>HYPERLINK("plots/20251231000436_3FT6Y121H01_04823_B11P_N_UFLEX98_M5358A8BH101511/dpll_52046/txpa_54221.png","plot")</f>
        <v>plot</v>
      </c>
    </row>
    <row r="190" spans="1:29" x14ac:dyDescent="0.35">
      <c r="A190" t="s">
        <v>46</v>
      </c>
      <c r="B190">
        <v>52046</v>
      </c>
      <c r="C190" t="s">
        <v>51</v>
      </c>
      <c r="D190">
        <v>54222</v>
      </c>
      <c r="E190" t="s">
        <v>242</v>
      </c>
      <c r="F190">
        <v>8649</v>
      </c>
      <c r="G190">
        <v>0.49814054025508031</v>
      </c>
      <c r="H190">
        <v>0</v>
      </c>
      <c r="I190">
        <v>0</v>
      </c>
      <c r="J190">
        <v>0.45920580294062391</v>
      </c>
      <c r="K190">
        <v>0</v>
      </c>
      <c r="L190">
        <v>0</v>
      </c>
      <c r="M190">
        <v>0.32782641366967769</v>
      </c>
      <c r="N190">
        <v>0</v>
      </c>
      <c r="O190">
        <v>0</v>
      </c>
      <c r="P190">
        <v>0.2481439978456233</v>
      </c>
      <c r="Q190">
        <v>1.2891577527884019</v>
      </c>
      <c r="R190">
        <v>4.2483620714406207</v>
      </c>
      <c r="S190">
        <v>0.28568034306143097</v>
      </c>
      <c r="T190">
        <v>0.1939819595428072</v>
      </c>
      <c r="U190">
        <v>4.4811085327783564</v>
      </c>
      <c r="V190">
        <v>0.1273162838903007</v>
      </c>
      <c r="W190">
        <v>10.0252178775581</v>
      </c>
      <c r="X190">
        <v>0.32948688406156351</v>
      </c>
      <c r="Z190" t="s">
        <v>392</v>
      </c>
      <c r="AA190">
        <v>9937</v>
      </c>
      <c r="AB190" t="s">
        <v>581</v>
      </c>
      <c r="AC190" t="str">
        <f>HYPERLINK("plots/20251231000436_3FT6Y121H01_04823_B11P_N_UFLEX98_M5358A8BH101511/dpll_52046/txpa_54222.png","plot")</f>
        <v>plot</v>
      </c>
    </row>
    <row r="191" spans="1:29" x14ac:dyDescent="0.35">
      <c r="A191" t="s">
        <v>46</v>
      </c>
      <c r="B191">
        <v>52046</v>
      </c>
      <c r="C191" t="s">
        <v>51</v>
      </c>
      <c r="D191">
        <v>54223</v>
      </c>
      <c r="E191" t="s">
        <v>243</v>
      </c>
      <c r="F191">
        <v>8586</v>
      </c>
      <c r="G191">
        <v>0.4440185709037951</v>
      </c>
      <c r="H191">
        <v>0</v>
      </c>
      <c r="I191">
        <v>0</v>
      </c>
      <c r="J191">
        <v>0.4468308578924296</v>
      </c>
      <c r="K191">
        <v>0</v>
      </c>
      <c r="L191">
        <v>0</v>
      </c>
      <c r="M191">
        <v>0.31806730006087708</v>
      </c>
      <c r="N191">
        <v>0</v>
      </c>
      <c r="O191">
        <v>0</v>
      </c>
      <c r="P191">
        <v>0.1971524913074485</v>
      </c>
      <c r="Q191">
        <v>1.079255325515061</v>
      </c>
      <c r="R191">
        <v>5.3041115763785083</v>
      </c>
      <c r="S191">
        <v>0.26719299432955501</v>
      </c>
      <c r="T191">
        <v>0.17878182862006509</v>
      </c>
      <c r="U191">
        <v>4.4842037658979734</v>
      </c>
      <c r="V191">
        <v>0.122690450639467</v>
      </c>
      <c r="W191">
        <v>10.143712371418591</v>
      </c>
      <c r="X191">
        <v>0.29821798212844902</v>
      </c>
      <c r="Z191" t="s">
        <v>392</v>
      </c>
      <c r="AA191">
        <v>9937</v>
      </c>
      <c r="AB191" t="s">
        <v>582</v>
      </c>
      <c r="AC191" t="str">
        <f>HYPERLINK("plots/20251231000436_3FT6Y121H01_04823_B11P_N_UFLEX98_M5358A8BH101511/dpll_52046/txpa_54223.png","plot")</f>
        <v>plot</v>
      </c>
    </row>
    <row r="192" spans="1:29" x14ac:dyDescent="0.35">
      <c r="A192" t="s">
        <v>46</v>
      </c>
      <c r="B192">
        <v>52046</v>
      </c>
      <c r="C192" t="s">
        <v>51</v>
      </c>
      <c r="D192">
        <v>54224</v>
      </c>
      <c r="E192" t="s">
        <v>244</v>
      </c>
      <c r="F192">
        <v>8619</v>
      </c>
      <c r="G192">
        <v>0.47209294333097851</v>
      </c>
      <c r="H192">
        <v>0</v>
      </c>
      <c r="I192">
        <v>0</v>
      </c>
      <c r="J192">
        <v>0.46372466595118111</v>
      </c>
      <c r="K192">
        <v>0</v>
      </c>
      <c r="L192">
        <v>0</v>
      </c>
      <c r="M192">
        <v>0.33348668638331302</v>
      </c>
      <c r="N192">
        <v>0</v>
      </c>
      <c r="O192">
        <v>0</v>
      </c>
      <c r="P192">
        <v>0.22287174714290639</v>
      </c>
      <c r="Q192">
        <v>1.1514540616441571</v>
      </c>
      <c r="R192">
        <v>4.9203210727569946</v>
      </c>
      <c r="S192">
        <v>0.26778199923602353</v>
      </c>
      <c r="T192">
        <v>0.17809348896027041</v>
      </c>
      <c r="U192">
        <v>4.4829575890474533</v>
      </c>
      <c r="V192">
        <v>0.1245492505958822</v>
      </c>
      <c r="W192">
        <v>10.082240796844181</v>
      </c>
      <c r="X192">
        <v>0.30378073322061838</v>
      </c>
      <c r="Z192" t="s">
        <v>392</v>
      </c>
      <c r="AA192">
        <v>9937</v>
      </c>
      <c r="AB192" t="s">
        <v>583</v>
      </c>
      <c r="AC192" t="str">
        <f>HYPERLINK("plots/20251231000436_3FT6Y121H01_04823_B11P_N_UFLEX98_M5358A8BH101511/dpll_52046/txpa_54224.png","plot")</f>
        <v>plot</v>
      </c>
    </row>
    <row r="193" spans="1:29" x14ac:dyDescent="0.35">
      <c r="A193" t="s">
        <v>46</v>
      </c>
      <c r="B193">
        <v>52046</v>
      </c>
      <c r="C193" t="s">
        <v>51</v>
      </c>
      <c r="D193">
        <v>54225</v>
      </c>
      <c r="E193" t="s">
        <v>245</v>
      </c>
      <c r="F193">
        <v>8594</v>
      </c>
      <c r="G193">
        <v>0.43494538342167649</v>
      </c>
      <c r="H193">
        <v>0</v>
      </c>
      <c r="I193">
        <v>0</v>
      </c>
      <c r="J193">
        <v>0.43635982663989392</v>
      </c>
      <c r="K193">
        <v>0</v>
      </c>
      <c r="L193">
        <v>0</v>
      </c>
      <c r="M193">
        <v>0.30905390217670148</v>
      </c>
      <c r="N193">
        <v>0</v>
      </c>
      <c r="O193">
        <v>0</v>
      </c>
      <c r="P193">
        <v>0.18917748655982919</v>
      </c>
      <c r="Q193">
        <v>1.073726264648116</v>
      </c>
      <c r="R193">
        <v>5.3415326755655386</v>
      </c>
      <c r="S193">
        <v>0.27316787565272432</v>
      </c>
      <c r="T193">
        <v>0.18461095839111469</v>
      </c>
      <c r="U193">
        <v>4.4840887159646261</v>
      </c>
      <c r="V193">
        <v>0.12289469711274981</v>
      </c>
      <c r="W193">
        <v>10.156216502909009</v>
      </c>
      <c r="X193">
        <v>0.30338352608287089</v>
      </c>
      <c r="Z193" t="s">
        <v>392</v>
      </c>
      <c r="AA193">
        <v>9937</v>
      </c>
      <c r="AB193" t="s">
        <v>584</v>
      </c>
      <c r="AC193" t="str">
        <f>HYPERLINK("plots/20251231000436_3FT6Y121H01_04823_B11P_N_UFLEX98_M5358A8BH101511/dpll_52046/txpa_54225.png","plot")</f>
        <v>plot</v>
      </c>
    </row>
    <row r="194" spans="1:29" x14ac:dyDescent="0.35">
      <c r="A194" t="s">
        <v>46</v>
      </c>
      <c r="B194">
        <v>52046</v>
      </c>
      <c r="C194" t="s">
        <v>51</v>
      </c>
      <c r="D194">
        <v>54226</v>
      </c>
      <c r="E194" t="s">
        <v>246</v>
      </c>
      <c r="F194">
        <v>8701</v>
      </c>
      <c r="G194">
        <v>0.48522552874645641</v>
      </c>
      <c r="H194">
        <v>0</v>
      </c>
      <c r="I194">
        <v>0</v>
      </c>
      <c r="J194">
        <v>0.38457875635938721</v>
      </c>
      <c r="K194">
        <v>1.0323260292829971E-304</v>
      </c>
      <c r="L194">
        <v>2.1494426975214761E-304</v>
      </c>
      <c r="M194">
        <v>0.26675050546014512</v>
      </c>
      <c r="N194">
        <v>9.2448972091663542E-305</v>
      </c>
      <c r="O194">
        <v>1.9170400347841889E-304</v>
      </c>
      <c r="P194">
        <v>0.23544381374727821</v>
      </c>
      <c r="Q194">
        <v>1.199717098556492</v>
      </c>
      <c r="R194">
        <v>4.5106322811373678</v>
      </c>
      <c r="S194">
        <v>0.28321160054582911</v>
      </c>
      <c r="T194">
        <v>0.20060187714118249</v>
      </c>
      <c r="U194">
        <v>4.4788702597402592</v>
      </c>
      <c r="V194">
        <v>0.13100747808887919</v>
      </c>
      <c r="W194">
        <v>9.8840095139639139</v>
      </c>
      <c r="X194">
        <v>0.32391517385335239</v>
      </c>
      <c r="Z194" t="s">
        <v>392</v>
      </c>
      <c r="AA194">
        <v>9937</v>
      </c>
      <c r="AB194" t="s">
        <v>585</v>
      </c>
      <c r="AC194" t="str">
        <f>HYPERLINK("plots/20251231000436_3FT6Y121H01_04823_B11P_N_UFLEX98_M5358A8BH101511/dpll_52046/txpa_54226.png","plot")</f>
        <v>plot</v>
      </c>
    </row>
    <row r="195" spans="1:29" x14ac:dyDescent="0.35">
      <c r="A195" t="s">
        <v>46</v>
      </c>
      <c r="B195">
        <v>52046</v>
      </c>
      <c r="C195" t="s">
        <v>51</v>
      </c>
      <c r="D195">
        <v>54227</v>
      </c>
      <c r="E195" t="s">
        <v>247</v>
      </c>
      <c r="F195">
        <v>8690</v>
      </c>
      <c r="G195">
        <v>0.47055196978649272</v>
      </c>
      <c r="H195">
        <v>0</v>
      </c>
      <c r="I195">
        <v>0</v>
      </c>
      <c r="J195">
        <v>0.40784538083576921</v>
      </c>
      <c r="K195">
        <v>0</v>
      </c>
      <c r="L195">
        <v>0</v>
      </c>
      <c r="M195">
        <v>0.28491947976759602</v>
      </c>
      <c r="N195">
        <v>0</v>
      </c>
      <c r="O195">
        <v>0</v>
      </c>
      <c r="P195">
        <v>0.22141915626994829</v>
      </c>
      <c r="Q195">
        <v>1.2506619112883171</v>
      </c>
      <c r="R195">
        <v>4.7043592214175458</v>
      </c>
      <c r="S195">
        <v>0.30676344826578589</v>
      </c>
      <c r="T195">
        <v>0.20787151100173021</v>
      </c>
      <c r="U195">
        <v>4.4789347867663976</v>
      </c>
      <c r="V195">
        <v>0.13081104515229891</v>
      </c>
      <c r="W195">
        <v>10.305992362370541</v>
      </c>
      <c r="X195">
        <v>0.34767762596345791</v>
      </c>
      <c r="Z195" t="s">
        <v>392</v>
      </c>
      <c r="AA195">
        <v>9937</v>
      </c>
      <c r="AB195" t="s">
        <v>586</v>
      </c>
      <c r="AC195" t="str">
        <f>HYPERLINK("plots/20251231000436_3FT6Y121H01_04823_B11P_N_UFLEX98_M5358A8BH101511/dpll_52046/txpa_54227.png","plot")</f>
        <v>plot</v>
      </c>
    </row>
    <row r="196" spans="1:29" x14ac:dyDescent="0.35">
      <c r="A196" t="s">
        <v>46</v>
      </c>
      <c r="B196">
        <v>52046</v>
      </c>
      <c r="C196" t="s">
        <v>51</v>
      </c>
      <c r="D196">
        <v>54228</v>
      </c>
      <c r="E196" t="s">
        <v>248</v>
      </c>
      <c r="F196">
        <v>8649</v>
      </c>
      <c r="G196">
        <v>0.48174623233206598</v>
      </c>
      <c r="H196">
        <v>0</v>
      </c>
      <c r="I196">
        <v>0</v>
      </c>
      <c r="J196">
        <v>0.45809788188363659</v>
      </c>
      <c r="K196">
        <v>0</v>
      </c>
      <c r="L196">
        <v>0</v>
      </c>
      <c r="M196">
        <v>0.32694911975368318</v>
      </c>
      <c r="N196">
        <v>0</v>
      </c>
      <c r="O196">
        <v>0</v>
      </c>
      <c r="P196">
        <v>0.23207943236614101</v>
      </c>
      <c r="Q196">
        <v>1.3076764229257081</v>
      </c>
      <c r="R196">
        <v>4.5746699139129836</v>
      </c>
      <c r="S196">
        <v>0.30355532558104481</v>
      </c>
      <c r="T196">
        <v>0.2032914415852955</v>
      </c>
      <c r="U196">
        <v>4.4809146427332642</v>
      </c>
      <c r="V196">
        <v>0.12762120707614999</v>
      </c>
      <c r="W196">
        <v>10.43425634535784</v>
      </c>
      <c r="X196">
        <v>0.34642148159814973</v>
      </c>
      <c r="Z196" t="s">
        <v>392</v>
      </c>
      <c r="AA196">
        <v>9937</v>
      </c>
      <c r="AB196" t="s">
        <v>587</v>
      </c>
      <c r="AC196" t="str">
        <f>HYPERLINK("plots/20251231000436_3FT6Y121H01_04823_B11P_N_UFLEX98_M5358A8BH101511/dpll_52046/txpa_54228.png","plot")</f>
        <v>plot</v>
      </c>
    </row>
    <row r="197" spans="1:29" x14ac:dyDescent="0.35">
      <c r="A197" t="s">
        <v>46</v>
      </c>
      <c r="B197">
        <v>52046</v>
      </c>
      <c r="C197" t="s">
        <v>51</v>
      </c>
      <c r="D197">
        <v>54229</v>
      </c>
      <c r="E197" t="s">
        <v>249</v>
      </c>
      <c r="F197">
        <v>8591</v>
      </c>
      <c r="G197">
        <v>0.42355771860169222</v>
      </c>
      <c r="H197">
        <v>0</v>
      </c>
      <c r="I197">
        <v>0</v>
      </c>
      <c r="J197">
        <v>0.44874425237294968</v>
      </c>
      <c r="K197">
        <v>0</v>
      </c>
      <c r="L197">
        <v>0</v>
      </c>
      <c r="M197">
        <v>0.32107718525179202</v>
      </c>
      <c r="N197">
        <v>0</v>
      </c>
      <c r="O197">
        <v>0</v>
      </c>
      <c r="P197">
        <v>0.1794011409870703</v>
      </c>
      <c r="Q197">
        <v>1.1681158116364969</v>
      </c>
      <c r="R197">
        <v>5.2428568441780534</v>
      </c>
      <c r="S197">
        <v>0.30772106367361252</v>
      </c>
      <c r="T197">
        <v>0.20444922686434949</v>
      </c>
      <c r="U197">
        <v>4.4838116842043991</v>
      </c>
      <c r="V197">
        <v>0.12318100583252189</v>
      </c>
      <c r="W197">
        <v>10.48046816889768</v>
      </c>
      <c r="X197">
        <v>0.33971681848057222</v>
      </c>
      <c r="Z197" t="s">
        <v>392</v>
      </c>
      <c r="AA197">
        <v>9937</v>
      </c>
      <c r="AB197" t="s">
        <v>588</v>
      </c>
      <c r="AC197" t="str">
        <f>HYPERLINK("plots/20251231000436_3FT6Y121H01_04823_B11P_N_UFLEX98_M5358A8BH101511/dpll_52046/txpa_54229.png","plot")</f>
        <v>plot</v>
      </c>
    </row>
    <row r="198" spans="1:29" x14ac:dyDescent="0.35">
      <c r="A198" t="s">
        <v>46</v>
      </c>
      <c r="B198">
        <v>52046</v>
      </c>
      <c r="C198" t="s">
        <v>51</v>
      </c>
      <c r="D198">
        <v>54230</v>
      </c>
      <c r="E198" t="s">
        <v>250</v>
      </c>
      <c r="F198">
        <v>8622</v>
      </c>
      <c r="G198">
        <v>0.47620650230479322</v>
      </c>
      <c r="H198">
        <v>0</v>
      </c>
      <c r="I198">
        <v>0</v>
      </c>
      <c r="J198">
        <v>0.46288461667935638</v>
      </c>
      <c r="K198">
        <v>0</v>
      </c>
      <c r="L198">
        <v>0</v>
      </c>
      <c r="M198">
        <v>0.33241671225480829</v>
      </c>
      <c r="N198">
        <v>0</v>
      </c>
      <c r="O198">
        <v>0</v>
      </c>
      <c r="P198">
        <v>0.22677263283736501</v>
      </c>
      <c r="Q198">
        <v>1.2596172201100291</v>
      </c>
      <c r="R198">
        <v>4.7549371403140626</v>
      </c>
      <c r="S198">
        <v>0.29168092824846947</v>
      </c>
      <c r="T198">
        <v>0.19552454747750761</v>
      </c>
      <c r="U198">
        <v>4.4823509119693803</v>
      </c>
      <c r="V198">
        <v>0.1254112058426862</v>
      </c>
      <c r="W198">
        <v>10.40098353560659</v>
      </c>
      <c r="X198">
        <v>0.33172607620780298</v>
      </c>
      <c r="Z198" t="s">
        <v>392</v>
      </c>
      <c r="AA198">
        <v>9937</v>
      </c>
      <c r="AB198" t="s">
        <v>589</v>
      </c>
      <c r="AC198" t="str">
        <f>HYPERLINK("plots/20251231000436_3FT6Y121H01_04823_B11P_N_UFLEX98_M5358A8BH101511/dpll_52046/txpa_54230.png","plot")</f>
        <v>plot</v>
      </c>
    </row>
    <row r="199" spans="1:29" x14ac:dyDescent="0.35">
      <c r="A199" t="s">
        <v>46</v>
      </c>
      <c r="B199">
        <v>52046</v>
      </c>
      <c r="C199" t="s">
        <v>51</v>
      </c>
      <c r="D199">
        <v>54231</v>
      </c>
      <c r="E199" t="s">
        <v>251</v>
      </c>
      <c r="F199">
        <v>8579</v>
      </c>
      <c r="G199">
        <v>0.4350993633030743</v>
      </c>
      <c r="H199">
        <v>0</v>
      </c>
      <c r="I199">
        <v>0</v>
      </c>
      <c r="J199">
        <v>0.45218398767677942</v>
      </c>
      <c r="K199">
        <v>0</v>
      </c>
      <c r="L199">
        <v>0</v>
      </c>
      <c r="M199">
        <v>0.32388838675764131</v>
      </c>
      <c r="N199">
        <v>0</v>
      </c>
      <c r="O199">
        <v>0</v>
      </c>
      <c r="P199">
        <v>0.18931145594674059</v>
      </c>
      <c r="Q199">
        <v>1.103413356442956</v>
      </c>
      <c r="R199">
        <v>5.5535050488665672</v>
      </c>
      <c r="S199">
        <v>0.27905425436220382</v>
      </c>
      <c r="T199">
        <v>0.18532808023258529</v>
      </c>
      <c r="U199">
        <v>4.4845233130901034</v>
      </c>
      <c r="V199">
        <v>0.12221855764230589</v>
      </c>
      <c r="W199">
        <v>10.50178796981</v>
      </c>
      <c r="X199">
        <v>0.30994664732197469</v>
      </c>
      <c r="Z199" t="s">
        <v>392</v>
      </c>
      <c r="AA199">
        <v>9937</v>
      </c>
      <c r="AB199" t="s">
        <v>590</v>
      </c>
      <c r="AC199" t="str">
        <f>HYPERLINK("plots/20251231000436_3FT6Y121H01_04823_B11P_N_UFLEX98_M5358A8BH101511/dpll_52046/txpa_54231.png","plot")</f>
        <v>plot</v>
      </c>
    </row>
    <row r="200" spans="1:29" x14ac:dyDescent="0.35">
      <c r="A200" t="s">
        <v>46</v>
      </c>
      <c r="B200">
        <v>52046</v>
      </c>
      <c r="C200" t="s">
        <v>51</v>
      </c>
      <c r="D200">
        <v>54232</v>
      </c>
      <c r="E200" t="s">
        <v>252</v>
      </c>
      <c r="F200">
        <v>8617</v>
      </c>
      <c r="G200">
        <v>0.46726737047117278</v>
      </c>
      <c r="H200">
        <v>0</v>
      </c>
      <c r="I200">
        <v>0</v>
      </c>
      <c r="J200">
        <v>0.46713514027065939</v>
      </c>
      <c r="K200">
        <v>0</v>
      </c>
      <c r="L200">
        <v>0</v>
      </c>
      <c r="M200">
        <v>0.33756826253713251</v>
      </c>
      <c r="N200">
        <v>0</v>
      </c>
      <c r="O200">
        <v>0</v>
      </c>
      <c r="P200">
        <v>0.2183387955070443</v>
      </c>
      <c r="Q200">
        <v>1.198194929849677</v>
      </c>
      <c r="R200">
        <v>5.0711958639765546</v>
      </c>
      <c r="S200">
        <v>0.28214588668119378</v>
      </c>
      <c r="T200">
        <v>0.1864149605968651</v>
      </c>
      <c r="U200">
        <v>4.4830350850644081</v>
      </c>
      <c r="V200">
        <v>0.12445937716098091</v>
      </c>
      <c r="W200">
        <v>10.44274577323894</v>
      </c>
      <c r="X200">
        <v>0.31914617649454741</v>
      </c>
      <c r="Z200" t="s">
        <v>392</v>
      </c>
      <c r="AA200">
        <v>9937</v>
      </c>
      <c r="AB200" t="s">
        <v>591</v>
      </c>
      <c r="AC200" t="str">
        <f>HYPERLINK("plots/20251231000436_3FT6Y121H01_04823_B11P_N_UFLEX98_M5358A8BH101511/dpll_52046/txpa_54232.png","plot")</f>
        <v>plot</v>
      </c>
    </row>
    <row r="201" spans="1:29" x14ac:dyDescent="0.35">
      <c r="A201" t="s">
        <v>46</v>
      </c>
      <c r="B201">
        <v>52046</v>
      </c>
      <c r="C201" t="s">
        <v>51</v>
      </c>
      <c r="D201">
        <v>54233</v>
      </c>
      <c r="E201" t="s">
        <v>253</v>
      </c>
      <c r="F201">
        <v>8598</v>
      </c>
      <c r="G201">
        <v>0.43720526799548248</v>
      </c>
      <c r="H201">
        <v>0</v>
      </c>
      <c r="I201">
        <v>0</v>
      </c>
      <c r="J201">
        <v>0.44140301076550709</v>
      </c>
      <c r="K201">
        <v>0</v>
      </c>
      <c r="L201">
        <v>0</v>
      </c>
      <c r="M201">
        <v>0.31396908451036842</v>
      </c>
      <c r="N201">
        <v>0</v>
      </c>
      <c r="O201">
        <v>0</v>
      </c>
      <c r="P201">
        <v>0.19114844636300171</v>
      </c>
      <c r="Q201">
        <v>1.141595499876336</v>
      </c>
      <c r="R201">
        <v>5.3804367326195974</v>
      </c>
      <c r="S201">
        <v>0.28929482853451399</v>
      </c>
      <c r="T201">
        <v>0.19434377154056259</v>
      </c>
      <c r="U201">
        <v>4.4838975200046516</v>
      </c>
      <c r="V201">
        <v>0.1231982824802058</v>
      </c>
      <c r="W201">
        <v>10.499233963363571</v>
      </c>
      <c r="X201">
        <v>0.32168552203572681</v>
      </c>
      <c r="Z201" t="s">
        <v>392</v>
      </c>
      <c r="AA201">
        <v>9937</v>
      </c>
      <c r="AB201" t="s">
        <v>592</v>
      </c>
      <c r="AC201" t="str">
        <f>HYPERLINK("plots/20251231000436_3FT6Y121H01_04823_B11P_N_UFLEX98_M5358A8BH101511/dpll_52046/txpa_54233.png","plot")</f>
        <v>plot</v>
      </c>
    </row>
    <row r="202" spans="1:29" x14ac:dyDescent="0.35">
      <c r="A202" t="s">
        <v>46</v>
      </c>
      <c r="B202">
        <v>52046</v>
      </c>
      <c r="C202" t="s">
        <v>51</v>
      </c>
      <c r="D202">
        <v>54234</v>
      </c>
      <c r="E202" t="s">
        <v>254</v>
      </c>
      <c r="F202">
        <v>8695</v>
      </c>
      <c r="G202">
        <v>0.4898195372102413</v>
      </c>
      <c r="H202">
        <v>0</v>
      </c>
      <c r="I202">
        <v>0</v>
      </c>
      <c r="J202">
        <v>0.39607377440842911</v>
      </c>
      <c r="K202">
        <v>0</v>
      </c>
      <c r="L202">
        <v>0</v>
      </c>
      <c r="M202">
        <v>0.27527250980407703</v>
      </c>
      <c r="N202">
        <v>0</v>
      </c>
      <c r="O202">
        <v>0</v>
      </c>
      <c r="P202">
        <v>0.23992317903285501</v>
      </c>
      <c r="Q202">
        <v>1.23965043999467</v>
      </c>
      <c r="R202">
        <v>4.7334557938517001</v>
      </c>
      <c r="S202">
        <v>0.28829391794303583</v>
      </c>
      <c r="T202">
        <v>0.20257639900336619</v>
      </c>
      <c r="U202">
        <v>4.47913286106958</v>
      </c>
      <c r="V202">
        <v>0.13066779905119291</v>
      </c>
      <c r="W202">
        <v>10.286014815871191</v>
      </c>
      <c r="X202">
        <v>0.33069810875555178</v>
      </c>
      <c r="Z202" t="s">
        <v>392</v>
      </c>
      <c r="AA202">
        <v>9937</v>
      </c>
      <c r="AB202" t="s">
        <v>593</v>
      </c>
      <c r="AC202" t="str">
        <f>HYPERLINK("plots/20251231000436_3FT6Y121H01_04823_B11P_N_UFLEX98_M5358A8BH101511/dpll_52046/txpa_54234.png","plot")</f>
        <v>plot</v>
      </c>
    </row>
    <row r="203" spans="1:29" x14ac:dyDescent="0.35">
      <c r="A203" t="s">
        <v>46</v>
      </c>
      <c r="B203">
        <v>52046</v>
      </c>
      <c r="C203" t="s">
        <v>51</v>
      </c>
      <c r="D203">
        <v>54235</v>
      </c>
      <c r="E203" t="s">
        <v>255</v>
      </c>
      <c r="F203">
        <v>8680</v>
      </c>
      <c r="G203">
        <v>0.47596564290217119</v>
      </c>
      <c r="H203">
        <v>0</v>
      </c>
      <c r="I203">
        <v>0</v>
      </c>
      <c r="J203">
        <v>0.4217338008842309</v>
      </c>
      <c r="K203">
        <v>0</v>
      </c>
      <c r="L203">
        <v>0</v>
      </c>
      <c r="M203">
        <v>0.29597983704888281</v>
      </c>
      <c r="N203">
        <v>0</v>
      </c>
      <c r="O203">
        <v>0</v>
      </c>
      <c r="P203">
        <v>0.22654329322327721</v>
      </c>
      <c r="Q203">
        <v>1.304457983253589</v>
      </c>
      <c r="R203">
        <v>4.8296843268376577</v>
      </c>
      <c r="S203">
        <v>0.31424991288789839</v>
      </c>
      <c r="T203">
        <v>0.21169348815366909</v>
      </c>
      <c r="U203">
        <v>4.4792105824884789</v>
      </c>
      <c r="V203">
        <v>0.13038501740444239</v>
      </c>
      <c r="W203">
        <v>10.67262632983871</v>
      </c>
      <c r="X203">
        <v>0.3573404496442637</v>
      </c>
      <c r="Z203" t="s">
        <v>392</v>
      </c>
      <c r="AA203">
        <v>9937</v>
      </c>
      <c r="AB203" t="s">
        <v>594</v>
      </c>
      <c r="AC203" t="str">
        <f>HYPERLINK("plots/20251231000436_3FT6Y121H01_04823_B11P_N_UFLEX98_M5358A8BH101511/dpll_52046/txpa_54235.png","plot")</f>
        <v>plot</v>
      </c>
    </row>
    <row r="204" spans="1:29" x14ac:dyDescent="0.35">
      <c r="A204" t="s">
        <v>46</v>
      </c>
      <c r="B204">
        <v>52046</v>
      </c>
      <c r="C204" t="s">
        <v>51</v>
      </c>
      <c r="D204">
        <v>54236</v>
      </c>
      <c r="E204" t="s">
        <v>256</v>
      </c>
      <c r="F204">
        <v>8634</v>
      </c>
      <c r="G204">
        <v>0.46790881277197688</v>
      </c>
      <c r="H204">
        <v>0</v>
      </c>
      <c r="I204">
        <v>0</v>
      </c>
      <c r="J204">
        <v>0.46297977812419328</v>
      </c>
      <c r="K204">
        <v>0</v>
      </c>
      <c r="L204">
        <v>0</v>
      </c>
      <c r="M204">
        <v>0.33235536151716127</v>
      </c>
      <c r="N204">
        <v>0</v>
      </c>
      <c r="O204">
        <v>0</v>
      </c>
      <c r="P204">
        <v>0.21893865706968091</v>
      </c>
      <c r="Q204">
        <v>1.314773793300869</v>
      </c>
      <c r="R204">
        <v>4.8842900990697737</v>
      </c>
      <c r="S204">
        <v>0.31372032465696043</v>
      </c>
      <c r="T204">
        <v>0.2075420577495892</v>
      </c>
      <c r="U204">
        <v>4.4816886400277971</v>
      </c>
      <c r="V204">
        <v>0.12633841427416009</v>
      </c>
      <c r="W204">
        <v>10.776696872712529</v>
      </c>
      <c r="X204">
        <v>0.35499745172741992</v>
      </c>
      <c r="Z204" t="s">
        <v>392</v>
      </c>
      <c r="AA204">
        <v>9937</v>
      </c>
      <c r="AB204" t="s">
        <v>595</v>
      </c>
      <c r="AC204" t="str">
        <f>HYPERLINK("plots/20251231000436_3FT6Y121H01_04823_B11P_N_UFLEX98_M5358A8BH101511/dpll_52046/txpa_54236.png","plot")</f>
        <v>plot</v>
      </c>
    </row>
    <row r="205" spans="1:29" x14ac:dyDescent="0.35">
      <c r="A205" t="s">
        <v>46</v>
      </c>
      <c r="B205">
        <v>52046</v>
      </c>
      <c r="C205" t="s">
        <v>51</v>
      </c>
      <c r="D205">
        <v>54237</v>
      </c>
      <c r="E205" t="s">
        <v>257</v>
      </c>
      <c r="F205">
        <v>8598</v>
      </c>
      <c r="G205">
        <v>0.42921090145676749</v>
      </c>
      <c r="H205">
        <v>0</v>
      </c>
      <c r="I205">
        <v>0</v>
      </c>
      <c r="J205">
        <v>0.44820409367980008</v>
      </c>
      <c r="K205">
        <v>0</v>
      </c>
      <c r="L205">
        <v>0</v>
      </c>
      <c r="M205">
        <v>0.32093788305097137</v>
      </c>
      <c r="N205">
        <v>0</v>
      </c>
      <c r="O205">
        <v>0</v>
      </c>
      <c r="P205">
        <v>0.184221997929331</v>
      </c>
      <c r="Q205">
        <v>1.2495190530900211</v>
      </c>
      <c r="R205">
        <v>5.1807274694022132</v>
      </c>
      <c r="S205">
        <v>0.32532561745805633</v>
      </c>
      <c r="T205">
        <v>0.2166154516851643</v>
      </c>
      <c r="U205">
        <v>4.4834640333798559</v>
      </c>
      <c r="V205">
        <v>0.12373295528819329</v>
      </c>
      <c r="W205">
        <v>10.78290120295418</v>
      </c>
      <c r="X205">
        <v>0.36021145922200248</v>
      </c>
      <c r="Z205" t="s">
        <v>392</v>
      </c>
      <c r="AA205">
        <v>9937</v>
      </c>
      <c r="AB205" t="s">
        <v>596</v>
      </c>
      <c r="AC205" t="str">
        <f>HYPERLINK("plots/20251231000436_3FT6Y121H01_04823_B11P_N_UFLEX98_M5358A8BH101511/dpll_52046/txpa_54237.png","plot")</f>
        <v>plot</v>
      </c>
    </row>
    <row r="206" spans="1:29" x14ac:dyDescent="0.35">
      <c r="A206" t="s">
        <v>46</v>
      </c>
      <c r="B206">
        <v>52046</v>
      </c>
      <c r="C206" t="s">
        <v>51</v>
      </c>
      <c r="D206">
        <v>54238</v>
      </c>
      <c r="E206" t="s">
        <v>258</v>
      </c>
      <c r="F206">
        <v>8613</v>
      </c>
      <c r="G206">
        <v>0.4665679010990928</v>
      </c>
      <c r="H206">
        <v>0</v>
      </c>
      <c r="I206">
        <v>0</v>
      </c>
      <c r="J206">
        <v>0.46738534102589951</v>
      </c>
      <c r="K206">
        <v>0</v>
      </c>
      <c r="L206">
        <v>0</v>
      </c>
      <c r="M206">
        <v>0.33736256199996001</v>
      </c>
      <c r="N206">
        <v>0</v>
      </c>
      <c r="O206">
        <v>0</v>
      </c>
      <c r="P206">
        <v>0.2176856063360128</v>
      </c>
      <c r="Q206">
        <v>1.281065636128045</v>
      </c>
      <c r="R206">
        <v>4.9975286054584052</v>
      </c>
      <c r="S206">
        <v>0.30273373099871159</v>
      </c>
      <c r="T206">
        <v>0.20095748239328309</v>
      </c>
      <c r="U206">
        <v>4.482811105538139</v>
      </c>
      <c r="V206">
        <v>0.12466336377784459</v>
      </c>
      <c r="W206">
        <v>10.74030386601649</v>
      </c>
      <c r="X206">
        <v>0.34229090994840611</v>
      </c>
      <c r="Z206" t="s">
        <v>392</v>
      </c>
      <c r="AA206">
        <v>9937</v>
      </c>
      <c r="AB206" t="s">
        <v>597</v>
      </c>
      <c r="AC206" t="str">
        <f>HYPERLINK("plots/20251231000436_3FT6Y121H01_04823_B11P_N_UFLEX98_M5358A8BH101511/dpll_52046/txpa_54238.png","plot")</f>
        <v>plot</v>
      </c>
    </row>
    <row r="207" spans="1:29" x14ac:dyDescent="0.35">
      <c r="A207" t="s">
        <v>46</v>
      </c>
      <c r="B207">
        <v>52046</v>
      </c>
      <c r="C207" t="s">
        <v>51</v>
      </c>
      <c r="D207">
        <v>54239</v>
      </c>
      <c r="E207" t="s">
        <v>259</v>
      </c>
      <c r="F207">
        <v>8576</v>
      </c>
      <c r="G207">
        <v>0.43154324206687827</v>
      </c>
      <c r="H207">
        <v>0</v>
      </c>
      <c r="I207">
        <v>0</v>
      </c>
      <c r="J207">
        <v>0.4551857726947669</v>
      </c>
      <c r="K207">
        <v>0</v>
      </c>
      <c r="L207">
        <v>0</v>
      </c>
      <c r="M207">
        <v>0.32721436295456569</v>
      </c>
      <c r="N207">
        <v>0</v>
      </c>
      <c r="O207">
        <v>0</v>
      </c>
      <c r="P207">
        <v>0.18622956977359231</v>
      </c>
      <c r="Q207">
        <v>1.146073384738618</v>
      </c>
      <c r="R207">
        <v>5.6853183909391918</v>
      </c>
      <c r="S207">
        <v>0.29245965353612069</v>
      </c>
      <c r="T207">
        <v>0.193996050917083</v>
      </c>
      <c r="U207">
        <v>4.4846055717117537</v>
      </c>
      <c r="V207">
        <v>0.1220821652884503</v>
      </c>
      <c r="W207">
        <v>10.825005477728549</v>
      </c>
      <c r="X207">
        <v>0.32422039496720989</v>
      </c>
      <c r="Z207" t="s">
        <v>392</v>
      </c>
      <c r="AA207">
        <v>9937</v>
      </c>
      <c r="AB207" t="s">
        <v>598</v>
      </c>
      <c r="AC207" t="str">
        <f>HYPERLINK("plots/20251231000436_3FT6Y121H01_04823_B11P_N_UFLEX98_M5358A8BH101511/dpll_52046/txpa_54239.png","plot")</f>
        <v>plot</v>
      </c>
    </row>
    <row r="208" spans="1:29" x14ac:dyDescent="0.35">
      <c r="A208" t="s">
        <v>46</v>
      </c>
      <c r="B208">
        <v>52046</v>
      </c>
      <c r="C208" t="s">
        <v>51</v>
      </c>
      <c r="D208">
        <v>54240</v>
      </c>
      <c r="E208" t="s">
        <v>260</v>
      </c>
      <c r="F208">
        <v>8624</v>
      </c>
      <c r="G208">
        <v>0.47051058768360982</v>
      </c>
      <c r="H208">
        <v>0</v>
      </c>
      <c r="I208">
        <v>0</v>
      </c>
      <c r="J208">
        <v>0.46882210897964349</v>
      </c>
      <c r="K208">
        <v>0</v>
      </c>
      <c r="L208">
        <v>0</v>
      </c>
      <c r="M208">
        <v>0.33951980671131893</v>
      </c>
      <c r="N208">
        <v>0</v>
      </c>
      <c r="O208">
        <v>0</v>
      </c>
      <c r="P208">
        <v>0.22138021312237591</v>
      </c>
      <c r="Q208">
        <v>1.278525592444228</v>
      </c>
      <c r="R208">
        <v>5.0366993664542754</v>
      </c>
      <c r="S208">
        <v>0.29966926188742898</v>
      </c>
      <c r="T208">
        <v>0.1976579418663483</v>
      </c>
      <c r="U208">
        <v>4.4826940015074213</v>
      </c>
      <c r="V208">
        <v>0.1249869400591935</v>
      </c>
      <c r="W208">
        <v>10.76793837047774</v>
      </c>
      <c r="X208">
        <v>0.33962891754186592</v>
      </c>
      <c r="Z208" t="s">
        <v>392</v>
      </c>
      <c r="AA208">
        <v>9937</v>
      </c>
      <c r="AB208" t="s">
        <v>599</v>
      </c>
      <c r="AC208" t="str">
        <f>HYPERLINK("plots/20251231000436_3FT6Y121H01_04823_B11P_N_UFLEX98_M5358A8BH101511/dpll_52046/txpa_54240.png","plot")</f>
        <v>plot</v>
      </c>
    </row>
    <row r="209" spans="1:29" x14ac:dyDescent="0.35">
      <c r="A209" t="s">
        <v>46</v>
      </c>
      <c r="B209">
        <v>52046</v>
      </c>
      <c r="C209" t="s">
        <v>51</v>
      </c>
      <c r="D209">
        <v>54241</v>
      </c>
      <c r="E209" t="s">
        <v>261</v>
      </c>
      <c r="F209">
        <v>8608</v>
      </c>
      <c r="G209">
        <v>0.44527377973386101</v>
      </c>
      <c r="H209">
        <v>0</v>
      </c>
      <c r="I209">
        <v>0</v>
      </c>
      <c r="J209">
        <v>0.44286694370041779</v>
      </c>
      <c r="K209">
        <v>0</v>
      </c>
      <c r="L209">
        <v>0</v>
      </c>
      <c r="M209">
        <v>0.31551206233222617</v>
      </c>
      <c r="N209">
        <v>0</v>
      </c>
      <c r="O209">
        <v>0</v>
      </c>
      <c r="P209">
        <v>0.1982687389184789</v>
      </c>
      <c r="Q209">
        <v>1.2361371542760979</v>
      </c>
      <c r="R209">
        <v>5.2641540693400746</v>
      </c>
      <c r="S209">
        <v>0.30814959815136261</v>
      </c>
      <c r="T209">
        <v>0.20717807948814479</v>
      </c>
      <c r="U209">
        <v>4.4834075148698878</v>
      </c>
      <c r="V209">
        <v>0.123974648739744</v>
      </c>
      <c r="W209">
        <v>10.80626067623141</v>
      </c>
      <c r="X209">
        <v>0.34416953449880461</v>
      </c>
      <c r="Z209" t="s">
        <v>392</v>
      </c>
      <c r="AA209">
        <v>9937</v>
      </c>
      <c r="AB209" t="s">
        <v>600</v>
      </c>
      <c r="AC209" t="str">
        <f>HYPERLINK("plots/20251231000436_3FT6Y121H01_04823_B11P_N_UFLEX98_M5358A8BH101511/dpll_52046/txpa_54241.png","plot")</f>
        <v>plot</v>
      </c>
    </row>
    <row r="210" spans="1:29" x14ac:dyDescent="0.35">
      <c r="A210" t="s">
        <v>46</v>
      </c>
      <c r="B210">
        <v>52046</v>
      </c>
      <c r="C210" t="s">
        <v>51</v>
      </c>
      <c r="D210">
        <v>54242</v>
      </c>
      <c r="E210" t="s">
        <v>262</v>
      </c>
      <c r="F210">
        <v>8693</v>
      </c>
      <c r="G210">
        <v>0.49579050715398809</v>
      </c>
      <c r="H210">
        <v>0</v>
      </c>
      <c r="I210">
        <v>0</v>
      </c>
      <c r="J210">
        <v>0.4086328000296533</v>
      </c>
      <c r="K210">
        <v>0</v>
      </c>
      <c r="L210">
        <v>0</v>
      </c>
      <c r="M210">
        <v>0.28496255719127628</v>
      </c>
      <c r="N210">
        <v>0</v>
      </c>
      <c r="O210">
        <v>0</v>
      </c>
      <c r="P210">
        <v>0.2458082269840087</v>
      </c>
      <c r="Q210">
        <v>1.2962186259934381</v>
      </c>
      <c r="R210">
        <v>4.8500153470920537</v>
      </c>
      <c r="S210">
        <v>0.29646305245234877</v>
      </c>
      <c r="T210">
        <v>0.20659286618244699</v>
      </c>
      <c r="U210">
        <v>4.4792100837455422</v>
      </c>
      <c r="V210">
        <v>0.13057938261906751</v>
      </c>
      <c r="W210">
        <v>10.656050887380649</v>
      </c>
      <c r="X210">
        <v>0.34139303895342349</v>
      </c>
      <c r="Z210" t="s">
        <v>392</v>
      </c>
      <c r="AA210">
        <v>9937</v>
      </c>
      <c r="AB210" t="s">
        <v>601</v>
      </c>
      <c r="AC210" t="str">
        <f>HYPERLINK("plots/20251231000436_3FT6Y121H01_04823_B11P_N_UFLEX98_M5358A8BH101511/dpll_52046/txpa_54242.png","plot")</f>
        <v>plot</v>
      </c>
    </row>
    <row r="211" spans="1:29" x14ac:dyDescent="0.35">
      <c r="A211" t="s">
        <v>46</v>
      </c>
      <c r="B211">
        <v>52046</v>
      </c>
      <c r="C211" t="s">
        <v>51</v>
      </c>
      <c r="D211">
        <v>54243</v>
      </c>
      <c r="E211" t="s">
        <v>263</v>
      </c>
      <c r="F211">
        <v>8663</v>
      </c>
      <c r="G211">
        <v>0.4761234233678861</v>
      </c>
      <c r="H211">
        <v>0</v>
      </c>
      <c r="I211">
        <v>0</v>
      </c>
      <c r="J211">
        <v>0.44832518791695442</v>
      </c>
      <c r="K211">
        <v>0</v>
      </c>
      <c r="L211">
        <v>0</v>
      </c>
      <c r="M211">
        <v>0.31894816564886069</v>
      </c>
      <c r="N211">
        <v>0</v>
      </c>
      <c r="O211">
        <v>0</v>
      </c>
      <c r="P211">
        <v>0.22669351427955531</v>
      </c>
      <c r="Q211">
        <v>1.4796112239516901</v>
      </c>
      <c r="R211">
        <v>5.0554768030837147</v>
      </c>
      <c r="S211">
        <v>0.35278477994142038</v>
      </c>
      <c r="T211">
        <v>0.23620572794371841</v>
      </c>
      <c r="U211">
        <v>4.4800457762899688</v>
      </c>
      <c r="V211">
        <v>0.12910141784826931</v>
      </c>
      <c r="W211">
        <v>11.68420281749971</v>
      </c>
      <c r="X211">
        <v>0.40119829754475472</v>
      </c>
      <c r="Z211" t="s">
        <v>392</v>
      </c>
      <c r="AA211">
        <v>9937</v>
      </c>
      <c r="AB211" t="s">
        <v>602</v>
      </c>
      <c r="AC211" t="str">
        <f>HYPERLINK("plots/20251231000436_3FT6Y121H01_04823_B11P_N_UFLEX98_M5358A8BH101511/dpll_52046/txpa_54243.png","plot")</f>
        <v>plot</v>
      </c>
    </row>
    <row r="212" spans="1:29" x14ac:dyDescent="0.35">
      <c r="A212" t="s">
        <v>46</v>
      </c>
      <c r="B212">
        <v>52046</v>
      </c>
      <c r="C212" t="s">
        <v>51</v>
      </c>
      <c r="D212">
        <v>54244</v>
      </c>
      <c r="E212" t="s">
        <v>264</v>
      </c>
      <c r="F212">
        <v>8643</v>
      </c>
      <c r="G212">
        <v>0.47072846417300701</v>
      </c>
      <c r="H212">
        <v>0</v>
      </c>
      <c r="I212">
        <v>0</v>
      </c>
      <c r="J212">
        <v>0.46295029331430487</v>
      </c>
      <c r="K212">
        <v>0</v>
      </c>
      <c r="L212">
        <v>0</v>
      </c>
      <c r="M212">
        <v>0.33391453976358881</v>
      </c>
      <c r="N212">
        <v>0</v>
      </c>
      <c r="O212">
        <v>0</v>
      </c>
      <c r="P212">
        <v>0.2215852869826779</v>
      </c>
      <c r="Q212">
        <v>1.5290120080336571</v>
      </c>
      <c r="R212">
        <v>4.8427984424023354</v>
      </c>
      <c r="S212">
        <v>0.3635930090287301</v>
      </c>
      <c r="T212">
        <v>0.24169708559065359</v>
      </c>
      <c r="U212">
        <v>4.481361455628833</v>
      </c>
      <c r="V212">
        <v>0.12688044576454391</v>
      </c>
      <c r="W212">
        <v>11.69485392039801</v>
      </c>
      <c r="X212">
        <v>0.41213085658518678</v>
      </c>
      <c r="Z212" t="s">
        <v>392</v>
      </c>
      <c r="AA212">
        <v>9937</v>
      </c>
      <c r="AB212" t="s">
        <v>603</v>
      </c>
      <c r="AC212" t="str">
        <f>HYPERLINK("plots/20251231000436_3FT6Y121H01_04823_B11P_N_UFLEX98_M5358A8BH101511/dpll_52046/txpa_54244.png","plot")</f>
        <v>plot</v>
      </c>
    </row>
    <row r="213" spans="1:29" x14ac:dyDescent="0.35">
      <c r="A213" t="s">
        <v>46</v>
      </c>
      <c r="B213">
        <v>52046</v>
      </c>
      <c r="C213" t="s">
        <v>51</v>
      </c>
      <c r="D213">
        <v>54245</v>
      </c>
      <c r="E213" t="s">
        <v>265</v>
      </c>
      <c r="F213">
        <v>8662</v>
      </c>
      <c r="G213">
        <v>0.47141742046780177</v>
      </c>
      <c r="H213">
        <v>0</v>
      </c>
      <c r="I213">
        <v>0</v>
      </c>
      <c r="J213">
        <v>0.43244607744355379</v>
      </c>
      <c r="K213">
        <v>0</v>
      </c>
      <c r="L213">
        <v>0</v>
      </c>
      <c r="M213">
        <v>0.30793275244189222</v>
      </c>
      <c r="N213">
        <v>0</v>
      </c>
      <c r="O213">
        <v>0</v>
      </c>
      <c r="P213">
        <v>0.22223438432051629</v>
      </c>
      <c r="Q213">
        <v>1.6602681864468409</v>
      </c>
      <c r="R213">
        <v>4.1281321925190628</v>
      </c>
      <c r="S213">
        <v>0.39787092592015361</v>
      </c>
      <c r="T213">
        <v>0.27245738249852153</v>
      </c>
      <c r="U213">
        <v>4.4806812946201804</v>
      </c>
      <c r="V213">
        <v>0.12810624049599351</v>
      </c>
      <c r="W213">
        <v>11.56726479958439</v>
      </c>
      <c r="X213">
        <v>0.45117279579898989</v>
      </c>
      <c r="Z213" t="s">
        <v>392</v>
      </c>
      <c r="AA213">
        <v>9937</v>
      </c>
      <c r="AB213" t="s">
        <v>604</v>
      </c>
      <c r="AC213" t="str">
        <f>HYPERLINK("plots/20251231000436_3FT6Y121H01_04823_B11P_N_UFLEX98_M5358A8BH101511/dpll_52046/txpa_54245.png","plot")</f>
        <v>plot</v>
      </c>
    </row>
    <row r="214" spans="1:29" x14ac:dyDescent="0.35">
      <c r="A214" t="s">
        <v>46</v>
      </c>
      <c r="B214">
        <v>52046</v>
      </c>
      <c r="C214" t="s">
        <v>51</v>
      </c>
      <c r="D214">
        <v>54246</v>
      </c>
      <c r="E214" t="s">
        <v>266</v>
      </c>
      <c r="F214">
        <v>8630</v>
      </c>
      <c r="G214">
        <v>0.47407629361185682</v>
      </c>
      <c r="H214">
        <v>0</v>
      </c>
      <c r="I214">
        <v>0</v>
      </c>
      <c r="J214">
        <v>0.467664579989016</v>
      </c>
      <c r="K214">
        <v>0</v>
      </c>
      <c r="L214">
        <v>0</v>
      </c>
      <c r="M214">
        <v>0.33842415908730028</v>
      </c>
      <c r="N214">
        <v>0</v>
      </c>
      <c r="O214">
        <v>0</v>
      </c>
      <c r="P214">
        <v>0.22474833216475551</v>
      </c>
      <c r="Q214">
        <v>1.5132309362484611</v>
      </c>
      <c r="R214">
        <v>4.8634127862115069</v>
      </c>
      <c r="S214">
        <v>0.35364402270523021</v>
      </c>
      <c r="T214">
        <v>0.23435858642533841</v>
      </c>
      <c r="U214">
        <v>4.4821330533024337</v>
      </c>
      <c r="V214">
        <v>0.1258383914478409</v>
      </c>
      <c r="W214">
        <v>11.645915182850519</v>
      </c>
      <c r="X214">
        <v>0.40167067932429118</v>
      </c>
      <c r="Z214" t="s">
        <v>392</v>
      </c>
      <c r="AA214">
        <v>9937</v>
      </c>
      <c r="AB214" t="s">
        <v>605</v>
      </c>
      <c r="AC214" t="str">
        <f>HYPERLINK("plots/20251231000436_3FT6Y121H01_04823_B11P_N_UFLEX98_M5358A8BH101511/dpll_52046/txpa_54246.png","plot")</f>
        <v>plot</v>
      </c>
    </row>
    <row r="215" spans="1:29" x14ac:dyDescent="0.35">
      <c r="A215" t="s">
        <v>46</v>
      </c>
      <c r="B215">
        <v>52046</v>
      </c>
      <c r="C215" t="s">
        <v>51</v>
      </c>
      <c r="D215">
        <v>54247</v>
      </c>
      <c r="E215" t="s">
        <v>267</v>
      </c>
      <c r="F215">
        <v>8607</v>
      </c>
      <c r="G215">
        <v>0.4443597479380359</v>
      </c>
      <c r="H215">
        <v>0</v>
      </c>
      <c r="I215">
        <v>0</v>
      </c>
      <c r="J215">
        <v>0.4468119502339119</v>
      </c>
      <c r="K215">
        <v>0</v>
      </c>
      <c r="L215">
        <v>0</v>
      </c>
      <c r="M215">
        <v>0.31999681278125203</v>
      </c>
      <c r="N215">
        <v>0</v>
      </c>
      <c r="O215">
        <v>0</v>
      </c>
      <c r="P215">
        <v>0.1974555855875548</v>
      </c>
      <c r="Q215">
        <v>1.4148357302130761</v>
      </c>
      <c r="R215">
        <v>5.3368618799138003</v>
      </c>
      <c r="S215">
        <v>0.35336272518477602</v>
      </c>
      <c r="T215">
        <v>0.237706877078014</v>
      </c>
      <c r="U215">
        <v>4.4834102794237243</v>
      </c>
      <c r="V215">
        <v>0.1238911033736146</v>
      </c>
      <c r="W215">
        <v>11.680150936447079</v>
      </c>
      <c r="X215">
        <v>0.39446768192188858</v>
      </c>
      <c r="Z215" t="s">
        <v>392</v>
      </c>
      <c r="AA215">
        <v>9937</v>
      </c>
      <c r="AB215" t="s">
        <v>606</v>
      </c>
      <c r="AC215" t="str">
        <f>HYPERLINK("plots/20251231000436_3FT6Y121H01_04823_B11P_N_UFLEX98_M5358A8BH101511/dpll_52046/txpa_54247.png","plot")</f>
        <v>plot</v>
      </c>
    </row>
    <row r="216" spans="1:29" x14ac:dyDescent="0.35">
      <c r="A216" t="s">
        <v>46</v>
      </c>
      <c r="B216">
        <v>52046</v>
      </c>
      <c r="C216" t="s">
        <v>51</v>
      </c>
      <c r="D216">
        <v>54248</v>
      </c>
      <c r="E216" t="s">
        <v>268</v>
      </c>
      <c r="F216">
        <v>8658</v>
      </c>
      <c r="G216">
        <v>0.49330556412624083</v>
      </c>
      <c r="H216">
        <v>0</v>
      </c>
      <c r="I216">
        <v>0</v>
      </c>
      <c r="J216">
        <v>0.4592691738094648</v>
      </c>
      <c r="K216">
        <v>0</v>
      </c>
      <c r="L216">
        <v>0</v>
      </c>
      <c r="M216">
        <v>0.33066125024266452</v>
      </c>
      <c r="N216">
        <v>0</v>
      </c>
      <c r="O216">
        <v>0</v>
      </c>
      <c r="P216">
        <v>0.24335037959790859</v>
      </c>
      <c r="Q216">
        <v>1.602655707744477</v>
      </c>
      <c r="R216">
        <v>4.4553991502397547</v>
      </c>
      <c r="S216">
        <v>0.36075801676134212</v>
      </c>
      <c r="T216">
        <v>0.24304257545576041</v>
      </c>
      <c r="U216">
        <v>4.4810010362670356</v>
      </c>
      <c r="V216">
        <v>0.12766429253771561</v>
      </c>
      <c r="W216">
        <v>11.636901037422041</v>
      </c>
      <c r="X216">
        <v>0.414756941720551</v>
      </c>
      <c r="Z216" t="s">
        <v>392</v>
      </c>
      <c r="AA216">
        <v>9937</v>
      </c>
      <c r="AB216" t="s">
        <v>607</v>
      </c>
      <c r="AC216" t="str">
        <f>HYPERLINK("plots/20251231000436_3FT6Y121H01_04823_B11P_N_UFLEX98_M5358A8BH101511/dpll_52046/txpa_54248.png","plot")</f>
        <v>plot</v>
      </c>
    </row>
    <row r="217" spans="1:29" x14ac:dyDescent="0.35">
      <c r="A217" t="s">
        <v>46</v>
      </c>
      <c r="B217">
        <v>52046</v>
      </c>
      <c r="C217" t="s">
        <v>51</v>
      </c>
      <c r="D217">
        <v>54249</v>
      </c>
      <c r="E217" t="s">
        <v>269</v>
      </c>
      <c r="F217">
        <v>8665</v>
      </c>
      <c r="G217">
        <v>0.49008005057270682</v>
      </c>
      <c r="H217">
        <v>0</v>
      </c>
      <c r="I217">
        <v>0</v>
      </c>
      <c r="J217">
        <v>0.43293901062004009</v>
      </c>
      <c r="K217">
        <v>0</v>
      </c>
      <c r="L217">
        <v>0</v>
      </c>
      <c r="M217">
        <v>0.30744647979565298</v>
      </c>
      <c r="N217">
        <v>0</v>
      </c>
      <c r="O217">
        <v>0</v>
      </c>
      <c r="P217">
        <v>0.24017845596934689</v>
      </c>
      <c r="Q217">
        <v>1.656319496435811</v>
      </c>
      <c r="R217">
        <v>4.1891746616204504</v>
      </c>
      <c r="S217">
        <v>0.37783562717213509</v>
      </c>
      <c r="T217">
        <v>0.26067300320118719</v>
      </c>
      <c r="U217">
        <v>4.4806385877668777</v>
      </c>
      <c r="V217">
        <v>0.128261134400462</v>
      </c>
      <c r="W217">
        <v>11.61054371102135</v>
      </c>
      <c r="X217">
        <v>0.43348309586199307</v>
      </c>
      <c r="Z217" t="s">
        <v>392</v>
      </c>
      <c r="AA217">
        <v>9937</v>
      </c>
      <c r="AB217" t="s">
        <v>608</v>
      </c>
      <c r="AC217" t="str">
        <f>HYPERLINK("plots/20251231000436_3FT6Y121H01_04823_B11P_N_UFLEX98_M5358A8BH101511/dpll_52046/txpa_54249.png","plot")</f>
        <v>plot</v>
      </c>
    </row>
    <row r="218" spans="1:29" x14ac:dyDescent="0.35">
      <c r="A218" t="s">
        <v>46</v>
      </c>
      <c r="B218">
        <v>52046</v>
      </c>
      <c r="C218" t="s">
        <v>51</v>
      </c>
      <c r="D218">
        <v>54250</v>
      </c>
      <c r="E218" t="s">
        <v>270</v>
      </c>
      <c r="F218">
        <v>8686</v>
      </c>
      <c r="G218">
        <v>0.5028751828814203</v>
      </c>
      <c r="H218">
        <v>0</v>
      </c>
      <c r="I218">
        <v>0</v>
      </c>
      <c r="J218">
        <v>0.43570305275338972</v>
      </c>
      <c r="K218">
        <v>0</v>
      </c>
      <c r="L218">
        <v>0</v>
      </c>
      <c r="M218">
        <v>0.30757670402461079</v>
      </c>
      <c r="N218">
        <v>0</v>
      </c>
      <c r="O218">
        <v>0</v>
      </c>
      <c r="P218">
        <v>0.25288344955802189</v>
      </c>
      <c r="Q218">
        <v>1.493211366669426</v>
      </c>
      <c r="R218">
        <v>4.9970777050149344</v>
      </c>
      <c r="S218">
        <v>0.3339918734215675</v>
      </c>
      <c r="T218">
        <v>0.22984191567473089</v>
      </c>
      <c r="U218">
        <v>4.4795246783329494</v>
      </c>
      <c r="V218">
        <v>0.13013845265213561</v>
      </c>
      <c r="W218">
        <v>11.6859548719779</v>
      </c>
      <c r="X218">
        <v>0.38642634068255849</v>
      </c>
      <c r="Z218" t="s">
        <v>392</v>
      </c>
      <c r="AA218">
        <v>9937</v>
      </c>
      <c r="AB218" t="s">
        <v>609</v>
      </c>
      <c r="AC218" t="str">
        <f>HYPERLINK("plots/20251231000436_3FT6Y121H01_04823_B11P_N_UFLEX98_M5358A8BH101511/dpll_52046/txpa_54250.png","plot")</f>
        <v>plot</v>
      </c>
    </row>
    <row r="219" spans="1:29" x14ac:dyDescent="0.35">
      <c r="A219" t="s">
        <v>46</v>
      </c>
      <c r="B219">
        <v>52046</v>
      </c>
      <c r="C219" t="s">
        <v>51</v>
      </c>
      <c r="D219">
        <v>54251</v>
      </c>
      <c r="E219" t="s">
        <v>271</v>
      </c>
      <c r="F219">
        <v>8664</v>
      </c>
      <c r="G219">
        <v>0.47615133594127068</v>
      </c>
      <c r="H219">
        <v>0</v>
      </c>
      <c r="I219">
        <v>0</v>
      </c>
      <c r="J219">
        <v>0.4498725419977993</v>
      </c>
      <c r="K219">
        <v>0</v>
      </c>
      <c r="L219">
        <v>0</v>
      </c>
      <c r="M219">
        <v>0.32079228331074161</v>
      </c>
      <c r="N219">
        <v>0</v>
      </c>
      <c r="O219">
        <v>0</v>
      </c>
      <c r="P219">
        <v>0.22672009471865689</v>
      </c>
      <c r="Q219">
        <v>1.5509798945644131</v>
      </c>
      <c r="R219">
        <v>4.9951196144777601</v>
      </c>
      <c r="S219">
        <v>0.36949245128945368</v>
      </c>
      <c r="T219">
        <v>0.24832139775407411</v>
      </c>
      <c r="U219">
        <v>4.4801296634349033</v>
      </c>
      <c r="V219">
        <v>0.1290033866191676</v>
      </c>
      <c r="W219">
        <v>11.943710647506929</v>
      </c>
      <c r="X219">
        <v>0.42020602248552152</v>
      </c>
      <c r="Z219" t="s">
        <v>392</v>
      </c>
      <c r="AA219">
        <v>9937</v>
      </c>
      <c r="AB219" t="s">
        <v>610</v>
      </c>
      <c r="AC219" t="str">
        <f>HYPERLINK("plots/20251231000436_3FT6Y121H01_04823_B11P_N_UFLEX98_M5358A8BH101511/dpll_52046/txpa_54251.png","plot")</f>
        <v>plot</v>
      </c>
    </row>
    <row r="220" spans="1:29" x14ac:dyDescent="0.35">
      <c r="A220" t="s">
        <v>46</v>
      </c>
      <c r="B220">
        <v>52046</v>
      </c>
      <c r="C220" t="s">
        <v>51</v>
      </c>
      <c r="D220">
        <v>54252</v>
      </c>
      <c r="E220" t="s">
        <v>272</v>
      </c>
      <c r="F220">
        <v>8652</v>
      </c>
      <c r="G220">
        <v>0.47374494457356447</v>
      </c>
      <c r="H220">
        <v>0</v>
      </c>
      <c r="I220">
        <v>0</v>
      </c>
      <c r="J220">
        <v>0.45705740345985191</v>
      </c>
      <c r="K220">
        <v>0</v>
      </c>
      <c r="L220">
        <v>0</v>
      </c>
      <c r="M220">
        <v>0.32885801030448542</v>
      </c>
      <c r="N220">
        <v>0</v>
      </c>
      <c r="O220">
        <v>0</v>
      </c>
      <c r="P220">
        <v>0.22443427250900971</v>
      </c>
      <c r="Q220">
        <v>1.6182319809616119</v>
      </c>
      <c r="R220">
        <v>4.6757317028340371</v>
      </c>
      <c r="S220">
        <v>0.38328913487998278</v>
      </c>
      <c r="T220">
        <v>0.25699645156517992</v>
      </c>
      <c r="U220">
        <v>4.4810501613499767</v>
      </c>
      <c r="V220">
        <v>0.1274224971704469</v>
      </c>
      <c r="W220">
        <v>11.927110382223759</v>
      </c>
      <c r="X220">
        <v>0.43525353120298782</v>
      </c>
      <c r="Z220" t="s">
        <v>392</v>
      </c>
      <c r="AA220">
        <v>9937</v>
      </c>
      <c r="AB220" t="s">
        <v>611</v>
      </c>
      <c r="AC220" t="str">
        <f>HYPERLINK("plots/20251231000436_3FT6Y121H01_04823_B11P_N_UFLEX98_M5358A8BH101511/dpll_52046/txpa_54252.png","plot")</f>
        <v>plot</v>
      </c>
    </row>
    <row r="221" spans="1:29" x14ac:dyDescent="0.35">
      <c r="A221" t="s">
        <v>46</v>
      </c>
      <c r="B221">
        <v>52046</v>
      </c>
      <c r="C221" t="s">
        <v>51</v>
      </c>
      <c r="D221">
        <v>54253</v>
      </c>
      <c r="E221" t="s">
        <v>273</v>
      </c>
      <c r="F221">
        <v>8671</v>
      </c>
      <c r="G221">
        <v>0.4755214846283759</v>
      </c>
      <c r="H221">
        <v>0</v>
      </c>
      <c r="I221">
        <v>0</v>
      </c>
      <c r="J221">
        <v>0.42432696295861388</v>
      </c>
      <c r="K221">
        <v>0</v>
      </c>
      <c r="L221">
        <v>0</v>
      </c>
      <c r="M221">
        <v>0.30125232605991992</v>
      </c>
      <c r="N221">
        <v>0</v>
      </c>
      <c r="O221">
        <v>0</v>
      </c>
      <c r="P221">
        <v>0.2261206823431747</v>
      </c>
      <c r="Q221">
        <v>1.752318460859472</v>
      </c>
      <c r="R221">
        <v>3.910109968674035</v>
      </c>
      <c r="S221">
        <v>0.41747499309962588</v>
      </c>
      <c r="T221">
        <v>0.28913463572310538</v>
      </c>
      <c r="U221">
        <v>4.4802766751239762</v>
      </c>
      <c r="V221">
        <v>0.12878817762097991</v>
      </c>
      <c r="W221">
        <v>11.760981496251871</v>
      </c>
      <c r="X221">
        <v>0.47459033604351492</v>
      </c>
      <c r="Z221" t="s">
        <v>392</v>
      </c>
      <c r="AA221">
        <v>9937</v>
      </c>
      <c r="AB221" t="s">
        <v>612</v>
      </c>
      <c r="AC221" t="str">
        <f>HYPERLINK("plots/20251231000436_3FT6Y121H01_04823_B11P_N_UFLEX98_M5358A8BH101511/dpll_52046/txpa_54253.png","plot")</f>
        <v>plot</v>
      </c>
    </row>
    <row r="222" spans="1:29" x14ac:dyDescent="0.35">
      <c r="A222" t="s">
        <v>46</v>
      </c>
      <c r="B222">
        <v>52046</v>
      </c>
      <c r="C222" t="s">
        <v>51</v>
      </c>
      <c r="D222">
        <v>54254</v>
      </c>
      <c r="E222" t="s">
        <v>274</v>
      </c>
      <c r="F222">
        <v>8641</v>
      </c>
      <c r="G222">
        <v>0.47971747476632159</v>
      </c>
      <c r="H222">
        <v>0</v>
      </c>
      <c r="I222">
        <v>0</v>
      </c>
      <c r="J222">
        <v>0.46397484530240862</v>
      </c>
      <c r="K222">
        <v>0</v>
      </c>
      <c r="L222">
        <v>0</v>
      </c>
      <c r="M222">
        <v>0.33516595824942108</v>
      </c>
      <c r="N222">
        <v>0</v>
      </c>
      <c r="O222">
        <v>0</v>
      </c>
      <c r="P222">
        <v>0.23012885559617641</v>
      </c>
      <c r="Q222">
        <v>1.611770756643691</v>
      </c>
      <c r="R222">
        <v>4.6497431549820361</v>
      </c>
      <c r="S222">
        <v>0.37289882880439579</v>
      </c>
      <c r="T222">
        <v>0.24862193698725391</v>
      </c>
      <c r="U222">
        <v>4.4817113121166523</v>
      </c>
      <c r="V222">
        <v>0.1264996711930286</v>
      </c>
      <c r="W222">
        <v>11.87323438757088</v>
      </c>
      <c r="X222">
        <v>0.42501781043786951</v>
      </c>
      <c r="Z222" t="s">
        <v>392</v>
      </c>
      <c r="AA222">
        <v>9937</v>
      </c>
      <c r="AB222" t="s">
        <v>613</v>
      </c>
      <c r="AC222" t="str">
        <f>HYPERLINK("plots/20251231000436_3FT6Y121H01_04823_B11P_N_UFLEX98_M5358A8BH101511/dpll_52046/txpa_54254.png","plot")</f>
        <v>plot</v>
      </c>
    </row>
    <row r="223" spans="1:29" x14ac:dyDescent="0.35">
      <c r="A223" t="s">
        <v>46</v>
      </c>
      <c r="B223">
        <v>52046</v>
      </c>
      <c r="C223" t="s">
        <v>51</v>
      </c>
      <c r="D223">
        <v>54255</v>
      </c>
      <c r="E223" t="s">
        <v>275</v>
      </c>
      <c r="F223">
        <v>8623</v>
      </c>
      <c r="G223">
        <v>0.45385574350883578</v>
      </c>
      <c r="H223">
        <v>0</v>
      </c>
      <c r="I223">
        <v>0</v>
      </c>
      <c r="J223">
        <v>0.44207609416905003</v>
      </c>
      <c r="K223">
        <v>0</v>
      </c>
      <c r="L223">
        <v>0</v>
      </c>
      <c r="M223">
        <v>0.31589316883758789</v>
      </c>
      <c r="N223">
        <v>0</v>
      </c>
      <c r="O223">
        <v>0</v>
      </c>
      <c r="P223">
        <v>0.20598503591595821</v>
      </c>
      <c r="Q223">
        <v>1.534472836258737</v>
      </c>
      <c r="R223">
        <v>5.0095295249990404</v>
      </c>
      <c r="S223">
        <v>0.37608652399989012</v>
      </c>
      <c r="T223">
        <v>0.2548540496610775</v>
      </c>
      <c r="U223">
        <v>4.4827601965673196</v>
      </c>
      <c r="V223">
        <v>0.12484100124245059</v>
      </c>
      <c r="W223">
        <v>11.888203278093471</v>
      </c>
      <c r="X223">
        <v>0.42208373034317331</v>
      </c>
      <c r="Z223" t="s">
        <v>392</v>
      </c>
      <c r="AA223">
        <v>9937</v>
      </c>
      <c r="AB223" t="s">
        <v>614</v>
      </c>
      <c r="AC223" t="str">
        <f>HYPERLINK("plots/20251231000436_3FT6Y121H01_04823_B11P_N_UFLEX98_M5358A8BH101511/dpll_52046/txpa_54255.png","plot")</f>
        <v>plot</v>
      </c>
    </row>
    <row r="224" spans="1:29" x14ac:dyDescent="0.35">
      <c r="A224" t="s">
        <v>46</v>
      </c>
      <c r="B224">
        <v>52046</v>
      </c>
      <c r="C224" t="s">
        <v>51</v>
      </c>
      <c r="D224">
        <v>54256</v>
      </c>
      <c r="E224" t="s">
        <v>276</v>
      </c>
      <c r="F224">
        <v>8668</v>
      </c>
      <c r="G224">
        <v>0.50067729149908935</v>
      </c>
      <c r="H224">
        <v>0</v>
      </c>
      <c r="I224">
        <v>0</v>
      </c>
      <c r="J224">
        <v>0.45401098265746809</v>
      </c>
      <c r="K224">
        <v>0</v>
      </c>
      <c r="L224">
        <v>0</v>
      </c>
      <c r="M224">
        <v>0.32598899043616142</v>
      </c>
      <c r="N224">
        <v>0</v>
      </c>
      <c r="O224">
        <v>0</v>
      </c>
      <c r="P224">
        <v>0.25067775022286409</v>
      </c>
      <c r="Q224">
        <v>1.711212538987082</v>
      </c>
      <c r="R224">
        <v>4.1839181135836467</v>
      </c>
      <c r="S224">
        <v>0.38019116254688867</v>
      </c>
      <c r="T224">
        <v>0.25871107174942271</v>
      </c>
      <c r="U224">
        <v>4.4804838074526998</v>
      </c>
      <c r="V224">
        <v>0.12851289195077331</v>
      </c>
      <c r="W224">
        <v>11.850978185625291</v>
      </c>
      <c r="X224">
        <v>0.43923076972236758</v>
      </c>
      <c r="Z224" t="s">
        <v>392</v>
      </c>
      <c r="AA224">
        <v>9937</v>
      </c>
      <c r="AB224" t="s">
        <v>615</v>
      </c>
      <c r="AC224" t="str">
        <f>HYPERLINK("plots/20251231000436_3FT6Y121H01_04823_B11P_N_UFLEX98_M5358A8BH101511/dpll_52046/txpa_54256.png","plot")</f>
        <v>plot</v>
      </c>
    </row>
    <row r="225" spans="1:29" x14ac:dyDescent="0.35">
      <c r="A225" t="s">
        <v>46</v>
      </c>
      <c r="B225">
        <v>52046</v>
      </c>
      <c r="C225" t="s">
        <v>51</v>
      </c>
      <c r="D225">
        <v>54257</v>
      </c>
      <c r="E225" t="s">
        <v>277</v>
      </c>
      <c r="F225">
        <v>8682</v>
      </c>
      <c r="G225">
        <v>0.50336465245404594</v>
      </c>
      <c r="H225">
        <v>0</v>
      </c>
      <c r="I225">
        <v>0</v>
      </c>
      <c r="J225">
        <v>0.42810624901155631</v>
      </c>
      <c r="K225">
        <v>0</v>
      </c>
      <c r="L225">
        <v>0</v>
      </c>
      <c r="M225">
        <v>0.30356754569290367</v>
      </c>
      <c r="N225">
        <v>0</v>
      </c>
      <c r="O225">
        <v>0</v>
      </c>
      <c r="P225">
        <v>0.25337597334018253</v>
      </c>
      <c r="Q225">
        <v>1.7948735512176459</v>
      </c>
      <c r="R225">
        <v>3.76349050382988</v>
      </c>
      <c r="S225">
        <v>0.39957469303652432</v>
      </c>
      <c r="T225">
        <v>0.27883422837412819</v>
      </c>
      <c r="U225">
        <v>4.4797591151808343</v>
      </c>
      <c r="V225">
        <v>0.1296942922127286</v>
      </c>
      <c r="W225">
        <v>11.804091655494121</v>
      </c>
      <c r="X225">
        <v>0.46245769086412208</v>
      </c>
      <c r="Z225" t="s">
        <v>392</v>
      </c>
      <c r="AA225">
        <v>9937</v>
      </c>
      <c r="AB225" t="s">
        <v>616</v>
      </c>
      <c r="AC225" t="str">
        <f>HYPERLINK("plots/20251231000436_3FT6Y121H01_04823_B11P_N_UFLEX98_M5358A8BH101511/dpll_52046/txpa_54257.png","plot")</f>
        <v>plot</v>
      </c>
    </row>
    <row r="226" spans="1:29" x14ac:dyDescent="0.35">
      <c r="A226" t="s">
        <v>46</v>
      </c>
      <c r="B226">
        <v>52046</v>
      </c>
      <c r="C226" t="s">
        <v>51</v>
      </c>
      <c r="D226">
        <v>54258</v>
      </c>
      <c r="E226" t="s">
        <v>278</v>
      </c>
      <c r="F226">
        <v>8686</v>
      </c>
      <c r="G226">
        <v>0.50454782897921047</v>
      </c>
      <c r="H226">
        <v>0</v>
      </c>
      <c r="I226">
        <v>0</v>
      </c>
      <c r="J226">
        <v>0.43789484828153769</v>
      </c>
      <c r="K226">
        <v>0</v>
      </c>
      <c r="L226">
        <v>0</v>
      </c>
      <c r="M226">
        <v>0.30952528474276741</v>
      </c>
      <c r="N226">
        <v>0</v>
      </c>
      <c r="O226">
        <v>0</v>
      </c>
      <c r="P226">
        <v>0.25456851172763462</v>
      </c>
      <c r="Q226">
        <v>1.5729376171260381</v>
      </c>
      <c r="R226">
        <v>4.905181927434608</v>
      </c>
      <c r="S226">
        <v>0.35026251491293331</v>
      </c>
      <c r="T226">
        <v>0.24162978059882961</v>
      </c>
      <c r="U226">
        <v>4.4795246783329494</v>
      </c>
      <c r="V226">
        <v>0.13013845265213561</v>
      </c>
      <c r="W226">
        <v>11.951194800828921</v>
      </c>
      <c r="X226">
        <v>0.40570914362125682</v>
      </c>
      <c r="Z226" t="s">
        <v>392</v>
      </c>
      <c r="AA226">
        <v>9937</v>
      </c>
      <c r="AB226" t="s">
        <v>617</v>
      </c>
      <c r="AC226" t="str">
        <f>HYPERLINK("plots/20251231000436_3FT6Y121H01_04823_B11P_N_UFLEX98_M5358A8BH101511/dpll_52046/txpa_54258.png","plot")</f>
        <v>plot</v>
      </c>
    </row>
    <row r="227" spans="1:29" x14ac:dyDescent="0.35">
      <c r="A227" t="s">
        <v>46</v>
      </c>
      <c r="B227">
        <v>52046</v>
      </c>
      <c r="C227" t="s">
        <v>51</v>
      </c>
      <c r="D227">
        <v>55146</v>
      </c>
      <c r="E227" t="s">
        <v>279</v>
      </c>
      <c r="F227">
        <v>8705</v>
      </c>
      <c r="G227">
        <v>-4.0931870041702621E-3</v>
      </c>
      <c r="H227">
        <v>0.70257743782689086</v>
      </c>
      <c r="I227">
        <v>0.70327099896985912</v>
      </c>
      <c r="J227">
        <v>-2.5880792229979691E-3</v>
      </c>
      <c r="K227">
        <v>0.80921795379231198</v>
      </c>
      <c r="L227">
        <v>0.80921795379231198</v>
      </c>
      <c r="M227">
        <v>-1.8417861775711581E-3</v>
      </c>
      <c r="N227">
        <v>0.79663676648618098</v>
      </c>
      <c r="O227">
        <v>0.79663676648618098</v>
      </c>
      <c r="P227">
        <v>1.675417985110833E-5</v>
      </c>
      <c r="Q227">
        <v>-0.1610801265450362</v>
      </c>
      <c r="R227">
        <v>-9.8953835362719254</v>
      </c>
      <c r="S227">
        <v>5.1808695161521241</v>
      </c>
      <c r="T227">
        <v>3.8980302130400268</v>
      </c>
      <c r="U227">
        <v>4.4781993960941993</v>
      </c>
      <c r="V227">
        <v>0.1316590944139947</v>
      </c>
      <c r="W227">
        <v>-10.616732461688679</v>
      </c>
      <c r="X227">
        <v>5.1812105255401679</v>
      </c>
      <c r="Z227" t="s">
        <v>392</v>
      </c>
      <c r="AA227">
        <v>9937</v>
      </c>
      <c r="AB227" t="s">
        <v>618</v>
      </c>
      <c r="AC227" t="str">
        <f>HYPERLINK("plots/20251231000436_3FT6Y121H01_04823_B11P_N_UFLEX98_M5358A8BH101511/dpll_52046/txpa_55146.png","plot")</f>
        <v>plot</v>
      </c>
    </row>
    <row r="228" spans="1:29" x14ac:dyDescent="0.35">
      <c r="A228" t="s">
        <v>46</v>
      </c>
      <c r="B228">
        <v>52046</v>
      </c>
      <c r="C228" t="s">
        <v>51</v>
      </c>
      <c r="D228">
        <v>55147</v>
      </c>
      <c r="E228" t="s">
        <v>280</v>
      </c>
      <c r="F228">
        <v>8716</v>
      </c>
      <c r="G228">
        <v>0.21455264837011109</v>
      </c>
      <c r="H228">
        <v>2.6692618289441358E-91</v>
      </c>
      <c r="I228">
        <v>2.9041110456538132E-91</v>
      </c>
      <c r="J228">
        <v>0.1530038893717873</v>
      </c>
      <c r="K228">
        <v>8.3380922055610191E-47</v>
      </c>
      <c r="L228">
        <v>9.0232929524427685E-47</v>
      </c>
      <c r="M228">
        <v>0.1029410244829875</v>
      </c>
      <c r="N228">
        <v>4.7742011666419878E-47</v>
      </c>
      <c r="O228">
        <v>5.1665314652881276E-47</v>
      </c>
      <c r="P228">
        <v>4.6032838922628543E-2</v>
      </c>
      <c r="Q228">
        <v>1.8224161759743971</v>
      </c>
      <c r="R228">
        <v>-29.553389373580099</v>
      </c>
      <c r="S228">
        <v>1.092327840255839</v>
      </c>
      <c r="T228">
        <v>0.84847137486523527</v>
      </c>
      <c r="U228">
        <v>4.4782817893529154</v>
      </c>
      <c r="V228">
        <v>0.1316732403778659</v>
      </c>
      <c r="W228">
        <v>-21.392096200091789</v>
      </c>
      <c r="X228">
        <v>1.1184361742002</v>
      </c>
      <c r="Z228" t="s">
        <v>392</v>
      </c>
      <c r="AA228">
        <v>9937</v>
      </c>
      <c r="AB228" t="s">
        <v>619</v>
      </c>
      <c r="AC228" t="str">
        <f>HYPERLINK("plots/20251231000436_3FT6Y121H01_04823_B11P_N_UFLEX98_M5358A8BH101511/dpll_52046/txpa_55147.png","plot")</f>
        <v>plot</v>
      </c>
    </row>
    <row r="229" spans="1:29" x14ac:dyDescent="0.35">
      <c r="A229" t="s">
        <v>46</v>
      </c>
      <c r="B229">
        <v>52046</v>
      </c>
      <c r="C229" t="s">
        <v>51</v>
      </c>
      <c r="D229">
        <v>55148</v>
      </c>
      <c r="E229" t="s">
        <v>281</v>
      </c>
      <c r="F229">
        <v>8716</v>
      </c>
      <c r="G229">
        <v>0.16209405137273949</v>
      </c>
      <c r="H229">
        <v>2.1791160260993119E-52</v>
      </c>
      <c r="I229">
        <v>2.2524196233075451E-52</v>
      </c>
      <c r="J229">
        <v>0.132260250069967</v>
      </c>
      <c r="K229">
        <v>2.5972365265526558E-35</v>
      </c>
      <c r="L229">
        <v>2.7122531801487059E-35</v>
      </c>
      <c r="M229">
        <v>8.8270586905909554E-2</v>
      </c>
      <c r="N229">
        <v>4.7536092611538868E-35</v>
      </c>
      <c r="O229">
        <v>4.9590121304630058E-35</v>
      </c>
      <c r="P229">
        <v>2.6274481490428311E-2</v>
      </c>
      <c r="Q229">
        <v>1.4764924350377651</v>
      </c>
      <c r="R229">
        <v>-28.65259918050501</v>
      </c>
      <c r="S229">
        <v>1.1834639498470809</v>
      </c>
      <c r="T229">
        <v>0.92098494491890437</v>
      </c>
      <c r="U229">
        <v>4.4782817893529154</v>
      </c>
      <c r="V229">
        <v>0.1316732403778659</v>
      </c>
      <c r="W229">
        <v>-22.040449996558049</v>
      </c>
      <c r="X229">
        <v>1.1993934488549911</v>
      </c>
      <c r="Z229" t="s">
        <v>392</v>
      </c>
      <c r="AA229">
        <v>9937</v>
      </c>
      <c r="AB229" t="s">
        <v>620</v>
      </c>
      <c r="AC229" t="str">
        <f>HYPERLINK("plots/20251231000436_3FT6Y121H01_04823_B11P_N_UFLEX98_M5358A8BH101511/dpll_52046/txpa_55148.png","plot")</f>
        <v>plot</v>
      </c>
    </row>
    <row r="230" spans="1:29" x14ac:dyDescent="0.35">
      <c r="A230" t="s">
        <v>46</v>
      </c>
      <c r="B230">
        <v>52046</v>
      </c>
      <c r="C230" t="s">
        <v>51</v>
      </c>
      <c r="D230">
        <v>55149</v>
      </c>
      <c r="E230" t="s">
        <v>282</v>
      </c>
      <c r="F230">
        <v>8716</v>
      </c>
      <c r="G230">
        <v>0.13473499329589811</v>
      </c>
      <c r="H230">
        <v>1.3601842610148199E-36</v>
      </c>
      <c r="I230">
        <v>1.384765904286172E-36</v>
      </c>
      <c r="J230">
        <v>0.1196222912432436</v>
      </c>
      <c r="K230">
        <v>3.787226900199052E-29</v>
      </c>
      <c r="L230">
        <v>3.8751241945528139E-29</v>
      </c>
      <c r="M230">
        <v>7.9393416047118651E-2</v>
      </c>
      <c r="N230">
        <v>1.11660403544302E-28</v>
      </c>
      <c r="O230">
        <v>1.1425191644189931E-28</v>
      </c>
      <c r="P230">
        <v>1.8153518418445692E-2</v>
      </c>
      <c r="Q230">
        <v>1.240598788180822</v>
      </c>
      <c r="R230">
        <v>-27.26473351951655</v>
      </c>
      <c r="S230">
        <v>1.2012830517659721</v>
      </c>
      <c r="T230">
        <v>0.93472513666812529</v>
      </c>
      <c r="U230">
        <v>4.4782817893529154</v>
      </c>
      <c r="V230">
        <v>0.1316732403778659</v>
      </c>
      <c r="W230">
        <v>-21.708982558513078</v>
      </c>
      <c r="X230">
        <v>1.212407099689935</v>
      </c>
      <c r="Z230" t="s">
        <v>392</v>
      </c>
      <c r="AA230">
        <v>9937</v>
      </c>
      <c r="AB230" t="s">
        <v>621</v>
      </c>
      <c r="AC230" t="str">
        <f>HYPERLINK("plots/20251231000436_3FT6Y121H01_04823_B11P_N_UFLEX98_M5358A8BH101511/dpll_52046/txpa_55149.png","plot")</f>
        <v>plot</v>
      </c>
    </row>
    <row r="231" spans="1:29" x14ac:dyDescent="0.35">
      <c r="A231" t="s">
        <v>46</v>
      </c>
      <c r="B231">
        <v>52046</v>
      </c>
      <c r="C231" t="s">
        <v>51</v>
      </c>
      <c r="D231">
        <v>55150</v>
      </c>
      <c r="E231" t="s">
        <v>283</v>
      </c>
      <c r="F231">
        <v>8716</v>
      </c>
      <c r="G231">
        <v>0.17844823259065201</v>
      </c>
      <c r="H231">
        <v>2.7739763737256759E-63</v>
      </c>
      <c r="I231">
        <v>2.9057975650390858E-63</v>
      </c>
      <c r="J231">
        <v>0.14057622391220359</v>
      </c>
      <c r="K231">
        <v>1.031793688966164E-39</v>
      </c>
      <c r="L231">
        <v>1.097837146497051E-39</v>
      </c>
      <c r="M231">
        <v>9.4054596561052209E-2</v>
      </c>
      <c r="N231">
        <v>1.456000083281143E-39</v>
      </c>
      <c r="O231">
        <v>1.5491963110672388E-39</v>
      </c>
      <c r="P231">
        <v>3.1843771714727451E-2</v>
      </c>
      <c r="Q231">
        <v>1.6015125481195429</v>
      </c>
      <c r="R231">
        <v>-28.870775693523498</v>
      </c>
      <c r="S231">
        <v>1.1626886286514879</v>
      </c>
      <c r="T231">
        <v>0.896284534994921</v>
      </c>
      <c r="U231">
        <v>4.4782817893529154</v>
      </c>
      <c r="V231">
        <v>0.1316732403778659</v>
      </c>
      <c r="W231">
        <v>-21.69875121385957</v>
      </c>
      <c r="X231">
        <v>1.181722809216323</v>
      </c>
      <c r="Z231" t="s">
        <v>392</v>
      </c>
      <c r="AA231">
        <v>9937</v>
      </c>
      <c r="AB231" t="s">
        <v>622</v>
      </c>
      <c r="AC231" t="str">
        <f>HYPERLINK("plots/20251231000436_3FT6Y121H01_04823_B11P_N_UFLEX98_M5358A8BH101511/dpll_52046/txpa_55150.png","plot")</f>
        <v>plot</v>
      </c>
    </row>
    <row r="232" spans="1:29" x14ac:dyDescent="0.35">
      <c r="A232" t="s">
        <v>46</v>
      </c>
      <c r="B232">
        <v>52046</v>
      </c>
      <c r="C232" t="s">
        <v>51</v>
      </c>
      <c r="D232">
        <v>55151</v>
      </c>
      <c r="E232" t="s">
        <v>284</v>
      </c>
      <c r="F232">
        <v>8716</v>
      </c>
      <c r="G232">
        <v>0.13218997385818071</v>
      </c>
      <c r="H232">
        <v>2.8218326270792749E-35</v>
      </c>
      <c r="I232">
        <v>2.8642024863447292E-35</v>
      </c>
      <c r="J232">
        <v>0.1134113138796095</v>
      </c>
      <c r="K232">
        <v>2.385386934134472E-26</v>
      </c>
      <c r="L232">
        <v>2.4260605328107871E-26</v>
      </c>
      <c r="M232">
        <v>7.5169138757260223E-2</v>
      </c>
      <c r="N232">
        <v>7.0574467148323099E-26</v>
      </c>
      <c r="O232">
        <v>7.1634143832231854E-26</v>
      </c>
      <c r="P232">
        <v>1.747418918862648E-2</v>
      </c>
      <c r="Q232">
        <v>1.240104241480005</v>
      </c>
      <c r="R232">
        <v>-27.381552183465061</v>
      </c>
      <c r="S232">
        <v>1.224346287001699</v>
      </c>
      <c r="T232">
        <v>0.94905638727618502</v>
      </c>
      <c r="U232">
        <v>4.4782817893529154</v>
      </c>
      <c r="V232">
        <v>0.1316732403778659</v>
      </c>
      <c r="W232">
        <v>-21.82801594194585</v>
      </c>
      <c r="X232">
        <v>1.235256647052454</v>
      </c>
      <c r="Z232" t="s">
        <v>392</v>
      </c>
      <c r="AA232">
        <v>9937</v>
      </c>
      <c r="AB232" t="s">
        <v>623</v>
      </c>
      <c r="AC232" t="str">
        <f>HYPERLINK("plots/20251231000436_3FT6Y121H01_04823_B11P_N_UFLEX98_M5358A8BH101511/dpll_52046/txpa_55151.png","plot")</f>
        <v>plot</v>
      </c>
    </row>
    <row r="233" spans="1:29" x14ac:dyDescent="0.35">
      <c r="A233" t="s">
        <v>46</v>
      </c>
      <c r="B233">
        <v>52046</v>
      </c>
      <c r="C233" t="s">
        <v>51</v>
      </c>
      <c r="D233">
        <v>55152</v>
      </c>
      <c r="E233" t="s">
        <v>285</v>
      </c>
      <c r="F233">
        <v>8716</v>
      </c>
      <c r="G233">
        <v>0.1774198004893687</v>
      </c>
      <c r="H233">
        <v>1.4479864327897111E-62</v>
      </c>
      <c r="I233">
        <v>1.5136682915966671E-62</v>
      </c>
      <c r="J233">
        <v>0.14265491119926041</v>
      </c>
      <c r="K233">
        <v>7.4207053246718025E-41</v>
      </c>
      <c r="L233">
        <v>7.9206265254917972E-41</v>
      </c>
      <c r="M233">
        <v>9.5535187661481544E-2</v>
      </c>
      <c r="N233">
        <v>9.1704435431642713E-41</v>
      </c>
      <c r="O233">
        <v>9.7882418450195488E-41</v>
      </c>
      <c r="P233">
        <v>3.1477785605687397E-2</v>
      </c>
      <c r="Q233">
        <v>1.505017251779091</v>
      </c>
      <c r="R233">
        <v>-28.276264010781102</v>
      </c>
      <c r="S233">
        <v>1.099174876037923</v>
      </c>
      <c r="T233">
        <v>0.85282101267392241</v>
      </c>
      <c r="U233">
        <v>4.4782817893529154</v>
      </c>
      <c r="V233">
        <v>0.1316732403778659</v>
      </c>
      <c r="W233">
        <v>-21.536372659476822</v>
      </c>
      <c r="X233">
        <v>1.1169581851616279</v>
      </c>
      <c r="Z233" t="s">
        <v>392</v>
      </c>
      <c r="AA233">
        <v>9937</v>
      </c>
      <c r="AB233" t="s">
        <v>624</v>
      </c>
      <c r="AC233" t="str">
        <f>HYPERLINK("plots/20251231000436_3FT6Y121H01_04823_B11P_N_UFLEX98_M5358A8BH101511/dpll_52046/txpa_55152.png","plot")</f>
        <v>plot</v>
      </c>
    </row>
    <row r="234" spans="1:29" x14ac:dyDescent="0.35">
      <c r="A234" t="s">
        <v>46</v>
      </c>
      <c r="B234">
        <v>52046</v>
      </c>
      <c r="C234" t="s">
        <v>51</v>
      </c>
      <c r="D234">
        <v>55153</v>
      </c>
      <c r="E234" t="s">
        <v>286</v>
      </c>
      <c r="F234">
        <v>8716</v>
      </c>
      <c r="G234">
        <v>0.12789448829146649</v>
      </c>
      <c r="H234">
        <v>4.1212844638583713E-33</v>
      </c>
      <c r="I234">
        <v>4.1706411640243402E-33</v>
      </c>
      <c r="J234">
        <v>0.1177941199411399</v>
      </c>
      <c r="K234">
        <v>2.6178223527372021E-28</v>
      </c>
      <c r="L234">
        <v>2.667810920276908E-28</v>
      </c>
      <c r="M234">
        <v>7.8506490254623834E-2</v>
      </c>
      <c r="N234">
        <v>4.4624916674444234E-28</v>
      </c>
      <c r="O234">
        <v>4.5477050761694929E-28</v>
      </c>
      <c r="P234">
        <v>1.6357000135336058E-2</v>
      </c>
      <c r="Q234">
        <v>1.1711094913232689</v>
      </c>
      <c r="R234">
        <v>-27.094780686715939</v>
      </c>
      <c r="S234">
        <v>1.1957407590112139</v>
      </c>
      <c r="T234">
        <v>0.92782082776684693</v>
      </c>
      <c r="U234">
        <v>4.4782817893529154</v>
      </c>
      <c r="V234">
        <v>0.1316732403778659</v>
      </c>
      <c r="W234">
        <v>-21.850222378384579</v>
      </c>
      <c r="X234">
        <v>1.2057109232759491</v>
      </c>
      <c r="Z234" t="s">
        <v>392</v>
      </c>
      <c r="AA234">
        <v>9937</v>
      </c>
      <c r="AB234" t="s">
        <v>625</v>
      </c>
      <c r="AC234" t="str">
        <f>HYPERLINK("plots/20251231000436_3FT6Y121H01_04823_B11P_N_UFLEX98_M5358A8BH101511/dpll_52046/txpa_55153.png","plot")</f>
        <v>plot</v>
      </c>
    </row>
    <row r="235" spans="1:29" x14ac:dyDescent="0.35">
      <c r="A235" t="s">
        <v>46</v>
      </c>
      <c r="B235">
        <v>52046</v>
      </c>
      <c r="C235" t="s">
        <v>51</v>
      </c>
      <c r="D235">
        <v>55154</v>
      </c>
      <c r="E235" t="s">
        <v>287</v>
      </c>
      <c r="F235">
        <v>8716</v>
      </c>
      <c r="G235">
        <v>0.19843074524364929</v>
      </c>
      <c r="H235">
        <v>4.1759023152584758E-78</v>
      </c>
      <c r="I235">
        <v>4.4950795622846014E-78</v>
      </c>
      <c r="J235">
        <v>0.14413104350326561</v>
      </c>
      <c r="K235">
        <v>1.117286481645323E-41</v>
      </c>
      <c r="L235">
        <v>1.1975988291631691E-41</v>
      </c>
      <c r="M235">
        <v>9.7172962170499089E-2</v>
      </c>
      <c r="N235">
        <v>4.0937857534236583E-42</v>
      </c>
      <c r="O235">
        <v>4.388053651132758E-42</v>
      </c>
      <c r="P235">
        <v>3.9374760657950057E-2</v>
      </c>
      <c r="Q235">
        <v>1.773759827912561</v>
      </c>
      <c r="R235">
        <v>-29.473824581781511</v>
      </c>
      <c r="S235">
        <v>1.153547430463705</v>
      </c>
      <c r="T235">
        <v>0.88929713390448295</v>
      </c>
      <c r="U235">
        <v>4.4782817893529154</v>
      </c>
      <c r="V235">
        <v>0.1316732403778659</v>
      </c>
      <c r="W235">
        <v>-21.53042824575493</v>
      </c>
      <c r="X235">
        <v>1.177018732185644</v>
      </c>
      <c r="Z235" t="s">
        <v>392</v>
      </c>
      <c r="AA235">
        <v>9937</v>
      </c>
      <c r="AB235" t="s">
        <v>626</v>
      </c>
      <c r="AC235" t="str">
        <f>HYPERLINK("plots/20251231000436_3FT6Y121H01_04823_B11P_N_UFLEX98_M5358A8BH101511/dpll_52046/txpa_55154.png","plot")</f>
        <v>plot</v>
      </c>
    </row>
    <row r="236" spans="1:29" x14ac:dyDescent="0.35">
      <c r="A236" t="s">
        <v>46</v>
      </c>
      <c r="B236">
        <v>52046</v>
      </c>
      <c r="C236" t="s">
        <v>51</v>
      </c>
      <c r="D236">
        <v>55155</v>
      </c>
      <c r="E236" t="s">
        <v>288</v>
      </c>
      <c r="F236">
        <v>8716</v>
      </c>
      <c r="G236">
        <v>0.34432048339475141</v>
      </c>
      <c r="H236">
        <v>4.0423040432598617E-241</v>
      </c>
      <c r="I236">
        <v>4.8622731908250293E-241</v>
      </c>
      <c r="J236">
        <v>0.21035869786446801</v>
      </c>
      <c r="K236">
        <v>9.2551876783109248E-88</v>
      </c>
      <c r="L236">
        <v>1.0404390582934899E-87</v>
      </c>
      <c r="M236">
        <v>0.14134432059864441</v>
      </c>
      <c r="N236">
        <v>3.792000197071681E-87</v>
      </c>
      <c r="O236">
        <v>4.2534161502551824E-87</v>
      </c>
      <c r="P236">
        <v>0.1185565952851952</v>
      </c>
      <c r="Q236">
        <v>1.0745304613958579</v>
      </c>
      <c r="R236">
        <v>-12.921242049485111</v>
      </c>
      <c r="S236">
        <v>0.38576755353565922</v>
      </c>
      <c r="T236">
        <v>0.30644480905244759</v>
      </c>
      <c r="U236">
        <v>4.4782817893529154</v>
      </c>
      <c r="V236">
        <v>0.1316732403778659</v>
      </c>
      <c r="W236">
        <v>-8.10919185211106</v>
      </c>
      <c r="X236">
        <v>0.410916325226304</v>
      </c>
      <c r="Z236" t="s">
        <v>392</v>
      </c>
      <c r="AA236">
        <v>9937</v>
      </c>
      <c r="AB236" t="s">
        <v>627</v>
      </c>
      <c r="AC236" t="str">
        <f>HYPERLINK("plots/20251231000436_3FT6Y121H01_04823_B11P_N_UFLEX98_M5358A8BH101511/dpll_52046/txpa_55155.png","plot")</f>
        <v>plot</v>
      </c>
    </row>
    <row r="237" spans="1:29" x14ac:dyDescent="0.35">
      <c r="A237" t="s">
        <v>46</v>
      </c>
      <c r="B237">
        <v>52046</v>
      </c>
      <c r="C237" t="s">
        <v>51</v>
      </c>
      <c r="D237">
        <v>55156</v>
      </c>
      <c r="E237" t="s">
        <v>289</v>
      </c>
      <c r="F237">
        <v>8716</v>
      </c>
      <c r="G237">
        <v>0.35653970337468271</v>
      </c>
      <c r="H237">
        <v>1.3094778171113301E-259</v>
      </c>
      <c r="I237">
        <v>1.611420517658845E-259</v>
      </c>
      <c r="J237">
        <v>0.27564842427200159</v>
      </c>
      <c r="K237">
        <v>9.1282804592101813E-152</v>
      </c>
      <c r="L237">
        <v>1.174628982949127E-151</v>
      </c>
      <c r="M237">
        <v>0.18587022712517101</v>
      </c>
      <c r="N237">
        <v>2.8822790147548932E-149</v>
      </c>
      <c r="O237">
        <v>3.7042216995709282E-149</v>
      </c>
      <c r="P237">
        <v>0.12712056008250669</v>
      </c>
      <c r="Q237">
        <v>0.92488508422046622</v>
      </c>
      <c r="R237">
        <v>-12.792648572703509</v>
      </c>
      <c r="S237">
        <v>0.31910206677818392</v>
      </c>
      <c r="T237">
        <v>0.25596566655737379</v>
      </c>
      <c r="U237">
        <v>4.4782817893529154</v>
      </c>
      <c r="V237">
        <v>0.1316732403778659</v>
      </c>
      <c r="W237">
        <v>-8.6507525427948586</v>
      </c>
      <c r="X237">
        <v>0.34156817561629188</v>
      </c>
      <c r="Z237" t="s">
        <v>392</v>
      </c>
      <c r="AA237">
        <v>9937</v>
      </c>
      <c r="AB237" t="s">
        <v>628</v>
      </c>
      <c r="AC237" t="str">
        <f>HYPERLINK("plots/20251231000436_3FT6Y121H01_04823_B11P_N_UFLEX98_M5358A8BH101511/dpll_52046/txpa_55156.png","plot")</f>
        <v>plot</v>
      </c>
    </row>
    <row r="238" spans="1:29" x14ac:dyDescent="0.35">
      <c r="A238" t="s">
        <v>46</v>
      </c>
      <c r="B238">
        <v>52046</v>
      </c>
      <c r="C238" t="s">
        <v>51</v>
      </c>
      <c r="D238">
        <v>55157</v>
      </c>
      <c r="E238" t="s">
        <v>290</v>
      </c>
      <c r="F238">
        <v>8716</v>
      </c>
      <c r="G238">
        <v>0.1999982869566711</v>
      </c>
      <c r="H238">
        <v>2.4362269717638301E-79</v>
      </c>
      <c r="I238">
        <v>2.630813790594807E-79</v>
      </c>
      <c r="J238">
        <v>0.16991362692061179</v>
      </c>
      <c r="K238">
        <v>1.8458033387353299E-57</v>
      </c>
      <c r="L238">
        <v>2.0039021257790411E-57</v>
      </c>
      <c r="M238">
        <v>0.11235379389469601</v>
      </c>
      <c r="N238">
        <v>9.5049981387842637E-56</v>
      </c>
      <c r="O238">
        <v>1.0319130741677989E-55</v>
      </c>
      <c r="P238">
        <v>3.9999314785602959E-2</v>
      </c>
      <c r="Q238">
        <v>0.74073637383680213</v>
      </c>
      <c r="R238">
        <v>-11.72883514597306</v>
      </c>
      <c r="S238">
        <v>0.47779959266704403</v>
      </c>
      <c r="T238">
        <v>0.3765501919174446</v>
      </c>
      <c r="U238">
        <v>4.4782817893529154</v>
      </c>
      <c r="V238">
        <v>0.1316732403778659</v>
      </c>
      <c r="W238">
        <v>-8.4116089323083987</v>
      </c>
      <c r="X238">
        <v>0.48767997012880709</v>
      </c>
      <c r="Z238" t="s">
        <v>392</v>
      </c>
      <c r="AA238">
        <v>9937</v>
      </c>
      <c r="AB238" t="s">
        <v>629</v>
      </c>
      <c r="AC238" t="str">
        <f>HYPERLINK("plots/20251231000436_3FT6Y121H01_04823_B11P_N_UFLEX98_M5358A8BH101511/dpll_52046/txpa_55157.png","plot")</f>
        <v>plot</v>
      </c>
    </row>
    <row r="239" spans="1:29" x14ac:dyDescent="0.35">
      <c r="A239" t="s">
        <v>46</v>
      </c>
      <c r="B239">
        <v>52046</v>
      </c>
      <c r="C239" t="s">
        <v>51</v>
      </c>
      <c r="D239">
        <v>55158</v>
      </c>
      <c r="E239" t="s">
        <v>291</v>
      </c>
      <c r="F239">
        <v>8716</v>
      </c>
      <c r="G239">
        <v>0.3187570308476747</v>
      </c>
      <c r="H239">
        <v>4.8179185450796064E-205</v>
      </c>
      <c r="I239">
        <v>5.5769057131400908E-205</v>
      </c>
      <c r="J239">
        <v>0.25472520397742821</v>
      </c>
      <c r="K239">
        <v>3.8377939093482648E-129</v>
      </c>
      <c r="L239">
        <v>4.6716963074179367E-129</v>
      </c>
      <c r="M239">
        <v>0.17175543618207931</v>
      </c>
      <c r="N239">
        <v>9.3388888138293028E-128</v>
      </c>
      <c r="O239">
        <v>1.134087815236277E-127</v>
      </c>
      <c r="P239">
        <v>0.1016060447148254</v>
      </c>
      <c r="Q239">
        <v>1.0174646366547511</v>
      </c>
      <c r="R239">
        <v>-12.956547513462571</v>
      </c>
      <c r="S239">
        <v>0.39835068630639298</v>
      </c>
      <c r="T239">
        <v>0.32046768411391002</v>
      </c>
      <c r="U239">
        <v>4.4782817893529154</v>
      </c>
      <c r="V239">
        <v>0.1316732403778659</v>
      </c>
      <c r="W239">
        <v>-8.4000541598210194</v>
      </c>
      <c r="X239">
        <v>0.42029775883513287</v>
      </c>
      <c r="Z239" t="s">
        <v>392</v>
      </c>
      <c r="AA239">
        <v>9937</v>
      </c>
      <c r="AB239" t="s">
        <v>630</v>
      </c>
      <c r="AC239" t="str">
        <f>HYPERLINK("plots/20251231000436_3FT6Y121H01_04823_B11P_N_UFLEX98_M5358A8BH101511/dpll_52046/txpa_55158.png","plot")</f>
        <v>plot</v>
      </c>
    </row>
    <row r="240" spans="1:29" x14ac:dyDescent="0.35">
      <c r="A240" t="s">
        <v>46</v>
      </c>
      <c r="B240">
        <v>52046</v>
      </c>
      <c r="C240" t="s">
        <v>51</v>
      </c>
      <c r="D240">
        <v>55159</v>
      </c>
      <c r="E240" t="s">
        <v>292</v>
      </c>
      <c r="F240">
        <v>8716</v>
      </c>
      <c r="G240">
        <v>0.21757649713306629</v>
      </c>
      <c r="H240">
        <v>6.7096939870875762E-94</v>
      </c>
      <c r="I240">
        <v>7.3394063677527536E-94</v>
      </c>
      <c r="J240">
        <v>0.18829927388053461</v>
      </c>
      <c r="K240">
        <v>2.2159529043228369E-70</v>
      </c>
      <c r="L240">
        <v>2.4291635080901149E-70</v>
      </c>
      <c r="M240">
        <v>0.1241617533629296</v>
      </c>
      <c r="N240">
        <v>1.1207053007786341E-67</v>
      </c>
      <c r="O240">
        <v>1.2285353243130109E-67</v>
      </c>
      <c r="P240">
        <v>4.7339532104695201E-2</v>
      </c>
      <c r="Q240">
        <v>0.78719539442423614</v>
      </c>
      <c r="R240">
        <v>-12.0529755220917</v>
      </c>
      <c r="S240">
        <v>0.46495641516884179</v>
      </c>
      <c r="T240">
        <v>0.35699596904434328</v>
      </c>
      <c r="U240">
        <v>4.4782817893529154</v>
      </c>
      <c r="V240">
        <v>0.1316732403778659</v>
      </c>
      <c r="W240">
        <v>-8.5276927225791628</v>
      </c>
      <c r="X240">
        <v>0.47639597916212062</v>
      </c>
      <c r="Z240" t="s">
        <v>392</v>
      </c>
      <c r="AA240">
        <v>9937</v>
      </c>
      <c r="AB240" t="s">
        <v>631</v>
      </c>
      <c r="AC240" t="str">
        <f>HYPERLINK("plots/20251231000436_3FT6Y121H01_04823_B11P_N_UFLEX98_M5358A8BH101511/dpll_52046/txpa_55159.png","plot")</f>
        <v>plot</v>
      </c>
    </row>
    <row r="241" spans="1:29" x14ac:dyDescent="0.35">
      <c r="A241" t="s">
        <v>46</v>
      </c>
      <c r="B241">
        <v>52046</v>
      </c>
      <c r="C241" t="s">
        <v>51</v>
      </c>
      <c r="D241">
        <v>55160</v>
      </c>
      <c r="E241" t="s">
        <v>293</v>
      </c>
      <c r="F241">
        <v>8716</v>
      </c>
      <c r="G241">
        <v>0.33917987641662772</v>
      </c>
      <c r="H241">
        <v>1.383313188721087E-233</v>
      </c>
      <c r="I241">
        <v>1.6367322909722081E-233</v>
      </c>
      <c r="J241">
        <v>0.27160641642308803</v>
      </c>
      <c r="K241">
        <v>3.0985842789048238E-147</v>
      </c>
      <c r="L241">
        <v>3.9571340791051528E-147</v>
      </c>
      <c r="M241">
        <v>0.18221063374902299</v>
      </c>
      <c r="N241">
        <v>1.578125961482194E-143</v>
      </c>
      <c r="O241">
        <v>1.9977774343856979E-143</v>
      </c>
      <c r="P241">
        <v>0.1150429885659989</v>
      </c>
      <c r="Q241">
        <v>0.90365407082639837</v>
      </c>
      <c r="R241">
        <v>-12.35819032120693</v>
      </c>
      <c r="S241">
        <v>0.32999383568243112</v>
      </c>
      <c r="T241">
        <v>0.26550493715527967</v>
      </c>
      <c r="U241">
        <v>4.4782817893529154</v>
      </c>
      <c r="V241">
        <v>0.1316732403778659</v>
      </c>
      <c r="W241">
        <v>-8.3113727519504366</v>
      </c>
      <c r="X241">
        <v>0.35080813444310899</v>
      </c>
      <c r="Z241" t="s">
        <v>392</v>
      </c>
      <c r="AA241">
        <v>9937</v>
      </c>
      <c r="AB241" t="s">
        <v>632</v>
      </c>
      <c r="AC241" t="str">
        <f>HYPERLINK("plots/20251231000436_3FT6Y121H01_04823_B11P_N_UFLEX98_M5358A8BH101511/dpll_52046/txpa_55160.png","plot")</f>
        <v>plot</v>
      </c>
    </row>
    <row r="242" spans="1:29" x14ac:dyDescent="0.35">
      <c r="A242" t="s">
        <v>46</v>
      </c>
      <c r="B242">
        <v>52046</v>
      </c>
      <c r="C242" t="s">
        <v>51</v>
      </c>
      <c r="D242">
        <v>55161</v>
      </c>
      <c r="E242" t="s">
        <v>294</v>
      </c>
      <c r="F242">
        <v>8716</v>
      </c>
      <c r="G242">
        <v>0.24458638606106509</v>
      </c>
      <c r="H242">
        <v>6.5756480075297424E-119</v>
      </c>
      <c r="I242">
        <v>7.3191076615095039E-119</v>
      </c>
      <c r="J242">
        <v>0.2062967035978282</v>
      </c>
      <c r="K242">
        <v>2.1019045853014282E-84</v>
      </c>
      <c r="L242">
        <v>2.3421222521930199E-84</v>
      </c>
      <c r="M242">
        <v>0.13645160912013549</v>
      </c>
      <c r="N242">
        <v>2.3987582672673069E-81</v>
      </c>
      <c r="O242">
        <v>2.6729020692407141E-81</v>
      </c>
      <c r="P242">
        <v>5.9822500246412377E-2</v>
      </c>
      <c r="Q242">
        <v>0.72191599764302627</v>
      </c>
      <c r="R242">
        <v>-11.766221472662981</v>
      </c>
      <c r="S242">
        <v>0.37681824350498327</v>
      </c>
      <c r="T242">
        <v>0.29700300033065258</v>
      </c>
      <c r="U242">
        <v>4.4782817893529154</v>
      </c>
      <c r="V242">
        <v>0.1316732403778659</v>
      </c>
      <c r="W242">
        <v>-8.5332782069756767</v>
      </c>
      <c r="X242">
        <v>0.38864394793643381</v>
      </c>
      <c r="Z242" t="s">
        <v>392</v>
      </c>
      <c r="AA242">
        <v>9937</v>
      </c>
      <c r="AB242" t="s">
        <v>633</v>
      </c>
      <c r="AC242" t="str">
        <f>HYPERLINK("plots/20251231000436_3FT6Y121H01_04823_B11P_N_UFLEX98_M5358A8BH101511/dpll_52046/txpa_55161.png","plot")</f>
        <v>plot</v>
      </c>
    </row>
    <row r="243" spans="1:29" x14ac:dyDescent="0.35">
      <c r="A243" t="s">
        <v>46</v>
      </c>
      <c r="B243">
        <v>52046</v>
      </c>
      <c r="C243" t="s">
        <v>51</v>
      </c>
      <c r="D243">
        <v>55162</v>
      </c>
      <c r="E243" t="s">
        <v>295</v>
      </c>
      <c r="F243">
        <v>8716</v>
      </c>
      <c r="G243">
        <v>0.30955992461642762</v>
      </c>
      <c r="H243">
        <v>6.7268793240862166E-193</v>
      </c>
      <c r="I243">
        <v>7.7336231685072822E-193</v>
      </c>
      <c r="J243">
        <v>0.20902876000049189</v>
      </c>
      <c r="K243">
        <v>1.183237524697835E-86</v>
      </c>
      <c r="L243">
        <v>1.3286853267371039E-86</v>
      </c>
      <c r="M243">
        <v>0.14034614334067311</v>
      </c>
      <c r="N243">
        <v>5.9839849250786897E-86</v>
      </c>
      <c r="O243">
        <v>6.6973076313794605E-86</v>
      </c>
      <c r="P243">
        <v>9.5827346928528317E-2</v>
      </c>
      <c r="Q243">
        <v>1.067476975858221</v>
      </c>
      <c r="R243">
        <v>-12.905002379487989</v>
      </c>
      <c r="S243">
        <v>0.43172984943335702</v>
      </c>
      <c r="T243">
        <v>0.34705298613818841</v>
      </c>
      <c r="U243">
        <v>4.4782817893529154</v>
      </c>
      <c r="V243">
        <v>0.1316732403778659</v>
      </c>
      <c r="W243">
        <v>-8.124539677948599</v>
      </c>
      <c r="X243">
        <v>0.45405797476589088</v>
      </c>
      <c r="Z243" t="s">
        <v>392</v>
      </c>
      <c r="AA243">
        <v>9937</v>
      </c>
      <c r="AB243" t="s">
        <v>634</v>
      </c>
      <c r="AC243" t="str">
        <f>HYPERLINK("plots/20251231000436_3FT6Y121H01_04823_B11P_N_UFLEX98_M5358A8BH101511/dpll_52046/txpa_55162.png","plot")</f>
        <v>plot</v>
      </c>
    </row>
    <row r="244" spans="1:29" x14ac:dyDescent="0.35">
      <c r="A244" t="s">
        <v>46</v>
      </c>
      <c r="B244">
        <v>52046</v>
      </c>
      <c r="C244" t="s">
        <v>51</v>
      </c>
      <c r="D244">
        <v>55163</v>
      </c>
      <c r="E244" t="s">
        <v>296</v>
      </c>
      <c r="F244">
        <v>8716</v>
      </c>
      <c r="G244">
        <v>0.35244705594761278</v>
      </c>
      <c r="H244">
        <v>2.5223636999096949E-253</v>
      </c>
      <c r="I244">
        <v>3.0704403261805892E-253</v>
      </c>
      <c r="J244">
        <v>0.2189602734711735</v>
      </c>
      <c r="K244">
        <v>4.2048438200749532E-95</v>
      </c>
      <c r="L244">
        <v>4.8232032053800932E-95</v>
      </c>
      <c r="M244">
        <v>0.14713226987392561</v>
      </c>
      <c r="N244">
        <v>2.7800468304575528E-94</v>
      </c>
      <c r="O244">
        <v>3.185273995575094E-94</v>
      </c>
      <c r="P244">
        <v>0.1242189272461397</v>
      </c>
      <c r="Q244">
        <v>0.97581519944971706</v>
      </c>
      <c r="R244">
        <v>-6.5558509184240163</v>
      </c>
      <c r="S244">
        <v>0.34114897998252308</v>
      </c>
      <c r="T244">
        <v>0.27103236974234002</v>
      </c>
      <c r="U244">
        <v>4.4782817893529154</v>
      </c>
      <c r="V244">
        <v>0.1316732403778659</v>
      </c>
      <c r="W244">
        <v>-2.1858754809545662</v>
      </c>
      <c r="X244">
        <v>0.36456184596592628</v>
      </c>
      <c r="Z244" t="s">
        <v>392</v>
      </c>
      <c r="AA244">
        <v>9937</v>
      </c>
      <c r="AB244" t="s">
        <v>635</v>
      </c>
      <c r="AC244" t="str">
        <f>HYPERLINK("plots/20251231000436_3FT6Y121H01_04823_B11P_N_UFLEX98_M5358A8BH101511/dpll_52046/txpa_55163.png","plot")</f>
        <v>plot</v>
      </c>
    </row>
    <row r="245" spans="1:29" x14ac:dyDescent="0.35">
      <c r="A245" t="s">
        <v>46</v>
      </c>
      <c r="B245">
        <v>52046</v>
      </c>
      <c r="C245" t="s">
        <v>51</v>
      </c>
      <c r="D245">
        <v>55164</v>
      </c>
      <c r="E245" t="s">
        <v>297</v>
      </c>
      <c r="F245">
        <v>8716</v>
      </c>
      <c r="G245">
        <v>0.3768375454416768</v>
      </c>
      <c r="H245">
        <v>3.5080323254148371E-292</v>
      </c>
      <c r="I245">
        <v>4.5429690650966093E-292</v>
      </c>
      <c r="J245">
        <v>0.28997335969496391</v>
      </c>
      <c r="K245">
        <v>1.8742741888750351E-168</v>
      </c>
      <c r="L245">
        <v>2.5407941544375481E-168</v>
      </c>
      <c r="M245">
        <v>0.19563844675495509</v>
      </c>
      <c r="N245">
        <v>3.5703798266085118E-165</v>
      </c>
      <c r="O245">
        <v>4.7825167030132517E-165</v>
      </c>
      <c r="P245">
        <v>0.1420065356545078</v>
      </c>
      <c r="Q245">
        <v>0.85726268691334828</v>
      </c>
      <c r="R245">
        <v>-6.5205169561364578</v>
      </c>
      <c r="S245">
        <v>0.27744337119229567</v>
      </c>
      <c r="T245">
        <v>0.2228098972842911</v>
      </c>
      <c r="U245">
        <v>4.4782817893529154</v>
      </c>
      <c r="V245">
        <v>0.1316732403778659</v>
      </c>
      <c r="W245">
        <v>-2.6814530766406608</v>
      </c>
      <c r="X245">
        <v>0.29954169165552741</v>
      </c>
      <c r="Z245" t="s">
        <v>392</v>
      </c>
      <c r="AA245">
        <v>9937</v>
      </c>
      <c r="AB245" t="s">
        <v>636</v>
      </c>
      <c r="AC245" t="str">
        <f>HYPERLINK("plots/20251231000436_3FT6Y121H01_04823_B11P_N_UFLEX98_M5358A8BH101511/dpll_52046/txpa_55164.png","plot")</f>
        <v>plot</v>
      </c>
    </row>
    <row r="246" spans="1:29" x14ac:dyDescent="0.35">
      <c r="A246" t="s">
        <v>46</v>
      </c>
      <c r="B246">
        <v>52046</v>
      </c>
      <c r="C246" t="s">
        <v>51</v>
      </c>
      <c r="D246">
        <v>55165</v>
      </c>
      <c r="E246" t="s">
        <v>298</v>
      </c>
      <c r="F246">
        <v>8716</v>
      </c>
      <c r="G246">
        <v>0.215623855291316</v>
      </c>
      <c r="H246">
        <v>3.2358778919390547E-92</v>
      </c>
      <c r="I246">
        <v>3.5243610982021487E-92</v>
      </c>
      <c r="J246">
        <v>0.18301429537461719</v>
      </c>
      <c r="K246">
        <v>1.5984409328358951E-66</v>
      </c>
      <c r="L246">
        <v>1.746572312387498E-66</v>
      </c>
      <c r="M246">
        <v>0.12141137393774649</v>
      </c>
      <c r="N246">
        <v>8.4405382395727828E-65</v>
      </c>
      <c r="O246">
        <v>9.2227432919469846E-65</v>
      </c>
      <c r="P246">
        <v>4.6493646970690403E-2</v>
      </c>
      <c r="Q246">
        <v>0.69959941667049641</v>
      </c>
      <c r="R246">
        <v>-5.6128324038138722</v>
      </c>
      <c r="S246">
        <v>0.41714499352510198</v>
      </c>
      <c r="T246">
        <v>0.32816380792930361</v>
      </c>
      <c r="U246">
        <v>4.4782817893529154</v>
      </c>
      <c r="V246">
        <v>0.1316732403778659</v>
      </c>
      <c r="W246">
        <v>-2.4798290762964661</v>
      </c>
      <c r="X246">
        <v>0.42721860266812062</v>
      </c>
      <c r="Z246" t="s">
        <v>392</v>
      </c>
      <c r="AA246">
        <v>9937</v>
      </c>
      <c r="AB246" t="s">
        <v>637</v>
      </c>
      <c r="AC246" t="str">
        <f>HYPERLINK("plots/20251231000436_3FT6Y121H01_04823_B11P_N_UFLEX98_M5358A8BH101511/dpll_52046/txpa_55165.png","plot")</f>
        <v>plot</v>
      </c>
    </row>
    <row r="247" spans="1:29" x14ac:dyDescent="0.35">
      <c r="A247" t="s">
        <v>46</v>
      </c>
      <c r="B247">
        <v>52046</v>
      </c>
      <c r="C247" t="s">
        <v>51</v>
      </c>
      <c r="D247">
        <v>55166</v>
      </c>
      <c r="E247" t="s">
        <v>299</v>
      </c>
      <c r="F247">
        <v>8716</v>
      </c>
      <c r="G247">
        <v>0.33375011732437387</v>
      </c>
      <c r="H247">
        <v>8.8006055033444549E-226</v>
      </c>
      <c r="I247">
        <v>1.035245241344696E-225</v>
      </c>
      <c r="J247">
        <v>0.26951908119015971</v>
      </c>
      <c r="K247">
        <v>6.3183802279607868E-145</v>
      </c>
      <c r="L247">
        <v>7.9985487529990488E-145</v>
      </c>
      <c r="M247">
        <v>0.1819846969716323</v>
      </c>
      <c r="N247">
        <v>3.375774317364031E-143</v>
      </c>
      <c r="O247">
        <v>4.2681236381635006E-143</v>
      </c>
      <c r="P247">
        <v>0.11138914081403339</v>
      </c>
      <c r="Q247">
        <v>0.93567395457751146</v>
      </c>
      <c r="R247">
        <v>-6.6587924724236656</v>
      </c>
      <c r="S247">
        <v>0.34796176890503522</v>
      </c>
      <c r="T247">
        <v>0.27924381659360981</v>
      </c>
      <c r="U247">
        <v>4.4782817893529154</v>
      </c>
      <c r="V247">
        <v>0.1316732403778659</v>
      </c>
      <c r="W247">
        <v>-2.4685808408673702</v>
      </c>
      <c r="X247">
        <v>0.3691480995545271</v>
      </c>
      <c r="Z247" t="s">
        <v>392</v>
      </c>
      <c r="AA247">
        <v>9937</v>
      </c>
      <c r="AB247" t="s">
        <v>638</v>
      </c>
      <c r="AC247" t="str">
        <f>HYPERLINK("plots/20251231000436_3FT6Y121H01_04823_B11P_N_UFLEX98_M5358A8BH101511/dpll_52046/txpa_55166.png","plot")</f>
        <v>plot</v>
      </c>
    </row>
    <row r="248" spans="1:29" x14ac:dyDescent="0.35">
      <c r="A248" t="s">
        <v>46</v>
      </c>
      <c r="B248">
        <v>52046</v>
      </c>
      <c r="C248" t="s">
        <v>51</v>
      </c>
      <c r="D248">
        <v>55167</v>
      </c>
      <c r="E248" t="s">
        <v>300</v>
      </c>
      <c r="F248">
        <v>8716</v>
      </c>
      <c r="G248">
        <v>0.23078533976196869</v>
      </c>
      <c r="H248">
        <v>1.00290864796742E-105</v>
      </c>
      <c r="I248">
        <v>1.104179553788234E-105</v>
      </c>
      <c r="J248">
        <v>0.19844491661481789</v>
      </c>
      <c r="K248">
        <v>4.0704355125426598E-78</v>
      </c>
      <c r="L248">
        <v>4.5059187879020272E-78</v>
      </c>
      <c r="M248">
        <v>0.13134537008567931</v>
      </c>
      <c r="N248">
        <v>1.604076268121889E-75</v>
      </c>
      <c r="O248">
        <v>1.769894815969092E-75</v>
      </c>
      <c r="P248">
        <v>5.3261873049047323E-2</v>
      </c>
      <c r="Q248">
        <v>0.73508353394853942</v>
      </c>
      <c r="R248">
        <v>-5.8717672876036762</v>
      </c>
      <c r="S248">
        <v>0.40805247743034567</v>
      </c>
      <c r="T248">
        <v>0.31205401349606798</v>
      </c>
      <c r="U248">
        <v>4.4782817893529154</v>
      </c>
      <c r="V248">
        <v>0.1316732403778659</v>
      </c>
      <c r="W248">
        <v>-2.579856083868747</v>
      </c>
      <c r="X248">
        <v>0.4193976574215979</v>
      </c>
      <c r="Z248" t="s">
        <v>392</v>
      </c>
      <c r="AA248">
        <v>9937</v>
      </c>
      <c r="AB248" t="s">
        <v>639</v>
      </c>
      <c r="AC248" t="str">
        <f>HYPERLINK("plots/20251231000436_3FT6Y121H01_04823_B11P_N_UFLEX98_M5358A8BH101511/dpll_52046/txpa_55167.png","plot")</f>
        <v>plot</v>
      </c>
    </row>
    <row r="249" spans="1:29" x14ac:dyDescent="0.35">
      <c r="A249" t="s">
        <v>46</v>
      </c>
      <c r="B249">
        <v>52046</v>
      </c>
      <c r="C249" t="s">
        <v>51</v>
      </c>
      <c r="D249">
        <v>55168</v>
      </c>
      <c r="E249" t="s">
        <v>301</v>
      </c>
      <c r="F249">
        <v>8716</v>
      </c>
      <c r="G249">
        <v>0.36093289679134022</v>
      </c>
      <c r="H249">
        <v>1.8473573545703191E-266</v>
      </c>
      <c r="I249">
        <v>2.3069216225791911E-266</v>
      </c>
      <c r="J249">
        <v>0.28926372938302058</v>
      </c>
      <c r="K249">
        <v>1.3270708889825341E-167</v>
      </c>
      <c r="L249">
        <v>1.7870516353629341E-167</v>
      </c>
      <c r="M249">
        <v>0.19462148120471781</v>
      </c>
      <c r="N249">
        <v>1.7526781988602711E-163</v>
      </c>
      <c r="O249">
        <v>2.329247304907359E-163</v>
      </c>
      <c r="P249">
        <v>0.13027255598618831</v>
      </c>
      <c r="Q249">
        <v>0.84666641042168889</v>
      </c>
      <c r="R249">
        <v>-6.1845682593023117</v>
      </c>
      <c r="S249">
        <v>0.28803818045536839</v>
      </c>
      <c r="T249">
        <v>0.2315842134932046</v>
      </c>
      <c r="U249">
        <v>4.4782817893529154</v>
      </c>
      <c r="V249">
        <v>0.1316732403778659</v>
      </c>
      <c r="W249">
        <v>-2.392957491854061</v>
      </c>
      <c r="X249">
        <v>0.3088754468500825</v>
      </c>
      <c r="Z249" t="s">
        <v>392</v>
      </c>
      <c r="AA249">
        <v>9937</v>
      </c>
      <c r="AB249" t="s">
        <v>640</v>
      </c>
      <c r="AC249" t="str">
        <f>HYPERLINK("plots/20251231000436_3FT6Y121H01_04823_B11P_N_UFLEX98_M5358A8BH101511/dpll_52046/txpa_55168.png","plot")</f>
        <v>plot</v>
      </c>
    </row>
    <row r="250" spans="1:29" x14ac:dyDescent="0.35">
      <c r="A250" t="s">
        <v>46</v>
      </c>
      <c r="B250">
        <v>52046</v>
      </c>
      <c r="C250" t="s">
        <v>51</v>
      </c>
      <c r="D250">
        <v>55169</v>
      </c>
      <c r="E250" t="s">
        <v>302</v>
      </c>
      <c r="F250">
        <v>8716</v>
      </c>
      <c r="G250">
        <v>0.26626479070629921</v>
      </c>
      <c r="H250">
        <v>2.2920686944966951E-141</v>
      </c>
      <c r="I250">
        <v>2.5823973957996099E-141</v>
      </c>
      <c r="J250">
        <v>0.2220670656319477</v>
      </c>
      <c r="K250">
        <v>7.8064195564424667E-98</v>
      </c>
      <c r="L250">
        <v>9.046525063123041E-98</v>
      </c>
      <c r="M250">
        <v>0.14761171636892481</v>
      </c>
      <c r="N250">
        <v>6.941794590245837E-95</v>
      </c>
      <c r="O250">
        <v>7.9988405846696357E-95</v>
      </c>
      <c r="P250">
        <v>7.08969387698693E-2</v>
      </c>
      <c r="Q250">
        <v>0.68778319063743953</v>
      </c>
      <c r="R250">
        <v>-5.6612009377694212</v>
      </c>
      <c r="S250">
        <v>0.32782522624329558</v>
      </c>
      <c r="T250">
        <v>0.25754257029704142</v>
      </c>
      <c r="U250">
        <v>4.4782817893529154</v>
      </c>
      <c r="V250">
        <v>0.1316732403778659</v>
      </c>
      <c r="W250">
        <v>-2.5811140001147321</v>
      </c>
      <c r="X250">
        <v>0.34012248164104197</v>
      </c>
      <c r="Z250" t="s">
        <v>392</v>
      </c>
      <c r="AA250">
        <v>9937</v>
      </c>
      <c r="AB250" t="s">
        <v>641</v>
      </c>
      <c r="AC250" t="str">
        <f>HYPERLINK("plots/20251231000436_3FT6Y121H01_04823_B11P_N_UFLEX98_M5358A8BH101511/dpll_52046/txpa_55169.png","plot")</f>
        <v>plot</v>
      </c>
    </row>
    <row r="251" spans="1:29" x14ac:dyDescent="0.35">
      <c r="A251" t="s">
        <v>46</v>
      </c>
      <c r="B251">
        <v>52046</v>
      </c>
      <c r="C251" t="s">
        <v>51</v>
      </c>
      <c r="D251">
        <v>55170</v>
      </c>
      <c r="E251" t="s">
        <v>303</v>
      </c>
      <c r="F251">
        <v>8716</v>
      </c>
      <c r="G251">
        <v>0.31984189158026138</v>
      </c>
      <c r="H251">
        <v>1.6659033958069949E-206</v>
      </c>
      <c r="I251">
        <v>1.9327529100094879E-206</v>
      </c>
      <c r="J251">
        <v>0.21924661883422719</v>
      </c>
      <c r="K251">
        <v>2.3647150474877969E-95</v>
      </c>
      <c r="L251">
        <v>2.7217038117509941E-95</v>
      </c>
      <c r="M251">
        <v>0.14750085514308101</v>
      </c>
      <c r="N251">
        <v>9.5553368372038875E-95</v>
      </c>
      <c r="O251">
        <v>1.0997856473240339E-94</v>
      </c>
      <c r="P251">
        <v>0.1022988356096397</v>
      </c>
      <c r="Q251">
        <v>0.978552333330174</v>
      </c>
      <c r="R251">
        <v>-6.5704931736755388</v>
      </c>
      <c r="S251">
        <v>0.38166928746917339</v>
      </c>
      <c r="T251">
        <v>0.30631919041133482</v>
      </c>
      <c r="U251">
        <v>4.4782817893529154</v>
      </c>
      <c r="V251">
        <v>0.1316732403778659</v>
      </c>
      <c r="W251">
        <v>-2.188260079394218</v>
      </c>
      <c r="X251">
        <v>0.40285265939459342</v>
      </c>
      <c r="Z251" t="s">
        <v>392</v>
      </c>
      <c r="AA251">
        <v>9937</v>
      </c>
      <c r="AB251" t="s">
        <v>642</v>
      </c>
      <c r="AC251" t="str">
        <f>HYPERLINK("plots/20251231000436_3FT6Y121H01_04823_B11P_N_UFLEX98_M5358A8BH101511/dpll_52046/txpa_55170.png","plot")</f>
        <v>plot</v>
      </c>
    </row>
    <row r="252" spans="1:29" x14ac:dyDescent="0.35">
      <c r="A252" t="s">
        <v>46</v>
      </c>
      <c r="B252">
        <v>52046</v>
      </c>
      <c r="C252" t="s">
        <v>51</v>
      </c>
      <c r="D252">
        <v>55171</v>
      </c>
      <c r="E252" t="s">
        <v>304</v>
      </c>
      <c r="F252">
        <v>8716</v>
      </c>
      <c r="G252">
        <v>0.37084580438821851</v>
      </c>
      <c r="H252">
        <v>2.5488667299392219E-282</v>
      </c>
      <c r="I252">
        <v>3.255101844028175E-282</v>
      </c>
      <c r="J252">
        <v>0.23450332934924989</v>
      </c>
      <c r="K252">
        <v>3.4166746835631772E-109</v>
      </c>
      <c r="L252">
        <v>4.005211709980418E-109</v>
      </c>
      <c r="M252">
        <v>0.1579248581330798</v>
      </c>
      <c r="N252">
        <v>2.497538063302965E-108</v>
      </c>
      <c r="O252">
        <v>2.9243690487173281E-108</v>
      </c>
      <c r="P252">
        <v>0.13752661063234481</v>
      </c>
      <c r="Q252">
        <v>0.98169642820791581</v>
      </c>
      <c r="R252">
        <v>-3.7834033163090588</v>
      </c>
      <c r="S252">
        <v>0.32369001397335362</v>
      </c>
      <c r="T252">
        <v>0.25641809115589848</v>
      </c>
      <c r="U252">
        <v>4.4782817893529154</v>
      </c>
      <c r="V252">
        <v>0.1316732403778659</v>
      </c>
      <c r="W252">
        <v>0.61290992080725104</v>
      </c>
      <c r="X252">
        <v>0.34856306378538582</v>
      </c>
      <c r="Z252" t="s">
        <v>392</v>
      </c>
      <c r="AA252">
        <v>9937</v>
      </c>
      <c r="AB252" t="s">
        <v>643</v>
      </c>
      <c r="AC252" t="str">
        <f>HYPERLINK("plots/20251231000436_3FT6Y121H01_04823_B11P_N_UFLEX98_M5358A8BH101511/dpll_52046/txpa_55171.png","plot")</f>
        <v>plot</v>
      </c>
    </row>
    <row r="253" spans="1:29" x14ac:dyDescent="0.35">
      <c r="A253" t="s">
        <v>46</v>
      </c>
      <c r="B253">
        <v>52046</v>
      </c>
      <c r="C253" t="s">
        <v>51</v>
      </c>
      <c r="D253">
        <v>55172</v>
      </c>
      <c r="E253" t="s">
        <v>305</v>
      </c>
      <c r="F253">
        <v>8716</v>
      </c>
      <c r="G253">
        <v>0.3989377002982552</v>
      </c>
      <c r="H253">
        <v>0</v>
      </c>
      <c r="I253">
        <v>0</v>
      </c>
      <c r="J253">
        <v>0.30619039783342827</v>
      </c>
      <c r="K253">
        <v>1.4778270418082941E-188</v>
      </c>
      <c r="L253">
        <v>2.1285747448772879E-188</v>
      </c>
      <c r="M253">
        <v>0.20693730219707321</v>
      </c>
      <c r="N253">
        <v>1.454167162736579E-184</v>
      </c>
      <c r="O253">
        <v>2.0826631398515411E-184</v>
      </c>
      <c r="P253">
        <v>0.15915128871926049</v>
      </c>
      <c r="Q253">
        <v>0.87663733284905176</v>
      </c>
      <c r="R253">
        <v>-3.777275073693203</v>
      </c>
      <c r="S253">
        <v>0.26530560282418519</v>
      </c>
      <c r="T253">
        <v>0.21215735715100659</v>
      </c>
      <c r="U253">
        <v>4.4782817893529154</v>
      </c>
      <c r="V253">
        <v>0.1316732403778659</v>
      </c>
      <c r="W253">
        <v>0.14855392987161539</v>
      </c>
      <c r="X253">
        <v>0.28934261707065162</v>
      </c>
      <c r="Z253" t="s">
        <v>392</v>
      </c>
      <c r="AA253">
        <v>9937</v>
      </c>
      <c r="AB253" t="s">
        <v>644</v>
      </c>
      <c r="AC253" t="str">
        <f>HYPERLINK("plots/20251231000436_3FT6Y121H01_04823_B11P_N_UFLEX98_M5358A8BH101511/dpll_52046/txpa_55172.png","plot")</f>
        <v>plot</v>
      </c>
    </row>
    <row r="254" spans="1:29" x14ac:dyDescent="0.35">
      <c r="A254" t="s">
        <v>46</v>
      </c>
      <c r="B254">
        <v>52046</v>
      </c>
      <c r="C254" t="s">
        <v>51</v>
      </c>
      <c r="D254">
        <v>55173</v>
      </c>
      <c r="E254" t="s">
        <v>306</v>
      </c>
      <c r="F254">
        <v>8716</v>
      </c>
      <c r="G254">
        <v>0.2422519806756806</v>
      </c>
      <c r="H254">
        <v>1.2823482695189159E-116</v>
      </c>
      <c r="I254">
        <v>1.4210941478603061E-116</v>
      </c>
      <c r="J254">
        <v>0.20380685038224489</v>
      </c>
      <c r="K254">
        <v>2.2121219871524189E-82</v>
      </c>
      <c r="L254">
        <v>2.456836467658875E-82</v>
      </c>
      <c r="M254">
        <v>0.135899333268268</v>
      </c>
      <c r="N254">
        <v>1.019834174882136E-80</v>
      </c>
      <c r="O254">
        <v>1.135139246246417E-80</v>
      </c>
      <c r="P254">
        <v>5.868602214129031E-2</v>
      </c>
      <c r="Q254">
        <v>0.74125926745177195</v>
      </c>
      <c r="R254">
        <v>-2.9890054150372372</v>
      </c>
      <c r="S254">
        <v>0.39087929080082712</v>
      </c>
      <c r="T254">
        <v>0.30659874668576031</v>
      </c>
      <c r="U254">
        <v>4.4782817893529154</v>
      </c>
      <c r="V254">
        <v>0.1316732403778659</v>
      </c>
      <c r="W254">
        <v>0.33056246358111518</v>
      </c>
      <c r="X254">
        <v>0.40290283461569382</v>
      </c>
      <c r="Z254" t="s">
        <v>392</v>
      </c>
      <c r="AA254">
        <v>9937</v>
      </c>
      <c r="AB254" t="s">
        <v>645</v>
      </c>
      <c r="AC254" t="str">
        <f>HYPERLINK("plots/20251231000436_3FT6Y121H01_04823_B11P_N_UFLEX98_M5358A8BH101511/dpll_52046/txpa_55173.png","plot")</f>
        <v>plot</v>
      </c>
    </row>
    <row r="255" spans="1:29" x14ac:dyDescent="0.35">
      <c r="A255" t="s">
        <v>46</v>
      </c>
      <c r="B255">
        <v>52046</v>
      </c>
      <c r="C255" t="s">
        <v>51</v>
      </c>
      <c r="D255">
        <v>55174</v>
      </c>
      <c r="E255" t="s">
        <v>307</v>
      </c>
      <c r="F255">
        <v>8716</v>
      </c>
      <c r="G255">
        <v>0.35647981132613982</v>
      </c>
      <c r="H255">
        <v>1.6208489014870521E-259</v>
      </c>
      <c r="I255">
        <v>1.989758820953839E-259</v>
      </c>
      <c r="J255">
        <v>0.28695962476129733</v>
      </c>
      <c r="K255">
        <v>7.3458202398071254E-165</v>
      </c>
      <c r="L255">
        <v>9.7879917518586411E-165</v>
      </c>
      <c r="M255">
        <v>0.19430004040926499</v>
      </c>
      <c r="N255">
        <v>5.9086364032611445E-163</v>
      </c>
      <c r="O255">
        <v>7.8318396247147715E-163</v>
      </c>
      <c r="P255">
        <v>0.12707785588312021</v>
      </c>
      <c r="Q255">
        <v>0.95378410790092905</v>
      </c>
      <c r="R255">
        <v>-3.9276559483067488</v>
      </c>
      <c r="S255">
        <v>0.32913609048005632</v>
      </c>
      <c r="T255">
        <v>0.26421420599785739</v>
      </c>
      <c r="U255">
        <v>4.4782817893529154</v>
      </c>
      <c r="V255">
        <v>0.1316732403778659</v>
      </c>
      <c r="W255">
        <v>0.34365805308019731</v>
      </c>
      <c r="X255">
        <v>0.35230001845273751</v>
      </c>
      <c r="Z255" t="s">
        <v>392</v>
      </c>
      <c r="AA255">
        <v>9937</v>
      </c>
      <c r="AB255" t="s">
        <v>646</v>
      </c>
      <c r="AC255" t="str">
        <f>HYPERLINK("plots/20251231000436_3FT6Y121H01_04823_B11P_N_UFLEX98_M5358A8BH101511/dpll_52046/txpa_55174.png","plot")</f>
        <v>plot</v>
      </c>
    </row>
    <row r="256" spans="1:29" x14ac:dyDescent="0.35">
      <c r="A256" t="s">
        <v>46</v>
      </c>
      <c r="B256">
        <v>52046</v>
      </c>
      <c r="C256" t="s">
        <v>51</v>
      </c>
      <c r="D256">
        <v>55175</v>
      </c>
      <c r="E256" t="s">
        <v>308</v>
      </c>
      <c r="F256">
        <v>8716</v>
      </c>
      <c r="G256">
        <v>0.2550603278935244</v>
      </c>
      <c r="H256">
        <v>1.7289434249326821E-129</v>
      </c>
      <c r="I256">
        <v>1.9414713542433439E-129</v>
      </c>
      <c r="J256">
        <v>0.21658710739705991</v>
      </c>
      <c r="K256">
        <v>4.8049350953857934E-93</v>
      </c>
      <c r="L256">
        <v>5.443803560582339E-93</v>
      </c>
      <c r="M256">
        <v>0.14425295481289591</v>
      </c>
      <c r="N256">
        <v>1.0504332154560571E-90</v>
      </c>
      <c r="O256">
        <v>1.190099754717812E-90</v>
      </c>
      <c r="P256">
        <v>6.5055770865152185E-2</v>
      </c>
      <c r="Q256">
        <v>0.77010947026704291</v>
      </c>
      <c r="R256">
        <v>-3.207265766892911</v>
      </c>
      <c r="S256">
        <v>0.38439259375805762</v>
      </c>
      <c r="T256">
        <v>0.29372165053881782</v>
      </c>
      <c r="U256">
        <v>4.4782817893529154</v>
      </c>
      <c r="V256">
        <v>0.1316732403778659</v>
      </c>
      <c r="W256">
        <v>0.2415014496122074</v>
      </c>
      <c r="X256">
        <v>0.39756402037589411</v>
      </c>
      <c r="Z256" t="s">
        <v>392</v>
      </c>
      <c r="AA256">
        <v>9937</v>
      </c>
      <c r="AB256" t="s">
        <v>647</v>
      </c>
      <c r="AC256" t="str">
        <f>HYPERLINK("plots/20251231000436_3FT6Y121H01_04823_B11P_N_UFLEX98_M5358A8BH101511/dpll_52046/txpa_55175.png","plot")</f>
        <v>plot</v>
      </c>
    </row>
    <row r="257" spans="1:29" x14ac:dyDescent="0.35">
      <c r="A257" t="s">
        <v>46</v>
      </c>
      <c r="B257">
        <v>52046</v>
      </c>
      <c r="C257" t="s">
        <v>51</v>
      </c>
      <c r="D257">
        <v>55176</v>
      </c>
      <c r="E257" t="s">
        <v>309</v>
      </c>
      <c r="F257">
        <v>8716</v>
      </c>
      <c r="G257">
        <v>0.38780210007720373</v>
      </c>
      <c r="H257">
        <v>0</v>
      </c>
      <c r="I257">
        <v>0</v>
      </c>
      <c r="J257">
        <v>0.30728000738067252</v>
      </c>
      <c r="K257">
        <v>5.913949543322499E-190</v>
      </c>
      <c r="L257">
        <v>8.5545575419814753E-190</v>
      </c>
      <c r="M257">
        <v>0.20743278407928259</v>
      </c>
      <c r="N257">
        <v>1.9366389419897619E-185</v>
      </c>
      <c r="O257">
        <v>2.785463669755487E-185</v>
      </c>
      <c r="P257">
        <v>0.1503904688242895</v>
      </c>
      <c r="Q257">
        <v>0.87073727676477519</v>
      </c>
      <c r="R257">
        <v>-3.4888164027310209</v>
      </c>
      <c r="S257">
        <v>0.27249546369091288</v>
      </c>
      <c r="T257">
        <v>0.21888975134130409</v>
      </c>
      <c r="U257">
        <v>4.4782817893529154</v>
      </c>
      <c r="V257">
        <v>0.1316732403778659</v>
      </c>
      <c r="W257">
        <v>0.4105904871154199</v>
      </c>
      <c r="X257">
        <v>0.29564769950083181</v>
      </c>
      <c r="Z257" t="s">
        <v>392</v>
      </c>
      <c r="AA257">
        <v>9937</v>
      </c>
      <c r="AB257" t="s">
        <v>648</v>
      </c>
      <c r="AC257" t="str">
        <f>HYPERLINK("plots/20251231000436_3FT6Y121H01_04823_B11P_N_UFLEX98_M5358A8BH101511/dpll_52046/txpa_55176.png","plot")</f>
        <v>plot</v>
      </c>
    </row>
    <row r="258" spans="1:29" x14ac:dyDescent="0.35">
      <c r="A258" t="s">
        <v>46</v>
      </c>
      <c r="B258">
        <v>52046</v>
      </c>
      <c r="C258" t="s">
        <v>51</v>
      </c>
      <c r="D258">
        <v>55177</v>
      </c>
      <c r="E258" t="s">
        <v>310</v>
      </c>
      <c r="F258">
        <v>8716</v>
      </c>
      <c r="G258">
        <v>0.29486388243175848</v>
      </c>
      <c r="H258">
        <v>2.225572691116119E-174</v>
      </c>
      <c r="I258">
        <v>2.524307280527679E-174</v>
      </c>
      <c r="J258">
        <v>0.24273945210097</v>
      </c>
      <c r="K258">
        <v>4.2837914528238132E-117</v>
      </c>
      <c r="L258">
        <v>5.1284114913380712E-117</v>
      </c>
      <c r="M258">
        <v>0.16224633266679639</v>
      </c>
      <c r="N258">
        <v>3.1373085805266109E-114</v>
      </c>
      <c r="O258">
        <v>3.7470328629611107E-114</v>
      </c>
      <c r="P258">
        <v>8.6944709162729894E-2</v>
      </c>
      <c r="Q258">
        <v>0.72412713846702248</v>
      </c>
      <c r="R258">
        <v>-3.002086912910046</v>
      </c>
      <c r="S258">
        <v>0.3089686330920095</v>
      </c>
      <c r="T258">
        <v>0.24192961813862329</v>
      </c>
      <c r="U258">
        <v>4.4782817893529154</v>
      </c>
      <c r="V258">
        <v>0.1316732403778659</v>
      </c>
      <c r="W258">
        <v>0.24075846446305649</v>
      </c>
      <c r="X258">
        <v>0.32336332948329549</v>
      </c>
      <c r="Z258" t="s">
        <v>392</v>
      </c>
      <c r="AA258">
        <v>9937</v>
      </c>
      <c r="AB258" t="s">
        <v>649</v>
      </c>
      <c r="AC258" t="str">
        <f>HYPERLINK("plots/20251231000436_3FT6Y121H01_04823_B11P_N_UFLEX98_M5358A8BH101511/dpll_52046/txpa_55177.png","plot")</f>
        <v>plot</v>
      </c>
    </row>
    <row r="259" spans="1:29" x14ac:dyDescent="0.35">
      <c r="A259" t="s">
        <v>46</v>
      </c>
      <c r="B259">
        <v>52046</v>
      </c>
      <c r="C259" t="s">
        <v>51</v>
      </c>
      <c r="D259">
        <v>55178</v>
      </c>
      <c r="E259" t="s">
        <v>311</v>
      </c>
      <c r="F259">
        <v>8716</v>
      </c>
      <c r="G259">
        <v>0.34081969609251189</v>
      </c>
      <c r="H259">
        <v>5.6632035938255849E-236</v>
      </c>
      <c r="I259">
        <v>6.7400099109614353E-236</v>
      </c>
      <c r="J259">
        <v>0.23453365528659581</v>
      </c>
      <c r="K259">
        <v>3.1993837267361149E-109</v>
      </c>
      <c r="L259">
        <v>3.75483229040558E-109</v>
      </c>
      <c r="M259">
        <v>0.1582933768262979</v>
      </c>
      <c r="N259">
        <v>7.9435875075186323E-109</v>
      </c>
      <c r="O259">
        <v>9.3334852058214289E-109</v>
      </c>
      <c r="P259">
        <v>0.1161580652445922</v>
      </c>
      <c r="Q259">
        <v>0.98998390722515828</v>
      </c>
      <c r="R259">
        <v>-3.8180761808517492</v>
      </c>
      <c r="S259">
        <v>0.35955336698685941</v>
      </c>
      <c r="T259">
        <v>0.28766040947735461</v>
      </c>
      <c r="U259">
        <v>4.4782817893529154</v>
      </c>
      <c r="V259">
        <v>0.1316732403778659</v>
      </c>
      <c r="W259">
        <v>0.61535072262712254</v>
      </c>
      <c r="X259">
        <v>0.38247316830801292</v>
      </c>
      <c r="Z259" t="s">
        <v>392</v>
      </c>
      <c r="AA259">
        <v>9937</v>
      </c>
      <c r="AB259" t="s">
        <v>650</v>
      </c>
      <c r="AC259" t="str">
        <f>HYPERLINK("plots/20251231000436_3FT6Y121H01_04823_B11P_N_UFLEX98_M5358A8BH101511/dpll_52046/txpa_55178.png","plot")</f>
        <v>plot</v>
      </c>
    </row>
    <row r="260" spans="1:29" x14ac:dyDescent="0.35">
      <c r="A260" t="s">
        <v>46</v>
      </c>
      <c r="B260">
        <v>52046</v>
      </c>
      <c r="C260" t="s">
        <v>51</v>
      </c>
      <c r="D260">
        <v>55179</v>
      </c>
      <c r="E260" t="s">
        <v>312</v>
      </c>
      <c r="F260">
        <v>8716</v>
      </c>
      <c r="G260">
        <v>0.40735787440766019</v>
      </c>
      <c r="H260">
        <v>0</v>
      </c>
      <c r="I260">
        <v>0</v>
      </c>
      <c r="J260">
        <v>0.26957383740005281</v>
      </c>
      <c r="K260">
        <v>5.4990257769519033E-145</v>
      </c>
      <c r="L260">
        <v>6.9700151722865374E-145</v>
      </c>
      <c r="M260">
        <v>0.18266607142929689</v>
      </c>
      <c r="N260">
        <v>2.9112905689141448E-144</v>
      </c>
      <c r="O260">
        <v>3.6900607960986801E-144</v>
      </c>
      <c r="P260">
        <v>0.16594043784192711</v>
      </c>
      <c r="Q260">
        <v>1.035045483044021</v>
      </c>
      <c r="R260">
        <v>-0.88659660335678891</v>
      </c>
      <c r="S260">
        <v>0.30553042189103607</v>
      </c>
      <c r="T260">
        <v>0.23912845499004409</v>
      </c>
      <c r="U260">
        <v>4.4782817893529154</v>
      </c>
      <c r="V260">
        <v>0.1316732403778659</v>
      </c>
      <c r="W260">
        <v>3.748628734511243</v>
      </c>
      <c r="X260">
        <v>0.33456525883795951</v>
      </c>
      <c r="Z260" t="s">
        <v>392</v>
      </c>
      <c r="AA260">
        <v>9937</v>
      </c>
      <c r="AB260" t="s">
        <v>651</v>
      </c>
      <c r="AC260" t="str">
        <f>HYPERLINK("plots/20251231000436_3FT6Y121H01_04823_B11P_N_UFLEX98_M5358A8BH101511/dpll_52046/txpa_55179.png","plot")</f>
        <v>plot</v>
      </c>
    </row>
    <row r="261" spans="1:29" x14ac:dyDescent="0.35">
      <c r="A261" t="s">
        <v>46</v>
      </c>
      <c r="B261">
        <v>52046</v>
      </c>
      <c r="C261" t="s">
        <v>51</v>
      </c>
      <c r="D261">
        <v>55180</v>
      </c>
      <c r="E261" t="s">
        <v>313</v>
      </c>
      <c r="F261">
        <v>8716</v>
      </c>
      <c r="G261">
        <v>0.43818333595587489</v>
      </c>
      <c r="H261">
        <v>0</v>
      </c>
      <c r="I261">
        <v>0</v>
      </c>
      <c r="J261">
        <v>0.33610237681981348</v>
      </c>
      <c r="K261">
        <v>3.8303817920707957E-229</v>
      </c>
      <c r="L261">
        <v>6.1553203441518028E-229</v>
      </c>
      <c r="M261">
        <v>0.2280617266728856</v>
      </c>
      <c r="N261">
        <v>1.007117157520776E-223</v>
      </c>
      <c r="O261">
        <v>1.6006532879718921E-223</v>
      </c>
      <c r="P261">
        <v>0.1920046359094191</v>
      </c>
      <c r="Q261">
        <v>0.94791576599331906</v>
      </c>
      <c r="R261">
        <v>-0.91460706092153421</v>
      </c>
      <c r="S261">
        <v>0.2560300446960832</v>
      </c>
      <c r="T261">
        <v>0.20224901900128489</v>
      </c>
      <c r="U261">
        <v>4.4782817893529154</v>
      </c>
      <c r="V261">
        <v>0.1316732403778659</v>
      </c>
      <c r="W261">
        <v>3.330426851766866</v>
      </c>
      <c r="X261">
        <v>0.28484684439523289</v>
      </c>
      <c r="Z261" t="s">
        <v>392</v>
      </c>
      <c r="AA261">
        <v>9937</v>
      </c>
      <c r="AB261" t="s">
        <v>652</v>
      </c>
      <c r="AC261" t="str">
        <f>HYPERLINK("plots/20251231000436_3FT6Y121H01_04823_B11P_N_UFLEX98_M5358A8BH101511/dpll_52046/txpa_55180.png","plot")</f>
        <v>plot</v>
      </c>
    </row>
    <row r="262" spans="1:29" x14ac:dyDescent="0.35">
      <c r="A262" t="s">
        <v>46</v>
      </c>
      <c r="B262">
        <v>52046</v>
      </c>
      <c r="C262" t="s">
        <v>51</v>
      </c>
      <c r="D262">
        <v>55181</v>
      </c>
      <c r="E262" t="s">
        <v>314</v>
      </c>
      <c r="F262">
        <v>8716</v>
      </c>
      <c r="G262">
        <v>0.29494715812559552</v>
      </c>
      <c r="H262">
        <v>1.7600561970877309E-174</v>
      </c>
      <c r="I262">
        <v>1.9985408553717339E-174</v>
      </c>
      <c r="J262">
        <v>0.24156286425962031</v>
      </c>
      <c r="K262">
        <v>6.0162652978233792E-116</v>
      </c>
      <c r="L262">
        <v>7.1939776084822006E-116</v>
      </c>
      <c r="M262">
        <v>0.16281968012952311</v>
      </c>
      <c r="N262">
        <v>5.0060197529902036E-115</v>
      </c>
      <c r="O262">
        <v>5.9930389959056269E-115</v>
      </c>
      <c r="P262">
        <v>8.699382608636505E-2</v>
      </c>
      <c r="Q262">
        <v>0.84320167218226505</v>
      </c>
      <c r="R262">
        <v>-0.29104482694799388</v>
      </c>
      <c r="S262">
        <v>0.35966378351725747</v>
      </c>
      <c r="T262">
        <v>0.27973302334022399</v>
      </c>
      <c r="U262">
        <v>4.4782817893529154</v>
      </c>
      <c r="V262">
        <v>0.1316732403778659</v>
      </c>
      <c r="W262">
        <v>3.48504986633777</v>
      </c>
      <c r="X262">
        <v>0.37643046698214289</v>
      </c>
      <c r="Z262" t="s">
        <v>392</v>
      </c>
      <c r="AA262">
        <v>9937</v>
      </c>
      <c r="AB262" t="s">
        <v>653</v>
      </c>
      <c r="AC262" t="str">
        <f>HYPERLINK("plots/20251231000436_3FT6Y121H01_04823_B11P_N_UFLEX98_M5358A8BH101511/dpll_52046/txpa_55181.png","plot")</f>
        <v>plot</v>
      </c>
    </row>
    <row r="263" spans="1:29" x14ac:dyDescent="0.35">
      <c r="A263" t="s">
        <v>46</v>
      </c>
      <c r="B263">
        <v>52046</v>
      </c>
      <c r="C263" t="s">
        <v>51</v>
      </c>
      <c r="D263">
        <v>55182</v>
      </c>
      <c r="E263" t="s">
        <v>315</v>
      </c>
      <c r="F263">
        <v>8716</v>
      </c>
      <c r="G263">
        <v>0.40024368557567619</v>
      </c>
      <c r="H263">
        <v>0</v>
      </c>
      <c r="I263">
        <v>0</v>
      </c>
      <c r="J263">
        <v>0.31726280868165091</v>
      </c>
      <c r="K263">
        <v>4.8473027263026669E-203</v>
      </c>
      <c r="L263">
        <v>7.2709540894540003E-203</v>
      </c>
      <c r="M263">
        <v>0.2162915888504105</v>
      </c>
      <c r="N263">
        <v>1.9401295496205881E-201</v>
      </c>
      <c r="O263">
        <v>2.9101943244308821E-201</v>
      </c>
      <c r="P263">
        <v>0.1601950078432007</v>
      </c>
      <c r="Q263">
        <v>1.025897574132441</v>
      </c>
      <c r="R263">
        <v>-1.0939941122530821</v>
      </c>
      <c r="S263">
        <v>0.30927253071904531</v>
      </c>
      <c r="T263">
        <v>0.24780693588288219</v>
      </c>
      <c r="U263">
        <v>4.4782817893529154</v>
      </c>
      <c r="V263">
        <v>0.1316732403778659</v>
      </c>
      <c r="W263">
        <v>3.5002643117255618</v>
      </c>
      <c r="X263">
        <v>0.33750253345663228</v>
      </c>
      <c r="Z263" t="s">
        <v>392</v>
      </c>
      <c r="AA263">
        <v>9937</v>
      </c>
      <c r="AB263" t="s">
        <v>654</v>
      </c>
      <c r="AC263" t="str">
        <f>HYPERLINK("plots/20251231000436_3FT6Y121H01_04823_B11P_N_UFLEX98_M5358A8BH101511/dpll_52046/txpa_55182.png","plot")</f>
        <v>plot</v>
      </c>
    </row>
    <row r="264" spans="1:29" x14ac:dyDescent="0.35">
      <c r="A264" t="s">
        <v>46</v>
      </c>
      <c r="B264">
        <v>52046</v>
      </c>
      <c r="C264" t="s">
        <v>51</v>
      </c>
      <c r="D264">
        <v>55183</v>
      </c>
      <c r="E264" t="s">
        <v>316</v>
      </c>
      <c r="F264">
        <v>8716</v>
      </c>
      <c r="G264">
        <v>0.30613660528755537</v>
      </c>
      <c r="H264">
        <v>1.7317032698928849E-188</v>
      </c>
      <c r="I264">
        <v>1.9841210346569321E-188</v>
      </c>
      <c r="J264">
        <v>0.24995758925556649</v>
      </c>
      <c r="K264">
        <v>2.8500693988788561E-124</v>
      </c>
      <c r="L264">
        <v>3.4281973552350651E-124</v>
      </c>
      <c r="M264">
        <v>0.16820428420890779</v>
      </c>
      <c r="N264">
        <v>1.254138594394112E-122</v>
      </c>
      <c r="O264">
        <v>1.506749448715201E-122</v>
      </c>
      <c r="P264">
        <v>9.3719621096988476E-2</v>
      </c>
      <c r="Q264">
        <v>0.86670892938243904</v>
      </c>
      <c r="R264">
        <v>-0.46984601464106518</v>
      </c>
      <c r="S264">
        <v>0.35486396928169228</v>
      </c>
      <c r="T264">
        <v>0.27067907559990051</v>
      </c>
      <c r="U264">
        <v>4.4782817893529154</v>
      </c>
      <c r="V264">
        <v>0.1316732403778659</v>
      </c>
      <c r="W264">
        <v>3.4115208004818731</v>
      </c>
      <c r="X264">
        <v>0.37278251350903002</v>
      </c>
      <c r="Z264" t="s">
        <v>392</v>
      </c>
      <c r="AA264">
        <v>9937</v>
      </c>
      <c r="AB264" t="s">
        <v>655</v>
      </c>
      <c r="AC264" t="str">
        <f>HYPERLINK("plots/20251231000436_3FT6Y121H01_04823_B11P_N_UFLEX98_M5358A8BH101511/dpll_52046/txpa_55183.png","plot")</f>
        <v>plot</v>
      </c>
    </row>
    <row r="265" spans="1:29" x14ac:dyDescent="0.35">
      <c r="A265" t="s">
        <v>46</v>
      </c>
      <c r="B265">
        <v>52046</v>
      </c>
      <c r="C265" t="s">
        <v>51</v>
      </c>
      <c r="D265">
        <v>55184</v>
      </c>
      <c r="E265" t="s">
        <v>317</v>
      </c>
      <c r="F265">
        <v>8716</v>
      </c>
      <c r="G265">
        <v>0.43651475843050608</v>
      </c>
      <c r="H265">
        <v>0</v>
      </c>
      <c r="I265">
        <v>0</v>
      </c>
      <c r="J265">
        <v>0.33806851976942121</v>
      </c>
      <c r="K265">
        <v>5.6365239598558323E-232</v>
      </c>
      <c r="L265">
        <v>9.1155267867524945E-232</v>
      </c>
      <c r="M265">
        <v>0.2297567425551886</v>
      </c>
      <c r="N265">
        <v>4.9696041901258737E-227</v>
      </c>
      <c r="O265">
        <v>7.9232368691629496E-227</v>
      </c>
      <c r="P265">
        <v>0.19054513432764311</v>
      </c>
      <c r="Q265">
        <v>0.95141917318574554</v>
      </c>
      <c r="R265">
        <v>-0.70386935328038103</v>
      </c>
      <c r="S265">
        <v>0.25819147274428472</v>
      </c>
      <c r="T265">
        <v>0.2060879102970119</v>
      </c>
      <c r="U265">
        <v>4.4782817893529154</v>
      </c>
      <c r="V265">
        <v>0.1316732403778659</v>
      </c>
      <c r="W265">
        <v>3.5568538040385498</v>
      </c>
      <c r="X265">
        <v>0.28699246261782768</v>
      </c>
      <c r="Z265" t="s">
        <v>392</v>
      </c>
      <c r="AA265">
        <v>9937</v>
      </c>
      <c r="AB265" t="s">
        <v>656</v>
      </c>
      <c r="AC265" t="str">
        <f>HYPERLINK("plots/20251231000436_3FT6Y121H01_04823_B11P_N_UFLEX98_M5358A8BH101511/dpll_52046/txpa_55184.png","plot")</f>
        <v>plot</v>
      </c>
    </row>
    <row r="266" spans="1:29" x14ac:dyDescent="0.35">
      <c r="A266" t="s">
        <v>46</v>
      </c>
      <c r="B266">
        <v>52046</v>
      </c>
      <c r="C266" t="s">
        <v>51</v>
      </c>
      <c r="D266">
        <v>55185</v>
      </c>
      <c r="E266" t="s">
        <v>318</v>
      </c>
      <c r="F266">
        <v>8716</v>
      </c>
      <c r="G266">
        <v>0.35203023098137232</v>
      </c>
      <c r="H266">
        <v>1.088087479429638E-252</v>
      </c>
      <c r="I266">
        <v>1.3229265037669701E-252</v>
      </c>
      <c r="J266">
        <v>0.28168232296077839</v>
      </c>
      <c r="K266">
        <v>1.1269072906911809E-158</v>
      </c>
      <c r="L266">
        <v>1.47253091850626E-158</v>
      </c>
      <c r="M266">
        <v>0.1900918309324523</v>
      </c>
      <c r="N266">
        <v>4.6203861486698091E-156</v>
      </c>
      <c r="O266">
        <v>6.037463343751529E-156</v>
      </c>
      <c r="P266">
        <v>0.1239252835247983</v>
      </c>
      <c r="Q266">
        <v>0.82382972007381938</v>
      </c>
      <c r="R266">
        <v>-0.27717910459560668</v>
      </c>
      <c r="S266">
        <v>0.288403599475966</v>
      </c>
      <c r="T266">
        <v>0.223949977779065</v>
      </c>
      <c r="U266">
        <v>4.4782817893529154</v>
      </c>
      <c r="V266">
        <v>0.1316732403778659</v>
      </c>
      <c r="W266">
        <v>3.4121625283386878</v>
      </c>
      <c r="X266">
        <v>0.30814492397231102</v>
      </c>
      <c r="Z266" t="s">
        <v>392</v>
      </c>
      <c r="AA266">
        <v>9937</v>
      </c>
      <c r="AB266" t="s">
        <v>657</v>
      </c>
      <c r="AC266" t="str">
        <f>HYPERLINK("plots/20251231000436_3FT6Y121H01_04823_B11P_N_UFLEX98_M5358A8BH101511/dpll_52046/txpa_55185.png","plot")</f>
        <v>plot</v>
      </c>
    </row>
    <row r="267" spans="1:29" x14ac:dyDescent="0.35">
      <c r="A267" t="s">
        <v>46</v>
      </c>
      <c r="B267">
        <v>52046</v>
      </c>
      <c r="C267" t="s">
        <v>51</v>
      </c>
      <c r="D267">
        <v>55186</v>
      </c>
      <c r="E267" t="s">
        <v>319</v>
      </c>
      <c r="F267">
        <v>8716</v>
      </c>
      <c r="G267">
        <v>0.38300653691138969</v>
      </c>
      <c r="H267">
        <v>1.4856548573210071E-302</v>
      </c>
      <c r="I267">
        <v>1.936316227922238E-302</v>
      </c>
      <c r="J267">
        <v>0.26713750872134279</v>
      </c>
      <c r="K267">
        <v>2.5734238664667599E-142</v>
      </c>
      <c r="L267">
        <v>3.225527565633244E-142</v>
      </c>
      <c r="M267">
        <v>0.18143767245472539</v>
      </c>
      <c r="N267">
        <v>2.347924988632047E-142</v>
      </c>
      <c r="O267">
        <v>2.9538411147306401E-142</v>
      </c>
      <c r="P267">
        <v>0.1466940073168557</v>
      </c>
      <c r="Q267">
        <v>1.049710579078212</v>
      </c>
      <c r="R267">
        <v>-0.9466790134931653</v>
      </c>
      <c r="S267">
        <v>0.3333407390072915</v>
      </c>
      <c r="T267">
        <v>0.26463617719636989</v>
      </c>
      <c r="U267">
        <v>4.4782817893529154</v>
      </c>
      <c r="V267">
        <v>0.1316732403778659</v>
      </c>
      <c r="W267">
        <v>3.7542207568838921</v>
      </c>
      <c r="X267">
        <v>0.36087841873605342</v>
      </c>
      <c r="Z267" t="s">
        <v>392</v>
      </c>
      <c r="AA267">
        <v>9937</v>
      </c>
      <c r="AB267" t="s">
        <v>658</v>
      </c>
      <c r="AC267" t="str">
        <f>HYPERLINK("plots/20251231000436_3FT6Y121H01_04823_B11P_N_UFLEX98_M5358A8BH101511/dpll_52046/txpa_55186.png","plot")</f>
        <v>plot</v>
      </c>
    </row>
    <row r="268" spans="1:29" x14ac:dyDescent="0.35">
      <c r="A268" t="s">
        <v>46</v>
      </c>
      <c r="B268">
        <v>52046</v>
      </c>
      <c r="C268" t="s">
        <v>51</v>
      </c>
      <c r="D268">
        <v>55187</v>
      </c>
      <c r="E268" t="s">
        <v>320</v>
      </c>
      <c r="F268">
        <v>8711</v>
      </c>
      <c r="G268">
        <v>0.42982133359387142</v>
      </c>
      <c r="H268">
        <v>0</v>
      </c>
      <c r="I268">
        <v>0</v>
      </c>
      <c r="J268">
        <v>0.29927741089356691</v>
      </c>
      <c r="K268">
        <v>1.00185767888081E-179</v>
      </c>
      <c r="L268">
        <v>1.399288824221958E-179</v>
      </c>
      <c r="M268">
        <v>0.20369312343598101</v>
      </c>
      <c r="N268">
        <v>8.6478359953433741E-179</v>
      </c>
      <c r="O268">
        <v>1.214529875246285E-178</v>
      </c>
      <c r="P268">
        <v>0.1847463788124141</v>
      </c>
      <c r="Q268">
        <v>1.075679001515659</v>
      </c>
      <c r="R268">
        <v>0.65961105338249482</v>
      </c>
      <c r="S268">
        <v>0.29695192143660593</v>
      </c>
      <c r="T268">
        <v>0.2291396090757877</v>
      </c>
      <c r="U268">
        <v>4.4784882522098499</v>
      </c>
      <c r="V268">
        <v>0.13142257656332729</v>
      </c>
      <c r="W268">
        <v>5.4770268248191938</v>
      </c>
      <c r="X268">
        <v>0.32890062657483388</v>
      </c>
      <c r="Z268" t="s">
        <v>392</v>
      </c>
      <c r="AA268">
        <v>9937</v>
      </c>
      <c r="AB268" t="s">
        <v>659</v>
      </c>
      <c r="AC268" t="str">
        <f>HYPERLINK("plots/20251231000436_3FT6Y121H01_04823_B11P_N_UFLEX98_M5358A8BH101511/dpll_52046/txpa_55187.png","plot")</f>
        <v>plot</v>
      </c>
    </row>
    <row r="269" spans="1:29" x14ac:dyDescent="0.35">
      <c r="A269" t="s">
        <v>46</v>
      </c>
      <c r="B269">
        <v>52046</v>
      </c>
      <c r="C269" t="s">
        <v>51</v>
      </c>
      <c r="D269">
        <v>55188</v>
      </c>
      <c r="E269" t="s">
        <v>321</v>
      </c>
      <c r="F269">
        <v>8716</v>
      </c>
      <c r="G269">
        <v>0.46385025642309158</v>
      </c>
      <c r="H269">
        <v>0</v>
      </c>
      <c r="I269">
        <v>0</v>
      </c>
      <c r="J269">
        <v>0.35719606388428959</v>
      </c>
      <c r="K269">
        <v>1.260338150242532E-260</v>
      </c>
      <c r="L269">
        <v>2.2499698668062099E-260</v>
      </c>
      <c r="M269">
        <v>0.24321444518096499</v>
      </c>
      <c r="N269">
        <v>3.775601371979285E-254</v>
      </c>
      <c r="O269">
        <v>6.5894316543666009E-254</v>
      </c>
      <c r="P269">
        <v>0.21515706038376781</v>
      </c>
      <c r="Q269">
        <v>1.0134862408088601</v>
      </c>
      <c r="R269">
        <v>0.55157546172672234</v>
      </c>
      <c r="S269">
        <v>0.25486138694368832</v>
      </c>
      <c r="T269">
        <v>0.19803984163376129</v>
      </c>
      <c r="U269">
        <v>4.4782817893529154</v>
      </c>
      <c r="V269">
        <v>0.1316732403778659</v>
      </c>
      <c r="W269">
        <v>5.090252437700781</v>
      </c>
      <c r="X269">
        <v>0.2876984879446996</v>
      </c>
      <c r="Z269" t="s">
        <v>392</v>
      </c>
      <c r="AA269">
        <v>9937</v>
      </c>
      <c r="AB269" t="s">
        <v>660</v>
      </c>
      <c r="AC269" t="str">
        <f>HYPERLINK("plots/20251231000436_3FT6Y121H01_04823_B11P_N_UFLEX98_M5358A8BH101511/dpll_52046/txpa_55188.png","plot")</f>
        <v>plot</v>
      </c>
    </row>
    <row r="270" spans="1:29" x14ac:dyDescent="0.35">
      <c r="A270" t="s">
        <v>46</v>
      </c>
      <c r="B270">
        <v>52046</v>
      </c>
      <c r="C270" t="s">
        <v>51</v>
      </c>
      <c r="D270">
        <v>55189</v>
      </c>
      <c r="E270" t="s">
        <v>322</v>
      </c>
      <c r="F270">
        <v>8716</v>
      </c>
      <c r="G270">
        <v>0.33665693356506271</v>
      </c>
      <c r="H270">
        <v>6.1164583111423196E-230</v>
      </c>
      <c r="I270">
        <v>7.2285416404409231E-230</v>
      </c>
      <c r="J270">
        <v>0.26821860733423908</v>
      </c>
      <c r="K270">
        <v>1.6946095761961739E-143</v>
      </c>
      <c r="L270">
        <v>2.139893038932653E-143</v>
      </c>
      <c r="M270">
        <v>0.1819393863980453</v>
      </c>
      <c r="N270">
        <v>3.913014504698785E-143</v>
      </c>
      <c r="O270">
        <v>4.9412163234926119E-143</v>
      </c>
      <c r="P270">
        <v>0.113337890917431</v>
      </c>
      <c r="Q270">
        <v>0.93066357937461497</v>
      </c>
      <c r="R270">
        <v>1.05818269159703</v>
      </c>
      <c r="S270">
        <v>0.34273372276769792</v>
      </c>
      <c r="T270">
        <v>0.2644789270971355</v>
      </c>
      <c r="U270">
        <v>4.4782817893529154</v>
      </c>
      <c r="V270">
        <v>0.1316732403778659</v>
      </c>
      <c r="W270">
        <v>5.225956451124369</v>
      </c>
      <c r="X270">
        <v>0.36400108531920627</v>
      </c>
      <c r="Z270" t="s">
        <v>392</v>
      </c>
      <c r="AA270">
        <v>9937</v>
      </c>
      <c r="AB270" t="s">
        <v>661</v>
      </c>
      <c r="AC270" t="str">
        <f>HYPERLINK("plots/20251231000436_3FT6Y121H01_04823_B11P_N_UFLEX98_M5358A8BH101511/dpll_52046/txpa_55189.png","plot")</f>
        <v>plot</v>
      </c>
    </row>
    <row r="271" spans="1:29" x14ac:dyDescent="0.35">
      <c r="A271" t="s">
        <v>46</v>
      </c>
      <c r="B271">
        <v>52046</v>
      </c>
      <c r="C271" t="s">
        <v>51</v>
      </c>
      <c r="D271">
        <v>55190</v>
      </c>
      <c r="E271" t="s">
        <v>323</v>
      </c>
      <c r="F271">
        <v>8716</v>
      </c>
      <c r="G271">
        <v>0.43126607340035489</v>
      </c>
      <c r="H271">
        <v>0</v>
      </c>
      <c r="I271">
        <v>0</v>
      </c>
      <c r="J271">
        <v>0.33684658382701271</v>
      </c>
      <c r="K271">
        <v>3.2632331353048599E-230</v>
      </c>
      <c r="L271">
        <v>5.2522514273002031E-230</v>
      </c>
      <c r="M271">
        <v>0.23094376699417879</v>
      </c>
      <c r="N271">
        <v>2.3164673282631531E-229</v>
      </c>
      <c r="O271">
        <v>3.7284093188235518E-229</v>
      </c>
      <c r="P271">
        <v>0.18599042606616031</v>
      </c>
      <c r="Q271">
        <v>1.0921685146473681</v>
      </c>
      <c r="R271">
        <v>0.35116736033097951</v>
      </c>
      <c r="S271">
        <v>0.300837327861324</v>
      </c>
      <c r="T271">
        <v>0.2398014123308787</v>
      </c>
      <c r="U271">
        <v>4.4782817893529154</v>
      </c>
      <c r="V271">
        <v>0.1316732403778659</v>
      </c>
      <c r="W271">
        <v>5.2422057303809089</v>
      </c>
      <c r="X271">
        <v>0.33345856823010023</v>
      </c>
      <c r="Z271" t="s">
        <v>392</v>
      </c>
      <c r="AA271">
        <v>9937</v>
      </c>
      <c r="AB271" t="s">
        <v>662</v>
      </c>
      <c r="AC271" t="str">
        <f>HYPERLINK("plots/20251231000436_3FT6Y121H01_04823_B11P_N_UFLEX98_M5358A8BH101511/dpll_52046/txpa_55190.png","plot")</f>
        <v>plot</v>
      </c>
    </row>
    <row r="272" spans="1:29" x14ac:dyDescent="0.35">
      <c r="A272" t="s">
        <v>46</v>
      </c>
      <c r="B272">
        <v>52046</v>
      </c>
      <c r="C272" t="s">
        <v>51</v>
      </c>
      <c r="D272">
        <v>55191</v>
      </c>
      <c r="E272" t="s">
        <v>324</v>
      </c>
      <c r="F272">
        <v>8716</v>
      </c>
      <c r="G272">
        <v>0.34655462620897659</v>
      </c>
      <c r="H272">
        <v>1.9382677212297661E-244</v>
      </c>
      <c r="I272">
        <v>2.3481522931027281E-244</v>
      </c>
      <c r="J272">
        <v>0.27323760855436952</v>
      </c>
      <c r="K272">
        <v>4.6995538019247112E-149</v>
      </c>
      <c r="L272">
        <v>6.0092655172152051E-149</v>
      </c>
      <c r="M272">
        <v>0.1849339379656533</v>
      </c>
      <c r="N272">
        <v>8.1132182304556299E-148</v>
      </c>
      <c r="O272">
        <v>1.0387377885962129E-147</v>
      </c>
      <c r="P272">
        <v>0.1201001089468435</v>
      </c>
      <c r="Q272">
        <v>0.94861556957097615</v>
      </c>
      <c r="R272">
        <v>0.91418171283271032</v>
      </c>
      <c r="S272">
        <v>0.33807089861268519</v>
      </c>
      <c r="T272">
        <v>0.25771614431746448</v>
      </c>
      <c r="U272">
        <v>4.4782817893529154</v>
      </c>
      <c r="V272">
        <v>0.1316732403778659</v>
      </c>
      <c r="W272">
        <v>5.1623495431390554</v>
      </c>
      <c r="X272">
        <v>0.36042596598605131</v>
      </c>
      <c r="Z272" t="s">
        <v>392</v>
      </c>
      <c r="AA272">
        <v>9937</v>
      </c>
      <c r="AB272" t="s">
        <v>663</v>
      </c>
      <c r="AC272" t="str">
        <f>HYPERLINK("plots/20251231000436_3FT6Y121H01_04823_B11P_N_UFLEX98_M5358A8BH101511/dpll_52046/txpa_55191.png","plot")</f>
        <v>plot</v>
      </c>
    </row>
    <row r="273" spans="1:29" x14ac:dyDescent="0.35">
      <c r="A273" t="s">
        <v>46</v>
      </c>
      <c r="B273">
        <v>52046</v>
      </c>
      <c r="C273" t="s">
        <v>51</v>
      </c>
      <c r="D273">
        <v>55192</v>
      </c>
      <c r="E273" t="s">
        <v>325</v>
      </c>
      <c r="F273">
        <v>8716</v>
      </c>
      <c r="G273">
        <v>0.46874316283687878</v>
      </c>
      <c r="H273">
        <v>0</v>
      </c>
      <c r="I273">
        <v>0</v>
      </c>
      <c r="J273">
        <v>0.35800192304052281</v>
      </c>
      <c r="K273">
        <v>7.0635286694258779E-262</v>
      </c>
      <c r="L273">
        <v>1.2767233637785811E-261</v>
      </c>
      <c r="M273">
        <v>0.24446178752239661</v>
      </c>
      <c r="N273">
        <v>9.6688479544712884E-257</v>
      </c>
      <c r="O273">
        <v>1.7110317322572229E-256</v>
      </c>
      <c r="P273">
        <v>0.21972015270632059</v>
      </c>
      <c r="Q273">
        <v>1.0224161549813271</v>
      </c>
      <c r="R273">
        <v>0.71384516774806173</v>
      </c>
      <c r="S273">
        <v>0.25368253006394809</v>
      </c>
      <c r="T273">
        <v>0.20041419106772859</v>
      </c>
      <c r="U273">
        <v>4.4782817893529154</v>
      </c>
      <c r="V273">
        <v>0.1316732403778659</v>
      </c>
      <c r="W273">
        <v>5.2925128157411656</v>
      </c>
      <c r="X273">
        <v>0.28720386517492252</v>
      </c>
      <c r="Z273" t="s">
        <v>392</v>
      </c>
      <c r="AA273">
        <v>9937</v>
      </c>
      <c r="AB273" t="s">
        <v>664</v>
      </c>
      <c r="AC273" t="str">
        <f>HYPERLINK("plots/20251231000436_3FT6Y121H01_04823_B11P_N_UFLEX98_M5358A8BH101511/dpll_52046/txpa_55192.png","plot")</f>
        <v>plot</v>
      </c>
    </row>
    <row r="274" spans="1:29" x14ac:dyDescent="0.35">
      <c r="A274" t="s">
        <v>46</v>
      </c>
      <c r="B274">
        <v>52046</v>
      </c>
      <c r="C274" t="s">
        <v>51</v>
      </c>
      <c r="D274">
        <v>55193</v>
      </c>
      <c r="E274" t="s">
        <v>326</v>
      </c>
      <c r="F274">
        <v>8716</v>
      </c>
      <c r="G274">
        <v>0.39501653481105897</v>
      </c>
      <c r="H274">
        <v>0</v>
      </c>
      <c r="I274">
        <v>0</v>
      </c>
      <c r="J274">
        <v>0.30850696388694548</v>
      </c>
      <c r="K274">
        <v>1.5515717608791401E-191</v>
      </c>
      <c r="L274">
        <v>2.2540025294146831E-191</v>
      </c>
      <c r="M274">
        <v>0.2095797628084341</v>
      </c>
      <c r="N274">
        <v>2.9358939164102809E-189</v>
      </c>
      <c r="O274">
        <v>4.2834481025036316E-189</v>
      </c>
      <c r="P274">
        <v>0.15603806277413659</v>
      </c>
      <c r="Q274">
        <v>0.90946369810627248</v>
      </c>
      <c r="R274">
        <v>1.091463467755079</v>
      </c>
      <c r="S274">
        <v>0.27848649042634649</v>
      </c>
      <c r="T274">
        <v>0.21486831296870679</v>
      </c>
      <c r="U274">
        <v>4.4782817893529154</v>
      </c>
      <c r="V274">
        <v>0.1316732403778659</v>
      </c>
      <c r="W274">
        <v>5.1642981850619556</v>
      </c>
      <c r="X274">
        <v>0.30315701137160989</v>
      </c>
      <c r="Z274" t="s">
        <v>392</v>
      </c>
      <c r="AA274">
        <v>9937</v>
      </c>
      <c r="AB274" t="s">
        <v>665</v>
      </c>
      <c r="AC274" t="str">
        <f>HYPERLINK("plots/20251231000436_3FT6Y121H01_04823_B11P_N_UFLEX98_M5358A8BH101511/dpll_52046/txpa_55193.png","plot")</f>
        <v>plot</v>
      </c>
    </row>
    <row r="275" spans="1:29" x14ac:dyDescent="0.35">
      <c r="A275" t="s">
        <v>46</v>
      </c>
      <c r="B275">
        <v>52046</v>
      </c>
      <c r="C275" t="s">
        <v>51</v>
      </c>
      <c r="D275">
        <v>55194</v>
      </c>
      <c r="E275" t="s">
        <v>327</v>
      </c>
      <c r="F275">
        <v>8713</v>
      </c>
      <c r="G275">
        <v>0.41331843210268931</v>
      </c>
      <c r="H275">
        <v>0</v>
      </c>
      <c r="I275">
        <v>0</v>
      </c>
      <c r="J275">
        <v>0.29361908135869608</v>
      </c>
      <c r="K275">
        <v>8.4256028645419102E-173</v>
      </c>
      <c r="L275">
        <v>1.1576641334207991E-172</v>
      </c>
      <c r="M275">
        <v>0.20026478411576909</v>
      </c>
      <c r="N275">
        <v>6.2594870146853647E-173</v>
      </c>
      <c r="O275">
        <v>8.6004333779010312E-173</v>
      </c>
      <c r="P275">
        <v>0.17083212631582539</v>
      </c>
      <c r="Q275">
        <v>1.099743225260992</v>
      </c>
      <c r="R275">
        <v>0.5576141922516431</v>
      </c>
      <c r="S275">
        <v>0.31872911163715623</v>
      </c>
      <c r="T275">
        <v>0.25102255059444289</v>
      </c>
      <c r="U275">
        <v>4.478393002869276</v>
      </c>
      <c r="V275">
        <v>0.1315584961613637</v>
      </c>
      <c r="W275">
        <v>5.4826965572133588</v>
      </c>
      <c r="X275">
        <v>0.35004624435195281</v>
      </c>
      <c r="Z275" t="s">
        <v>392</v>
      </c>
      <c r="AA275">
        <v>9937</v>
      </c>
      <c r="AB275" t="s">
        <v>666</v>
      </c>
      <c r="AC275" t="str">
        <f>HYPERLINK("plots/20251231000436_3FT6Y121H01_04823_B11P_N_UFLEX98_M5358A8BH101511/dpll_52046/txpa_55194.png","plot")</f>
        <v>plot</v>
      </c>
    </row>
    <row r="276" spans="1:29" x14ac:dyDescent="0.35">
      <c r="A276" t="s">
        <v>46</v>
      </c>
      <c r="B276">
        <v>52046</v>
      </c>
      <c r="C276" t="s">
        <v>51</v>
      </c>
      <c r="D276">
        <v>55195</v>
      </c>
      <c r="E276" t="s">
        <v>328</v>
      </c>
      <c r="F276">
        <v>8695</v>
      </c>
      <c r="G276">
        <v>0.44511522497134193</v>
      </c>
      <c r="H276">
        <v>0</v>
      </c>
      <c r="I276">
        <v>0</v>
      </c>
      <c r="J276">
        <v>0.3413057619038658</v>
      </c>
      <c r="K276">
        <v>4.0530151465974062E-236</v>
      </c>
      <c r="L276">
        <v>6.6286409010480161E-236</v>
      </c>
      <c r="M276">
        <v>0.23388498601545479</v>
      </c>
      <c r="N276">
        <v>1.2618862729711989E-234</v>
      </c>
      <c r="O276">
        <v>2.0637946464399929E-234</v>
      </c>
      <c r="P276">
        <v>0.1981275635012883</v>
      </c>
      <c r="Q276">
        <v>1.115855723599958</v>
      </c>
      <c r="R276">
        <v>2.524242718459718</v>
      </c>
      <c r="S276">
        <v>0.29287109294228753</v>
      </c>
      <c r="T276">
        <v>0.21902329786503191</v>
      </c>
      <c r="U276">
        <v>4.4791906871765379</v>
      </c>
      <c r="V276">
        <v>0.13047077570984739</v>
      </c>
      <c r="W276">
        <v>7.5223732838412882</v>
      </c>
      <c r="X276">
        <v>0.32707612247532752</v>
      </c>
      <c r="Z276" t="s">
        <v>392</v>
      </c>
      <c r="AA276">
        <v>9937</v>
      </c>
      <c r="AB276" t="s">
        <v>667</v>
      </c>
      <c r="AC276" t="str">
        <f>HYPERLINK("plots/20251231000436_3FT6Y121H01_04823_B11P_N_UFLEX98_M5358A8BH101511/dpll_52046/txpa_55195.png","plot")</f>
        <v>plot</v>
      </c>
    </row>
    <row r="277" spans="1:29" x14ac:dyDescent="0.35">
      <c r="A277" t="s">
        <v>46</v>
      </c>
      <c r="B277">
        <v>52046</v>
      </c>
      <c r="C277" t="s">
        <v>51</v>
      </c>
      <c r="D277">
        <v>55196</v>
      </c>
      <c r="E277" t="s">
        <v>329</v>
      </c>
      <c r="F277">
        <v>8714</v>
      </c>
      <c r="G277">
        <v>0.48813304411663699</v>
      </c>
      <c r="H277">
        <v>0</v>
      </c>
      <c r="I277">
        <v>0</v>
      </c>
      <c r="J277">
        <v>0.38400792854614418</v>
      </c>
      <c r="K277">
        <v>3.436526317632436E-304</v>
      </c>
      <c r="L277">
        <v>7.1115054817944703E-304</v>
      </c>
      <c r="M277">
        <v>0.2629225273199709</v>
      </c>
      <c r="N277">
        <v>1.4127197735571679E-296</v>
      </c>
      <c r="O277">
        <v>2.864995700773937E-296</v>
      </c>
      <c r="P277">
        <v>0.2382738687585747</v>
      </c>
      <c r="Q277">
        <v>1.107642709965357</v>
      </c>
      <c r="R277">
        <v>2.2211719109628349</v>
      </c>
      <c r="S277">
        <v>0.26057620836957862</v>
      </c>
      <c r="T277">
        <v>0.1959331309391901</v>
      </c>
      <c r="U277">
        <v>4.4783608551755796</v>
      </c>
      <c r="V277">
        <v>0.13158269242625251</v>
      </c>
      <c r="W277">
        <v>7.1815956647922894</v>
      </c>
      <c r="X277">
        <v>0.29857968392061368</v>
      </c>
      <c r="Z277" t="s">
        <v>392</v>
      </c>
      <c r="AA277">
        <v>9937</v>
      </c>
      <c r="AB277" t="s">
        <v>668</v>
      </c>
      <c r="AC277" t="str">
        <f>HYPERLINK("plots/20251231000436_3FT6Y121H01_04823_B11P_N_UFLEX98_M5358A8BH101511/dpll_52046/txpa_55196.png","plot")</f>
        <v>plot</v>
      </c>
    </row>
    <row r="278" spans="1:29" x14ac:dyDescent="0.35">
      <c r="A278" t="s">
        <v>46</v>
      </c>
      <c r="B278">
        <v>52046</v>
      </c>
      <c r="C278" t="s">
        <v>51</v>
      </c>
      <c r="D278">
        <v>55197</v>
      </c>
      <c r="E278" t="s">
        <v>330</v>
      </c>
      <c r="F278">
        <v>8716</v>
      </c>
      <c r="G278">
        <v>0.39711590947297909</v>
      </c>
      <c r="H278">
        <v>0</v>
      </c>
      <c r="I278">
        <v>0</v>
      </c>
      <c r="J278">
        <v>0.3048890864018261</v>
      </c>
      <c r="K278">
        <v>6.7780924302047515E-187</v>
      </c>
      <c r="L278">
        <v>9.735107258112772E-187</v>
      </c>
      <c r="M278">
        <v>0.20819411267418181</v>
      </c>
      <c r="N278">
        <v>8.5803416756090445E-187</v>
      </c>
      <c r="O278">
        <v>1.2429237798667959E-186</v>
      </c>
      <c r="P278">
        <v>0.1577010455565514</v>
      </c>
      <c r="Q278">
        <v>1.069354090422332</v>
      </c>
      <c r="R278">
        <v>2.4980420257096112</v>
      </c>
      <c r="S278">
        <v>0.32539433498862652</v>
      </c>
      <c r="T278">
        <v>0.24797464912913261</v>
      </c>
      <c r="U278">
        <v>4.4782817893529154</v>
      </c>
      <c r="V278">
        <v>0.1316732403778659</v>
      </c>
      <c r="W278">
        <v>7.2869109752179897</v>
      </c>
      <c r="X278">
        <v>0.35456982417073019</v>
      </c>
      <c r="Z278" t="s">
        <v>392</v>
      </c>
      <c r="AA278">
        <v>9937</v>
      </c>
      <c r="AB278" t="s">
        <v>669</v>
      </c>
      <c r="AC278" t="str">
        <f>HYPERLINK("plots/20251231000436_3FT6Y121H01_04823_B11P_N_UFLEX98_M5358A8BH101511/dpll_52046/txpa_55197.png","plot")</f>
        <v>plot</v>
      </c>
    </row>
    <row r="279" spans="1:29" x14ac:dyDescent="0.35">
      <c r="A279" t="s">
        <v>46</v>
      </c>
      <c r="B279">
        <v>52046</v>
      </c>
      <c r="C279" t="s">
        <v>51</v>
      </c>
      <c r="D279">
        <v>55198</v>
      </c>
      <c r="E279" t="s">
        <v>331</v>
      </c>
      <c r="F279">
        <v>8713</v>
      </c>
      <c r="G279">
        <v>0.46682203144489798</v>
      </c>
      <c r="H279">
        <v>0</v>
      </c>
      <c r="I279">
        <v>0</v>
      </c>
      <c r="J279">
        <v>0.36122009894562401</v>
      </c>
      <c r="K279">
        <v>8.0550749775009926E-267</v>
      </c>
      <c r="L279">
        <v>1.469037055249282E-266</v>
      </c>
      <c r="M279">
        <v>0.24942296485579141</v>
      </c>
      <c r="N279">
        <v>4.3286275934413658E-267</v>
      </c>
      <c r="O279">
        <v>7.9227949092952068E-267</v>
      </c>
      <c r="P279">
        <v>0.21792280904234129</v>
      </c>
      <c r="Q279">
        <v>1.184518809489592</v>
      </c>
      <c r="R279">
        <v>2.0001319858492841</v>
      </c>
      <c r="S279">
        <v>0.29516356893046569</v>
      </c>
      <c r="T279">
        <v>0.2311572982562333</v>
      </c>
      <c r="U279">
        <v>4.4783984655113054</v>
      </c>
      <c r="V279">
        <v>0.13154436513250781</v>
      </c>
      <c r="W279">
        <v>7.304879204636749</v>
      </c>
      <c r="X279">
        <v>0.33378196461623999</v>
      </c>
      <c r="Z279" t="s">
        <v>392</v>
      </c>
      <c r="AA279">
        <v>9937</v>
      </c>
      <c r="AB279" t="s">
        <v>670</v>
      </c>
      <c r="AC279" t="str">
        <f>HYPERLINK("plots/20251231000436_3FT6Y121H01_04823_B11P_N_UFLEX98_M5358A8BH101511/dpll_52046/txpa_55198.png","plot")</f>
        <v>plot</v>
      </c>
    </row>
    <row r="280" spans="1:29" x14ac:dyDescent="0.35">
      <c r="A280" t="s">
        <v>46</v>
      </c>
      <c r="B280">
        <v>52046</v>
      </c>
      <c r="C280" t="s">
        <v>51</v>
      </c>
      <c r="D280">
        <v>55199</v>
      </c>
      <c r="E280" t="s">
        <v>332</v>
      </c>
      <c r="F280">
        <v>8716</v>
      </c>
      <c r="G280">
        <v>0.40530359246121961</v>
      </c>
      <c r="H280">
        <v>0</v>
      </c>
      <c r="I280">
        <v>0</v>
      </c>
      <c r="J280">
        <v>0.30427188055267418</v>
      </c>
      <c r="K280">
        <v>4.1320569942638196E-186</v>
      </c>
      <c r="L280">
        <v>5.9179460341575041E-186</v>
      </c>
      <c r="M280">
        <v>0.20732424265354771</v>
      </c>
      <c r="N280">
        <v>2.9788442085702822E-185</v>
      </c>
      <c r="O280">
        <v>4.2783966395046259E-185</v>
      </c>
      <c r="P280">
        <v>0.16427100206197029</v>
      </c>
      <c r="Q280">
        <v>1.078580881323512</v>
      </c>
      <c r="R280">
        <v>2.4091854169651299</v>
      </c>
      <c r="S280">
        <v>0.32031524485719398</v>
      </c>
      <c r="T280">
        <v>0.24380006828083159</v>
      </c>
      <c r="U280">
        <v>4.4782817893529154</v>
      </c>
      <c r="V280">
        <v>0.1316732403778659</v>
      </c>
      <c r="W280">
        <v>7.2393745361404314</v>
      </c>
      <c r="X280">
        <v>0.35040459126221563</v>
      </c>
      <c r="Z280" t="s">
        <v>392</v>
      </c>
      <c r="AA280">
        <v>9937</v>
      </c>
      <c r="AB280" t="s">
        <v>671</v>
      </c>
      <c r="AC280" t="str">
        <f>HYPERLINK("plots/20251231000436_3FT6Y121H01_04823_B11P_N_UFLEX98_M5358A8BH101511/dpll_52046/txpa_55199.png","plot")</f>
        <v>plot</v>
      </c>
    </row>
    <row r="281" spans="1:29" x14ac:dyDescent="0.35">
      <c r="A281" t="s">
        <v>46</v>
      </c>
      <c r="B281">
        <v>52046</v>
      </c>
      <c r="C281" t="s">
        <v>51</v>
      </c>
      <c r="D281">
        <v>55200</v>
      </c>
      <c r="E281" t="s">
        <v>333</v>
      </c>
      <c r="F281">
        <v>8712</v>
      </c>
      <c r="G281">
        <v>0.50105081493574311</v>
      </c>
      <c r="H281">
        <v>0</v>
      </c>
      <c r="I281">
        <v>0</v>
      </c>
      <c r="J281">
        <v>0.38313440097529272</v>
      </c>
      <c r="K281">
        <v>1.23742301666657E-302</v>
      </c>
      <c r="L281">
        <v>2.5246417281688182E-302</v>
      </c>
      <c r="M281">
        <v>0.26339782345511797</v>
      </c>
      <c r="N281">
        <v>1.4210829472105941E-297</v>
      </c>
      <c r="O281">
        <v>2.8935303382962688E-297</v>
      </c>
      <c r="P281">
        <v>0.25105191914777231</v>
      </c>
      <c r="Q281">
        <v>1.121077191126072</v>
      </c>
      <c r="R281">
        <v>2.326953006806757</v>
      </c>
      <c r="S281">
        <v>0.25460145748769802</v>
      </c>
      <c r="T281">
        <v>0.19584192768013531</v>
      </c>
      <c r="U281">
        <v>4.4784402405876946</v>
      </c>
      <c r="V281">
        <v>0.131494083357066</v>
      </c>
      <c r="W281">
        <v>7.3476302123507811</v>
      </c>
      <c r="X281">
        <v>0.29421171111864641</v>
      </c>
      <c r="Z281" t="s">
        <v>392</v>
      </c>
      <c r="AA281">
        <v>9937</v>
      </c>
      <c r="AB281" t="s">
        <v>672</v>
      </c>
      <c r="AC281" t="str">
        <f>HYPERLINK("plots/20251231000436_3FT6Y121H01_04823_B11P_N_UFLEX98_M5358A8BH101511/dpll_52046/txpa_55200.png","plot")</f>
        <v>plot</v>
      </c>
    </row>
    <row r="282" spans="1:29" x14ac:dyDescent="0.35">
      <c r="A282" t="s">
        <v>46</v>
      </c>
      <c r="B282">
        <v>52046</v>
      </c>
      <c r="C282" t="s">
        <v>51</v>
      </c>
      <c r="D282">
        <v>55201</v>
      </c>
      <c r="E282" t="s">
        <v>334</v>
      </c>
      <c r="F282">
        <v>8716</v>
      </c>
      <c r="G282">
        <v>0.45145299471952482</v>
      </c>
      <c r="H282">
        <v>0</v>
      </c>
      <c r="I282">
        <v>0</v>
      </c>
      <c r="J282">
        <v>0.34104689404981497</v>
      </c>
      <c r="K282">
        <v>2.63680580314698E-236</v>
      </c>
      <c r="L282">
        <v>4.3334215306175651E-236</v>
      </c>
      <c r="M282">
        <v>0.23318732298098169</v>
      </c>
      <c r="N282">
        <v>8.4636431379954714E-234</v>
      </c>
      <c r="O282">
        <v>1.375342009924264E-233</v>
      </c>
      <c r="P282">
        <v>0.20380980644122729</v>
      </c>
      <c r="Q282">
        <v>1.045887666056569</v>
      </c>
      <c r="R282">
        <v>2.5605838401876562</v>
      </c>
      <c r="S282">
        <v>0.27217831655496783</v>
      </c>
      <c r="T282">
        <v>0.20745792689410061</v>
      </c>
      <c r="U282">
        <v>4.4782817893529154</v>
      </c>
      <c r="V282">
        <v>0.1316732403778659</v>
      </c>
      <c r="W282">
        <v>7.2443635287976136</v>
      </c>
      <c r="X282">
        <v>0.30504929565584238</v>
      </c>
      <c r="Z282" t="s">
        <v>392</v>
      </c>
      <c r="AA282">
        <v>9937</v>
      </c>
      <c r="AB282" t="s">
        <v>673</v>
      </c>
      <c r="AC282" t="str">
        <f>HYPERLINK("plots/20251231000436_3FT6Y121H01_04823_B11P_N_UFLEX98_M5358A8BH101511/dpll_52046/txpa_55201.png","plot")</f>
        <v>plot</v>
      </c>
    </row>
    <row r="283" spans="1:29" x14ac:dyDescent="0.35">
      <c r="A283" t="s">
        <v>46</v>
      </c>
      <c r="B283">
        <v>52046</v>
      </c>
      <c r="C283" t="s">
        <v>51</v>
      </c>
      <c r="D283">
        <v>55202</v>
      </c>
      <c r="E283" t="s">
        <v>335</v>
      </c>
      <c r="F283">
        <v>8708</v>
      </c>
      <c r="G283">
        <v>0.45145783804004302</v>
      </c>
      <c r="H283">
        <v>0</v>
      </c>
      <c r="I283">
        <v>0</v>
      </c>
      <c r="J283">
        <v>0.33040828549359841</v>
      </c>
      <c r="K283">
        <v>7.4173455840306515E-221</v>
      </c>
      <c r="L283">
        <v>1.162471162628606E-220</v>
      </c>
      <c r="M283">
        <v>0.22705782909296421</v>
      </c>
      <c r="N283">
        <v>1.4089718833983029E-221</v>
      </c>
      <c r="O283">
        <v>2.2184743629904961E-221</v>
      </c>
      <c r="P283">
        <v>0.20381417952778971</v>
      </c>
      <c r="Q283">
        <v>1.180459694918143</v>
      </c>
      <c r="R283">
        <v>2.2416026310222681</v>
      </c>
      <c r="S283">
        <v>0.30631716795172231</v>
      </c>
      <c r="T283">
        <v>0.2365052720047551</v>
      </c>
      <c r="U283">
        <v>4.4786052898484154</v>
      </c>
      <c r="V283">
        <v>0.13129708700295009</v>
      </c>
      <c r="W283">
        <v>7.5284156651355083</v>
      </c>
      <c r="X283">
        <v>0.3433120575334791</v>
      </c>
      <c r="Z283" t="s">
        <v>392</v>
      </c>
      <c r="AA283">
        <v>9937</v>
      </c>
      <c r="AB283" t="s">
        <v>674</v>
      </c>
      <c r="AC283" t="str">
        <f>HYPERLINK("plots/20251231000436_3FT6Y121H01_04823_B11P_N_UFLEX98_M5358A8BH101511/dpll_52046/txpa_55202.png","plot")</f>
        <v>plot</v>
      </c>
    </row>
    <row r="284" spans="1:29" x14ac:dyDescent="0.35">
      <c r="A284" t="s">
        <v>46</v>
      </c>
      <c r="B284">
        <v>52046</v>
      </c>
      <c r="C284" t="s">
        <v>51</v>
      </c>
      <c r="D284">
        <v>55203</v>
      </c>
      <c r="E284" t="s">
        <v>336</v>
      </c>
      <c r="F284">
        <v>8682</v>
      </c>
      <c r="G284">
        <v>0.44277058760261062</v>
      </c>
      <c r="H284">
        <v>0</v>
      </c>
      <c r="I284">
        <v>0</v>
      </c>
      <c r="J284">
        <v>0.36238160324153851</v>
      </c>
      <c r="K284">
        <v>1.0565172016348661E-267</v>
      </c>
      <c r="L284">
        <v>1.9302854819058639E-267</v>
      </c>
      <c r="M284">
        <v>0.24953267862313061</v>
      </c>
      <c r="N284">
        <v>2.2253923387196499E-266</v>
      </c>
      <c r="O284">
        <v>4.05853926521893E-266</v>
      </c>
      <c r="P284">
        <v>0.196045793245961</v>
      </c>
      <c r="Q284">
        <v>1.131818412578133</v>
      </c>
      <c r="R284">
        <v>3.3308087827858199</v>
      </c>
      <c r="S284">
        <v>0.29698130881953672</v>
      </c>
      <c r="T284">
        <v>0.2167661904892535</v>
      </c>
      <c r="U284">
        <v>4.4798041343008519</v>
      </c>
      <c r="V284">
        <v>0.1295807479838092</v>
      </c>
      <c r="W284">
        <v>8.4011335867311701</v>
      </c>
      <c r="X284">
        <v>0.33123671849529462</v>
      </c>
      <c r="Z284" t="s">
        <v>392</v>
      </c>
      <c r="AA284">
        <v>9937</v>
      </c>
      <c r="AB284" t="s">
        <v>675</v>
      </c>
      <c r="AC284" t="str">
        <f>HYPERLINK("plots/20251231000436_3FT6Y121H01_04823_B11P_N_UFLEX98_M5358A8BH101511/dpll_52046/txpa_55203.png","plot")</f>
        <v>plot</v>
      </c>
    </row>
    <row r="285" spans="1:29" x14ac:dyDescent="0.35">
      <c r="A285" t="s">
        <v>46</v>
      </c>
      <c r="B285">
        <v>52046</v>
      </c>
      <c r="C285" t="s">
        <v>51</v>
      </c>
      <c r="D285">
        <v>55204</v>
      </c>
      <c r="E285" t="s">
        <v>337</v>
      </c>
      <c r="F285">
        <v>8705</v>
      </c>
      <c r="G285">
        <v>0.49055013657125501</v>
      </c>
      <c r="H285">
        <v>0</v>
      </c>
      <c r="I285">
        <v>0</v>
      </c>
      <c r="J285">
        <v>0.39541429063519079</v>
      </c>
      <c r="K285">
        <v>0</v>
      </c>
      <c r="L285">
        <v>0</v>
      </c>
      <c r="M285">
        <v>0.27163409386140103</v>
      </c>
      <c r="N285">
        <v>0</v>
      </c>
      <c r="O285">
        <v>0</v>
      </c>
      <c r="P285">
        <v>0.24063943649007691</v>
      </c>
      <c r="Q285">
        <v>1.1389191984035349</v>
      </c>
      <c r="R285">
        <v>2.989765910682002</v>
      </c>
      <c r="S285">
        <v>0.26534568309514228</v>
      </c>
      <c r="T285">
        <v>0.19582278353973381</v>
      </c>
      <c r="U285">
        <v>4.4787205985066052</v>
      </c>
      <c r="V285">
        <v>0.13116061392576719</v>
      </c>
      <c r="W285">
        <v>8.0906667846065474</v>
      </c>
      <c r="X285">
        <v>0.30451798937120861</v>
      </c>
      <c r="Z285" t="s">
        <v>392</v>
      </c>
      <c r="AA285">
        <v>9937</v>
      </c>
      <c r="AB285" t="s">
        <v>676</v>
      </c>
      <c r="AC285" t="str">
        <f>HYPERLINK("plots/20251231000436_3FT6Y121H01_04823_B11P_N_UFLEX98_M5358A8BH101511/dpll_52046/txpa_55204.png","plot")</f>
        <v>plot</v>
      </c>
    </row>
    <row r="286" spans="1:29" x14ac:dyDescent="0.35">
      <c r="A286" t="s">
        <v>46</v>
      </c>
      <c r="B286">
        <v>52046</v>
      </c>
      <c r="C286" t="s">
        <v>51</v>
      </c>
      <c r="D286">
        <v>55205</v>
      </c>
      <c r="E286" t="s">
        <v>338</v>
      </c>
      <c r="F286">
        <v>8716</v>
      </c>
      <c r="G286">
        <v>0.42727434642802259</v>
      </c>
      <c r="H286">
        <v>0</v>
      </c>
      <c r="I286">
        <v>0</v>
      </c>
      <c r="J286">
        <v>0.32500670219073913</v>
      </c>
      <c r="K286">
        <v>1.5184780943377369E-213</v>
      </c>
      <c r="L286">
        <v>2.332934526755251E-213</v>
      </c>
      <c r="M286">
        <v>0.22241907717772991</v>
      </c>
      <c r="N286">
        <v>6.7706117145679371E-213</v>
      </c>
      <c r="O286">
        <v>1.040212163419983E-212</v>
      </c>
      <c r="P286">
        <v>0.1825633671154939</v>
      </c>
      <c r="Q286">
        <v>1.1521721031609671</v>
      </c>
      <c r="R286">
        <v>3.0157408110022299</v>
      </c>
      <c r="S286">
        <v>0.32100381487219137</v>
      </c>
      <c r="T286">
        <v>0.24181583755998939</v>
      </c>
      <c r="U286">
        <v>4.4782817893529154</v>
      </c>
      <c r="V286">
        <v>0.1316732403778659</v>
      </c>
      <c r="W286">
        <v>8.1754921587884368</v>
      </c>
      <c r="X286">
        <v>0.35506516027575752</v>
      </c>
      <c r="Z286" t="s">
        <v>392</v>
      </c>
      <c r="AA286">
        <v>9937</v>
      </c>
      <c r="AB286" t="s">
        <v>677</v>
      </c>
      <c r="AC286" t="str">
        <f>HYPERLINK("plots/20251231000436_3FT6Y121H01_04823_B11P_N_UFLEX98_M5358A8BH101511/dpll_52046/txpa_55205.png","plot")</f>
        <v>plot</v>
      </c>
    </row>
    <row r="287" spans="1:29" x14ac:dyDescent="0.35">
      <c r="A287" t="s">
        <v>46</v>
      </c>
      <c r="B287">
        <v>52046</v>
      </c>
      <c r="C287" t="s">
        <v>51</v>
      </c>
      <c r="D287">
        <v>55206</v>
      </c>
      <c r="E287" t="s">
        <v>339</v>
      </c>
      <c r="F287">
        <v>8710</v>
      </c>
      <c r="G287">
        <v>0.48015358888327592</v>
      </c>
      <c r="H287">
        <v>0</v>
      </c>
      <c r="I287">
        <v>0</v>
      </c>
      <c r="J287">
        <v>0.3743393705051794</v>
      </c>
      <c r="K287">
        <v>7.5661435467726862E-288</v>
      </c>
      <c r="L287">
        <v>1.4613465821766669E-287</v>
      </c>
      <c r="M287">
        <v>0.25958338209593029</v>
      </c>
      <c r="N287">
        <v>5.1431119991469222E-289</v>
      </c>
      <c r="O287">
        <v>1.008726415306572E-288</v>
      </c>
      <c r="P287">
        <v>0.23054746891749001</v>
      </c>
      <c r="Q287">
        <v>1.233662719321484</v>
      </c>
      <c r="R287">
        <v>2.6703354974317088</v>
      </c>
      <c r="S287">
        <v>0.29606217207061208</v>
      </c>
      <c r="T287">
        <v>0.22786348988317801</v>
      </c>
      <c r="U287">
        <v>4.4785311024110213</v>
      </c>
      <c r="V287">
        <v>0.13137135383788259</v>
      </c>
      <c r="W287">
        <v>8.1953323557979321</v>
      </c>
      <c r="X287">
        <v>0.33753354211830211</v>
      </c>
      <c r="Z287" t="s">
        <v>392</v>
      </c>
      <c r="AA287">
        <v>9937</v>
      </c>
      <c r="AB287" t="s">
        <v>678</v>
      </c>
      <c r="AC287" t="str">
        <f>HYPERLINK("plots/20251231000436_3FT6Y121H01_04823_B11P_N_UFLEX98_M5358A8BH101511/dpll_52046/txpa_55206.png","plot")</f>
        <v>plot</v>
      </c>
    </row>
    <row r="288" spans="1:29" x14ac:dyDescent="0.35">
      <c r="A288" t="s">
        <v>46</v>
      </c>
      <c r="B288">
        <v>52046</v>
      </c>
      <c r="C288" t="s">
        <v>51</v>
      </c>
      <c r="D288">
        <v>55207</v>
      </c>
      <c r="E288" t="s">
        <v>340</v>
      </c>
      <c r="F288">
        <v>8716</v>
      </c>
      <c r="G288">
        <v>0.43465458491414538</v>
      </c>
      <c r="H288">
        <v>0</v>
      </c>
      <c r="I288">
        <v>0</v>
      </c>
      <c r="J288">
        <v>0.32081054800955838</v>
      </c>
      <c r="K288">
        <v>8.1623092857511717E-208</v>
      </c>
      <c r="L288">
        <v>1.2464731349023629E-207</v>
      </c>
      <c r="M288">
        <v>0.21917376550960471</v>
      </c>
      <c r="N288">
        <v>8.6590034080760874E-207</v>
      </c>
      <c r="O288">
        <v>1.312440875304806E-206</v>
      </c>
      <c r="P288">
        <v>0.18892460818688811</v>
      </c>
      <c r="Q288">
        <v>1.1558312827189869</v>
      </c>
      <c r="R288">
        <v>2.961205171276537</v>
      </c>
      <c r="S288">
        <v>0.31532136667097371</v>
      </c>
      <c r="T288">
        <v>0.23862919162536439</v>
      </c>
      <c r="U288">
        <v>4.4782817893529154</v>
      </c>
      <c r="V288">
        <v>0.1316732403778659</v>
      </c>
      <c r="W288">
        <v>8.1373433562413968</v>
      </c>
      <c r="X288">
        <v>0.35014481753545929</v>
      </c>
      <c r="Z288" t="s">
        <v>392</v>
      </c>
      <c r="AA288">
        <v>9937</v>
      </c>
      <c r="AB288" t="s">
        <v>679</v>
      </c>
      <c r="AC288" t="str">
        <f>HYPERLINK("plots/20251231000436_3FT6Y121H01_04823_B11P_N_UFLEX98_M5358A8BH101511/dpll_52046/txpa_55207.png","plot")</f>
        <v>plot</v>
      </c>
    </row>
    <row r="289" spans="1:29" x14ac:dyDescent="0.35">
      <c r="A289" t="s">
        <v>46</v>
      </c>
      <c r="B289">
        <v>52046</v>
      </c>
      <c r="C289" t="s">
        <v>51</v>
      </c>
      <c r="D289">
        <v>55208</v>
      </c>
      <c r="E289" t="s">
        <v>341</v>
      </c>
      <c r="F289">
        <v>8706</v>
      </c>
      <c r="G289">
        <v>0.50952146208784532</v>
      </c>
      <c r="H289">
        <v>0</v>
      </c>
      <c r="I289">
        <v>0</v>
      </c>
      <c r="J289">
        <v>0.3957586497435302</v>
      </c>
      <c r="K289">
        <v>0</v>
      </c>
      <c r="L289">
        <v>0</v>
      </c>
      <c r="M289">
        <v>0.2732018030850647</v>
      </c>
      <c r="N289">
        <v>0</v>
      </c>
      <c r="O289">
        <v>0</v>
      </c>
      <c r="P289">
        <v>0.25961212032813558</v>
      </c>
      <c r="Q289">
        <v>1.169608483758098</v>
      </c>
      <c r="R289">
        <v>2.9935209402353462</v>
      </c>
      <c r="S289">
        <v>0.25921493217044472</v>
      </c>
      <c r="T289">
        <v>0.19507508257438461</v>
      </c>
      <c r="U289">
        <v>4.4786684793246048</v>
      </c>
      <c r="V289">
        <v>0.13124334215215419</v>
      </c>
      <c r="W289">
        <v>8.2318095895933823</v>
      </c>
      <c r="X289">
        <v>0.30126959871115527</v>
      </c>
      <c r="Z289" t="s">
        <v>392</v>
      </c>
      <c r="AA289">
        <v>9937</v>
      </c>
      <c r="AB289" t="s">
        <v>680</v>
      </c>
      <c r="AC289" t="str">
        <f>HYPERLINK("plots/20251231000436_3FT6Y121H01_04823_B11P_N_UFLEX98_M5358A8BH101511/dpll_52046/txpa_55208.png","plot")</f>
        <v>plot</v>
      </c>
    </row>
    <row r="290" spans="1:29" x14ac:dyDescent="0.35">
      <c r="A290" t="s">
        <v>46</v>
      </c>
      <c r="B290">
        <v>52046</v>
      </c>
      <c r="C290" t="s">
        <v>51</v>
      </c>
      <c r="D290">
        <v>55209</v>
      </c>
      <c r="E290" t="s">
        <v>342</v>
      </c>
      <c r="F290">
        <v>8713</v>
      </c>
      <c r="G290">
        <v>0.47467944544680851</v>
      </c>
      <c r="H290">
        <v>0</v>
      </c>
      <c r="I290">
        <v>0</v>
      </c>
      <c r="J290">
        <v>0.35620524673698928</v>
      </c>
      <c r="K290">
        <v>5.2803536883611186E-259</v>
      </c>
      <c r="L290">
        <v>9.3442908202411416E-259</v>
      </c>
      <c r="M290">
        <v>0.24407046349626779</v>
      </c>
      <c r="N290">
        <v>7.6908579142660829E-256</v>
      </c>
      <c r="O290">
        <v>1.3539114453239251E-255</v>
      </c>
      <c r="P290">
        <v>0.2253205759296896</v>
      </c>
      <c r="Q290">
        <v>1.119527093849618</v>
      </c>
      <c r="R290">
        <v>3.12975351729242</v>
      </c>
      <c r="S290">
        <v>0.27304623110669451</v>
      </c>
      <c r="T290">
        <v>0.20580678492854351</v>
      </c>
      <c r="U290">
        <v>4.4783991572363142</v>
      </c>
      <c r="V290">
        <v>0.13154244723512071</v>
      </c>
      <c r="W290">
        <v>8.1434427108917706</v>
      </c>
      <c r="X290">
        <v>0.31024164851373082</v>
      </c>
      <c r="Z290" t="s">
        <v>392</v>
      </c>
      <c r="AA290">
        <v>9937</v>
      </c>
      <c r="AB290" t="s">
        <v>681</v>
      </c>
      <c r="AC290" t="str">
        <f>HYPERLINK("plots/20251231000436_3FT6Y121H01_04823_B11P_N_UFLEX98_M5358A8BH101511/dpll_52046/txpa_55209.png","plot")</f>
        <v>plot</v>
      </c>
    </row>
    <row r="291" spans="1:29" x14ac:dyDescent="0.35">
      <c r="A291" t="s">
        <v>46</v>
      </c>
      <c r="B291">
        <v>52046</v>
      </c>
      <c r="C291" t="s">
        <v>51</v>
      </c>
      <c r="D291">
        <v>55210</v>
      </c>
      <c r="E291" t="s">
        <v>343</v>
      </c>
      <c r="F291">
        <v>8692</v>
      </c>
      <c r="G291">
        <v>0.45744765608397459</v>
      </c>
      <c r="H291">
        <v>0</v>
      </c>
      <c r="I291">
        <v>0</v>
      </c>
      <c r="J291">
        <v>0.34621150719276611</v>
      </c>
      <c r="K291">
        <v>2.9170281940939048E-243</v>
      </c>
      <c r="L291">
        <v>4.8809679683353459E-243</v>
      </c>
      <c r="M291">
        <v>0.23915328932205071</v>
      </c>
      <c r="N291">
        <v>3.9111892990408994E-245</v>
      </c>
      <c r="O291">
        <v>6.6099099153791194E-245</v>
      </c>
      <c r="P291">
        <v>0.2092583580567223</v>
      </c>
      <c r="Q291">
        <v>1.1907963517507181</v>
      </c>
      <c r="R291">
        <v>3.077209029707626</v>
      </c>
      <c r="S291">
        <v>0.3016291004215727</v>
      </c>
      <c r="T291">
        <v>0.2295987211629778</v>
      </c>
      <c r="U291">
        <v>4.4793210440635072</v>
      </c>
      <c r="V291">
        <v>0.1303121255971503</v>
      </c>
      <c r="W291">
        <v>8.4111681872986654</v>
      </c>
      <c r="X291">
        <v>0.33921958433093818</v>
      </c>
      <c r="Z291" t="s">
        <v>392</v>
      </c>
      <c r="AA291">
        <v>9937</v>
      </c>
      <c r="AB291" t="s">
        <v>682</v>
      </c>
      <c r="AC291" t="str">
        <f>HYPERLINK("plots/20251231000436_3FT6Y121H01_04823_B11P_N_UFLEX98_M5358A8BH101511/dpll_52046/txpa_55210.png","plot")</f>
        <v>plot</v>
      </c>
    </row>
    <row r="292" spans="1:29" x14ac:dyDescent="0.35">
      <c r="A292" t="s">
        <v>46</v>
      </c>
      <c r="B292">
        <v>52046</v>
      </c>
      <c r="C292" t="s">
        <v>51</v>
      </c>
      <c r="D292">
        <v>55211</v>
      </c>
      <c r="E292" t="s">
        <v>344</v>
      </c>
      <c r="F292">
        <v>8660</v>
      </c>
      <c r="G292">
        <v>0.43830436947412887</v>
      </c>
      <c r="H292">
        <v>0</v>
      </c>
      <c r="I292">
        <v>0</v>
      </c>
      <c r="J292">
        <v>0.38429666691078918</v>
      </c>
      <c r="K292">
        <v>8.2908215272740706E-303</v>
      </c>
      <c r="L292">
        <v>1.708718095255266E-302</v>
      </c>
      <c r="M292">
        <v>0.26660336405232993</v>
      </c>
      <c r="N292">
        <v>5.3078645952095652E-303</v>
      </c>
      <c r="O292">
        <v>1.0895090484903841E-302</v>
      </c>
      <c r="P292">
        <v>0.1921107203001137</v>
      </c>
      <c r="Q292">
        <v>1.1547188538304769</v>
      </c>
      <c r="R292">
        <v>4.0499015554131237</v>
      </c>
      <c r="S292">
        <v>0.30403111847140679</v>
      </c>
      <c r="T292">
        <v>0.21677936514670529</v>
      </c>
      <c r="U292">
        <v>4.4805785714780608</v>
      </c>
      <c r="V292">
        <v>0.12840050565407821</v>
      </c>
      <c r="W292">
        <v>9.2237101079676673</v>
      </c>
      <c r="X292">
        <v>0.33827288762377339</v>
      </c>
      <c r="Z292" t="s">
        <v>392</v>
      </c>
      <c r="AA292">
        <v>9937</v>
      </c>
      <c r="AB292" t="s">
        <v>683</v>
      </c>
      <c r="AC292" t="str">
        <f>HYPERLINK("plots/20251231000436_3FT6Y121H01_04823_B11P_N_UFLEX98_M5358A8BH101511/dpll_52046/txpa_55211.png","plot")</f>
        <v>plot</v>
      </c>
    </row>
    <row r="293" spans="1:29" x14ac:dyDescent="0.35">
      <c r="A293" t="s">
        <v>46</v>
      </c>
      <c r="B293">
        <v>52046</v>
      </c>
      <c r="C293" t="s">
        <v>51</v>
      </c>
      <c r="D293">
        <v>55212</v>
      </c>
      <c r="E293" t="s">
        <v>345</v>
      </c>
      <c r="F293">
        <v>8702</v>
      </c>
      <c r="G293">
        <v>0.49692288617889963</v>
      </c>
      <c r="H293">
        <v>0</v>
      </c>
      <c r="I293">
        <v>0</v>
      </c>
      <c r="J293">
        <v>0.4109275409930101</v>
      </c>
      <c r="K293">
        <v>0</v>
      </c>
      <c r="L293">
        <v>0</v>
      </c>
      <c r="M293">
        <v>0.28404879541528422</v>
      </c>
      <c r="N293">
        <v>0</v>
      </c>
      <c r="O293">
        <v>0</v>
      </c>
      <c r="P293">
        <v>0.24693235480836759</v>
      </c>
      <c r="Q293">
        <v>1.2072006326493481</v>
      </c>
      <c r="R293">
        <v>3.5441849743101308</v>
      </c>
      <c r="S293">
        <v>0.27630653623504042</v>
      </c>
      <c r="T293">
        <v>0.19868632918877871</v>
      </c>
      <c r="U293">
        <v>4.4787784364513907</v>
      </c>
      <c r="V293">
        <v>0.1310716190001793</v>
      </c>
      <c r="W293">
        <v>8.9509691362905084</v>
      </c>
      <c r="X293">
        <v>0.31841910642534932</v>
      </c>
      <c r="Z293" t="s">
        <v>392</v>
      </c>
      <c r="AA293">
        <v>9937</v>
      </c>
      <c r="AB293" t="s">
        <v>684</v>
      </c>
      <c r="AC293" t="str">
        <f>HYPERLINK("plots/20251231000436_3FT6Y121H01_04823_B11P_N_UFLEX98_M5358A8BH101511/dpll_52046/txpa_55212.png","plot")</f>
        <v>plot</v>
      </c>
    </row>
    <row r="294" spans="1:29" x14ac:dyDescent="0.35">
      <c r="A294" t="s">
        <v>46</v>
      </c>
      <c r="B294">
        <v>52046</v>
      </c>
      <c r="C294" t="s">
        <v>51</v>
      </c>
      <c r="D294">
        <v>55213</v>
      </c>
      <c r="E294" t="s">
        <v>346</v>
      </c>
      <c r="F294">
        <v>8711</v>
      </c>
      <c r="G294">
        <v>0.45438208730199919</v>
      </c>
      <c r="H294">
        <v>0</v>
      </c>
      <c r="I294">
        <v>0</v>
      </c>
      <c r="J294">
        <v>0.35027498421983938</v>
      </c>
      <c r="K294">
        <v>6.9460168504686635E-250</v>
      </c>
      <c r="L294">
        <v>1.1837413590546599E-249</v>
      </c>
      <c r="M294">
        <v>0.24059503657756701</v>
      </c>
      <c r="N294">
        <v>1.3043657126662969E-248</v>
      </c>
      <c r="O294">
        <v>2.2266444994000419E-248</v>
      </c>
      <c r="P294">
        <v>0.20646308126092169</v>
      </c>
      <c r="Q294">
        <v>1.238552059416306</v>
      </c>
      <c r="R294">
        <v>3.4653697741406768</v>
      </c>
      <c r="S294">
        <v>0.31921222653364351</v>
      </c>
      <c r="T294">
        <v>0.2362462443068688</v>
      </c>
      <c r="U294">
        <v>4.4784690377683392</v>
      </c>
      <c r="V294">
        <v>0.13147034871222199</v>
      </c>
      <c r="W294">
        <v>9.0121868239008158</v>
      </c>
      <c r="X294">
        <v>0.35836111435765677</v>
      </c>
      <c r="Z294" t="s">
        <v>392</v>
      </c>
      <c r="AA294">
        <v>9937</v>
      </c>
      <c r="AB294" t="s">
        <v>685</v>
      </c>
      <c r="AC294" t="str">
        <f>HYPERLINK("plots/20251231000436_3FT6Y121H01_04823_B11P_N_UFLEX98_M5358A8BH101511/dpll_52046/txpa_55213.png","plot")</f>
        <v>plot</v>
      </c>
    </row>
    <row r="295" spans="1:29" x14ac:dyDescent="0.35">
      <c r="A295" t="s">
        <v>46</v>
      </c>
      <c r="B295">
        <v>52046</v>
      </c>
      <c r="C295" t="s">
        <v>51</v>
      </c>
      <c r="D295">
        <v>55214</v>
      </c>
      <c r="E295" t="s">
        <v>347</v>
      </c>
      <c r="F295">
        <v>8699</v>
      </c>
      <c r="G295">
        <v>0.48952728211025293</v>
      </c>
      <c r="H295">
        <v>0</v>
      </c>
      <c r="I295">
        <v>0</v>
      </c>
      <c r="J295">
        <v>0.39028506166982252</v>
      </c>
      <c r="K295">
        <v>0</v>
      </c>
      <c r="L295">
        <v>0</v>
      </c>
      <c r="M295">
        <v>0.2719299835095072</v>
      </c>
      <c r="N295">
        <v>0</v>
      </c>
      <c r="O295">
        <v>0</v>
      </c>
      <c r="P295">
        <v>0.23963695993025119</v>
      </c>
      <c r="Q295">
        <v>1.278035516344606</v>
      </c>
      <c r="R295">
        <v>3.3104399750006661</v>
      </c>
      <c r="S295">
        <v>0.29792058394151449</v>
      </c>
      <c r="T295">
        <v>0.2240905430668324</v>
      </c>
      <c r="U295">
        <v>4.4789170619611447</v>
      </c>
      <c r="V295">
        <v>0.1308726670177755</v>
      </c>
      <c r="W295">
        <v>9.0346550549488445</v>
      </c>
      <c r="X295">
        <v>0.34167639410501283</v>
      </c>
      <c r="Z295" t="s">
        <v>392</v>
      </c>
      <c r="AA295">
        <v>9937</v>
      </c>
      <c r="AB295" t="s">
        <v>686</v>
      </c>
      <c r="AC295" t="str">
        <f>HYPERLINK("plots/20251231000436_3FT6Y121H01_04823_B11P_N_UFLEX98_M5358A8BH101511/dpll_52046/txpa_55214.png","plot")</f>
        <v>plot</v>
      </c>
    </row>
    <row r="296" spans="1:29" x14ac:dyDescent="0.35">
      <c r="A296" t="s">
        <v>46</v>
      </c>
      <c r="B296">
        <v>52046</v>
      </c>
      <c r="C296" t="s">
        <v>51</v>
      </c>
      <c r="D296">
        <v>55215</v>
      </c>
      <c r="E296" t="s">
        <v>348</v>
      </c>
      <c r="F296">
        <v>8712</v>
      </c>
      <c r="G296">
        <v>0.46154069424259669</v>
      </c>
      <c r="H296">
        <v>0</v>
      </c>
      <c r="I296">
        <v>0</v>
      </c>
      <c r="J296">
        <v>0.3419267445102791</v>
      </c>
      <c r="K296">
        <v>1.741368645132839E-237</v>
      </c>
      <c r="L296">
        <v>2.871134644170241E-237</v>
      </c>
      <c r="M296">
        <v>0.23430453442577689</v>
      </c>
      <c r="N296">
        <v>6.4368024740780407E-236</v>
      </c>
      <c r="O296">
        <v>1.0612874323114041E-235</v>
      </c>
      <c r="P296">
        <v>0.2130198124419381</v>
      </c>
      <c r="Q296">
        <v>1.237963107943336</v>
      </c>
      <c r="R296">
        <v>3.4418295537685339</v>
      </c>
      <c r="S296">
        <v>0.31286501315007031</v>
      </c>
      <c r="T296">
        <v>0.23404611653421939</v>
      </c>
      <c r="U296">
        <v>4.4784406707988982</v>
      </c>
      <c r="V296">
        <v>0.13149290594402829</v>
      </c>
      <c r="W296">
        <v>8.9859738853305782</v>
      </c>
      <c r="X296">
        <v>0.35269558794182349</v>
      </c>
      <c r="Z296" t="s">
        <v>392</v>
      </c>
      <c r="AA296">
        <v>9937</v>
      </c>
      <c r="AB296" t="s">
        <v>687</v>
      </c>
      <c r="AC296" t="str">
        <f>HYPERLINK("plots/20251231000436_3FT6Y121H01_04823_B11P_N_UFLEX98_M5358A8BH101511/dpll_52046/txpa_55215.png","plot")</f>
        <v>plot</v>
      </c>
    </row>
    <row r="297" spans="1:29" x14ac:dyDescent="0.35">
      <c r="A297" t="s">
        <v>46</v>
      </c>
      <c r="B297">
        <v>52046</v>
      </c>
      <c r="C297" t="s">
        <v>51</v>
      </c>
      <c r="D297">
        <v>55216</v>
      </c>
      <c r="E297" t="s">
        <v>349</v>
      </c>
      <c r="F297">
        <v>8694</v>
      </c>
      <c r="G297">
        <v>0.50983187933607388</v>
      </c>
      <c r="H297">
        <v>0</v>
      </c>
      <c r="I297">
        <v>0</v>
      </c>
      <c r="J297">
        <v>0.41063531907370432</v>
      </c>
      <c r="K297">
        <v>0</v>
      </c>
      <c r="L297">
        <v>0</v>
      </c>
      <c r="M297">
        <v>0.28528330529416812</v>
      </c>
      <c r="N297">
        <v>0</v>
      </c>
      <c r="O297">
        <v>0</v>
      </c>
      <c r="P297">
        <v>0.25992854518735298</v>
      </c>
      <c r="Q297">
        <v>1.2162304148609879</v>
      </c>
      <c r="R297">
        <v>3.6139920350951642</v>
      </c>
      <c r="S297">
        <v>0.26804896698020508</v>
      </c>
      <c r="T297">
        <v>0.19614601270478729</v>
      </c>
      <c r="U297">
        <v>4.4791713111341149</v>
      </c>
      <c r="V297">
        <v>0.13062112427317171</v>
      </c>
      <c r="W297">
        <v>9.0616964170692444</v>
      </c>
      <c r="X297">
        <v>0.31160347283745748</v>
      </c>
      <c r="Z297" t="s">
        <v>392</v>
      </c>
      <c r="AA297">
        <v>9937</v>
      </c>
      <c r="AB297" t="s">
        <v>688</v>
      </c>
      <c r="AC297" t="str">
        <f>HYPERLINK("plots/20251231000436_3FT6Y121H01_04823_B11P_N_UFLEX98_M5358A8BH101511/dpll_52046/txpa_55216.png","plot")</f>
        <v>plot</v>
      </c>
    </row>
    <row r="298" spans="1:29" x14ac:dyDescent="0.35">
      <c r="A298" t="s">
        <v>46</v>
      </c>
      <c r="B298">
        <v>52046</v>
      </c>
      <c r="C298" t="s">
        <v>51</v>
      </c>
      <c r="D298">
        <v>55217</v>
      </c>
      <c r="E298" t="s">
        <v>350</v>
      </c>
      <c r="F298">
        <v>8706</v>
      </c>
      <c r="G298">
        <v>0.49325860031847629</v>
      </c>
      <c r="H298">
        <v>0</v>
      </c>
      <c r="I298">
        <v>0</v>
      </c>
      <c r="J298">
        <v>0.3748668986294636</v>
      </c>
      <c r="K298">
        <v>1.3821752038907871E-288</v>
      </c>
      <c r="L298">
        <v>2.6849150512361259E-288</v>
      </c>
      <c r="M298">
        <v>0.25773460339845933</v>
      </c>
      <c r="N298">
        <v>8.173757154887405E-285</v>
      </c>
      <c r="O298">
        <v>1.5817156021098909E-284</v>
      </c>
      <c r="P298">
        <v>0.24330404678814241</v>
      </c>
      <c r="Q298">
        <v>1.200794777986911</v>
      </c>
      <c r="R298">
        <v>3.614972625467717</v>
      </c>
      <c r="S298">
        <v>0.27783868129697809</v>
      </c>
      <c r="T298">
        <v>0.20520763647948381</v>
      </c>
      <c r="U298">
        <v>4.4786841843556173</v>
      </c>
      <c r="V298">
        <v>0.1312087574282943</v>
      </c>
      <c r="W298">
        <v>8.9929532062945086</v>
      </c>
      <c r="X298">
        <v>0.31941620611241328</v>
      </c>
      <c r="Z298" t="s">
        <v>392</v>
      </c>
      <c r="AA298">
        <v>9937</v>
      </c>
      <c r="AB298" t="s">
        <v>689</v>
      </c>
      <c r="AC298" t="str">
        <f>HYPERLINK("plots/20251231000436_3FT6Y121H01_04823_B11P_N_UFLEX98_M5358A8BH101511/dpll_52046/txpa_55217.png","plot")</f>
        <v>plot</v>
      </c>
    </row>
    <row r="299" spans="1:29" x14ac:dyDescent="0.35">
      <c r="A299" t="s">
        <v>46</v>
      </c>
      <c r="B299">
        <v>52046</v>
      </c>
      <c r="C299" t="s">
        <v>51</v>
      </c>
      <c r="D299">
        <v>55218</v>
      </c>
      <c r="E299" t="s">
        <v>351</v>
      </c>
      <c r="F299">
        <v>8679</v>
      </c>
      <c r="G299">
        <v>0.46445952520763351</v>
      </c>
      <c r="H299">
        <v>0</v>
      </c>
      <c r="I299">
        <v>0</v>
      </c>
      <c r="J299">
        <v>0.36516404021339027</v>
      </c>
      <c r="K299">
        <v>5.2042589315960809E-272</v>
      </c>
      <c r="L299">
        <v>9.5773476527013186E-272</v>
      </c>
      <c r="M299">
        <v>0.25409548248411251</v>
      </c>
      <c r="N299">
        <v>4.9007993034156173E-276</v>
      </c>
      <c r="O299">
        <v>9.1349457604107281E-276</v>
      </c>
      <c r="P299">
        <v>0.21572265055610029</v>
      </c>
      <c r="Q299">
        <v>1.227696716495734</v>
      </c>
      <c r="R299">
        <v>3.7397972333123888</v>
      </c>
      <c r="S299">
        <v>0.30302846639448783</v>
      </c>
      <c r="T299">
        <v>0.22567726316716821</v>
      </c>
      <c r="U299">
        <v>4.4799163208895028</v>
      </c>
      <c r="V299">
        <v>0.12945844690656511</v>
      </c>
      <c r="W299">
        <v>9.2397757906440816</v>
      </c>
      <c r="X299">
        <v>0.34219496331521287</v>
      </c>
      <c r="Z299" t="s">
        <v>392</v>
      </c>
      <c r="AA299">
        <v>9937</v>
      </c>
      <c r="AB299" t="s">
        <v>690</v>
      </c>
      <c r="AC299" t="str">
        <f>HYPERLINK("plots/20251231000436_3FT6Y121H01_04823_B11P_N_UFLEX98_M5358A8BH101511/dpll_52046/txpa_55218.png","plot")</f>
        <v>plot</v>
      </c>
    </row>
    <row r="300" spans="1:29" x14ac:dyDescent="0.35">
      <c r="A300" t="s">
        <v>46</v>
      </c>
      <c r="B300">
        <v>52046</v>
      </c>
      <c r="C300" t="s">
        <v>51</v>
      </c>
      <c r="D300">
        <v>55219</v>
      </c>
      <c r="E300" t="s">
        <v>352</v>
      </c>
      <c r="F300">
        <v>8642</v>
      </c>
      <c r="G300">
        <v>0.42942502152214762</v>
      </c>
      <c r="H300">
        <v>0</v>
      </c>
      <c r="I300">
        <v>0</v>
      </c>
      <c r="J300">
        <v>0.40018592016620852</v>
      </c>
      <c r="K300">
        <v>0</v>
      </c>
      <c r="L300">
        <v>0</v>
      </c>
      <c r="M300">
        <v>0.28001119312450329</v>
      </c>
      <c r="N300">
        <v>0</v>
      </c>
      <c r="O300">
        <v>0</v>
      </c>
      <c r="P300">
        <v>0.18440584910929689</v>
      </c>
      <c r="Q300">
        <v>1.203356887174126</v>
      </c>
      <c r="R300">
        <v>4.6070172661951077</v>
      </c>
      <c r="S300">
        <v>0.32176217093727472</v>
      </c>
      <c r="T300">
        <v>0.22490655450385841</v>
      </c>
      <c r="U300">
        <v>4.4813085735940756</v>
      </c>
      <c r="V300">
        <v>0.12714988121637211</v>
      </c>
      <c r="W300">
        <v>9.9996308017819953</v>
      </c>
      <c r="X300">
        <v>0.35630593839814712</v>
      </c>
      <c r="Z300" t="s">
        <v>392</v>
      </c>
      <c r="AA300">
        <v>9937</v>
      </c>
      <c r="AB300" t="s">
        <v>691</v>
      </c>
      <c r="AC300" t="str">
        <f>HYPERLINK("plots/20251231000436_3FT6Y121H01_04823_B11P_N_UFLEX98_M5358A8BH101511/dpll_52046/txpa_55219.png","plot")</f>
        <v>plot</v>
      </c>
    </row>
    <row r="301" spans="1:29" x14ac:dyDescent="0.35">
      <c r="A301" t="s">
        <v>46</v>
      </c>
      <c r="B301">
        <v>52046</v>
      </c>
      <c r="C301" t="s">
        <v>51</v>
      </c>
      <c r="D301">
        <v>55220</v>
      </c>
      <c r="E301" t="s">
        <v>353</v>
      </c>
      <c r="F301">
        <v>8686</v>
      </c>
      <c r="G301">
        <v>0.49218591895020147</v>
      </c>
      <c r="H301">
        <v>0</v>
      </c>
      <c r="I301">
        <v>0</v>
      </c>
      <c r="J301">
        <v>0.4272075689946363</v>
      </c>
      <c r="K301">
        <v>0</v>
      </c>
      <c r="L301">
        <v>0</v>
      </c>
      <c r="M301">
        <v>0.29807198950602048</v>
      </c>
      <c r="N301">
        <v>0</v>
      </c>
      <c r="O301">
        <v>0</v>
      </c>
      <c r="P301">
        <v>0.24224697881285431</v>
      </c>
      <c r="Q301">
        <v>1.2615515735959331</v>
      </c>
      <c r="R301">
        <v>4.1346949543055489</v>
      </c>
      <c r="S301">
        <v>0.290627667720673</v>
      </c>
      <c r="T301">
        <v>0.20356612636471641</v>
      </c>
      <c r="U301">
        <v>4.4793734898687552</v>
      </c>
      <c r="V301">
        <v>0.1302633655453623</v>
      </c>
      <c r="W301">
        <v>9.7856556291733821</v>
      </c>
      <c r="X301">
        <v>0.33388593102412811</v>
      </c>
      <c r="Z301" t="s">
        <v>392</v>
      </c>
      <c r="AA301">
        <v>9937</v>
      </c>
      <c r="AB301" t="s">
        <v>692</v>
      </c>
      <c r="AC301" t="str">
        <f>HYPERLINK("plots/20251231000436_3FT6Y121H01_04823_B11P_N_UFLEX98_M5358A8BH101511/dpll_52046/txpa_55220.png","plot")</f>
        <v>plot</v>
      </c>
    </row>
    <row r="302" spans="1:29" x14ac:dyDescent="0.35">
      <c r="A302" t="s">
        <v>46</v>
      </c>
      <c r="B302">
        <v>52046</v>
      </c>
      <c r="C302" t="s">
        <v>51</v>
      </c>
      <c r="D302">
        <v>55221</v>
      </c>
      <c r="E302" t="s">
        <v>354</v>
      </c>
      <c r="F302">
        <v>8699</v>
      </c>
      <c r="G302">
        <v>0.47475628223215188</v>
      </c>
      <c r="H302">
        <v>0</v>
      </c>
      <c r="I302">
        <v>0</v>
      </c>
      <c r="J302">
        <v>0.38296278578710269</v>
      </c>
      <c r="K302">
        <v>6.7946518963823585E-302</v>
      </c>
      <c r="L302">
        <v>1.3779554045863419E-301</v>
      </c>
      <c r="M302">
        <v>0.26536547379865399</v>
      </c>
      <c r="N302">
        <v>1.4742988981562449E-301</v>
      </c>
      <c r="O302">
        <v>3.0079257197795409E-301</v>
      </c>
      <c r="P302">
        <v>0.22539352751889469</v>
      </c>
      <c r="Q302">
        <v>1.327290375081531</v>
      </c>
      <c r="R302">
        <v>3.8688907938618611</v>
      </c>
      <c r="S302">
        <v>0.32213451270402288</v>
      </c>
      <c r="T302">
        <v>0.23146719898895121</v>
      </c>
      <c r="U302">
        <v>4.4789012155420158</v>
      </c>
      <c r="V302">
        <v>0.1309261612936661</v>
      </c>
      <c r="W302">
        <v>9.8136932681917468</v>
      </c>
      <c r="X302">
        <v>0.36603419530208431</v>
      </c>
      <c r="Z302" t="s">
        <v>392</v>
      </c>
      <c r="AA302">
        <v>9937</v>
      </c>
      <c r="AB302" t="s">
        <v>693</v>
      </c>
      <c r="AC302" t="str">
        <f>HYPERLINK("plots/20251231000436_3FT6Y121H01_04823_B11P_N_UFLEX98_M5358A8BH101511/dpll_52046/txpa_55221.png","plot")</f>
        <v>plot</v>
      </c>
    </row>
    <row r="303" spans="1:29" x14ac:dyDescent="0.35">
      <c r="A303" t="s">
        <v>46</v>
      </c>
      <c r="B303">
        <v>52046</v>
      </c>
      <c r="C303" t="s">
        <v>51</v>
      </c>
      <c r="D303">
        <v>55222</v>
      </c>
      <c r="E303" t="s">
        <v>355</v>
      </c>
      <c r="F303">
        <v>8689</v>
      </c>
      <c r="G303">
        <v>0.49464264018964538</v>
      </c>
      <c r="H303">
        <v>0</v>
      </c>
      <c r="I303">
        <v>0</v>
      </c>
      <c r="J303">
        <v>0.41234457023241772</v>
      </c>
      <c r="K303">
        <v>0</v>
      </c>
      <c r="L303">
        <v>0</v>
      </c>
      <c r="M303">
        <v>0.28936419560326171</v>
      </c>
      <c r="N303">
        <v>0</v>
      </c>
      <c r="O303">
        <v>0</v>
      </c>
      <c r="P303">
        <v>0.244671341493783</v>
      </c>
      <c r="Q303">
        <v>1.3405672696629629</v>
      </c>
      <c r="R303">
        <v>3.832198417926441</v>
      </c>
      <c r="S303">
        <v>0.30708409724572611</v>
      </c>
      <c r="T303">
        <v>0.22267539498609629</v>
      </c>
      <c r="U303">
        <v>4.4793266314880889</v>
      </c>
      <c r="V303">
        <v>0.13038189154005919</v>
      </c>
      <c r="W303">
        <v>9.8370370902290247</v>
      </c>
      <c r="X303">
        <v>0.3533575194575565</v>
      </c>
      <c r="Z303" t="s">
        <v>392</v>
      </c>
      <c r="AA303">
        <v>9937</v>
      </c>
      <c r="AB303" t="s">
        <v>694</v>
      </c>
      <c r="AC303" t="str">
        <f>HYPERLINK("plots/20251231000436_3FT6Y121H01_04823_B11P_N_UFLEX98_M5358A8BH101511/dpll_52046/txpa_55222.png","plot")</f>
        <v>plot</v>
      </c>
    </row>
    <row r="304" spans="1:29" x14ac:dyDescent="0.35">
      <c r="A304" t="s">
        <v>46</v>
      </c>
      <c r="B304">
        <v>52046</v>
      </c>
      <c r="C304" t="s">
        <v>51</v>
      </c>
      <c r="D304">
        <v>55223</v>
      </c>
      <c r="E304" t="s">
        <v>356</v>
      </c>
      <c r="F304">
        <v>8703</v>
      </c>
      <c r="G304">
        <v>0.48568170316598158</v>
      </c>
      <c r="H304">
        <v>0</v>
      </c>
      <c r="I304">
        <v>0</v>
      </c>
      <c r="J304">
        <v>0.37178584448947011</v>
      </c>
      <c r="K304">
        <v>1.964669468668741E-283</v>
      </c>
      <c r="L304">
        <v>3.730664496685587E-283</v>
      </c>
      <c r="M304">
        <v>0.25664435237532601</v>
      </c>
      <c r="N304">
        <v>2.4828512426502088E-282</v>
      </c>
      <c r="O304">
        <v>4.7412639548913593E-282</v>
      </c>
      <c r="P304">
        <v>0.23588671679020859</v>
      </c>
      <c r="Q304">
        <v>1.334923104941951</v>
      </c>
      <c r="R304">
        <v>3.8240475103036968</v>
      </c>
      <c r="S304">
        <v>0.31502155026395151</v>
      </c>
      <c r="T304">
        <v>0.23071990743147691</v>
      </c>
      <c r="U304">
        <v>4.4787390964035394</v>
      </c>
      <c r="V304">
        <v>0.13112389303929869</v>
      </c>
      <c r="W304">
        <v>9.802819811099619</v>
      </c>
      <c r="X304">
        <v>0.36040129427786322</v>
      </c>
      <c r="Z304" t="s">
        <v>392</v>
      </c>
      <c r="AA304">
        <v>9937</v>
      </c>
      <c r="AB304" t="s">
        <v>695</v>
      </c>
      <c r="AC304" t="str">
        <f>HYPERLINK("plots/20251231000436_3FT6Y121H01_04823_B11P_N_UFLEX98_M5358A8BH101511/dpll_52046/txpa_55223.png","plot")</f>
        <v>plot</v>
      </c>
    </row>
    <row r="305" spans="1:29" x14ac:dyDescent="0.35">
      <c r="A305" t="s">
        <v>46</v>
      </c>
      <c r="B305">
        <v>52046</v>
      </c>
      <c r="C305" t="s">
        <v>51</v>
      </c>
      <c r="D305">
        <v>55224</v>
      </c>
      <c r="E305" t="s">
        <v>357</v>
      </c>
      <c r="F305">
        <v>8689</v>
      </c>
      <c r="G305">
        <v>0.50848007954308705</v>
      </c>
      <c r="H305">
        <v>0</v>
      </c>
      <c r="I305">
        <v>0</v>
      </c>
      <c r="J305">
        <v>0.42827358448181502</v>
      </c>
      <c r="K305">
        <v>0</v>
      </c>
      <c r="L305">
        <v>0</v>
      </c>
      <c r="M305">
        <v>0.30032646493619047</v>
      </c>
      <c r="N305">
        <v>0</v>
      </c>
      <c r="O305">
        <v>0</v>
      </c>
      <c r="P305">
        <v>0.25855199129214412</v>
      </c>
      <c r="Q305">
        <v>1.3036835148183701</v>
      </c>
      <c r="R305">
        <v>4.0088085128649071</v>
      </c>
      <c r="S305">
        <v>0.28754755844336299</v>
      </c>
      <c r="T305">
        <v>0.20330093628999851</v>
      </c>
      <c r="U305">
        <v>4.4794139630567376</v>
      </c>
      <c r="V305">
        <v>0.13025550736773139</v>
      </c>
      <c r="W305">
        <v>9.8485466525491994</v>
      </c>
      <c r="X305">
        <v>0.33395990226835381</v>
      </c>
      <c r="Z305" t="s">
        <v>392</v>
      </c>
      <c r="AA305">
        <v>9937</v>
      </c>
      <c r="AB305" t="s">
        <v>696</v>
      </c>
      <c r="AC305" t="str">
        <f>HYPERLINK("plots/20251231000436_3FT6Y121H01_04823_B11P_N_UFLEX98_M5358A8BH101511/dpll_52046/txpa_55224.png","plot")</f>
        <v>plot</v>
      </c>
    </row>
    <row r="306" spans="1:29" x14ac:dyDescent="0.35">
      <c r="A306" t="s">
        <v>46</v>
      </c>
      <c r="B306">
        <v>52046</v>
      </c>
      <c r="C306" t="s">
        <v>51</v>
      </c>
      <c r="D306">
        <v>55225</v>
      </c>
      <c r="E306" t="s">
        <v>358</v>
      </c>
      <c r="F306">
        <v>8695</v>
      </c>
      <c r="G306">
        <v>0.50457888543709961</v>
      </c>
      <c r="H306">
        <v>0</v>
      </c>
      <c r="I306">
        <v>0</v>
      </c>
      <c r="J306">
        <v>0.39924037249090832</v>
      </c>
      <c r="K306">
        <v>0</v>
      </c>
      <c r="L306">
        <v>0</v>
      </c>
      <c r="M306">
        <v>0.27643549969078429</v>
      </c>
      <c r="N306">
        <v>0</v>
      </c>
      <c r="O306">
        <v>0</v>
      </c>
      <c r="P306">
        <v>0.25459985162894572</v>
      </c>
      <c r="Q306">
        <v>1.2931351315057531</v>
      </c>
      <c r="R306">
        <v>4.0171310231605482</v>
      </c>
      <c r="S306">
        <v>0.28903774222483047</v>
      </c>
      <c r="T306">
        <v>0.2070529517059638</v>
      </c>
      <c r="U306">
        <v>4.4791428803910289</v>
      </c>
      <c r="V306">
        <v>0.1306381303881691</v>
      </c>
      <c r="W306">
        <v>9.8092680408280604</v>
      </c>
      <c r="X306">
        <v>0.33479949477638199</v>
      </c>
      <c r="Z306" t="s">
        <v>392</v>
      </c>
      <c r="AA306">
        <v>9937</v>
      </c>
      <c r="AB306" t="s">
        <v>697</v>
      </c>
      <c r="AC306" t="str">
        <f>HYPERLINK("plots/20251231000436_3FT6Y121H01_04823_B11P_N_UFLEX98_M5358A8BH101511/dpll_52046/txpa_55225.png","plot")</f>
        <v>plot</v>
      </c>
    </row>
    <row r="307" spans="1:29" x14ac:dyDescent="0.35">
      <c r="A307" t="s">
        <v>46</v>
      </c>
      <c r="B307">
        <v>52046</v>
      </c>
      <c r="C307" t="s">
        <v>51</v>
      </c>
      <c r="D307">
        <v>55226</v>
      </c>
      <c r="E307" t="s">
        <v>359</v>
      </c>
      <c r="F307">
        <v>8663</v>
      </c>
      <c r="G307">
        <v>0.46064421839703051</v>
      </c>
      <c r="H307">
        <v>0</v>
      </c>
      <c r="I307">
        <v>0</v>
      </c>
      <c r="J307">
        <v>0.38416072623129721</v>
      </c>
      <c r="K307">
        <v>1.109362166655277E-302</v>
      </c>
      <c r="L307">
        <v>2.267929913283168E-302</v>
      </c>
      <c r="M307">
        <v>0.26889234471651391</v>
      </c>
      <c r="N307">
        <v>2.6957995742909871E-308</v>
      </c>
      <c r="O307">
        <v>5.6595046963376001E-308</v>
      </c>
      <c r="P307">
        <v>0.2121930959426111</v>
      </c>
      <c r="Q307">
        <v>1.2706755483825249</v>
      </c>
      <c r="R307">
        <v>4.3377235053939618</v>
      </c>
      <c r="S307">
        <v>0.31310574305550659</v>
      </c>
      <c r="T307">
        <v>0.2271114600892403</v>
      </c>
      <c r="U307">
        <v>4.4808041529493252</v>
      </c>
      <c r="V307">
        <v>0.12789016911404119</v>
      </c>
      <c r="W307">
        <v>10.03137177963754</v>
      </c>
      <c r="X307">
        <v>0.35278183092629839</v>
      </c>
      <c r="Z307" t="s">
        <v>392</v>
      </c>
      <c r="AA307">
        <v>9937</v>
      </c>
      <c r="AB307" t="s">
        <v>698</v>
      </c>
      <c r="AC307" t="str">
        <f>HYPERLINK("plots/20251231000436_3FT6Y121H01_04823_B11P_N_UFLEX98_M5358A8BH101511/dpll_52046/txpa_55226.png","plot")</f>
        <v>plot</v>
      </c>
    </row>
    <row r="308" spans="1:29" x14ac:dyDescent="0.35">
      <c r="A308" t="s">
        <v>46</v>
      </c>
      <c r="B308">
        <v>52046</v>
      </c>
      <c r="C308" t="s">
        <v>51</v>
      </c>
      <c r="D308">
        <v>55227</v>
      </c>
      <c r="E308" t="s">
        <v>360</v>
      </c>
      <c r="F308">
        <v>8640</v>
      </c>
      <c r="G308">
        <v>0.42742876129753171</v>
      </c>
      <c r="H308">
        <v>0</v>
      </c>
      <c r="I308">
        <v>0</v>
      </c>
      <c r="J308">
        <v>0.40316955254788178</v>
      </c>
      <c r="K308">
        <v>0</v>
      </c>
      <c r="L308">
        <v>0</v>
      </c>
      <c r="M308">
        <v>0.2829110359783748</v>
      </c>
      <c r="N308">
        <v>0</v>
      </c>
      <c r="O308">
        <v>0</v>
      </c>
      <c r="P308">
        <v>0.18269534598434231</v>
      </c>
      <c r="Q308">
        <v>1.2534198255188911</v>
      </c>
      <c r="R308">
        <v>4.7248408019392469</v>
      </c>
      <c r="S308">
        <v>0.33657815561240778</v>
      </c>
      <c r="T308">
        <v>0.2343870113822254</v>
      </c>
      <c r="U308">
        <v>4.4814134939814814</v>
      </c>
      <c r="V308">
        <v>0.12696565482585531</v>
      </c>
      <c r="W308">
        <v>10.34193332164352</v>
      </c>
      <c r="X308">
        <v>0.37232232205342303</v>
      </c>
      <c r="Z308" t="s">
        <v>392</v>
      </c>
      <c r="AA308">
        <v>9937</v>
      </c>
      <c r="AB308" t="s">
        <v>699</v>
      </c>
      <c r="AC308" t="str">
        <f>HYPERLINK("plots/20251231000436_3FT6Y121H01_04823_B11P_N_UFLEX98_M5358A8BH101511/dpll_52046/txpa_55227.png","plot")</f>
        <v>plot</v>
      </c>
    </row>
    <row r="309" spans="1:29" x14ac:dyDescent="0.35">
      <c r="A309" t="s">
        <v>46</v>
      </c>
      <c r="B309">
        <v>52046</v>
      </c>
      <c r="C309" t="s">
        <v>51</v>
      </c>
      <c r="D309">
        <v>55228</v>
      </c>
      <c r="E309" t="s">
        <v>361</v>
      </c>
      <c r="F309">
        <v>8679</v>
      </c>
      <c r="G309">
        <v>0.49067751248904878</v>
      </c>
      <c r="H309">
        <v>0</v>
      </c>
      <c r="I309">
        <v>0</v>
      </c>
      <c r="J309">
        <v>0.43587341750718789</v>
      </c>
      <c r="K309">
        <v>0</v>
      </c>
      <c r="L309">
        <v>0</v>
      </c>
      <c r="M309">
        <v>0.30591463168595168</v>
      </c>
      <c r="N309">
        <v>0</v>
      </c>
      <c r="O309">
        <v>0</v>
      </c>
      <c r="P309">
        <v>0.24076442126244069</v>
      </c>
      <c r="Q309">
        <v>1.303903969200962</v>
      </c>
      <c r="R309">
        <v>4.3252962200135983</v>
      </c>
      <c r="S309">
        <v>0.30087639920721881</v>
      </c>
      <c r="T309">
        <v>0.20822400260386609</v>
      </c>
      <c r="U309">
        <v>4.4795845663094829</v>
      </c>
      <c r="V309">
        <v>0.1299497403447186</v>
      </c>
      <c r="W309">
        <v>10.1662443163959</v>
      </c>
      <c r="X309">
        <v>0.34532249373440482</v>
      </c>
      <c r="Z309" t="s">
        <v>392</v>
      </c>
      <c r="AA309">
        <v>9937</v>
      </c>
      <c r="AB309" t="s">
        <v>700</v>
      </c>
      <c r="AC309" t="str">
        <f>HYPERLINK("plots/20251231000436_3FT6Y121H01_04823_B11P_N_UFLEX98_M5358A8BH101511/dpll_52046/txpa_55228.png","plot")</f>
        <v>plot</v>
      </c>
    </row>
    <row r="310" spans="1:29" x14ac:dyDescent="0.35">
      <c r="A310" t="s">
        <v>46</v>
      </c>
      <c r="B310">
        <v>52046</v>
      </c>
      <c r="C310" t="s">
        <v>51</v>
      </c>
      <c r="D310">
        <v>55229</v>
      </c>
      <c r="E310" t="s">
        <v>362</v>
      </c>
      <c r="F310">
        <v>8688</v>
      </c>
      <c r="G310">
        <v>0.4802627308621279</v>
      </c>
      <c r="H310">
        <v>0</v>
      </c>
      <c r="I310">
        <v>0</v>
      </c>
      <c r="J310">
        <v>0.39944188617643911</v>
      </c>
      <c r="K310">
        <v>0</v>
      </c>
      <c r="L310">
        <v>0</v>
      </c>
      <c r="M310">
        <v>0.27818851732082028</v>
      </c>
      <c r="N310">
        <v>0</v>
      </c>
      <c r="O310">
        <v>0</v>
      </c>
      <c r="P310">
        <v>0.2306522906551487</v>
      </c>
      <c r="Q310">
        <v>1.3686167799722351</v>
      </c>
      <c r="R310">
        <v>4.0458443237237827</v>
      </c>
      <c r="S310">
        <v>0.32607723142053469</v>
      </c>
      <c r="T310">
        <v>0.23046699545483221</v>
      </c>
      <c r="U310">
        <v>4.4792475261279927</v>
      </c>
      <c r="V310">
        <v>0.13046113827175501</v>
      </c>
      <c r="W310">
        <v>10.176217649631679</v>
      </c>
      <c r="X310">
        <v>0.37177838607730679</v>
      </c>
      <c r="Z310" t="s">
        <v>392</v>
      </c>
      <c r="AA310">
        <v>9937</v>
      </c>
      <c r="AB310" t="s">
        <v>701</v>
      </c>
      <c r="AC310" t="str">
        <f>HYPERLINK("plots/20251231000436_3FT6Y121H01_04823_B11P_N_UFLEX98_M5358A8BH101511/dpll_52046/txpa_55229.png","plot")</f>
        <v>plot</v>
      </c>
    </row>
    <row r="311" spans="1:29" x14ac:dyDescent="0.35">
      <c r="A311" t="s">
        <v>46</v>
      </c>
      <c r="B311">
        <v>52046</v>
      </c>
      <c r="C311" t="s">
        <v>51</v>
      </c>
      <c r="D311">
        <v>55230</v>
      </c>
      <c r="E311" t="s">
        <v>363</v>
      </c>
      <c r="F311">
        <v>8684</v>
      </c>
      <c r="G311">
        <v>0.49633557631931458</v>
      </c>
      <c r="H311">
        <v>0</v>
      </c>
      <c r="I311">
        <v>0</v>
      </c>
      <c r="J311">
        <v>0.42428500155346122</v>
      </c>
      <c r="K311">
        <v>0</v>
      </c>
      <c r="L311">
        <v>0</v>
      </c>
      <c r="M311">
        <v>0.29897151528842719</v>
      </c>
      <c r="N311">
        <v>0</v>
      </c>
      <c r="O311">
        <v>0</v>
      </c>
      <c r="P311">
        <v>0.24634900432022611</v>
      </c>
      <c r="Q311">
        <v>1.3839390614786939</v>
      </c>
      <c r="R311">
        <v>3.9996493021728048</v>
      </c>
      <c r="S311">
        <v>0.31494825808289312</v>
      </c>
      <c r="T311">
        <v>0.2238783671633009</v>
      </c>
      <c r="U311">
        <v>4.4795047817825884</v>
      </c>
      <c r="V311">
        <v>0.1301180413271448</v>
      </c>
      <c r="W311">
        <v>10.199010945762319</v>
      </c>
      <c r="X311">
        <v>0.3628098580624094</v>
      </c>
      <c r="Z311" t="s">
        <v>392</v>
      </c>
      <c r="AA311">
        <v>9937</v>
      </c>
      <c r="AB311" t="s">
        <v>702</v>
      </c>
      <c r="AC311" t="str">
        <f>HYPERLINK("plots/20251231000436_3FT6Y121H01_04823_B11P_N_UFLEX98_M5358A8BH101511/dpll_52046/txpa_55230.png","plot")</f>
        <v>plot</v>
      </c>
    </row>
    <row r="312" spans="1:29" x14ac:dyDescent="0.35">
      <c r="A312" t="s">
        <v>46</v>
      </c>
      <c r="B312">
        <v>52046</v>
      </c>
      <c r="C312" t="s">
        <v>51</v>
      </c>
      <c r="D312">
        <v>55231</v>
      </c>
      <c r="E312" t="s">
        <v>364</v>
      </c>
      <c r="F312">
        <v>8692</v>
      </c>
      <c r="G312">
        <v>0.48935861744330139</v>
      </c>
      <c r="H312">
        <v>0</v>
      </c>
      <c r="I312">
        <v>0</v>
      </c>
      <c r="J312">
        <v>0.38725168322138631</v>
      </c>
      <c r="K312">
        <v>0</v>
      </c>
      <c r="L312">
        <v>0</v>
      </c>
      <c r="M312">
        <v>0.26868460673281369</v>
      </c>
      <c r="N312">
        <v>0</v>
      </c>
      <c r="O312">
        <v>0</v>
      </c>
      <c r="P312">
        <v>0.23947185646601951</v>
      </c>
      <c r="Q312">
        <v>1.3668157765935081</v>
      </c>
      <c r="R312">
        <v>4.0518241230014658</v>
      </c>
      <c r="S312">
        <v>0.3180664174483474</v>
      </c>
      <c r="T312">
        <v>0.22985641923178279</v>
      </c>
      <c r="U312">
        <v>4.4791863277726636</v>
      </c>
      <c r="V312">
        <v>0.1305877423250475</v>
      </c>
      <c r="W312">
        <v>10.174046662103081</v>
      </c>
      <c r="X312">
        <v>0.3647414801278801</v>
      </c>
      <c r="Z312" t="s">
        <v>392</v>
      </c>
      <c r="AA312">
        <v>9937</v>
      </c>
      <c r="AB312" t="s">
        <v>703</v>
      </c>
      <c r="AC312" t="str">
        <f>HYPERLINK("plots/20251231000436_3FT6Y121H01_04823_B11P_N_UFLEX98_M5358A8BH101511/dpll_52046/txpa_55231.png","plot")</f>
        <v>plot</v>
      </c>
    </row>
    <row r="313" spans="1:29" x14ac:dyDescent="0.35">
      <c r="A313" t="s">
        <v>46</v>
      </c>
      <c r="B313">
        <v>52046</v>
      </c>
      <c r="C313" t="s">
        <v>51</v>
      </c>
      <c r="D313">
        <v>55232</v>
      </c>
      <c r="E313" t="s">
        <v>365</v>
      </c>
      <c r="F313">
        <v>8687</v>
      </c>
      <c r="G313">
        <v>0.50612314273739689</v>
      </c>
      <c r="H313">
        <v>0</v>
      </c>
      <c r="I313">
        <v>0</v>
      </c>
      <c r="J313">
        <v>0.43471136856797471</v>
      </c>
      <c r="K313">
        <v>0</v>
      </c>
      <c r="L313">
        <v>0</v>
      </c>
      <c r="M313">
        <v>0.3062200483903188</v>
      </c>
      <c r="N313">
        <v>0</v>
      </c>
      <c r="O313">
        <v>0</v>
      </c>
      <c r="P313">
        <v>0.25616063561437941</v>
      </c>
      <c r="Q313">
        <v>1.3579005406701661</v>
      </c>
      <c r="R313">
        <v>4.1160963215319706</v>
      </c>
      <c r="S313">
        <v>0.30108000998129208</v>
      </c>
      <c r="T313">
        <v>0.21015402903051711</v>
      </c>
      <c r="U313">
        <v>4.4795047911822268</v>
      </c>
      <c r="V313">
        <v>0.13012345199525541</v>
      </c>
      <c r="W313">
        <v>10.19881829941292</v>
      </c>
      <c r="X313">
        <v>0.34911406117997712</v>
      </c>
      <c r="Z313" t="s">
        <v>392</v>
      </c>
      <c r="AA313">
        <v>9937</v>
      </c>
      <c r="AB313" t="s">
        <v>704</v>
      </c>
      <c r="AC313" t="str">
        <f>HYPERLINK("plots/20251231000436_3FT6Y121H01_04823_B11P_N_UFLEX98_M5358A8BH101511/dpll_52046/txpa_55232.png","plot")</f>
        <v>plot</v>
      </c>
    </row>
    <row r="314" spans="1:29" x14ac:dyDescent="0.35">
      <c r="A314" t="s">
        <v>46</v>
      </c>
      <c r="B314">
        <v>52046</v>
      </c>
      <c r="C314" t="s">
        <v>51</v>
      </c>
      <c r="D314">
        <v>55233</v>
      </c>
      <c r="E314" t="s">
        <v>366</v>
      </c>
      <c r="F314">
        <v>8686</v>
      </c>
      <c r="G314">
        <v>0.50395019784583517</v>
      </c>
      <c r="H314">
        <v>0</v>
      </c>
      <c r="I314">
        <v>0</v>
      </c>
      <c r="J314">
        <v>0.41131675664896711</v>
      </c>
      <c r="K314">
        <v>0</v>
      </c>
      <c r="L314">
        <v>0</v>
      </c>
      <c r="M314">
        <v>0.2861637479517859</v>
      </c>
      <c r="N314">
        <v>0</v>
      </c>
      <c r="O314">
        <v>0</v>
      </c>
      <c r="P314">
        <v>0.25396580190885643</v>
      </c>
      <c r="Q314">
        <v>1.3362473560337511</v>
      </c>
      <c r="R314">
        <v>4.1924848314070147</v>
      </c>
      <c r="S314">
        <v>0.29788237826213859</v>
      </c>
      <c r="T314">
        <v>0.2096823740762018</v>
      </c>
      <c r="U314">
        <v>4.4795453448077369</v>
      </c>
      <c r="V314">
        <v>0.13007421297663191</v>
      </c>
      <c r="W314">
        <v>10.17826545463965</v>
      </c>
      <c r="X314">
        <v>0.34489781712788731</v>
      </c>
      <c r="Z314" t="s">
        <v>392</v>
      </c>
      <c r="AA314">
        <v>9937</v>
      </c>
      <c r="AB314" t="s">
        <v>705</v>
      </c>
      <c r="AC314" t="str">
        <f>HYPERLINK("plots/20251231000436_3FT6Y121H01_04823_B11P_N_UFLEX98_M5358A8BH101511/dpll_52046/txpa_55233.png","plot")</f>
        <v>plot</v>
      </c>
    </row>
    <row r="315" spans="1:29" x14ac:dyDescent="0.35">
      <c r="A315" t="s">
        <v>46</v>
      </c>
      <c r="B315">
        <v>52046</v>
      </c>
      <c r="C315" t="s">
        <v>51</v>
      </c>
      <c r="D315">
        <v>55234</v>
      </c>
      <c r="E315" t="s">
        <v>367</v>
      </c>
      <c r="F315">
        <v>8663</v>
      </c>
      <c r="G315">
        <v>0.46444062814574327</v>
      </c>
      <c r="H315">
        <v>0</v>
      </c>
      <c r="I315">
        <v>0</v>
      </c>
      <c r="J315">
        <v>0.3924464319455781</v>
      </c>
      <c r="K315">
        <v>0</v>
      </c>
      <c r="L315">
        <v>0</v>
      </c>
      <c r="M315">
        <v>0.27514406431841282</v>
      </c>
      <c r="N315">
        <v>0</v>
      </c>
      <c r="O315">
        <v>0</v>
      </c>
      <c r="P315">
        <v>0.21570509707241259</v>
      </c>
      <c r="Q315">
        <v>1.331787158831194</v>
      </c>
      <c r="R315">
        <v>4.4165413238382856</v>
      </c>
      <c r="S315">
        <v>0.32475542134714902</v>
      </c>
      <c r="T315">
        <v>0.23320655807092849</v>
      </c>
      <c r="U315">
        <v>4.4808041529493252</v>
      </c>
      <c r="V315">
        <v>0.12789016911404119</v>
      </c>
      <c r="W315">
        <v>10.384018755973679</v>
      </c>
      <c r="X315">
        <v>0.36672606711181599</v>
      </c>
      <c r="Z315" t="s">
        <v>392</v>
      </c>
      <c r="AA315">
        <v>9937</v>
      </c>
      <c r="AB315" t="s">
        <v>706</v>
      </c>
      <c r="AC315" t="str">
        <f>HYPERLINK("plots/20251231000436_3FT6Y121H01_04823_B11P_N_UFLEX98_M5358A8BH101511/dpll_52046/txpa_55234.png","plot")</f>
        <v>plot</v>
      </c>
    </row>
    <row r="316" spans="1:29" x14ac:dyDescent="0.35">
      <c r="A316" t="s">
        <v>46</v>
      </c>
      <c r="B316">
        <v>52046</v>
      </c>
      <c r="C316" t="s">
        <v>51</v>
      </c>
      <c r="D316">
        <v>55235</v>
      </c>
      <c r="E316" t="s">
        <v>368</v>
      </c>
      <c r="F316">
        <v>8658</v>
      </c>
      <c r="G316">
        <v>0.44346473130258512</v>
      </c>
      <c r="H316">
        <v>0</v>
      </c>
      <c r="I316">
        <v>0</v>
      </c>
      <c r="J316">
        <v>0.40589768367597923</v>
      </c>
      <c r="K316">
        <v>0</v>
      </c>
      <c r="L316">
        <v>0</v>
      </c>
      <c r="M316">
        <v>0.28555969767102451</v>
      </c>
      <c r="N316">
        <v>0</v>
      </c>
      <c r="O316">
        <v>0</v>
      </c>
      <c r="P316">
        <v>0.19666096790927401</v>
      </c>
      <c r="Q316">
        <v>1.3794748828773249</v>
      </c>
      <c r="R316">
        <v>4.4616073917457379</v>
      </c>
      <c r="S316">
        <v>0.35786056374484082</v>
      </c>
      <c r="T316">
        <v>0.24914055432649329</v>
      </c>
      <c r="U316">
        <v>4.480565102679603</v>
      </c>
      <c r="V316">
        <v>0.12836149842391459</v>
      </c>
      <c r="W316">
        <v>10.64243441198891</v>
      </c>
      <c r="X316">
        <v>0.39929097063520058</v>
      </c>
      <c r="Z316" t="s">
        <v>392</v>
      </c>
      <c r="AA316">
        <v>9937</v>
      </c>
      <c r="AB316" t="s">
        <v>707</v>
      </c>
      <c r="AC316" t="str">
        <f>HYPERLINK("plots/20251231000436_3FT6Y121H01_04823_B11P_N_UFLEX98_M5358A8BH101511/dpll_52046/txpa_55235.png","plot")</f>
        <v>plot</v>
      </c>
    </row>
    <row r="317" spans="1:29" x14ac:dyDescent="0.35">
      <c r="A317" t="s">
        <v>46</v>
      </c>
      <c r="B317">
        <v>52046</v>
      </c>
      <c r="C317" t="s">
        <v>51</v>
      </c>
      <c r="D317">
        <v>55236</v>
      </c>
      <c r="E317" t="s">
        <v>369</v>
      </c>
      <c r="F317">
        <v>8675</v>
      </c>
      <c r="G317">
        <v>0.48883391461592479</v>
      </c>
      <c r="H317">
        <v>0</v>
      </c>
      <c r="I317">
        <v>0</v>
      </c>
      <c r="J317">
        <v>0.44338521278355247</v>
      </c>
      <c r="K317">
        <v>0</v>
      </c>
      <c r="L317">
        <v>0</v>
      </c>
      <c r="M317">
        <v>0.31302201886536252</v>
      </c>
      <c r="N317">
        <v>0</v>
      </c>
      <c r="O317">
        <v>0</v>
      </c>
      <c r="P317">
        <v>0.23895859607872921</v>
      </c>
      <c r="Q317">
        <v>1.354344265141024</v>
      </c>
      <c r="R317">
        <v>4.4447947680071884</v>
      </c>
      <c r="S317">
        <v>0.31327222197061128</v>
      </c>
      <c r="T317">
        <v>0.21465588557195281</v>
      </c>
      <c r="U317">
        <v>4.4797448568299707</v>
      </c>
      <c r="V317">
        <v>0.12962090035020549</v>
      </c>
      <c r="W317">
        <v>10.511911524149861</v>
      </c>
      <c r="X317">
        <v>0.35912263405383221</v>
      </c>
      <c r="Z317" t="s">
        <v>392</v>
      </c>
      <c r="AA317">
        <v>9937</v>
      </c>
      <c r="AB317" t="s">
        <v>708</v>
      </c>
      <c r="AC317" t="str">
        <f>HYPERLINK("plots/20251231000436_3FT6Y121H01_04823_B11P_N_UFLEX98_M5358A8BH101511/dpll_52046/txpa_55236.png","plot")</f>
        <v>plot</v>
      </c>
    </row>
    <row r="318" spans="1:29" x14ac:dyDescent="0.35">
      <c r="A318" t="s">
        <v>46</v>
      </c>
      <c r="B318">
        <v>52046</v>
      </c>
      <c r="C318" t="s">
        <v>51</v>
      </c>
      <c r="D318">
        <v>55237</v>
      </c>
      <c r="E318" t="s">
        <v>370</v>
      </c>
      <c r="F318">
        <v>8682</v>
      </c>
      <c r="G318">
        <v>0.48086573471932592</v>
      </c>
      <c r="H318">
        <v>0</v>
      </c>
      <c r="I318">
        <v>0</v>
      </c>
      <c r="J318">
        <v>0.41262868929523627</v>
      </c>
      <c r="K318">
        <v>0</v>
      </c>
      <c r="L318">
        <v>0</v>
      </c>
      <c r="M318">
        <v>0.288828890374836</v>
      </c>
      <c r="N318">
        <v>0</v>
      </c>
      <c r="O318">
        <v>0</v>
      </c>
      <c r="P318">
        <v>0.23123185482715711</v>
      </c>
      <c r="Q318">
        <v>1.4125188900370249</v>
      </c>
      <c r="R318">
        <v>4.1755466012454594</v>
      </c>
      <c r="S318">
        <v>0.33487313481146419</v>
      </c>
      <c r="T318">
        <v>0.23308242809114019</v>
      </c>
      <c r="U318">
        <v>4.4795374876756506</v>
      </c>
      <c r="V318">
        <v>0.130028094291603</v>
      </c>
      <c r="W318">
        <v>10.50297792121631</v>
      </c>
      <c r="X318">
        <v>0.38195098165937819</v>
      </c>
      <c r="Z318" t="s">
        <v>392</v>
      </c>
      <c r="AA318">
        <v>9937</v>
      </c>
      <c r="AB318" t="s">
        <v>709</v>
      </c>
      <c r="AC318" t="str">
        <f>HYPERLINK("plots/20251231000436_3FT6Y121H01_04823_B11P_N_UFLEX98_M5358A8BH101511/dpll_52046/txpa_55237.png","plot")</f>
        <v>plot</v>
      </c>
    </row>
    <row r="319" spans="1:29" x14ac:dyDescent="0.35">
      <c r="A319" t="s">
        <v>46</v>
      </c>
      <c r="B319">
        <v>52046</v>
      </c>
      <c r="C319" t="s">
        <v>51</v>
      </c>
      <c r="D319">
        <v>55238</v>
      </c>
      <c r="E319" t="s">
        <v>371</v>
      </c>
      <c r="F319">
        <v>8682</v>
      </c>
      <c r="G319">
        <v>0.49871758485233902</v>
      </c>
      <c r="H319">
        <v>0</v>
      </c>
      <c r="I319">
        <v>0</v>
      </c>
      <c r="J319">
        <v>0.43489478767851281</v>
      </c>
      <c r="K319">
        <v>0</v>
      </c>
      <c r="L319">
        <v>0</v>
      </c>
      <c r="M319">
        <v>0.30779164064956832</v>
      </c>
      <c r="N319">
        <v>0</v>
      </c>
      <c r="O319">
        <v>0</v>
      </c>
      <c r="P319">
        <v>0.24871922944095001</v>
      </c>
      <c r="Q319">
        <v>1.4384605925855281</v>
      </c>
      <c r="R319">
        <v>4.0814508045069067</v>
      </c>
      <c r="S319">
        <v>0.32501413747181168</v>
      </c>
      <c r="T319">
        <v>0.22718828466673899</v>
      </c>
      <c r="U319">
        <v>4.4795460095600088</v>
      </c>
      <c r="V319">
        <v>0.13001182111010559</v>
      </c>
      <c r="W319">
        <v>10.52510121193273</v>
      </c>
      <c r="X319">
        <v>0.37499556245352428</v>
      </c>
      <c r="Z319" t="s">
        <v>392</v>
      </c>
      <c r="AA319">
        <v>9937</v>
      </c>
      <c r="AB319" t="s">
        <v>710</v>
      </c>
      <c r="AC319" t="str">
        <f>HYPERLINK("plots/20251231000436_3FT6Y121H01_04823_B11P_N_UFLEX98_M5358A8BH101511/dpll_52046/txpa_55238.png","plot")</f>
        <v>plot</v>
      </c>
    </row>
    <row r="320" spans="1:29" x14ac:dyDescent="0.35">
      <c r="A320" t="s">
        <v>46</v>
      </c>
      <c r="B320">
        <v>52046</v>
      </c>
      <c r="C320" t="s">
        <v>51</v>
      </c>
      <c r="D320">
        <v>55239</v>
      </c>
      <c r="E320" t="s">
        <v>372</v>
      </c>
      <c r="F320">
        <v>8686</v>
      </c>
      <c r="G320">
        <v>0.49195315531725281</v>
      </c>
      <c r="H320">
        <v>0</v>
      </c>
      <c r="I320">
        <v>0</v>
      </c>
      <c r="J320">
        <v>0.40228371147153502</v>
      </c>
      <c r="K320">
        <v>0</v>
      </c>
      <c r="L320">
        <v>0</v>
      </c>
      <c r="M320">
        <v>0.28056389668198328</v>
      </c>
      <c r="N320">
        <v>0</v>
      </c>
      <c r="O320">
        <v>0</v>
      </c>
      <c r="P320">
        <v>0.242017907026601</v>
      </c>
      <c r="Q320">
        <v>1.412177562231248</v>
      </c>
      <c r="R320">
        <v>4.1837594028401837</v>
      </c>
      <c r="S320">
        <v>0.32511479988716718</v>
      </c>
      <c r="T320">
        <v>0.2315433280386322</v>
      </c>
      <c r="U320">
        <v>4.4794921007368176</v>
      </c>
      <c r="V320">
        <v>0.13009682919697041</v>
      </c>
      <c r="W320">
        <v>10.50959763769284</v>
      </c>
      <c r="X320">
        <v>0.37344983180545882</v>
      </c>
      <c r="Z320" t="s">
        <v>392</v>
      </c>
      <c r="AA320">
        <v>9937</v>
      </c>
      <c r="AB320" t="s">
        <v>711</v>
      </c>
      <c r="AC320" t="str">
        <f>HYPERLINK("plots/20251231000436_3FT6Y121H01_04823_B11P_N_UFLEX98_M5358A8BH101511/dpll_52046/txpa_55239.png","plot")</f>
        <v>plot</v>
      </c>
    </row>
    <row r="321" spans="1:29" x14ac:dyDescent="0.35">
      <c r="A321" t="s">
        <v>46</v>
      </c>
      <c r="B321">
        <v>52046</v>
      </c>
      <c r="C321" t="s">
        <v>51</v>
      </c>
      <c r="D321">
        <v>55240</v>
      </c>
      <c r="E321" t="s">
        <v>373</v>
      </c>
      <c r="F321">
        <v>8687</v>
      </c>
      <c r="G321">
        <v>0.50451135723297402</v>
      </c>
      <c r="H321">
        <v>0</v>
      </c>
      <c r="I321">
        <v>0</v>
      </c>
      <c r="J321">
        <v>0.43834436793080372</v>
      </c>
      <c r="K321">
        <v>0</v>
      </c>
      <c r="L321">
        <v>0</v>
      </c>
      <c r="M321">
        <v>0.30983363848293521</v>
      </c>
      <c r="N321">
        <v>0</v>
      </c>
      <c r="O321">
        <v>0</v>
      </c>
      <c r="P321">
        <v>0.25453170957705751</v>
      </c>
      <c r="Q321">
        <v>1.419109594091081</v>
      </c>
      <c r="R321">
        <v>4.1558807059085332</v>
      </c>
      <c r="S321">
        <v>0.31600223486959439</v>
      </c>
      <c r="T321">
        <v>0.21906410837919141</v>
      </c>
      <c r="U321">
        <v>4.4795047911822268</v>
      </c>
      <c r="V321">
        <v>0.13012345199525541</v>
      </c>
      <c r="W321">
        <v>10.512788931852191</v>
      </c>
      <c r="X321">
        <v>0.36601641666798967</v>
      </c>
      <c r="Z321" t="s">
        <v>392</v>
      </c>
      <c r="AA321">
        <v>9937</v>
      </c>
      <c r="AB321" t="s">
        <v>712</v>
      </c>
      <c r="AC321" t="str">
        <f>HYPERLINK("plots/20251231000436_3FT6Y121H01_04823_B11P_N_UFLEX98_M5358A8BH101511/dpll_52046/txpa_55240.png","plot")</f>
        <v>plot</v>
      </c>
    </row>
    <row r="322" spans="1:29" x14ac:dyDescent="0.35">
      <c r="A322" t="s">
        <v>46</v>
      </c>
      <c r="B322">
        <v>52046</v>
      </c>
      <c r="C322" t="s">
        <v>51</v>
      </c>
      <c r="D322">
        <v>55241</v>
      </c>
      <c r="E322" t="s">
        <v>374</v>
      </c>
      <c r="F322">
        <v>8678</v>
      </c>
      <c r="G322">
        <v>0.50027377726686317</v>
      </c>
      <c r="H322">
        <v>0</v>
      </c>
      <c r="I322">
        <v>0</v>
      </c>
      <c r="J322">
        <v>0.42139160091486172</v>
      </c>
      <c r="K322">
        <v>0</v>
      </c>
      <c r="L322">
        <v>0</v>
      </c>
      <c r="M322">
        <v>0.29473977278157393</v>
      </c>
      <c r="N322">
        <v>0</v>
      </c>
      <c r="O322">
        <v>0</v>
      </c>
      <c r="P322">
        <v>0.25027385222085502</v>
      </c>
      <c r="Q322">
        <v>1.378308967303369</v>
      </c>
      <c r="R322">
        <v>4.337626102419283</v>
      </c>
      <c r="S322">
        <v>0.30868217040135998</v>
      </c>
      <c r="T322">
        <v>0.21414345120166181</v>
      </c>
      <c r="U322">
        <v>4.4799535579626646</v>
      </c>
      <c r="V322">
        <v>0.12940361174539641</v>
      </c>
      <c r="W322">
        <v>10.51238626446186</v>
      </c>
      <c r="X322">
        <v>0.35652110219437128</v>
      </c>
      <c r="Z322" t="s">
        <v>392</v>
      </c>
      <c r="AA322">
        <v>9937</v>
      </c>
      <c r="AB322" t="s">
        <v>713</v>
      </c>
      <c r="AC322" t="str">
        <f>HYPERLINK("plots/20251231000436_3FT6Y121H01_04823_B11P_N_UFLEX98_M5358A8BH101511/dpll_52046/txpa_55241.png","plot")</f>
        <v>plot</v>
      </c>
    </row>
    <row r="323" spans="1:29" x14ac:dyDescent="0.35">
      <c r="A323" t="s">
        <v>46</v>
      </c>
      <c r="B323">
        <v>52046</v>
      </c>
      <c r="C323" t="s">
        <v>51</v>
      </c>
      <c r="D323">
        <v>55242</v>
      </c>
      <c r="E323" t="s">
        <v>375</v>
      </c>
      <c r="F323">
        <v>8665</v>
      </c>
      <c r="G323">
        <v>0.46826487388819799</v>
      </c>
      <c r="H323">
        <v>0</v>
      </c>
      <c r="I323">
        <v>0</v>
      </c>
      <c r="J323">
        <v>0.39727296709381982</v>
      </c>
      <c r="K323">
        <v>0</v>
      </c>
      <c r="L323">
        <v>0</v>
      </c>
      <c r="M323">
        <v>0.27862140958641712</v>
      </c>
      <c r="N323">
        <v>0</v>
      </c>
      <c r="O323">
        <v>0</v>
      </c>
      <c r="P323">
        <v>0.21927199211753001</v>
      </c>
      <c r="Q323">
        <v>1.4030112760624189</v>
      </c>
      <c r="R323">
        <v>4.4145139792557364</v>
      </c>
      <c r="S323">
        <v>0.33904792575226061</v>
      </c>
      <c r="T323">
        <v>0.24220347470693879</v>
      </c>
      <c r="U323">
        <v>4.4806957816503168</v>
      </c>
      <c r="V323">
        <v>0.1280756867733103</v>
      </c>
      <c r="W323">
        <v>10.70098068551644</v>
      </c>
      <c r="X323">
        <v>0.3837392953273186</v>
      </c>
      <c r="Z323" t="s">
        <v>392</v>
      </c>
      <c r="AA323">
        <v>9937</v>
      </c>
      <c r="AB323" t="s">
        <v>714</v>
      </c>
      <c r="AC323" t="str">
        <f>HYPERLINK("plots/20251231000436_3FT6Y121H01_04823_B11P_N_UFLEX98_M5358A8BH101511/dpll_52046/txpa_55242.png","plot")</f>
        <v>plot</v>
      </c>
    </row>
    <row r="324" spans="1:29" x14ac:dyDescent="0.35">
      <c r="A324" t="s">
        <v>46</v>
      </c>
      <c r="B324">
        <v>52046</v>
      </c>
      <c r="C324" t="s">
        <v>51</v>
      </c>
      <c r="D324">
        <v>55243</v>
      </c>
      <c r="E324" t="s">
        <v>376</v>
      </c>
      <c r="F324">
        <v>8693</v>
      </c>
      <c r="G324">
        <v>0.46197662668155598</v>
      </c>
      <c r="H324">
        <v>0</v>
      </c>
      <c r="I324">
        <v>0</v>
      </c>
      <c r="J324">
        <v>0.39461989262818797</v>
      </c>
      <c r="K324">
        <v>0</v>
      </c>
      <c r="L324">
        <v>0</v>
      </c>
      <c r="M324">
        <v>0.27751136419828382</v>
      </c>
      <c r="N324">
        <v>0</v>
      </c>
      <c r="O324">
        <v>0</v>
      </c>
      <c r="P324">
        <v>0.21342240360006981</v>
      </c>
      <c r="Q324">
        <v>1.678795058101634</v>
      </c>
      <c r="R324">
        <v>3.9126150355105329</v>
      </c>
      <c r="S324">
        <v>0.42091970213045171</v>
      </c>
      <c r="T324">
        <v>0.29755313391124699</v>
      </c>
      <c r="U324">
        <v>4.4791656661681811</v>
      </c>
      <c r="V324">
        <v>0.13060980178728751</v>
      </c>
      <c r="W324">
        <v>11.43221622029219</v>
      </c>
      <c r="X324">
        <v>0.47462810262752692</v>
      </c>
      <c r="Z324" t="s">
        <v>392</v>
      </c>
      <c r="AA324">
        <v>9937</v>
      </c>
      <c r="AB324" t="s">
        <v>715</v>
      </c>
      <c r="AC324" t="str">
        <f>HYPERLINK("plots/20251231000436_3FT6Y121H01_04823_B11P_N_UFLEX98_M5358A8BH101511/dpll_52046/txpa_55243.png","plot")</f>
        <v>plot</v>
      </c>
    </row>
    <row r="325" spans="1:29" x14ac:dyDescent="0.35">
      <c r="A325" t="s">
        <v>46</v>
      </c>
      <c r="B325">
        <v>52046</v>
      </c>
      <c r="C325" t="s">
        <v>51</v>
      </c>
      <c r="D325">
        <v>55244</v>
      </c>
      <c r="E325" t="s">
        <v>377</v>
      </c>
      <c r="F325">
        <v>8672</v>
      </c>
      <c r="G325">
        <v>0.4862552428361071</v>
      </c>
      <c r="H325">
        <v>0</v>
      </c>
      <c r="I325">
        <v>0</v>
      </c>
      <c r="J325">
        <v>0.45213696979171569</v>
      </c>
      <c r="K325">
        <v>0</v>
      </c>
      <c r="L325">
        <v>0</v>
      </c>
      <c r="M325">
        <v>0.32256474131853469</v>
      </c>
      <c r="N325">
        <v>0</v>
      </c>
      <c r="O325">
        <v>0</v>
      </c>
      <c r="P325">
        <v>0.23644416118560149</v>
      </c>
      <c r="Q325">
        <v>1.542398251346341</v>
      </c>
      <c r="R325">
        <v>4.5286708014494756</v>
      </c>
      <c r="S325">
        <v>0.35834698479676441</v>
      </c>
      <c r="T325">
        <v>0.24352131901621449</v>
      </c>
      <c r="U325">
        <v>4.4799202834409604</v>
      </c>
      <c r="V325">
        <v>0.12929334386068511</v>
      </c>
      <c r="W325">
        <v>11.43849201279982</v>
      </c>
      <c r="X325">
        <v>0.41011758828203948</v>
      </c>
      <c r="Z325" t="s">
        <v>392</v>
      </c>
      <c r="AA325">
        <v>9937</v>
      </c>
      <c r="AB325" t="s">
        <v>716</v>
      </c>
      <c r="AC325" t="str">
        <f>HYPERLINK("plots/20251231000436_3FT6Y121H01_04823_B11P_N_UFLEX98_M5358A8BH101511/dpll_52046/txpa_55244.png","plot")</f>
        <v>plot</v>
      </c>
    </row>
    <row r="326" spans="1:29" x14ac:dyDescent="0.35">
      <c r="A326" t="s">
        <v>46</v>
      </c>
      <c r="B326">
        <v>52046</v>
      </c>
      <c r="C326" t="s">
        <v>51</v>
      </c>
      <c r="D326">
        <v>55245</v>
      </c>
      <c r="E326" t="s">
        <v>378</v>
      </c>
      <c r="F326">
        <v>8680</v>
      </c>
      <c r="G326">
        <v>0.47324751402956128</v>
      </c>
      <c r="H326">
        <v>0</v>
      </c>
      <c r="I326">
        <v>0</v>
      </c>
      <c r="J326">
        <v>0.41695078442867228</v>
      </c>
      <c r="K326">
        <v>0</v>
      </c>
      <c r="L326">
        <v>0</v>
      </c>
      <c r="M326">
        <v>0.29433725488263918</v>
      </c>
      <c r="N326">
        <v>0</v>
      </c>
      <c r="O326">
        <v>0</v>
      </c>
      <c r="P326">
        <v>0.2239632095351598</v>
      </c>
      <c r="Q326">
        <v>1.5823112322697259</v>
      </c>
      <c r="R326">
        <v>4.2805405430189261</v>
      </c>
      <c r="S326">
        <v>0.38155364399128261</v>
      </c>
      <c r="T326">
        <v>0.26554028705829119</v>
      </c>
      <c r="U326">
        <v>4.4798139172811053</v>
      </c>
      <c r="V326">
        <v>0.12954954704860511</v>
      </c>
      <c r="W326">
        <v>11.369000422811061</v>
      </c>
      <c r="X326">
        <v>0.43315114681755851</v>
      </c>
      <c r="Z326" t="s">
        <v>392</v>
      </c>
      <c r="AA326">
        <v>9937</v>
      </c>
      <c r="AB326" t="s">
        <v>717</v>
      </c>
      <c r="AC326" t="str">
        <f>HYPERLINK("plots/20251231000436_3FT6Y121H01_04823_B11P_N_UFLEX98_M5358A8BH101511/dpll_52046/txpa_55245.png","plot")</f>
        <v>plot</v>
      </c>
    </row>
    <row r="327" spans="1:29" x14ac:dyDescent="0.35">
      <c r="A327" t="s">
        <v>46</v>
      </c>
      <c r="B327">
        <v>52046</v>
      </c>
      <c r="C327" t="s">
        <v>51</v>
      </c>
      <c r="D327">
        <v>55246</v>
      </c>
      <c r="E327" t="s">
        <v>379</v>
      </c>
      <c r="F327">
        <v>8685</v>
      </c>
      <c r="G327">
        <v>0.49742014203326612</v>
      </c>
      <c r="H327">
        <v>0</v>
      </c>
      <c r="I327">
        <v>0</v>
      </c>
      <c r="J327">
        <v>0.44437358726270049</v>
      </c>
      <c r="K327">
        <v>0</v>
      </c>
      <c r="L327">
        <v>0</v>
      </c>
      <c r="M327">
        <v>0.3166047591589507</v>
      </c>
      <c r="N327">
        <v>0</v>
      </c>
      <c r="O327">
        <v>0</v>
      </c>
      <c r="P327">
        <v>0.24742679770039461</v>
      </c>
      <c r="Q327">
        <v>1.6205558579265471</v>
      </c>
      <c r="R327">
        <v>4.1276913971038587</v>
      </c>
      <c r="S327">
        <v>0.36755204368601357</v>
      </c>
      <c r="T327">
        <v>0.25207367246654327</v>
      </c>
      <c r="U327">
        <v>4.479531629130685</v>
      </c>
      <c r="V327">
        <v>0.13005553294194649</v>
      </c>
      <c r="W327">
        <v>11.38702261945884</v>
      </c>
      <c r="X327">
        <v>0.4237107385786863</v>
      </c>
      <c r="Z327" t="s">
        <v>392</v>
      </c>
      <c r="AA327">
        <v>9937</v>
      </c>
      <c r="AB327" t="s">
        <v>718</v>
      </c>
      <c r="AC327" t="str">
        <f>HYPERLINK("plots/20251231000436_3FT6Y121H01_04823_B11P_N_UFLEX98_M5358A8BH101511/dpll_52046/txpa_55246.png","plot")</f>
        <v>plot</v>
      </c>
    </row>
    <row r="328" spans="1:29" x14ac:dyDescent="0.35">
      <c r="A328" t="s">
        <v>46</v>
      </c>
      <c r="B328">
        <v>52046</v>
      </c>
      <c r="C328" t="s">
        <v>51</v>
      </c>
      <c r="D328">
        <v>55247</v>
      </c>
      <c r="E328" t="s">
        <v>380</v>
      </c>
      <c r="F328">
        <v>8682</v>
      </c>
      <c r="G328">
        <v>0.4985051981066963</v>
      </c>
      <c r="H328">
        <v>0</v>
      </c>
      <c r="I328">
        <v>0</v>
      </c>
      <c r="J328">
        <v>0.42870920754406588</v>
      </c>
      <c r="K328">
        <v>0</v>
      </c>
      <c r="L328">
        <v>0</v>
      </c>
      <c r="M328">
        <v>0.3023718341944211</v>
      </c>
      <c r="N328">
        <v>0</v>
      </c>
      <c r="O328">
        <v>0</v>
      </c>
      <c r="P328">
        <v>0.2485074325393965</v>
      </c>
      <c r="Q328">
        <v>1.599972480415143</v>
      </c>
      <c r="R328">
        <v>4.2377316151913851</v>
      </c>
      <c r="S328">
        <v>0.36083905860690368</v>
      </c>
      <c r="T328">
        <v>0.25163019963188948</v>
      </c>
      <c r="U328">
        <v>4.4797176164478234</v>
      </c>
      <c r="V328">
        <v>0.12969803231833851</v>
      </c>
      <c r="W328">
        <v>11.405156521538821</v>
      </c>
      <c r="X328">
        <v>0.41627105045536722</v>
      </c>
      <c r="Z328" t="s">
        <v>392</v>
      </c>
      <c r="AA328">
        <v>9937</v>
      </c>
      <c r="AB328" t="s">
        <v>719</v>
      </c>
      <c r="AC328" t="str">
        <f>HYPERLINK("plots/20251231000436_3FT6Y121H01_04823_B11P_N_UFLEX98_M5358A8BH101511/dpll_52046/txpa_55247.png","plot")</f>
        <v>plot</v>
      </c>
    </row>
    <row r="329" spans="1:29" x14ac:dyDescent="0.35">
      <c r="A329" t="s">
        <v>46</v>
      </c>
      <c r="B329">
        <v>52046</v>
      </c>
      <c r="C329" t="s">
        <v>51</v>
      </c>
      <c r="D329">
        <v>55248</v>
      </c>
      <c r="E329" t="s">
        <v>381</v>
      </c>
      <c r="F329">
        <v>8689</v>
      </c>
      <c r="G329">
        <v>0.50078150979694791</v>
      </c>
      <c r="H329">
        <v>0</v>
      </c>
      <c r="I329">
        <v>0</v>
      </c>
      <c r="J329">
        <v>0.43420902532777139</v>
      </c>
      <c r="K329">
        <v>0</v>
      </c>
      <c r="L329">
        <v>0</v>
      </c>
      <c r="M329">
        <v>0.3078479309162957</v>
      </c>
      <c r="N329">
        <v>0</v>
      </c>
      <c r="O329">
        <v>0</v>
      </c>
      <c r="P329">
        <v>0.25078212055451071</v>
      </c>
      <c r="Q329">
        <v>1.613385118405593</v>
      </c>
      <c r="R329">
        <v>4.1126864735510926</v>
      </c>
      <c r="S329">
        <v>0.36321596578151588</v>
      </c>
      <c r="T329">
        <v>0.25265949507935881</v>
      </c>
      <c r="U329">
        <v>4.4794139630567376</v>
      </c>
      <c r="V329">
        <v>0.13025550736773139</v>
      </c>
      <c r="W329">
        <v>11.33970630072505</v>
      </c>
      <c r="X329">
        <v>0.41964867525296312</v>
      </c>
      <c r="Z329" t="s">
        <v>392</v>
      </c>
      <c r="AA329">
        <v>9937</v>
      </c>
      <c r="AB329" t="s">
        <v>720</v>
      </c>
      <c r="AC329" t="str">
        <f>HYPERLINK("plots/20251231000436_3FT6Y121H01_04823_B11P_N_UFLEX98_M5358A8BH101511/dpll_52046/txpa_55248.png","plot")</f>
        <v>plot</v>
      </c>
    </row>
    <row r="330" spans="1:29" x14ac:dyDescent="0.35">
      <c r="A330" t="s">
        <v>46</v>
      </c>
      <c r="B330">
        <v>52046</v>
      </c>
      <c r="C330" t="s">
        <v>51</v>
      </c>
      <c r="D330">
        <v>55249</v>
      </c>
      <c r="E330" t="s">
        <v>382</v>
      </c>
      <c r="F330">
        <v>8673</v>
      </c>
      <c r="G330">
        <v>0.49555479138441089</v>
      </c>
      <c r="H330">
        <v>0</v>
      </c>
      <c r="I330">
        <v>0</v>
      </c>
      <c r="J330">
        <v>0.42987286950154768</v>
      </c>
      <c r="K330">
        <v>0</v>
      </c>
      <c r="L330">
        <v>0</v>
      </c>
      <c r="M330">
        <v>0.30397196291131789</v>
      </c>
      <c r="N330">
        <v>0</v>
      </c>
      <c r="O330">
        <v>0</v>
      </c>
      <c r="P330">
        <v>0.24557455126404701</v>
      </c>
      <c r="Q330">
        <v>1.562763573927878</v>
      </c>
      <c r="R330">
        <v>4.4002815019973722</v>
      </c>
      <c r="S330">
        <v>0.35346699298098222</v>
      </c>
      <c r="T330">
        <v>0.2445818569089632</v>
      </c>
      <c r="U330">
        <v>4.4801905547100196</v>
      </c>
      <c r="V330">
        <v>0.1290518214813656</v>
      </c>
      <c r="W330">
        <v>11.401760105153921</v>
      </c>
      <c r="X330">
        <v>0.40697313246977851</v>
      </c>
      <c r="Z330" t="s">
        <v>392</v>
      </c>
      <c r="AA330">
        <v>9937</v>
      </c>
      <c r="AB330" t="s">
        <v>721</v>
      </c>
      <c r="AC330" t="str">
        <f>HYPERLINK("plots/20251231000436_3FT6Y121H01_04823_B11P_N_UFLEX98_M5358A8BH101511/dpll_52046/txpa_55249.png","plot")</f>
        <v>plot</v>
      </c>
    </row>
    <row r="331" spans="1:29" x14ac:dyDescent="0.35">
      <c r="A331" t="s">
        <v>46</v>
      </c>
      <c r="B331">
        <v>52046</v>
      </c>
      <c r="C331" t="s">
        <v>51</v>
      </c>
      <c r="D331">
        <v>55250</v>
      </c>
      <c r="E331" t="s">
        <v>383</v>
      </c>
      <c r="F331">
        <v>8688</v>
      </c>
      <c r="G331">
        <v>0.48733406583148581</v>
      </c>
      <c r="H331">
        <v>0</v>
      </c>
      <c r="I331">
        <v>0</v>
      </c>
      <c r="J331">
        <v>0.39333502819809202</v>
      </c>
      <c r="K331">
        <v>0</v>
      </c>
      <c r="L331">
        <v>0</v>
      </c>
      <c r="M331">
        <v>0.27530534037193599</v>
      </c>
      <c r="N331">
        <v>0</v>
      </c>
      <c r="O331">
        <v>0</v>
      </c>
      <c r="P331">
        <v>0.23749449171984691</v>
      </c>
      <c r="Q331">
        <v>1.703653438366439</v>
      </c>
      <c r="R331">
        <v>3.9116953779276078</v>
      </c>
      <c r="S331">
        <v>0.39740474088458749</v>
      </c>
      <c r="T331">
        <v>0.28573463792674642</v>
      </c>
      <c r="U331">
        <v>4.4794597328499073</v>
      </c>
      <c r="V331">
        <v>0.13019132981639009</v>
      </c>
      <c r="W331">
        <v>11.543142353821359</v>
      </c>
      <c r="X331">
        <v>0.45513113537170252</v>
      </c>
      <c r="Z331" t="s">
        <v>392</v>
      </c>
      <c r="AA331">
        <v>9937</v>
      </c>
      <c r="AB331" t="s">
        <v>722</v>
      </c>
      <c r="AC331" t="str">
        <f>HYPERLINK("plots/20251231000436_3FT6Y121H01_04823_B11P_N_UFLEX98_M5358A8BH101511/dpll_52046/txpa_55250.png","plot")</f>
        <v>plot</v>
      </c>
    </row>
    <row r="332" spans="1:29" x14ac:dyDescent="0.35">
      <c r="A332" t="s">
        <v>46</v>
      </c>
      <c r="B332">
        <v>52046</v>
      </c>
      <c r="C332" t="s">
        <v>51</v>
      </c>
      <c r="D332">
        <v>55251</v>
      </c>
      <c r="E332" t="s">
        <v>384</v>
      </c>
      <c r="F332">
        <v>8698</v>
      </c>
      <c r="G332">
        <v>0.46251083634807799</v>
      </c>
      <c r="H332">
        <v>0</v>
      </c>
      <c r="I332">
        <v>0</v>
      </c>
      <c r="J332">
        <v>0.38959569547991152</v>
      </c>
      <c r="K332">
        <v>0</v>
      </c>
      <c r="L332">
        <v>0</v>
      </c>
      <c r="M332">
        <v>0.27367637091328623</v>
      </c>
      <c r="N332">
        <v>0</v>
      </c>
      <c r="O332">
        <v>0</v>
      </c>
      <c r="P332">
        <v>0.21391627373939859</v>
      </c>
      <c r="Q332">
        <v>1.7479678137458261</v>
      </c>
      <c r="R332">
        <v>3.794814819267383</v>
      </c>
      <c r="S332">
        <v>0.43818080773763851</v>
      </c>
      <c r="T332">
        <v>0.31170722288855301</v>
      </c>
      <c r="U332">
        <v>4.4790183096114049</v>
      </c>
      <c r="V332">
        <v>0.1307773089410984</v>
      </c>
      <c r="W332">
        <v>11.623994661646361</v>
      </c>
      <c r="X332">
        <v>0.4942468561434909</v>
      </c>
      <c r="Z332" t="s">
        <v>392</v>
      </c>
      <c r="AA332">
        <v>9937</v>
      </c>
      <c r="AB332" t="s">
        <v>723</v>
      </c>
      <c r="AC332" t="str">
        <f>HYPERLINK("plots/20251231000436_3FT6Y121H01_04823_B11P_N_UFLEX98_M5358A8BH101511/dpll_52046/txpa_55251.png","plot")</f>
        <v>plot</v>
      </c>
    </row>
    <row r="333" spans="1:29" x14ac:dyDescent="0.35">
      <c r="A333" t="s">
        <v>46</v>
      </c>
      <c r="B333">
        <v>52046</v>
      </c>
      <c r="C333" t="s">
        <v>51</v>
      </c>
      <c r="D333">
        <v>55252</v>
      </c>
      <c r="E333" t="s">
        <v>385</v>
      </c>
      <c r="F333">
        <v>8677</v>
      </c>
      <c r="G333">
        <v>0.49048610606088539</v>
      </c>
      <c r="H333">
        <v>0</v>
      </c>
      <c r="I333">
        <v>0</v>
      </c>
      <c r="J333">
        <v>0.45165232450888249</v>
      </c>
      <c r="K333">
        <v>0</v>
      </c>
      <c r="L333">
        <v>0</v>
      </c>
      <c r="M333">
        <v>0.32249253782157872</v>
      </c>
      <c r="N333">
        <v>0</v>
      </c>
      <c r="O333">
        <v>0</v>
      </c>
      <c r="P333">
        <v>0.24057662023877019</v>
      </c>
      <c r="Q333">
        <v>1.623971452953114</v>
      </c>
      <c r="R333">
        <v>4.3972425881539454</v>
      </c>
      <c r="S333">
        <v>0.37431372072791019</v>
      </c>
      <c r="T333">
        <v>0.2552002987278198</v>
      </c>
      <c r="U333">
        <v>4.4796918889016926</v>
      </c>
      <c r="V333">
        <v>0.12973797384807981</v>
      </c>
      <c r="W333">
        <v>11.67213433375591</v>
      </c>
      <c r="X333">
        <v>0.4295550134647555</v>
      </c>
      <c r="Z333" t="s">
        <v>392</v>
      </c>
      <c r="AA333">
        <v>9937</v>
      </c>
      <c r="AB333" t="s">
        <v>724</v>
      </c>
      <c r="AC333" t="str">
        <f>HYPERLINK("plots/20251231000436_3FT6Y121H01_04823_B11P_N_UFLEX98_M5358A8BH101511/dpll_52046/txpa_55252.png","plot")</f>
        <v>plot</v>
      </c>
    </row>
    <row r="334" spans="1:29" x14ac:dyDescent="0.35">
      <c r="A334" t="s">
        <v>46</v>
      </c>
      <c r="B334">
        <v>52046</v>
      </c>
      <c r="C334" t="s">
        <v>51</v>
      </c>
      <c r="D334">
        <v>55253</v>
      </c>
      <c r="E334" t="s">
        <v>386</v>
      </c>
      <c r="F334">
        <v>8690</v>
      </c>
      <c r="G334">
        <v>0.47796554745264308</v>
      </c>
      <c r="H334">
        <v>0</v>
      </c>
      <c r="I334">
        <v>0</v>
      </c>
      <c r="J334">
        <v>0.41006633017766841</v>
      </c>
      <c r="K334">
        <v>0</v>
      </c>
      <c r="L334">
        <v>0</v>
      </c>
      <c r="M334">
        <v>0.28929172650273349</v>
      </c>
      <c r="N334">
        <v>0</v>
      </c>
      <c r="O334">
        <v>0</v>
      </c>
      <c r="P334">
        <v>0.22845106455170491</v>
      </c>
      <c r="Q334">
        <v>1.6787596481156419</v>
      </c>
      <c r="R334">
        <v>4.0637739340017811</v>
      </c>
      <c r="S334">
        <v>0.40233706447355411</v>
      </c>
      <c r="T334">
        <v>0.28351418237870402</v>
      </c>
      <c r="U334">
        <v>4.4793337756041431</v>
      </c>
      <c r="V334">
        <v>0.13041915010890751</v>
      </c>
      <c r="W334">
        <v>11.5834987269275</v>
      </c>
      <c r="X334">
        <v>0.4580715235883473</v>
      </c>
      <c r="Z334" t="s">
        <v>392</v>
      </c>
      <c r="AA334">
        <v>9937</v>
      </c>
      <c r="AB334" t="s">
        <v>725</v>
      </c>
      <c r="AC334" t="str">
        <f>HYPERLINK("plots/20251231000436_3FT6Y121H01_04823_B11P_N_UFLEX98_M5358A8BH101511/dpll_52046/txpa_55253.png","plot")</f>
        <v>plot</v>
      </c>
    </row>
    <row r="335" spans="1:29" x14ac:dyDescent="0.35">
      <c r="A335" t="s">
        <v>46</v>
      </c>
      <c r="B335">
        <v>52046</v>
      </c>
      <c r="C335" t="s">
        <v>51</v>
      </c>
      <c r="D335">
        <v>55254</v>
      </c>
      <c r="E335" t="s">
        <v>387</v>
      </c>
      <c r="F335">
        <v>8686</v>
      </c>
      <c r="G335">
        <v>0.49563163892732331</v>
      </c>
      <c r="H335">
        <v>0</v>
      </c>
      <c r="I335">
        <v>0</v>
      </c>
      <c r="J335">
        <v>0.4415290095320587</v>
      </c>
      <c r="K335">
        <v>0</v>
      </c>
      <c r="L335">
        <v>0</v>
      </c>
      <c r="M335">
        <v>0.31448007474343898</v>
      </c>
      <c r="N335">
        <v>0</v>
      </c>
      <c r="O335">
        <v>0</v>
      </c>
      <c r="P335">
        <v>0.2456507215057846</v>
      </c>
      <c r="Q335">
        <v>1.677450699008574</v>
      </c>
      <c r="R335">
        <v>4.0877445871618407</v>
      </c>
      <c r="S335">
        <v>0.38229046238933351</v>
      </c>
      <c r="T335">
        <v>0.26279027188741771</v>
      </c>
      <c r="U335">
        <v>4.4795500043748557</v>
      </c>
      <c r="V335">
        <v>0.1300593207989755</v>
      </c>
      <c r="W335">
        <v>11.601968873244299</v>
      </c>
      <c r="X335">
        <v>0.44018194451628351</v>
      </c>
      <c r="Z335" t="s">
        <v>392</v>
      </c>
      <c r="AA335">
        <v>9937</v>
      </c>
      <c r="AB335" t="s">
        <v>726</v>
      </c>
      <c r="AC335" t="str">
        <f>HYPERLINK("plots/20251231000436_3FT6Y121H01_04823_B11P_N_UFLEX98_M5358A8BH101511/dpll_52046/txpa_55254.png","plot")</f>
        <v>plot</v>
      </c>
    </row>
    <row r="336" spans="1:29" x14ac:dyDescent="0.35">
      <c r="A336" t="s">
        <v>46</v>
      </c>
      <c r="B336">
        <v>52046</v>
      </c>
      <c r="C336" t="s">
        <v>51</v>
      </c>
      <c r="D336">
        <v>55255</v>
      </c>
      <c r="E336" t="s">
        <v>388</v>
      </c>
      <c r="F336">
        <v>8683</v>
      </c>
      <c r="G336">
        <v>0.49799302190668021</v>
      </c>
      <c r="H336">
        <v>0</v>
      </c>
      <c r="I336">
        <v>0</v>
      </c>
      <c r="J336">
        <v>0.42942216170857328</v>
      </c>
      <c r="K336">
        <v>0</v>
      </c>
      <c r="L336">
        <v>0</v>
      </c>
      <c r="M336">
        <v>0.30324730766903318</v>
      </c>
      <c r="N336">
        <v>0</v>
      </c>
      <c r="O336">
        <v>0</v>
      </c>
      <c r="P336">
        <v>0.24799704986774729</v>
      </c>
      <c r="Q336">
        <v>1.6625365573989921</v>
      </c>
      <c r="R336">
        <v>4.1795620613871112</v>
      </c>
      <c r="S336">
        <v>0.37547313509235269</v>
      </c>
      <c r="T336">
        <v>0.26201700843425829</v>
      </c>
      <c r="U336">
        <v>4.4797359766209839</v>
      </c>
      <c r="V336">
        <v>0.12970184681758301</v>
      </c>
      <c r="W336">
        <v>11.62728689001497</v>
      </c>
      <c r="X336">
        <v>0.43300619167471749</v>
      </c>
      <c r="Z336" t="s">
        <v>392</v>
      </c>
      <c r="AA336">
        <v>9937</v>
      </c>
      <c r="AB336" t="s">
        <v>727</v>
      </c>
      <c r="AC336" t="str">
        <f>HYPERLINK("plots/20251231000436_3FT6Y121H01_04823_B11P_N_UFLEX98_M5358A8BH101511/dpll_52046/txpa_55255.png","plot")</f>
        <v>plot</v>
      </c>
    </row>
    <row r="337" spans="1:29" x14ac:dyDescent="0.35">
      <c r="A337" t="s">
        <v>46</v>
      </c>
      <c r="B337">
        <v>52046</v>
      </c>
      <c r="C337" t="s">
        <v>51</v>
      </c>
      <c r="D337">
        <v>55256</v>
      </c>
      <c r="E337" t="s">
        <v>389</v>
      </c>
      <c r="F337">
        <v>8693</v>
      </c>
      <c r="G337">
        <v>0.50344169115260062</v>
      </c>
      <c r="H337">
        <v>0</v>
      </c>
      <c r="I337">
        <v>0</v>
      </c>
      <c r="J337">
        <v>0.43164870923649379</v>
      </c>
      <c r="K337">
        <v>0</v>
      </c>
      <c r="L337">
        <v>0</v>
      </c>
      <c r="M337">
        <v>0.30600234096935491</v>
      </c>
      <c r="N337">
        <v>0</v>
      </c>
      <c r="O337">
        <v>0</v>
      </c>
      <c r="P337">
        <v>0.25345353639059048</v>
      </c>
      <c r="Q337">
        <v>1.688402684747194</v>
      </c>
      <c r="R337">
        <v>3.9772783744524678</v>
      </c>
      <c r="S337">
        <v>0.37835973067406498</v>
      </c>
      <c r="T337">
        <v>0.26452739239661233</v>
      </c>
      <c r="U337">
        <v>4.4792100837455422</v>
      </c>
      <c r="V337">
        <v>0.13057938261906751</v>
      </c>
      <c r="W337">
        <v>11.53998870539515</v>
      </c>
      <c r="X337">
        <v>0.43792674317836122</v>
      </c>
      <c r="Z337" t="s">
        <v>392</v>
      </c>
      <c r="AA337">
        <v>9937</v>
      </c>
      <c r="AB337" t="s">
        <v>728</v>
      </c>
      <c r="AC337" t="str">
        <f>HYPERLINK("plots/20251231000436_3FT6Y121H01_04823_B11P_N_UFLEX98_M5358A8BH101511/dpll_52046/txpa_55256.png","plot")</f>
        <v>plot</v>
      </c>
    </row>
    <row r="338" spans="1:29" x14ac:dyDescent="0.35">
      <c r="A338" t="s">
        <v>46</v>
      </c>
      <c r="B338">
        <v>52046</v>
      </c>
      <c r="C338" t="s">
        <v>51</v>
      </c>
      <c r="D338">
        <v>55257</v>
      </c>
      <c r="E338" t="s">
        <v>390</v>
      </c>
      <c r="F338">
        <v>8679</v>
      </c>
      <c r="G338">
        <v>0.4975877569111935</v>
      </c>
      <c r="H338">
        <v>0</v>
      </c>
      <c r="I338">
        <v>0</v>
      </c>
      <c r="J338">
        <v>0.42690076407257321</v>
      </c>
      <c r="K338">
        <v>0</v>
      </c>
      <c r="L338">
        <v>0</v>
      </c>
      <c r="M338">
        <v>0.30212279034866679</v>
      </c>
      <c r="N338">
        <v>0</v>
      </c>
      <c r="O338">
        <v>0</v>
      </c>
      <c r="P338">
        <v>0.247593575827913</v>
      </c>
      <c r="Q338">
        <v>1.6467427278755919</v>
      </c>
      <c r="R338">
        <v>4.2430801714763531</v>
      </c>
      <c r="S338">
        <v>0.37135057536531901</v>
      </c>
      <c r="T338">
        <v>0.25907333097974877</v>
      </c>
      <c r="U338">
        <v>4.47994074374928</v>
      </c>
      <c r="V338">
        <v>0.129367982913696</v>
      </c>
      <c r="W338">
        <v>11.620390012559049</v>
      </c>
      <c r="X338">
        <v>0.42813711174385682</v>
      </c>
      <c r="Z338" t="s">
        <v>392</v>
      </c>
      <c r="AA338">
        <v>9937</v>
      </c>
      <c r="AB338" t="s">
        <v>729</v>
      </c>
      <c r="AC338" t="str">
        <f>HYPERLINK("plots/20251231000436_3FT6Y121H01_04823_B11P_N_UFLEX98_M5358A8BH101511/dpll_52046/txpa_55257.png","plot")</f>
        <v>plot</v>
      </c>
    </row>
    <row r="339" spans="1:29" x14ac:dyDescent="0.35">
      <c r="A339" t="s">
        <v>46</v>
      </c>
      <c r="B339">
        <v>52046</v>
      </c>
      <c r="C339" t="s">
        <v>51</v>
      </c>
      <c r="D339">
        <v>55258</v>
      </c>
      <c r="E339" t="s">
        <v>391</v>
      </c>
      <c r="F339">
        <v>8696</v>
      </c>
      <c r="G339">
        <v>0.49107972542738959</v>
      </c>
      <c r="H339">
        <v>0</v>
      </c>
      <c r="I339">
        <v>0</v>
      </c>
      <c r="J339">
        <v>0.38882795805455711</v>
      </c>
      <c r="K339">
        <v>0</v>
      </c>
      <c r="L339">
        <v>0</v>
      </c>
      <c r="M339">
        <v>0.27187376018288978</v>
      </c>
      <c r="N339">
        <v>0</v>
      </c>
      <c r="O339">
        <v>0</v>
      </c>
      <c r="P339">
        <v>0.24115929672584041</v>
      </c>
      <c r="Q339">
        <v>1.8028635643254241</v>
      </c>
      <c r="R339">
        <v>3.6733339835828018</v>
      </c>
      <c r="S339">
        <v>0.41806453397355192</v>
      </c>
      <c r="T339">
        <v>0.302320378012498</v>
      </c>
      <c r="U339">
        <v>4.4790848077276904</v>
      </c>
      <c r="V339">
        <v>0.13073206832564599</v>
      </c>
      <c r="W339">
        <v>11.748512784958599</v>
      </c>
      <c r="X339">
        <v>0.47994667763586613</v>
      </c>
      <c r="Z339" t="s">
        <v>392</v>
      </c>
      <c r="AA339">
        <v>9937</v>
      </c>
      <c r="AB339" t="s">
        <v>730</v>
      </c>
      <c r="AC339" t="str">
        <f>HYPERLINK("plots/20251231000436_3FT6Y121H01_04823_B11P_N_UFLEX98_M5358A8BH101511/dpll_52046/txpa_55258.png","plot")</f>
        <v>plot</v>
      </c>
    </row>
    <row r="340" spans="1:29" x14ac:dyDescent="0.35">
      <c r="A340" t="s">
        <v>46</v>
      </c>
      <c r="B340">
        <v>52084</v>
      </c>
      <c r="C340" t="s">
        <v>52</v>
      </c>
      <c r="D340">
        <v>53179</v>
      </c>
      <c r="E340" t="s">
        <v>54</v>
      </c>
      <c r="F340">
        <v>8716</v>
      </c>
      <c r="G340">
        <v>0.15292879948093999</v>
      </c>
      <c r="H340">
        <v>9.2424750548150556E-47</v>
      </c>
      <c r="I340">
        <v>9.456982548519139E-47</v>
      </c>
      <c r="J340">
        <v>0.12945639609487819</v>
      </c>
      <c r="K340">
        <v>6.8616977658206374E-34</v>
      </c>
      <c r="L340">
        <v>7.0852968783524716E-34</v>
      </c>
      <c r="M340">
        <v>8.6653904996179365E-2</v>
      </c>
      <c r="N340">
        <v>7.6803558931236227E-34</v>
      </c>
      <c r="O340">
        <v>7.9377737196772534E-34</v>
      </c>
      <c r="P340">
        <v>2.3387217710681571E-2</v>
      </c>
      <c r="Q340">
        <v>1.3385403174957311</v>
      </c>
      <c r="R340">
        <v>-27.23555159243822</v>
      </c>
      <c r="S340">
        <v>1.077666376323148</v>
      </c>
      <c r="T340">
        <v>0.83083641140067377</v>
      </c>
      <c r="U340">
        <v>4.3169497564249664</v>
      </c>
      <c r="V340">
        <v>0.1245965072716559</v>
      </c>
      <c r="W340">
        <v>-21.457140294860029</v>
      </c>
      <c r="X340">
        <v>1.090556186724315</v>
      </c>
      <c r="Z340" t="s">
        <v>392</v>
      </c>
      <c r="AA340">
        <v>9937</v>
      </c>
      <c r="AB340" t="s">
        <v>731</v>
      </c>
      <c r="AC340" t="str">
        <f>HYPERLINK("plots/20251231000436_3FT6Y121H01_04823_B11P_N_UFLEX98_M5358A8BH101511/dpll_52084/txpa_53179.png","plot")</f>
        <v>plot</v>
      </c>
    </row>
    <row r="341" spans="1:29" x14ac:dyDescent="0.35">
      <c r="A341" t="s">
        <v>46</v>
      </c>
      <c r="B341">
        <v>52084</v>
      </c>
      <c r="C341" t="s">
        <v>52</v>
      </c>
      <c r="D341">
        <v>53180</v>
      </c>
      <c r="E341" t="s">
        <v>55</v>
      </c>
      <c r="F341">
        <v>8716</v>
      </c>
      <c r="G341">
        <v>0.1780511942437934</v>
      </c>
      <c r="H341">
        <v>5.2563560624259601E-63</v>
      </c>
      <c r="I341">
        <v>5.5004592851392404E-63</v>
      </c>
      <c r="J341">
        <v>0.1273337682616493</v>
      </c>
      <c r="K341">
        <v>7.801833734942213E-33</v>
      </c>
      <c r="L341">
        <v>8.0071451490196397E-33</v>
      </c>
      <c r="M341">
        <v>8.5746796869038841E-2</v>
      </c>
      <c r="N341">
        <v>3.5716381424202261E-33</v>
      </c>
      <c r="O341">
        <v>3.676792970978791E-33</v>
      </c>
      <c r="P341">
        <v>3.1702227771641042E-2</v>
      </c>
      <c r="Q341">
        <v>1.5342235701141631</v>
      </c>
      <c r="R341">
        <v>-27.647572251335149</v>
      </c>
      <c r="S341">
        <v>1.0564019130410149</v>
      </c>
      <c r="T341">
        <v>0.81666530331477105</v>
      </c>
      <c r="U341">
        <v>4.3169497564249664</v>
      </c>
      <c r="V341">
        <v>0.1245965072716559</v>
      </c>
      <c r="W341">
        <v>-21.02440618402937</v>
      </c>
      <c r="X341">
        <v>1.0736176133047111</v>
      </c>
      <c r="Z341" t="s">
        <v>392</v>
      </c>
      <c r="AA341">
        <v>9937</v>
      </c>
      <c r="AB341" t="s">
        <v>732</v>
      </c>
      <c r="AC341" t="str">
        <f>HYPERLINK("plots/20251231000436_3FT6Y121H01_04823_B11P_N_UFLEX98_M5358A8BH101511/dpll_52084/txpa_53180.png","plot")</f>
        <v>plot</v>
      </c>
    </row>
    <row r="342" spans="1:29" x14ac:dyDescent="0.35">
      <c r="A342" t="s">
        <v>46</v>
      </c>
      <c r="B342">
        <v>52084</v>
      </c>
      <c r="C342" t="s">
        <v>52</v>
      </c>
      <c r="D342">
        <v>53181</v>
      </c>
      <c r="E342" t="s">
        <v>56</v>
      </c>
      <c r="F342">
        <v>8716</v>
      </c>
      <c r="G342">
        <v>0.16053670376306811</v>
      </c>
      <c r="H342">
        <v>2.0824881033963561E-51</v>
      </c>
      <c r="I342">
        <v>2.145978594353562E-51</v>
      </c>
      <c r="J342">
        <v>0.13000472177609951</v>
      </c>
      <c r="K342">
        <v>3.6375346107001819E-34</v>
      </c>
      <c r="L342">
        <v>3.7675792597037642E-34</v>
      </c>
      <c r="M342">
        <v>8.7296386728840575E-2</v>
      </c>
      <c r="N342">
        <v>2.5488468789289041E-34</v>
      </c>
      <c r="O342">
        <v>2.6426694634293552E-34</v>
      </c>
      <c r="P342">
        <v>2.5772033255111081E-2</v>
      </c>
      <c r="Q342">
        <v>1.3431942177787219</v>
      </c>
      <c r="R342">
        <v>-26.97009884663612</v>
      </c>
      <c r="S342">
        <v>1.028906051306502</v>
      </c>
      <c r="T342">
        <v>0.79470799296657224</v>
      </c>
      <c r="U342">
        <v>4.3169497564249664</v>
      </c>
      <c r="V342">
        <v>0.1245965072716559</v>
      </c>
      <c r="W342">
        <v>-21.17159689536485</v>
      </c>
      <c r="X342">
        <v>1.042486261395468</v>
      </c>
      <c r="Z342" t="s">
        <v>392</v>
      </c>
      <c r="AA342">
        <v>9937</v>
      </c>
      <c r="AB342" t="s">
        <v>733</v>
      </c>
      <c r="AC342" t="str">
        <f>HYPERLINK("plots/20251231000436_3FT6Y121H01_04823_B11P_N_UFLEX98_M5358A8BH101511/dpll_52084/txpa_53181.png","plot")</f>
        <v>plot</v>
      </c>
    </row>
    <row r="343" spans="1:29" x14ac:dyDescent="0.35">
      <c r="A343" t="s">
        <v>46</v>
      </c>
      <c r="B343">
        <v>52084</v>
      </c>
      <c r="C343" t="s">
        <v>52</v>
      </c>
      <c r="D343">
        <v>53182</v>
      </c>
      <c r="E343" t="s">
        <v>57</v>
      </c>
      <c r="F343">
        <v>8716</v>
      </c>
      <c r="G343">
        <v>0.16228255511664899</v>
      </c>
      <c r="H343">
        <v>1.655586957077097E-52</v>
      </c>
      <c r="I343">
        <v>1.713025688240996E-52</v>
      </c>
      <c r="J343">
        <v>0.11331709275988899</v>
      </c>
      <c r="K343">
        <v>2.6233886780123391E-26</v>
      </c>
      <c r="L343">
        <v>2.6654470135315752E-26</v>
      </c>
      <c r="M343">
        <v>7.644292319380297E-2</v>
      </c>
      <c r="N343">
        <v>1.0463905993051721E-26</v>
      </c>
      <c r="O343">
        <v>1.0642327659934241E-26</v>
      </c>
      <c r="P343">
        <v>2.6335627695188241E-2</v>
      </c>
      <c r="Q343">
        <v>1.354276255053809</v>
      </c>
      <c r="R343">
        <v>-26.831001093443561</v>
      </c>
      <c r="S343">
        <v>1.0259377718949809</v>
      </c>
      <c r="T343">
        <v>0.79305557795694037</v>
      </c>
      <c r="U343">
        <v>4.3169497564249664</v>
      </c>
      <c r="V343">
        <v>0.1245965072716559</v>
      </c>
      <c r="W343">
        <v>-20.984658544056909</v>
      </c>
      <c r="X343">
        <v>1.039779606251291</v>
      </c>
      <c r="Z343" t="s">
        <v>392</v>
      </c>
      <c r="AA343">
        <v>9937</v>
      </c>
      <c r="AB343" t="s">
        <v>734</v>
      </c>
      <c r="AC343" t="str">
        <f>HYPERLINK("plots/20251231000436_3FT6Y121H01_04823_B11P_N_UFLEX98_M5358A8BH101511/dpll_52084/txpa_53182.png","plot")</f>
        <v>plot</v>
      </c>
    </row>
    <row r="344" spans="1:29" x14ac:dyDescent="0.35">
      <c r="A344" t="s">
        <v>46</v>
      </c>
      <c r="B344">
        <v>52084</v>
      </c>
      <c r="C344" t="s">
        <v>52</v>
      </c>
      <c r="D344">
        <v>53183</v>
      </c>
      <c r="E344" t="s">
        <v>58</v>
      </c>
      <c r="F344">
        <v>8716</v>
      </c>
      <c r="G344">
        <v>0.18552889152650889</v>
      </c>
      <c r="H344">
        <v>2.413107043460308E-68</v>
      </c>
      <c r="I344">
        <v>2.570263174441966E-68</v>
      </c>
      <c r="J344">
        <v>0.13810368063281639</v>
      </c>
      <c r="K344">
        <v>2.2431605349769701E-38</v>
      </c>
      <c r="L344">
        <v>2.3817432277137672E-38</v>
      </c>
      <c r="M344">
        <v>9.2865032136940404E-2</v>
      </c>
      <c r="N344">
        <v>1.3007817262866211E-38</v>
      </c>
      <c r="O344">
        <v>1.3811441575441191E-38</v>
      </c>
      <c r="P344">
        <v>3.4420969591055103E-2</v>
      </c>
      <c r="Q344">
        <v>1.41326127247693</v>
      </c>
      <c r="R344">
        <v>-26.844772062707388</v>
      </c>
      <c r="S344">
        <v>0.93257930618856755</v>
      </c>
      <c r="T344">
        <v>0.72463934796034557</v>
      </c>
      <c r="U344">
        <v>4.3169497564249664</v>
      </c>
      <c r="V344">
        <v>0.1245965072716559</v>
      </c>
      <c r="W344">
        <v>-20.743794156723268</v>
      </c>
      <c r="X344">
        <v>0.94911049682933923</v>
      </c>
      <c r="Z344" t="s">
        <v>392</v>
      </c>
      <c r="AA344">
        <v>9937</v>
      </c>
      <c r="AB344" t="s">
        <v>735</v>
      </c>
      <c r="AC344" t="str">
        <f>HYPERLINK("plots/20251231000436_3FT6Y121H01_04823_B11P_N_UFLEX98_M5358A8BH101511/dpll_52084/txpa_53183.png","plot")</f>
        <v>plot</v>
      </c>
    </row>
    <row r="345" spans="1:29" x14ac:dyDescent="0.35">
      <c r="A345" t="s">
        <v>46</v>
      </c>
      <c r="B345">
        <v>52084</v>
      </c>
      <c r="C345" t="s">
        <v>52</v>
      </c>
      <c r="D345">
        <v>53184</v>
      </c>
      <c r="E345" t="s">
        <v>59</v>
      </c>
      <c r="F345">
        <v>8716</v>
      </c>
      <c r="G345">
        <v>0.19184415440677929</v>
      </c>
      <c r="H345">
        <v>4.9208695531249682E-73</v>
      </c>
      <c r="I345">
        <v>5.2634617372032882E-73</v>
      </c>
      <c r="J345">
        <v>0.13568281128323151</v>
      </c>
      <c r="K345">
        <v>4.3308150728406267E-37</v>
      </c>
      <c r="L345">
        <v>4.5554424106435643E-37</v>
      </c>
      <c r="M345">
        <v>9.1239482768566929E-2</v>
      </c>
      <c r="N345">
        <v>2.4780428223476302E-37</v>
      </c>
      <c r="O345">
        <v>2.609278735057628E-37</v>
      </c>
      <c r="P345">
        <v>3.6804179580052193E-2</v>
      </c>
      <c r="Q345">
        <v>1.513320022380932</v>
      </c>
      <c r="R345">
        <v>-27.31234044189107</v>
      </c>
      <c r="S345">
        <v>0.96454047232965756</v>
      </c>
      <c r="T345">
        <v>0.74950508227940515</v>
      </c>
      <c r="U345">
        <v>4.3169497564249664</v>
      </c>
      <c r="V345">
        <v>0.1245965072716559</v>
      </c>
      <c r="W345">
        <v>-20.77941393988068</v>
      </c>
      <c r="X345">
        <v>0.98285188702244475</v>
      </c>
      <c r="Z345" t="s">
        <v>392</v>
      </c>
      <c r="AA345">
        <v>9937</v>
      </c>
      <c r="AB345" t="s">
        <v>736</v>
      </c>
      <c r="AC345" t="str">
        <f>HYPERLINK("plots/20251231000436_3FT6Y121H01_04823_B11P_N_UFLEX98_M5358A8BH101511/dpll_52084/txpa_53184.png","plot")</f>
        <v>plot</v>
      </c>
    </row>
    <row r="346" spans="1:29" x14ac:dyDescent="0.35">
      <c r="A346" t="s">
        <v>46</v>
      </c>
      <c r="B346">
        <v>52084</v>
      </c>
      <c r="C346" t="s">
        <v>52</v>
      </c>
      <c r="D346">
        <v>53185</v>
      </c>
      <c r="E346" t="s">
        <v>60</v>
      </c>
      <c r="F346">
        <v>8716</v>
      </c>
      <c r="G346">
        <v>0.17304466450405931</v>
      </c>
      <c r="H346">
        <v>1.461694218132473E-59</v>
      </c>
      <c r="I346">
        <v>1.52328667747824E-59</v>
      </c>
      <c r="J346">
        <v>0.13195025894662149</v>
      </c>
      <c r="K346">
        <v>3.7432490192977449E-35</v>
      </c>
      <c r="L346">
        <v>3.9049943472920922E-35</v>
      </c>
      <c r="M346">
        <v>8.858027222158206E-2</v>
      </c>
      <c r="N346">
        <v>2.7526557208134492E-35</v>
      </c>
      <c r="O346">
        <v>2.8745549957825301E-35</v>
      </c>
      <c r="P346">
        <v>2.994445591332243E-2</v>
      </c>
      <c r="Q346">
        <v>1.3661625471270289</v>
      </c>
      <c r="R346">
        <v>-26.739963792358449</v>
      </c>
      <c r="S346">
        <v>0.96877610006574211</v>
      </c>
      <c r="T346">
        <v>0.75161987230079763</v>
      </c>
      <c r="U346">
        <v>4.3169497564249664</v>
      </c>
      <c r="V346">
        <v>0.1245965072716559</v>
      </c>
      <c r="W346">
        <v>-20.84230871730151</v>
      </c>
      <c r="X346">
        <v>0.98367136730403981</v>
      </c>
      <c r="Z346" t="s">
        <v>392</v>
      </c>
      <c r="AA346">
        <v>9937</v>
      </c>
      <c r="AB346" t="s">
        <v>737</v>
      </c>
      <c r="AC346" t="str">
        <f>HYPERLINK("plots/20251231000436_3FT6Y121H01_04823_B11P_N_UFLEX98_M5358A8BH101511/dpll_52084/txpa_53185.png","plot")</f>
        <v>plot</v>
      </c>
    </row>
    <row r="347" spans="1:29" x14ac:dyDescent="0.35">
      <c r="A347" t="s">
        <v>46</v>
      </c>
      <c r="B347">
        <v>52084</v>
      </c>
      <c r="C347" t="s">
        <v>52</v>
      </c>
      <c r="D347">
        <v>53186</v>
      </c>
      <c r="E347" t="s">
        <v>61</v>
      </c>
      <c r="F347">
        <v>8716</v>
      </c>
      <c r="G347">
        <v>0.194402642861668</v>
      </c>
      <c r="H347">
        <v>5.5458555897019614E-75</v>
      </c>
      <c r="I347">
        <v>5.9634120550983974E-75</v>
      </c>
      <c r="J347">
        <v>0.15167577201628171</v>
      </c>
      <c r="K347">
        <v>5.1132436256901667E-46</v>
      </c>
      <c r="L347">
        <v>5.5040647945327269E-46</v>
      </c>
      <c r="M347">
        <v>0.1022448370710026</v>
      </c>
      <c r="N347">
        <v>1.950208471357558E-46</v>
      </c>
      <c r="O347">
        <v>2.1014998830569219E-46</v>
      </c>
      <c r="P347">
        <v>3.7792387551601227E-2</v>
      </c>
      <c r="Q347">
        <v>1.689791179125621</v>
      </c>
      <c r="R347">
        <v>-28.678283930057852</v>
      </c>
      <c r="S347">
        <v>1.062297651472877</v>
      </c>
      <c r="T347">
        <v>0.8253796931874372</v>
      </c>
      <c r="U347">
        <v>4.3169497564249664</v>
      </c>
      <c r="V347">
        <v>0.1245965072716559</v>
      </c>
      <c r="W347">
        <v>-21.383540310922449</v>
      </c>
      <c r="X347">
        <v>1.083020661850373</v>
      </c>
      <c r="Z347" t="s">
        <v>392</v>
      </c>
      <c r="AA347">
        <v>9937</v>
      </c>
      <c r="AB347" t="s">
        <v>738</v>
      </c>
      <c r="AC347" t="str">
        <f>HYPERLINK("plots/20251231000436_3FT6Y121H01_04823_B11P_N_UFLEX98_M5358A8BH101511/dpll_52084/txpa_53186.png","plot")</f>
        <v>plot</v>
      </c>
    </row>
    <row r="348" spans="1:29" x14ac:dyDescent="0.35">
      <c r="A348" t="s">
        <v>46</v>
      </c>
      <c r="B348">
        <v>52084</v>
      </c>
      <c r="C348" t="s">
        <v>52</v>
      </c>
      <c r="D348">
        <v>53187</v>
      </c>
      <c r="E348" t="s">
        <v>62</v>
      </c>
      <c r="F348">
        <v>8716</v>
      </c>
      <c r="G348">
        <v>0.36366879827739662</v>
      </c>
      <c r="H348">
        <v>8.8158503587073811E-271</v>
      </c>
      <c r="I348">
        <v>1.1104686041899729E-270</v>
      </c>
      <c r="J348">
        <v>0.29082661102849389</v>
      </c>
      <c r="K348">
        <v>1.7679576421383451E-169</v>
      </c>
      <c r="L348">
        <v>2.4160499314397329E-169</v>
      </c>
      <c r="M348">
        <v>0.19792618571281551</v>
      </c>
      <c r="N348">
        <v>5.5670124253558043E-169</v>
      </c>
      <c r="O348">
        <v>7.5266007990810479E-169</v>
      </c>
      <c r="P348">
        <v>0.13225499484052569</v>
      </c>
      <c r="Q348">
        <v>0.83940420566998319</v>
      </c>
      <c r="R348">
        <v>-11.600173494265571</v>
      </c>
      <c r="S348">
        <v>0.26788112477504278</v>
      </c>
      <c r="T348">
        <v>0.2017350709140267</v>
      </c>
      <c r="U348">
        <v>4.3169497564249664</v>
      </c>
      <c r="V348">
        <v>0.1245965072716559</v>
      </c>
      <c r="W348">
        <v>-7.9765077130564483</v>
      </c>
      <c r="X348">
        <v>0.28758813709347297</v>
      </c>
      <c r="Z348" t="s">
        <v>392</v>
      </c>
      <c r="AA348">
        <v>9937</v>
      </c>
      <c r="AB348" t="s">
        <v>739</v>
      </c>
      <c r="AC348" t="str">
        <f>HYPERLINK("plots/20251231000436_3FT6Y121H01_04823_B11P_N_UFLEX98_M5358A8BH101511/dpll_52084/txpa_53187.png","plot")</f>
        <v>plot</v>
      </c>
    </row>
    <row r="349" spans="1:29" x14ac:dyDescent="0.35">
      <c r="A349" t="s">
        <v>46</v>
      </c>
      <c r="B349">
        <v>52084</v>
      </c>
      <c r="C349" t="s">
        <v>52</v>
      </c>
      <c r="D349">
        <v>53188</v>
      </c>
      <c r="E349" t="s">
        <v>63</v>
      </c>
      <c r="F349">
        <v>8716</v>
      </c>
      <c r="G349">
        <v>0.31812874608528841</v>
      </c>
      <c r="H349">
        <v>3.3598820488709053E-204</v>
      </c>
      <c r="I349">
        <v>3.8847438968701218E-204</v>
      </c>
      <c r="J349">
        <v>0.1970615377663413</v>
      </c>
      <c r="K349">
        <v>4.8988867059809991E-77</v>
      </c>
      <c r="L349">
        <v>5.4111885837306467E-77</v>
      </c>
      <c r="M349">
        <v>0.1342881442390276</v>
      </c>
      <c r="N349">
        <v>7.531329175660382E-79</v>
      </c>
      <c r="O349">
        <v>8.3279910404794194E-79</v>
      </c>
      <c r="P349">
        <v>0.1012058990857979</v>
      </c>
      <c r="Q349">
        <v>0.99953735655173914</v>
      </c>
      <c r="R349">
        <v>-11.972294949464031</v>
      </c>
      <c r="S349">
        <v>0.37111386160524629</v>
      </c>
      <c r="T349">
        <v>0.29479006841457639</v>
      </c>
      <c r="U349">
        <v>4.3169497564249664</v>
      </c>
      <c r="V349">
        <v>0.1245965072716559</v>
      </c>
      <c r="W349">
        <v>-7.6573424015603493</v>
      </c>
      <c r="X349">
        <v>0.39147315370394847</v>
      </c>
      <c r="Z349" t="s">
        <v>392</v>
      </c>
      <c r="AA349">
        <v>9937</v>
      </c>
      <c r="AB349" t="s">
        <v>740</v>
      </c>
      <c r="AC349" t="str">
        <f>HYPERLINK("plots/20251231000436_3FT6Y121H01_04823_B11P_N_UFLEX98_M5358A8BH101511/dpll_52084/txpa_53188.png","plot")</f>
        <v>plot</v>
      </c>
    </row>
    <row r="350" spans="1:29" x14ac:dyDescent="0.35">
      <c r="A350" t="s">
        <v>46</v>
      </c>
      <c r="B350">
        <v>52084</v>
      </c>
      <c r="C350" t="s">
        <v>52</v>
      </c>
      <c r="D350">
        <v>53189</v>
      </c>
      <c r="E350" t="s">
        <v>64</v>
      </c>
      <c r="F350">
        <v>8716</v>
      </c>
      <c r="G350">
        <v>0.3679213758617097</v>
      </c>
      <c r="H350">
        <v>1.392560007561502E-277</v>
      </c>
      <c r="I350">
        <v>1.7672789082194779E-277</v>
      </c>
      <c r="J350">
        <v>0.27792849816911053</v>
      </c>
      <c r="K350">
        <v>2.345881887306179E-154</v>
      </c>
      <c r="L350">
        <v>3.0340870328169203E-154</v>
      </c>
      <c r="M350">
        <v>0.18930963346530991</v>
      </c>
      <c r="N350">
        <v>9.1429958651283844E-155</v>
      </c>
      <c r="O350">
        <v>1.193178610970422E-154</v>
      </c>
      <c r="P350">
        <v>0.13536613881597351</v>
      </c>
      <c r="Q350">
        <v>0.85724015055662295</v>
      </c>
      <c r="R350">
        <v>-11.44399520744509</v>
      </c>
      <c r="S350">
        <v>0.26992589882053031</v>
      </c>
      <c r="T350">
        <v>0.20973024428458231</v>
      </c>
      <c r="U350">
        <v>4.3169497564249664</v>
      </c>
      <c r="V350">
        <v>0.1245965072716559</v>
      </c>
      <c r="W350">
        <v>-7.7433325483019733</v>
      </c>
      <c r="X350">
        <v>0.29030422166210279</v>
      </c>
      <c r="Z350" t="s">
        <v>392</v>
      </c>
      <c r="AA350">
        <v>9937</v>
      </c>
      <c r="AB350" t="s">
        <v>741</v>
      </c>
      <c r="AC350" t="str">
        <f>HYPERLINK("plots/20251231000436_3FT6Y121H01_04823_B11P_N_UFLEX98_M5358A8BH101511/dpll_52084/txpa_53189.png","plot")</f>
        <v>plot</v>
      </c>
    </row>
    <row r="351" spans="1:29" x14ac:dyDescent="0.35">
      <c r="A351" t="s">
        <v>46</v>
      </c>
      <c r="B351">
        <v>52084</v>
      </c>
      <c r="C351" t="s">
        <v>52</v>
      </c>
      <c r="D351">
        <v>53190</v>
      </c>
      <c r="E351" t="s">
        <v>65</v>
      </c>
      <c r="F351">
        <v>8716</v>
      </c>
      <c r="G351">
        <v>0.34436064774626263</v>
      </c>
      <c r="H351">
        <v>3.5253156285043312E-241</v>
      </c>
      <c r="I351">
        <v>4.2454513625931008E-241</v>
      </c>
      <c r="J351">
        <v>0.2189398339233854</v>
      </c>
      <c r="K351">
        <v>4.3810609996813043E-95</v>
      </c>
      <c r="L351">
        <v>5.0196563318382388E-95</v>
      </c>
      <c r="M351">
        <v>0.14944184378802691</v>
      </c>
      <c r="N351">
        <v>3.4243812134140072E-97</v>
      </c>
      <c r="O351">
        <v>3.9683686290306308E-97</v>
      </c>
      <c r="P351">
        <v>0.1185842557162255</v>
      </c>
      <c r="Q351">
        <v>0.95895163356049107</v>
      </c>
      <c r="R351">
        <v>-11.821965053620771</v>
      </c>
      <c r="S351">
        <v>0.32572758720934358</v>
      </c>
      <c r="T351">
        <v>0.25405711957829419</v>
      </c>
      <c r="U351">
        <v>4.3169497564249664</v>
      </c>
      <c r="V351">
        <v>0.1245965072716559</v>
      </c>
      <c r="W351">
        <v>-7.6822190326984856</v>
      </c>
      <c r="X351">
        <v>0.34696770657756659</v>
      </c>
      <c r="Z351" t="s">
        <v>392</v>
      </c>
      <c r="AA351">
        <v>9937</v>
      </c>
      <c r="AB351" t="s">
        <v>742</v>
      </c>
      <c r="AC351" t="str">
        <f>HYPERLINK("plots/20251231000436_3FT6Y121H01_04823_B11P_N_UFLEX98_M5358A8BH101511/dpll_52084/txpa_53190.png","plot")</f>
        <v>plot</v>
      </c>
    </row>
    <row r="352" spans="1:29" x14ac:dyDescent="0.35">
      <c r="A352" t="s">
        <v>46</v>
      </c>
      <c r="B352">
        <v>52084</v>
      </c>
      <c r="C352" t="s">
        <v>52</v>
      </c>
      <c r="D352">
        <v>53191</v>
      </c>
      <c r="E352" t="s">
        <v>66</v>
      </c>
      <c r="F352">
        <v>8716</v>
      </c>
      <c r="G352">
        <v>0.39777848781480701</v>
      </c>
      <c r="H352">
        <v>0</v>
      </c>
      <c r="I352">
        <v>0</v>
      </c>
      <c r="J352">
        <v>0.29002045141384297</v>
      </c>
      <c r="K352">
        <v>1.6456417044170689E-168</v>
      </c>
      <c r="L352">
        <v>2.233842956196664E-168</v>
      </c>
      <c r="M352">
        <v>0.19853285339918919</v>
      </c>
      <c r="N352">
        <v>5.2104213738240953E-170</v>
      </c>
      <c r="O352">
        <v>7.0917681517552106E-170</v>
      </c>
      <c r="P352">
        <v>0.1582277253682346</v>
      </c>
      <c r="Q352">
        <v>0.89750092971461404</v>
      </c>
      <c r="R352">
        <v>-11.415657769968581</v>
      </c>
      <c r="S352">
        <v>0.25791219436216811</v>
      </c>
      <c r="T352">
        <v>0.1996887822121878</v>
      </c>
      <c r="U352">
        <v>4.3169497564249664</v>
      </c>
      <c r="V352">
        <v>0.1245965072716559</v>
      </c>
      <c r="W352">
        <v>-7.5411913500458931</v>
      </c>
      <c r="X352">
        <v>0.28112500937347618</v>
      </c>
      <c r="Z352" t="s">
        <v>392</v>
      </c>
      <c r="AA352">
        <v>9937</v>
      </c>
      <c r="AB352" t="s">
        <v>743</v>
      </c>
      <c r="AC352" t="str">
        <f>HYPERLINK("plots/20251231000436_3FT6Y121H01_04823_B11P_N_UFLEX98_M5358A8BH101511/dpll_52084/txpa_53191.png","plot")</f>
        <v>plot</v>
      </c>
    </row>
    <row r="353" spans="1:29" x14ac:dyDescent="0.35">
      <c r="A353" t="s">
        <v>46</v>
      </c>
      <c r="B353">
        <v>52084</v>
      </c>
      <c r="C353" t="s">
        <v>52</v>
      </c>
      <c r="D353">
        <v>53192</v>
      </c>
      <c r="E353" t="s">
        <v>67</v>
      </c>
      <c r="F353">
        <v>8714</v>
      </c>
      <c r="G353">
        <v>0.37367922236573892</v>
      </c>
      <c r="H353">
        <v>6.8312884455719558E-287</v>
      </c>
      <c r="I353">
        <v>8.8241101704585518E-287</v>
      </c>
      <c r="J353">
        <v>0.25021162200779129</v>
      </c>
      <c r="K353">
        <v>1.682980380551724E-124</v>
      </c>
      <c r="L353">
        <v>2.026772097244E-124</v>
      </c>
      <c r="M353">
        <v>0.17183296747728019</v>
      </c>
      <c r="N353">
        <v>7.7371697808741566E-128</v>
      </c>
      <c r="O353">
        <v>9.4070625393362042E-128</v>
      </c>
      <c r="P353">
        <v>0.13963616122786329</v>
      </c>
      <c r="Q353">
        <v>1.000226893410068</v>
      </c>
      <c r="R353">
        <v>-11.84769651109043</v>
      </c>
      <c r="S353">
        <v>0.30909393098051913</v>
      </c>
      <c r="T353">
        <v>0.23981713134621721</v>
      </c>
      <c r="U353">
        <v>4.3170286534312599</v>
      </c>
      <c r="V353">
        <v>0.1245015468883639</v>
      </c>
      <c r="W353">
        <v>-7.5296883523066329</v>
      </c>
      <c r="X353">
        <v>0.33325319690109118</v>
      </c>
      <c r="Z353" t="s">
        <v>392</v>
      </c>
      <c r="AA353">
        <v>9937</v>
      </c>
      <c r="AB353" t="s">
        <v>744</v>
      </c>
      <c r="AC353" t="str">
        <f>HYPERLINK("plots/20251231000436_3FT6Y121H01_04823_B11P_N_UFLEX98_M5358A8BH101511/dpll_52084/txpa_53192.png","plot")</f>
        <v>plot</v>
      </c>
    </row>
    <row r="354" spans="1:29" x14ac:dyDescent="0.35">
      <c r="A354" t="s">
        <v>46</v>
      </c>
      <c r="B354">
        <v>52084</v>
      </c>
      <c r="C354" t="s">
        <v>52</v>
      </c>
      <c r="D354">
        <v>53193</v>
      </c>
      <c r="E354" t="s">
        <v>68</v>
      </c>
      <c r="F354">
        <v>8716</v>
      </c>
      <c r="G354">
        <v>0.3875101126694025</v>
      </c>
      <c r="H354">
        <v>0</v>
      </c>
      <c r="I354">
        <v>0</v>
      </c>
      <c r="J354">
        <v>0.2894775699626449</v>
      </c>
      <c r="K354">
        <v>7.3619833519163288E-168</v>
      </c>
      <c r="L354">
        <v>9.9269296793127095E-168</v>
      </c>
      <c r="M354">
        <v>0.1980269177404971</v>
      </c>
      <c r="N354">
        <v>3.7103885507282879E-169</v>
      </c>
      <c r="O354">
        <v>5.023142844377148E-169</v>
      </c>
      <c r="P354">
        <v>0.150164087421053</v>
      </c>
      <c r="Q354">
        <v>0.90054125334636403</v>
      </c>
      <c r="R354">
        <v>-11.39255711080556</v>
      </c>
      <c r="S354">
        <v>0.2669125932773152</v>
      </c>
      <c r="T354">
        <v>0.20897900991038201</v>
      </c>
      <c r="U354">
        <v>4.3169497564249664</v>
      </c>
      <c r="V354">
        <v>0.1245965072716559</v>
      </c>
      <c r="W354">
        <v>-7.504965766521341</v>
      </c>
      <c r="X354">
        <v>0.28955191400829711</v>
      </c>
      <c r="Z354" t="s">
        <v>392</v>
      </c>
      <c r="AA354">
        <v>9937</v>
      </c>
      <c r="AB354" t="s">
        <v>745</v>
      </c>
      <c r="AC354" t="str">
        <f>HYPERLINK("plots/20251231000436_3FT6Y121H01_04823_B11P_N_UFLEX98_M5358A8BH101511/dpll_52084/txpa_53193.png","plot")</f>
        <v>plot</v>
      </c>
    </row>
    <row r="355" spans="1:29" x14ac:dyDescent="0.35">
      <c r="A355" t="s">
        <v>46</v>
      </c>
      <c r="B355">
        <v>52084</v>
      </c>
      <c r="C355" t="s">
        <v>52</v>
      </c>
      <c r="D355">
        <v>53194</v>
      </c>
      <c r="E355" t="s">
        <v>69</v>
      </c>
      <c r="F355">
        <v>8713</v>
      </c>
      <c r="G355">
        <v>0.39634010722645457</v>
      </c>
      <c r="H355">
        <v>0</v>
      </c>
      <c r="I355">
        <v>0</v>
      </c>
      <c r="J355">
        <v>0.28470216221002143</v>
      </c>
      <c r="K355">
        <v>3.8351194544143601E-162</v>
      </c>
      <c r="L355">
        <v>5.0243037813645493E-162</v>
      </c>
      <c r="M355">
        <v>0.1951312041649623</v>
      </c>
      <c r="N355">
        <v>3.0178769935461871E-164</v>
      </c>
      <c r="O355">
        <v>4.0211922095346034E-164</v>
      </c>
      <c r="P355">
        <v>0.15708548059627761</v>
      </c>
      <c r="Q355">
        <v>0.98016911751705493</v>
      </c>
      <c r="R355">
        <v>-12.13280743575517</v>
      </c>
      <c r="S355">
        <v>0.28253911326423792</v>
      </c>
      <c r="T355">
        <v>0.21694082624072891</v>
      </c>
      <c r="U355">
        <v>4.3170713371972917</v>
      </c>
      <c r="V355">
        <v>0.1244453695426037</v>
      </c>
      <c r="W355">
        <v>-7.9013474329163316</v>
      </c>
      <c r="X355">
        <v>0.3077596887613599</v>
      </c>
      <c r="Z355" t="s">
        <v>392</v>
      </c>
      <c r="AA355">
        <v>9937</v>
      </c>
      <c r="AB355" t="s">
        <v>746</v>
      </c>
      <c r="AC355" t="str">
        <f>HYPERLINK("plots/20251231000436_3FT6Y121H01_04823_B11P_N_UFLEX98_M5358A8BH101511/dpll_52084/txpa_53194.png","plot")</f>
        <v>plot</v>
      </c>
    </row>
    <row r="356" spans="1:29" x14ac:dyDescent="0.35">
      <c r="A356" t="s">
        <v>46</v>
      </c>
      <c r="B356">
        <v>52084</v>
      </c>
      <c r="C356" t="s">
        <v>52</v>
      </c>
      <c r="D356">
        <v>53195</v>
      </c>
      <c r="E356" t="s">
        <v>70</v>
      </c>
      <c r="F356">
        <v>8715</v>
      </c>
      <c r="G356">
        <v>0.39122910929654209</v>
      </c>
      <c r="H356">
        <v>0</v>
      </c>
      <c r="I356">
        <v>0</v>
      </c>
      <c r="J356">
        <v>0.3121307168613196</v>
      </c>
      <c r="K356">
        <v>3.1536850944157241E-196</v>
      </c>
      <c r="L356">
        <v>4.641272403102386E-196</v>
      </c>
      <c r="M356">
        <v>0.21284235316597361</v>
      </c>
      <c r="N356">
        <v>4.2461739957387847E-195</v>
      </c>
      <c r="O356">
        <v>6.2309991775385343E-195</v>
      </c>
      <c r="P356">
        <v>0.1530602159609657</v>
      </c>
      <c r="Q356">
        <v>0.82111159231141484</v>
      </c>
      <c r="R356">
        <v>-5.5000294115654604</v>
      </c>
      <c r="S356">
        <v>0.24061889945351669</v>
      </c>
      <c r="T356">
        <v>0.1790601639113254</v>
      </c>
      <c r="U356">
        <v>4.3169742947791159</v>
      </c>
      <c r="V356">
        <v>0.1245825926204399</v>
      </c>
      <c r="W356">
        <v>-1.955311774411933</v>
      </c>
      <c r="X356">
        <v>0.26147392555934718</v>
      </c>
      <c r="Z356" t="s">
        <v>392</v>
      </c>
      <c r="AA356">
        <v>9937</v>
      </c>
      <c r="AB356" t="s">
        <v>747</v>
      </c>
      <c r="AC356" t="str">
        <f>HYPERLINK("plots/20251231000436_3FT6Y121H01_04823_B11P_N_UFLEX98_M5358A8BH101511/dpll_52084/txpa_53195.png","plot")</f>
        <v>plot</v>
      </c>
    </row>
    <row r="357" spans="1:29" x14ac:dyDescent="0.35">
      <c r="A357" t="s">
        <v>46</v>
      </c>
      <c r="B357">
        <v>52084</v>
      </c>
      <c r="C357" t="s">
        <v>52</v>
      </c>
      <c r="D357">
        <v>53196</v>
      </c>
      <c r="E357" t="s">
        <v>71</v>
      </c>
      <c r="F357">
        <v>8716</v>
      </c>
      <c r="G357">
        <v>0.33623298984436761</v>
      </c>
      <c r="H357">
        <v>2.487345201543737E-229</v>
      </c>
      <c r="I357">
        <v>2.9361676767931889E-229</v>
      </c>
      <c r="J357">
        <v>0.20867202327737561</v>
      </c>
      <c r="K357">
        <v>2.3368335505264381E-86</v>
      </c>
      <c r="L357">
        <v>2.618286431197578E-86</v>
      </c>
      <c r="M357">
        <v>0.14233448874128929</v>
      </c>
      <c r="N357">
        <v>2.3388036534413911E-88</v>
      </c>
      <c r="O357">
        <v>2.6321275300661161E-88</v>
      </c>
      <c r="P357">
        <v>0.1130526234596826</v>
      </c>
      <c r="Q357">
        <v>0.95441412326181729</v>
      </c>
      <c r="R357">
        <v>-5.7896333864365372</v>
      </c>
      <c r="S357">
        <v>0.33306301934047322</v>
      </c>
      <c r="T357">
        <v>0.26381034802783859</v>
      </c>
      <c r="U357">
        <v>4.3169497564249664</v>
      </c>
      <c r="V357">
        <v>0.1245965072716559</v>
      </c>
      <c r="W357">
        <v>-1.6694755694928869</v>
      </c>
      <c r="X357">
        <v>0.35367340457640722</v>
      </c>
      <c r="Z357" t="s">
        <v>392</v>
      </c>
      <c r="AA357">
        <v>9937</v>
      </c>
      <c r="AB357" t="s">
        <v>748</v>
      </c>
      <c r="AC357" t="str">
        <f>HYPERLINK("plots/20251231000436_3FT6Y121H01_04823_B11P_N_UFLEX98_M5358A8BH101511/dpll_52084/txpa_53196.png","plot")</f>
        <v>plot</v>
      </c>
    </row>
    <row r="358" spans="1:29" x14ac:dyDescent="0.35">
      <c r="A358" t="s">
        <v>46</v>
      </c>
      <c r="B358">
        <v>52084</v>
      </c>
      <c r="C358" t="s">
        <v>52</v>
      </c>
      <c r="D358">
        <v>53197</v>
      </c>
      <c r="E358" t="s">
        <v>72</v>
      </c>
      <c r="F358">
        <v>8716</v>
      </c>
      <c r="G358">
        <v>0.39843548755824149</v>
      </c>
      <c r="H358">
        <v>0</v>
      </c>
      <c r="I358">
        <v>0</v>
      </c>
      <c r="J358">
        <v>0.30263381215906848</v>
      </c>
      <c r="K358">
        <v>4.9029400269750011E-184</v>
      </c>
      <c r="L358">
        <v>6.9242077818282048E-184</v>
      </c>
      <c r="M358">
        <v>0.20689319235683951</v>
      </c>
      <c r="N358">
        <v>1.7616328171583739E-184</v>
      </c>
      <c r="O358">
        <v>2.5194579359641631E-184</v>
      </c>
      <c r="P358">
        <v>0.15875083774577359</v>
      </c>
      <c r="Q358">
        <v>0.84068174105842031</v>
      </c>
      <c r="R358">
        <v>-5.384049498100774</v>
      </c>
      <c r="S358">
        <v>0.24111091857902259</v>
      </c>
      <c r="T358">
        <v>0.18540370876227061</v>
      </c>
      <c r="U358">
        <v>4.3169497564249664</v>
      </c>
      <c r="V358">
        <v>0.1245965072716559</v>
      </c>
      <c r="W358">
        <v>-1.75486866080771</v>
      </c>
      <c r="X358">
        <v>0.26289327114122202</v>
      </c>
      <c r="Z358" t="s">
        <v>392</v>
      </c>
      <c r="AA358">
        <v>9937</v>
      </c>
      <c r="AB358" t="s">
        <v>749</v>
      </c>
      <c r="AC358" t="str">
        <f>HYPERLINK("plots/20251231000436_3FT6Y121H01_04823_B11P_N_UFLEX98_M5358A8BH101511/dpll_52084/txpa_53197.png","plot")</f>
        <v>plot</v>
      </c>
    </row>
    <row r="359" spans="1:29" x14ac:dyDescent="0.35">
      <c r="A359" t="s">
        <v>46</v>
      </c>
      <c r="B359">
        <v>52084</v>
      </c>
      <c r="C359" t="s">
        <v>52</v>
      </c>
      <c r="D359">
        <v>53198</v>
      </c>
      <c r="E359" t="s">
        <v>73</v>
      </c>
      <c r="F359">
        <v>8716</v>
      </c>
      <c r="G359">
        <v>0.36644838206082853</v>
      </c>
      <c r="H359">
        <v>3.2462702314545942E-275</v>
      </c>
      <c r="I359">
        <v>4.1146475183686979E-275</v>
      </c>
      <c r="J359">
        <v>0.23568051760205491</v>
      </c>
      <c r="K359">
        <v>2.6474765350909581E-110</v>
      </c>
      <c r="L359">
        <v>3.1179340378423141E-110</v>
      </c>
      <c r="M359">
        <v>0.161121227838086</v>
      </c>
      <c r="N359">
        <v>1.1231981249397339E-112</v>
      </c>
      <c r="O359">
        <v>1.336763965597289E-112</v>
      </c>
      <c r="P359">
        <v>0.13428441671499891</v>
      </c>
      <c r="Q359">
        <v>0.9225303229969043</v>
      </c>
      <c r="R359">
        <v>-5.6869676652029417</v>
      </c>
      <c r="S359">
        <v>0.29183435238626299</v>
      </c>
      <c r="T359">
        <v>0.2265103845045629</v>
      </c>
      <c r="U359">
        <v>4.3169497564249664</v>
      </c>
      <c r="V359">
        <v>0.1245965072716559</v>
      </c>
      <c r="W359">
        <v>-1.7044506120468099</v>
      </c>
      <c r="X359">
        <v>0.31367052421185659</v>
      </c>
      <c r="Z359" t="s">
        <v>392</v>
      </c>
      <c r="AA359">
        <v>9937</v>
      </c>
      <c r="AB359" t="s">
        <v>750</v>
      </c>
      <c r="AC359" t="str">
        <f>HYPERLINK("plots/20251231000436_3FT6Y121H01_04823_B11P_N_UFLEX98_M5358A8BH101511/dpll_52084/txpa_53198.png","plot")</f>
        <v>plot</v>
      </c>
    </row>
    <row r="360" spans="1:29" x14ac:dyDescent="0.35">
      <c r="A360" t="s">
        <v>46</v>
      </c>
      <c r="B360">
        <v>52084</v>
      </c>
      <c r="C360" t="s">
        <v>52</v>
      </c>
      <c r="D360">
        <v>53199</v>
      </c>
      <c r="E360" t="s">
        <v>74</v>
      </c>
      <c r="F360">
        <v>8713</v>
      </c>
      <c r="G360">
        <v>0.4300126224214238</v>
      </c>
      <c r="H360">
        <v>0</v>
      </c>
      <c r="I360">
        <v>0</v>
      </c>
      <c r="J360">
        <v>0.3195971073283162</v>
      </c>
      <c r="K360">
        <v>4.1893518241533421E-206</v>
      </c>
      <c r="L360">
        <v>6.3497798949050654E-206</v>
      </c>
      <c r="M360">
        <v>0.21970457685946251</v>
      </c>
      <c r="N360">
        <v>1.067209658442413E-207</v>
      </c>
      <c r="O360">
        <v>1.6248507412321431E-207</v>
      </c>
      <c r="P360">
        <v>0.18491085544175001</v>
      </c>
      <c r="Q360">
        <v>0.87803238766213976</v>
      </c>
      <c r="R360">
        <v>-5.3786323589876872</v>
      </c>
      <c r="S360">
        <v>0.22949775077320139</v>
      </c>
      <c r="T360">
        <v>0.1763396722593896</v>
      </c>
      <c r="U360">
        <v>4.3170480374153559</v>
      </c>
      <c r="V360">
        <v>0.1245006075024038</v>
      </c>
      <c r="W360">
        <v>-1.5881243630437281</v>
      </c>
      <c r="X360">
        <v>0.25421478340603321</v>
      </c>
      <c r="Z360" t="s">
        <v>392</v>
      </c>
      <c r="AA360">
        <v>9937</v>
      </c>
      <c r="AB360" t="s">
        <v>751</v>
      </c>
      <c r="AC360" t="str">
        <f>HYPERLINK("plots/20251231000436_3FT6Y121H01_04823_B11P_N_UFLEX98_M5358A8BH101511/dpll_52084/txpa_53199.png","plot")</f>
        <v>plot</v>
      </c>
    </row>
    <row r="361" spans="1:29" x14ac:dyDescent="0.35">
      <c r="A361" t="s">
        <v>46</v>
      </c>
      <c r="B361">
        <v>52084</v>
      </c>
      <c r="C361" t="s">
        <v>52</v>
      </c>
      <c r="D361">
        <v>53200</v>
      </c>
      <c r="E361" t="s">
        <v>75</v>
      </c>
      <c r="F361">
        <v>8712</v>
      </c>
      <c r="G361">
        <v>0.39717202137037472</v>
      </c>
      <c r="H361">
        <v>0</v>
      </c>
      <c r="I361">
        <v>0</v>
      </c>
      <c r="J361">
        <v>0.26973616715935078</v>
      </c>
      <c r="K361">
        <v>4.237321264803546E-145</v>
      </c>
      <c r="L361">
        <v>5.377526611402748E-145</v>
      </c>
      <c r="M361">
        <v>0.18567053666541031</v>
      </c>
      <c r="N361">
        <v>6.5992397993822163E-149</v>
      </c>
      <c r="O361">
        <v>8.4704166538905913E-149</v>
      </c>
      <c r="P361">
        <v>0.15774561455942929</v>
      </c>
      <c r="Q361">
        <v>0.96358147185951881</v>
      </c>
      <c r="R361">
        <v>-5.7315828664142323</v>
      </c>
      <c r="S361">
        <v>0.27709316927483579</v>
      </c>
      <c r="T361">
        <v>0.21366421264206251</v>
      </c>
      <c r="U361">
        <v>4.3170860431588611</v>
      </c>
      <c r="V361">
        <v>0.1244569955137302</v>
      </c>
      <c r="W361">
        <v>-1.5717187428030299</v>
      </c>
      <c r="X361">
        <v>0.30194587853030169</v>
      </c>
      <c r="Z361" t="s">
        <v>392</v>
      </c>
      <c r="AA361">
        <v>9937</v>
      </c>
      <c r="AB361" t="s">
        <v>752</v>
      </c>
      <c r="AC361" t="str">
        <f>HYPERLINK("plots/20251231000436_3FT6Y121H01_04823_B11P_N_UFLEX98_M5358A8BH101511/dpll_52084/txpa_53200.png","plot")</f>
        <v>plot</v>
      </c>
    </row>
    <row r="362" spans="1:29" x14ac:dyDescent="0.35">
      <c r="A362" t="s">
        <v>46</v>
      </c>
      <c r="B362">
        <v>52084</v>
      </c>
      <c r="C362" t="s">
        <v>52</v>
      </c>
      <c r="D362">
        <v>53201</v>
      </c>
      <c r="E362" t="s">
        <v>76</v>
      </c>
      <c r="F362">
        <v>8715</v>
      </c>
      <c r="G362">
        <v>0.41952065965732888</v>
      </c>
      <c r="H362">
        <v>0</v>
      </c>
      <c r="I362">
        <v>0</v>
      </c>
      <c r="J362">
        <v>0.31476692898119069</v>
      </c>
      <c r="K362">
        <v>1.0658465468732411E-199</v>
      </c>
      <c r="L362">
        <v>1.580070758084016E-199</v>
      </c>
      <c r="M362">
        <v>0.2159448381290979</v>
      </c>
      <c r="N362">
        <v>9.0845208666311773E-201</v>
      </c>
      <c r="O362">
        <v>1.3566574607899871E-200</v>
      </c>
      <c r="P362">
        <v>0.17599758387932041</v>
      </c>
      <c r="Q362">
        <v>0.88229519867095285</v>
      </c>
      <c r="R362">
        <v>-5.3536527015222202</v>
      </c>
      <c r="S362">
        <v>0.23779316324417871</v>
      </c>
      <c r="T362">
        <v>0.1844473590774606</v>
      </c>
      <c r="U362">
        <v>4.31698256993689</v>
      </c>
      <c r="V362">
        <v>0.12456598786527739</v>
      </c>
      <c r="W362">
        <v>-1.5447997073207109</v>
      </c>
      <c r="X362">
        <v>0.26197511488709452</v>
      </c>
      <c r="Z362" t="s">
        <v>392</v>
      </c>
      <c r="AA362">
        <v>9937</v>
      </c>
      <c r="AB362" t="s">
        <v>753</v>
      </c>
      <c r="AC362" t="str">
        <f>HYPERLINK("plots/20251231000436_3FT6Y121H01_04823_B11P_N_UFLEX98_M5358A8BH101511/dpll_52084/txpa_53201.png","plot")</f>
        <v>plot</v>
      </c>
    </row>
    <row r="363" spans="1:29" x14ac:dyDescent="0.35">
      <c r="A363" t="s">
        <v>46</v>
      </c>
      <c r="B363">
        <v>52084</v>
      </c>
      <c r="C363" t="s">
        <v>52</v>
      </c>
      <c r="D363">
        <v>53202</v>
      </c>
      <c r="E363" t="s">
        <v>77</v>
      </c>
      <c r="F363">
        <v>8712</v>
      </c>
      <c r="G363">
        <v>0.41511350617558329</v>
      </c>
      <c r="H363">
        <v>0</v>
      </c>
      <c r="I363">
        <v>0</v>
      </c>
      <c r="J363">
        <v>0.29804200140454878</v>
      </c>
      <c r="K363">
        <v>3.2702100022193272E-178</v>
      </c>
      <c r="L363">
        <v>4.548687163580792E-178</v>
      </c>
      <c r="M363">
        <v>0.20457154130118599</v>
      </c>
      <c r="N363">
        <v>2.5030985431787929E-180</v>
      </c>
      <c r="O363">
        <v>3.5251971149768009E-180</v>
      </c>
      <c r="P363">
        <v>0.17231922300938601</v>
      </c>
      <c r="Q363">
        <v>0.92902917053363376</v>
      </c>
      <c r="R363">
        <v>-5.8908443441413114</v>
      </c>
      <c r="S363">
        <v>0.25330331681442497</v>
      </c>
      <c r="T363">
        <v>0.19351221616250769</v>
      </c>
      <c r="U363">
        <v>4.3171041759641868</v>
      </c>
      <c r="V363">
        <v>0.1244147530790896</v>
      </c>
      <c r="W363">
        <v>-1.8801286324380171</v>
      </c>
      <c r="X363">
        <v>0.27844175902656287</v>
      </c>
      <c r="Z363" t="s">
        <v>392</v>
      </c>
      <c r="AA363">
        <v>9937</v>
      </c>
      <c r="AB363" t="s">
        <v>754</v>
      </c>
      <c r="AC363" t="str">
        <f>HYPERLINK("plots/20251231000436_3FT6Y121H01_04823_B11P_N_UFLEX98_M5358A8BH101511/dpll_52084/txpa_53202.png","plot")</f>
        <v>plot</v>
      </c>
    </row>
    <row r="364" spans="1:29" x14ac:dyDescent="0.35">
      <c r="A364" t="s">
        <v>46</v>
      </c>
      <c r="B364">
        <v>52084</v>
      </c>
      <c r="C364" t="s">
        <v>52</v>
      </c>
      <c r="D364">
        <v>53203</v>
      </c>
      <c r="E364" t="s">
        <v>78</v>
      </c>
      <c r="F364">
        <v>8711</v>
      </c>
      <c r="G364">
        <v>0.40971216729290572</v>
      </c>
      <c r="H364">
        <v>0</v>
      </c>
      <c r="I364">
        <v>0</v>
      </c>
      <c r="J364">
        <v>0.33026043293002671</v>
      </c>
      <c r="K364">
        <v>1.005579089318187E-220</v>
      </c>
      <c r="L364">
        <v>1.5735450564330901E-220</v>
      </c>
      <c r="M364">
        <v>0.22573793630972591</v>
      </c>
      <c r="N364">
        <v>4.2180634958070559E-219</v>
      </c>
      <c r="O364">
        <v>6.580179053459008E-219</v>
      </c>
      <c r="P364">
        <v>0.16786406002785001</v>
      </c>
      <c r="Q364">
        <v>0.85890857983207936</v>
      </c>
      <c r="R364">
        <v>-2.8069810023237829</v>
      </c>
      <c r="S364">
        <v>0.23785038433549219</v>
      </c>
      <c r="T364">
        <v>0.1754470543867086</v>
      </c>
      <c r="U364">
        <v>4.3171353610377681</v>
      </c>
      <c r="V364">
        <v>0.1243837275052731</v>
      </c>
      <c r="W364">
        <v>0.90104359956801749</v>
      </c>
      <c r="X364">
        <v>0.26075440095338448</v>
      </c>
      <c r="Z364" t="s">
        <v>392</v>
      </c>
      <c r="AA364">
        <v>9937</v>
      </c>
      <c r="AB364" t="s">
        <v>755</v>
      </c>
      <c r="AC364" t="str">
        <f>HYPERLINK("plots/20251231000436_3FT6Y121H01_04823_B11P_N_UFLEX98_M5358A8BH101511/dpll_52084/txpa_53203.png","plot")</f>
        <v>plot</v>
      </c>
    </row>
    <row r="365" spans="1:29" x14ac:dyDescent="0.35">
      <c r="A365" t="s">
        <v>46</v>
      </c>
      <c r="B365">
        <v>52084</v>
      </c>
      <c r="C365" t="s">
        <v>52</v>
      </c>
      <c r="D365">
        <v>53204</v>
      </c>
      <c r="E365" t="s">
        <v>79</v>
      </c>
      <c r="F365">
        <v>8716</v>
      </c>
      <c r="G365">
        <v>0.35976090463622318</v>
      </c>
      <c r="H365">
        <v>1.272697093472937E-264</v>
      </c>
      <c r="I365">
        <v>1.5873491424127409E-264</v>
      </c>
      <c r="J365">
        <v>0.22542704670500599</v>
      </c>
      <c r="K365">
        <v>7.7789423055866071E-101</v>
      </c>
      <c r="L365">
        <v>9.045696671863325E-101</v>
      </c>
      <c r="M365">
        <v>0.15386695882458651</v>
      </c>
      <c r="N365">
        <v>6.2134104856423857E-103</v>
      </c>
      <c r="O365">
        <v>7.2252273307813979E-103</v>
      </c>
      <c r="P365">
        <v>0.1294279085046737</v>
      </c>
      <c r="Q365">
        <v>0.99554949712711982</v>
      </c>
      <c r="R365">
        <v>-3.1209229254561488</v>
      </c>
      <c r="S365">
        <v>0.32168603973008131</v>
      </c>
      <c r="T365">
        <v>0.2530534623461147</v>
      </c>
      <c r="U365">
        <v>4.3169497564249664</v>
      </c>
      <c r="V365">
        <v>0.1245965072716559</v>
      </c>
      <c r="W365">
        <v>1.176814233675769</v>
      </c>
      <c r="X365">
        <v>0.34479007740854772</v>
      </c>
      <c r="Z365" t="s">
        <v>392</v>
      </c>
      <c r="AA365">
        <v>9937</v>
      </c>
      <c r="AB365" t="s">
        <v>756</v>
      </c>
      <c r="AC365" t="str">
        <f>HYPERLINK("plots/20251231000436_3FT6Y121H01_04823_B11P_N_UFLEX98_M5358A8BH101511/dpll_52084/txpa_53204.png","plot")</f>
        <v>plot</v>
      </c>
    </row>
    <row r="366" spans="1:29" x14ac:dyDescent="0.35">
      <c r="A366" t="s">
        <v>46</v>
      </c>
      <c r="B366">
        <v>52084</v>
      </c>
      <c r="C366" t="s">
        <v>52</v>
      </c>
      <c r="D366">
        <v>53205</v>
      </c>
      <c r="E366" t="s">
        <v>80</v>
      </c>
      <c r="F366">
        <v>8715</v>
      </c>
      <c r="G366">
        <v>0.42527931979895339</v>
      </c>
      <c r="H366">
        <v>0</v>
      </c>
      <c r="I366">
        <v>0</v>
      </c>
      <c r="J366">
        <v>0.3277247341688635</v>
      </c>
      <c r="K366">
        <v>2.7874574470200299E-217</v>
      </c>
      <c r="L366">
        <v>4.3152394676004741E-217</v>
      </c>
      <c r="M366">
        <v>0.2246877358675827</v>
      </c>
      <c r="N366">
        <v>3.46839200826675E-217</v>
      </c>
      <c r="O366">
        <v>5.3940943196050369E-217</v>
      </c>
      <c r="P366">
        <v>0.18086249984866051</v>
      </c>
      <c r="Q366">
        <v>0.8957028116861605</v>
      </c>
      <c r="R366">
        <v>-2.7815281728033501</v>
      </c>
      <c r="S366">
        <v>0.23739405672590511</v>
      </c>
      <c r="T366">
        <v>0.18028063310199621</v>
      </c>
      <c r="U366">
        <v>4.3169906629948356</v>
      </c>
      <c r="V366">
        <v>0.1245451106562782</v>
      </c>
      <c r="W366">
        <v>1.085212502064028</v>
      </c>
      <c r="X366">
        <v>0.26231091097805798</v>
      </c>
      <c r="Z366" t="s">
        <v>392</v>
      </c>
      <c r="AA366">
        <v>9937</v>
      </c>
      <c r="AB366" t="s">
        <v>757</v>
      </c>
      <c r="AC366" t="str">
        <f>HYPERLINK("plots/20251231000436_3FT6Y121H01_04823_B11P_N_UFLEX98_M5358A8BH101511/dpll_52084/txpa_53205.png","plot")</f>
        <v>plot</v>
      </c>
    </row>
    <row r="367" spans="1:29" x14ac:dyDescent="0.35">
      <c r="A367" t="s">
        <v>46</v>
      </c>
      <c r="B367">
        <v>52084</v>
      </c>
      <c r="C367" t="s">
        <v>52</v>
      </c>
      <c r="D367">
        <v>53206</v>
      </c>
      <c r="E367" t="s">
        <v>81</v>
      </c>
      <c r="F367">
        <v>8713</v>
      </c>
      <c r="G367">
        <v>0.38907778604544901</v>
      </c>
      <c r="H367">
        <v>0</v>
      </c>
      <c r="I367">
        <v>0</v>
      </c>
      <c r="J367">
        <v>0.25536571933441943</v>
      </c>
      <c r="K367">
        <v>9.2418364034996658E-130</v>
      </c>
      <c r="L367">
        <v>1.126348811676522E-129</v>
      </c>
      <c r="M367">
        <v>0.17480270434733669</v>
      </c>
      <c r="N367">
        <v>3.123888520803781E-132</v>
      </c>
      <c r="O367">
        <v>3.8164132049337758E-132</v>
      </c>
      <c r="P367">
        <v>0.15138152359402821</v>
      </c>
      <c r="Q367">
        <v>0.95981888709720009</v>
      </c>
      <c r="R367">
        <v>-3.001646208258602</v>
      </c>
      <c r="S367">
        <v>0.28281878637722019</v>
      </c>
      <c r="T367">
        <v>0.21831625966838</v>
      </c>
      <c r="U367">
        <v>4.3170632345919886</v>
      </c>
      <c r="V367">
        <v>0.1244583619399507</v>
      </c>
      <c r="W367">
        <v>1.1419526210957189</v>
      </c>
      <c r="X367">
        <v>0.30702725966778749</v>
      </c>
      <c r="Z367" t="s">
        <v>392</v>
      </c>
      <c r="AA367">
        <v>9937</v>
      </c>
      <c r="AB367" t="s">
        <v>758</v>
      </c>
      <c r="AC367" t="str">
        <f>HYPERLINK("plots/20251231000436_3FT6Y121H01_04823_B11P_N_UFLEX98_M5358A8BH101511/dpll_52084/txpa_53206.png","plot")</f>
        <v>plot</v>
      </c>
    </row>
    <row r="368" spans="1:29" x14ac:dyDescent="0.35">
      <c r="A368" t="s">
        <v>46</v>
      </c>
      <c r="B368">
        <v>52084</v>
      </c>
      <c r="C368" t="s">
        <v>52</v>
      </c>
      <c r="D368">
        <v>53207</v>
      </c>
      <c r="E368" t="s">
        <v>82</v>
      </c>
      <c r="F368">
        <v>8712</v>
      </c>
      <c r="G368">
        <v>0.45483165993990587</v>
      </c>
      <c r="H368">
        <v>0</v>
      </c>
      <c r="I368">
        <v>0</v>
      </c>
      <c r="J368">
        <v>0.34380170139845689</v>
      </c>
      <c r="K368">
        <v>3.0397484744244041E-240</v>
      </c>
      <c r="L368">
        <v>5.0446889575553929E-240</v>
      </c>
      <c r="M368">
        <v>0.23716156639080749</v>
      </c>
      <c r="N368">
        <v>1.202626680772895E-241</v>
      </c>
      <c r="O368">
        <v>2.0256868011689629E-241</v>
      </c>
      <c r="P368">
        <v>0.20687183888369021</v>
      </c>
      <c r="Q368">
        <v>0.92976430663411669</v>
      </c>
      <c r="R368">
        <v>-2.7709564711264081</v>
      </c>
      <c r="S368">
        <v>0.22654417195852619</v>
      </c>
      <c r="T368">
        <v>0.17191142609953339</v>
      </c>
      <c r="U368">
        <v>4.317089746097337</v>
      </c>
      <c r="V368">
        <v>0.1244468628605717</v>
      </c>
      <c r="W368">
        <v>1.242919483331038</v>
      </c>
      <c r="X368">
        <v>0.25439357316427369</v>
      </c>
      <c r="Z368" t="s">
        <v>392</v>
      </c>
      <c r="AA368">
        <v>9937</v>
      </c>
      <c r="AB368" t="s">
        <v>759</v>
      </c>
      <c r="AC368" t="str">
        <f>HYPERLINK("plots/20251231000436_3FT6Y121H01_04823_B11P_N_UFLEX98_M5358A8BH101511/dpll_52084/txpa_53207.png","plot")</f>
        <v>plot</v>
      </c>
    </row>
    <row r="369" spans="1:29" x14ac:dyDescent="0.35">
      <c r="A369" t="s">
        <v>46</v>
      </c>
      <c r="B369">
        <v>52084</v>
      </c>
      <c r="C369" t="s">
        <v>52</v>
      </c>
      <c r="D369">
        <v>53208</v>
      </c>
      <c r="E369" t="s">
        <v>83</v>
      </c>
      <c r="F369">
        <v>8707</v>
      </c>
      <c r="G369">
        <v>0.41812655899905388</v>
      </c>
      <c r="H369">
        <v>0</v>
      </c>
      <c r="I369">
        <v>0</v>
      </c>
      <c r="J369">
        <v>0.29006432522975562</v>
      </c>
      <c r="K369">
        <v>2.1660851109170438E-168</v>
      </c>
      <c r="L369">
        <v>2.932457012643368E-168</v>
      </c>
      <c r="M369">
        <v>0.19990828101675359</v>
      </c>
      <c r="N369">
        <v>3.3502608090312601E-172</v>
      </c>
      <c r="O369">
        <v>4.5907627842671591E-172</v>
      </c>
      <c r="P369">
        <v>0.1748298193403893</v>
      </c>
      <c r="Q369">
        <v>0.98977695519459796</v>
      </c>
      <c r="R369">
        <v>-3.0154972181953981</v>
      </c>
      <c r="S369">
        <v>0.26703457108746059</v>
      </c>
      <c r="T369">
        <v>0.2049183815143617</v>
      </c>
      <c r="U369">
        <v>4.3172928310554717</v>
      </c>
      <c r="V369">
        <v>0.12419127466447601</v>
      </c>
      <c r="W369">
        <v>1.257659734810153</v>
      </c>
      <c r="X369">
        <v>0.29398195128623561</v>
      </c>
      <c r="Z369" t="s">
        <v>392</v>
      </c>
      <c r="AA369">
        <v>9937</v>
      </c>
      <c r="AB369" t="s">
        <v>760</v>
      </c>
      <c r="AC369" t="str">
        <f>HYPERLINK("plots/20251231000436_3FT6Y121H01_04823_B11P_N_UFLEX98_M5358A8BH101511/dpll_52084/txpa_53208.png","plot")</f>
        <v>plot</v>
      </c>
    </row>
    <row r="370" spans="1:29" x14ac:dyDescent="0.35">
      <c r="A370" t="s">
        <v>46</v>
      </c>
      <c r="B370">
        <v>52084</v>
      </c>
      <c r="C370" t="s">
        <v>52</v>
      </c>
      <c r="D370">
        <v>53209</v>
      </c>
      <c r="E370" t="s">
        <v>84</v>
      </c>
      <c r="F370">
        <v>8714</v>
      </c>
      <c r="G370">
        <v>0.44673435369668207</v>
      </c>
      <c r="H370">
        <v>0</v>
      </c>
      <c r="I370">
        <v>0</v>
      </c>
      <c r="J370">
        <v>0.33727270136847642</v>
      </c>
      <c r="K370">
        <v>8.9614853803012723E-231</v>
      </c>
      <c r="L370">
        <v>1.4446655287162939E-230</v>
      </c>
      <c r="M370">
        <v>0.23208233168432971</v>
      </c>
      <c r="N370">
        <v>1.5032178507595911E-231</v>
      </c>
      <c r="O370">
        <v>2.4271702239971741E-231</v>
      </c>
      <c r="P370">
        <v>0.1995715827727923</v>
      </c>
      <c r="Q370">
        <v>0.93454953989134415</v>
      </c>
      <c r="R370">
        <v>-2.7505611440189708</v>
      </c>
      <c r="S370">
        <v>0.23302871410423229</v>
      </c>
      <c r="T370">
        <v>0.17880591154893269</v>
      </c>
      <c r="U370">
        <v>4.3170234849667208</v>
      </c>
      <c r="V370">
        <v>0.1245145584609494</v>
      </c>
      <c r="W370">
        <v>1.2839111675568049</v>
      </c>
      <c r="X370">
        <v>0.2604792363885724</v>
      </c>
      <c r="Z370" t="s">
        <v>392</v>
      </c>
      <c r="AA370">
        <v>9937</v>
      </c>
      <c r="AB370" t="s">
        <v>761</v>
      </c>
      <c r="AC370" t="str">
        <f>HYPERLINK("plots/20251231000436_3FT6Y121H01_04823_B11P_N_UFLEX98_M5358A8BH101511/dpll_52084/txpa_53209.png","plot")</f>
        <v>plot</v>
      </c>
    </row>
    <row r="371" spans="1:29" x14ac:dyDescent="0.35">
      <c r="A371" t="s">
        <v>46</v>
      </c>
      <c r="B371">
        <v>52084</v>
      </c>
      <c r="C371" t="s">
        <v>52</v>
      </c>
      <c r="D371">
        <v>53210</v>
      </c>
      <c r="E371" t="s">
        <v>85</v>
      </c>
      <c r="F371">
        <v>8708</v>
      </c>
      <c r="G371">
        <v>0.43180633479267072</v>
      </c>
      <c r="H371">
        <v>0</v>
      </c>
      <c r="I371">
        <v>0</v>
      </c>
      <c r="J371">
        <v>0.31303788847127972</v>
      </c>
      <c r="K371">
        <v>2.9193095766846133E-197</v>
      </c>
      <c r="L371">
        <v>4.3025870795904028E-197</v>
      </c>
      <c r="M371">
        <v>0.2151349246364947</v>
      </c>
      <c r="N371">
        <v>3.9739113881925039E-199</v>
      </c>
      <c r="O371">
        <v>5.9171015383659325E-199</v>
      </c>
      <c r="P371">
        <v>0.18645671076708001</v>
      </c>
      <c r="Q371">
        <v>0.9579520580424864</v>
      </c>
      <c r="R371">
        <v>-3.1577206425904438</v>
      </c>
      <c r="S371">
        <v>0.24850459379661219</v>
      </c>
      <c r="T371">
        <v>0.18881664291452491</v>
      </c>
      <c r="U371">
        <v>4.3172710124023883</v>
      </c>
      <c r="V371">
        <v>0.1241979022220928</v>
      </c>
      <c r="W371">
        <v>0.97801800886759283</v>
      </c>
      <c r="X371">
        <v>0.27553008478983682</v>
      </c>
      <c r="Z371" t="s">
        <v>392</v>
      </c>
      <c r="AA371">
        <v>9937</v>
      </c>
      <c r="AB371" t="s">
        <v>762</v>
      </c>
      <c r="AC371" t="str">
        <f>HYPERLINK("plots/20251231000436_3FT6Y121H01_04823_B11P_N_UFLEX98_M5358A8BH101511/dpll_52084/txpa_53210.png","plot")</f>
        <v>plot</v>
      </c>
    </row>
    <row r="372" spans="1:29" x14ac:dyDescent="0.35">
      <c r="A372" t="s">
        <v>46</v>
      </c>
      <c r="B372">
        <v>52084</v>
      </c>
      <c r="C372" t="s">
        <v>52</v>
      </c>
      <c r="D372">
        <v>53211</v>
      </c>
      <c r="E372" t="s">
        <v>86</v>
      </c>
      <c r="F372">
        <v>8702</v>
      </c>
      <c r="G372">
        <v>0.43448742578326383</v>
      </c>
      <c r="H372">
        <v>0</v>
      </c>
      <c r="I372">
        <v>0</v>
      </c>
      <c r="J372">
        <v>0.3604334340778465</v>
      </c>
      <c r="K372">
        <v>2.9803870914685648E-265</v>
      </c>
      <c r="L372">
        <v>5.4062835612685604E-265</v>
      </c>
      <c r="M372">
        <v>0.24738286102449589</v>
      </c>
      <c r="N372">
        <v>1.927388324817502E-262</v>
      </c>
      <c r="O372">
        <v>3.4713530397245938E-262</v>
      </c>
      <c r="P372">
        <v>0.18877932316376719</v>
      </c>
      <c r="Q372">
        <v>0.9485221904049238</v>
      </c>
      <c r="R372">
        <v>7.6691020331631776E-3</v>
      </c>
      <c r="S372">
        <v>0.24368056090268209</v>
      </c>
      <c r="T372">
        <v>0.1766787055321459</v>
      </c>
      <c r="U372">
        <v>4.3174926277867156</v>
      </c>
      <c r="V372">
        <v>0.1239384475149489</v>
      </c>
      <c r="W372">
        <v>4.1029066663985292</v>
      </c>
      <c r="X372">
        <v>0.27056793991296518</v>
      </c>
      <c r="Z372" t="s">
        <v>392</v>
      </c>
      <c r="AA372">
        <v>9937</v>
      </c>
      <c r="AB372" t="s">
        <v>763</v>
      </c>
      <c r="AC372" t="str">
        <f>HYPERLINK("plots/20251231000436_3FT6Y121H01_04823_B11P_N_UFLEX98_M5358A8BH101511/dpll_52084/txpa_53211.png","plot")</f>
        <v>plot</v>
      </c>
    </row>
    <row r="373" spans="1:29" x14ac:dyDescent="0.35">
      <c r="A373" t="s">
        <v>46</v>
      </c>
      <c r="B373">
        <v>52084</v>
      </c>
      <c r="C373" t="s">
        <v>52</v>
      </c>
      <c r="D373">
        <v>53212</v>
      </c>
      <c r="E373" t="s">
        <v>87</v>
      </c>
      <c r="F373">
        <v>8710</v>
      </c>
      <c r="G373">
        <v>0.39645733218939372</v>
      </c>
      <c r="H373">
        <v>0</v>
      </c>
      <c r="I373">
        <v>0</v>
      </c>
      <c r="J373">
        <v>0.26057907512194878</v>
      </c>
      <c r="K373">
        <v>3.5657944595211702E-135</v>
      </c>
      <c r="L373">
        <v>4.3826855538842022E-135</v>
      </c>
      <c r="M373">
        <v>0.1780987397826958</v>
      </c>
      <c r="N373">
        <v>3.8135184201136092E-137</v>
      </c>
      <c r="O373">
        <v>4.7214989963311347E-137</v>
      </c>
      <c r="P373">
        <v>0.15717841624673121</v>
      </c>
      <c r="Q373">
        <v>1.079835432177523</v>
      </c>
      <c r="R373">
        <v>-0.29505831844559699</v>
      </c>
      <c r="S373">
        <v>0.31084489890432609</v>
      </c>
      <c r="T373">
        <v>0.24085556651794801</v>
      </c>
      <c r="U373">
        <v>4.3171804442020658</v>
      </c>
      <c r="V373">
        <v>0.1243196369305984</v>
      </c>
      <c r="W373">
        <v>4.3667860923076924</v>
      </c>
      <c r="X373">
        <v>0.33861083645938128</v>
      </c>
      <c r="Z373" t="s">
        <v>392</v>
      </c>
      <c r="AA373">
        <v>9937</v>
      </c>
      <c r="AB373" t="s">
        <v>764</v>
      </c>
      <c r="AC373" t="str">
        <f>HYPERLINK("plots/20251231000436_3FT6Y121H01_04823_B11P_N_UFLEX98_M5358A8BH101511/dpll_52084/txpa_53212.png","plot")</f>
        <v>plot</v>
      </c>
    </row>
    <row r="374" spans="1:29" x14ac:dyDescent="0.35">
      <c r="A374" t="s">
        <v>46</v>
      </c>
      <c r="B374">
        <v>52084</v>
      </c>
      <c r="C374" t="s">
        <v>52</v>
      </c>
      <c r="D374">
        <v>53213</v>
      </c>
      <c r="E374" t="s">
        <v>88</v>
      </c>
      <c r="F374">
        <v>8703</v>
      </c>
      <c r="G374">
        <v>0.45636330099113698</v>
      </c>
      <c r="H374">
        <v>0</v>
      </c>
      <c r="I374">
        <v>0</v>
      </c>
      <c r="J374">
        <v>0.36682201374791928</v>
      </c>
      <c r="K374">
        <v>2.0907155409829E-275</v>
      </c>
      <c r="L374">
        <v>3.882757433253958E-275</v>
      </c>
      <c r="M374">
        <v>0.25296485161492399</v>
      </c>
      <c r="N374">
        <v>2.369926696757979E-274</v>
      </c>
      <c r="O374">
        <v>4.3852293257529018E-274</v>
      </c>
      <c r="P374">
        <v>0.20826746249152711</v>
      </c>
      <c r="Q374">
        <v>0.98853523668657761</v>
      </c>
      <c r="R374">
        <v>-4.0701584115163669E-3</v>
      </c>
      <c r="S374">
        <v>0.23894447652705389</v>
      </c>
      <c r="T374">
        <v>0.17759703423770429</v>
      </c>
      <c r="U374">
        <v>4.3174556236929789</v>
      </c>
      <c r="V374">
        <v>0.12397989371569609</v>
      </c>
      <c r="W374">
        <v>4.2638868584396183</v>
      </c>
      <c r="X374">
        <v>0.26855466535641209</v>
      </c>
      <c r="Z374" t="s">
        <v>392</v>
      </c>
      <c r="AA374">
        <v>9937</v>
      </c>
      <c r="AB374" t="s">
        <v>765</v>
      </c>
      <c r="AC374" t="str">
        <f>HYPERLINK("plots/20251231000436_3FT6Y121H01_04823_B11P_N_UFLEX98_M5358A8BH101511/dpll_52084/txpa_53213.png","plot")</f>
        <v>plot</v>
      </c>
    </row>
    <row r="375" spans="1:29" x14ac:dyDescent="0.35">
      <c r="A375" t="s">
        <v>46</v>
      </c>
      <c r="B375">
        <v>52084</v>
      </c>
      <c r="C375" t="s">
        <v>52</v>
      </c>
      <c r="D375">
        <v>53214</v>
      </c>
      <c r="E375" t="s">
        <v>89</v>
      </c>
      <c r="F375">
        <v>8697</v>
      </c>
      <c r="G375">
        <v>0.41759843457876028</v>
      </c>
      <c r="H375">
        <v>0</v>
      </c>
      <c r="I375">
        <v>0</v>
      </c>
      <c r="J375">
        <v>0.29080047135334708</v>
      </c>
      <c r="K375">
        <v>4.4050219429565729E-169</v>
      </c>
      <c r="L375">
        <v>5.9955600673261268E-169</v>
      </c>
      <c r="M375">
        <v>0.19946259825541279</v>
      </c>
      <c r="N375">
        <v>2.9865382969526499E-171</v>
      </c>
      <c r="O375">
        <v>4.0703626789112731E-171</v>
      </c>
      <c r="P375">
        <v>0.17438845256263119</v>
      </c>
      <c r="Q375">
        <v>1.018711716794481</v>
      </c>
      <c r="R375">
        <v>-6.1880641519142188E-2</v>
      </c>
      <c r="S375">
        <v>0.27415797837798989</v>
      </c>
      <c r="T375">
        <v>0.20970029040591501</v>
      </c>
      <c r="U375">
        <v>4.3176924385420259</v>
      </c>
      <c r="V375">
        <v>0.1236931187825426</v>
      </c>
      <c r="W375">
        <v>4.3366032351385542</v>
      </c>
      <c r="X375">
        <v>0.30174353866468367</v>
      </c>
      <c r="Z375" t="s">
        <v>392</v>
      </c>
      <c r="AA375">
        <v>9937</v>
      </c>
      <c r="AB375" t="s">
        <v>766</v>
      </c>
      <c r="AC375" t="str">
        <f>HYPERLINK("plots/20251231000436_3FT6Y121H01_04823_B11P_N_UFLEX98_M5358A8BH101511/dpll_52084/txpa_53214.png","plot")</f>
        <v>plot</v>
      </c>
    </row>
    <row r="376" spans="1:29" x14ac:dyDescent="0.35">
      <c r="A376" t="s">
        <v>46</v>
      </c>
      <c r="B376">
        <v>52084</v>
      </c>
      <c r="C376" t="s">
        <v>52</v>
      </c>
      <c r="D376">
        <v>53215</v>
      </c>
      <c r="E376" t="s">
        <v>90</v>
      </c>
      <c r="F376">
        <v>8698</v>
      </c>
      <c r="G376">
        <v>0.48105686927312352</v>
      </c>
      <c r="H376">
        <v>0</v>
      </c>
      <c r="I376">
        <v>0</v>
      </c>
      <c r="J376">
        <v>0.37952176310779268</v>
      </c>
      <c r="K376">
        <v>4.651053197011418E-296</v>
      </c>
      <c r="L376">
        <v>9.302106394022837E-296</v>
      </c>
      <c r="M376">
        <v>0.2632073605627524</v>
      </c>
      <c r="N376">
        <v>1.137527776205966E-296</v>
      </c>
      <c r="O376">
        <v>2.3115293889235449E-296</v>
      </c>
      <c r="P376">
        <v>0.23141571147485909</v>
      </c>
      <c r="Q376">
        <v>1.0162975342067</v>
      </c>
      <c r="R376">
        <v>2.501682638042357E-2</v>
      </c>
      <c r="S376">
        <v>0.22917912616639169</v>
      </c>
      <c r="T376">
        <v>0.1708177556357397</v>
      </c>
      <c r="U376">
        <v>4.317652911358933</v>
      </c>
      <c r="V376">
        <v>0.1237456164052297</v>
      </c>
      <c r="W376">
        <v>4.4130368337548864</v>
      </c>
      <c r="X376">
        <v>0.26142930878744097</v>
      </c>
      <c r="Z376" t="s">
        <v>392</v>
      </c>
      <c r="AA376">
        <v>9937</v>
      </c>
      <c r="AB376" t="s">
        <v>767</v>
      </c>
      <c r="AC376" t="str">
        <f>HYPERLINK("plots/20251231000436_3FT6Y121H01_04823_B11P_N_UFLEX98_M5358A8BH101511/dpll_52084/txpa_53215.png","plot")</f>
        <v>plot</v>
      </c>
    </row>
    <row r="377" spans="1:29" x14ac:dyDescent="0.35">
      <c r="A377" t="s">
        <v>46</v>
      </c>
      <c r="B377">
        <v>52084</v>
      </c>
      <c r="C377" t="s">
        <v>52</v>
      </c>
      <c r="D377">
        <v>53216</v>
      </c>
      <c r="E377" t="s">
        <v>91</v>
      </c>
      <c r="F377">
        <v>8694</v>
      </c>
      <c r="G377">
        <v>0.4481290404317903</v>
      </c>
      <c r="H377">
        <v>0</v>
      </c>
      <c r="I377">
        <v>0</v>
      </c>
      <c r="J377">
        <v>0.3283162145599961</v>
      </c>
      <c r="K377">
        <v>1.3879382212313829E-217</v>
      </c>
      <c r="L377">
        <v>2.1585419575592369E-217</v>
      </c>
      <c r="M377">
        <v>0.2268529818252136</v>
      </c>
      <c r="N377">
        <v>7.9264887237724869E-221</v>
      </c>
      <c r="O377">
        <v>1.238437529415301E-220</v>
      </c>
      <c r="P377">
        <v>0.20081963687831711</v>
      </c>
      <c r="Q377">
        <v>1.054697204067323</v>
      </c>
      <c r="R377">
        <v>-0.13043071210447901</v>
      </c>
      <c r="S377">
        <v>0.25984984705132219</v>
      </c>
      <c r="T377">
        <v>0.1967033279784007</v>
      </c>
      <c r="U377">
        <v>4.3178249031515987</v>
      </c>
      <c r="V377">
        <v>0.12350949203047309</v>
      </c>
      <c r="W377">
        <v>4.4235671409017714</v>
      </c>
      <c r="X377">
        <v>0.29068661962813142</v>
      </c>
      <c r="Z377" t="s">
        <v>392</v>
      </c>
      <c r="AA377">
        <v>9937</v>
      </c>
      <c r="AB377" t="s">
        <v>768</v>
      </c>
      <c r="AC377" t="str">
        <f>HYPERLINK("plots/20251231000436_3FT6Y121H01_04823_B11P_N_UFLEX98_M5358A8BH101511/dpll_52084/txpa_53216.png","plot")</f>
        <v>plot</v>
      </c>
    </row>
    <row r="378" spans="1:29" x14ac:dyDescent="0.35">
      <c r="A378" t="s">
        <v>46</v>
      </c>
      <c r="B378">
        <v>52084</v>
      </c>
      <c r="C378" t="s">
        <v>52</v>
      </c>
      <c r="D378">
        <v>53217</v>
      </c>
      <c r="E378" t="s">
        <v>92</v>
      </c>
      <c r="F378">
        <v>8708</v>
      </c>
      <c r="G378">
        <v>0.4816458797511316</v>
      </c>
      <c r="H378">
        <v>0</v>
      </c>
      <c r="I378">
        <v>0</v>
      </c>
      <c r="J378">
        <v>0.37161905839357351</v>
      </c>
      <c r="K378">
        <v>2.5340901700833599E-283</v>
      </c>
      <c r="L378">
        <v>4.8029297803075269E-283</v>
      </c>
      <c r="M378">
        <v>0.25730277178696842</v>
      </c>
      <c r="N378">
        <v>6.272781167897068E-284</v>
      </c>
      <c r="O378">
        <v>1.2069449913183351E-283</v>
      </c>
      <c r="P378">
        <v>0.2319827534812415</v>
      </c>
      <c r="Q378">
        <v>1.03897773452136</v>
      </c>
      <c r="R378">
        <v>-3.8840175069902998E-2</v>
      </c>
      <c r="S378">
        <v>0.2348039859975497</v>
      </c>
      <c r="T378">
        <v>0.17674363886627001</v>
      </c>
      <c r="U378">
        <v>4.3172660997932937</v>
      </c>
      <c r="V378">
        <v>0.12421284972909021</v>
      </c>
      <c r="W378">
        <v>4.4467031766192013</v>
      </c>
      <c r="X378">
        <v>0.26794454314994898</v>
      </c>
      <c r="Z378" t="s">
        <v>392</v>
      </c>
      <c r="AA378">
        <v>9937</v>
      </c>
      <c r="AB378" t="s">
        <v>769</v>
      </c>
      <c r="AC378" t="str">
        <f>HYPERLINK("plots/20251231000436_3FT6Y121H01_04823_B11P_N_UFLEX98_M5358A8BH101511/dpll_52084/txpa_53217.png","plot")</f>
        <v>plot</v>
      </c>
    </row>
    <row r="379" spans="1:29" x14ac:dyDescent="0.35">
      <c r="A379" t="s">
        <v>46</v>
      </c>
      <c r="B379">
        <v>52084</v>
      </c>
      <c r="C379" t="s">
        <v>52</v>
      </c>
      <c r="D379">
        <v>53218</v>
      </c>
      <c r="E379" t="s">
        <v>93</v>
      </c>
      <c r="F379">
        <v>8695</v>
      </c>
      <c r="G379">
        <v>0.45286446177759859</v>
      </c>
      <c r="H379">
        <v>0</v>
      </c>
      <c r="I379">
        <v>0</v>
      </c>
      <c r="J379">
        <v>0.33919237831065491</v>
      </c>
      <c r="K379">
        <v>4.7935174413107868E-233</v>
      </c>
      <c r="L379">
        <v>7.764579369790955E-233</v>
      </c>
      <c r="M379">
        <v>0.23378063183314349</v>
      </c>
      <c r="N379">
        <v>2.0455091263654811E-234</v>
      </c>
      <c r="O379">
        <v>3.3400100710702047E-234</v>
      </c>
      <c r="P379">
        <v>0.2050862207411141</v>
      </c>
      <c r="Q379">
        <v>1.0189650376785939</v>
      </c>
      <c r="R379">
        <v>-0.21607823828350001</v>
      </c>
      <c r="S379">
        <v>0.24791394603988601</v>
      </c>
      <c r="T379">
        <v>0.1863694641158507</v>
      </c>
      <c r="U379">
        <v>4.3177756992524428</v>
      </c>
      <c r="V379">
        <v>0.1235875943820635</v>
      </c>
      <c r="W379">
        <v>4.1835842397929834</v>
      </c>
      <c r="X379">
        <v>0.27807754503812437</v>
      </c>
      <c r="Z379" t="s">
        <v>392</v>
      </c>
      <c r="AA379">
        <v>9937</v>
      </c>
      <c r="AB379" t="s">
        <v>770</v>
      </c>
      <c r="AC379" t="str">
        <f>HYPERLINK("plots/20251231000436_3FT6Y121H01_04823_B11P_N_UFLEX98_M5358A8BH101511/dpll_52084/txpa_53218.png","plot")</f>
        <v>plot</v>
      </c>
    </row>
    <row r="380" spans="1:29" x14ac:dyDescent="0.35">
      <c r="A380" t="s">
        <v>46</v>
      </c>
      <c r="B380">
        <v>52084</v>
      </c>
      <c r="C380" t="s">
        <v>52</v>
      </c>
      <c r="D380">
        <v>53219</v>
      </c>
      <c r="E380" t="s">
        <v>94</v>
      </c>
      <c r="F380">
        <v>8697</v>
      </c>
      <c r="G380">
        <v>0.4478061742389392</v>
      </c>
      <c r="H380">
        <v>0</v>
      </c>
      <c r="I380">
        <v>0</v>
      </c>
      <c r="J380">
        <v>0.37895136483512859</v>
      </c>
      <c r="K380">
        <v>4.5296511472822362E-295</v>
      </c>
      <c r="L380">
        <v>9.0237058218942784E-295</v>
      </c>
      <c r="M380">
        <v>0.26116555277697212</v>
      </c>
      <c r="N380">
        <v>4.3615768919643847E-292</v>
      </c>
      <c r="O380">
        <v>8.6043559697507522E-292</v>
      </c>
      <c r="P380">
        <v>0.20053036968651519</v>
      </c>
      <c r="Q380">
        <v>1.0301296127380879</v>
      </c>
      <c r="R380">
        <v>1.4123627273670161</v>
      </c>
      <c r="S380">
        <v>0.25433030633610881</v>
      </c>
      <c r="T380">
        <v>0.1818416389702536</v>
      </c>
      <c r="U380">
        <v>4.3177043099919512</v>
      </c>
      <c r="V380">
        <v>0.1236574549608986</v>
      </c>
      <c r="W380">
        <v>5.8601577961365994</v>
      </c>
      <c r="X380">
        <v>0.28446058477764341</v>
      </c>
      <c r="Z380" t="s">
        <v>392</v>
      </c>
      <c r="AA380">
        <v>9937</v>
      </c>
      <c r="AB380" t="s">
        <v>771</v>
      </c>
      <c r="AC380" t="str">
        <f>HYPERLINK("plots/20251231000436_3FT6Y121H01_04823_B11P_N_UFLEX98_M5358A8BH101511/dpll_52084/txpa_53219.png","plot")</f>
        <v>plot</v>
      </c>
    </row>
    <row r="381" spans="1:29" x14ac:dyDescent="0.35">
      <c r="A381" t="s">
        <v>46</v>
      </c>
      <c r="B381">
        <v>52084</v>
      </c>
      <c r="C381" t="s">
        <v>52</v>
      </c>
      <c r="D381">
        <v>53220</v>
      </c>
      <c r="E381" t="s">
        <v>95</v>
      </c>
      <c r="F381">
        <v>8702</v>
      </c>
      <c r="G381">
        <v>0.41750450546476331</v>
      </c>
      <c r="H381">
        <v>0</v>
      </c>
      <c r="I381">
        <v>0</v>
      </c>
      <c r="J381">
        <v>0.28906093277545908</v>
      </c>
      <c r="K381">
        <v>4.2754184820848192E-167</v>
      </c>
      <c r="L381">
        <v>5.749700717286481E-167</v>
      </c>
      <c r="M381">
        <v>0.19772627361466699</v>
      </c>
      <c r="N381">
        <v>2.046494998263968E-168</v>
      </c>
      <c r="O381">
        <v>2.7595025641484889E-168</v>
      </c>
      <c r="P381">
        <v>0.17431001208337649</v>
      </c>
      <c r="Q381">
        <v>1.142458326805214</v>
      </c>
      <c r="R381">
        <v>1.1860142822333011</v>
      </c>
      <c r="S381">
        <v>0.30818808206320808</v>
      </c>
      <c r="T381">
        <v>0.2351520676177164</v>
      </c>
      <c r="U381">
        <v>4.3174881777752239</v>
      </c>
      <c r="V381">
        <v>0.1239518705722886</v>
      </c>
      <c r="W381">
        <v>6.1185646018156747</v>
      </c>
      <c r="X381">
        <v>0.33918160116800178</v>
      </c>
      <c r="Z381" t="s">
        <v>392</v>
      </c>
      <c r="AA381">
        <v>9937</v>
      </c>
      <c r="AB381" t="s">
        <v>772</v>
      </c>
      <c r="AC381" t="str">
        <f>HYPERLINK("plots/20251231000436_3FT6Y121H01_04823_B11P_N_UFLEX98_M5358A8BH101511/dpll_52084/txpa_53220.png","plot")</f>
        <v>plot</v>
      </c>
    </row>
    <row r="382" spans="1:29" x14ac:dyDescent="0.35">
      <c r="A382" t="s">
        <v>46</v>
      </c>
      <c r="B382">
        <v>52084</v>
      </c>
      <c r="C382" t="s">
        <v>52</v>
      </c>
      <c r="D382">
        <v>53221</v>
      </c>
      <c r="E382" t="s">
        <v>96</v>
      </c>
      <c r="F382">
        <v>8697</v>
      </c>
      <c r="G382">
        <v>0.47302102729927131</v>
      </c>
      <c r="H382">
        <v>0</v>
      </c>
      <c r="I382">
        <v>0</v>
      </c>
      <c r="J382">
        <v>0.39049877307685282</v>
      </c>
      <c r="K382">
        <v>0</v>
      </c>
      <c r="L382">
        <v>0</v>
      </c>
      <c r="M382">
        <v>0.27074926504209551</v>
      </c>
      <c r="N382">
        <v>0</v>
      </c>
      <c r="O382">
        <v>0</v>
      </c>
      <c r="P382">
        <v>0.223748892267258</v>
      </c>
      <c r="Q382">
        <v>1.0767417416926519</v>
      </c>
      <c r="R382">
        <v>1.3556647232139689</v>
      </c>
      <c r="S382">
        <v>0.24804150819639451</v>
      </c>
      <c r="T382">
        <v>0.18070945587928369</v>
      </c>
      <c r="U382">
        <v>4.3176950842819357</v>
      </c>
      <c r="V382">
        <v>0.12368502290326459</v>
      </c>
      <c r="W382">
        <v>6.0047072483615036</v>
      </c>
      <c r="X382">
        <v>0.2815452576020438</v>
      </c>
      <c r="Z382" t="s">
        <v>392</v>
      </c>
      <c r="AA382">
        <v>9937</v>
      </c>
      <c r="AB382" t="s">
        <v>773</v>
      </c>
      <c r="AC382" t="str">
        <f>HYPERLINK("plots/20251231000436_3FT6Y121H01_04823_B11P_N_UFLEX98_M5358A8BH101511/dpll_52084/txpa_53221.png","plot")</f>
        <v>plot</v>
      </c>
    </row>
    <row r="383" spans="1:29" x14ac:dyDescent="0.35">
      <c r="A383" t="s">
        <v>46</v>
      </c>
      <c r="B383">
        <v>52084</v>
      </c>
      <c r="C383" t="s">
        <v>52</v>
      </c>
      <c r="D383">
        <v>53222</v>
      </c>
      <c r="E383" t="s">
        <v>97</v>
      </c>
      <c r="F383">
        <v>8691</v>
      </c>
      <c r="G383">
        <v>0.43906709750970518</v>
      </c>
      <c r="H383">
        <v>0</v>
      </c>
      <c r="I383">
        <v>0</v>
      </c>
      <c r="J383">
        <v>0.3201813806735887</v>
      </c>
      <c r="K383">
        <v>2.2435102140059631E-206</v>
      </c>
      <c r="L383">
        <v>3.4157948303334039E-206</v>
      </c>
      <c r="M383">
        <v>0.2202117797357088</v>
      </c>
      <c r="N383">
        <v>3.8712163946150288E-208</v>
      </c>
      <c r="O383">
        <v>5.9117672050295777E-208</v>
      </c>
      <c r="P383">
        <v>0.192779916115597</v>
      </c>
      <c r="Q383">
        <v>1.0963646293457641</v>
      </c>
      <c r="R383">
        <v>1.3565556971737069</v>
      </c>
      <c r="S383">
        <v>0.27677265365454901</v>
      </c>
      <c r="T383">
        <v>0.20870050487197009</v>
      </c>
      <c r="U383">
        <v>4.3179392401334713</v>
      </c>
      <c r="V383">
        <v>0.1233752547914314</v>
      </c>
      <c r="W383">
        <v>6.0905915517201699</v>
      </c>
      <c r="X383">
        <v>0.30807196953959182</v>
      </c>
      <c r="Z383" t="s">
        <v>392</v>
      </c>
      <c r="AA383">
        <v>9937</v>
      </c>
      <c r="AB383" t="s">
        <v>774</v>
      </c>
      <c r="AC383" t="str">
        <f>HYPERLINK("plots/20251231000436_3FT6Y121H01_04823_B11P_N_UFLEX98_M5358A8BH101511/dpll_52084/txpa_53222.png","plot")</f>
        <v>plot</v>
      </c>
    </row>
    <row r="384" spans="1:29" x14ac:dyDescent="0.35">
      <c r="A384" t="s">
        <v>46</v>
      </c>
      <c r="B384">
        <v>52084</v>
      </c>
      <c r="C384" t="s">
        <v>52</v>
      </c>
      <c r="D384">
        <v>53223</v>
      </c>
      <c r="E384" t="s">
        <v>98</v>
      </c>
      <c r="F384">
        <v>8689</v>
      </c>
      <c r="G384">
        <v>0.4919808100646425</v>
      </c>
      <c r="H384">
        <v>0</v>
      </c>
      <c r="I384">
        <v>0</v>
      </c>
      <c r="J384">
        <v>0.39819798007950102</v>
      </c>
      <c r="K384">
        <v>0</v>
      </c>
      <c r="L384">
        <v>0</v>
      </c>
      <c r="M384">
        <v>0.27735689352594339</v>
      </c>
      <c r="N384">
        <v>0</v>
      </c>
      <c r="O384">
        <v>0</v>
      </c>
      <c r="P384">
        <v>0.2420451174718618</v>
      </c>
      <c r="Q384">
        <v>1.0919169542668641</v>
      </c>
      <c r="R384">
        <v>1.435038296546568</v>
      </c>
      <c r="S384">
        <v>0.2381981457308518</v>
      </c>
      <c r="T384">
        <v>0.17489793864179121</v>
      </c>
      <c r="U384">
        <v>4.3180159661641149</v>
      </c>
      <c r="V384">
        <v>0.1232821629318956</v>
      </c>
      <c r="W384">
        <v>6.1499531387961799</v>
      </c>
      <c r="X384">
        <v>0.2736161271134529</v>
      </c>
      <c r="Z384" t="s">
        <v>392</v>
      </c>
      <c r="AA384">
        <v>9937</v>
      </c>
      <c r="AB384" t="s">
        <v>775</v>
      </c>
      <c r="AC384" t="str">
        <f>HYPERLINK("plots/20251231000436_3FT6Y121H01_04823_B11P_N_UFLEX98_M5358A8BH101511/dpll_52084/txpa_53223.png","plot")</f>
        <v>plot</v>
      </c>
    </row>
    <row r="385" spans="1:29" x14ac:dyDescent="0.35">
      <c r="A385" t="s">
        <v>46</v>
      </c>
      <c r="B385">
        <v>52084</v>
      </c>
      <c r="C385" t="s">
        <v>52</v>
      </c>
      <c r="D385">
        <v>53224</v>
      </c>
      <c r="E385" t="s">
        <v>99</v>
      </c>
      <c r="F385">
        <v>8690</v>
      </c>
      <c r="G385">
        <v>0.46811942922997229</v>
      </c>
      <c r="H385">
        <v>0</v>
      </c>
      <c r="I385">
        <v>0</v>
      </c>
      <c r="J385">
        <v>0.35792709052266769</v>
      </c>
      <c r="K385">
        <v>5.4959698959810366E-261</v>
      </c>
      <c r="L385">
        <v>9.8461368807858147E-261</v>
      </c>
      <c r="M385">
        <v>0.24798025061538559</v>
      </c>
      <c r="N385">
        <v>2.4274539397911121E-263</v>
      </c>
      <c r="O385">
        <v>4.395425526693192E-263</v>
      </c>
      <c r="P385">
        <v>0.219135800022595</v>
      </c>
      <c r="Q385">
        <v>1.132364003944355</v>
      </c>
      <c r="R385">
        <v>1.266595341468751</v>
      </c>
      <c r="S385">
        <v>0.26336702875991441</v>
      </c>
      <c r="T385">
        <v>0.195973197610957</v>
      </c>
      <c r="U385">
        <v>4.318011481703107</v>
      </c>
      <c r="V385">
        <v>0.1232166080105581</v>
      </c>
      <c r="W385">
        <v>6.1561561119677783</v>
      </c>
      <c r="X385">
        <v>0.29805652764464291</v>
      </c>
      <c r="Z385" t="s">
        <v>392</v>
      </c>
      <c r="AA385">
        <v>9937</v>
      </c>
      <c r="AB385" t="s">
        <v>776</v>
      </c>
      <c r="AC385" t="str">
        <f>HYPERLINK("plots/20251231000436_3FT6Y121H01_04823_B11P_N_UFLEX98_M5358A8BH101511/dpll_52084/txpa_53224.png","plot")</f>
        <v>plot</v>
      </c>
    </row>
    <row r="386" spans="1:29" x14ac:dyDescent="0.35">
      <c r="A386" t="s">
        <v>46</v>
      </c>
      <c r="B386">
        <v>52084</v>
      </c>
      <c r="C386" t="s">
        <v>52</v>
      </c>
      <c r="D386">
        <v>53225</v>
      </c>
      <c r="E386" t="s">
        <v>100</v>
      </c>
      <c r="F386">
        <v>8698</v>
      </c>
      <c r="G386">
        <v>0.49598974703925219</v>
      </c>
      <c r="H386">
        <v>0</v>
      </c>
      <c r="I386">
        <v>0</v>
      </c>
      <c r="J386">
        <v>0.39060706630740533</v>
      </c>
      <c r="K386">
        <v>0</v>
      </c>
      <c r="L386">
        <v>0</v>
      </c>
      <c r="M386">
        <v>0.27164933364193922</v>
      </c>
      <c r="N386">
        <v>0</v>
      </c>
      <c r="O386">
        <v>0</v>
      </c>
      <c r="P386">
        <v>0.24600582916806141</v>
      </c>
      <c r="Q386">
        <v>1.1122818756547519</v>
      </c>
      <c r="R386">
        <v>1.3757909986935</v>
      </c>
      <c r="S386">
        <v>0.241000204495457</v>
      </c>
      <c r="T386">
        <v>0.1791951963636515</v>
      </c>
      <c r="U386">
        <v>4.3176443421476201</v>
      </c>
      <c r="V386">
        <v>0.123770236831533</v>
      </c>
      <c r="W386">
        <v>6.178228545987583</v>
      </c>
      <c r="X386">
        <v>0.27756096168317662</v>
      </c>
      <c r="Z386" t="s">
        <v>392</v>
      </c>
      <c r="AA386">
        <v>9937</v>
      </c>
      <c r="AB386" t="s">
        <v>777</v>
      </c>
      <c r="AC386" t="str">
        <f>HYPERLINK("plots/20251231000436_3FT6Y121H01_04823_B11P_N_UFLEX98_M5358A8BH101511/dpll_52084/txpa_53225.png","plot")</f>
        <v>plot</v>
      </c>
    </row>
    <row r="387" spans="1:29" x14ac:dyDescent="0.35">
      <c r="A387" t="s">
        <v>46</v>
      </c>
      <c r="B387">
        <v>52084</v>
      </c>
      <c r="C387" t="s">
        <v>52</v>
      </c>
      <c r="D387">
        <v>53226</v>
      </c>
      <c r="E387" t="s">
        <v>101</v>
      </c>
      <c r="F387">
        <v>8691</v>
      </c>
      <c r="G387">
        <v>0.46771756695605049</v>
      </c>
      <c r="H387">
        <v>0</v>
      </c>
      <c r="I387">
        <v>0</v>
      </c>
      <c r="J387">
        <v>0.35817462246707299</v>
      </c>
      <c r="K387">
        <v>2.1199192604862168E-261</v>
      </c>
      <c r="L387">
        <v>3.8181139078739319E-261</v>
      </c>
      <c r="M387">
        <v>0.24765937593348769</v>
      </c>
      <c r="N387">
        <v>1.0745585579258459E-262</v>
      </c>
      <c r="O387">
        <v>1.9422502276948449E-262</v>
      </c>
      <c r="P387">
        <v>0.2187597224392876</v>
      </c>
      <c r="Q387">
        <v>1.094699363586173</v>
      </c>
      <c r="R387">
        <v>1.216468138569297</v>
      </c>
      <c r="S387">
        <v>0.25522747706554971</v>
      </c>
      <c r="T387">
        <v>0.18911019063644791</v>
      </c>
      <c r="U387">
        <v>4.3179368460476359</v>
      </c>
      <c r="V387">
        <v>0.12338117947936469</v>
      </c>
      <c r="W387">
        <v>5.9433108559429293</v>
      </c>
      <c r="X387">
        <v>0.28877533835983432</v>
      </c>
      <c r="Z387" t="s">
        <v>392</v>
      </c>
      <c r="AA387">
        <v>9937</v>
      </c>
      <c r="AB387" t="s">
        <v>778</v>
      </c>
      <c r="AC387" t="str">
        <f>HYPERLINK("plots/20251231000436_3FT6Y121H01_04823_B11P_N_UFLEX98_M5358A8BH101511/dpll_52084/txpa_53226.png","plot")</f>
        <v>plot</v>
      </c>
    </row>
    <row r="388" spans="1:29" x14ac:dyDescent="0.35">
      <c r="A388" t="s">
        <v>46</v>
      </c>
      <c r="B388">
        <v>52084</v>
      </c>
      <c r="C388" t="s">
        <v>52</v>
      </c>
      <c r="D388">
        <v>53227</v>
      </c>
      <c r="E388" t="s">
        <v>102</v>
      </c>
      <c r="F388">
        <v>8686</v>
      </c>
      <c r="G388">
        <v>0.4537759603564247</v>
      </c>
      <c r="H388">
        <v>0</v>
      </c>
      <c r="I388">
        <v>0</v>
      </c>
      <c r="J388">
        <v>0.39632962012351508</v>
      </c>
      <c r="K388">
        <v>0</v>
      </c>
      <c r="L388">
        <v>0</v>
      </c>
      <c r="M388">
        <v>0.27478022531313562</v>
      </c>
      <c r="N388">
        <v>0</v>
      </c>
      <c r="O388">
        <v>0</v>
      </c>
      <c r="P388">
        <v>0.20591262219739551</v>
      </c>
      <c r="Q388">
        <v>1.1391512126120169</v>
      </c>
      <c r="R388">
        <v>3.0117572312212868</v>
      </c>
      <c r="S388">
        <v>0.27533275472325991</v>
      </c>
      <c r="T388">
        <v>0.1929957067861188</v>
      </c>
      <c r="U388">
        <v>4.3181488672576558</v>
      </c>
      <c r="V388">
        <v>0.12308605215525489</v>
      </c>
      <c r="W388">
        <v>7.9307817495970534</v>
      </c>
      <c r="X388">
        <v>0.30899306666257043</v>
      </c>
      <c r="Z388" t="s">
        <v>392</v>
      </c>
      <c r="AA388">
        <v>9937</v>
      </c>
      <c r="AB388" t="s">
        <v>779</v>
      </c>
      <c r="AC388" t="str">
        <f>HYPERLINK("plots/20251231000436_3FT6Y121H01_04823_B11P_N_UFLEX98_M5358A8BH101511/dpll_52084/txpa_53227.png","plot")</f>
        <v>plot</v>
      </c>
    </row>
    <row r="389" spans="1:29" x14ac:dyDescent="0.35">
      <c r="A389" t="s">
        <v>46</v>
      </c>
      <c r="B389">
        <v>52084</v>
      </c>
      <c r="C389" t="s">
        <v>52</v>
      </c>
      <c r="D389">
        <v>53228</v>
      </c>
      <c r="E389" t="s">
        <v>103</v>
      </c>
      <c r="F389">
        <v>8686</v>
      </c>
      <c r="G389">
        <v>0.43443627434956139</v>
      </c>
      <c r="H389">
        <v>0</v>
      </c>
      <c r="I389">
        <v>0</v>
      </c>
      <c r="J389">
        <v>0.33149259107017121</v>
      </c>
      <c r="K389">
        <v>7.9760648770340494E-222</v>
      </c>
      <c r="L389">
        <v>1.2539115946220969E-221</v>
      </c>
      <c r="M389">
        <v>0.227659149200994</v>
      </c>
      <c r="N389">
        <v>3.4841862307004958E-222</v>
      </c>
      <c r="O389">
        <v>5.5030604952185412E-222</v>
      </c>
      <c r="P389">
        <v>0.1887348764707274</v>
      </c>
      <c r="Q389">
        <v>1.221424619447125</v>
      </c>
      <c r="R389">
        <v>2.9018061894261491</v>
      </c>
      <c r="S389">
        <v>0.31152904141360449</v>
      </c>
      <c r="T389">
        <v>0.23088711209291879</v>
      </c>
      <c r="U389">
        <v>4.3181670143909736</v>
      </c>
      <c r="V389">
        <v>0.1230273155903012</v>
      </c>
      <c r="W389">
        <v>8.1761216916877721</v>
      </c>
      <c r="X389">
        <v>0.34589328976146699</v>
      </c>
      <c r="Z389" t="s">
        <v>392</v>
      </c>
      <c r="AA389">
        <v>9937</v>
      </c>
      <c r="AB389" t="s">
        <v>780</v>
      </c>
      <c r="AC389" t="str">
        <f>HYPERLINK("plots/20251231000436_3FT6Y121H01_04823_B11P_N_UFLEX98_M5358A8BH101511/dpll_52084/txpa_53228.png","plot")</f>
        <v>plot</v>
      </c>
    </row>
    <row r="390" spans="1:29" x14ac:dyDescent="0.35">
      <c r="A390" t="s">
        <v>46</v>
      </c>
      <c r="B390">
        <v>52084</v>
      </c>
      <c r="C390" t="s">
        <v>52</v>
      </c>
      <c r="D390">
        <v>53229</v>
      </c>
      <c r="E390" t="s">
        <v>104</v>
      </c>
      <c r="F390">
        <v>8685</v>
      </c>
      <c r="G390">
        <v>0.48157159854447029</v>
      </c>
      <c r="H390">
        <v>0</v>
      </c>
      <c r="I390">
        <v>0</v>
      </c>
      <c r="J390">
        <v>0.41477289118250538</v>
      </c>
      <c r="K390">
        <v>0</v>
      </c>
      <c r="L390">
        <v>0</v>
      </c>
      <c r="M390">
        <v>0.28999988199344018</v>
      </c>
      <c r="N390">
        <v>0</v>
      </c>
      <c r="O390">
        <v>0</v>
      </c>
      <c r="P390">
        <v>0.23191120452467651</v>
      </c>
      <c r="Q390">
        <v>1.201506598490192</v>
      </c>
      <c r="R390">
        <v>2.857886040224797</v>
      </c>
      <c r="S390">
        <v>0.26905701845502172</v>
      </c>
      <c r="T390">
        <v>0.19028828545389559</v>
      </c>
      <c r="U390">
        <v>4.3181823175590086</v>
      </c>
      <c r="V390">
        <v>0.1230547322812908</v>
      </c>
      <c r="W390">
        <v>8.0462105882556152</v>
      </c>
      <c r="X390">
        <v>0.30701784170471941</v>
      </c>
      <c r="Z390" t="s">
        <v>392</v>
      </c>
      <c r="AA390">
        <v>9937</v>
      </c>
      <c r="AB390" t="s">
        <v>781</v>
      </c>
      <c r="AC390" t="str">
        <f>HYPERLINK("plots/20251231000436_3FT6Y121H01_04823_B11P_N_UFLEX98_M5358A8BH101511/dpll_52084/txpa_53229.png","plot")</f>
        <v>plot</v>
      </c>
    </row>
    <row r="391" spans="1:29" x14ac:dyDescent="0.35">
      <c r="A391" t="s">
        <v>46</v>
      </c>
      <c r="B391">
        <v>52084</v>
      </c>
      <c r="C391" t="s">
        <v>52</v>
      </c>
      <c r="D391">
        <v>53230</v>
      </c>
      <c r="E391" t="s">
        <v>105</v>
      </c>
      <c r="F391">
        <v>8672</v>
      </c>
      <c r="G391">
        <v>0.44759159954146299</v>
      </c>
      <c r="H391">
        <v>0</v>
      </c>
      <c r="I391">
        <v>0</v>
      </c>
      <c r="J391">
        <v>0.35783148232887141</v>
      </c>
      <c r="K391">
        <v>2.655967277852417E-260</v>
      </c>
      <c r="L391">
        <v>4.7331297359268033E-260</v>
      </c>
      <c r="M391">
        <v>0.24752311525530421</v>
      </c>
      <c r="N391">
        <v>7.6765754236984955E-262</v>
      </c>
      <c r="O391">
        <v>1.377707518518633E-261</v>
      </c>
      <c r="P391">
        <v>0.2003382399800854</v>
      </c>
      <c r="Q391">
        <v>1.176799427459674</v>
      </c>
      <c r="R391">
        <v>3.069455799230254</v>
      </c>
      <c r="S391">
        <v>0.28672985072330121</v>
      </c>
      <c r="T391">
        <v>0.21049898705821449</v>
      </c>
      <c r="U391">
        <v>4.3188330567343174</v>
      </c>
      <c r="V391">
        <v>0.1219619233107235</v>
      </c>
      <c r="W391">
        <v>8.1518560676891134</v>
      </c>
      <c r="X391">
        <v>0.32065999824611241</v>
      </c>
      <c r="Z391" t="s">
        <v>392</v>
      </c>
      <c r="AA391">
        <v>9937</v>
      </c>
      <c r="AB391" t="s">
        <v>782</v>
      </c>
      <c r="AC391" t="str">
        <f>HYPERLINK("plots/20251231000436_3FT6Y121H01_04823_B11P_N_UFLEX98_M5358A8BH101511/dpll_52084/txpa_53230.png","plot")</f>
        <v>plot</v>
      </c>
    </row>
    <row r="392" spans="1:29" x14ac:dyDescent="0.35">
      <c r="A392" t="s">
        <v>46</v>
      </c>
      <c r="B392">
        <v>52084</v>
      </c>
      <c r="C392" t="s">
        <v>52</v>
      </c>
      <c r="D392">
        <v>53231</v>
      </c>
      <c r="E392" t="s">
        <v>106</v>
      </c>
      <c r="F392">
        <v>8683</v>
      </c>
      <c r="G392">
        <v>0.49780630305802531</v>
      </c>
      <c r="H392">
        <v>0</v>
      </c>
      <c r="I392">
        <v>0</v>
      </c>
      <c r="J392">
        <v>0.41880214859450432</v>
      </c>
      <c r="K392">
        <v>0</v>
      </c>
      <c r="L392">
        <v>0</v>
      </c>
      <c r="M392">
        <v>0.29377327528882458</v>
      </c>
      <c r="N392">
        <v>0</v>
      </c>
      <c r="O392">
        <v>0</v>
      </c>
      <c r="P392">
        <v>0.24781111536429851</v>
      </c>
      <c r="Q392">
        <v>1.229542821543306</v>
      </c>
      <c r="R392">
        <v>2.8763121213945508</v>
      </c>
      <c r="S392">
        <v>0.26273709628971831</v>
      </c>
      <c r="T392">
        <v>0.18689165977455871</v>
      </c>
      <c r="U392">
        <v>4.3183517838304732</v>
      </c>
      <c r="V392">
        <v>0.1226590742323095</v>
      </c>
      <c r="W392">
        <v>8.185910558102039</v>
      </c>
      <c r="X392">
        <v>0.30295836612158072</v>
      </c>
      <c r="Z392" t="s">
        <v>392</v>
      </c>
      <c r="AA392">
        <v>9937</v>
      </c>
      <c r="AB392" t="s">
        <v>783</v>
      </c>
      <c r="AC392" t="str">
        <f>HYPERLINK("plots/20251231000436_3FT6Y121H01_04823_B11P_N_UFLEX98_M5358A8BH101511/dpll_52084/txpa_53231.png","plot")</f>
        <v>plot</v>
      </c>
    </row>
    <row r="393" spans="1:29" x14ac:dyDescent="0.35">
      <c r="A393" t="s">
        <v>46</v>
      </c>
      <c r="B393">
        <v>52084</v>
      </c>
      <c r="C393" t="s">
        <v>52</v>
      </c>
      <c r="D393">
        <v>53232</v>
      </c>
      <c r="E393" t="s">
        <v>107</v>
      </c>
      <c r="F393">
        <v>8679</v>
      </c>
      <c r="G393">
        <v>0.48007630547452779</v>
      </c>
      <c r="H393">
        <v>0</v>
      </c>
      <c r="I393">
        <v>0</v>
      </c>
      <c r="J393">
        <v>0.39264128005323418</v>
      </c>
      <c r="K393">
        <v>0</v>
      </c>
      <c r="L393">
        <v>0</v>
      </c>
      <c r="M393">
        <v>0.27389109694838021</v>
      </c>
      <c r="N393">
        <v>0</v>
      </c>
      <c r="O393">
        <v>0</v>
      </c>
      <c r="P393">
        <v>0.23047325907807209</v>
      </c>
      <c r="Q393">
        <v>1.2359476348339311</v>
      </c>
      <c r="R393">
        <v>2.849753697619398</v>
      </c>
      <c r="S393">
        <v>0.27668892661340327</v>
      </c>
      <c r="T393">
        <v>0.1999875219926113</v>
      </c>
      <c r="U393">
        <v>4.3184943077543494</v>
      </c>
      <c r="V393">
        <v>0.12252230050173139</v>
      </c>
      <c r="W393">
        <v>8.1871865233321817</v>
      </c>
      <c r="X393">
        <v>0.31543141328303242</v>
      </c>
      <c r="Z393" t="s">
        <v>392</v>
      </c>
      <c r="AA393">
        <v>9937</v>
      </c>
      <c r="AB393" t="s">
        <v>784</v>
      </c>
      <c r="AC393" t="str">
        <f>HYPERLINK("plots/20251231000436_3FT6Y121H01_04823_B11P_N_UFLEX98_M5358A8BH101511/dpll_52084/txpa_53232.png","plot")</f>
        <v>plot</v>
      </c>
    </row>
    <row r="394" spans="1:29" x14ac:dyDescent="0.35">
      <c r="A394" t="s">
        <v>46</v>
      </c>
      <c r="B394">
        <v>52084</v>
      </c>
      <c r="C394" t="s">
        <v>52</v>
      </c>
      <c r="D394">
        <v>53233</v>
      </c>
      <c r="E394" t="s">
        <v>108</v>
      </c>
      <c r="F394">
        <v>8689</v>
      </c>
      <c r="G394">
        <v>0.50515135139300971</v>
      </c>
      <c r="H394">
        <v>0</v>
      </c>
      <c r="I394">
        <v>0</v>
      </c>
      <c r="J394">
        <v>0.41188616027713321</v>
      </c>
      <c r="K394">
        <v>0</v>
      </c>
      <c r="L394">
        <v>0</v>
      </c>
      <c r="M394">
        <v>0.28851804138268378</v>
      </c>
      <c r="N394">
        <v>0</v>
      </c>
      <c r="O394">
        <v>0</v>
      </c>
      <c r="P394">
        <v>0.25517788781418399</v>
      </c>
      <c r="Q394">
        <v>1.243018993134104</v>
      </c>
      <c r="R394">
        <v>2.839510025672793</v>
      </c>
      <c r="S394">
        <v>0.26167710378551379</v>
      </c>
      <c r="T394">
        <v>0.18895486356059241</v>
      </c>
      <c r="U394">
        <v>4.3180327352975016</v>
      </c>
      <c r="V394">
        <v>0.12322765689789</v>
      </c>
      <c r="W394">
        <v>8.2069067286223962</v>
      </c>
      <c r="X394">
        <v>0.30322460304440529</v>
      </c>
      <c r="Z394" t="s">
        <v>392</v>
      </c>
      <c r="AA394">
        <v>9937</v>
      </c>
      <c r="AB394" t="s">
        <v>785</v>
      </c>
      <c r="AC394" t="str">
        <f>HYPERLINK("plots/20251231000436_3FT6Y121H01_04823_B11P_N_UFLEX98_M5358A8BH101511/dpll_52084/txpa_53233.png","plot")</f>
        <v>plot</v>
      </c>
    </row>
    <row r="395" spans="1:29" x14ac:dyDescent="0.35">
      <c r="A395" t="s">
        <v>46</v>
      </c>
      <c r="B395">
        <v>52084</v>
      </c>
      <c r="C395" t="s">
        <v>52</v>
      </c>
      <c r="D395">
        <v>53234</v>
      </c>
      <c r="E395" t="s">
        <v>109</v>
      </c>
      <c r="F395">
        <v>8686</v>
      </c>
      <c r="G395">
        <v>0.4777462977166928</v>
      </c>
      <c r="H395">
        <v>0</v>
      </c>
      <c r="I395">
        <v>0</v>
      </c>
      <c r="J395">
        <v>0.37855509525387637</v>
      </c>
      <c r="K395">
        <v>4.8744906753140017E-294</v>
      </c>
      <c r="L395">
        <v>9.6726683850653577E-294</v>
      </c>
      <c r="M395">
        <v>0.26303582808981829</v>
      </c>
      <c r="N395">
        <v>6.9604093588196756E-296</v>
      </c>
      <c r="O395">
        <v>1.4031521053366111E-295</v>
      </c>
      <c r="P395">
        <v>0.22824152498200689</v>
      </c>
      <c r="Q395">
        <v>1.2086777653556231</v>
      </c>
      <c r="R395">
        <v>2.7983575818722088</v>
      </c>
      <c r="S395">
        <v>0.27344583834583203</v>
      </c>
      <c r="T395">
        <v>0.1977869024132676</v>
      </c>
      <c r="U395">
        <v>4.3181660671195026</v>
      </c>
      <c r="V395">
        <v>0.1230388923488869</v>
      </c>
      <c r="W395">
        <v>8.0176288943126881</v>
      </c>
      <c r="X395">
        <v>0.31128315209733431</v>
      </c>
      <c r="Z395" t="s">
        <v>392</v>
      </c>
      <c r="AA395">
        <v>9937</v>
      </c>
      <c r="AB395" t="s">
        <v>786</v>
      </c>
      <c r="AC395" t="str">
        <f>HYPERLINK("plots/20251231000436_3FT6Y121H01_04823_B11P_N_UFLEX98_M5358A8BH101511/dpll_52084/txpa_53234.png","plot")</f>
        <v>plot</v>
      </c>
    </row>
    <row r="396" spans="1:29" x14ac:dyDescent="0.35">
      <c r="A396" t="s">
        <v>46</v>
      </c>
      <c r="B396">
        <v>52084</v>
      </c>
      <c r="C396" t="s">
        <v>52</v>
      </c>
      <c r="D396">
        <v>53235</v>
      </c>
      <c r="E396" t="s">
        <v>110</v>
      </c>
      <c r="F396">
        <v>8682</v>
      </c>
      <c r="G396">
        <v>0.45940142124372513</v>
      </c>
      <c r="H396">
        <v>0</v>
      </c>
      <c r="I396">
        <v>0</v>
      </c>
      <c r="J396">
        <v>0.40536462484638802</v>
      </c>
      <c r="K396">
        <v>0</v>
      </c>
      <c r="L396">
        <v>0</v>
      </c>
      <c r="M396">
        <v>0.28220877992418458</v>
      </c>
      <c r="N396">
        <v>0</v>
      </c>
      <c r="O396">
        <v>0</v>
      </c>
      <c r="P396">
        <v>0.2110496658407546</v>
      </c>
      <c r="Q396">
        <v>1.218713792558261</v>
      </c>
      <c r="R396">
        <v>3.5568911677107402</v>
      </c>
      <c r="S396">
        <v>0.28979308082718402</v>
      </c>
      <c r="T396">
        <v>0.20096744073580511</v>
      </c>
      <c r="U396">
        <v>4.3181888473853949</v>
      </c>
      <c r="V396">
        <v>0.1229925485168608</v>
      </c>
      <c r="W396">
        <v>8.8195274748905792</v>
      </c>
      <c r="X396">
        <v>0.32627830112843093</v>
      </c>
      <c r="Z396" t="s">
        <v>392</v>
      </c>
      <c r="AA396">
        <v>9937</v>
      </c>
      <c r="AB396" t="s">
        <v>787</v>
      </c>
      <c r="AC396" t="str">
        <f>HYPERLINK("plots/20251231000436_3FT6Y121H01_04823_B11P_N_UFLEX98_M5358A8BH101511/dpll_52084/txpa_53235.png","plot")</f>
        <v>plot</v>
      </c>
    </row>
    <row r="397" spans="1:29" x14ac:dyDescent="0.35">
      <c r="A397" t="s">
        <v>46</v>
      </c>
      <c r="B397">
        <v>52084</v>
      </c>
      <c r="C397" t="s">
        <v>52</v>
      </c>
      <c r="D397">
        <v>53236</v>
      </c>
      <c r="E397" t="s">
        <v>111</v>
      </c>
      <c r="F397">
        <v>8681</v>
      </c>
      <c r="G397">
        <v>0.44233083495168812</v>
      </c>
      <c r="H397">
        <v>0</v>
      </c>
      <c r="I397">
        <v>0</v>
      </c>
      <c r="J397">
        <v>0.35720722331639559</v>
      </c>
      <c r="K397">
        <v>1.3228305102968569E-259</v>
      </c>
      <c r="L397">
        <v>2.349124583959742E-259</v>
      </c>
      <c r="M397">
        <v>0.24649604062690789</v>
      </c>
      <c r="N397">
        <v>5.8648937933382321E-260</v>
      </c>
      <c r="O397">
        <v>1.0488540223007E-259</v>
      </c>
      <c r="P397">
        <v>0.19565656754905761</v>
      </c>
      <c r="Q397">
        <v>1.2828373614688651</v>
      </c>
      <c r="R397">
        <v>3.511440925226379</v>
      </c>
      <c r="S397">
        <v>0.31888794208685511</v>
      </c>
      <c r="T397">
        <v>0.23125278039557859</v>
      </c>
      <c r="U397">
        <v>4.3184171502131088</v>
      </c>
      <c r="V397">
        <v>0.12260776296537659</v>
      </c>
      <c r="W397">
        <v>9.0512677879276584</v>
      </c>
      <c r="X397">
        <v>0.3555841164798802</v>
      </c>
      <c r="Z397" t="s">
        <v>392</v>
      </c>
      <c r="AA397">
        <v>9937</v>
      </c>
      <c r="AB397" t="s">
        <v>788</v>
      </c>
      <c r="AC397" t="str">
        <f>HYPERLINK("plots/20251231000436_3FT6Y121H01_04823_B11P_N_UFLEX98_M5358A8BH101511/dpll_52084/txpa_53236.png","plot")</f>
        <v>plot</v>
      </c>
    </row>
    <row r="398" spans="1:29" x14ac:dyDescent="0.35">
      <c r="A398" t="s">
        <v>46</v>
      </c>
      <c r="B398">
        <v>52084</v>
      </c>
      <c r="C398" t="s">
        <v>52</v>
      </c>
      <c r="D398">
        <v>53237</v>
      </c>
      <c r="E398" t="s">
        <v>112</v>
      </c>
      <c r="F398">
        <v>8677</v>
      </c>
      <c r="G398">
        <v>0.48346044516667142</v>
      </c>
      <c r="H398">
        <v>0</v>
      </c>
      <c r="I398">
        <v>0</v>
      </c>
      <c r="J398">
        <v>0.42661365481276792</v>
      </c>
      <c r="K398">
        <v>0</v>
      </c>
      <c r="L398">
        <v>0</v>
      </c>
      <c r="M398">
        <v>0.29992304525157071</v>
      </c>
      <c r="N398">
        <v>0</v>
      </c>
      <c r="O398">
        <v>0</v>
      </c>
      <c r="P398">
        <v>0.23373400204075609</v>
      </c>
      <c r="Q398">
        <v>1.2801922816209841</v>
      </c>
      <c r="R398">
        <v>3.3880402528428171</v>
      </c>
      <c r="S398">
        <v>0.2840955511007513</v>
      </c>
      <c r="T398">
        <v>0.1977277467258404</v>
      </c>
      <c r="U398">
        <v>4.3184403648726528</v>
      </c>
      <c r="V398">
        <v>0.122570349822123</v>
      </c>
      <c r="W398">
        <v>8.9164742765932932</v>
      </c>
      <c r="X398">
        <v>0.32456350331570638</v>
      </c>
      <c r="Z398" t="s">
        <v>392</v>
      </c>
      <c r="AA398">
        <v>9937</v>
      </c>
      <c r="AB398" t="s">
        <v>789</v>
      </c>
      <c r="AC398" t="str">
        <f>HYPERLINK("plots/20251231000436_3FT6Y121H01_04823_B11P_N_UFLEX98_M5358A8BH101511/dpll_52084/txpa_53237.png","plot")</f>
        <v>plot</v>
      </c>
    </row>
    <row r="399" spans="1:29" x14ac:dyDescent="0.35">
      <c r="A399" t="s">
        <v>46</v>
      </c>
      <c r="B399">
        <v>52084</v>
      </c>
      <c r="C399" t="s">
        <v>52</v>
      </c>
      <c r="D399">
        <v>53238</v>
      </c>
      <c r="E399" t="s">
        <v>113</v>
      </c>
      <c r="F399">
        <v>8662</v>
      </c>
      <c r="G399">
        <v>0.44630076728132062</v>
      </c>
      <c r="H399">
        <v>0</v>
      </c>
      <c r="I399">
        <v>0</v>
      </c>
      <c r="J399">
        <v>0.37809439388509752</v>
      </c>
      <c r="K399">
        <v>1.820345017070998E-292</v>
      </c>
      <c r="L399">
        <v>3.5911086523540698E-292</v>
      </c>
      <c r="M399">
        <v>0.26279011346340841</v>
      </c>
      <c r="N399">
        <v>1.58754219499558E-294</v>
      </c>
      <c r="O399">
        <v>3.1502305004413269E-294</v>
      </c>
      <c r="P399">
        <v>0.19918437487589549</v>
      </c>
      <c r="Q399">
        <v>1.224656926827342</v>
      </c>
      <c r="R399">
        <v>3.739920597391889</v>
      </c>
      <c r="S399">
        <v>0.29704853249075203</v>
      </c>
      <c r="T399">
        <v>0.21375628720429629</v>
      </c>
      <c r="U399">
        <v>4.3193722631032099</v>
      </c>
      <c r="V399">
        <v>0.12097605067379361</v>
      </c>
      <c r="W399">
        <v>9.0296697589471258</v>
      </c>
      <c r="X399">
        <v>0.33196034893771409</v>
      </c>
      <c r="Z399" t="s">
        <v>392</v>
      </c>
      <c r="AA399">
        <v>9937</v>
      </c>
      <c r="AB399" t="s">
        <v>790</v>
      </c>
      <c r="AC399" t="str">
        <f>HYPERLINK("plots/20251231000436_3FT6Y121H01_04823_B11P_N_UFLEX98_M5358A8BH101511/dpll_52084/txpa_53238.png","plot")</f>
        <v>plot</v>
      </c>
    </row>
    <row r="400" spans="1:29" x14ac:dyDescent="0.35">
      <c r="A400" t="s">
        <v>46</v>
      </c>
      <c r="B400">
        <v>52084</v>
      </c>
      <c r="C400" t="s">
        <v>52</v>
      </c>
      <c r="D400">
        <v>53239</v>
      </c>
      <c r="E400" t="s">
        <v>114</v>
      </c>
      <c r="F400">
        <v>8668</v>
      </c>
      <c r="G400">
        <v>0.48557277760803619</v>
      </c>
      <c r="H400">
        <v>0</v>
      </c>
      <c r="I400">
        <v>0</v>
      </c>
      <c r="J400">
        <v>0.42582755997341593</v>
      </c>
      <c r="K400">
        <v>0</v>
      </c>
      <c r="L400">
        <v>0</v>
      </c>
      <c r="M400">
        <v>0.29985585000271081</v>
      </c>
      <c r="N400">
        <v>0</v>
      </c>
      <c r="O400">
        <v>0</v>
      </c>
      <c r="P400">
        <v>0.2357809223539834</v>
      </c>
      <c r="Q400">
        <v>1.271823966011655</v>
      </c>
      <c r="R400">
        <v>3.560981403183257</v>
      </c>
      <c r="S400">
        <v>0.27801337096101691</v>
      </c>
      <c r="T400">
        <v>0.19437367635858011</v>
      </c>
      <c r="U400">
        <v>4.3190922335025377</v>
      </c>
      <c r="V400">
        <v>0.12142528342357339</v>
      </c>
      <c r="W400">
        <v>9.0541064171665901</v>
      </c>
      <c r="X400">
        <v>0.3180400398444877</v>
      </c>
      <c r="Z400" t="s">
        <v>392</v>
      </c>
      <c r="AA400">
        <v>9937</v>
      </c>
      <c r="AB400" t="s">
        <v>791</v>
      </c>
      <c r="AC400" t="str">
        <f>HYPERLINK("plots/20251231000436_3FT6Y121H01_04823_B11P_N_UFLEX98_M5358A8BH101511/dpll_52084/txpa_53239.png","plot")</f>
        <v>plot</v>
      </c>
    </row>
    <row r="401" spans="1:29" x14ac:dyDescent="0.35">
      <c r="A401" t="s">
        <v>46</v>
      </c>
      <c r="B401">
        <v>52084</v>
      </c>
      <c r="C401" t="s">
        <v>52</v>
      </c>
      <c r="D401">
        <v>53240</v>
      </c>
      <c r="E401" t="s">
        <v>115</v>
      </c>
      <c r="F401">
        <v>8675</v>
      </c>
      <c r="G401">
        <v>0.48358548152296671</v>
      </c>
      <c r="H401">
        <v>0</v>
      </c>
      <c r="I401">
        <v>0</v>
      </c>
      <c r="J401">
        <v>0.4094787653133013</v>
      </c>
      <c r="K401">
        <v>0</v>
      </c>
      <c r="L401">
        <v>0</v>
      </c>
      <c r="M401">
        <v>0.28720036559674189</v>
      </c>
      <c r="N401">
        <v>0</v>
      </c>
      <c r="O401">
        <v>0</v>
      </c>
      <c r="P401">
        <v>0.23385491793979959</v>
      </c>
      <c r="Q401">
        <v>1.3069069998498639</v>
      </c>
      <c r="R401">
        <v>3.4044026300283732</v>
      </c>
      <c r="S401">
        <v>0.28918981240203262</v>
      </c>
      <c r="T401">
        <v>0.2052819850687716</v>
      </c>
      <c r="U401">
        <v>4.3186688846109513</v>
      </c>
      <c r="V401">
        <v>0.1222590686167464</v>
      </c>
      <c r="W401">
        <v>9.0485012253602299</v>
      </c>
      <c r="X401">
        <v>0.33040949051478541</v>
      </c>
      <c r="Z401" t="s">
        <v>392</v>
      </c>
      <c r="AA401">
        <v>9937</v>
      </c>
      <c r="AB401" t="s">
        <v>792</v>
      </c>
      <c r="AC401" t="str">
        <f>HYPERLINK("plots/20251231000436_3FT6Y121H01_04823_B11P_N_UFLEX98_M5358A8BH101511/dpll_52084/txpa_53240.png","plot")</f>
        <v>plot</v>
      </c>
    </row>
    <row r="402" spans="1:29" x14ac:dyDescent="0.35">
      <c r="A402" t="s">
        <v>46</v>
      </c>
      <c r="B402">
        <v>52084</v>
      </c>
      <c r="C402" t="s">
        <v>52</v>
      </c>
      <c r="D402">
        <v>53241</v>
      </c>
      <c r="E402" t="s">
        <v>116</v>
      </c>
      <c r="F402">
        <v>8679</v>
      </c>
      <c r="G402">
        <v>0.50109847054771317</v>
      </c>
      <c r="H402">
        <v>0</v>
      </c>
      <c r="I402">
        <v>0</v>
      </c>
      <c r="J402">
        <v>0.42168858519850538</v>
      </c>
      <c r="K402">
        <v>0</v>
      </c>
      <c r="L402">
        <v>0</v>
      </c>
      <c r="M402">
        <v>0.29665517653306389</v>
      </c>
      <c r="N402">
        <v>0</v>
      </c>
      <c r="O402">
        <v>0</v>
      </c>
      <c r="P402">
        <v>0.25109967718525739</v>
      </c>
      <c r="Q402">
        <v>1.3048138799476481</v>
      </c>
      <c r="R402">
        <v>3.4342717049537779</v>
      </c>
      <c r="S402">
        <v>0.2762584315806253</v>
      </c>
      <c r="T402">
        <v>0.1959890530706343</v>
      </c>
      <c r="U402">
        <v>4.3184682055536348</v>
      </c>
      <c r="V402">
        <v>0.12260355512284669</v>
      </c>
      <c r="W402">
        <v>9.0690689596727729</v>
      </c>
      <c r="X402">
        <v>0.3192482712636513</v>
      </c>
      <c r="Z402" t="s">
        <v>392</v>
      </c>
      <c r="AA402">
        <v>9937</v>
      </c>
      <c r="AB402" t="s">
        <v>793</v>
      </c>
      <c r="AC402" t="str">
        <f>HYPERLINK("plots/20251231000436_3FT6Y121H01_04823_B11P_N_UFLEX98_M5358A8BH101511/dpll_52084/txpa_53241.png","plot")</f>
        <v>plot</v>
      </c>
    </row>
    <row r="403" spans="1:29" x14ac:dyDescent="0.35">
      <c r="A403" t="s">
        <v>46</v>
      </c>
      <c r="B403">
        <v>52084</v>
      </c>
      <c r="C403" t="s">
        <v>52</v>
      </c>
      <c r="D403">
        <v>53242</v>
      </c>
      <c r="E403" t="s">
        <v>117</v>
      </c>
      <c r="F403">
        <v>8680</v>
      </c>
      <c r="G403">
        <v>0.47639187829637819</v>
      </c>
      <c r="H403">
        <v>0</v>
      </c>
      <c r="I403">
        <v>0</v>
      </c>
      <c r="J403">
        <v>0.38812466306492571</v>
      </c>
      <c r="K403">
        <v>0</v>
      </c>
      <c r="L403">
        <v>0</v>
      </c>
      <c r="M403">
        <v>0.27051061229367618</v>
      </c>
      <c r="N403">
        <v>0</v>
      </c>
      <c r="O403">
        <v>0</v>
      </c>
      <c r="P403">
        <v>0.2269492217067513</v>
      </c>
      <c r="Q403">
        <v>1.261652849095507</v>
      </c>
      <c r="R403">
        <v>3.4593704819159932</v>
      </c>
      <c r="S403">
        <v>0.28543999191091818</v>
      </c>
      <c r="T403">
        <v>0.20387761058154161</v>
      </c>
      <c r="U403">
        <v>4.3184489807603681</v>
      </c>
      <c r="V403">
        <v>0.1225914844797675</v>
      </c>
      <c r="W403">
        <v>8.9077539421658987</v>
      </c>
      <c r="X403">
        <v>0.3246652655411611</v>
      </c>
      <c r="Z403" t="s">
        <v>392</v>
      </c>
      <c r="AA403">
        <v>9937</v>
      </c>
      <c r="AB403" t="s">
        <v>794</v>
      </c>
      <c r="AC403" t="str">
        <f>HYPERLINK("plots/20251231000436_3FT6Y121H01_04823_B11P_N_UFLEX98_M5358A8BH101511/dpll_52084/txpa_53242.png","plot")</f>
        <v>plot</v>
      </c>
    </row>
    <row r="404" spans="1:29" x14ac:dyDescent="0.35">
      <c r="A404" t="s">
        <v>46</v>
      </c>
      <c r="B404">
        <v>52084</v>
      </c>
      <c r="C404" t="s">
        <v>52</v>
      </c>
      <c r="D404">
        <v>53243</v>
      </c>
      <c r="E404" t="s">
        <v>118</v>
      </c>
      <c r="F404">
        <v>8666</v>
      </c>
      <c r="G404">
        <v>0.45280792481234139</v>
      </c>
      <c r="H404">
        <v>0</v>
      </c>
      <c r="I404">
        <v>0</v>
      </c>
      <c r="J404">
        <v>0.41437124618447541</v>
      </c>
      <c r="K404">
        <v>0</v>
      </c>
      <c r="L404">
        <v>0</v>
      </c>
      <c r="M404">
        <v>0.28996320876088649</v>
      </c>
      <c r="N404">
        <v>0</v>
      </c>
      <c r="O404">
        <v>0</v>
      </c>
      <c r="P404">
        <v>0.20503501677285901</v>
      </c>
      <c r="Q404">
        <v>1.270638467310288</v>
      </c>
      <c r="R404">
        <v>4.1683014817917741</v>
      </c>
      <c r="S404">
        <v>0.30520457929426409</v>
      </c>
      <c r="T404">
        <v>0.20906970885428819</v>
      </c>
      <c r="U404">
        <v>4.3188230148857603</v>
      </c>
      <c r="V404">
        <v>0.1219927790208848</v>
      </c>
      <c r="W404">
        <v>9.6559641380106154</v>
      </c>
      <c r="X404">
        <v>0.34232774928190712</v>
      </c>
      <c r="Z404" t="s">
        <v>392</v>
      </c>
      <c r="AA404">
        <v>9937</v>
      </c>
      <c r="AB404" t="s">
        <v>795</v>
      </c>
      <c r="AC404" t="str">
        <f>HYPERLINK("plots/20251231000436_3FT6Y121H01_04823_B11P_N_UFLEX98_M5358A8BH101511/dpll_52084/txpa_53243.png","plot")</f>
        <v>plot</v>
      </c>
    </row>
    <row r="405" spans="1:29" x14ac:dyDescent="0.35">
      <c r="A405" t="s">
        <v>46</v>
      </c>
      <c r="B405">
        <v>52084</v>
      </c>
      <c r="C405" t="s">
        <v>52</v>
      </c>
      <c r="D405">
        <v>53244</v>
      </c>
      <c r="E405" t="s">
        <v>119</v>
      </c>
      <c r="F405">
        <v>8653</v>
      </c>
      <c r="G405">
        <v>0.4253502483172848</v>
      </c>
      <c r="H405">
        <v>0</v>
      </c>
      <c r="I405">
        <v>0</v>
      </c>
      <c r="J405">
        <v>0.38371694291502823</v>
      </c>
      <c r="K405">
        <v>1.391194440423169E-301</v>
      </c>
      <c r="L405">
        <v>2.815710903371445E-301</v>
      </c>
      <c r="M405">
        <v>0.26675795834425842</v>
      </c>
      <c r="N405">
        <v>4.1528063755775378E-303</v>
      </c>
      <c r="O405">
        <v>8.541471936786256E-303</v>
      </c>
      <c r="P405">
        <v>0.18092283374357579</v>
      </c>
      <c r="Q405">
        <v>1.266137982473698</v>
      </c>
      <c r="R405">
        <v>4.396679503454191</v>
      </c>
      <c r="S405">
        <v>0.32377309616486138</v>
      </c>
      <c r="T405">
        <v>0.22870536148191961</v>
      </c>
      <c r="U405">
        <v>4.3198318111637581</v>
      </c>
      <c r="V405">
        <v>0.12019021130264709</v>
      </c>
      <c r="W405">
        <v>9.8661826374667747</v>
      </c>
      <c r="X405">
        <v>0.35776960811436109</v>
      </c>
      <c r="Z405" t="s">
        <v>392</v>
      </c>
      <c r="AA405">
        <v>9937</v>
      </c>
      <c r="AB405" t="s">
        <v>796</v>
      </c>
      <c r="AC405" t="str">
        <f>HYPERLINK("plots/20251231000436_3FT6Y121H01_04823_B11P_N_UFLEX98_M5358A8BH101511/dpll_52084/txpa_53244.png","plot")</f>
        <v>plot</v>
      </c>
    </row>
    <row r="406" spans="1:29" x14ac:dyDescent="0.35">
      <c r="A406" t="s">
        <v>46</v>
      </c>
      <c r="B406">
        <v>52084</v>
      </c>
      <c r="C406" t="s">
        <v>52</v>
      </c>
      <c r="D406">
        <v>53245</v>
      </c>
      <c r="E406" t="s">
        <v>120</v>
      </c>
      <c r="F406">
        <v>8659</v>
      </c>
      <c r="G406">
        <v>0.46868672906748521</v>
      </c>
      <c r="H406">
        <v>0</v>
      </c>
      <c r="I406">
        <v>0</v>
      </c>
      <c r="J406">
        <v>0.43622415994616692</v>
      </c>
      <c r="K406">
        <v>0</v>
      </c>
      <c r="L406">
        <v>0</v>
      </c>
      <c r="M406">
        <v>0.30863497534065748</v>
      </c>
      <c r="N406">
        <v>0</v>
      </c>
      <c r="O406">
        <v>0</v>
      </c>
      <c r="P406">
        <v>0.2196672500039783</v>
      </c>
      <c r="Q406">
        <v>1.3282505006969609</v>
      </c>
      <c r="R406">
        <v>3.9900756032109981</v>
      </c>
      <c r="S406">
        <v>0.30277006101940912</v>
      </c>
      <c r="T406">
        <v>0.20670410616988041</v>
      </c>
      <c r="U406">
        <v>4.3193696462640023</v>
      </c>
      <c r="V406">
        <v>0.1209485757386963</v>
      </c>
      <c r="W406">
        <v>9.7272804985564161</v>
      </c>
      <c r="X406">
        <v>0.34276627930801962</v>
      </c>
      <c r="Z406" t="s">
        <v>392</v>
      </c>
      <c r="AA406">
        <v>9937</v>
      </c>
      <c r="AB406" t="s">
        <v>797</v>
      </c>
      <c r="AC406" t="str">
        <f>HYPERLINK("plots/20251231000436_3FT6Y121H01_04823_B11P_N_UFLEX98_M5358A8BH101511/dpll_52084/txpa_53245.png","plot")</f>
        <v>plot</v>
      </c>
    </row>
    <row r="407" spans="1:29" x14ac:dyDescent="0.35">
      <c r="A407" t="s">
        <v>46</v>
      </c>
      <c r="B407">
        <v>52084</v>
      </c>
      <c r="C407" t="s">
        <v>52</v>
      </c>
      <c r="D407">
        <v>53246</v>
      </c>
      <c r="E407" t="s">
        <v>121</v>
      </c>
      <c r="F407">
        <v>8648</v>
      </c>
      <c r="G407">
        <v>0.44287947797429128</v>
      </c>
      <c r="H407">
        <v>0</v>
      </c>
      <c r="I407">
        <v>0</v>
      </c>
      <c r="J407">
        <v>0.40088307833557102</v>
      </c>
      <c r="K407">
        <v>0</v>
      </c>
      <c r="L407">
        <v>0</v>
      </c>
      <c r="M407">
        <v>0.28066128434945059</v>
      </c>
      <c r="N407">
        <v>0</v>
      </c>
      <c r="O407">
        <v>0</v>
      </c>
      <c r="P407">
        <v>0.19614223201078079</v>
      </c>
      <c r="Q407">
        <v>1.2781820399990771</v>
      </c>
      <c r="R407">
        <v>4.3206955653208006</v>
      </c>
      <c r="S407">
        <v>0.31023986344118959</v>
      </c>
      <c r="T407">
        <v>0.21844244261717849</v>
      </c>
      <c r="U407">
        <v>4.320043786193339</v>
      </c>
      <c r="V407">
        <v>0.1199018684297035</v>
      </c>
      <c r="W407">
        <v>9.842497944842739</v>
      </c>
      <c r="X407">
        <v>0.34604541960301838</v>
      </c>
      <c r="Z407" t="s">
        <v>392</v>
      </c>
      <c r="AA407">
        <v>9937</v>
      </c>
      <c r="AB407" t="s">
        <v>798</v>
      </c>
      <c r="AC407" t="str">
        <f>HYPERLINK("plots/20251231000436_3FT6Y121H01_04823_B11P_N_UFLEX98_M5358A8BH101511/dpll_52084/txpa_53246.png","plot")</f>
        <v>plot</v>
      </c>
    </row>
    <row r="408" spans="1:29" x14ac:dyDescent="0.35">
      <c r="A408" t="s">
        <v>46</v>
      </c>
      <c r="B408">
        <v>52084</v>
      </c>
      <c r="C408" t="s">
        <v>52</v>
      </c>
      <c r="D408">
        <v>53247</v>
      </c>
      <c r="E408" t="s">
        <v>122</v>
      </c>
      <c r="F408">
        <v>8651</v>
      </c>
      <c r="G408">
        <v>0.47398847224715362</v>
      </c>
      <c r="H408">
        <v>0</v>
      </c>
      <c r="I408">
        <v>0</v>
      </c>
      <c r="J408">
        <v>0.43456976697541172</v>
      </c>
      <c r="K408">
        <v>0</v>
      </c>
      <c r="L408">
        <v>0</v>
      </c>
      <c r="M408">
        <v>0.30759943892276698</v>
      </c>
      <c r="N408">
        <v>0</v>
      </c>
      <c r="O408">
        <v>0</v>
      </c>
      <c r="P408">
        <v>0.2246650718231907</v>
      </c>
      <c r="Q408">
        <v>1.328302090421831</v>
      </c>
      <c r="R408">
        <v>4.1215737413165776</v>
      </c>
      <c r="S408">
        <v>0.29650233397969938</v>
      </c>
      <c r="T408">
        <v>0.2038738020805822</v>
      </c>
      <c r="U408">
        <v>4.319844742573113</v>
      </c>
      <c r="V408">
        <v>0.12016540857582179</v>
      </c>
      <c r="W408">
        <v>9.8596325431742002</v>
      </c>
      <c r="X408">
        <v>0.33675072866419492</v>
      </c>
      <c r="Z408" t="s">
        <v>392</v>
      </c>
      <c r="AA408">
        <v>9937</v>
      </c>
      <c r="AB408" t="s">
        <v>799</v>
      </c>
      <c r="AC408" t="str">
        <f>HYPERLINK("plots/20251231000436_3FT6Y121H01_04823_B11P_N_UFLEX98_M5358A8BH101511/dpll_52084/txpa_53247.png","plot")</f>
        <v>plot</v>
      </c>
    </row>
    <row r="409" spans="1:29" x14ac:dyDescent="0.35">
      <c r="A409" t="s">
        <v>46</v>
      </c>
      <c r="B409">
        <v>52084</v>
      </c>
      <c r="C409" t="s">
        <v>52</v>
      </c>
      <c r="D409">
        <v>53248</v>
      </c>
      <c r="E409" t="s">
        <v>123</v>
      </c>
      <c r="F409">
        <v>8654</v>
      </c>
      <c r="G409">
        <v>0.46699534108363361</v>
      </c>
      <c r="H409">
        <v>0</v>
      </c>
      <c r="I409">
        <v>0</v>
      </c>
      <c r="J409">
        <v>0.42388133435004721</v>
      </c>
      <c r="K409">
        <v>0</v>
      </c>
      <c r="L409">
        <v>0</v>
      </c>
      <c r="M409">
        <v>0.29943401037947232</v>
      </c>
      <c r="N409">
        <v>0</v>
      </c>
      <c r="O409">
        <v>0</v>
      </c>
      <c r="P409">
        <v>0.21808464859381929</v>
      </c>
      <c r="Q409">
        <v>1.3252954820858911</v>
      </c>
      <c r="R409">
        <v>4.1235153644644429</v>
      </c>
      <c r="S409">
        <v>0.30197206918428671</v>
      </c>
      <c r="T409">
        <v>0.21056613644595981</v>
      </c>
      <c r="U409">
        <v>4.3197613641090822</v>
      </c>
      <c r="V409">
        <v>0.12034050482570779</v>
      </c>
      <c r="W409">
        <v>9.8484755840073959</v>
      </c>
      <c r="X409">
        <v>0.34151674187448389</v>
      </c>
      <c r="Z409" t="s">
        <v>392</v>
      </c>
      <c r="AA409">
        <v>9937</v>
      </c>
      <c r="AB409" t="s">
        <v>800</v>
      </c>
      <c r="AC409" t="str">
        <f>HYPERLINK("plots/20251231000436_3FT6Y121H01_04823_B11P_N_UFLEX98_M5358A8BH101511/dpll_52084/txpa_53248.png","plot")</f>
        <v>plot</v>
      </c>
    </row>
    <row r="410" spans="1:29" x14ac:dyDescent="0.35">
      <c r="A410" t="s">
        <v>46</v>
      </c>
      <c r="B410">
        <v>52084</v>
      </c>
      <c r="C410" t="s">
        <v>52</v>
      </c>
      <c r="D410">
        <v>53249</v>
      </c>
      <c r="E410" t="s">
        <v>124</v>
      </c>
      <c r="F410">
        <v>8669</v>
      </c>
      <c r="G410">
        <v>0.49456058921207952</v>
      </c>
      <c r="H410">
        <v>0</v>
      </c>
      <c r="I410">
        <v>0</v>
      </c>
      <c r="J410">
        <v>0.43349600861588877</v>
      </c>
      <c r="K410">
        <v>0</v>
      </c>
      <c r="L410">
        <v>0</v>
      </c>
      <c r="M410">
        <v>0.30667772077442412</v>
      </c>
      <c r="N410">
        <v>0</v>
      </c>
      <c r="O410">
        <v>0</v>
      </c>
      <c r="P410">
        <v>0.24459017640179931</v>
      </c>
      <c r="Q410">
        <v>1.383347119077585</v>
      </c>
      <c r="R410">
        <v>3.8932753880840432</v>
      </c>
      <c r="S410">
        <v>0.29597678646813991</v>
      </c>
      <c r="T410">
        <v>0.20591519094730329</v>
      </c>
      <c r="U410">
        <v>4.3189708496943133</v>
      </c>
      <c r="V410">
        <v>0.1217530142151263</v>
      </c>
      <c r="W410">
        <v>9.8679112703887402</v>
      </c>
      <c r="X410">
        <v>0.34055823518376199</v>
      </c>
      <c r="Z410" t="s">
        <v>392</v>
      </c>
      <c r="AA410">
        <v>9937</v>
      </c>
      <c r="AB410" t="s">
        <v>801</v>
      </c>
      <c r="AC410" t="str">
        <f>HYPERLINK("plots/20251231000436_3FT6Y121H01_04823_B11P_N_UFLEX98_M5358A8BH101511/dpll_52084/txpa_53249.png","plot")</f>
        <v>plot</v>
      </c>
    </row>
    <row r="411" spans="1:29" x14ac:dyDescent="0.35">
      <c r="A411" t="s">
        <v>46</v>
      </c>
      <c r="B411">
        <v>52084</v>
      </c>
      <c r="C411" t="s">
        <v>52</v>
      </c>
      <c r="D411">
        <v>53250</v>
      </c>
      <c r="E411" t="s">
        <v>125</v>
      </c>
      <c r="F411">
        <v>8671</v>
      </c>
      <c r="G411">
        <v>0.47271699608955497</v>
      </c>
      <c r="H411">
        <v>0</v>
      </c>
      <c r="I411">
        <v>0</v>
      </c>
      <c r="J411">
        <v>0.40044511136396271</v>
      </c>
      <c r="K411">
        <v>0</v>
      </c>
      <c r="L411">
        <v>0</v>
      </c>
      <c r="M411">
        <v>0.28042101661972341</v>
      </c>
      <c r="N411">
        <v>0</v>
      </c>
      <c r="O411">
        <v>0</v>
      </c>
      <c r="P411">
        <v>0.2234613583919324</v>
      </c>
      <c r="Q411">
        <v>1.319365413465575</v>
      </c>
      <c r="R411">
        <v>4.0440038310506479</v>
      </c>
      <c r="S411">
        <v>0.2998255485329433</v>
      </c>
      <c r="T411">
        <v>0.2113683509998503</v>
      </c>
      <c r="U411">
        <v>4.3188735031714911</v>
      </c>
      <c r="V411">
        <v>0.1219125085238747</v>
      </c>
      <c r="W411">
        <v>9.7421761562680196</v>
      </c>
      <c r="X411">
        <v>0.34026097759504992</v>
      </c>
      <c r="Z411" t="s">
        <v>392</v>
      </c>
      <c r="AA411">
        <v>9937</v>
      </c>
      <c r="AB411" t="s">
        <v>802</v>
      </c>
      <c r="AC411" t="str">
        <f>HYPERLINK("plots/20251231000436_3FT6Y121H01_04823_B11P_N_UFLEX98_M5358A8BH101511/dpll_52084/txpa_53250.png","plot")</f>
        <v>plot</v>
      </c>
    </row>
    <row r="412" spans="1:29" x14ac:dyDescent="0.35">
      <c r="A412" t="s">
        <v>46</v>
      </c>
      <c r="B412">
        <v>52084</v>
      </c>
      <c r="C412" t="s">
        <v>52</v>
      </c>
      <c r="D412">
        <v>53251</v>
      </c>
      <c r="E412" t="s">
        <v>126</v>
      </c>
      <c r="F412">
        <v>8642</v>
      </c>
      <c r="G412">
        <v>0.43524807555931999</v>
      </c>
      <c r="H412">
        <v>0</v>
      </c>
      <c r="I412">
        <v>0</v>
      </c>
      <c r="J412">
        <v>0.42544844041185109</v>
      </c>
      <c r="K412">
        <v>0</v>
      </c>
      <c r="L412">
        <v>0</v>
      </c>
      <c r="M412">
        <v>0.29992391112193861</v>
      </c>
      <c r="N412">
        <v>0</v>
      </c>
      <c r="O412">
        <v>0</v>
      </c>
      <c r="P412">
        <v>0.1894408872780915</v>
      </c>
      <c r="Q412">
        <v>1.3029017427498331</v>
      </c>
      <c r="R412">
        <v>4.8268035059144641</v>
      </c>
      <c r="S412">
        <v>0.32360410857686162</v>
      </c>
      <c r="T412">
        <v>0.2183516619534466</v>
      </c>
      <c r="U412">
        <v>4.319962078222634</v>
      </c>
      <c r="V412">
        <v>0.120080366167365</v>
      </c>
      <c r="W412">
        <v>10.455289626243919</v>
      </c>
      <c r="X412">
        <v>0.35945688708318002</v>
      </c>
      <c r="Z412" t="s">
        <v>392</v>
      </c>
      <c r="AA412">
        <v>9937</v>
      </c>
      <c r="AB412" t="s">
        <v>803</v>
      </c>
      <c r="AC412" t="str">
        <f>HYPERLINK("plots/20251231000436_3FT6Y121H01_04823_B11P_N_UFLEX98_M5358A8BH101511/dpll_52084/txpa_53251.png","plot")</f>
        <v>plot</v>
      </c>
    </row>
    <row r="413" spans="1:29" x14ac:dyDescent="0.35">
      <c r="A413" t="s">
        <v>46</v>
      </c>
      <c r="B413">
        <v>52084</v>
      </c>
      <c r="C413" t="s">
        <v>52</v>
      </c>
      <c r="D413">
        <v>53252</v>
      </c>
      <c r="E413" t="s">
        <v>127</v>
      </c>
      <c r="F413">
        <v>8641</v>
      </c>
      <c r="G413">
        <v>0.42878919534596771</v>
      </c>
      <c r="H413">
        <v>0</v>
      </c>
      <c r="I413">
        <v>0</v>
      </c>
      <c r="J413">
        <v>0.41693933649461767</v>
      </c>
      <c r="K413">
        <v>0</v>
      </c>
      <c r="L413">
        <v>0</v>
      </c>
      <c r="M413">
        <v>0.29411461595061822</v>
      </c>
      <c r="N413">
        <v>0</v>
      </c>
      <c r="O413">
        <v>0</v>
      </c>
      <c r="P413">
        <v>0.18386017404544239</v>
      </c>
      <c r="Q413">
        <v>1.3416649588492049</v>
      </c>
      <c r="R413">
        <v>4.8254415121836924</v>
      </c>
      <c r="S413">
        <v>0.33706956014170469</v>
      </c>
      <c r="T413">
        <v>0.231155562385427</v>
      </c>
      <c r="U413">
        <v>4.3204115257493347</v>
      </c>
      <c r="V413">
        <v>0.11925102932806519</v>
      </c>
      <c r="W413">
        <v>10.6219862640898</v>
      </c>
      <c r="X413">
        <v>0.37313190046002082</v>
      </c>
      <c r="Z413" t="s">
        <v>392</v>
      </c>
      <c r="AA413">
        <v>9937</v>
      </c>
      <c r="AB413" t="s">
        <v>804</v>
      </c>
      <c r="AC413" t="str">
        <f>HYPERLINK("plots/20251231000436_3FT6Y121H01_04823_B11P_N_UFLEX98_M5358A8BH101511/dpll_52084/txpa_53252.png","plot")</f>
        <v>plot</v>
      </c>
    </row>
    <row r="414" spans="1:29" x14ac:dyDescent="0.35">
      <c r="A414" t="s">
        <v>46</v>
      </c>
      <c r="B414">
        <v>52084</v>
      </c>
      <c r="C414" t="s">
        <v>52</v>
      </c>
      <c r="D414">
        <v>53253</v>
      </c>
      <c r="E414" t="s">
        <v>128</v>
      </c>
      <c r="F414">
        <v>8629</v>
      </c>
      <c r="G414">
        <v>0.44451654680469471</v>
      </c>
      <c r="H414">
        <v>0</v>
      </c>
      <c r="I414">
        <v>0</v>
      </c>
      <c r="J414">
        <v>0.44497465282322157</v>
      </c>
      <c r="K414">
        <v>0</v>
      </c>
      <c r="L414">
        <v>0</v>
      </c>
      <c r="M414">
        <v>0.31711129912509639</v>
      </c>
      <c r="N414">
        <v>0</v>
      </c>
      <c r="O414">
        <v>0</v>
      </c>
      <c r="P414">
        <v>0.19759496038317029</v>
      </c>
      <c r="Q414">
        <v>1.3522293758284321</v>
      </c>
      <c r="R414">
        <v>4.6487332570610853</v>
      </c>
      <c r="S414">
        <v>0.32311906416780112</v>
      </c>
      <c r="T414">
        <v>0.21654072147462641</v>
      </c>
      <c r="U414">
        <v>4.320779982153204</v>
      </c>
      <c r="V414">
        <v>0.11858465389379121</v>
      </c>
      <c r="W414">
        <v>10.49141887542009</v>
      </c>
      <c r="X414">
        <v>0.36073719565738882</v>
      </c>
      <c r="Z414" t="s">
        <v>392</v>
      </c>
      <c r="AA414">
        <v>9937</v>
      </c>
      <c r="AB414" t="s">
        <v>805</v>
      </c>
      <c r="AC414" t="str">
        <f>HYPERLINK("plots/20251231000436_3FT6Y121H01_04823_B11P_N_UFLEX98_M5358A8BH101511/dpll_52084/txpa_53253.png","plot")</f>
        <v>plot</v>
      </c>
    </row>
    <row r="415" spans="1:29" x14ac:dyDescent="0.35">
      <c r="A415" t="s">
        <v>46</v>
      </c>
      <c r="B415">
        <v>52084</v>
      </c>
      <c r="C415" t="s">
        <v>52</v>
      </c>
      <c r="D415">
        <v>53254</v>
      </c>
      <c r="E415" t="s">
        <v>129</v>
      </c>
      <c r="F415">
        <v>8634</v>
      </c>
      <c r="G415">
        <v>0.44074954250560983</v>
      </c>
      <c r="H415">
        <v>0</v>
      </c>
      <c r="I415">
        <v>0</v>
      </c>
      <c r="J415">
        <v>0.42590027249511159</v>
      </c>
      <c r="K415">
        <v>0</v>
      </c>
      <c r="L415">
        <v>0</v>
      </c>
      <c r="M415">
        <v>0.30151156796700962</v>
      </c>
      <c r="N415">
        <v>0</v>
      </c>
      <c r="O415">
        <v>0</v>
      </c>
      <c r="P415">
        <v>0.1942601592189043</v>
      </c>
      <c r="Q415">
        <v>1.357598765730331</v>
      </c>
      <c r="R415">
        <v>4.7327584145444659</v>
      </c>
      <c r="S415">
        <v>0.32834884970555228</v>
      </c>
      <c r="T415">
        <v>0.22562646380630699</v>
      </c>
      <c r="U415">
        <v>4.3207274895760941</v>
      </c>
      <c r="V415">
        <v>0.1187636858123202</v>
      </c>
      <c r="W415">
        <v>10.598572721450079</v>
      </c>
      <c r="X415">
        <v>0.36581645066673768</v>
      </c>
      <c r="Z415" t="s">
        <v>392</v>
      </c>
      <c r="AA415">
        <v>9937</v>
      </c>
      <c r="AB415" t="s">
        <v>806</v>
      </c>
      <c r="AC415" t="str">
        <f>HYPERLINK("plots/20251231000436_3FT6Y121H01_04823_B11P_N_UFLEX98_M5358A8BH101511/dpll_52084/txpa_53254.png","plot")</f>
        <v>plot</v>
      </c>
    </row>
    <row r="416" spans="1:29" x14ac:dyDescent="0.35">
      <c r="A416" t="s">
        <v>46</v>
      </c>
      <c r="B416">
        <v>52084</v>
      </c>
      <c r="C416" t="s">
        <v>52</v>
      </c>
      <c r="D416">
        <v>53255</v>
      </c>
      <c r="E416" t="s">
        <v>130</v>
      </c>
      <c r="F416">
        <v>8626</v>
      </c>
      <c r="G416">
        <v>0.45221561601767762</v>
      </c>
      <c r="H416">
        <v>0</v>
      </c>
      <c r="I416">
        <v>0</v>
      </c>
      <c r="J416">
        <v>0.44230303690184553</v>
      </c>
      <c r="K416">
        <v>0</v>
      </c>
      <c r="L416">
        <v>0</v>
      </c>
      <c r="M416">
        <v>0.31504624836005579</v>
      </c>
      <c r="N416">
        <v>0</v>
      </c>
      <c r="O416">
        <v>0</v>
      </c>
      <c r="P416">
        <v>0.20449896337024759</v>
      </c>
      <c r="Q416">
        <v>1.3633720692753319</v>
      </c>
      <c r="R416">
        <v>4.7221887882544316</v>
      </c>
      <c r="S416">
        <v>0.31791956913600611</v>
      </c>
      <c r="T416">
        <v>0.21475596445425679</v>
      </c>
      <c r="U416">
        <v>4.3210383763041964</v>
      </c>
      <c r="V416">
        <v>0.11823695158556211</v>
      </c>
      <c r="W416">
        <v>10.6133718207744</v>
      </c>
      <c r="X416">
        <v>0.35646924086255682</v>
      </c>
      <c r="Z416" t="s">
        <v>392</v>
      </c>
      <c r="AA416">
        <v>9937</v>
      </c>
      <c r="AB416" t="s">
        <v>807</v>
      </c>
      <c r="AC416" t="str">
        <f>HYPERLINK("plots/20251231000436_3FT6Y121H01_04823_B11P_N_UFLEX98_M5358A8BH101511/dpll_52084/txpa_53255.png","plot")</f>
        <v>plot</v>
      </c>
    </row>
    <row r="417" spans="1:29" x14ac:dyDescent="0.35">
      <c r="A417" t="s">
        <v>46</v>
      </c>
      <c r="B417">
        <v>52084</v>
      </c>
      <c r="C417" t="s">
        <v>52</v>
      </c>
      <c r="D417">
        <v>53256</v>
      </c>
      <c r="E417" t="s">
        <v>131</v>
      </c>
      <c r="F417">
        <v>8649</v>
      </c>
      <c r="G417">
        <v>0.46930179825354679</v>
      </c>
      <c r="H417">
        <v>0</v>
      </c>
      <c r="I417">
        <v>0</v>
      </c>
      <c r="J417">
        <v>0.44150179631800518</v>
      </c>
      <c r="K417">
        <v>0</v>
      </c>
      <c r="L417">
        <v>0</v>
      </c>
      <c r="M417">
        <v>0.31506252345257102</v>
      </c>
      <c r="N417">
        <v>0</v>
      </c>
      <c r="O417">
        <v>0</v>
      </c>
      <c r="P417">
        <v>0.22024417784401271</v>
      </c>
      <c r="Q417">
        <v>1.434886995145267</v>
      </c>
      <c r="R417">
        <v>4.3915710843440419</v>
      </c>
      <c r="S417">
        <v>0.32379001508778671</v>
      </c>
      <c r="T417">
        <v>0.2214864146732039</v>
      </c>
      <c r="U417">
        <v>4.3200085237599728</v>
      </c>
      <c r="V417">
        <v>0.11993439974540319</v>
      </c>
      <c r="W417">
        <v>10.590295134003931</v>
      </c>
      <c r="X417">
        <v>0.36669859588361847</v>
      </c>
      <c r="Z417" t="s">
        <v>392</v>
      </c>
      <c r="AA417">
        <v>9937</v>
      </c>
      <c r="AB417" t="s">
        <v>808</v>
      </c>
      <c r="AC417" t="str">
        <f>HYPERLINK("plots/20251231000436_3FT6Y121H01_04823_B11P_N_UFLEX98_M5358A8BH101511/dpll_52084/txpa_53256.png","plot")</f>
        <v>plot</v>
      </c>
    </row>
    <row r="418" spans="1:29" x14ac:dyDescent="0.35">
      <c r="A418" t="s">
        <v>46</v>
      </c>
      <c r="B418">
        <v>52084</v>
      </c>
      <c r="C418" t="s">
        <v>52</v>
      </c>
      <c r="D418">
        <v>53257</v>
      </c>
      <c r="E418" t="s">
        <v>132</v>
      </c>
      <c r="F418">
        <v>8646</v>
      </c>
      <c r="G418">
        <v>0.47388080649591657</v>
      </c>
      <c r="H418">
        <v>0</v>
      </c>
      <c r="I418">
        <v>0</v>
      </c>
      <c r="J418">
        <v>0.44342519062153091</v>
      </c>
      <c r="K418">
        <v>0</v>
      </c>
      <c r="L418">
        <v>0</v>
      </c>
      <c r="M418">
        <v>0.3156750404241207</v>
      </c>
      <c r="N418">
        <v>0</v>
      </c>
      <c r="O418">
        <v>0</v>
      </c>
      <c r="P418">
        <v>0.22456301876522031</v>
      </c>
      <c r="Q418">
        <v>1.4294862836476749</v>
      </c>
      <c r="R418">
        <v>4.4404509066540596</v>
      </c>
      <c r="S418">
        <v>0.31795973589416671</v>
      </c>
      <c r="T418">
        <v>0.21701886429870129</v>
      </c>
      <c r="U418">
        <v>4.3201524129077029</v>
      </c>
      <c r="V418">
        <v>0.11970522746525521</v>
      </c>
      <c r="W418">
        <v>10.616049524173031</v>
      </c>
      <c r="X418">
        <v>0.36109709107617499</v>
      </c>
      <c r="Z418" t="s">
        <v>392</v>
      </c>
      <c r="AA418">
        <v>9937</v>
      </c>
      <c r="AB418" t="s">
        <v>809</v>
      </c>
      <c r="AC418" t="str">
        <f>HYPERLINK("plots/20251231000436_3FT6Y121H01_04823_B11P_N_UFLEX98_M5358A8BH101511/dpll_52084/txpa_53257.png","plot")</f>
        <v>plot</v>
      </c>
    </row>
    <row r="419" spans="1:29" x14ac:dyDescent="0.35">
      <c r="A419" t="s">
        <v>46</v>
      </c>
      <c r="B419">
        <v>52084</v>
      </c>
      <c r="C419" t="s">
        <v>52</v>
      </c>
      <c r="D419">
        <v>53258</v>
      </c>
      <c r="E419" t="s">
        <v>133</v>
      </c>
      <c r="F419">
        <v>8662</v>
      </c>
      <c r="G419">
        <v>0.46945415133325807</v>
      </c>
      <c r="H419">
        <v>0</v>
      </c>
      <c r="I419">
        <v>0</v>
      </c>
      <c r="J419">
        <v>0.41761458639139809</v>
      </c>
      <c r="K419">
        <v>0</v>
      </c>
      <c r="L419">
        <v>0</v>
      </c>
      <c r="M419">
        <v>0.29460992473777292</v>
      </c>
      <c r="N419">
        <v>0</v>
      </c>
      <c r="O419">
        <v>0</v>
      </c>
      <c r="P419">
        <v>0.2203872002040296</v>
      </c>
      <c r="Q419">
        <v>1.398337981824926</v>
      </c>
      <c r="R419">
        <v>4.4950985771152414</v>
      </c>
      <c r="S419">
        <v>0.31849632091794339</v>
      </c>
      <c r="T419">
        <v>0.22102771407349159</v>
      </c>
      <c r="U419">
        <v>4.319340320133918</v>
      </c>
      <c r="V419">
        <v>0.1211075001327671</v>
      </c>
      <c r="W419">
        <v>10.53499620318633</v>
      </c>
      <c r="X419">
        <v>0.36073643579156922</v>
      </c>
      <c r="Z419" t="s">
        <v>392</v>
      </c>
      <c r="AA419">
        <v>9937</v>
      </c>
      <c r="AB419" t="s">
        <v>810</v>
      </c>
      <c r="AC419" t="str">
        <f>HYPERLINK("plots/20251231000436_3FT6Y121H01_04823_B11P_N_UFLEX98_M5358A8BH101511/dpll_52084/txpa_53258.png","plot")</f>
        <v>plot</v>
      </c>
    </row>
    <row r="420" spans="1:29" x14ac:dyDescent="0.35">
      <c r="A420" t="s">
        <v>46</v>
      </c>
      <c r="B420">
        <v>52084</v>
      </c>
      <c r="C420" t="s">
        <v>52</v>
      </c>
      <c r="D420">
        <v>53259</v>
      </c>
      <c r="E420" t="s">
        <v>134</v>
      </c>
      <c r="F420">
        <v>8632</v>
      </c>
      <c r="G420">
        <v>0.42915176098142033</v>
      </c>
      <c r="H420">
        <v>0</v>
      </c>
      <c r="I420">
        <v>0</v>
      </c>
      <c r="J420">
        <v>0.43204564082983049</v>
      </c>
      <c r="K420">
        <v>0</v>
      </c>
      <c r="L420">
        <v>0</v>
      </c>
      <c r="M420">
        <v>0.30596443737944568</v>
      </c>
      <c r="N420">
        <v>0</v>
      </c>
      <c r="O420">
        <v>0</v>
      </c>
      <c r="P420">
        <v>0.18417123395345411</v>
      </c>
      <c r="Q420">
        <v>1.333908441374867</v>
      </c>
      <c r="R420">
        <v>5.0493044157728866</v>
      </c>
      <c r="S420">
        <v>0.33499033076052198</v>
      </c>
      <c r="T420">
        <v>0.22432746294041281</v>
      </c>
      <c r="U420">
        <v>4.3204276144578309</v>
      </c>
      <c r="V420">
        <v>0.11932812043292269</v>
      </c>
      <c r="W420">
        <v>10.81235928104727</v>
      </c>
      <c r="X420">
        <v>0.37090092971973992</v>
      </c>
      <c r="Z420" t="s">
        <v>392</v>
      </c>
      <c r="AA420">
        <v>9937</v>
      </c>
      <c r="AB420" t="s">
        <v>811</v>
      </c>
      <c r="AC420" t="str">
        <f>HYPERLINK("plots/20251231000436_3FT6Y121H01_04823_B11P_N_UFLEX98_M5358A8BH101511/dpll_52084/txpa_53259.png","plot")</f>
        <v>plot</v>
      </c>
    </row>
    <row r="421" spans="1:29" x14ac:dyDescent="0.35">
      <c r="A421" t="s">
        <v>46</v>
      </c>
      <c r="B421">
        <v>52084</v>
      </c>
      <c r="C421" t="s">
        <v>52</v>
      </c>
      <c r="D421">
        <v>53260</v>
      </c>
      <c r="E421" t="s">
        <v>135</v>
      </c>
      <c r="F421">
        <v>8639</v>
      </c>
      <c r="G421">
        <v>0.43475137288520088</v>
      </c>
      <c r="H421">
        <v>0</v>
      </c>
      <c r="I421">
        <v>0</v>
      </c>
      <c r="J421">
        <v>0.43206699851085473</v>
      </c>
      <c r="K421">
        <v>0</v>
      </c>
      <c r="L421">
        <v>0</v>
      </c>
      <c r="M421">
        <v>0.30725667410353791</v>
      </c>
      <c r="N421">
        <v>0</v>
      </c>
      <c r="O421">
        <v>0</v>
      </c>
      <c r="P421">
        <v>0.18900875622556701</v>
      </c>
      <c r="Q421">
        <v>1.407080428140381</v>
      </c>
      <c r="R421">
        <v>4.872348062159646</v>
      </c>
      <c r="S421">
        <v>0.3471088813103701</v>
      </c>
      <c r="T421">
        <v>0.2347128654204956</v>
      </c>
      <c r="U421">
        <v>4.3205073974997106</v>
      </c>
      <c r="V421">
        <v>0.1190980964897263</v>
      </c>
      <c r="W421">
        <v>10.951649460817221</v>
      </c>
      <c r="X421">
        <v>0.38546307395726032</v>
      </c>
      <c r="Z421" t="s">
        <v>392</v>
      </c>
      <c r="AA421">
        <v>9937</v>
      </c>
      <c r="AB421" t="s">
        <v>812</v>
      </c>
      <c r="AC421" t="str">
        <f>HYPERLINK("plots/20251231000436_3FT6Y121H01_04823_B11P_N_UFLEX98_M5358A8BH101511/dpll_52084/txpa_53260.png","plot")</f>
        <v>plot</v>
      </c>
    </row>
    <row r="422" spans="1:29" x14ac:dyDescent="0.35">
      <c r="A422" t="s">
        <v>46</v>
      </c>
      <c r="B422">
        <v>52084</v>
      </c>
      <c r="C422" t="s">
        <v>52</v>
      </c>
      <c r="D422">
        <v>53261</v>
      </c>
      <c r="E422" t="s">
        <v>136</v>
      </c>
      <c r="F422">
        <v>8620</v>
      </c>
      <c r="G422">
        <v>0.44036531877357021</v>
      </c>
      <c r="H422">
        <v>0</v>
      </c>
      <c r="I422">
        <v>0</v>
      </c>
      <c r="J422">
        <v>0.45006436596219518</v>
      </c>
      <c r="K422">
        <v>0</v>
      </c>
      <c r="L422">
        <v>0</v>
      </c>
      <c r="M422">
        <v>0.32206278804543498</v>
      </c>
      <c r="N422">
        <v>0</v>
      </c>
      <c r="O422">
        <v>0</v>
      </c>
      <c r="P422">
        <v>0.1939216139785481</v>
      </c>
      <c r="Q422">
        <v>1.395571234655461</v>
      </c>
      <c r="R422">
        <v>4.797441051879602</v>
      </c>
      <c r="S422">
        <v>0.33582155683636511</v>
      </c>
      <c r="T422">
        <v>0.22339152919338781</v>
      </c>
      <c r="U422">
        <v>4.3211348345707661</v>
      </c>
      <c r="V422">
        <v>0.1180337552278543</v>
      </c>
      <c r="W422">
        <v>10.82789252807425</v>
      </c>
      <c r="X422">
        <v>0.37406332081990379</v>
      </c>
      <c r="Z422" t="s">
        <v>392</v>
      </c>
      <c r="AA422">
        <v>9937</v>
      </c>
      <c r="AB422" t="s">
        <v>813</v>
      </c>
      <c r="AC422" t="str">
        <f>HYPERLINK("plots/20251231000436_3FT6Y121H01_04823_B11P_N_UFLEX98_M5358A8BH101511/dpll_52084/txpa_53261.png","plot")</f>
        <v>plot</v>
      </c>
    </row>
    <row r="423" spans="1:29" x14ac:dyDescent="0.35">
      <c r="A423" t="s">
        <v>46</v>
      </c>
      <c r="B423">
        <v>52084</v>
      </c>
      <c r="C423" t="s">
        <v>52</v>
      </c>
      <c r="D423">
        <v>53262</v>
      </c>
      <c r="E423" t="s">
        <v>137</v>
      </c>
      <c r="F423">
        <v>8631</v>
      </c>
      <c r="G423">
        <v>0.44395571497348529</v>
      </c>
      <c r="H423">
        <v>0</v>
      </c>
      <c r="I423">
        <v>0</v>
      </c>
      <c r="J423">
        <v>0.43763757781860307</v>
      </c>
      <c r="K423">
        <v>0</v>
      </c>
      <c r="L423">
        <v>0</v>
      </c>
      <c r="M423">
        <v>0.31164158292151528</v>
      </c>
      <c r="N423">
        <v>0</v>
      </c>
      <c r="O423">
        <v>0</v>
      </c>
      <c r="P423">
        <v>0.19709667685761861</v>
      </c>
      <c r="Q423">
        <v>1.423828754314012</v>
      </c>
      <c r="R423">
        <v>4.7758248312366307</v>
      </c>
      <c r="S423">
        <v>0.34051224611319381</v>
      </c>
      <c r="T423">
        <v>0.2312215890198778</v>
      </c>
      <c r="U423">
        <v>4.3208813073803727</v>
      </c>
      <c r="V423">
        <v>0.1184972194816984</v>
      </c>
      <c r="W423">
        <v>10.928019880662729</v>
      </c>
      <c r="X423">
        <v>0.38003733866648692</v>
      </c>
      <c r="Z423" t="s">
        <v>392</v>
      </c>
      <c r="AA423">
        <v>9937</v>
      </c>
      <c r="AB423" t="s">
        <v>814</v>
      </c>
      <c r="AC423" t="str">
        <f>HYPERLINK("plots/20251231000436_3FT6Y121H01_04823_B11P_N_UFLEX98_M5358A8BH101511/dpll_52084/txpa_53262.png","plot")</f>
        <v>plot</v>
      </c>
    </row>
    <row r="424" spans="1:29" x14ac:dyDescent="0.35">
      <c r="A424" t="s">
        <v>46</v>
      </c>
      <c r="B424">
        <v>52084</v>
      </c>
      <c r="C424" t="s">
        <v>52</v>
      </c>
      <c r="D424">
        <v>53263</v>
      </c>
      <c r="E424" t="s">
        <v>138</v>
      </c>
      <c r="F424">
        <v>8620</v>
      </c>
      <c r="G424">
        <v>0.44797143165117342</v>
      </c>
      <c r="H424">
        <v>0</v>
      </c>
      <c r="I424">
        <v>0</v>
      </c>
      <c r="J424">
        <v>0.44704625622854188</v>
      </c>
      <c r="K424">
        <v>0</v>
      </c>
      <c r="L424">
        <v>0</v>
      </c>
      <c r="M424">
        <v>0.31961904939965607</v>
      </c>
      <c r="N424">
        <v>0</v>
      </c>
      <c r="O424">
        <v>0</v>
      </c>
      <c r="P424">
        <v>0.2006784035756019</v>
      </c>
      <c r="Q424">
        <v>1.411790789082364</v>
      </c>
      <c r="R424">
        <v>4.84167949275826</v>
      </c>
      <c r="S424">
        <v>0.33174521456287182</v>
      </c>
      <c r="T424">
        <v>0.22227389096328509</v>
      </c>
      <c r="U424">
        <v>4.3213315267981436</v>
      </c>
      <c r="V424">
        <v>0.11774678572812761</v>
      </c>
      <c r="W424">
        <v>10.94249553886311</v>
      </c>
      <c r="X424">
        <v>0.3710813140969853</v>
      </c>
      <c r="Z424" t="s">
        <v>392</v>
      </c>
      <c r="AA424">
        <v>9937</v>
      </c>
      <c r="AB424" t="s">
        <v>815</v>
      </c>
      <c r="AC424" t="str">
        <f>HYPERLINK("plots/20251231000436_3FT6Y121H01_04823_B11P_N_UFLEX98_M5358A8BH101511/dpll_52084/txpa_53263.png","plot")</f>
        <v>plot</v>
      </c>
    </row>
    <row r="425" spans="1:29" x14ac:dyDescent="0.35">
      <c r="A425" t="s">
        <v>46</v>
      </c>
      <c r="B425">
        <v>52084</v>
      </c>
      <c r="C425" t="s">
        <v>52</v>
      </c>
      <c r="D425">
        <v>53264</v>
      </c>
      <c r="E425" t="s">
        <v>139</v>
      </c>
      <c r="F425">
        <v>8645</v>
      </c>
      <c r="G425">
        <v>0.46892135288646658</v>
      </c>
      <c r="H425">
        <v>0</v>
      </c>
      <c r="I425">
        <v>0</v>
      </c>
      <c r="J425">
        <v>0.44864973255346502</v>
      </c>
      <c r="K425">
        <v>0</v>
      </c>
      <c r="L425">
        <v>0</v>
      </c>
      <c r="M425">
        <v>0.32164575717824601</v>
      </c>
      <c r="N425">
        <v>0</v>
      </c>
      <c r="O425">
        <v>0</v>
      </c>
      <c r="P425">
        <v>0.2198872351928742</v>
      </c>
      <c r="Q425">
        <v>1.4928114643975019</v>
      </c>
      <c r="R425">
        <v>4.4645205866592974</v>
      </c>
      <c r="S425">
        <v>0.33627096070191781</v>
      </c>
      <c r="T425">
        <v>0.2282482893629196</v>
      </c>
      <c r="U425">
        <v>4.320208289762868</v>
      </c>
      <c r="V425">
        <v>0.119599906419701</v>
      </c>
      <c r="W425">
        <v>10.91377705020243</v>
      </c>
      <c r="X425">
        <v>0.38074638816335921</v>
      </c>
      <c r="Z425" t="s">
        <v>392</v>
      </c>
      <c r="AA425">
        <v>9937</v>
      </c>
      <c r="AB425" t="s">
        <v>816</v>
      </c>
      <c r="AC425" t="str">
        <f>HYPERLINK("plots/20251231000436_3FT6Y121H01_04823_B11P_N_UFLEX98_M5358A8BH101511/dpll_52084/txpa_53264.png","plot")</f>
        <v>plot</v>
      </c>
    </row>
    <row r="426" spans="1:29" x14ac:dyDescent="0.35">
      <c r="A426" t="s">
        <v>46</v>
      </c>
      <c r="B426">
        <v>52084</v>
      </c>
      <c r="C426" t="s">
        <v>52</v>
      </c>
      <c r="D426">
        <v>53265</v>
      </c>
      <c r="E426" t="s">
        <v>140</v>
      </c>
      <c r="F426">
        <v>8640</v>
      </c>
      <c r="G426">
        <v>0.46989668744744112</v>
      </c>
      <c r="H426">
        <v>0</v>
      </c>
      <c r="I426">
        <v>0</v>
      </c>
      <c r="J426">
        <v>0.44841807344720969</v>
      </c>
      <c r="K426">
        <v>0</v>
      </c>
      <c r="L426">
        <v>0</v>
      </c>
      <c r="M426">
        <v>0.32031906244398423</v>
      </c>
      <c r="N426">
        <v>0</v>
      </c>
      <c r="O426">
        <v>0</v>
      </c>
      <c r="P426">
        <v>0.22080289687407809</v>
      </c>
      <c r="Q426">
        <v>1.4799735531182361</v>
      </c>
      <c r="R426">
        <v>4.5479777419792402</v>
      </c>
      <c r="S426">
        <v>0.33154853554065022</v>
      </c>
      <c r="T426">
        <v>0.22439149736440581</v>
      </c>
      <c r="U426">
        <v>4.3204350446759259</v>
      </c>
      <c r="V426">
        <v>0.1192606061457686</v>
      </c>
      <c r="W426">
        <v>10.942107346064811</v>
      </c>
      <c r="X426">
        <v>0.37561989207325458</v>
      </c>
      <c r="Z426" t="s">
        <v>392</v>
      </c>
      <c r="AA426">
        <v>9937</v>
      </c>
      <c r="AB426" t="s">
        <v>817</v>
      </c>
      <c r="AC426" t="str">
        <f>HYPERLINK("plots/20251231000436_3FT6Y121H01_04823_B11P_N_UFLEX98_M5358A8BH101511/dpll_52084/txpa_53265.png","plot")</f>
        <v>plot</v>
      </c>
    </row>
    <row r="427" spans="1:29" x14ac:dyDescent="0.35">
      <c r="A427" t="s">
        <v>46</v>
      </c>
      <c r="B427">
        <v>52084</v>
      </c>
      <c r="C427" t="s">
        <v>52</v>
      </c>
      <c r="D427">
        <v>53266</v>
      </c>
      <c r="E427" t="s">
        <v>141</v>
      </c>
      <c r="F427">
        <v>8652</v>
      </c>
      <c r="G427">
        <v>0.46220812143343948</v>
      </c>
      <c r="H427">
        <v>0</v>
      </c>
      <c r="I427">
        <v>0</v>
      </c>
      <c r="J427">
        <v>0.42595889074234028</v>
      </c>
      <c r="K427">
        <v>0</v>
      </c>
      <c r="L427">
        <v>0</v>
      </c>
      <c r="M427">
        <v>0.30169867200334188</v>
      </c>
      <c r="N427">
        <v>0</v>
      </c>
      <c r="O427">
        <v>0</v>
      </c>
      <c r="P427">
        <v>0.21363634751902921</v>
      </c>
      <c r="Q427">
        <v>1.422738703955299</v>
      </c>
      <c r="R427">
        <v>4.7422276802044081</v>
      </c>
      <c r="S427">
        <v>0.32806097030823961</v>
      </c>
      <c r="T427">
        <v>0.22590711669178101</v>
      </c>
      <c r="U427">
        <v>4.3198596828478966</v>
      </c>
      <c r="V427">
        <v>0.12019333200499439</v>
      </c>
      <c r="W427">
        <v>10.888259246648181</v>
      </c>
      <c r="X427">
        <v>0.3699712261016172</v>
      </c>
      <c r="Z427" t="s">
        <v>392</v>
      </c>
      <c r="AA427">
        <v>9937</v>
      </c>
      <c r="AB427" t="s">
        <v>818</v>
      </c>
      <c r="AC427" t="str">
        <f>HYPERLINK("plots/20251231000436_3FT6Y121H01_04823_B11P_N_UFLEX98_M5358A8BH101511/dpll_52084/txpa_53266.png","plot")</f>
        <v>plot</v>
      </c>
    </row>
    <row r="428" spans="1:29" x14ac:dyDescent="0.35">
      <c r="A428" t="s">
        <v>46</v>
      </c>
      <c r="B428">
        <v>52084</v>
      </c>
      <c r="C428" t="s">
        <v>52</v>
      </c>
      <c r="D428">
        <v>53267</v>
      </c>
      <c r="E428" t="s">
        <v>142</v>
      </c>
      <c r="F428">
        <v>8630</v>
      </c>
      <c r="G428">
        <v>0.43171001051245422</v>
      </c>
      <c r="H428">
        <v>0</v>
      </c>
      <c r="I428">
        <v>0</v>
      </c>
      <c r="J428">
        <v>0.44009575033409742</v>
      </c>
      <c r="K428">
        <v>0</v>
      </c>
      <c r="L428">
        <v>0</v>
      </c>
      <c r="M428">
        <v>0.31329641983209178</v>
      </c>
      <c r="N428">
        <v>0</v>
      </c>
      <c r="O428">
        <v>0</v>
      </c>
      <c r="P428">
        <v>0.1863735331766633</v>
      </c>
      <c r="Q428">
        <v>1.398094885529612</v>
      </c>
      <c r="R428">
        <v>5.0902294281855731</v>
      </c>
      <c r="S428">
        <v>0.34806682193697652</v>
      </c>
      <c r="T428">
        <v>0.23132979060210049</v>
      </c>
      <c r="U428">
        <v>4.3205272264194674</v>
      </c>
      <c r="V428">
        <v>0.1191600645279607</v>
      </c>
      <c r="W428">
        <v>11.130736446234071</v>
      </c>
      <c r="X428">
        <v>0.3859004255615105</v>
      </c>
      <c r="Z428" t="s">
        <v>392</v>
      </c>
      <c r="AA428">
        <v>9937</v>
      </c>
      <c r="AB428" t="s">
        <v>819</v>
      </c>
      <c r="AC428" t="str">
        <f>HYPERLINK("plots/20251231000436_3FT6Y121H01_04823_B11P_N_UFLEX98_M5358A8BH101511/dpll_52084/txpa_53267.png","plot")</f>
        <v>plot</v>
      </c>
    </row>
    <row r="429" spans="1:29" x14ac:dyDescent="0.35">
      <c r="A429" t="s">
        <v>46</v>
      </c>
      <c r="B429">
        <v>52084</v>
      </c>
      <c r="C429" t="s">
        <v>52</v>
      </c>
      <c r="D429">
        <v>53268</v>
      </c>
      <c r="E429" t="s">
        <v>143</v>
      </c>
      <c r="F429">
        <v>8632</v>
      </c>
      <c r="G429">
        <v>0.43695813877417827</v>
      </c>
      <c r="H429">
        <v>0</v>
      </c>
      <c r="I429">
        <v>0</v>
      </c>
      <c r="J429">
        <v>0.44393831139670298</v>
      </c>
      <c r="K429">
        <v>0</v>
      </c>
      <c r="L429">
        <v>0</v>
      </c>
      <c r="M429">
        <v>0.31782707076261563</v>
      </c>
      <c r="N429">
        <v>0</v>
      </c>
      <c r="O429">
        <v>0</v>
      </c>
      <c r="P429">
        <v>0.19093241504099401</v>
      </c>
      <c r="Q429">
        <v>1.4565879720180399</v>
      </c>
      <c r="R429">
        <v>4.9503574990118553</v>
      </c>
      <c r="S429">
        <v>0.35555167520293729</v>
      </c>
      <c r="T429">
        <v>0.23798128407551239</v>
      </c>
      <c r="U429">
        <v>4.3207978839202967</v>
      </c>
      <c r="V429">
        <v>0.1185874142162348</v>
      </c>
      <c r="W429">
        <v>11.24397972625116</v>
      </c>
      <c r="X429">
        <v>0.39530789302761499</v>
      </c>
      <c r="Z429" t="s">
        <v>392</v>
      </c>
      <c r="AA429">
        <v>9937</v>
      </c>
      <c r="AB429" t="s">
        <v>820</v>
      </c>
      <c r="AC429" t="str">
        <f>HYPERLINK("plots/20251231000436_3FT6Y121H01_04823_B11P_N_UFLEX98_M5358A8BH101511/dpll_52084/txpa_53268.png","plot")</f>
        <v>plot</v>
      </c>
    </row>
    <row r="430" spans="1:29" x14ac:dyDescent="0.35">
      <c r="A430" t="s">
        <v>46</v>
      </c>
      <c r="B430">
        <v>52084</v>
      </c>
      <c r="C430" t="s">
        <v>52</v>
      </c>
      <c r="D430">
        <v>53269</v>
      </c>
      <c r="E430" t="s">
        <v>144</v>
      </c>
      <c r="F430">
        <v>8614</v>
      </c>
      <c r="G430">
        <v>0.43919193360557962</v>
      </c>
      <c r="H430">
        <v>0</v>
      </c>
      <c r="I430">
        <v>0</v>
      </c>
      <c r="J430">
        <v>0.45458776693284558</v>
      </c>
      <c r="K430">
        <v>0</v>
      </c>
      <c r="L430">
        <v>0</v>
      </c>
      <c r="M430">
        <v>0.32641559806120451</v>
      </c>
      <c r="N430">
        <v>0</v>
      </c>
      <c r="O430">
        <v>0</v>
      </c>
      <c r="P430">
        <v>0.19288955454420781</v>
      </c>
      <c r="Q430">
        <v>1.449551842554373</v>
      </c>
      <c r="R430">
        <v>4.8626820226198477</v>
      </c>
      <c r="S430">
        <v>0.34880008168257798</v>
      </c>
      <c r="T430">
        <v>0.23068254116340839</v>
      </c>
      <c r="U430">
        <v>4.3213695410958914</v>
      </c>
      <c r="V430">
        <v>0.1176402413633186</v>
      </c>
      <c r="W430">
        <v>11.12673120327374</v>
      </c>
      <c r="X430">
        <v>0.38827131278754701</v>
      </c>
      <c r="Z430" t="s">
        <v>392</v>
      </c>
      <c r="AA430">
        <v>9937</v>
      </c>
      <c r="AB430" t="s">
        <v>821</v>
      </c>
      <c r="AC430" t="str">
        <f>HYPERLINK("plots/20251231000436_3FT6Y121H01_04823_B11P_N_UFLEX98_M5358A8BH101511/dpll_52084/txpa_53269.png","plot")</f>
        <v>plot</v>
      </c>
    </row>
    <row r="431" spans="1:29" x14ac:dyDescent="0.35">
      <c r="A431" t="s">
        <v>46</v>
      </c>
      <c r="B431">
        <v>52084</v>
      </c>
      <c r="C431" t="s">
        <v>52</v>
      </c>
      <c r="D431">
        <v>53270</v>
      </c>
      <c r="E431" t="s">
        <v>145</v>
      </c>
      <c r="F431">
        <v>8623</v>
      </c>
      <c r="G431">
        <v>0.44279051437909411</v>
      </c>
      <c r="H431">
        <v>0</v>
      </c>
      <c r="I431">
        <v>0</v>
      </c>
      <c r="J431">
        <v>0.44619059518173643</v>
      </c>
      <c r="K431">
        <v>0</v>
      </c>
      <c r="L431">
        <v>0</v>
      </c>
      <c r="M431">
        <v>0.31935979262693331</v>
      </c>
      <c r="N431">
        <v>0</v>
      </c>
      <c r="O431">
        <v>0</v>
      </c>
      <c r="P431">
        <v>0.19606343962410269</v>
      </c>
      <c r="Q431">
        <v>1.468099422137811</v>
      </c>
      <c r="R431">
        <v>4.8756404863735998</v>
      </c>
      <c r="S431">
        <v>0.35062298844435208</v>
      </c>
      <c r="T431">
        <v>0.23602627112573399</v>
      </c>
      <c r="U431">
        <v>4.3212418659399283</v>
      </c>
      <c r="V431">
        <v>0.1179498850810088</v>
      </c>
      <c r="W431">
        <v>11.21965317267772</v>
      </c>
      <c r="X431">
        <v>0.39107016186077947</v>
      </c>
      <c r="Z431" t="s">
        <v>392</v>
      </c>
      <c r="AA431">
        <v>9937</v>
      </c>
      <c r="AB431" t="s">
        <v>822</v>
      </c>
      <c r="AC431" t="str">
        <f>HYPERLINK("plots/20251231000436_3FT6Y121H01_04823_B11P_N_UFLEX98_M5358A8BH101511/dpll_52084/txpa_53270.png","plot")</f>
        <v>plot</v>
      </c>
    </row>
    <row r="432" spans="1:29" x14ac:dyDescent="0.35">
      <c r="A432" t="s">
        <v>46</v>
      </c>
      <c r="B432">
        <v>52084</v>
      </c>
      <c r="C432" t="s">
        <v>52</v>
      </c>
      <c r="D432">
        <v>53271</v>
      </c>
      <c r="E432" t="s">
        <v>146</v>
      </c>
      <c r="F432">
        <v>8618</v>
      </c>
      <c r="G432">
        <v>0.44923953282038592</v>
      </c>
      <c r="H432">
        <v>0</v>
      </c>
      <c r="I432">
        <v>0</v>
      </c>
      <c r="J432">
        <v>0.45209199783639509</v>
      </c>
      <c r="K432">
        <v>0</v>
      </c>
      <c r="L432">
        <v>0</v>
      </c>
      <c r="M432">
        <v>0.32445554862860948</v>
      </c>
      <c r="N432">
        <v>0</v>
      </c>
      <c r="O432">
        <v>0</v>
      </c>
      <c r="P432">
        <v>0.2018161578486786</v>
      </c>
      <c r="Q432">
        <v>1.4771008533433529</v>
      </c>
      <c r="R432">
        <v>4.8500207178531776</v>
      </c>
      <c r="S432">
        <v>0.34547946872043062</v>
      </c>
      <c r="T432">
        <v>0.229972821851709</v>
      </c>
      <c r="U432">
        <v>4.3214202763982366</v>
      </c>
      <c r="V432">
        <v>0.1176152926077618</v>
      </c>
      <c r="W432">
        <v>11.233194295776279</v>
      </c>
      <c r="X432">
        <v>0.38671941444345992</v>
      </c>
      <c r="Z432" t="s">
        <v>392</v>
      </c>
      <c r="AA432">
        <v>9937</v>
      </c>
      <c r="AB432" t="s">
        <v>823</v>
      </c>
      <c r="AC432" t="str">
        <f>HYPERLINK("plots/20251231000436_3FT6Y121H01_04823_B11P_N_UFLEX98_M5358A8BH101511/dpll_52084/txpa_53271.png","plot")</f>
        <v>plot</v>
      </c>
    </row>
    <row r="433" spans="1:29" x14ac:dyDescent="0.35">
      <c r="A433" t="s">
        <v>46</v>
      </c>
      <c r="B433">
        <v>52084</v>
      </c>
      <c r="C433" t="s">
        <v>52</v>
      </c>
      <c r="D433">
        <v>53272</v>
      </c>
      <c r="E433" t="s">
        <v>147</v>
      </c>
      <c r="F433">
        <v>8646</v>
      </c>
      <c r="G433">
        <v>0.47365195732797422</v>
      </c>
      <c r="H433">
        <v>0</v>
      </c>
      <c r="I433">
        <v>0</v>
      </c>
      <c r="J433">
        <v>0.45543066024787893</v>
      </c>
      <c r="K433">
        <v>0</v>
      </c>
      <c r="L433">
        <v>0</v>
      </c>
      <c r="M433">
        <v>0.32795582419285818</v>
      </c>
      <c r="N433">
        <v>0</v>
      </c>
      <c r="O433">
        <v>0</v>
      </c>
      <c r="P433">
        <v>0.2243461766806211</v>
      </c>
      <c r="Q433">
        <v>1.572420659864705</v>
      </c>
      <c r="R433">
        <v>4.4057892991702321</v>
      </c>
      <c r="S433">
        <v>0.34974667981136148</v>
      </c>
      <c r="T433">
        <v>0.23591095969395609</v>
      </c>
      <c r="U433">
        <v>4.3201737893823733</v>
      </c>
      <c r="V433">
        <v>0.11962868900747189</v>
      </c>
      <c r="W433">
        <v>11.198919819801061</v>
      </c>
      <c r="X433">
        <v>0.39714102137157758</v>
      </c>
      <c r="Z433" t="s">
        <v>392</v>
      </c>
      <c r="AA433">
        <v>9937</v>
      </c>
      <c r="AB433" t="s">
        <v>824</v>
      </c>
      <c r="AC433" t="str">
        <f>HYPERLINK("plots/20251231000436_3FT6Y121H01_04823_B11P_N_UFLEX98_M5358A8BH101511/dpll_52084/txpa_53272.png","plot")</f>
        <v>plot</v>
      </c>
    </row>
    <row r="434" spans="1:29" x14ac:dyDescent="0.35">
      <c r="A434" t="s">
        <v>46</v>
      </c>
      <c r="B434">
        <v>52084</v>
      </c>
      <c r="C434" t="s">
        <v>52</v>
      </c>
      <c r="D434">
        <v>53273</v>
      </c>
      <c r="E434" t="s">
        <v>148</v>
      </c>
      <c r="F434">
        <v>8639</v>
      </c>
      <c r="G434">
        <v>0.47162788400432831</v>
      </c>
      <c r="H434">
        <v>0</v>
      </c>
      <c r="I434">
        <v>0</v>
      </c>
      <c r="J434">
        <v>0.45344966508738088</v>
      </c>
      <c r="K434">
        <v>0</v>
      </c>
      <c r="L434">
        <v>0</v>
      </c>
      <c r="M434">
        <v>0.32502014501805798</v>
      </c>
      <c r="N434">
        <v>0</v>
      </c>
      <c r="O434">
        <v>0</v>
      </c>
      <c r="P434">
        <v>0.2224328609704001</v>
      </c>
      <c r="Q434">
        <v>1.550226894240041</v>
      </c>
      <c r="R434">
        <v>4.5324515815079867</v>
      </c>
      <c r="S434">
        <v>0.34554457546667922</v>
      </c>
      <c r="T434">
        <v>0.23225548657015491</v>
      </c>
      <c r="U434">
        <v>4.3204696119921291</v>
      </c>
      <c r="V434">
        <v>0.1192242157662448</v>
      </c>
      <c r="W434">
        <v>11.23015976976502</v>
      </c>
      <c r="X434">
        <v>0.39188646811182598</v>
      </c>
      <c r="Z434" t="s">
        <v>392</v>
      </c>
      <c r="AA434">
        <v>9937</v>
      </c>
      <c r="AB434" t="s">
        <v>825</v>
      </c>
      <c r="AC434" t="str">
        <f>HYPERLINK("plots/20251231000436_3FT6Y121H01_04823_B11P_N_UFLEX98_M5358A8BH101511/dpll_52084/txpa_53273.png","plot")</f>
        <v>plot</v>
      </c>
    </row>
    <row r="435" spans="1:29" x14ac:dyDescent="0.35">
      <c r="A435" t="s">
        <v>46</v>
      </c>
      <c r="B435">
        <v>52084</v>
      </c>
      <c r="C435" t="s">
        <v>52</v>
      </c>
      <c r="D435">
        <v>53274</v>
      </c>
      <c r="E435" t="s">
        <v>149</v>
      </c>
      <c r="F435">
        <v>8648</v>
      </c>
      <c r="G435">
        <v>0.4631242277038356</v>
      </c>
      <c r="H435">
        <v>0</v>
      </c>
      <c r="I435">
        <v>0</v>
      </c>
      <c r="J435">
        <v>0.4352484171615103</v>
      </c>
      <c r="K435">
        <v>0</v>
      </c>
      <c r="L435">
        <v>0</v>
      </c>
      <c r="M435">
        <v>0.30972349296214852</v>
      </c>
      <c r="N435">
        <v>0</v>
      </c>
      <c r="O435">
        <v>0</v>
      </c>
      <c r="P435">
        <v>0.21448405028627421</v>
      </c>
      <c r="Q435">
        <v>1.476686961224839</v>
      </c>
      <c r="R435">
        <v>4.8235014031526733</v>
      </c>
      <c r="S435">
        <v>0.33876274366756171</v>
      </c>
      <c r="T435">
        <v>0.2314592136889487</v>
      </c>
      <c r="U435">
        <v>4.3200523863321001</v>
      </c>
      <c r="V435">
        <v>0.1198815390008748</v>
      </c>
      <c r="W435">
        <v>11.20286643385754</v>
      </c>
      <c r="X435">
        <v>0.38224626340940759</v>
      </c>
      <c r="Z435" t="s">
        <v>392</v>
      </c>
      <c r="AA435">
        <v>9937</v>
      </c>
      <c r="AB435" t="s">
        <v>826</v>
      </c>
      <c r="AC435" t="str">
        <f>HYPERLINK("plots/20251231000436_3FT6Y121H01_04823_B11P_N_UFLEX98_M5358A8BH101511/dpll_52084/txpa_53274.png","plot")</f>
        <v>plot</v>
      </c>
    </row>
    <row r="436" spans="1:29" x14ac:dyDescent="0.35">
      <c r="A436" t="s">
        <v>46</v>
      </c>
      <c r="B436">
        <v>52084</v>
      </c>
      <c r="C436" t="s">
        <v>52</v>
      </c>
      <c r="D436">
        <v>53275</v>
      </c>
      <c r="E436" t="s">
        <v>150</v>
      </c>
      <c r="F436">
        <v>8620</v>
      </c>
      <c r="G436">
        <v>0.44060650380695859</v>
      </c>
      <c r="H436">
        <v>0</v>
      </c>
      <c r="I436">
        <v>0</v>
      </c>
      <c r="J436">
        <v>0.46058449037774851</v>
      </c>
      <c r="K436">
        <v>0</v>
      </c>
      <c r="L436">
        <v>0</v>
      </c>
      <c r="M436">
        <v>0.33228936614843241</v>
      </c>
      <c r="N436">
        <v>0</v>
      </c>
      <c r="O436">
        <v>0</v>
      </c>
      <c r="P436">
        <v>0.1941340911969914</v>
      </c>
      <c r="Q436">
        <v>1.58686907942581</v>
      </c>
      <c r="R436">
        <v>5.1104673999892558</v>
      </c>
      <c r="S436">
        <v>0.38257621371131151</v>
      </c>
      <c r="T436">
        <v>0.25047539882932712</v>
      </c>
      <c r="U436">
        <v>4.3210207499999997</v>
      </c>
      <c r="V436">
        <v>0.1183372767927876</v>
      </c>
      <c r="W436">
        <v>11.967361619721579</v>
      </c>
      <c r="X436">
        <v>0.42619835128035699</v>
      </c>
      <c r="Z436" t="s">
        <v>392</v>
      </c>
      <c r="AA436">
        <v>9937</v>
      </c>
      <c r="AB436" t="s">
        <v>827</v>
      </c>
      <c r="AC436" t="str">
        <f>HYPERLINK("plots/20251231000436_3FT6Y121H01_04823_B11P_N_UFLEX98_M5358A8BH101511/dpll_52084/txpa_53275.png","plot")</f>
        <v>plot</v>
      </c>
    </row>
    <row r="437" spans="1:29" x14ac:dyDescent="0.35">
      <c r="A437" t="s">
        <v>46</v>
      </c>
      <c r="B437">
        <v>52084</v>
      </c>
      <c r="C437" t="s">
        <v>52</v>
      </c>
      <c r="D437">
        <v>53276</v>
      </c>
      <c r="E437" t="s">
        <v>151</v>
      </c>
      <c r="F437">
        <v>8642</v>
      </c>
      <c r="G437">
        <v>0.46869118302235302</v>
      </c>
      <c r="H437">
        <v>0</v>
      </c>
      <c r="I437">
        <v>0</v>
      </c>
      <c r="J437">
        <v>0.46613135869147793</v>
      </c>
      <c r="K437">
        <v>0</v>
      </c>
      <c r="L437">
        <v>0</v>
      </c>
      <c r="M437">
        <v>0.33773185037427073</v>
      </c>
      <c r="N437">
        <v>0</v>
      </c>
      <c r="O437">
        <v>0</v>
      </c>
      <c r="P437">
        <v>0.2196714250428928</v>
      </c>
      <c r="Q437">
        <v>1.734609689565185</v>
      </c>
      <c r="R437">
        <v>4.4849270410085591</v>
      </c>
      <c r="S437">
        <v>0.39053398894126368</v>
      </c>
      <c r="T437">
        <v>0.25873075154807312</v>
      </c>
      <c r="U437">
        <v>4.3202937616292516</v>
      </c>
      <c r="V437">
        <v>0.1194621223438985</v>
      </c>
      <c r="W437">
        <v>11.97895046169868</v>
      </c>
      <c r="X437">
        <v>0.44212514009222381</v>
      </c>
      <c r="Z437" t="s">
        <v>392</v>
      </c>
      <c r="AA437">
        <v>9937</v>
      </c>
      <c r="AB437" t="s">
        <v>828</v>
      </c>
      <c r="AC437" t="str">
        <f>HYPERLINK("plots/20251231000436_3FT6Y121H01_04823_B11P_N_UFLEX98_M5358A8BH101511/dpll_52084/txpa_53276.png","plot")</f>
        <v>plot</v>
      </c>
    </row>
    <row r="438" spans="1:29" x14ac:dyDescent="0.35">
      <c r="A438" t="s">
        <v>46</v>
      </c>
      <c r="B438">
        <v>52084</v>
      </c>
      <c r="C438" t="s">
        <v>52</v>
      </c>
      <c r="D438">
        <v>53277</v>
      </c>
      <c r="E438" t="s">
        <v>152</v>
      </c>
      <c r="F438">
        <v>8621</v>
      </c>
      <c r="G438">
        <v>0.45286423683412441</v>
      </c>
      <c r="H438">
        <v>0</v>
      </c>
      <c r="I438">
        <v>0</v>
      </c>
      <c r="J438">
        <v>0.4650545616721149</v>
      </c>
      <c r="K438">
        <v>0</v>
      </c>
      <c r="L438">
        <v>0</v>
      </c>
      <c r="M438">
        <v>0.33678460037426883</v>
      </c>
      <c r="N438">
        <v>0</v>
      </c>
      <c r="O438">
        <v>0</v>
      </c>
      <c r="P438">
        <v>0.20508601700335391</v>
      </c>
      <c r="Q438">
        <v>1.6892323670237239</v>
      </c>
      <c r="R438">
        <v>4.5892280964374859</v>
      </c>
      <c r="S438">
        <v>0.39204950076135608</v>
      </c>
      <c r="T438">
        <v>0.25690297563129311</v>
      </c>
      <c r="U438">
        <v>4.3212282304837029</v>
      </c>
      <c r="V438">
        <v>0.117892087458132</v>
      </c>
      <c r="W438">
        <v>11.88878668866721</v>
      </c>
      <c r="X438">
        <v>0.43975018063352223</v>
      </c>
      <c r="Z438" t="s">
        <v>392</v>
      </c>
      <c r="AA438">
        <v>9937</v>
      </c>
      <c r="AB438" t="s">
        <v>829</v>
      </c>
      <c r="AC438" t="str">
        <f>HYPERLINK("plots/20251231000436_3FT6Y121H01_04823_B11P_N_UFLEX98_M5358A8BH101511/dpll_52084/txpa_53277.png","plot")</f>
        <v>plot</v>
      </c>
    </row>
    <row r="439" spans="1:29" x14ac:dyDescent="0.35">
      <c r="A439" t="s">
        <v>46</v>
      </c>
      <c r="B439">
        <v>52084</v>
      </c>
      <c r="C439" t="s">
        <v>52</v>
      </c>
      <c r="D439">
        <v>53278</v>
      </c>
      <c r="E439" t="s">
        <v>153</v>
      </c>
      <c r="F439">
        <v>8627</v>
      </c>
      <c r="G439">
        <v>0.4661516979767994</v>
      </c>
      <c r="H439">
        <v>0</v>
      </c>
      <c r="I439">
        <v>0</v>
      </c>
      <c r="J439">
        <v>0.46542432181293109</v>
      </c>
      <c r="K439">
        <v>0</v>
      </c>
      <c r="L439">
        <v>0</v>
      </c>
      <c r="M439">
        <v>0.33669137754733358</v>
      </c>
      <c r="N439">
        <v>0</v>
      </c>
      <c r="O439">
        <v>0</v>
      </c>
      <c r="P439">
        <v>0.21729740552665319</v>
      </c>
      <c r="Q439">
        <v>1.7235210800673011</v>
      </c>
      <c r="R439">
        <v>4.502744918460043</v>
      </c>
      <c r="S439">
        <v>0.38654863910867021</v>
      </c>
      <c r="T439">
        <v>0.25710085707598201</v>
      </c>
      <c r="U439">
        <v>4.3210761779297551</v>
      </c>
      <c r="V439">
        <v>0.11817935217611721</v>
      </c>
      <c r="W439">
        <v>11.95021079969862</v>
      </c>
      <c r="X439">
        <v>0.43694918540095679</v>
      </c>
      <c r="Z439" t="s">
        <v>392</v>
      </c>
      <c r="AA439">
        <v>9937</v>
      </c>
      <c r="AB439" t="s">
        <v>830</v>
      </c>
      <c r="AC439" t="str">
        <f>HYPERLINK("plots/20251231000436_3FT6Y121H01_04823_B11P_N_UFLEX98_M5358A8BH101511/dpll_52084/txpa_53278.png","plot")</f>
        <v>plot</v>
      </c>
    </row>
    <row r="440" spans="1:29" x14ac:dyDescent="0.35">
      <c r="A440" t="s">
        <v>46</v>
      </c>
      <c r="B440">
        <v>52084</v>
      </c>
      <c r="C440" t="s">
        <v>52</v>
      </c>
      <c r="D440">
        <v>53279</v>
      </c>
      <c r="E440" t="s">
        <v>154</v>
      </c>
      <c r="F440">
        <v>8624</v>
      </c>
      <c r="G440">
        <v>0.4655495218741541</v>
      </c>
      <c r="H440">
        <v>0</v>
      </c>
      <c r="I440">
        <v>0</v>
      </c>
      <c r="J440">
        <v>0.46587838416795663</v>
      </c>
      <c r="K440">
        <v>0</v>
      </c>
      <c r="L440">
        <v>0</v>
      </c>
      <c r="M440">
        <v>0.33756729623645759</v>
      </c>
      <c r="N440">
        <v>0</v>
      </c>
      <c r="O440">
        <v>0</v>
      </c>
      <c r="P440">
        <v>0.21673635731725349</v>
      </c>
      <c r="Q440">
        <v>1.711112833536343</v>
      </c>
      <c r="R440">
        <v>4.5799504430308824</v>
      </c>
      <c r="S440">
        <v>0.38363895552706878</v>
      </c>
      <c r="T440">
        <v>0.25262878946227252</v>
      </c>
      <c r="U440">
        <v>4.3212193024118726</v>
      </c>
      <c r="V440">
        <v>0.1179454341069965</v>
      </c>
      <c r="W440">
        <v>11.974044247912801</v>
      </c>
      <c r="X440">
        <v>0.43350478622562427</v>
      </c>
      <c r="Z440" t="s">
        <v>392</v>
      </c>
      <c r="AA440">
        <v>9937</v>
      </c>
      <c r="AB440" t="s">
        <v>831</v>
      </c>
      <c r="AC440" t="str">
        <f>HYPERLINK("plots/20251231000436_3FT6Y121H01_04823_B11P_N_UFLEX98_M5358A8BH101511/dpll_52084/txpa_53279.png","plot")</f>
        <v>plot</v>
      </c>
    </row>
    <row r="441" spans="1:29" x14ac:dyDescent="0.35">
      <c r="A441" t="s">
        <v>46</v>
      </c>
      <c r="B441">
        <v>52084</v>
      </c>
      <c r="C441" t="s">
        <v>52</v>
      </c>
      <c r="D441">
        <v>53280</v>
      </c>
      <c r="E441" t="s">
        <v>155</v>
      </c>
      <c r="F441">
        <v>8665</v>
      </c>
      <c r="G441">
        <v>0.50553652586897491</v>
      </c>
      <c r="H441">
        <v>0</v>
      </c>
      <c r="I441">
        <v>0</v>
      </c>
      <c r="J441">
        <v>0.47133399489309152</v>
      </c>
      <c r="K441">
        <v>0</v>
      </c>
      <c r="L441">
        <v>0</v>
      </c>
      <c r="M441">
        <v>0.34208884501688608</v>
      </c>
      <c r="N441">
        <v>0</v>
      </c>
      <c r="O441">
        <v>0</v>
      </c>
      <c r="P441">
        <v>0.25556717898767273</v>
      </c>
      <c r="Q441">
        <v>1.8842734308036631</v>
      </c>
      <c r="R441">
        <v>3.785722928338096</v>
      </c>
      <c r="S441">
        <v>0.38987623461486948</v>
      </c>
      <c r="T441">
        <v>0.26182486822321971</v>
      </c>
      <c r="U441">
        <v>4.3192210618580491</v>
      </c>
      <c r="V441">
        <v>0.1212404902360019</v>
      </c>
      <c r="W441">
        <v>11.9243164169648</v>
      </c>
      <c r="X441">
        <v>0.45189659460633919</v>
      </c>
      <c r="Z441" t="s">
        <v>392</v>
      </c>
      <c r="AA441">
        <v>9937</v>
      </c>
      <c r="AB441" t="s">
        <v>832</v>
      </c>
      <c r="AC441" t="str">
        <f>HYPERLINK("plots/20251231000436_3FT6Y121H01_04823_B11P_N_UFLEX98_M5358A8BH101511/dpll_52084/txpa_53280.png","plot")</f>
        <v>plot</v>
      </c>
    </row>
    <row r="442" spans="1:29" x14ac:dyDescent="0.35">
      <c r="A442" t="s">
        <v>46</v>
      </c>
      <c r="B442">
        <v>52084</v>
      </c>
      <c r="C442" t="s">
        <v>52</v>
      </c>
      <c r="D442">
        <v>53281</v>
      </c>
      <c r="E442" t="s">
        <v>156</v>
      </c>
      <c r="F442">
        <v>8651</v>
      </c>
      <c r="G442">
        <v>0.4924799522368189</v>
      </c>
      <c r="H442">
        <v>0</v>
      </c>
      <c r="I442">
        <v>0</v>
      </c>
      <c r="J442">
        <v>0.4665973250029698</v>
      </c>
      <c r="K442">
        <v>0</v>
      </c>
      <c r="L442">
        <v>0</v>
      </c>
      <c r="M442">
        <v>0.33704788268495661</v>
      </c>
      <c r="N442">
        <v>0</v>
      </c>
      <c r="O442">
        <v>0</v>
      </c>
      <c r="P442">
        <v>0.2425365033551794</v>
      </c>
      <c r="Q442">
        <v>1.8158585134723599</v>
      </c>
      <c r="R442">
        <v>4.1210971339508067</v>
      </c>
      <c r="S442">
        <v>0.38533122832439382</v>
      </c>
      <c r="T442">
        <v>0.25700824492996949</v>
      </c>
      <c r="U442">
        <v>4.3199176583053989</v>
      </c>
      <c r="V442">
        <v>0.12008396092238741</v>
      </c>
      <c r="W442">
        <v>11.965456391284251</v>
      </c>
      <c r="X442">
        <v>0.44277027274308822</v>
      </c>
      <c r="Z442" t="s">
        <v>392</v>
      </c>
      <c r="AA442">
        <v>9937</v>
      </c>
      <c r="AB442" t="s">
        <v>833</v>
      </c>
      <c r="AC442" t="str">
        <f>HYPERLINK("plots/20251231000436_3FT6Y121H01_04823_B11P_N_UFLEX98_M5358A8BH101511/dpll_52084/txpa_53281.png","plot")</f>
        <v>plot</v>
      </c>
    </row>
    <row r="443" spans="1:29" x14ac:dyDescent="0.35">
      <c r="A443" t="s">
        <v>46</v>
      </c>
      <c r="B443">
        <v>52084</v>
      </c>
      <c r="C443" t="s">
        <v>52</v>
      </c>
      <c r="D443">
        <v>53282</v>
      </c>
      <c r="E443" t="s">
        <v>157</v>
      </c>
      <c r="F443">
        <v>8640</v>
      </c>
      <c r="G443">
        <v>0.47319196519042961</v>
      </c>
      <c r="H443">
        <v>0</v>
      </c>
      <c r="I443">
        <v>0</v>
      </c>
      <c r="J443">
        <v>0.45813914788840859</v>
      </c>
      <c r="K443">
        <v>0</v>
      </c>
      <c r="L443">
        <v>0</v>
      </c>
      <c r="M443">
        <v>0.32961560601289452</v>
      </c>
      <c r="N443">
        <v>0</v>
      </c>
      <c r="O443">
        <v>0</v>
      </c>
      <c r="P443">
        <v>0.2239106359207807</v>
      </c>
      <c r="Q443">
        <v>1.665016634522744</v>
      </c>
      <c r="R443">
        <v>4.8311466644469734</v>
      </c>
      <c r="S443">
        <v>0.36943801573025031</v>
      </c>
      <c r="T443">
        <v>0.24825735617442971</v>
      </c>
      <c r="U443">
        <v>4.3204568787037054</v>
      </c>
      <c r="V443">
        <v>0.1191872052324396</v>
      </c>
      <c r="W443">
        <v>12.02477923622685</v>
      </c>
      <c r="X443">
        <v>0.41938302831161811</v>
      </c>
      <c r="Z443" t="s">
        <v>392</v>
      </c>
      <c r="AA443">
        <v>9937</v>
      </c>
      <c r="AB443" t="s">
        <v>834</v>
      </c>
      <c r="AC443" t="str">
        <f>HYPERLINK("plots/20251231000436_3FT6Y121H01_04823_B11P_N_UFLEX98_M5358A8BH101511/dpll_52084/txpa_53282.png","plot")</f>
        <v>plot</v>
      </c>
    </row>
    <row r="444" spans="1:29" x14ac:dyDescent="0.35">
      <c r="A444" t="s">
        <v>46</v>
      </c>
      <c r="B444">
        <v>52084</v>
      </c>
      <c r="C444" t="s">
        <v>52</v>
      </c>
      <c r="D444">
        <v>53283</v>
      </c>
      <c r="E444" t="s">
        <v>158</v>
      </c>
      <c r="F444">
        <v>8626</v>
      </c>
      <c r="G444">
        <v>0.45293187496978898</v>
      </c>
      <c r="H444">
        <v>0</v>
      </c>
      <c r="I444">
        <v>0</v>
      </c>
      <c r="J444">
        <v>0.46691414223251831</v>
      </c>
      <c r="K444">
        <v>0</v>
      </c>
      <c r="L444">
        <v>0</v>
      </c>
      <c r="M444">
        <v>0.33806551161005027</v>
      </c>
      <c r="N444">
        <v>0</v>
      </c>
      <c r="O444">
        <v>0</v>
      </c>
      <c r="P444">
        <v>0.2051472833636486</v>
      </c>
      <c r="Q444">
        <v>1.690144015970674</v>
      </c>
      <c r="R444">
        <v>4.8578142031186022</v>
      </c>
      <c r="S444">
        <v>0.39530041261029841</v>
      </c>
      <c r="T444">
        <v>0.25830462200991278</v>
      </c>
      <c r="U444">
        <v>4.320759250173893</v>
      </c>
      <c r="V444">
        <v>0.1188278622904593</v>
      </c>
      <c r="W444">
        <v>12.160519594249941</v>
      </c>
      <c r="X444">
        <v>0.44341370409005337</v>
      </c>
      <c r="Z444" t="s">
        <v>392</v>
      </c>
      <c r="AA444">
        <v>9937</v>
      </c>
      <c r="AB444" t="s">
        <v>835</v>
      </c>
      <c r="AC444" t="str">
        <f>HYPERLINK("plots/20251231000436_3FT6Y121H01_04823_B11P_N_UFLEX98_M5358A8BH101511/dpll_52084/txpa_53283.png","plot")</f>
        <v>plot</v>
      </c>
    </row>
    <row r="445" spans="1:29" x14ac:dyDescent="0.35">
      <c r="A445" t="s">
        <v>46</v>
      </c>
      <c r="B445">
        <v>52084</v>
      </c>
      <c r="C445" t="s">
        <v>52</v>
      </c>
      <c r="D445">
        <v>53284</v>
      </c>
      <c r="E445" t="s">
        <v>159</v>
      </c>
      <c r="F445">
        <v>8647</v>
      </c>
      <c r="G445">
        <v>0.47730990478929969</v>
      </c>
      <c r="H445">
        <v>0</v>
      </c>
      <c r="I445">
        <v>0</v>
      </c>
      <c r="J445">
        <v>0.46925839443838752</v>
      </c>
      <c r="K445">
        <v>0</v>
      </c>
      <c r="L445">
        <v>0</v>
      </c>
      <c r="M445">
        <v>0.34043356660144658</v>
      </c>
      <c r="N445">
        <v>0</v>
      </c>
      <c r="O445">
        <v>0</v>
      </c>
      <c r="P445">
        <v>0.2278247452099704</v>
      </c>
      <c r="Q445">
        <v>1.8232621331917269</v>
      </c>
      <c r="R445">
        <v>4.2689270904845094</v>
      </c>
      <c r="S445">
        <v>0.40208111837220001</v>
      </c>
      <c r="T445">
        <v>0.26680311379682792</v>
      </c>
      <c r="U445">
        <v>4.3201039659997686</v>
      </c>
      <c r="V445">
        <v>0.11979320582797121</v>
      </c>
      <c r="W445">
        <v>12.14560906314329</v>
      </c>
      <c r="X445">
        <v>0.45759456028090939</v>
      </c>
      <c r="Z445" t="s">
        <v>392</v>
      </c>
      <c r="AA445">
        <v>9937</v>
      </c>
      <c r="AB445" t="s">
        <v>836</v>
      </c>
      <c r="AC445" t="str">
        <f>HYPERLINK("plots/20251231000436_3FT6Y121H01_04823_B11P_N_UFLEX98_M5358A8BH101511/dpll_52084/txpa_53284.png","plot")</f>
        <v>plot</v>
      </c>
    </row>
    <row r="446" spans="1:29" x14ac:dyDescent="0.35">
      <c r="A446" t="s">
        <v>46</v>
      </c>
      <c r="B446">
        <v>52084</v>
      </c>
      <c r="C446" t="s">
        <v>52</v>
      </c>
      <c r="D446">
        <v>53285</v>
      </c>
      <c r="E446" t="s">
        <v>160</v>
      </c>
      <c r="F446">
        <v>8636</v>
      </c>
      <c r="G446">
        <v>0.46824824887081901</v>
      </c>
      <c r="H446">
        <v>0</v>
      </c>
      <c r="I446">
        <v>0</v>
      </c>
      <c r="J446">
        <v>0.46926510564544749</v>
      </c>
      <c r="K446">
        <v>0</v>
      </c>
      <c r="L446">
        <v>0</v>
      </c>
      <c r="M446">
        <v>0.34070711626951578</v>
      </c>
      <c r="N446">
        <v>0</v>
      </c>
      <c r="O446">
        <v>0</v>
      </c>
      <c r="P446">
        <v>0.21925642257058839</v>
      </c>
      <c r="Q446">
        <v>1.818673843320759</v>
      </c>
      <c r="R446">
        <v>4.2033077390343339</v>
      </c>
      <c r="S446">
        <v>0.40814439903831262</v>
      </c>
      <c r="T446">
        <v>0.26748046534893549</v>
      </c>
      <c r="U446">
        <v>4.3206291314265872</v>
      </c>
      <c r="V446">
        <v>0.1189340253638468</v>
      </c>
      <c r="W446">
        <v>12.06112292704956</v>
      </c>
      <c r="X446">
        <v>0.46193915627381188</v>
      </c>
      <c r="Z446" t="s">
        <v>392</v>
      </c>
      <c r="AA446">
        <v>9937</v>
      </c>
      <c r="AB446" t="s">
        <v>837</v>
      </c>
      <c r="AC446" t="str">
        <f>HYPERLINK("plots/20251231000436_3FT6Y121H01_04823_B11P_N_UFLEX98_M5358A8BH101511/dpll_52084/txpa_53285.png","plot")</f>
        <v>plot</v>
      </c>
    </row>
    <row r="447" spans="1:29" x14ac:dyDescent="0.35">
      <c r="A447" t="s">
        <v>46</v>
      </c>
      <c r="B447">
        <v>52084</v>
      </c>
      <c r="C447" t="s">
        <v>52</v>
      </c>
      <c r="D447">
        <v>53286</v>
      </c>
      <c r="E447" t="s">
        <v>161</v>
      </c>
      <c r="F447">
        <v>8635</v>
      </c>
      <c r="G447">
        <v>0.47960188616109728</v>
      </c>
      <c r="H447">
        <v>0</v>
      </c>
      <c r="I447">
        <v>0</v>
      </c>
      <c r="J447">
        <v>0.470249363453483</v>
      </c>
      <c r="K447">
        <v>0</v>
      </c>
      <c r="L447">
        <v>0</v>
      </c>
      <c r="M447">
        <v>0.3408574895432413</v>
      </c>
      <c r="N447">
        <v>0</v>
      </c>
      <c r="O447">
        <v>0</v>
      </c>
      <c r="P447">
        <v>0.23001796920928219</v>
      </c>
      <c r="Q447">
        <v>1.8345026436352541</v>
      </c>
      <c r="R447">
        <v>4.1869305599202269</v>
      </c>
      <c r="S447">
        <v>0.39867300011339302</v>
      </c>
      <c r="T447">
        <v>0.26524045403774421</v>
      </c>
      <c r="U447">
        <v>4.3206963327156913</v>
      </c>
      <c r="V447">
        <v>0.1187857156552564</v>
      </c>
      <c r="W447">
        <v>12.113259404632309</v>
      </c>
      <c r="X447">
        <v>0.45436166054292182</v>
      </c>
      <c r="Z447" t="s">
        <v>392</v>
      </c>
      <c r="AA447">
        <v>9937</v>
      </c>
      <c r="AB447" t="s">
        <v>838</v>
      </c>
      <c r="AC447" t="str">
        <f>HYPERLINK("plots/20251231000436_3FT6Y121H01_04823_B11P_N_UFLEX98_M5358A8BH101511/dpll_52084/txpa_53286.png","plot")</f>
        <v>plot</v>
      </c>
    </row>
    <row r="448" spans="1:29" x14ac:dyDescent="0.35">
      <c r="A448" t="s">
        <v>46</v>
      </c>
      <c r="B448">
        <v>52084</v>
      </c>
      <c r="C448" t="s">
        <v>52</v>
      </c>
      <c r="D448">
        <v>53287</v>
      </c>
      <c r="E448" t="s">
        <v>162</v>
      </c>
      <c r="F448">
        <v>8629</v>
      </c>
      <c r="G448">
        <v>0.47550990376360341</v>
      </c>
      <c r="H448">
        <v>0</v>
      </c>
      <c r="I448">
        <v>0</v>
      </c>
      <c r="J448">
        <v>0.47051876415879201</v>
      </c>
      <c r="K448">
        <v>0</v>
      </c>
      <c r="L448">
        <v>0</v>
      </c>
      <c r="M448">
        <v>0.34184260351172091</v>
      </c>
      <c r="N448">
        <v>0</v>
      </c>
      <c r="O448">
        <v>0</v>
      </c>
      <c r="P448">
        <v>0.22610966857727141</v>
      </c>
      <c r="Q448">
        <v>1.801926700652513</v>
      </c>
      <c r="R448">
        <v>4.3537226025208167</v>
      </c>
      <c r="S448">
        <v>0.39455644354354857</v>
      </c>
      <c r="T448">
        <v>0.25980113104612163</v>
      </c>
      <c r="U448">
        <v>4.3209723225170942</v>
      </c>
      <c r="V448">
        <v>0.1183632938176649</v>
      </c>
      <c r="W448">
        <v>12.13979800324487</v>
      </c>
      <c r="X448">
        <v>0.44853320155716592</v>
      </c>
      <c r="Z448" t="s">
        <v>392</v>
      </c>
      <c r="AA448">
        <v>9937</v>
      </c>
      <c r="AB448" t="s">
        <v>839</v>
      </c>
      <c r="AC448" t="str">
        <f>HYPERLINK("plots/20251231000436_3FT6Y121H01_04823_B11P_N_UFLEX98_M5358A8BH101511/dpll_52084/txpa_53287.png","plot")</f>
        <v>plot</v>
      </c>
    </row>
    <row r="449" spans="1:29" x14ac:dyDescent="0.35">
      <c r="A449" t="s">
        <v>46</v>
      </c>
      <c r="B449">
        <v>52084</v>
      </c>
      <c r="C449" t="s">
        <v>52</v>
      </c>
      <c r="D449">
        <v>53288</v>
      </c>
      <c r="E449" t="s">
        <v>163</v>
      </c>
      <c r="F449">
        <v>8666</v>
      </c>
      <c r="G449">
        <v>0.51011971334459105</v>
      </c>
      <c r="H449">
        <v>0</v>
      </c>
      <c r="I449">
        <v>0</v>
      </c>
      <c r="J449">
        <v>0.47401457382146928</v>
      </c>
      <c r="K449">
        <v>0</v>
      </c>
      <c r="L449">
        <v>0</v>
      </c>
      <c r="M449">
        <v>0.34441919043460001</v>
      </c>
      <c r="N449">
        <v>0</v>
      </c>
      <c r="O449">
        <v>0</v>
      </c>
      <c r="P449">
        <v>0.26022212194276773</v>
      </c>
      <c r="Q449">
        <v>1.957421561205303</v>
      </c>
      <c r="R449">
        <v>3.6331467633117782</v>
      </c>
      <c r="S449">
        <v>0.40024599717991988</v>
      </c>
      <c r="T449">
        <v>0.26882880606245102</v>
      </c>
      <c r="U449">
        <v>4.31918291010847</v>
      </c>
      <c r="V449">
        <v>0.1212799823642373</v>
      </c>
      <c r="W449">
        <v>12.087608518347571</v>
      </c>
      <c r="X449">
        <v>0.46537321772153012</v>
      </c>
      <c r="Z449" t="s">
        <v>392</v>
      </c>
      <c r="AA449">
        <v>9937</v>
      </c>
      <c r="AB449" t="s">
        <v>840</v>
      </c>
      <c r="AC449" t="str">
        <f>HYPERLINK("plots/20251231000436_3FT6Y121H01_04823_B11P_N_UFLEX98_M5358A8BH101511/dpll_52084/txpa_53288.png","plot")</f>
        <v>plot</v>
      </c>
    </row>
    <row r="450" spans="1:29" x14ac:dyDescent="0.35">
      <c r="A450" t="s">
        <v>46</v>
      </c>
      <c r="B450">
        <v>52084</v>
      </c>
      <c r="C450" t="s">
        <v>52</v>
      </c>
      <c r="D450">
        <v>53289</v>
      </c>
      <c r="E450" t="s">
        <v>164</v>
      </c>
      <c r="F450">
        <v>8655</v>
      </c>
      <c r="G450">
        <v>0.50046243552210001</v>
      </c>
      <c r="H450">
        <v>0</v>
      </c>
      <c r="I450">
        <v>0</v>
      </c>
      <c r="J450">
        <v>0.47015469782890912</v>
      </c>
      <c r="K450">
        <v>0</v>
      </c>
      <c r="L450">
        <v>0</v>
      </c>
      <c r="M450">
        <v>0.34023182998176349</v>
      </c>
      <c r="N450">
        <v>0</v>
      </c>
      <c r="O450">
        <v>0</v>
      </c>
      <c r="P450">
        <v>0.2504626493687121</v>
      </c>
      <c r="Q450">
        <v>1.900101340963916</v>
      </c>
      <c r="R450">
        <v>3.9226608271600418</v>
      </c>
      <c r="S450">
        <v>0.39596214336479268</v>
      </c>
      <c r="T450">
        <v>0.2643314936638248</v>
      </c>
      <c r="U450">
        <v>4.3197047396880413</v>
      </c>
      <c r="V450">
        <v>0.1204694251810009</v>
      </c>
      <c r="W450">
        <v>12.13053759560947</v>
      </c>
      <c r="X450">
        <v>0.45738521032606838</v>
      </c>
      <c r="Z450" t="s">
        <v>392</v>
      </c>
      <c r="AA450">
        <v>9937</v>
      </c>
      <c r="AB450" t="s">
        <v>841</v>
      </c>
      <c r="AC450" t="str">
        <f>HYPERLINK("plots/20251231000436_3FT6Y121H01_04823_B11P_N_UFLEX98_M5358A8BH101511/dpll_52084/txpa_53289.png","plot")</f>
        <v>plot</v>
      </c>
    </row>
    <row r="451" spans="1:29" x14ac:dyDescent="0.35">
      <c r="A451" t="s">
        <v>46</v>
      </c>
      <c r="B451">
        <v>52084</v>
      </c>
      <c r="C451" t="s">
        <v>52</v>
      </c>
      <c r="D451">
        <v>53290</v>
      </c>
      <c r="E451" t="s">
        <v>165</v>
      </c>
      <c r="F451">
        <v>8647</v>
      </c>
      <c r="G451">
        <v>0.48586815847396603</v>
      </c>
      <c r="H451">
        <v>0</v>
      </c>
      <c r="I451">
        <v>0</v>
      </c>
      <c r="J451">
        <v>0.46493684731083962</v>
      </c>
      <c r="K451">
        <v>0</v>
      </c>
      <c r="L451">
        <v>0</v>
      </c>
      <c r="M451">
        <v>0.33541880565149879</v>
      </c>
      <c r="N451">
        <v>0</v>
      </c>
      <c r="O451">
        <v>0</v>
      </c>
      <c r="P451">
        <v>0.236067867418883</v>
      </c>
      <c r="Q451">
        <v>1.77267352781765</v>
      </c>
      <c r="R451">
        <v>4.5530015062793012</v>
      </c>
      <c r="S451">
        <v>0.38168388804892212</v>
      </c>
      <c r="T451">
        <v>0.25584438262561932</v>
      </c>
      <c r="U451">
        <v>4.3201310690412864</v>
      </c>
      <c r="V451">
        <v>0.11969919555240301</v>
      </c>
      <c r="W451">
        <v>12.211183489071351</v>
      </c>
      <c r="X451">
        <v>0.43671846272713188</v>
      </c>
      <c r="Z451" t="s">
        <v>392</v>
      </c>
      <c r="AA451">
        <v>9937</v>
      </c>
      <c r="AB451" t="s">
        <v>842</v>
      </c>
      <c r="AC451" t="str">
        <f>HYPERLINK("plots/20251231000436_3FT6Y121H01_04823_B11P_N_UFLEX98_M5358A8BH101511/dpll_52084/txpa_53290.png","plot")</f>
        <v>plot</v>
      </c>
    </row>
    <row r="452" spans="1:29" x14ac:dyDescent="0.35">
      <c r="A452" t="s">
        <v>46</v>
      </c>
      <c r="B452">
        <v>52084</v>
      </c>
      <c r="C452" t="s">
        <v>52</v>
      </c>
      <c r="D452">
        <v>54146</v>
      </c>
      <c r="E452" t="s">
        <v>166</v>
      </c>
      <c r="F452">
        <v>8705</v>
      </c>
      <c r="G452">
        <v>-6.8754800296983599E-3</v>
      </c>
      <c r="H452">
        <v>0.52126166419253461</v>
      </c>
      <c r="I452">
        <v>0.5228084347094264</v>
      </c>
      <c r="J452">
        <v>-4.486064144450394E-3</v>
      </c>
      <c r="K452">
        <v>0.67558565925555147</v>
      </c>
      <c r="L452">
        <v>0.67759036447589438</v>
      </c>
      <c r="M452">
        <v>-3.0433936074899578E-3</v>
      </c>
      <c r="N452">
        <v>0.67023090938977437</v>
      </c>
      <c r="O452">
        <v>0.67221972514464012</v>
      </c>
      <c r="P452">
        <v>4.7272225638780959E-5</v>
      </c>
      <c r="Q452">
        <v>-0.28432592010437641</v>
      </c>
      <c r="R452">
        <v>-9.3811757111882503</v>
      </c>
      <c r="S452">
        <v>5.1528386716440604</v>
      </c>
      <c r="T452">
        <v>3.887623255342759</v>
      </c>
      <c r="U452">
        <v>4.3169703661114296</v>
      </c>
      <c r="V452">
        <v>0.1246144282074103</v>
      </c>
      <c r="W452">
        <v>-10.608602282596211</v>
      </c>
      <c r="X452">
        <v>5.1532564715931723</v>
      </c>
      <c r="Z452" t="s">
        <v>392</v>
      </c>
      <c r="AA452">
        <v>9937</v>
      </c>
      <c r="AB452" t="s">
        <v>843</v>
      </c>
      <c r="AC452" t="str">
        <f>HYPERLINK("plots/20251231000436_3FT6Y121H01_04823_B11P_N_UFLEX98_M5358A8BH101511/dpll_52084/txpa_54146.png","plot")</f>
        <v>plot</v>
      </c>
    </row>
    <row r="453" spans="1:29" x14ac:dyDescent="0.35">
      <c r="A453" t="s">
        <v>46</v>
      </c>
      <c r="B453">
        <v>52084</v>
      </c>
      <c r="C453" t="s">
        <v>52</v>
      </c>
      <c r="D453">
        <v>54147</v>
      </c>
      <c r="E453" t="s">
        <v>167</v>
      </c>
      <c r="F453">
        <v>8716</v>
      </c>
      <c r="G453">
        <v>0.1150739993942978</v>
      </c>
      <c r="H453">
        <v>4.395261233710142E-27</v>
      </c>
      <c r="I453">
        <v>4.4258141916406003E-27</v>
      </c>
      <c r="J453">
        <v>9.8284240322858388E-2</v>
      </c>
      <c r="K453">
        <v>3.6902118081322557E-20</v>
      </c>
      <c r="L453">
        <v>3.7195574288728702E-20</v>
      </c>
      <c r="M453">
        <v>6.5247846203674728E-2</v>
      </c>
      <c r="N453">
        <v>6.8142613455771657E-20</v>
      </c>
      <c r="O453">
        <v>6.868450302599649E-20</v>
      </c>
      <c r="P453">
        <v>1.3242025336598851E-2</v>
      </c>
      <c r="Q453">
        <v>1.116676876833897</v>
      </c>
      <c r="R453">
        <v>-26.870280432444769</v>
      </c>
      <c r="S453">
        <v>1.200982257830558</v>
      </c>
      <c r="T453">
        <v>0.93833589827200325</v>
      </c>
      <c r="U453">
        <v>4.3169497564249664</v>
      </c>
      <c r="V453">
        <v>0.1245965072716559</v>
      </c>
      <c r="W453">
        <v>-22.049642460991279</v>
      </c>
      <c r="X453">
        <v>1.209083192874749</v>
      </c>
      <c r="Z453" t="s">
        <v>392</v>
      </c>
      <c r="AA453">
        <v>9937</v>
      </c>
      <c r="AB453" t="s">
        <v>844</v>
      </c>
      <c r="AC453" t="str">
        <f>HYPERLINK("plots/20251231000436_3FT6Y121H01_04823_B11P_N_UFLEX98_M5358A8BH101511/dpll_52084/txpa_54147.png","plot")</f>
        <v>plot</v>
      </c>
    </row>
    <row r="454" spans="1:29" x14ac:dyDescent="0.35">
      <c r="A454" t="s">
        <v>46</v>
      </c>
      <c r="B454">
        <v>52084</v>
      </c>
      <c r="C454" t="s">
        <v>52</v>
      </c>
      <c r="D454">
        <v>54148</v>
      </c>
      <c r="E454" t="s">
        <v>168</v>
      </c>
      <c r="F454">
        <v>8716</v>
      </c>
      <c r="G454">
        <v>0.15682527204054339</v>
      </c>
      <c r="H454">
        <v>4.1211034980960473E-49</v>
      </c>
      <c r="I454">
        <v>4.2295535901512057E-49</v>
      </c>
      <c r="J454">
        <v>0.13091606801261629</v>
      </c>
      <c r="K454">
        <v>1.2591353688854481E-34</v>
      </c>
      <c r="L454">
        <v>1.308159082018283E-34</v>
      </c>
      <c r="M454">
        <v>8.756436950022338E-2</v>
      </c>
      <c r="N454">
        <v>1.606995306418574E-34</v>
      </c>
      <c r="O454">
        <v>1.6708641906318931E-34</v>
      </c>
      <c r="P454">
        <v>2.459416595059043E-2</v>
      </c>
      <c r="Q454">
        <v>1.4503785832555149</v>
      </c>
      <c r="R454">
        <v>-27.840944411130639</v>
      </c>
      <c r="S454">
        <v>1.137991337579084</v>
      </c>
      <c r="T454">
        <v>0.88246785640340175</v>
      </c>
      <c r="U454">
        <v>4.3169497564249664</v>
      </c>
      <c r="V454">
        <v>0.1245965072716559</v>
      </c>
      <c r="W454">
        <v>-21.579732939421749</v>
      </c>
      <c r="X454">
        <v>1.1523149511803881</v>
      </c>
      <c r="Z454" t="s">
        <v>392</v>
      </c>
      <c r="AA454">
        <v>9937</v>
      </c>
      <c r="AB454" t="s">
        <v>845</v>
      </c>
      <c r="AC454" t="str">
        <f>HYPERLINK("plots/20251231000436_3FT6Y121H01_04823_B11P_N_UFLEX98_M5358A8BH101511/dpll_52084/txpa_54148.png","plot")</f>
        <v>plot</v>
      </c>
    </row>
    <row r="455" spans="1:29" x14ac:dyDescent="0.35">
      <c r="A455" t="s">
        <v>46</v>
      </c>
      <c r="B455">
        <v>52084</v>
      </c>
      <c r="C455" t="s">
        <v>52</v>
      </c>
      <c r="D455">
        <v>54149</v>
      </c>
      <c r="E455" t="s">
        <v>169</v>
      </c>
      <c r="F455">
        <v>8716</v>
      </c>
      <c r="G455">
        <v>0.1831636004393061</v>
      </c>
      <c r="H455">
        <v>1.2482591364877771E-66</v>
      </c>
      <c r="I455">
        <v>1.326766000417826E-66</v>
      </c>
      <c r="J455">
        <v>0.13643587755739711</v>
      </c>
      <c r="K455">
        <v>1.7342859252693619E-37</v>
      </c>
      <c r="L455">
        <v>1.833749664466249E-37</v>
      </c>
      <c r="M455">
        <v>9.1581272437978201E-2</v>
      </c>
      <c r="N455">
        <v>1.3343765006814729E-37</v>
      </c>
      <c r="O455">
        <v>1.410904871419201E-37</v>
      </c>
      <c r="P455">
        <v>3.3548904525889767E-2</v>
      </c>
      <c r="Q455">
        <v>1.559601725542042</v>
      </c>
      <c r="R455">
        <v>-27.795746413797119</v>
      </c>
      <c r="S455">
        <v>1.0429066330784369</v>
      </c>
      <c r="T455">
        <v>0.81115816190558709</v>
      </c>
      <c r="U455">
        <v>4.3169497564249664</v>
      </c>
      <c r="V455">
        <v>0.1245965072716559</v>
      </c>
      <c r="W455">
        <v>-21.063024124598439</v>
      </c>
      <c r="X455">
        <v>1.060914544545531</v>
      </c>
      <c r="Z455" t="s">
        <v>392</v>
      </c>
      <c r="AA455">
        <v>9937</v>
      </c>
      <c r="AB455" t="s">
        <v>846</v>
      </c>
      <c r="AC455" t="str">
        <f>HYPERLINK("plots/20251231000436_3FT6Y121H01_04823_B11P_N_UFLEX98_M5358A8BH101511/dpll_52084/txpa_54149.png","plot")</f>
        <v>plot</v>
      </c>
    </row>
    <row r="456" spans="1:29" x14ac:dyDescent="0.35">
      <c r="A456" t="s">
        <v>46</v>
      </c>
      <c r="B456">
        <v>52084</v>
      </c>
      <c r="C456" t="s">
        <v>52</v>
      </c>
      <c r="D456">
        <v>54150</v>
      </c>
      <c r="E456" t="s">
        <v>170</v>
      </c>
      <c r="F456">
        <v>8716</v>
      </c>
      <c r="G456">
        <v>0.18261835186059941</v>
      </c>
      <c r="H456">
        <v>3.0763764756093209E-66</v>
      </c>
      <c r="I456">
        <v>3.2630185630416862E-66</v>
      </c>
      <c r="J456">
        <v>0.14649079712567731</v>
      </c>
      <c r="K456">
        <v>5.1941573798392753E-43</v>
      </c>
      <c r="L456">
        <v>5.5852339163913308E-43</v>
      </c>
      <c r="M456">
        <v>9.8285346439706808E-2</v>
      </c>
      <c r="N456">
        <v>4.8277929975069347E-43</v>
      </c>
      <c r="O456">
        <v>5.1912853652937767E-43</v>
      </c>
      <c r="P456">
        <v>3.3349462436281667E-2</v>
      </c>
      <c r="Q456">
        <v>1.6614565011075599</v>
      </c>
      <c r="R456">
        <v>-28.796191068882148</v>
      </c>
      <c r="S456">
        <v>1.11444915185327</v>
      </c>
      <c r="T456">
        <v>0.86556286124500836</v>
      </c>
      <c r="U456">
        <v>4.3169497564249664</v>
      </c>
      <c r="V456">
        <v>0.1245965072716559</v>
      </c>
      <c r="W456">
        <v>-21.623766831115191</v>
      </c>
      <c r="X456">
        <v>1.133575431563467</v>
      </c>
      <c r="Z456" t="s">
        <v>392</v>
      </c>
      <c r="AA456">
        <v>9937</v>
      </c>
      <c r="AB456" t="s">
        <v>847</v>
      </c>
      <c r="AC456" t="str">
        <f>HYPERLINK("plots/20251231000436_3FT6Y121H01_04823_B11P_N_UFLEX98_M5358A8BH101511/dpll_52084/txpa_54150.png","plot")</f>
        <v>plot</v>
      </c>
    </row>
    <row r="457" spans="1:29" x14ac:dyDescent="0.35">
      <c r="A457" t="s">
        <v>46</v>
      </c>
      <c r="B457">
        <v>52084</v>
      </c>
      <c r="C457" t="s">
        <v>52</v>
      </c>
      <c r="D457">
        <v>54151</v>
      </c>
      <c r="E457" t="s">
        <v>171</v>
      </c>
      <c r="F457">
        <v>8716</v>
      </c>
      <c r="G457">
        <v>0.16299219243098581</v>
      </c>
      <c r="H457">
        <v>5.8671901349947473E-53</v>
      </c>
      <c r="I457">
        <v>6.0831603240129588E-53</v>
      </c>
      <c r="J457">
        <v>0.1276092984479989</v>
      </c>
      <c r="K457">
        <v>5.7037065702687782E-33</v>
      </c>
      <c r="L457">
        <v>5.859735017479779E-33</v>
      </c>
      <c r="M457">
        <v>8.5095881416224525E-2</v>
      </c>
      <c r="N457">
        <v>1.074262880931628E-32</v>
      </c>
      <c r="O457">
        <v>1.1014181610360679E-32</v>
      </c>
      <c r="P457">
        <v>2.656645479345952E-2</v>
      </c>
      <c r="Q457">
        <v>1.347589975892169</v>
      </c>
      <c r="R457">
        <v>-26.996552625026421</v>
      </c>
      <c r="S457">
        <v>1.016307375970972</v>
      </c>
      <c r="T457">
        <v>0.78397066262898218</v>
      </c>
      <c r="U457">
        <v>4.3169497564249664</v>
      </c>
      <c r="V457">
        <v>0.1245965072716559</v>
      </c>
      <c r="W457">
        <v>-21.179074406838001</v>
      </c>
      <c r="X457">
        <v>1.0301413934385439</v>
      </c>
      <c r="Z457" t="s">
        <v>392</v>
      </c>
      <c r="AA457">
        <v>9937</v>
      </c>
      <c r="AB457" t="s">
        <v>848</v>
      </c>
      <c r="AC457" t="str">
        <f>HYPERLINK("plots/20251231000436_3FT6Y121H01_04823_B11P_N_UFLEX98_M5358A8BH101511/dpll_52084/txpa_54151.png","plot")</f>
        <v>plot</v>
      </c>
    </row>
    <row r="458" spans="1:29" x14ac:dyDescent="0.35">
      <c r="A458" t="s">
        <v>46</v>
      </c>
      <c r="B458">
        <v>52084</v>
      </c>
      <c r="C458" t="s">
        <v>52</v>
      </c>
      <c r="D458">
        <v>54152</v>
      </c>
      <c r="E458" t="s">
        <v>172</v>
      </c>
      <c r="F458">
        <v>8716</v>
      </c>
      <c r="G458">
        <v>0.17923716779513271</v>
      </c>
      <c r="H458">
        <v>7.7551510554664924E-64</v>
      </c>
      <c r="I458">
        <v>8.1489359277129775E-64</v>
      </c>
      <c r="J458">
        <v>0.13346066891136929</v>
      </c>
      <c r="K458">
        <v>6.2548548910581772E-36</v>
      </c>
      <c r="L458">
        <v>6.5520897309225118E-36</v>
      </c>
      <c r="M458">
        <v>8.9149160848864178E-2</v>
      </c>
      <c r="N458">
        <v>1.0199579038888799E-35</v>
      </c>
      <c r="O458">
        <v>1.066224035611675E-35</v>
      </c>
      <c r="P458">
        <v>3.2125962319220561E-2</v>
      </c>
      <c r="Q458">
        <v>1.5314087732535331</v>
      </c>
      <c r="R458">
        <v>-27.996758944772932</v>
      </c>
      <c r="S458">
        <v>1.0472573844479309</v>
      </c>
      <c r="T458">
        <v>0.81133802503731711</v>
      </c>
      <c r="U458">
        <v>4.3169497564249664</v>
      </c>
      <c r="V458">
        <v>0.1245965072716559</v>
      </c>
      <c r="W458">
        <v>-21.38574421408903</v>
      </c>
      <c r="X458">
        <v>1.064557015153544</v>
      </c>
      <c r="Z458" t="s">
        <v>392</v>
      </c>
      <c r="AA458">
        <v>9937</v>
      </c>
      <c r="AB458" t="s">
        <v>849</v>
      </c>
      <c r="AC458" t="str">
        <f>HYPERLINK("plots/20251231000436_3FT6Y121H01_04823_B11P_N_UFLEX98_M5358A8BH101511/dpll_52084/txpa_54152.png","plot")</f>
        <v>plot</v>
      </c>
    </row>
    <row r="459" spans="1:29" x14ac:dyDescent="0.35">
      <c r="A459" t="s">
        <v>46</v>
      </c>
      <c r="B459">
        <v>52084</v>
      </c>
      <c r="C459" t="s">
        <v>52</v>
      </c>
      <c r="D459">
        <v>54153</v>
      </c>
      <c r="E459" t="s">
        <v>173</v>
      </c>
      <c r="F459">
        <v>8716</v>
      </c>
      <c r="G459">
        <v>0.19336214850210551</v>
      </c>
      <c r="H459">
        <v>3.4638065231458012E-74</v>
      </c>
      <c r="I459">
        <v>3.7167193803913674E-74</v>
      </c>
      <c r="J459">
        <v>0.13624657329123299</v>
      </c>
      <c r="K459">
        <v>2.1839511609266741E-37</v>
      </c>
      <c r="L459">
        <v>2.3043979991463562E-37</v>
      </c>
      <c r="M459">
        <v>9.1334981054289097E-2</v>
      </c>
      <c r="N459">
        <v>2.0867964166693952E-37</v>
      </c>
      <c r="O459">
        <v>2.2018850848103709E-37</v>
      </c>
      <c r="P459">
        <v>3.7388920473350302E-2</v>
      </c>
      <c r="Q459">
        <v>1.6145304228883151</v>
      </c>
      <c r="R459">
        <v>-28.101547082969301</v>
      </c>
      <c r="S459">
        <v>1.02066013192273</v>
      </c>
      <c r="T459">
        <v>0.79143090510862091</v>
      </c>
      <c r="U459">
        <v>4.3169497564249664</v>
      </c>
      <c r="V459">
        <v>0.1245965072716559</v>
      </c>
      <c r="W459">
        <v>-21.131700367140891</v>
      </c>
      <c r="X459">
        <v>1.0403527946604461</v>
      </c>
      <c r="Z459" t="s">
        <v>392</v>
      </c>
      <c r="AA459">
        <v>9937</v>
      </c>
      <c r="AB459" t="s">
        <v>850</v>
      </c>
      <c r="AC459" t="str">
        <f>HYPERLINK("plots/20251231000436_3FT6Y121H01_04823_B11P_N_UFLEX98_M5358A8BH101511/dpll_52084/txpa_54153.png","plot")</f>
        <v>plot</v>
      </c>
    </row>
    <row r="460" spans="1:29" x14ac:dyDescent="0.35">
      <c r="A460" t="s">
        <v>46</v>
      </c>
      <c r="B460">
        <v>52084</v>
      </c>
      <c r="C460" t="s">
        <v>52</v>
      </c>
      <c r="D460">
        <v>54154</v>
      </c>
      <c r="E460" t="s">
        <v>174</v>
      </c>
      <c r="F460">
        <v>8716</v>
      </c>
      <c r="G460">
        <v>0.125718309002503</v>
      </c>
      <c r="H460">
        <v>4.8281569739957468E-32</v>
      </c>
      <c r="I460">
        <v>4.8811078480874262E-32</v>
      </c>
      <c r="J460">
        <v>0.10750484756339911</v>
      </c>
      <c r="K460">
        <v>7.9418586652205168E-24</v>
      </c>
      <c r="L460">
        <v>8.0289578130943213E-24</v>
      </c>
      <c r="M460">
        <v>7.1847945625596932E-2</v>
      </c>
      <c r="N460">
        <v>8.8616867361903668E-24</v>
      </c>
      <c r="O460">
        <v>8.9588737293091044E-24</v>
      </c>
      <c r="P460">
        <v>1.5805093218448831E-2</v>
      </c>
      <c r="Q460">
        <v>1.28382472295827</v>
      </c>
      <c r="R460">
        <v>-27.930420518274939</v>
      </c>
      <c r="S460">
        <v>1.262201563175726</v>
      </c>
      <c r="T460">
        <v>0.98872162838654654</v>
      </c>
      <c r="U460">
        <v>4.3169497564249664</v>
      </c>
      <c r="V460">
        <v>0.1245965072716559</v>
      </c>
      <c r="W460">
        <v>-22.388213693207891</v>
      </c>
      <c r="X460">
        <v>1.272368978701558</v>
      </c>
      <c r="Z460" t="s">
        <v>392</v>
      </c>
      <c r="AA460">
        <v>9937</v>
      </c>
      <c r="AB460" t="s">
        <v>851</v>
      </c>
      <c r="AC460" t="str">
        <f>HYPERLINK("plots/20251231000436_3FT6Y121H01_04823_B11P_N_UFLEX98_M5358A8BH101511/dpll_52084/txpa_54154.png","plot")</f>
        <v>plot</v>
      </c>
    </row>
    <row r="461" spans="1:29" x14ac:dyDescent="0.35">
      <c r="A461" t="s">
        <v>46</v>
      </c>
      <c r="B461">
        <v>52084</v>
      </c>
      <c r="C461" t="s">
        <v>52</v>
      </c>
      <c r="D461">
        <v>54155</v>
      </c>
      <c r="E461" t="s">
        <v>175</v>
      </c>
      <c r="F461">
        <v>8716</v>
      </c>
      <c r="G461">
        <v>0.20754299657955319</v>
      </c>
      <c r="H461">
        <v>1.9971622288779429E-85</v>
      </c>
      <c r="I461">
        <v>2.1659064172002499E-85</v>
      </c>
      <c r="J461">
        <v>0.17939099282827581</v>
      </c>
      <c r="K461">
        <v>6.0445806480578832E-64</v>
      </c>
      <c r="L461">
        <v>6.5763999754621166E-64</v>
      </c>
      <c r="M461">
        <v>0.1176233537148364</v>
      </c>
      <c r="N461">
        <v>6.3750737763056589E-61</v>
      </c>
      <c r="O461">
        <v>6.9359708252939238E-61</v>
      </c>
      <c r="P461">
        <v>4.307409542922043E-2</v>
      </c>
      <c r="Q461">
        <v>0.67291660825876576</v>
      </c>
      <c r="R461">
        <v>-11.589391571205571</v>
      </c>
      <c r="S461">
        <v>0.39516026968118478</v>
      </c>
      <c r="T461">
        <v>0.30145574525403501</v>
      </c>
      <c r="U461">
        <v>4.3169497564249664</v>
      </c>
      <c r="V461">
        <v>0.1245965072716559</v>
      </c>
      <c r="W461">
        <v>-8.6844443830885716</v>
      </c>
      <c r="X461">
        <v>0.40397922577933643</v>
      </c>
      <c r="Z461" t="s">
        <v>392</v>
      </c>
      <c r="AA461">
        <v>9937</v>
      </c>
      <c r="AB461" t="s">
        <v>852</v>
      </c>
      <c r="AC461" t="str">
        <f>HYPERLINK("plots/20251231000436_3FT6Y121H01_04823_B11P_N_UFLEX98_M5358A8BH101511/dpll_52084/txpa_54155.png","plot")</f>
        <v>plot</v>
      </c>
    </row>
    <row r="462" spans="1:29" x14ac:dyDescent="0.35">
      <c r="A462" t="s">
        <v>46</v>
      </c>
      <c r="B462">
        <v>52084</v>
      </c>
      <c r="C462" t="s">
        <v>52</v>
      </c>
      <c r="D462">
        <v>54156</v>
      </c>
      <c r="E462" t="s">
        <v>176</v>
      </c>
      <c r="F462">
        <v>8716</v>
      </c>
      <c r="G462">
        <v>0.33260927784073219</v>
      </c>
      <c r="H462">
        <v>3.6652617046547441E-224</v>
      </c>
      <c r="I462">
        <v>4.2966189231444051E-224</v>
      </c>
      <c r="J462">
        <v>0.26473399290542438</v>
      </c>
      <c r="K462">
        <v>1.041027700805082E-139</v>
      </c>
      <c r="L462">
        <v>1.290467100997987E-139</v>
      </c>
      <c r="M462">
        <v>0.17793701900030179</v>
      </c>
      <c r="N462">
        <v>5.7198556788778751E-137</v>
      </c>
      <c r="O462">
        <v>7.064474614350994E-137</v>
      </c>
      <c r="P462">
        <v>0.1106289317057334</v>
      </c>
      <c r="Q462">
        <v>0.95982781555868957</v>
      </c>
      <c r="R462">
        <v>-12.361397519753501</v>
      </c>
      <c r="S462">
        <v>0.33906379931731268</v>
      </c>
      <c r="T462">
        <v>0.26668712215063201</v>
      </c>
      <c r="U462">
        <v>4.3169497564249664</v>
      </c>
      <c r="V462">
        <v>0.1245965072716559</v>
      </c>
      <c r="W462">
        <v>-8.2178690651675073</v>
      </c>
      <c r="X462">
        <v>0.35955459263545031</v>
      </c>
      <c r="Z462" t="s">
        <v>392</v>
      </c>
      <c r="AA462">
        <v>9937</v>
      </c>
      <c r="AB462" t="s">
        <v>853</v>
      </c>
      <c r="AC462" t="str">
        <f>HYPERLINK("plots/20251231000436_3FT6Y121H01_04823_B11P_N_UFLEX98_M5358A8BH101511/dpll_52084/txpa_54156.png","plot")</f>
        <v>plot</v>
      </c>
    </row>
    <row r="463" spans="1:29" x14ac:dyDescent="0.35">
      <c r="A463" t="s">
        <v>46</v>
      </c>
      <c r="B463">
        <v>52084</v>
      </c>
      <c r="C463" t="s">
        <v>52</v>
      </c>
      <c r="D463">
        <v>54157</v>
      </c>
      <c r="E463" t="s">
        <v>177</v>
      </c>
      <c r="F463">
        <v>8716</v>
      </c>
      <c r="G463">
        <v>0.34552560661925069</v>
      </c>
      <c r="H463">
        <v>6.6006893206946267E-243</v>
      </c>
      <c r="I463">
        <v>7.977471956119608E-243</v>
      </c>
      <c r="J463">
        <v>0.21892035636622509</v>
      </c>
      <c r="K463">
        <v>4.5558339677524689E-95</v>
      </c>
      <c r="L463">
        <v>5.2140131414232553E-95</v>
      </c>
      <c r="M463">
        <v>0.14746219719895451</v>
      </c>
      <c r="N463">
        <v>1.0958388852819561E-94</v>
      </c>
      <c r="O463">
        <v>1.2584152091459831E-94</v>
      </c>
      <c r="P463">
        <v>0.1193879448296012</v>
      </c>
      <c r="Q463">
        <v>1.05744090188798</v>
      </c>
      <c r="R463">
        <v>-12.371881273210381</v>
      </c>
      <c r="S463">
        <v>0.35780724758910282</v>
      </c>
      <c r="T463">
        <v>0.28673668065057928</v>
      </c>
      <c r="U463">
        <v>4.3169497564249664</v>
      </c>
      <c r="V463">
        <v>0.1245965072716559</v>
      </c>
      <c r="W463">
        <v>-7.8069620293712712</v>
      </c>
      <c r="X463">
        <v>0.38131310819639691</v>
      </c>
      <c r="Z463" t="s">
        <v>392</v>
      </c>
      <c r="AA463">
        <v>9937</v>
      </c>
      <c r="AB463" t="s">
        <v>854</v>
      </c>
      <c r="AC463" t="str">
        <f>HYPERLINK("plots/20251231000436_3FT6Y121H01_04823_B11P_N_UFLEX98_M5358A8BH101511/dpll_52084/txpa_54157.png","plot")</f>
        <v>plot</v>
      </c>
    </row>
    <row r="464" spans="1:29" x14ac:dyDescent="0.35">
      <c r="A464" t="s">
        <v>46</v>
      </c>
      <c r="B464">
        <v>52084</v>
      </c>
      <c r="C464" t="s">
        <v>52</v>
      </c>
      <c r="D464">
        <v>54158</v>
      </c>
      <c r="E464" t="s">
        <v>178</v>
      </c>
      <c r="F464">
        <v>8716</v>
      </c>
      <c r="G464">
        <v>0.37353546233108992</v>
      </c>
      <c r="H464">
        <v>1.012833115662256E-286</v>
      </c>
      <c r="I464">
        <v>1.3066320347093231E-286</v>
      </c>
      <c r="J464">
        <v>0.27841631701862879</v>
      </c>
      <c r="K464">
        <v>6.5003390373764323E-155</v>
      </c>
      <c r="L464">
        <v>8.4288283681581875E-155</v>
      </c>
      <c r="M464">
        <v>0.18769087373522819</v>
      </c>
      <c r="N464">
        <v>3.6099559270952902E-152</v>
      </c>
      <c r="O464">
        <v>4.6689991199931426E-152</v>
      </c>
      <c r="P464">
        <v>0.13952874161890111</v>
      </c>
      <c r="Q464">
        <v>1.0543972655625891</v>
      </c>
      <c r="R464">
        <v>-12.80481361248123</v>
      </c>
      <c r="S464">
        <v>0.32622825243749459</v>
      </c>
      <c r="T464">
        <v>0.25892624570793182</v>
      </c>
      <c r="U464">
        <v>4.3169497564249664</v>
      </c>
      <c r="V464">
        <v>0.1245965072716559</v>
      </c>
      <c r="W464">
        <v>-8.2530335937356583</v>
      </c>
      <c r="X464">
        <v>0.35170480399913739</v>
      </c>
      <c r="Z464" t="s">
        <v>392</v>
      </c>
      <c r="AA464">
        <v>9937</v>
      </c>
      <c r="AB464" t="s">
        <v>855</v>
      </c>
      <c r="AC464" t="str">
        <f>HYPERLINK("plots/20251231000436_3FT6Y121H01_04823_B11P_N_UFLEX98_M5358A8BH101511/dpll_52084/txpa_54158.png","plot")</f>
        <v>plot</v>
      </c>
    </row>
    <row r="465" spans="1:29" x14ac:dyDescent="0.35">
      <c r="A465" t="s">
        <v>46</v>
      </c>
      <c r="B465">
        <v>52084</v>
      </c>
      <c r="C465" t="s">
        <v>52</v>
      </c>
      <c r="D465">
        <v>54159</v>
      </c>
      <c r="E465" t="s">
        <v>179</v>
      </c>
      <c r="F465">
        <v>8716</v>
      </c>
      <c r="G465">
        <v>0.36477937064829219</v>
      </c>
      <c r="H465">
        <v>1.5101184405238671E-272</v>
      </c>
      <c r="I465">
        <v>1.9093018686922709E-272</v>
      </c>
      <c r="J465">
        <v>0.25213636908535791</v>
      </c>
      <c r="K465">
        <v>1.745264701101392E-126</v>
      </c>
      <c r="L465">
        <v>2.1067838177581091E-126</v>
      </c>
      <c r="M465">
        <v>0.1685805219908548</v>
      </c>
      <c r="N465">
        <v>3.8098790243130908E-123</v>
      </c>
      <c r="O465">
        <v>4.5827014598499112E-123</v>
      </c>
      <c r="P465">
        <v>0.1330639892505642</v>
      </c>
      <c r="Q465">
        <v>0.9599542048449663</v>
      </c>
      <c r="R465">
        <v>-12.133235347517051</v>
      </c>
      <c r="S465">
        <v>0.30527744639458071</v>
      </c>
      <c r="T465">
        <v>0.24049933540691701</v>
      </c>
      <c r="U465">
        <v>4.3169497564249664</v>
      </c>
      <c r="V465">
        <v>0.1245965072716559</v>
      </c>
      <c r="W465">
        <v>-7.9891612767324469</v>
      </c>
      <c r="X465">
        <v>0.32788844624589092</v>
      </c>
      <c r="Z465" t="s">
        <v>392</v>
      </c>
      <c r="AA465">
        <v>9937</v>
      </c>
      <c r="AB465" t="s">
        <v>856</v>
      </c>
      <c r="AC465" t="str">
        <f>HYPERLINK("plots/20251231000436_3FT6Y121H01_04823_B11P_N_UFLEX98_M5358A8BH101511/dpll_52084/txpa_54159.png","plot")</f>
        <v>plot</v>
      </c>
    </row>
    <row r="466" spans="1:29" x14ac:dyDescent="0.35">
      <c r="A466" t="s">
        <v>46</v>
      </c>
      <c r="B466">
        <v>52084</v>
      </c>
      <c r="C466" t="s">
        <v>52</v>
      </c>
      <c r="D466">
        <v>54160</v>
      </c>
      <c r="E466" t="s">
        <v>180</v>
      </c>
      <c r="F466">
        <v>8716</v>
      </c>
      <c r="G466">
        <v>0.39185936457332771</v>
      </c>
      <c r="H466">
        <v>0</v>
      </c>
      <c r="I466">
        <v>0</v>
      </c>
      <c r="J466">
        <v>0.28086343541534209</v>
      </c>
      <c r="K466">
        <v>9.9933135381014809E-158</v>
      </c>
      <c r="L466">
        <v>1.3024704277165681E-157</v>
      </c>
      <c r="M466">
        <v>0.18771443143579861</v>
      </c>
      <c r="N466">
        <v>3.3338881930046899E-152</v>
      </c>
      <c r="O466">
        <v>4.3174490775309787E-152</v>
      </c>
      <c r="P466">
        <v>0.15355376160381221</v>
      </c>
      <c r="Q466">
        <v>0.98345848931634539</v>
      </c>
      <c r="R466">
        <v>-12.334965652429601</v>
      </c>
      <c r="S466">
        <v>0.28767786467826489</v>
      </c>
      <c r="T466">
        <v>0.2261795986320079</v>
      </c>
      <c r="U466">
        <v>4.3169497564249664</v>
      </c>
      <c r="V466">
        <v>0.1245965072716559</v>
      </c>
      <c r="W466">
        <v>-8.0894247665213381</v>
      </c>
      <c r="X466">
        <v>0.31270272932968513</v>
      </c>
      <c r="Z466" t="s">
        <v>392</v>
      </c>
      <c r="AA466">
        <v>9937</v>
      </c>
      <c r="AB466" t="s">
        <v>857</v>
      </c>
      <c r="AC466" t="str">
        <f>HYPERLINK("plots/20251231000436_3FT6Y121H01_04823_B11P_N_UFLEX98_M5358A8BH101511/dpll_52084/txpa_54160.png","plot")</f>
        <v>plot</v>
      </c>
    </row>
    <row r="467" spans="1:29" x14ac:dyDescent="0.35">
      <c r="A467" t="s">
        <v>46</v>
      </c>
      <c r="B467">
        <v>52084</v>
      </c>
      <c r="C467" t="s">
        <v>52</v>
      </c>
      <c r="D467">
        <v>54161</v>
      </c>
      <c r="E467" t="s">
        <v>181</v>
      </c>
      <c r="F467">
        <v>8716</v>
      </c>
      <c r="G467">
        <v>0.35811029434902958</v>
      </c>
      <c r="H467">
        <v>4.791237354079472E-262</v>
      </c>
      <c r="I467">
        <v>5.9320081526698228E-262</v>
      </c>
      <c r="J467">
        <v>0.21746655074308341</v>
      </c>
      <c r="K467">
        <v>8.3545659911886938E-94</v>
      </c>
      <c r="L467">
        <v>9.5078899158982436E-94</v>
      </c>
      <c r="M467">
        <v>0.14579908124825419</v>
      </c>
      <c r="N467">
        <v>1.323640883425338E-92</v>
      </c>
      <c r="O467">
        <v>1.504676968378131E-92</v>
      </c>
      <c r="P467">
        <v>0.12824298291874861</v>
      </c>
      <c r="Q467">
        <v>1.0258562492166829</v>
      </c>
      <c r="R467">
        <v>-12.31330169495811</v>
      </c>
      <c r="S467">
        <v>0.33323329076791808</v>
      </c>
      <c r="T467">
        <v>0.26866337599502149</v>
      </c>
      <c r="U467">
        <v>4.3169497564249664</v>
      </c>
      <c r="V467">
        <v>0.1245965072716559</v>
      </c>
      <c r="W467">
        <v>-7.8847318097751264</v>
      </c>
      <c r="X467">
        <v>0.35692385176345409</v>
      </c>
      <c r="Z467" t="s">
        <v>392</v>
      </c>
      <c r="AA467">
        <v>9937</v>
      </c>
      <c r="AB467" t="s">
        <v>858</v>
      </c>
      <c r="AC467" t="str">
        <f>HYPERLINK("plots/20251231000436_3FT6Y121H01_04823_B11P_N_UFLEX98_M5358A8BH101511/dpll_52084/txpa_54161.png","plot")</f>
        <v>plot</v>
      </c>
    </row>
    <row r="468" spans="1:29" x14ac:dyDescent="0.35">
      <c r="A468" t="s">
        <v>46</v>
      </c>
      <c r="B468">
        <v>52084</v>
      </c>
      <c r="C468" t="s">
        <v>52</v>
      </c>
      <c r="D468">
        <v>54162</v>
      </c>
      <c r="E468" t="s">
        <v>182</v>
      </c>
      <c r="F468">
        <v>8716</v>
      </c>
      <c r="G468">
        <v>0.23764172360494851</v>
      </c>
      <c r="H468">
        <v>3.618372908976822E-112</v>
      </c>
      <c r="I468">
        <v>4.0054914079721589E-112</v>
      </c>
      <c r="J468">
        <v>0.22083169782856199</v>
      </c>
      <c r="K468">
        <v>9.6287312705035101E-97</v>
      </c>
      <c r="L468">
        <v>1.114558619667872E-96</v>
      </c>
      <c r="M468">
        <v>0.14714461433057341</v>
      </c>
      <c r="N468">
        <v>2.7907585736598892E-94</v>
      </c>
      <c r="O468">
        <v>3.1939381418635752E-94</v>
      </c>
      <c r="P468">
        <v>5.6473588797930727E-2</v>
      </c>
      <c r="Q468">
        <v>0.78350114489366351</v>
      </c>
      <c r="R468">
        <v>-12.19058244650183</v>
      </c>
      <c r="S468">
        <v>0.39900186500349633</v>
      </c>
      <c r="T468">
        <v>0.2988926145933492</v>
      </c>
      <c r="U468">
        <v>4.3169497564249664</v>
      </c>
      <c r="V468">
        <v>0.1245965072716559</v>
      </c>
      <c r="W468">
        <v>-8.8082473698944472</v>
      </c>
      <c r="X468">
        <v>0.41079278763092292</v>
      </c>
      <c r="Z468" t="s">
        <v>392</v>
      </c>
      <c r="AA468">
        <v>9937</v>
      </c>
      <c r="AB468" t="s">
        <v>859</v>
      </c>
      <c r="AC468" t="str">
        <f>HYPERLINK("plots/20251231000436_3FT6Y121H01_04823_B11P_N_UFLEX98_M5358A8BH101511/dpll_52084/txpa_54162.png","plot")</f>
        <v>plot</v>
      </c>
    </row>
    <row r="469" spans="1:29" x14ac:dyDescent="0.35">
      <c r="A469" t="s">
        <v>46</v>
      </c>
      <c r="B469">
        <v>52084</v>
      </c>
      <c r="C469" t="s">
        <v>52</v>
      </c>
      <c r="D469">
        <v>54163</v>
      </c>
      <c r="E469" t="s">
        <v>183</v>
      </c>
      <c r="F469">
        <v>8716</v>
      </c>
      <c r="G469">
        <v>0.21989544736645419</v>
      </c>
      <c r="H469">
        <v>6.3980143162546134E-96</v>
      </c>
      <c r="I469">
        <v>7.0288044601107014E-96</v>
      </c>
      <c r="J469">
        <v>0.1925663947792782</v>
      </c>
      <c r="K469">
        <v>1.3961020581274621E-73</v>
      </c>
      <c r="L469">
        <v>1.533745923013268E-73</v>
      </c>
      <c r="M469">
        <v>0.1266750802832228</v>
      </c>
      <c r="N469">
        <v>2.2445410236713829E-70</v>
      </c>
      <c r="O469">
        <v>2.4658338006530681E-70</v>
      </c>
      <c r="P469">
        <v>4.8354007772493053E-2</v>
      </c>
      <c r="Q469">
        <v>0.62879420829015709</v>
      </c>
      <c r="R469">
        <v>-5.3927141637964473</v>
      </c>
      <c r="S469">
        <v>0.34754493167948319</v>
      </c>
      <c r="T469">
        <v>0.26387944532406837</v>
      </c>
      <c r="U469">
        <v>4.3169497564249664</v>
      </c>
      <c r="V469">
        <v>0.1245965072716559</v>
      </c>
      <c r="W469">
        <v>-2.6782411594768241</v>
      </c>
      <c r="X469">
        <v>0.35628551242826489</v>
      </c>
      <c r="Z469" t="s">
        <v>392</v>
      </c>
      <c r="AA469">
        <v>9937</v>
      </c>
      <c r="AB469" t="s">
        <v>860</v>
      </c>
      <c r="AC469" t="str">
        <f>HYPERLINK("plots/20251231000436_3FT6Y121H01_04823_B11P_N_UFLEX98_M5358A8BH101511/dpll_52084/txpa_54163.png","plot")</f>
        <v>plot</v>
      </c>
    </row>
    <row r="470" spans="1:29" x14ac:dyDescent="0.35">
      <c r="A470" t="s">
        <v>46</v>
      </c>
      <c r="B470">
        <v>52084</v>
      </c>
      <c r="C470" t="s">
        <v>52</v>
      </c>
      <c r="D470">
        <v>54164</v>
      </c>
      <c r="E470" t="s">
        <v>184</v>
      </c>
      <c r="F470">
        <v>8716</v>
      </c>
      <c r="G470">
        <v>0.35897650364897599</v>
      </c>
      <c r="H470">
        <v>2.1412532641218211E-263</v>
      </c>
      <c r="I470">
        <v>2.6640868832141421E-263</v>
      </c>
      <c r="J470">
        <v>0.28670040301720562</v>
      </c>
      <c r="K470">
        <v>1.4894976612688259E-164</v>
      </c>
      <c r="L470">
        <v>1.9820874390112718E-164</v>
      </c>
      <c r="M470">
        <v>0.19311793982945419</v>
      </c>
      <c r="N470">
        <v>5.3407684229427123E-161</v>
      </c>
      <c r="O470">
        <v>7.0423136292118458E-161</v>
      </c>
      <c r="P470">
        <v>0.12886413017204329</v>
      </c>
      <c r="Q470">
        <v>0.90857952265435471</v>
      </c>
      <c r="R470">
        <v>-6.1925115115670586</v>
      </c>
      <c r="S470">
        <v>0.29432071013932709</v>
      </c>
      <c r="T470">
        <v>0.2312476003743158</v>
      </c>
      <c r="U470">
        <v>4.3169497564249664</v>
      </c>
      <c r="V470">
        <v>0.1245965072716559</v>
      </c>
      <c r="W470">
        <v>-2.27021936255163</v>
      </c>
      <c r="X470">
        <v>0.31535722798163662</v>
      </c>
      <c r="Z470" t="s">
        <v>392</v>
      </c>
      <c r="AA470">
        <v>9937</v>
      </c>
      <c r="AB470" t="s">
        <v>861</v>
      </c>
      <c r="AC470" t="str">
        <f>HYPERLINK("plots/20251231000436_3FT6Y121H01_04823_B11P_N_UFLEX98_M5358A8BH101511/dpll_52084/txpa_54164.png","plot")</f>
        <v>plot</v>
      </c>
    </row>
    <row r="471" spans="1:29" x14ac:dyDescent="0.35">
      <c r="A471" t="s">
        <v>46</v>
      </c>
      <c r="B471">
        <v>52084</v>
      </c>
      <c r="C471" t="s">
        <v>52</v>
      </c>
      <c r="D471">
        <v>54165</v>
      </c>
      <c r="E471" t="s">
        <v>185</v>
      </c>
      <c r="F471">
        <v>8716</v>
      </c>
      <c r="G471">
        <v>0.37213952228164698</v>
      </c>
      <c r="H471">
        <v>1.971558837971106E-284</v>
      </c>
      <c r="I471">
        <v>2.5305831160793681E-284</v>
      </c>
      <c r="J471">
        <v>0.2381020348342513</v>
      </c>
      <c r="K471">
        <v>1.313546308521584E-112</v>
      </c>
      <c r="L471">
        <v>1.5578198325624399E-112</v>
      </c>
      <c r="M471">
        <v>0.16040828596230661</v>
      </c>
      <c r="N471">
        <v>1.065793188012946E-111</v>
      </c>
      <c r="O471">
        <v>1.261043515338538E-111</v>
      </c>
      <c r="P471">
        <v>0.13848782404401239</v>
      </c>
      <c r="Q471">
        <v>1.003213065879673</v>
      </c>
      <c r="R471">
        <v>-6.2477948440698894</v>
      </c>
      <c r="S471">
        <v>0.31174467726409039</v>
      </c>
      <c r="T471">
        <v>0.24957152954670819</v>
      </c>
      <c r="U471">
        <v>4.3169497564249664</v>
      </c>
      <c r="V471">
        <v>0.1245965072716559</v>
      </c>
      <c r="W471">
        <v>-1.9169744436782929</v>
      </c>
      <c r="X471">
        <v>0.33588704390095731</v>
      </c>
      <c r="Z471" t="s">
        <v>392</v>
      </c>
      <c r="AA471">
        <v>9937</v>
      </c>
      <c r="AB471" t="s">
        <v>862</v>
      </c>
      <c r="AC471" t="str">
        <f>HYPERLINK("plots/20251231000436_3FT6Y121H01_04823_B11P_N_UFLEX98_M5358A8BH101511/dpll_52084/txpa_54165.png","plot")</f>
        <v>plot</v>
      </c>
    </row>
    <row r="472" spans="1:29" x14ac:dyDescent="0.35">
      <c r="A472" t="s">
        <v>46</v>
      </c>
      <c r="B472">
        <v>52084</v>
      </c>
      <c r="C472" t="s">
        <v>52</v>
      </c>
      <c r="D472">
        <v>54166</v>
      </c>
      <c r="E472" t="s">
        <v>186</v>
      </c>
      <c r="F472">
        <v>8716</v>
      </c>
      <c r="G472">
        <v>0.39875386725534412</v>
      </c>
      <c r="H472">
        <v>0</v>
      </c>
      <c r="I472">
        <v>0</v>
      </c>
      <c r="J472">
        <v>0.29733083553214862</v>
      </c>
      <c r="K472">
        <v>2.0596627467260481E-177</v>
      </c>
      <c r="L472">
        <v>2.849246964775188E-177</v>
      </c>
      <c r="M472">
        <v>0.20077446801517029</v>
      </c>
      <c r="N472">
        <v>7.4874587513677959E-174</v>
      </c>
      <c r="O472">
        <v>1.0329636971274761E-173</v>
      </c>
      <c r="P472">
        <v>0.15900464665109251</v>
      </c>
      <c r="Q472">
        <v>0.98691088599694976</v>
      </c>
      <c r="R472">
        <v>-6.5641130538006536</v>
      </c>
      <c r="S472">
        <v>0.28278136250583702</v>
      </c>
      <c r="T472">
        <v>0.22385917245614989</v>
      </c>
      <c r="U472">
        <v>4.3169497564249664</v>
      </c>
      <c r="V472">
        <v>0.1245965072716559</v>
      </c>
      <c r="W472">
        <v>-2.3036683448829738</v>
      </c>
      <c r="X472">
        <v>0.30837481334031441</v>
      </c>
      <c r="Z472" t="s">
        <v>392</v>
      </c>
      <c r="AA472">
        <v>9937</v>
      </c>
      <c r="AB472" t="s">
        <v>863</v>
      </c>
      <c r="AC472" t="str">
        <f>HYPERLINK("plots/20251231000436_3FT6Y121H01_04823_B11P_N_UFLEX98_M5358A8BH101511/dpll_52084/txpa_54166.png","plot")</f>
        <v>plot</v>
      </c>
    </row>
    <row r="473" spans="1:29" x14ac:dyDescent="0.35">
      <c r="A473" t="s">
        <v>46</v>
      </c>
      <c r="B473">
        <v>52084</v>
      </c>
      <c r="C473" t="s">
        <v>52</v>
      </c>
      <c r="D473">
        <v>54167</v>
      </c>
      <c r="E473" t="s">
        <v>187</v>
      </c>
      <c r="F473">
        <v>8716</v>
      </c>
      <c r="G473">
        <v>0.39540646771006333</v>
      </c>
      <c r="H473">
        <v>0</v>
      </c>
      <c r="I473">
        <v>0</v>
      </c>
      <c r="J473">
        <v>0.27518051318570802</v>
      </c>
      <c r="K473">
        <v>3.0821489768241917E-151</v>
      </c>
      <c r="L473">
        <v>3.9610887991124603E-151</v>
      </c>
      <c r="M473">
        <v>0.18452376781445881</v>
      </c>
      <c r="N473">
        <v>3.6509777165324241E-147</v>
      </c>
      <c r="O473">
        <v>4.6625836329519868E-147</v>
      </c>
      <c r="P473">
        <v>0.15634627470694931</v>
      </c>
      <c r="Q473">
        <v>0.91932808721050707</v>
      </c>
      <c r="R473">
        <v>-6.0473921860221864</v>
      </c>
      <c r="S473">
        <v>0.26606627377657482</v>
      </c>
      <c r="T473">
        <v>0.208995354736974</v>
      </c>
      <c r="U473">
        <v>4.3169497564249664</v>
      </c>
      <c r="V473">
        <v>0.1245965072716559</v>
      </c>
      <c r="W473">
        <v>-2.0786990238641581</v>
      </c>
      <c r="X473">
        <v>0.28968941597372411</v>
      </c>
      <c r="Z473" t="s">
        <v>392</v>
      </c>
      <c r="AA473">
        <v>9937</v>
      </c>
      <c r="AB473" t="s">
        <v>864</v>
      </c>
      <c r="AC473" t="str">
        <f>HYPERLINK("plots/20251231000436_3FT6Y121H01_04823_B11P_N_UFLEX98_M5358A8BH101511/dpll_52084/txpa_54167.png","plot")</f>
        <v>plot</v>
      </c>
    </row>
    <row r="474" spans="1:29" x14ac:dyDescent="0.35">
      <c r="A474" t="s">
        <v>46</v>
      </c>
      <c r="B474">
        <v>52084</v>
      </c>
      <c r="C474" t="s">
        <v>52</v>
      </c>
      <c r="D474">
        <v>54168</v>
      </c>
      <c r="E474" t="s">
        <v>188</v>
      </c>
      <c r="F474">
        <v>8716</v>
      </c>
      <c r="G474">
        <v>0.42090788104221749</v>
      </c>
      <c r="H474">
        <v>0</v>
      </c>
      <c r="I474">
        <v>0</v>
      </c>
      <c r="J474">
        <v>0.30277541839435729</v>
      </c>
      <c r="K474">
        <v>3.2484092964025769E-184</v>
      </c>
      <c r="L474">
        <v>4.6004008750729228E-184</v>
      </c>
      <c r="M474">
        <v>0.20306160776605089</v>
      </c>
      <c r="N474">
        <v>8.7037725208901156E-178</v>
      </c>
      <c r="O474">
        <v>1.2156508727524209E-177</v>
      </c>
      <c r="P474">
        <v>0.17716344432344949</v>
      </c>
      <c r="Q474">
        <v>0.92419355512091828</v>
      </c>
      <c r="R474">
        <v>-6.1509988939308187</v>
      </c>
      <c r="S474">
        <v>0.24814962319003131</v>
      </c>
      <c r="T474">
        <v>0.19433419389982221</v>
      </c>
      <c r="U474">
        <v>4.3169497564249664</v>
      </c>
      <c r="V474">
        <v>0.1245965072716559</v>
      </c>
      <c r="W474">
        <v>-2.1613017512620472</v>
      </c>
      <c r="X474">
        <v>0.27357836286151921</v>
      </c>
      <c r="Z474" t="s">
        <v>392</v>
      </c>
      <c r="AA474">
        <v>9937</v>
      </c>
      <c r="AB474" t="s">
        <v>865</v>
      </c>
      <c r="AC474" t="str">
        <f>HYPERLINK("plots/20251231000436_3FT6Y121H01_04823_B11P_N_UFLEX98_M5358A8BH101511/dpll_52084/txpa_54168.png","plot")</f>
        <v>plot</v>
      </c>
    </row>
    <row r="475" spans="1:29" x14ac:dyDescent="0.35">
      <c r="A475" t="s">
        <v>46</v>
      </c>
      <c r="B475">
        <v>52084</v>
      </c>
      <c r="C475" t="s">
        <v>52</v>
      </c>
      <c r="D475">
        <v>54169</v>
      </c>
      <c r="E475" t="s">
        <v>189</v>
      </c>
      <c r="F475">
        <v>8716</v>
      </c>
      <c r="G475">
        <v>0.38439509081169781</v>
      </c>
      <c r="H475">
        <v>6.3963612689888883E-305</v>
      </c>
      <c r="I475">
        <v>8.3797291043342807E-305</v>
      </c>
      <c r="J475">
        <v>0.23623385125524221</v>
      </c>
      <c r="K475">
        <v>7.9173103184870157E-111</v>
      </c>
      <c r="L475">
        <v>9.3459285948147066E-111</v>
      </c>
      <c r="M475">
        <v>0.15883145925563319</v>
      </c>
      <c r="N475">
        <v>1.496813294467331E-109</v>
      </c>
      <c r="O475">
        <v>1.762797538431909E-109</v>
      </c>
      <c r="P475">
        <v>0.14775958584013341</v>
      </c>
      <c r="Q475">
        <v>0.9687218963000882</v>
      </c>
      <c r="R475">
        <v>-6.1634001124336093</v>
      </c>
      <c r="S475">
        <v>0.28985667060871761</v>
      </c>
      <c r="T475">
        <v>0.23348954123904331</v>
      </c>
      <c r="U475">
        <v>4.3169497564249664</v>
      </c>
      <c r="V475">
        <v>0.1245965072716559</v>
      </c>
      <c r="W475">
        <v>-1.981476358157412</v>
      </c>
      <c r="X475">
        <v>0.3139981952987343</v>
      </c>
      <c r="Z475" t="s">
        <v>392</v>
      </c>
      <c r="AA475">
        <v>9937</v>
      </c>
      <c r="AB475" t="s">
        <v>866</v>
      </c>
      <c r="AC475" t="str">
        <f>HYPERLINK("plots/20251231000436_3FT6Y121H01_04823_B11P_N_UFLEX98_M5358A8BH101511/dpll_52084/txpa_54169.png","plot")</f>
        <v>plot</v>
      </c>
    </row>
    <row r="476" spans="1:29" x14ac:dyDescent="0.35">
      <c r="A476" t="s">
        <v>46</v>
      </c>
      <c r="B476">
        <v>52084</v>
      </c>
      <c r="C476" t="s">
        <v>52</v>
      </c>
      <c r="D476">
        <v>54170</v>
      </c>
      <c r="E476" t="s">
        <v>190</v>
      </c>
      <c r="F476">
        <v>8716</v>
      </c>
      <c r="G476">
        <v>0.25266747479290552</v>
      </c>
      <c r="H476">
        <v>5.0017271900550613E-127</v>
      </c>
      <c r="I476">
        <v>5.6103444366325566E-127</v>
      </c>
      <c r="J476">
        <v>0.2349521947229839</v>
      </c>
      <c r="K476">
        <v>1.290604703668836E-109</v>
      </c>
      <c r="L476">
        <v>1.5181823312299301E-109</v>
      </c>
      <c r="M476">
        <v>0.15691936587936731</v>
      </c>
      <c r="N476">
        <v>5.6455440138924442E-107</v>
      </c>
      <c r="O476">
        <v>6.6027469781856263E-107</v>
      </c>
      <c r="P476">
        <v>6.3840852818223548E-2</v>
      </c>
      <c r="Q476">
        <v>0.73163988594883733</v>
      </c>
      <c r="R476">
        <v>-5.9223619548814046</v>
      </c>
      <c r="S476">
        <v>0.34906300984834038</v>
      </c>
      <c r="T476">
        <v>0.2608072120930362</v>
      </c>
      <c r="U476">
        <v>4.3169497564249664</v>
      </c>
      <c r="V476">
        <v>0.1245965072716559</v>
      </c>
      <c r="W476">
        <v>-2.7639093274437809</v>
      </c>
      <c r="X476">
        <v>0.36078950978781599</v>
      </c>
      <c r="Z476" t="s">
        <v>392</v>
      </c>
      <c r="AA476">
        <v>9937</v>
      </c>
      <c r="AB476" t="s">
        <v>867</v>
      </c>
      <c r="AC476" t="str">
        <f>HYPERLINK("plots/20251231000436_3FT6Y121H01_04823_B11P_N_UFLEX98_M5358A8BH101511/dpll_52084/txpa_54170.png","plot")</f>
        <v>plot</v>
      </c>
    </row>
    <row r="477" spans="1:29" x14ac:dyDescent="0.35">
      <c r="A477" t="s">
        <v>46</v>
      </c>
      <c r="B477">
        <v>52084</v>
      </c>
      <c r="C477" t="s">
        <v>52</v>
      </c>
      <c r="D477">
        <v>54171</v>
      </c>
      <c r="E477" t="s">
        <v>191</v>
      </c>
      <c r="F477">
        <v>8716</v>
      </c>
      <c r="G477">
        <v>0.24662309088466891</v>
      </c>
      <c r="H477">
        <v>6.3060070218961303E-121</v>
      </c>
      <c r="I477">
        <v>7.0421708372276159E-121</v>
      </c>
      <c r="J477">
        <v>0.2159758893194603</v>
      </c>
      <c r="K477">
        <v>1.6134090484868451E-92</v>
      </c>
      <c r="L477">
        <v>1.823853706985129E-92</v>
      </c>
      <c r="M477">
        <v>0.1428193304517496</v>
      </c>
      <c r="N477">
        <v>6.0029204995783423E-89</v>
      </c>
      <c r="O477">
        <v>6.7859101299581245E-89</v>
      </c>
      <c r="P477">
        <v>6.0822948957507672E-2</v>
      </c>
      <c r="Q477">
        <v>0.67126101989514841</v>
      </c>
      <c r="R477">
        <v>-2.7267100845269141</v>
      </c>
      <c r="S477">
        <v>0.32863391547072668</v>
      </c>
      <c r="T477">
        <v>0.2477849725686764</v>
      </c>
      <c r="U477">
        <v>4.3169497564249664</v>
      </c>
      <c r="V477">
        <v>0.1245965072716559</v>
      </c>
      <c r="W477">
        <v>0.1710900118070216</v>
      </c>
      <c r="X477">
        <v>0.3391279309918997</v>
      </c>
      <c r="Z477" t="s">
        <v>392</v>
      </c>
      <c r="AA477">
        <v>9937</v>
      </c>
      <c r="AB477" t="s">
        <v>868</v>
      </c>
      <c r="AC477" t="str">
        <f>HYPERLINK("plots/20251231000436_3FT6Y121H01_04823_B11P_N_UFLEX98_M5358A8BH101511/dpll_52084/txpa_54171.png","plot")</f>
        <v>plot</v>
      </c>
    </row>
    <row r="478" spans="1:29" x14ac:dyDescent="0.35">
      <c r="A478" t="s">
        <v>46</v>
      </c>
      <c r="B478">
        <v>52084</v>
      </c>
      <c r="C478" t="s">
        <v>52</v>
      </c>
      <c r="D478">
        <v>54172</v>
      </c>
      <c r="E478" t="s">
        <v>192</v>
      </c>
      <c r="F478">
        <v>8716</v>
      </c>
      <c r="G478">
        <v>0.38641977961325169</v>
      </c>
      <c r="H478">
        <v>0</v>
      </c>
      <c r="I478">
        <v>2.8578303105774732E-308</v>
      </c>
      <c r="J478">
        <v>0.30768159926687721</v>
      </c>
      <c r="K478">
        <v>1.799729412599237E-190</v>
      </c>
      <c r="L478">
        <v>2.6107662723542581E-190</v>
      </c>
      <c r="M478">
        <v>0.20797429060615141</v>
      </c>
      <c r="N478">
        <v>2.1286159290686682E-186</v>
      </c>
      <c r="O478">
        <v>3.070293815185817E-186</v>
      </c>
      <c r="P478">
        <v>0.14932024607635411</v>
      </c>
      <c r="Q478">
        <v>0.94001539689523606</v>
      </c>
      <c r="R478">
        <v>-3.510538409527109</v>
      </c>
      <c r="S478">
        <v>0.27953720610232319</v>
      </c>
      <c r="T478">
        <v>0.21857385773955321</v>
      </c>
      <c r="U478">
        <v>4.3169497564249664</v>
      </c>
      <c r="V478">
        <v>0.1245965072716559</v>
      </c>
      <c r="W478">
        <v>0.54746082913549787</v>
      </c>
      <c r="X478">
        <v>0.30309689465675888</v>
      </c>
      <c r="Z478" t="s">
        <v>392</v>
      </c>
      <c r="AA478">
        <v>9937</v>
      </c>
      <c r="AB478" t="s">
        <v>869</v>
      </c>
      <c r="AC478" t="str">
        <f>HYPERLINK("plots/20251231000436_3FT6Y121H01_04823_B11P_N_UFLEX98_M5358A8BH101511/dpll_52084/txpa_54172.png","plot")</f>
        <v>plot</v>
      </c>
    </row>
    <row r="479" spans="1:29" x14ac:dyDescent="0.35">
      <c r="A479" t="s">
        <v>46</v>
      </c>
      <c r="B479">
        <v>52084</v>
      </c>
      <c r="C479" t="s">
        <v>52</v>
      </c>
      <c r="D479">
        <v>54173</v>
      </c>
      <c r="E479" t="s">
        <v>193</v>
      </c>
      <c r="F479">
        <v>8716</v>
      </c>
      <c r="G479">
        <v>0.40093533463441472</v>
      </c>
      <c r="H479">
        <v>0</v>
      </c>
      <c r="I479">
        <v>0</v>
      </c>
      <c r="J479">
        <v>0.26390674483401999</v>
      </c>
      <c r="K479">
        <v>8.099791431173353E-139</v>
      </c>
      <c r="L479">
        <v>1.000388369209474E-138</v>
      </c>
      <c r="M479">
        <v>0.17809936333197829</v>
      </c>
      <c r="N479">
        <v>3.0871073580388209E-137</v>
      </c>
      <c r="O479">
        <v>3.8314894260114622E-137</v>
      </c>
      <c r="P479">
        <v>0.16074914255841011</v>
      </c>
      <c r="Q479">
        <v>1.0324564695866669</v>
      </c>
      <c r="R479">
        <v>-3.5890375541025539</v>
      </c>
      <c r="S479">
        <v>0.29391670308491169</v>
      </c>
      <c r="T479">
        <v>0.23310107170500671</v>
      </c>
      <c r="U479">
        <v>4.3169497564249664</v>
      </c>
      <c r="V479">
        <v>0.1245965072716559</v>
      </c>
      <c r="W479">
        <v>0.86802515079899034</v>
      </c>
      <c r="X479">
        <v>0.32085091761199269</v>
      </c>
      <c r="Z479" t="s">
        <v>392</v>
      </c>
      <c r="AA479">
        <v>9937</v>
      </c>
      <c r="AB479" t="s">
        <v>870</v>
      </c>
      <c r="AC479" t="str">
        <f>HYPERLINK("plots/20251231000436_3FT6Y121H01_04823_B11P_N_UFLEX98_M5358A8BH101511/dpll_52084/txpa_54173.png","plot")</f>
        <v>plot</v>
      </c>
    </row>
    <row r="480" spans="1:29" x14ac:dyDescent="0.35">
      <c r="A480" t="s">
        <v>46</v>
      </c>
      <c r="B480">
        <v>52084</v>
      </c>
      <c r="C480" t="s">
        <v>52</v>
      </c>
      <c r="D480">
        <v>54174</v>
      </c>
      <c r="E480" t="s">
        <v>194</v>
      </c>
      <c r="F480">
        <v>8716</v>
      </c>
      <c r="G480">
        <v>0.42422835970650741</v>
      </c>
      <c r="H480">
        <v>0</v>
      </c>
      <c r="I480">
        <v>0</v>
      </c>
      <c r="J480">
        <v>0.31761396462782537</v>
      </c>
      <c r="K480">
        <v>1.6439748010279429E-203</v>
      </c>
      <c r="L480">
        <v>2.4732795967987159E-203</v>
      </c>
      <c r="M480">
        <v>0.2149594983102244</v>
      </c>
      <c r="N480">
        <v>5.4860432886574494E-199</v>
      </c>
      <c r="O480">
        <v>8.1447260537315571E-199</v>
      </c>
      <c r="P480">
        <v>0.1799697011792738</v>
      </c>
      <c r="Q480">
        <v>1.010936837768587</v>
      </c>
      <c r="R480">
        <v>-3.8490845107980012</v>
      </c>
      <c r="S480">
        <v>0.26885630592674259</v>
      </c>
      <c r="T480">
        <v>0.21153007766687759</v>
      </c>
      <c r="U480">
        <v>4.3169497564249664</v>
      </c>
      <c r="V480">
        <v>0.1245965072716559</v>
      </c>
      <c r="W480">
        <v>0.51507902476812761</v>
      </c>
      <c r="X480">
        <v>0.29691366966923322</v>
      </c>
      <c r="Z480" t="s">
        <v>392</v>
      </c>
      <c r="AA480">
        <v>9937</v>
      </c>
      <c r="AB480" t="s">
        <v>871</v>
      </c>
      <c r="AC480" t="str">
        <f>HYPERLINK("plots/20251231000436_3FT6Y121H01_04823_B11P_N_UFLEX98_M5358A8BH101511/dpll_52084/txpa_54174.png","plot")</f>
        <v>plot</v>
      </c>
    </row>
    <row r="481" spans="1:29" x14ac:dyDescent="0.35">
      <c r="A481" t="s">
        <v>46</v>
      </c>
      <c r="B481">
        <v>52084</v>
      </c>
      <c r="C481" t="s">
        <v>52</v>
      </c>
      <c r="D481">
        <v>54175</v>
      </c>
      <c r="E481" t="s">
        <v>195</v>
      </c>
      <c r="F481">
        <v>8716</v>
      </c>
      <c r="G481">
        <v>0.4259259364441087</v>
      </c>
      <c r="H481">
        <v>0</v>
      </c>
      <c r="I481">
        <v>0</v>
      </c>
      <c r="J481">
        <v>0.30039822264225519</v>
      </c>
      <c r="K481">
        <v>3.1603995484533439E-181</v>
      </c>
      <c r="L481">
        <v>4.4385666788527569E-181</v>
      </c>
      <c r="M481">
        <v>0.20192065656568839</v>
      </c>
      <c r="N481">
        <v>8.004500770259072E-176</v>
      </c>
      <c r="O481">
        <v>1.10730747353925E-175</v>
      </c>
      <c r="P481">
        <v>0.18141290333579091</v>
      </c>
      <c r="Q481">
        <v>0.95502197972383773</v>
      </c>
      <c r="R481">
        <v>-3.399514430034992</v>
      </c>
      <c r="S481">
        <v>0.25275088240259719</v>
      </c>
      <c r="T481">
        <v>0.1972843940617641</v>
      </c>
      <c r="U481">
        <v>4.3169497564249664</v>
      </c>
      <c r="V481">
        <v>0.1245965072716559</v>
      </c>
      <c r="W481">
        <v>0.72326747271431857</v>
      </c>
      <c r="X481">
        <v>0.27937346111080708</v>
      </c>
      <c r="Z481" t="s">
        <v>392</v>
      </c>
      <c r="AA481">
        <v>9937</v>
      </c>
      <c r="AB481" t="s">
        <v>872</v>
      </c>
      <c r="AC481" t="str">
        <f>HYPERLINK("plots/20251231000436_3FT6Y121H01_04823_B11P_N_UFLEX98_M5358A8BH101511/dpll_52084/txpa_54175.png","plot")</f>
        <v>plot</v>
      </c>
    </row>
    <row r="482" spans="1:29" x14ac:dyDescent="0.35">
      <c r="A482" t="s">
        <v>46</v>
      </c>
      <c r="B482">
        <v>52084</v>
      </c>
      <c r="C482" t="s">
        <v>52</v>
      </c>
      <c r="D482">
        <v>54176</v>
      </c>
      <c r="E482" t="s">
        <v>196</v>
      </c>
      <c r="F482">
        <v>8716</v>
      </c>
      <c r="G482">
        <v>0.45046400864127029</v>
      </c>
      <c r="H482">
        <v>0</v>
      </c>
      <c r="I482">
        <v>0</v>
      </c>
      <c r="J482">
        <v>0.32761262502002869</v>
      </c>
      <c r="K482">
        <v>3.7705169603905834E-217</v>
      </c>
      <c r="L482">
        <v>5.8282076186525156E-217</v>
      </c>
      <c r="M482">
        <v>0.220536002073452</v>
      </c>
      <c r="N482">
        <v>2.4644845534331673E-209</v>
      </c>
      <c r="O482">
        <v>3.7692116699566082E-209</v>
      </c>
      <c r="P482">
        <v>0.20291782308116241</v>
      </c>
      <c r="Q482">
        <v>0.95516135274690162</v>
      </c>
      <c r="R482">
        <v>-3.4788913225482689</v>
      </c>
      <c r="S482">
        <v>0.23585720460390611</v>
      </c>
      <c r="T482">
        <v>0.18345896306032031</v>
      </c>
      <c r="U482">
        <v>4.3169497564249664</v>
      </c>
      <c r="V482">
        <v>0.1245965072716559</v>
      </c>
      <c r="W482">
        <v>0.64449224653900872</v>
      </c>
      <c r="X482">
        <v>0.26419373390584933</v>
      </c>
      <c r="Z482" t="s">
        <v>392</v>
      </c>
      <c r="AA482">
        <v>9937</v>
      </c>
      <c r="AB482" t="s">
        <v>873</v>
      </c>
      <c r="AC482" t="str">
        <f>HYPERLINK("plots/20251231000436_3FT6Y121H01_04823_B11P_N_UFLEX98_M5358A8BH101511/dpll_52084/txpa_54176.png","plot")</f>
        <v>plot</v>
      </c>
    </row>
    <row r="483" spans="1:29" x14ac:dyDescent="0.35">
      <c r="A483" t="s">
        <v>46</v>
      </c>
      <c r="B483">
        <v>52084</v>
      </c>
      <c r="C483" t="s">
        <v>52</v>
      </c>
      <c r="D483">
        <v>54177</v>
      </c>
      <c r="E483" t="s">
        <v>197</v>
      </c>
      <c r="F483">
        <v>8716</v>
      </c>
      <c r="G483">
        <v>0.4141172438071925</v>
      </c>
      <c r="H483">
        <v>0</v>
      </c>
      <c r="I483">
        <v>0</v>
      </c>
      <c r="J483">
        <v>0.26015094082633161</v>
      </c>
      <c r="K483">
        <v>8.1966793937916815E-135</v>
      </c>
      <c r="L483">
        <v>1.005010024825244E-134</v>
      </c>
      <c r="M483">
        <v>0.17517755529096199</v>
      </c>
      <c r="N483">
        <v>7.7719843165737243E-133</v>
      </c>
      <c r="O483">
        <v>9.517864851456228E-133</v>
      </c>
      <c r="P483">
        <v>0.17149309161846571</v>
      </c>
      <c r="Q483">
        <v>0.99694865550727652</v>
      </c>
      <c r="R483">
        <v>-3.4909004541697888</v>
      </c>
      <c r="S483">
        <v>0.27300996376441378</v>
      </c>
      <c r="T483">
        <v>0.2180702219742553</v>
      </c>
      <c r="U483">
        <v>4.3169497564249664</v>
      </c>
      <c r="V483">
        <v>0.1245965072716559</v>
      </c>
      <c r="W483">
        <v>0.81287680139054608</v>
      </c>
      <c r="X483">
        <v>0.29995447488106369</v>
      </c>
      <c r="Z483" t="s">
        <v>392</v>
      </c>
      <c r="AA483">
        <v>9937</v>
      </c>
      <c r="AB483" t="s">
        <v>874</v>
      </c>
      <c r="AC483" t="str">
        <f>HYPERLINK("plots/20251231000436_3FT6Y121H01_04823_B11P_N_UFLEX98_M5358A8BH101511/dpll_52084/txpa_54177.png","plot")</f>
        <v>plot</v>
      </c>
    </row>
    <row r="484" spans="1:29" x14ac:dyDescent="0.35">
      <c r="A484" t="s">
        <v>46</v>
      </c>
      <c r="B484">
        <v>52084</v>
      </c>
      <c r="C484" t="s">
        <v>52</v>
      </c>
      <c r="D484">
        <v>54178</v>
      </c>
      <c r="E484" t="s">
        <v>198</v>
      </c>
      <c r="F484">
        <v>8716</v>
      </c>
      <c r="G484">
        <v>0.27929638389464789</v>
      </c>
      <c r="H484">
        <v>6.3754529743947678E-156</v>
      </c>
      <c r="I484">
        <v>7.2231389005992116E-156</v>
      </c>
      <c r="J484">
        <v>0.25552063222217469</v>
      </c>
      <c r="K484">
        <v>5.7714047017821922E-130</v>
      </c>
      <c r="L484">
        <v>7.0423638599363937E-130</v>
      </c>
      <c r="M484">
        <v>0.17163913551679741</v>
      </c>
      <c r="N484">
        <v>1.3300194245778459E-127</v>
      </c>
      <c r="O484">
        <v>1.613205378614755E-127</v>
      </c>
      <c r="P484">
        <v>7.8006470056626559E-2</v>
      </c>
      <c r="Q484">
        <v>0.76890461978539137</v>
      </c>
      <c r="R484">
        <v>-3.2207800223353331</v>
      </c>
      <c r="S484">
        <v>0.32934573769358427</v>
      </c>
      <c r="T484">
        <v>0.2454585008384603</v>
      </c>
      <c r="U484">
        <v>4.3169497564249664</v>
      </c>
      <c r="V484">
        <v>0.1245965072716559</v>
      </c>
      <c r="W484">
        <v>9.8542588761243693E-2</v>
      </c>
      <c r="X484">
        <v>0.34301493171654401</v>
      </c>
      <c r="Z484" t="s">
        <v>392</v>
      </c>
      <c r="AA484">
        <v>9937</v>
      </c>
      <c r="AB484" t="s">
        <v>875</v>
      </c>
      <c r="AC484" t="str">
        <f>HYPERLINK("plots/20251231000436_3FT6Y121H01_04823_B11P_N_UFLEX98_M5358A8BH101511/dpll_52084/txpa_54178.png","plot")</f>
        <v>plot</v>
      </c>
    </row>
    <row r="485" spans="1:29" x14ac:dyDescent="0.35">
      <c r="A485" t="s">
        <v>46</v>
      </c>
      <c r="B485">
        <v>52084</v>
      </c>
      <c r="C485" t="s">
        <v>52</v>
      </c>
      <c r="D485">
        <v>54179</v>
      </c>
      <c r="E485" t="s">
        <v>199</v>
      </c>
      <c r="F485">
        <v>8716</v>
      </c>
      <c r="G485">
        <v>0.30196916713397609</v>
      </c>
      <c r="H485">
        <v>3.3749606638450259E-183</v>
      </c>
      <c r="I485">
        <v>3.8625396310822311E-183</v>
      </c>
      <c r="J485">
        <v>0.26394879967050627</v>
      </c>
      <c r="K485">
        <v>7.2988527910517029E-139</v>
      </c>
      <c r="L485">
        <v>9.0256545489346668E-139</v>
      </c>
      <c r="M485">
        <v>0.1774513938168111</v>
      </c>
      <c r="N485">
        <v>2.952677110041202E-136</v>
      </c>
      <c r="O485">
        <v>3.6379278123715417E-136</v>
      </c>
      <c r="P485">
        <v>9.1185377899587222E-2</v>
      </c>
      <c r="Q485">
        <v>0.78124960924206188</v>
      </c>
      <c r="R485">
        <v>3.274483273361994E-3</v>
      </c>
      <c r="S485">
        <v>0.30728815372078472</v>
      </c>
      <c r="T485">
        <v>0.22781554305069901</v>
      </c>
      <c r="U485">
        <v>4.3169497564249664</v>
      </c>
      <c r="V485">
        <v>0.1245965072716559</v>
      </c>
      <c r="W485">
        <v>3.375889793597981</v>
      </c>
      <c r="X485">
        <v>0.3223540123078828</v>
      </c>
      <c r="Z485" t="s">
        <v>392</v>
      </c>
      <c r="AA485">
        <v>9937</v>
      </c>
      <c r="AB485" t="s">
        <v>876</v>
      </c>
      <c r="AC485" t="str">
        <f>HYPERLINK("plots/20251231000436_3FT6Y121H01_04823_B11P_N_UFLEX98_M5358A8BH101511/dpll_52084/txpa_54179.png","plot")</f>
        <v>plot</v>
      </c>
    </row>
    <row r="486" spans="1:29" x14ac:dyDescent="0.35">
      <c r="A486" t="s">
        <v>46</v>
      </c>
      <c r="B486">
        <v>52084</v>
      </c>
      <c r="C486" t="s">
        <v>52</v>
      </c>
      <c r="D486">
        <v>54180</v>
      </c>
      <c r="E486" t="s">
        <v>200</v>
      </c>
      <c r="F486">
        <v>8716</v>
      </c>
      <c r="G486">
        <v>0.43426616258673678</v>
      </c>
      <c r="H486">
        <v>0</v>
      </c>
      <c r="I486">
        <v>0</v>
      </c>
      <c r="J486">
        <v>0.3452386388869082</v>
      </c>
      <c r="K486">
        <v>1.761340053168846E-242</v>
      </c>
      <c r="L486">
        <v>2.942337419955865E-242</v>
      </c>
      <c r="M486">
        <v>0.23497577923893639</v>
      </c>
      <c r="N486">
        <v>2.304662513130852E-237</v>
      </c>
      <c r="O486">
        <v>3.818509458030529E-237</v>
      </c>
      <c r="P486">
        <v>0.18858709996781009</v>
      </c>
      <c r="Q486">
        <v>1.034310153328343</v>
      </c>
      <c r="R486">
        <v>-0.75896581727811085</v>
      </c>
      <c r="S486">
        <v>0.26729861225950807</v>
      </c>
      <c r="T486">
        <v>0.2062359278882738</v>
      </c>
      <c r="U486">
        <v>4.3169497564249664</v>
      </c>
      <c r="V486">
        <v>0.1245965072716559</v>
      </c>
      <c r="W486">
        <v>3.70609914720055</v>
      </c>
      <c r="X486">
        <v>0.29675679028891111</v>
      </c>
      <c r="Z486" t="s">
        <v>392</v>
      </c>
      <c r="AA486">
        <v>9937</v>
      </c>
      <c r="AB486" t="s">
        <v>877</v>
      </c>
      <c r="AC486" t="str">
        <f>HYPERLINK("plots/20251231000436_3FT6Y121H01_04823_B11P_N_UFLEX98_M5358A8BH101511/dpll_52084/txpa_54180.png","plot")</f>
        <v>plot</v>
      </c>
    </row>
    <row r="487" spans="1:29" x14ac:dyDescent="0.35">
      <c r="A487" t="s">
        <v>46</v>
      </c>
      <c r="B487">
        <v>52084</v>
      </c>
      <c r="C487" t="s">
        <v>52</v>
      </c>
      <c r="D487">
        <v>54181</v>
      </c>
      <c r="E487" t="s">
        <v>201</v>
      </c>
      <c r="F487">
        <v>8716</v>
      </c>
      <c r="G487">
        <v>0.44889219609376768</v>
      </c>
      <c r="H487">
        <v>0</v>
      </c>
      <c r="I487">
        <v>0</v>
      </c>
      <c r="J487">
        <v>0.31406141970195739</v>
      </c>
      <c r="K487">
        <v>8.6606335161096872E-199</v>
      </c>
      <c r="L487">
        <v>1.280157782118837E-198</v>
      </c>
      <c r="M487">
        <v>0.2128426723605934</v>
      </c>
      <c r="N487">
        <v>3.9320228219352097E-195</v>
      </c>
      <c r="O487">
        <v>5.7783639731047873E-195</v>
      </c>
      <c r="P487">
        <v>0.20150420371388561</v>
      </c>
      <c r="Q487">
        <v>1.118710617576804</v>
      </c>
      <c r="R487">
        <v>-0.84937575625921768</v>
      </c>
      <c r="S487">
        <v>0.27745526781409308</v>
      </c>
      <c r="T487">
        <v>0.21446921120941001</v>
      </c>
      <c r="U487">
        <v>4.3169497564249664</v>
      </c>
      <c r="V487">
        <v>0.1245965072716559</v>
      </c>
      <c r="W487">
        <v>3.98004177179899</v>
      </c>
      <c r="X487">
        <v>0.31051427672552068</v>
      </c>
      <c r="Z487" t="s">
        <v>392</v>
      </c>
      <c r="AA487">
        <v>9937</v>
      </c>
      <c r="AB487" t="s">
        <v>878</v>
      </c>
      <c r="AC487" t="str">
        <f>HYPERLINK("plots/20251231000436_3FT6Y121H01_04823_B11P_N_UFLEX98_M5358A8BH101511/dpll_52084/txpa_54181.png","plot")</f>
        <v>plot</v>
      </c>
    </row>
    <row r="488" spans="1:29" x14ac:dyDescent="0.35">
      <c r="A488" t="s">
        <v>46</v>
      </c>
      <c r="B488">
        <v>52084</v>
      </c>
      <c r="C488" t="s">
        <v>52</v>
      </c>
      <c r="D488">
        <v>54182</v>
      </c>
      <c r="E488" t="s">
        <v>202</v>
      </c>
      <c r="F488">
        <v>8716</v>
      </c>
      <c r="G488">
        <v>0.46937384834647278</v>
      </c>
      <c r="H488">
        <v>0</v>
      </c>
      <c r="I488">
        <v>0</v>
      </c>
      <c r="J488">
        <v>0.35590402858711251</v>
      </c>
      <c r="K488">
        <v>1.25710699156705E-258</v>
      </c>
      <c r="L488">
        <v>2.2168808512156318E-258</v>
      </c>
      <c r="M488">
        <v>0.24246442707027091</v>
      </c>
      <c r="N488">
        <v>1.3476301199964591E-252</v>
      </c>
      <c r="O488">
        <v>2.3239743906061388E-252</v>
      </c>
      <c r="P488">
        <v>0.22031180951157769</v>
      </c>
      <c r="Q488">
        <v>1.099161578262859</v>
      </c>
      <c r="R488">
        <v>-1.0709733957820751</v>
      </c>
      <c r="S488">
        <v>0.25762267270917688</v>
      </c>
      <c r="T488">
        <v>0.1993517233937398</v>
      </c>
      <c r="U488">
        <v>4.3169497564249664</v>
      </c>
      <c r="V488">
        <v>0.1245965072716559</v>
      </c>
      <c r="W488">
        <v>3.6740519117714552</v>
      </c>
      <c r="X488">
        <v>0.29177529609118902</v>
      </c>
      <c r="Z488" t="s">
        <v>392</v>
      </c>
      <c r="AA488">
        <v>9937</v>
      </c>
      <c r="AB488" t="s">
        <v>879</v>
      </c>
      <c r="AC488" t="str">
        <f>HYPERLINK("plots/20251231000436_3FT6Y121H01_04823_B11P_N_UFLEX98_M5358A8BH101511/dpll_52084/txpa_54182.png","plot")</f>
        <v>plot</v>
      </c>
    </row>
    <row r="489" spans="1:29" x14ac:dyDescent="0.35">
      <c r="A489" t="s">
        <v>46</v>
      </c>
      <c r="B489">
        <v>52084</v>
      </c>
      <c r="C489" t="s">
        <v>52</v>
      </c>
      <c r="D489">
        <v>54183</v>
      </c>
      <c r="E489" t="s">
        <v>203</v>
      </c>
      <c r="F489">
        <v>8716</v>
      </c>
      <c r="G489">
        <v>0.47722899050446699</v>
      </c>
      <c r="H489">
        <v>0</v>
      </c>
      <c r="I489">
        <v>0</v>
      </c>
      <c r="J489">
        <v>0.34511481686778439</v>
      </c>
      <c r="K489">
        <v>2.6892194215219301E-242</v>
      </c>
      <c r="L489">
        <v>4.4849810747092712E-242</v>
      </c>
      <c r="M489">
        <v>0.23361583284535939</v>
      </c>
      <c r="N489">
        <v>1.196185237594078E-234</v>
      </c>
      <c r="O489">
        <v>1.9595021501137231E-234</v>
      </c>
      <c r="P489">
        <v>0.2277475093779126</v>
      </c>
      <c r="Q489">
        <v>1.054339129872695</v>
      </c>
      <c r="R489">
        <v>-0.69023915223376608</v>
      </c>
      <c r="S489">
        <v>0.24188788584099361</v>
      </c>
      <c r="T489">
        <v>0.18498881687782051</v>
      </c>
      <c r="U489">
        <v>4.3169497564249664</v>
      </c>
      <c r="V489">
        <v>0.1245965072716559</v>
      </c>
      <c r="W489">
        <v>3.8612898976594772</v>
      </c>
      <c r="X489">
        <v>0.27527031189599321</v>
      </c>
      <c r="Z489" t="s">
        <v>392</v>
      </c>
      <c r="AA489">
        <v>9937</v>
      </c>
      <c r="AB489" t="s">
        <v>880</v>
      </c>
      <c r="AC489" t="str">
        <f>HYPERLINK("plots/20251231000436_3FT6Y121H01_04823_B11P_N_UFLEX98_M5358A8BH101511/dpll_52084/txpa_54183.png","plot")</f>
        <v>plot</v>
      </c>
    </row>
    <row r="490" spans="1:29" x14ac:dyDescent="0.35">
      <c r="A490" t="s">
        <v>46</v>
      </c>
      <c r="B490">
        <v>52084</v>
      </c>
      <c r="C490" t="s">
        <v>52</v>
      </c>
      <c r="D490">
        <v>54184</v>
      </c>
      <c r="E490" t="s">
        <v>204</v>
      </c>
      <c r="F490">
        <v>8715</v>
      </c>
      <c r="G490">
        <v>0.49943191005745857</v>
      </c>
      <c r="H490">
        <v>0</v>
      </c>
      <c r="I490">
        <v>0</v>
      </c>
      <c r="J490">
        <v>0.37170087026154858</v>
      </c>
      <c r="K490">
        <v>1.107013014068486E-283</v>
      </c>
      <c r="L490">
        <v>2.109983451626775E-283</v>
      </c>
      <c r="M490">
        <v>0.25258328876161612</v>
      </c>
      <c r="N490">
        <v>6.6276041317422701E-274</v>
      </c>
      <c r="O490">
        <v>1.2218891981066661E-273</v>
      </c>
      <c r="P490">
        <v>0.24943223278364141</v>
      </c>
      <c r="Q490">
        <v>1.0475252174813141</v>
      </c>
      <c r="R490">
        <v>-0.73495566011202973</v>
      </c>
      <c r="S490">
        <v>0.22633812461388361</v>
      </c>
      <c r="T490">
        <v>0.17219163937020071</v>
      </c>
      <c r="U490">
        <v>4.31698256993689</v>
      </c>
      <c r="V490">
        <v>0.12456598786527739</v>
      </c>
      <c r="W490">
        <v>3.7871924453241541</v>
      </c>
      <c r="X490">
        <v>0.26126887549963979</v>
      </c>
      <c r="Z490" t="s">
        <v>392</v>
      </c>
      <c r="AA490">
        <v>9937</v>
      </c>
      <c r="AB490" t="s">
        <v>881</v>
      </c>
      <c r="AC490" t="str">
        <f>HYPERLINK("plots/20251231000436_3FT6Y121H01_04823_B11P_N_UFLEX98_M5358A8BH101511/dpll_52084/txpa_54184.png","plot")</f>
        <v>plot</v>
      </c>
    </row>
    <row r="491" spans="1:29" x14ac:dyDescent="0.35">
      <c r="A491" t="s">
        <v>46</v>
      </c>
      <c r="B491">
        <v>52084</v>
      </c>
      <c r="C491" t="s">
        <v>52</v>
      </c>
      <c r="D491">
        <v>54185</v>
      </c>
      <c r="E491" t="s">
        <v>205</v>
      </c>
      <c r="F491">
        <v>8716</v>
      </c>
      <c r="G491">
        <v>0.46504807946104398</v>
      </c>
      <c r="H491">
        <v>0</v>
      </c>
      <c r="I491">
        <v>0</v>
      </c>
      <c r="J491">
        <v>0.30943288592556328</v>
      </c>
      <c r="K491">
        <v>9.829944831847226E-193</v>
      </c>
      <c r="L491">
        <v>1.4300665795542451E-192</v>
      </c>
      <c r="M491">
        <v>0.20923383981970359</v>
      </c>
      <c r="N491">
        <v>1.21922961443531E-188</v>
      </c>
      <c r="O491">
        <v>1.7712017607985731E-188</v>
      </c>
      <c r="P491">
        <v>0.2162697162104055</v>
      </c>
      <c r="Q491">
        <v>1.082536928214701</v>
      </c>
      <c r="R491">
        <v>-0.73382804268946078</v>
      </c>
      <c r="S491">
        <v>0.25674921972634701</v>
      </c>
      <c r="T491">
        <v>0.20026133583152539</v>
      </c>
      <c r="U491">
        <v>4.3169497564249664</v>
      </c>
      <c r="V491">
        <v>0.1245965072716559</v>
      </c>
      <c r="W491">
        <v>3.9394294858880219</v>
      </c>
      <c r="X491">
        <v>0.29003521615325267</v>
      </c>
      <c r="Z491" t="s">
        <v>392</v>
      </c>
      <c r="AA491">
        <v>9937</v>
      </c>
      <c r="AB491" t="s">
        <v>882</v>
      </c>
      <c r="AC491" t="str">
        <f>HYPERLINK("plots/20251231000436_3FT6Y121H01_04823_B11P_N_UFLEX98_M5358A8BH101511/dpll_52084/txpa_54185.png","plot")</f>
        <v>plot</v>
      </c>
    </row>
    <row r="492" spans="1:29" x14ac:dyDescent="0.35">
      <c r="A492" t="s">
        <v>46</v>
      </c>
      <c r="B492">
        <v>52084</v>
      </c>
      <c r="C492" t="s">
        <v>52</v>
      </c>
      <c r="D492">
        <v>54186</v>
      </c>
      <c r="E492" t="s">
        <v>206</v>
      </c>
      <c r="F492">
        <v>8716</v>
      </c>
      <c r="G492">
        <v>0.33239464093270699</v>
      </c>
      <c r="H492">
        <v>7.3797439348607166E-224</v>
      </c>
      <c r="I492">
        <v>8.6409472863149734E-224</v>
      </c>
      <c r="J492">
        <v>0.2926394842082462</v>
      </c>
      <c r="K492">
        <v>1.1404891961847339E-171</v>
      </c>
      <c r="L492">
        <v>1.564893159582301E-171</v>
      </c>
      <c r="M492">
        <v>0.1993751601149745</v>
      </c>
      <c r="N492">
        <v>1.796161849977382E-171</v>
      </c>
      <c r="O492">
        <v>2.4579056894427332E-171</v>
      </c>
      <c r="P492">
        <v>0.1104861973207832</v>
      </c>
      <c r="Q492">
        <v>0.86529606082671462</v>
      </c>
      <c r="R492">
        <v>-0.41856908517556718</v>
      </c>
      <c r="S492">
        <v>0.30589192483974942</v>
      </c>
      <c r="T492">
        <v>0.22655908844904829</v>
      </c>
      <c r="U492">
        <v>4.3169497564249664</v>
      </c>
      <c r="V492">
        <v>0.1245965072716559</v>
      </c>
      <c r="W492">
        <v>3.3168705338458011</v>
      </c>
      <c r="X492">
        <v>0.32435200108041912</v>
      </c>
      <c r="Z492" t="s">
        <v>392</v>
      </c>
      <c r="AA492">
        <v>9937</v>
      </c>
      <c r="AB492" t="s">
        <v>883</v>
      </c>
      <c r="AC492" t="str">
        <f>HYPERLINK("plots/20251231000436_3FT6Y121H01_04823_B11P_N_UFLEX98_M5358A8BH101511/dpll_52084/txpa_54186.png","plot")</f>
        <v>plot</v>
      </c>
    </row>
    <row r="493" spans="1:29" x14ac:dyDescent="0.35">
      <c r="A493" t="s">
        <v>46</v>
      </c>
      <c r="B493">
        <v>52084</v>
      </c>
      <c r="C493" t="s">
        <v>52</v>
      </c>
      <c r="D493">
        <v>54187</v>
      </c>
      <c r="E493" t="s">
        <v>207</v>
      </c>
      <c r="F493">
        <v>8716</v>
      </c>
      <c r="G493">
        <v>0.34474393628332067</v>
      </c>
      <c r="H493">
        <v>9.5412673106953544E-242</v>
      </c>
      <c r="I493">
        <v>1.1517672682196531E-241</v>
      </c>
      <c r="J493">
        <v>0.29768318502313029</v>
      </c>
      <c r="K493">
        <v>7.5518069197582593E-178</v>
      </c>
      <c r="L493">
        <v>1.047542026899436E-177</v>
      </c>
      <c r="M493">
        <v>0.20279912204308051</v>
      </c>
      <c r="N493">
        <v>2.4227442325411728E-177</v>
      </c>
      <c r="O493">
        <v>3.374536609610919E-177</v>
      </c>
      <c r="P493">
        <v>0.1188483816041183</v>
      </c>
      <c r="Q493">
        <v>0.87418777422651994</v>
      </c>
      <c r="R493">
        <v>1.373031156536147</v>
      </c>
      <c r="S493">
        <v>0.29656122511888888</v>
      </c>
      <c r="T493">
        <v>0.21640290919436569</v>
      </c>
      <c r="U493">
        <v>4.3169497564249664</v>
      </c>
      <c r="V493">
        <v>0.1245965072716559</v>
      </c>
      <c r="W493">
        <v>5.1468558555530057</v>
      </c>
      <c r="X493">
        <v>0.31594679965217132</v>
      </c>
      <c r="Z493" t="s">
        <v>392</v>
      </c>
      <c r="AA493">
        <v>9937</v>
      </c>
      <c r="AB493" t="s">
        <v>884</v>
      </c>
      <c r="AC493" t="str">
        <f>HYPERLINK("plots/20251231000436_3FT6Y121H01_04823_B11P_N_UFLEX98_M5358A8BH101511/dpll_52084/txpa_54187.png","plot")</f>
        <v>plot</v>
      </c>
    </row>
    <row r="494" spans="1:29" x14ac:dyDescent="0.35">
      <c r="A494" t="s">
        <v>46</v>
      </c>
      <c r="B494">
        <v>52084</v>
      </c>
      <c r="C494" t="s">
        <v>52</v>
      </c>
      <c r="D494">
        <v>54188</v>
      </c>
      <c r="E494" t="s">
        <v>208</v>
      </c>
      <c r="F494">
        <v>8716</v>
      </c>
      <c r="G494">
        <v>0.46385345787883903</v>
      </c>
      <c r="H494">
        <v>0</v>
      </c>
      <c r="I494">
        <v>0</v>
      </c>
      <c r="J494">
        <v>0.37003728125151347</v>
      </c>
      <c r="K494">
        <v>5.2608745692396259E-281</v>
      </c>
      <c r="L494">
        <v>9.9154773479720823E-281</v>
      </c>
      <c r="M494">
        <v>0.25336812506761058</v>
      </c>
      <c r="N494">
        <v>1.247866437528249E-275</v>
      </c>
      <c r="O494">
        <v>2.3217184727589808E-275</v>
      </c>
      <c r="P494">
        <v>0.21516003038615589</v>
      </c>
      <c r="Q494">
        <v>1.1150607358353251</v>
      </c>
      <c r="R494">
        <v>0.63118394632485764</v>
      </c>
      <c r="S494">
        <v>0.26533175785061108</v>
      </c>
      <c r="T494">
        <v>0.20131657367962469</v>
      </c>
      <c r="U494">
        <v>4.3169497564249664</v>
      </c>
      <c r="V494">
        <v>0.1245965072716559</v>
      </c>
      <c r="W494">
        <v>5.4448451182882058</v>
      </c>
      <c r="X494">
        <v>0.29951845937760352</v>
      </c>
      <c r="Z494" t="s">
        <v>392</v>
      </c>
      <c r="AA494">
        <v>9937</v>
      </c>
      <c r="AB494" t="s">
        <v>885</v>
      </c>
      <c r="AC494" t="str">
        <f>HYPERLINK("plots/20251231000436_3FT6Y121H01_04823_B11P_N_UFLEX98_M5358A8BH101511/dpll_52084/txpa_54188.png","plot")</f>
        <v>plot</v>
      </c>
    </row>
    <row r="495" spans="1:29" x14ac:dyDescent="0.35">
      <c r="A495" t="s">
        <v>46</v>
      </c>
      <c r="B495">
        <v>52084</v>
      </c>
      <c r="C495" t="s">
        <v>52</v>
      </c>
      <c r="D495">
        <v>54189</v>
      </c>
      <c r="E495" t="s">
        <v>209</v>
      </c>
      <c r="F495">
        <v>8713</v>
      </c>
      <c r="G495">
        <v>0.47694149082900528</v>
      </c>
      <c r="H495">
        <v>0</v>
      </c>
      <c r="I495">
        <v>0</v>
      </c>
      <c r="J495">
        <v>0.35283894536161919</v>
      </c>
      <c r="K495">
        <v>7.7756883841932797E-254</v>
      </c>
      <c r="L495">
        <v>1.340909527478229E-253</v>
      </c>
      <c r="M495">
        <v>0.2404921369103564</v>
      </c>
      <c r="N495">
        <v>1.867739540282445E-248</v>
      </c>
      <c r="O495">
        <v>3.1830048636073931E-248</v>
      </c>
      <c r="P495">
        <v>0.22747318567419411</v>
      </c>
      <c r="Q495">
        <v>1.187331073645798</v>
      </c>
      <c r="R495">
        <v>0.56245246803908877</v>
      </c>
      <c r="S495">
        <v>0.27226397526503099</v>
      </c>
      <c r="T495">
        <v>0.2047908477072051</v>
      </c>
      <c r="U495">
        <v>4.3170725038448294</v>
      </c>
      <c r="V495">
        <v>0.1244375908913731</v>
      </c>
      <c r="W495">
        <v>5.6882467990359231</v>
      </c>
      <c r="X495">
        <v>0.30978352950199051</v>
      </c>
      <c r="Z495" t="s">
        <v>392</v>
      </c>
      <c r="AA495">
        <v>9937</v>
      </c>
      <c r="AB495" t="s">
        <v>886</v>
      </c>
      <c r="AC495" t="str">
        <f>HYPERLINK("plots/20251231000436_3FT6Y121H01_04823_B11P_N_UFLEX98_M5358A8BH101511/dpll_52084/txpa_54189.png","plot")</f>
        <v>plot</v>
      </c>
    </row>
    <row r="496" spans="1:29" x14ac:dyDescent="0.35">
      <c r="A496" t="s">
        <v>46</v>
      </c>
      <c r="B496">
        <v>52084</v>
      </c>
      <c r="C496" t="s">
        <v>52</v>
      </c>
      <c r="D496">
        <v>54190</v>
      </c>
      <c r="E496" t="s">
        <v>210</v>
      </c>
      <c r="F496">
        <v>8715</v>
      </c>
      <c r="G496">
        <v>0.49688029477912399</v>
      </c>
      <c r="H496">
        <v>0</v>
      </c>
      <c r="I496">
        <v>0</v>
      </c>
      <c r="J496">
        <v>0.38197618995333732</v>
      </c>
      <c r="K496">
        <v>9.0031266384358143E-301</v>
      </c>
      <c r="L496">
        <v>1.8113433355900631E-300</v>
      </c>
      <c r="M496">
        <v>0.26183862578571621</v>
      </c>
      <c r="N496">
        <v>3.4668152524303997E-294</v>
      </c>
      <c r="O496">
        <v>6.8659192694617693E-294</v>
      </c>
      <c r="P496">
        <v>0.24689002733978921</v>
      </c>
      <c r="Q496">
        <v>1.17463292751195</v>
      </c>
      <c r="R496">
        <v>0.34247119149093308</v>
      </c>
      <c r="S496">
        <v>0.25553721359136539</v>
      </c>
      <c r="T496">
        <v>0.19412623106047891</v>
      </c>
      <c r="U496">
        <v>4.31698256993689</v>
      </c>
      <c r="V496">
        <v>0.12456598786527739</v>
      </c>
      <c r="W496">
        <v>5.413341065633964</v>
      </c>
      <c r="X496">
        <v>0.29447597848421719</v>
      </c>
      <c r="Z496" t="s">
        <v>392</v>
      </c>
      <c r="AA496">
        <v>9937</v>
      </c>
      <c r="AB496" t="s">
        <v>887</v>
      </c>
      <c r="AC496" t="str">
        <f>HYPERLINK("plots/20251231000436_3FT6Y121H01_04823_B11P_N_UFLEX98_M5358A8BH101511/dpll_52084/txpa_54190.png","plot")</f>
        <v>plot</v>
      </c>
    </row>
    <row r="497" spans="1:29" x14ac:dyDescent="0.35">
      <c r="A497" t="s">
        <v>46</v>
      </c>
      <c r="B497">
        <v>52084</v>
      </c>
      <c r="C497" t="s">
        <v>52</v>
      </c>
      <c r="D497">
        <v>54191</v>
      </c>
      <c r="E497" t="s">
        <v>211</v>
      </c>
      <c r="F497">
        <v>8713</v>
      </c>
      <c r="G497">
        <v>0.50618900479404472</v>
      </c>
      <c r="H497">
        <v>0</v>
      </c>
      <c r="I497">
        <v>0</v>
      </c>
      <c r="J497">
        <v>0.37506670146459731</v>
      </c>
      <c r="K497">
        <v>3.8034099350695999E-289</v>
      </c>
      <c r="L497">
        <v>7.4309396419278887E-289</v>
      </c>
      <c r="M497">
        <v>0.2557068722504669</v>
      </c>
      <c r="N497">
        <v>1.320600905418918E-280</v>
      </c>
      <c r="O497">
        <v>2.5123626981140389E-280</v>
      </c>
      <c r="P497">
        <v>0.25622730857438542</v>
      </c>
      <c r="Q497">
        <v>1.1302135421193109</v>
      </c>
      <c r="R497">
        <v>0.7083044719165823</v>
      </c>
      <c r="S497">
        <v>0.2396518208489562</v>
      </c>
      <c r="T497">
        <v>0.1796335581449289</v>
      </c>
      <c r="U497">
        <v>4.3170646894295883</v>
      </c>
      <c r="V497">
        <v>0.1244622773120956</v>
      </c>
      <c r="W497">
        <v>5.5875094461150008</v>
      </c>
      <c r="X497">
        <v>0.27789807753405082</v>
      </c>
      <c r="Z497" t="s">
        <v>392</v>
      </c>
      <c r="AA497">
        <v>9937</v>
      </c>
      <c r="AB497" t="s">
        <v>888</v>
      </c>
      <c r="AC497" t="str">
        <f>HYPERLINK("plots/20251231000436_3FT6Y121H01_04823_B11P_N_UFLEX98_M5358A8BH101511/dpll_52084/txpa_54191.png","plot")</f>
        <v>plot</v>
      </c>
    </row>
    <row r="498" spans="1:29" x14ac:dyDescent="0.35">
      <c r="A498" t="s">
        <v>46</v>
      </c>
      <c r="B498">
        <v>52084</v>
      </c>
      <c r="C498" t="s">
        <v>52</v>
      </c>
      <c r="D498">
        <v>54192</v>
      </c>
      <c r="E498" t="s">
        <v>212</v>
      </c>
      <c r="F498">
        <v>8710</v>
      </c>
      <c r="G498">
        <v>0.52420874230021908</v>
      </c>
      <c r="H498">
        <v>0</v>
      </c>
      <c r="I498">
        <v>0</v>
      </c>
      <c r="J498">
        <v>0.39946132759962483</v>
      </c>
      <c r="K498">
        <v>0</v>
      </c>
      <c r="L498">
        <v>0</v>
      </c>
      <c r="M498">
        <v>0.27388050519515439</v>
      </c>
      <c r="N498">
        <v>0</v>
      </c>
      <c r="O498">
        <v>0</v>
      </c>
      <c r="P498">
        <v>0.2747948055039775</v>
      </c>
      <c r="Q498">
        <v>1.114327296623187</v>
      </c>
      <c r="R498">
        <v>0.70552500494973458</v>
      </c>
      <c r="S498">
        <v>0.22500844872964601</v>
      </c>
      <c r="T498">
        <v>0.16758841487628809</v>
      </c>
      <c r="U498">
        <v>4.3171886738231917</v>
      </c>
      <c r="V498">
        <v>0.1243039115171768</v>
      </c>
      <c r="W498">
        <v>5.5162861888633747</v>
      </c>
      <c r="X498">
        <v>0.26423680206633138</v>
      </c>
      <c r="Z498" t="s">
        <v>392</v>
      </c>
      <c r="AA498">
        <v>9937</v>
      </c>
      <c r="AB498" t="s">
        <v>889</v>
      </c>
      <c r="AC498" t="str">
        <f>HYPERLINK("plots/20251231000436_3FT6Y121H01_04823_B11P_N_UFLEX98_M5358A8BH101511/dpll_52084/txpa_54192.png","plot")</f>
        <v>plot</v>
      </c>
    </row>
    <row r="499" spans="1:29" x14ac:dyDescent="0.35">
      <c r="A499" t="s">
        <v>46</v>
      </c>
      <c r="B499">
        <v>52084</v>
      </c>
      <c r="C499" t="s">
        <v>52</v>
      </c>
      <c r="D499">
        <v>54193</v>
      </c>
      <c r="E499" t="s">
        <v>213</v>
      </c>
      <c r="F499">
        <v>8710</v>
      </c>
      <c r="G499">
        <v>0.4939940058414044</v>
      </c>
      <c r="H499">
        <v>0</v>
      </c>
      <c r="I499">
        <v>0</v>
      </c>
      <c r="J499">
        <v>0.34675284762669362</v>
      </c>
      <c r="K499">
        <v>1.440975714454875E-244</v>
      </c>
      <c r="L499">
        <v>2.4271584293309681E-244</v>
      </c>
      <c r="M499">
        <v>0.23564404978626591</v>
      </c>
      <c r="N499">
        <v>1.5287764972446929E-238</v>
      </c>
      <c r="O499">
        <v>2.549637118760064E-238</v>
      </c>
      <c r="P499">
        <v>0.24403007780723751</v>
      </c>
      <c r="Q499">
        <v>1.1432411132521649</v>
      </c>
      <c r="R499">
        <v>0.72244839145612261</v>
      </c>
      <c r="S499">
        <v>0.25014671467772759</v>
      </c>
      <c r="T499">
        <v>0.1908085231105886</v>
      </c>
      <c r="U499">
        <v>4.3171818833524682</v>
      </c>
      <c r="V499">
        <v>0.12432295447971151</v>
      </c>
      <c r="W499">
        <v>5.6580282138920781</v>
      </c>
      <c r="X499">
        <v>0.28771829455723069</v>
      </c>
      <c r="Z499" t="s">
        <v>392</v>
      </c>
      <c r="AA499">
        <v>9937</v>
      </c>
      <c r="AB499" t="s">
        <v>890</v>
      </c>
      <c r="AC499" t="str">
        <f>HYPERLINK("plots/20251231000436_3FT6Y121H01_04823_B11P_N_UFLEX98_M5358A8BH101511/dpll_52084/txpa_54193.png","plot")</f>
        <v>plot</v>
      </c>
    </row>
    <row r="500" spans="1:29" x14ac:dyDescent="0.35">
      <c r="A500" t="s">
        <v>46</v>
      </c>
      <c r="B500">
        <v>52084</v>
      </c>
      <c r="C500" t="s">
        <v>52</v>
      </c>
      <c r="D500">
        <v>54194</v>
      </c>
      <c r="E500" t="s">
        <v>214</v>
      </c>
      <c r="F500">
        <v>8716</v>
      </c>
      <c r="G500">
        <v>0.37417823061520789</v>
      </c>
      <c r="H500">
        <v>8.8637633762780626E-288</v>
      </c>
      <c r="I500">
        <v>1.146410212186984E-287</v>
      </c>
      <c r="J500">
        <v>0.31733747637329091</v>
      </c>
      <c r="K500">
        <v>3.8521154020106578E-203</v>
      </c>
      <c r="L500">
        <v>5.7867333594648993E-203</v>
      </c>
      <c r="M500">
        <v>0.21817488426348791</v>
      </c>
      <c r="N500">
        <v>6.3143205401120614E-205</v>
      </c>
      <c r="O500">
        <v>9.5278586721333775E-205</v>
      </c>
      <c r="P500">
        <v>0.14000934826632769</v>
      </c>
      <c r="Q500">
        <v>0.9495083655411598</v>
      </c>
      <c r="R500">
        <v>0.99632953196064467</v>
      </c>
      <c r="S500">
        <v>0.29318928659930232</v>
      </c>
      <c r="T500">
        <v>0.2155254590519404</v>
      </c>
      <c r="U500">
        <v>4.3169497564249664</v>
      </c>
      <c r="V500">
        <v>0.1245965072716559</v>
      </c>
      <c r="W500">
        <v>5.0953094393070222</v>
      </c>
      <c r="X500">
        <v>0.31617399488242398</v>
      </c>
      <c r="Z500" t="s">
        <v>392</v>
      </c>
      <c r="AA500">
        <v>9937</v>
      </c>
      <c r="AB500" t="s">
        <v>891</v>
      </c>
      <c r="AC500" t="str">
        <f>HYPERLINK("plots/20251231000436_3FT6Y121H01_04823_B11P_N_UFLEX98_M5358A8BH101511/dpll_52084/txpa_54194.png","plot")</f>
        <v>plot</v>
      </c>
    </row>
    <row r="501" spans="1:29" x14ac:dyDescent="0.35">
      <c r="A501" t="s">
        <v>46</v>
      </c>
      <c r="B501">
        <v>52084</v>
      </c>
      <c r="C501" t="s">
        <v>52</v>
      </c>
      <c r="D501">
        <v>54195</v>
      </c>
      <c r="E501" t="s">
        <v>215</v>
      </c>
      <c r="F501">
        <v>8716</v>
      </c>
      <c r="G501">
        <v>0.40102044648213259</v>
      </c>
      <c r="H501">
        <v>0</v>
      </c>
      <c r="I501">
        <v>0</v>
      </c>
      <c r="J501">
        <v>0.33465832724355921</v>
      </c>
      <c r="K501">
        <v>4.4691071566812878E-227</v>
      </c>
      <c r="L501">
        <v>7.1029383336596017E-227</v>
      </c>
      <c r="M501">
        <v>0.23056522753545999</v>
      </c>
      <c r="N501">
        <v>1.282923720168936E-228</v>
      </c>
      <c r="O501">
        <v>2.0583617915368691E-228</v>
      </c>
      <c r="P501">
        <v>0.16081739849672899</v>
      </c>
      <c r="Q501">
        <v>1.014293887520461</v>
      </c>
      <c r="R501">
        <v>2.874822365662983</v>
      </c>
      <c r="S501">
        <v>0.28867320955136933</v>
      </c>
      <c r="T501">
        <v>0.2059027403746122</v>
      </c>
      <c r="U501">
        <v>4.3169497564249664</v>
      </c>
      <c r="V501">
        <v>0.1245965072716559</v>
      </c>
      <c r="W501">
        <v>7.25347811633777</v>
      </c>
      <c r="X501">
        <v>0.31513973125475009</v>
      </c>
      <c r="Z501" t="s">
        <v>392</v>
      </c>
      <c r="AA501">
        <v>9937</v>
      </c>
      <c r="AB501" t="s">
        <v>892</v>
      </c>
      <c r="AC501" t="str">
        <f>HYPERLINK("plots/20251231000436_3FT6Y121H01_04823_B11P_N_UFLEX98_M5358A8BH101511/dpll_52084/txpa_54195.png","plot")</f>
        <v>plot</v>
      </c>
    </row>
    <row r="502" spans="1:29" x14ac:dyDescent="0.35">
      <c r="A502" t="s">
        <v>46</v>
      </c>
      <c r="B502">
        <v>52084</v>
      </c>
      <c r="C502" t="s">
        <v>52</v>
      </c>
      <c r="D502">
        <v>54196</v>
      </c>
      <c r="E502" t="s">
        <v>216</v>
      </c>
      <c r="F502">
        <v>8710</v>
      </c>
      <c r="G502">
        <v>0.49122657246619073</v>
      </c>
      <c r="H502">
        <v>0</v>
      </c>
      <c r="I502">
        <v>0</v>
      </c>
      <c r="J502">
        <v>0.39981011021755358</v>
      </c>
      <c r="K502">
        <v>0</v>
      </c>
      <c r="L502">
        <v>0</v>
      </c>
      <c r="M502">
        <v>0.27613567171445852</v>
      </c>
      <c r="N502">
        <v>0</v>
      </c>
      <c r="O502">
        <v>0</v>
      </c>
      <c r="P502">
        <v>0.24130354549688171</v>
      </c>
      <c r="Q502">
        <v>1.221564403505367</v>
      </c>
      <c r="R502">
        <v>2.2297330472919801</v>
      </c>
      <c r="S502">
        <v>0.26931659543427938</v>
      </c>
      <c r="T502">
        <v>0.19799504189658201</v>
      </c>
      <c r="U502">
        <v>4.3171719654420206</v>
      </c>
      <c r="V502">
        <v>0.12434247377477151</v>
      </c>
      <c r="W502">
        <v>7.5034366440872562</v>
      </c>
      <c r="X502">
        <v>0.3092103487897423</v>
      </c>
      <c r="Z502" t="s">
        <v>392</v>
      </c>
      <c r="AA502">
        <v>9937</v>
      </c>
      <c r="AB502" t="s">
        <v>893</v>
      </c>
      <c r="AC502" t="str">
        <f>HYPERLINK("plots/20251231000436_3FT6Y121H01_04823_B11P_N_UFLEX98_M5358A8BH101511/dpll_52084/txpa_54196.png","plot")</f>
        <v>plot</v>
      </c>
    </row>
    <row r="503" spans="1:29" x14ac:dyDescent="0.35">
      <c r="A503" t="s">
        <v>46</v>
      </c>
      <c r="B503">
        <v>52084</v>
      </c>
      <c r="C503" t="s">
        <v>52</v>
      </c>
      <c r="D503">
        <v>54197</v>
      </c>
      <c r="E503" t="s">
        <v>217</v>
      </c>
      <c r="F503">
        <v>8695</v>
      </c>
      <c r="G503">
        <v>0.49471737656523218</v>
      </c>
      <c r="H503">
        <v>0</v>
      </c>
      <c r="I503">
        <v>0</v>
      </c>
      <c r="J503">
        <v>0.39942143053301121</v>
      </c>
      <c r="K503">
        <v>0</v>
      </c>
      <c r="L503">
        <v>0</v>
      </c>
      <c r="M503">
        <v>0.27555360746699259</v>
      </c>
      <c r="N503">
        <v>0</v>
      </c>
      <c r="O503">
        <v>0</v>
      </c>
      <c r="P503">
        <v>0.24474528267558571</v>
      </c>
      <c r="Q503">
        <v>1.2546368333502429</v>
      </c>
      <c r="R503">
        <v>2.283475317531269</v>
      </c>
      <c r="S503">
        <v>0.27215082432985471</v>
      </c>
      <c r="T503">
        <v>0.19557883867208739</v>
      </c>
      <c r="U503">
        <v>4.3178031317998844</v>
      </c>
      <c r="V503">
        <v>0.1234886485168409</v>
      </c>
      <c r="W503">
        <v>7.7007501658424378</v>
      </c>
      <c r="X503">
        <v>0.31317559129528838</v>
      </c>
      <c r="Z503" t="s">
        <v>392</v>
      </c>
      <c r="AA503">
        <v>9937</v>
      </c>
      <c r="AB503" t="s">
        <v>894</v>
      </c>
      <c r="AC503" t="str">
        <f>HYPERLINK("plots/20251231000436_3FT6Y121H01_04823_B11P_N_UFLEX98_M5358A8BH101511/dpll_52084/txpa_54197.png","plot")</f>
        <v>plot</v>
      </c>
    </row>
    <row r="504" spans="1:29" x14ac:dyDescent="0.35">
      <c r="A504" t="s">
        <v>46</v>
      </c>
      <c r="B504">
        <v>52084</v>
      </c>
      <c r="C504" t="s">
        <v>52</v>
      </c>
      <c r="D504">
        <v>54198</v>
      </c>
      <c r="E504" t="s">
        <v>218</v>
      </c>
      <c r="F504">
        <v>8705</v>
      </c>
      <c r="G504">
        <v>0.51835465939754566</v>
      </c>
      <c r="H504">
        <v>0</v>
      </c>
      <c r="I504">
        <v>0</v>
      </c>
      <c r="J504">
        <v>0.4130046450692218</v>
      </c>
      <c r="K504">
        <v>0</v>
      </c>
      <c r="L504">
        <v>0</v>
      </c>
      <c r="M504">
        <v>0.28611065804172769</v>
      </c>
      <c r="N504">
        <v>0</v>
      </c>
      <c r="O504">
        <v>0</v>
      </c>
      <c r="P504">
        <v>0.26869155291914559</v>
      </c>
      <c r="Q504">
        <v>1.2660987726101249</v>
      </c>
      <c r="R504">
        <v>2.0057909922577339</v>
      </c>
      <c r="S504">
        <v>0.25913352162754671</v>
      </c>
      <c r="T504">
        <v>0.19035890219671189</v>
      </c>
      <c r="U504">
        <v>4.3173803278575544</v>
      </c>
      <c r="V504">
        <v>0.12406739617135119</v>
      </c>
      <c r="W504">
        <v>7.4720209262492823</v>
      </c>
      <c r="X504">
        <v>0.30303880782329401</v>
      </c>
      <c r="Z504" t="s">
        <v>392</v>
      </c>
      <c r="AA504">
        <v>9937</v>
      </c>
      <c r="AB504" t="s">
        <v>895</v>
      </c>
      <c r="AC504" t="str">
        <f>HYPERLINK("plots/20251231000436_3FT6Y121H01_04823_B11P_N_UFLEX98_M5358A8BH101511/dpll_52084/txpa_54198.png","plot")</f>
        <v>plot</v>
      </c>
    </row>
    <row r="505" spans="1:29" x14ac:dyDescent="0.35">
      <c r="A505" t="s">
        <v>46</v>
      </c>
      <c r="B505">
        <v>52084</v>
      </c>
      <c r="C505" t="s">
        <v>52</v>
      </c>
      <c r="D505">
        <v>54199</v>
      </c>
      <c r="E505" t="s">
        <v>219</v>
      </c>
      <c r="F505">
        <v>8693</v>
      </c>
      <c r="G505">
        <v>0.52328738029674993</v>
      </c>
      <c r="H505">
        <v>0</v>
      </c>
      <c r="I505">
        <v>0</v>
      </c>
      <c r="J505">
        <v>0.40797494086499092</v>
      </c>
      <c r="K505">
        <v>0</v>
      </c>
      <c r="L505">
        <v>0</v>
      </c>
      <c r="M505">
        <v>0.28141838305263062</v>
      </c>
      <c r="N505">
        <v>0</v>
      </c>
      <c r="O505">
        <v>0</v>
      </c>
      <c r="P505">
        <v>0.27382968237783539</v>
      </c>
      <c r="Q505">
        <v>1.211015048343933</v>
      </c>
      <c r="R505">
        <v>2.4006398907295399</v>
      </c>
      <c r="S505">
        <v>0.24350436118161889</v>
      </c>
      <c r="T505">
        <v>0.17615751954302369</v>
      </c>
      <c r="U505">
        <v>4.3178555151271141</v>
      </c>
      <c r="V505">
        <v>0.1234818705866061</v>
      </c>
      <c r="W505">
        <v>7.6296278961233179</v>
      </c>
      <c r="X505">
        <v>0.28576726500309751</v>
      </c>
      <c r="Z505" t="s">
        <v>392</v>
      </c>
      <c r="AA505">
        <v>9937</v>
      </c>
      <c r="AB505" t="s">
        <v>896</v>
      </c>
      <c r="AC505" t="str">
        <f>HYPERLINK("plots/20251231000436_3FT6Y121H01_04823_B11P_N_UFLEX98_M5358A8BH101511/dpll_52084/txpa_54199.png","plot")</f>
        <v>plot</v>
      </c>
    </row>
    <row r="506" spans="1:29" x14ac:dyDescent="0.35">
      <c r="A506" t="s">
        <v>46</v>
      </c>
      <c r="B506">
        <v>52084</v>
      </c>
      <c r="C506" t="s">
        <v>52</v>
      </c>
      <c r="D506">
        <v>54200</v>
      </c>
      <c r="E506" t="s">
        <v>220</v>
      </c>
      <c r="F506">
        <v>8692</v>
      </c>
      <c r="G506">
        <v>0.53735550593710002</v>
      </c>
      <c r="H506">
        <v>0</v>
      </c>
      <c r="I506">
        <v>0</v>
      </c>
      <c r="J506">
        <v>0.43039732544811249</v>
      </c>
      <c r="K506">
        <v>0</v>
      </c>
      <c r="L506">
        <v>0</v>
      </c>
      <c r="M506">
        <v>0.2993874397548989</v>
      </c>
      <c r="N506">
        <v>0</v>
      </c>
      <c r="O506">
        <v>0</v>
      </c>
      <c r="P506">
        <v>0.28875093976091681</v>
      </c>
      <c r="Q506">
        <v>1.1917918525923921</v>
      </c>
      <c r="R506">
        <v>2.4161835558831521</v>
      </c>
      <c r="S506">
        <v>0.2307318491391557</v>
      </c>
      <c r="T506">
        <v>0.1655461977146481</v>
      </c>
      <c r="U506">
        <v>4.3179178217901519</v>
      </c>
      <c r="V506">
        <v>0.1233624451056349</v>
      </c>
      <c r="W506">
        <v>7.5622428360561438</v>
      </c>
      <c r="X506">
        <v>0.27360351828232982</v>
      </c>
      <c r="Z506" t="s">
        <v>392</v>
      </c>
      <c r="AA506">
        <v>9937</v>
      </c>
      <c r="AB506" t="s">
        <v>897</v>
      </c>
      <c r="AC506" t="str">
        <f>HYPERLINK("plots/20251231000436_3FT6Y121H01_04823_B11P_N_UFLEX98_M5358A8BH101511/dpll_52084/txpa_54200.png","plot")</f>
        <v>plot</v>
      </c>
    </row>
    <row r="507" spans="1:29" x14ac:dyDescent="0.35">
      <c r="A507" t="s">
        <v>46</v>
      </c>
      <c r="B507">
        <v>52084</v>
      </c>
      <c r="C507" t="s">
        <v>52</v>
      </c>
      <c r="D507">
        <v>54201</v>
      </c>
      <c r="E507" t="s">
        <v>221</v>
      </c>
      <c r="F507">
        <v>8692</v>
      </c>
      <c r="G507">
        <v>0.5138499641775498</v>
      </c>
      <c r="H507">
        <v>0</v>
      </c>
      <c r="I507">
        <v>0</v>
      </c>
      <c r="J507">
        <v>0.39107261619402728</v>
      </c>
      <c r="K507">
        <v>0</v>
      </c>
      <c r="L507">
        <v>0</v>
      </c>
      <c r="M507">
        <v>0.2688576755063159</v>
      </c>
      <c r="N507">
        <v>0</v>
      </c>
      <c r="O507">
        <v>0</v>
      </c>
      <c r="P507">
        <v>0.2640417856852692</v>
      </c>
      <c r="Q507">
        <v>1.211026865528364</v>
      </c>
      <c r="R507">
        <v>2.458120610082636</v>
      </c>
      <c r="S507">
        <v>0.24927649026773011</v>
      </c>
      <c r="T507">
        <v>0.18245660977037051</v>
      </c>
      <c r="U507">
        <v>4.3179379214219979</v>
      </c>
      <c r="V507">
        <v>0.1232997737225075</v>
      </c>
      <c r="W507">
        <v>7.6872594366083771</v>
      </c>
      <c r="X507">
        <v>0.29058937219256242</v>
      </c>
      <c r="Z507" t="s">
        <v>392</v>
      </c>
      <c r="AA507">
        <v>9937</v>
      </c>
      <c r="AB507" t="s">
        <v>898</v>
      </c>
      <c r="AC507" t="str">
        <f>HYPERLINK("plots/20251231000436_3FT6Y121H01_04823_B11P_N_UFLEX98_M5358A8BH101511/dpll_52084/txpa_54201.png","plot")</f>
        <v>plot</v>
      </c>
    </row>
    <row r="508" spans="1:29" x14ac:dyDescent="0.35">
      <c r="A508" t="s">
        <v>46</v>
      </c>
      <c r="B508">
        <v>52084</v>
      </c>
      <c r="C508" t="s">
        <v>52</v>
      </c>
      <c r="D508">
        <v>54202</v>
      </c>
      <c r="E508" t="s">
        <v>222</v>
      </c>
      <c r="F508">
        <v>8714</v>
      </c>
      <c r="G508">
        <v>0.42768465644316228</v>
      </c>
      <c r="H508">
        <v>0</v>
      </c>
      <c r="I508">
        <v>0</v>
      </c>
      <c r="J508">
        <v>0.34259012245312059</v>
      </c>
      <c r="K508">
        <v>1.6329556924903832E-238</v>
      </c>
      <c r="L508">
        <v>2.69677047587174E-238</v>
      </c>
      <c r="M508">
        <v>0.23710560179340129</v>
      </c>
      <c r="N508">
        <v>1.3537091779910829E-241</v>
      </c>
      <c r="O508">
        <v>2.2763865779153531E-241</v>
      </c>
      <c r="P508">
        <v>0.1829141653569058</v>
      </c>
      <c r="Q508">
        <v>1.0666849767451561</v>
      </c>
      <c r="R508">
        <v>2.607852567099862</v>
      </c>
      <c r="S508">
        <v>0.2807117001395692</v>
      </c>
      <c r="T508">
        <v>0.2044301648498815</v>
      </c>
      <c r="U508">
        <v>4.3170215414275876</v>
      </c>
      <c r="V508">
        <v>0.1245199925208704</v>
      </c>
      <c r="W508">
        <v>7.2127545896258889</v>
      </c>
      <c r="X508">
        <v>0.31056434530772892</v>
      </c>
      <c r="Z508" t="s">
        <v>392</v>
      </c>
      <c r="AA508">
        <v>9937</v>
      </c>
      <c r="AB508" t="s">
        <v>899</v>
      </c>
      <c r="AC508" t="str">
        <f>HYPERLINK("plots/20251231000436_3FT6Y121H01_04823_B11P_N_UFLEX98_M5358A8BH101511/dpll_52084/txpa_54202.png","plot")</f>
        <v>plot</v>
      </c>
    </row>
    <row r="509" spans="1:29" x14ac:dyDescent="0.35">
      <c r="A509" t="s">
        <v>46</v>
      </c>
      <c r="B509">
        <v>52084</v>
      </c>
      <c r="C509" t="s">
        <v>52</v>
      </c>
      <c r="D509">
        <v>54203</v>
      </c>
      <c r="E509" t="s">
        <v>223</v>
      </c>
      <c r="F509">
        <v>8715</v>
      </c>
      <c r="G509">
        <v>0.42614897739120827</v>
      </c>
      <c r="H509">
        <v>0</v>
      </c>
      <c r="I509">
        <v>0</v>
      </c>
      <c r="J509">
        <v>0.35111166561114188</v>
      </c>
      <c r="K509">
        <v>2.8900637043618618E-251</v>
      </c>
      <c r="L509">
        <v>4.9418627255024087E-251</v>
      </c>
      <c r="M509">
        <v>0.24267564035610459</v>
      </c>
      <c r="N509">
        <v>5.2391224112237828E-253</v>
      </c>
      <c r="O509">
        <v>9.0811455127878908E-253</v>
      </c>
      <c r="P509">
        <v>0.18160295093157261</v>
      </c>
      <c r="Q509">
        <v>1.0924183651891359</v>
      </c>
      <c r="R509">
        <v>3.4549966729179258</v>
      </c>
      <c r="S509">
        <v>0.28889632413596089</v>
      </c>
      <c r="T509">
        <v>0.2034844564177995</v>
      </c>
      <c r="U509">
        <v>4.3169742947791159</v>
      </c>
      <c r="V509">
        <v>0.1245825926204399</v>
      </c>
      <c r="W509">
        <v>8.1709386745840504</v>
      </c>
      <c r="X509">
        <v>0.31936322596524158</v>
      </c>
      <c r="Z509" t="s">
        <v>392</v>
      </c>
      <c r="AA509">
        <v>9937</v>
      </c>
      <c r="AB509" t="s">
        <v>900</v>
      </c>
      <c r="AC509" t="str">
        <f>HYPERLINK("plots/20251231000436_3FT6Y121H01_04823_B11P_N_UFLEX98_M5358A8BH101511/dpll_52084/txpa_54203.png","plot")</f>
        <v>plot</v>
      </c>
    </row>
    <row r="510" spans="1:29" x14ac:dyDescent="0.35">
      <c r="A510" t="s">
        <v>46</v>
      </c>
      <c r="B510">
        <v>52084</v>
      </c>
      <c r="C510" t="s">
        <v>52</v>
      </c>
      <c r="D510">
        <v>54204</v>
      </c>
      <c r="E510" t="s">
        <v>224</v>
      </c>
      <c r="F510">
        <v>8704</v>
      </c>
      <c r="G510">
        <v>0.49839744017641469</v>
      </c>
      <c r="H510">
        <v>0</v>
      </c>
      <c r="I510">
        <v>0</v>
      </c>
      <c r="J510">
        <v>0.41429130476496018</v>
      </c>
      <c r="K510">
        <v>0</v>
      </c>
      <c r="L510">
        <v>0</v>
      </c>
      <c r="M510">
        <v>0.28779795622866411</v>
      </c>
      <c r="N510">
        <v>0</v>
      </c>
      <c r="O510">
        <v>0</v>
      </c>
      <c r="P510">
        <v>0.2484000083744029</v>
      </c>
      <c r="Q510">
        <v>1.274849287696932</v>
      </c>
      <c r="R510">
        <v>2.8905186962521792</v>
      </c>
      <c r="S510">
        <v>0.2750614140472683</v>
      </c>
      <c r="T510">
        <v>0.1979147976655862</v>
      </c>
      <c r="U510">
        <v>4.3174101399356619</v>
      </c>
      <c r="V510">
        <v>0.1240446947863605</v>
      </c>
      <c r="W510">
        <v>8.3945659378446678</v>
      </c>
      <c r="X510">
        <v>0.31729354535809767</v>
      </c>
      <c r="Z510" t="s">
        <v>392</v>
      </c>
      <c r="AA510">
        <v>9937</v>
      </c>
      <c r="AB510" t="s">
        <v>901</v>
      </c>
      <c r="AC510" t="str">
        <f>HYPERLINK("plots/20251231000436_3FT6Y121H01_04823_B11P_N_UFLEX98_M5358A8BH101511/dpll_52084/txpa_54204.png","plot")</f>
        <v>plot</v>
      </c>
    </row>
    <row r="511" spans="1:29" x14ac:dyDescent="0.35">
      <c r="A511" t="s">
        <v>46</v>
      </c>
      <c r="B511">
        <v>52084</v>
      </c>
      <c r="C511" t="s">
        <v>52</v>
      </c>
      <c r="D511">
        <v>54205</v>
      </c>
      <c r="E511" t="s">
        <v>225</v>
      </c>
      <c r="F511">
        <v>8675</v>
      </c>
      <c r="G511">
        <v>0.48763099039233182</v>
      </c>
      <c r="H511">
        <v>0</v>
      </c>
      <c r="I511">
        <v>0</v>
      </c>
      <c r="J511">
        <v>0.41874589243190308</v>
      </c>
      <c r="K511">
        <v>0</v>
      </c>
      <c r="L511">
        <v>0</v>
      </c>
      <c r="M511">
        <v>0.29154511464853777</v>
      </c>
      <c r="N511">
        <v>0</v>
      </c>
      <c r="O511">
        <v>0</v>
      </c>
      <c r="P511">
        <v>0.23778398279100629</v>
      </c>
      <c r="Q511">
        <v>1.264249777554427</v>
      </c>
      <c r="R511">
        <v>3.1041535344038871</v>
      </c>
      <c r="S511">
        <v>0.27636178593010641</v>
      </c>
      <c r="T511">
        <v>0.19329216073833691</v>
      </c>
      <c r="U511">
        <v>4.3187148101440922</v>
      </c>
      <c r="V511">
        <v>0.1221018940007088</v>
      </c>
      <c r="W511">
        <v>8.5640877724495663</v>
      </c>
      <c r="X511">
        <v>0.31656579538796659</v>
      </c>
      <c r="Z511" t="s">
        <v>392</v>
      </c>
      <c r="AA511">
        <v>9937</v>
      </c>
      <c r="AB511" t="s">
        <v>902</v>
      </c>
      <c r="AC511" t="str">
        <f>HYPERLINK("plots/20251231000436_3FT6Y121H01_04823_B11P_N_UFLEX98_M5358A8BH101511/dpll_52084/txpa_54205.png","plot")</f>
        <v>plot</v>
      </c>
    </row>
    <row r="512" spans="1:29" x14ac:dyDescent="0.35">
      <c r="A512" t="s">
        <v>46</v>
      </c>
      <c r="B512">
        <v>52084</v>
      </c>
      <c r="C512" t="s">
        <v>52</v>
      </c>
      <c r="D512">
        <v>54206</v>
      </c>
      <c r="E512" t="s">
        <v>226</v>
      </c>
      <c r="F512">
        <v>8696</v>
      </c>
      <c r="G512">
        <v>0.52197928578851482</v>
      </c>
      <c r="H512">
        <v>0</v>
      </c>
      <c r="I512">
        <v>0</v>
      </c>
      <c r="J512">
        <v>0.42745483336261042</v>
      </c>
      <c r="K512">
        <v>0</v>
      </c>
      <c r="L512">
        <v>0</v>
      </c>
      <c r="M512">
        <v>0.29818664848111798</v>
      </c>
      <c r="N512">
        <v>0</v>
      </c>
      <c r="O512">
        <v>0</v>
      </c>
      <c r="P512">
        <v>0.27246237479228802</v>
      </c>
      <c r="Q512">
        <v>1.310593410685799</v>
      </c>
      <c r="R512">
        <v>2.7044330810121902</v>
      </c>
      <c r="S512">
        <v>0.26472857653949261</v>
      </c>
      <c r="T512">
        <v>0.1902692557127654</v>
      </c>
      <c r="U512">
        <v>4.3177374024839006</v>
      </c>
      <c r="V512">
        <v>0.12361846781337971</v>
      </c>
      <c r="W512">
        <v>8.3632312697792095</v>
      </c>
      <c r="X512">
        <v>0.31038310095111982</v>
      </c>
      <c r="Z512" t="s">
        <v>392</v>
      </c>
      <c r="AA512">
        <v>9937</v>
      </c>
      <c r="AB512" t="s">
        <v>903</v>
      </c>
      <c r="AC512" t="str">
        <f>HYPERLINK("plots/20251231000436_3FT6Y121H01_04823_B11P_N_UFLEX98_M5358A8BH101511/dpll_52084/txpa_54206.png","plot")</f>
        <v>plot</v>
      </c>
    </row>
    <row r="513" spans="1:29" x14ac:dyDescent="0.35">
      <c r="A513" t="s">
        <v>46</v>
      </c>
      <c r="B513">
        <v>52084</v>
      </c>
      <c r="C513" t="s">
        <v>52</v>
      </c>
      <c r="D513">
        <v>54207</v>
      </c>
      <c r="E513" t="s">
        <v>227</v>
      </c>
      <c r="F513">
        <v>8678</v>
      </c>
      <c r="G513">
        <v>0.51914647563254657</v>
      </c>
      <c r="H513">
        <v>0</v>
      </c>
      <c r="I513">
        <v>0</v>
      </c>
      <c r="J513">
        <v>0.42333751103787037</v>
      </c>
      <c r="K513">
        <v>0</v>
      </c>
      <c r="L513">
        <v>0</v>
      </c>
      <c r="M513">
        <v>0.29451307634556301</v>
      </c>
      <c r="N513">
        <v>0</v>
      </c>
      <c r="O513">
        <v>0</v>
      </c>
      <c r="P513">
        <v>0.26951306316169432</v>
      </c>
      <c r="Q513">
        <v>1.2459617681252979</v>
      </c>
      <c r="R513">
        <v>3.1291774630630562</v>
      </c>
      <c r="S513">
        <v>0.25080148954052128</v>
      </c>
      <c r="T513">
        <v>0.1767133075442813</v>
      </c>
      <c r="U513">
        <v>4.318590476953216</v>
      </c>
      <c r="V513">
        <v>0.1222739951222661</v>
      </c>
      <c r="W513">
        <v>8.5099760895367602</v>
      </c>
      <c r="X513">
        <v>0.2934599969549167</v>
      </c>
      <c r="Z513" t="s">
        <v>392</v>
      </c>
      <c r="AA513">
        <v>9937</v>
      </c>
      <c r="AB513" t="s">
        <v>904</v>
      </c>
      <c r="AC513" t="str">
        <f>HYPERLINK("plots/20251231000436_3FT6Y121H01_04823_B11P_N_UFLEX98_M5358A8BH101511/dpll_52084/txpa_54207.png","plot")</f>
        <v>plot</v>
      </c>
    </row>
    <row r="514" spans="1:29" x14ac:dyDescent="0.35">
      <c r="A514" t="s">
        <v>46</v>
      </c>
      <c r="B514">
        <v>52084</v>
      </c>
      <c r="C514" t="s">
        <v>52</v>
      </c>
      <c r="D514">
        <v>54208</v>
      </c>
      <c r="E514" t="s">
        <v>228</v>
      </c>
      <c r="F514">
        <v>8684</v>
      </c>
      <c r="G514">
        <v>0.53618933687572101</v>
      </c>
      <c r="H514">
        <v>0</v>
      </c>
      <c r="I514">
        <v>0</v>
      </c>
      <c r="J514">
        <v>0.44470916970794738</v>
      </c>
      <c r="K514">
        <v>0</v>
      </c>
      <c r="L514">
        <v>0</v>
      </c>
      <c r="M514">
        <v>0.31235517053584883</v>
      </c>
      <c r="N514">
        <v>0</v>
      </c>
      <c r="O514">
        <v>0</v>
      </c>
      <c r="P514">
        <v>0.28749900497922543</v>
      </c>
      <c r="Q514">
        <v>1.241610294702477</v>
      </c>
      <c r="R514">
        <v>3.082166396612001</v>
      </c>
      <c r="S514">
        <v>0.23986503335286091</v>
      </c>
      <c r="T514">
        <v>0.16771926296303491</v>
      </c>
      <c r="U514">
        <v>4.3183086437125748</v>
      </c>
      <c r="V514">
        <v>0.12272472854157609</v>
      </c>
      <c r="W514">
        <v>8.4438228643482258</v>
      </c>
      <c r="X514">
        <v>0.28418373117909651</v>
      </c>
      <c r="Z514" t="s">
        <v>392</v>
      </c>
      <c r="AA514">
        <v>9937</v>
      </c>
      <c r="AB514" t="s">
        <v>905</v>
      </c>
      <c r="AC514" t="str">
        <f>HYPERLINK("plots/20251231000436_3FT6Y121H01_04823_B11P_N_UFLEX98_M5358A8BH101511/dpll_52084/txpa_54208.png","plot")</f>
        <v>plot</v>
      </c>
    </row>
    <row r="515" spans="1:29" x14ac:dyDescent="0.35">
      <c r="A515" t="s">
        <v>46</v>
      </c>
      <c r="B515">
        <v>52084</v>
      </c>
      <c r="C515" t="s">
        <v>52</v>
      </c>
      <c r="D515">
        <v>54209</v>
      </c>
      <c r="E515" t="s">
        <v>229</v>
      </c>
      <c r="F515">
        <v>8664</v>
      </c>
      <c r="G515">
        <v>0.49976359296087142</v>
      </c>
      <c r="H515">
        <v>0</v>
      </c>
      <c r="I515">
        <v>0</v>
      </c>
      <c r="J515">
        <v>0.40855219936647441</v>
      </c>
      <c r="K515">
        <v>0</v>
      </c>
      <c r="L515">
        <v>0</v>
      </c>
      <c r="M515">
        <v>0.28313714728981437</v>
      </c>
      <c r="N515">
        <v>0</v>
      </c>
      <c r="O515">
        <v>0</v>
      </c>
      <c r="P515">
        <v>0.24976364884915961</v>
      </c>
      <c r="Q515">
        <v>1.197489739957919</v>
      </c>
      <c r="R515">
        <v>3.387698640115135</v>
      </c>
      <c r="S515">
        <v>0.25147838380735582</v>
      </c>
      <c r="T515">
        <v>0.17921387941085501</v>
      </c>
      <c r="U515">
        <v>4.3192675203139421</v>
      </c>
      <c r="V515">
        <v>0.1211768022754238</v>
      </c>
      <c r="W515">
        <v>8.5599771798245623</v>
      </c>
      <c r="X515">
        <v>0.29035323799004809</v>
      </c>
      <c r="Z515" t="s">
        <v>392</v>
      </c>
      <c r="AA515">
        <v>9937</v>
      </c>
      <c r="AB515" t="s">
        <v>906</v>
      </c>
      <c r="AC515" t="str">
        <f>HYPERLINK("plots/20251231000436_3FT6Y121H01_04823_B11P_N_UFLEX98_M5358A8BH101511/dpll_52084/txpa_54209.png","plot")</f>
        <v>plot</v>
      </c>
    </row>
    <row r="516" spans="1:29" x14ac:dyDescent="0.35">
      <c r="A516" t="s">
        <v>46</v>
      </c>
      <c r="B516">
        <v>52084</v>
      </c>
      <c r="C516" t="s">
        <v>52</v>
      </c>
      <c r="D516">
        <v>54210</v>
      </c>
      <c r="E516" t="s">
        <v>230</v>
      </c>
      <c r="F516">
        <v>8712</v>
      </c>
      <c r="G516">
        <v>0.45117501604580801</v>
      </c>
      <c r="H516">
        <v>0</v>
      </c>
      <c r="I516">
        <v>0</v>
      </c>
      <c r="J516">
        <v>0.35336845657055171</v>
      </c>
      <c r="K516">
        <v>1.291157351273182E-254</v>
      </c>
      <c r="L516">
        <v>2.2380060755401819E-254</v>
      </c>
      <c r="M516">
        <v>0.24484798133920549</v>
      </c>
      <c r="N516">
        <v>1.976073223641878E-257</v>
      </c>
      <c r="O516">
        <v>3.5030388964560547E-257</v>
      </c>
      <c r="P516">
        <v>0.2035588951039351</v>
      </c>
      <c r="Q516">
        <v>1.128668246019038</v>
      </c>
      <c r="R516">
        <v>3.2627066375309242</v>
      </c>
      <c r="S516">
        <v>0.27774423474431098</v>
      </c>
      <c r="T516">
        <v>0.20101243693722301</v>
      </c>
      <c r="U516">
        <v>4.3171041759641868</v>
      </c>
      <c r="V516">
        <v>0.1244147530790896</v>
      </c>
      <c r="W516">
        <v>8.1352850356978887</v>
      </c>
      <c r="X516">
        <v>0.31123838010216959</v>
      </c>
      <c r="Z516" t="s">
        <v>392</v>
      </c>
      <c r="AA516">
        <v>9937</v>
      </c>
      <c r="AB516" t="s">
        <v>907</v>
      </c>
      <c r="AC516" t="str">
        <f>HYPERLINK("plots/20251231000436_3FT6Y121H01_04823_B11P_N_UFLEX98_M5358A8BH101511/dpll_52084/txpa_54210.png","plot")</f>
        <v>plot</v>
      </c>
    </row>
    <row r="517" spans="1:29" x14ac:dyDescent="0.35">
      <c r="A517" t="s">
        <v>46</v>
      </c>
      <c r="B517">
        <v>52084</v>
      </c>
      <c r="C517" t="s">
        <v>52</v>
      </c>
      <c r="D517">
        <v>54211</v>
      </c>
      <c r="E517" t="s">
        <v>231</v>
      </c>
      <c r="F517">
        <v>8707</v>
      </c>
      <c r="G517">
        <v>0.44427550640623581</v>
      </c>
      <c r="H517">
        <v>0</v>
      </c>
      <c r="I517">
        <v>0</v>
      </c>
      <c r="J517">
        <v>0.36892966287997342</v>
      </c>
      <c r="K517">
        <v>6.3409039256605757E-279</v>
      </c>
      <c r="L517">
        <v>1.1884799594491361E-278</v>
      </c>
      <c r="M517">
        <v>0.25577092160996828</v>
      </c>
      <c r="N517">
        <v>1.481793995855597E-280</v>
      </c>
      <c r="O517">
        <v>2.8137436550516381E-280</v>
      </c>
      <c r="P517">
        <v>0.19738072559251729</v>
      </c>
      <c r="Q517">
        <v>1.1641454931866519</v>
      </c>
      <c r="R517">
        <v>4.0216621729783624</v>
      </c>
      <c r="S517">
        <v>0.29151833339139782</v>
      </c>
      <c r="T517">
        <v>0.20243322531805319</v>
      </c>
      <c r="U517">
        <v>4.3172923595957267</v>
      </c>
      <c r="V517">
        <v>0.1241884281399914</v>
      </c>
      <c r="W517">
        <v>9.0476186161708956</v>
      </c>
      <c r="X517">
        <v>0.32541384082720681</v>
      </c>
      <c r="Z517" t="s">
        <v>392</v>
      </c>
      <c r="AA517">
        <v>9937</v>
      </c>
      <c r="AB517" t="s">
        <v>908</v>
      </c>
      <c r="AC517" t="str">
        <f>HYPERLINK("plots/20251231000436_3FT6Y121H01_04823_B11P_N_UFLEX98_M5358A8BH101511/dpll_52084/txpa_54211.png","plot")</f>
        <v>plot</v>
      </c>
    </row>
    <row r="518" spans="1:29" x14ac:dyDescent="0.35">
      <c r="A518" t="s">
        <v>46</v>
      </c>
      <c r="B518">
        <v>52084</v>
      </c>
      <c r="C518" t="s">
        <v>52</v>
      </c>
      <c r="D518">
        <v>54212</v>
      </c>
      <c r="E518" t="s">
        <v>232</v>
      </c>
      <c r="F518">
        <v>8689</v>
      </c>
      <c r="G518">
        <v>0.49944479852103402</v>
      </c>
      <c r="H518">
        <v>0</v>
      </c>
      <c r="I518">
        <v>0</v>
      </c>
      <c r="J518">
        <v>0.4302743373822534</v>
      </c>
      <c r="K518">
        <v>0</v>
      </c>
      <c r="L518">
        <v>0</v>
      </c>
      <c r="M518">
        <v>0.30133545429681319</v>
      </c>
      <c r="N518">
        <v>0</v>
      </c>
      <c r="O518">
        <v>0</v>
      </c>
      <c r="P518">
        <v>0.24944510676971621</v>
      </c>
      <c r="Q518">
        <v>1.323026497363669</v>
      </c>
      <c r="R518">
        <v>3.5267080787781242</v>
      </c>
      <c r="S518">
        <v>0.28291374423789639</v>
      </c>
      <c r="T518">
        <v>0.19855506985377311</v>
      </c>
      <c r="U518">
        <v>4.3179716839682358</v>
      </c>
      <c r="V518">
        <v>0.12328401250468771</v>
      </c>
      <c r="W518">
        <v>9.2394990315341232</v>
      </c>
      <c r="X518">
        <v>0.3265786644049844</v>
      </c>
      <c r="Z518" t="s">
        <v>392</v>
      </c>
      <c r="AA518">
        <v>9937</v>
      </c>
      <c r="AB518" t="s">
        <v>909</v>
      </c>
      <c r="AC518" t="str">
        <f>HYPERLINK("plots/20251231000436_3FT6Y121H01_04823_B11P_N_UFLEX98_M5358A8BH101511/dpll_52084/txpa_54212.png","plot")</f>
        <v>plot</v>
      </c>
    </row>
    <row r="519" spans="1:29" x14ac:dyDescent="0.35">
      <c r="A519" t="s">
        <v>46</v>
      </c>
      <c r="B519">
        <v>52084</v>
      </c>
      <c r="C519" t="s">
        <v>52</v>
      </c>
      <c r="D519">
        <v>54213</v>
      </c>
      <c r="E519" t="s">
        <v>233</v>
      </c>
      <c r="F519">
        <v>8631</v>
      </c>
      <c r="G519">
        <v>0.46693506885946923</v>
      </c>
      <c r="H519">
        <v>0</v>
      </c>
      <c r="I519">
        <v>0</v>
      </c>
      <c r="J519">
        <v>0.43751526540014712</v>
      </c>
      <c r="K519">
        <v>0</v>
      </c>
      <c r="L519">
        <v>0</v>
      </c>
      <c r="M519">
        <v>0.30853343684747592</v>
      </c>
      <c r="N519">
        <v>0</v>
      </c>
      <c r="O519">
        <v>0</v>
      </c>
      <c r="P519">
        <v>0.21802835853079719</v>
      </c>
      <c r="Q519">
        <v>1.238243382848951</v>
      </c>
      <c r="R519">
        <v>4.0249192069690061</v>
      </c>
      <c r="S519">
        <v>0.2792250496136533</v>
      </c>
      <c r="T519">
        <v>0.19052989345625351</v>
      </c>
      <c r="U519">
        <v>4.3204418959564359</v>
      </c>
      <c r="V519">
        <v>0.1190788172189059</v>
      </c>
      <c r="W519">
        <v>9.3746777956204372</v>
      </c>
      <c r="X519">
        <v>0.31577957470392259</v>
      </c>
      <c r="Z519" t="s">
        <v>392</v>
      </c>
      <c r="AA519">
        <v>9937</v>
      </c>
      <c r="AB519" t="s">
        <v>910</v>
      </c>
      <c r="AC519" t="str">
        <f>HYPERLINK("plots/20251231000436_3FT6Y121H01_04823_B11P_N_UFLEX98_M5358A8BH101511/dpll_52084/txpa_54213.png","plot")</f>
        <v>plot</v>
      </c>
    </row>
    <row r="520" spans="1:29" x14ac:dyDescent="0.35">
      <c r="A520" t="s">
        <v>46</v>
      </c>
      <c r="B520">
        <v>52084</v>
      </c>
      <c r="C520" t="s">
        <v>52</v>
      </c>
      <c r="D520">
        <v>54214</v>
      </c>
      <c r="E520" t="s">
        <v>234</v>
      </c>
      <c r="F520">
        <v>8684</v>
      </c>
      <c r="G520">
        <v>0.52240664756524169</v>
      </c>
      <c r="H520">
        <v>0</v>
      </c>
      <c r="I520">
        <v>0</v>
      </c>
      <c r="J520">
        <v>0.44388970832533392</v>
      </c>
      <c r="K520">
        <v>0</v>
      </c>
      <c r="L520">
        <v>0</v>
      </c>
      <c r="M520">
        <v>0.31280618424147572</v>
      </c>
      <c r="N520">
        <v>0</v>
      </c>
      <c r="O520">
        <v>0</v>
      </c>
      <c r="P520">
        <v>0.27290870542035461</v>
      </c>
      <c r="Q520">
        <v>1.365693813216986</v>
      </c>
      <c r="R520">
        <v>3.3090663451845548</v>
      </c>
      <c r="S520">
        <v>0.27401937202619242</v>
      </c>
      <c r="T520">
        <v>0.19187864407422661</v>
      </c>
      <c r="U520">
        <v>4.318202145670198</v>
      </c>
      <c r="V520">
        <v>0.1229326245804656</v>
      </c>
      <c r="W520">
        <v>9.206408299746661</v>
      </c>
      <c r="X520">
        <v>0.32137478650882112</v>
      </c>
      <c r="Z520" t="s">
        <v>392</v>
      </c>
      <c r="AA520">
        <v>9937</v>
      </c>
      <c r="AB520" t="s">
        <v>911</v>
      </c>
      <c r="AC520" t="str">
        <f>HYPERLINK("plots/20251231000436_3FT6Y121H01_04823_B11P_N_UFLEX98_M5358A8BH101511/dpll_52084/txpa_54214.png","plot")</f>
        <v>plot</v>
      </c>
    </row>
    <row r="521" spans="1:29" x14ac:dyDescent="0.35">
      <c r="A521" t="s">
        <v>46</v>
      </c>
      <c r="B521">
        <v>52084</v>
      </c>
      <c r="C521" t="s">
        <v>52</v>
      </c>
      <c r="D521">
        <v>54215</v>
      </c>
      <c r="E521" t="s">
        <v>235</v>
      </c>
      <c r="F521">
        <v>8633</v>
      </c>
      <c r="G521">
        <v>0.49034991100454672</v>
      </c>
      <c r="H521">
        <v>0</v>
      </c>
      <c r="I521">
        <v>0</v>
      </c>
      <c r="J521">
        <v>0.4363223124361455</v>
      </c>
      <c r="K521">
        <v>0</v>
      </c>
      <c r="L521">
        <v>0</v>
      </c>
      <c r="M521">
        <v>0.30667979549111801</v>
      </c>
      <c r="N521">
        <v>0</v>
      </c>
      <c r="O521">
        <v>0</v>
      </c>
      <c r="P521">
        <v>0.24044303522216681</v>
      </c>
      <c r="Q521">
        <v>1.2125566997032089</v>
      </c>
      <c r="R521">
        <v>4.1048686803334604</v>
      </c>
      <c r="S521">
        <v>0.25628364555922872</v>
      </c>
      <c r="T521">
        <v>0.17579475697063859</v>
      </c>
      <c r="U521">
        <v>4.3205883139117338</v>
      </c>
      <c r="V521">
        <v>0.11892411214157191</v>
      </c>
      <c r="W521">
        <v>9.3438269870265245</v>
      </c>
      <c r="X521">
        <v>0.29408025921346959</v>
      </c>
      <c r="Z521" t="s">
        <v>392</v>
      </c>
      <c r="AA521">
        <v>9937</v>
      </c>
      <c r="AB521" t="s">
        <v>912</v>
      </c>
      <c r="AC521" t="str">
        <f>HYPERLINK("plots/20251231000436_3FT6Y121H01_04823_B11P_N_UFLEX98_M5358A8BH101511/dpll_52084/txpa_54215.png","plot")</f>
        <v>plot</v>
      </c>
    </row>
    <row r="522" spans="1:29" x14ac:dyDescent="0.35">
      <c r="A522" t="s">
        <v>46</v>
      </c>
      <c r="B522">
        <v>52084</v>
      </c>
      <c r="C522" t="s">
        <v>52</v>
      </c>
      <c r="D522">
        <v>54216</v>
      </c>
      <c r="E522" t="s">
        <v>236</v>
      </c>
      <c r="F522">
        <v>8648</v>
      </c>
      <c r="G522">
        <v>0.50814449032309572</v>
      </c>
      <c r="H522">
        <v>0</v>
      </c>
      <c r="I522">
        <v>0</v>
      </c>
      <c r="J522">
        <v>0.454922693753191</v>
      </c>
      <c r="K522">
        <v>0</v>
      </c>
      <c r="L522">
        <v>0</v>
      </c>
      <c r="M522">
        <v>0.32311770894352032</v>
      </c>
      <c r="N522">
        <v>0</v>
      </c>
      <c r="O522">
        <v>0</v>
      </c>
      <c r="P522">
        <v>0.25821082304571868</v>
      </c>
      <c r="Q522">
        <v>1.2257335815143611</v>
      </c>
      <c r="R522">
        <v>3.9843553372758551</v>
      </c>
      <c r="S522">
        <v>0.24918409590187851</v>
      </c>
      <c r="T522">
        <v>0.16980075324758759</v>
      </c>
      <c r="U522">
        <v>4.3200304584875111</v>
      </c>
      <c r="V522">
        <v>0.1199489142656197</v>
      </c>
      <c r="W522">
        <v>9.2795617434088804</v>
      </c>
      <c r="X522">
        <v>0.28933780663069542</v>
      </c>
      <c r="Z522" t="s">
        <v>392</v>
      </c>
      <c r="AA522">
        <v>9937</v>
      </c>
      <c r="AB522" t="s">
        <v>913</v>
      </c>
      <c r="AC522" t="str">
        <f>HYPERLINK("plots/20251231000436_3FT6Y121H01_04823_B11P_N_UFLEX98_M5358A8BH101511/dpll_52084/txpa_54216.png","plot")</f>
        <v>plot</v>
      </c>
    </row>
    <row r="523" spans="1:29" x14ac:dyDescent="0.35">
      <c r="A523" t="s">
        <v>46</v>
      </c>
      <c r="B523">
        <v>52084</v>
      </c>
      <c r="C523" t="s">
        <v>52</v>
      </c>
      <c r="D523">
        <v>54217</v>
      </c>
      <c r="E523" t="s">
        <v>237</v>
      </c>
      <c r="F523">
        <v>8630</v>
      </c>
      <c r="G523">
        <v>0.47401473142478279</v>
      </c>
      <c r="H523">
        <v>0</v>
      </c>
      <c r="I523">
        <v>0</v>
      </c>
      <c r="J523">
        <v>0.42613004463343662</v>
      </c>
      <c r="K523">
        <v>0</v>
      </c>
      <c r="L523">
        <v>0</v>
      </c>
      <c r="M523">
        <v>0.29867926754972368</v>
      </c>
      <c r="N523">
        <v>0</v>
      </c>
      <c r="O523">
        <v>0</v>
      </c>
      <c r="P523">
        <v>0.22468996560770901</v>
      </c>
      <c r="Q523">
        <v>1.174085728320829</v>
      </c>
      <c r="R523">
        <v>4.3054080108570183</v>
      </c>
      <c r="S523">
        <v>0.2584348125826218</v>
      </c>
      <c r="T523">
        <v>0.17865949540577339</v>
      </c>
      <c r="U523">
        <v>4.3209009681344144</v>
      </c>
      <c r="V523">
        <v>0.11850331677964859</v>
      </c>
      <c r="W523">
        <v>9.3785161710312863</v>
      </c>
      <c r="X523">
        <v>0.29352052534625811</v>
      </c>
      <c r="Z523" t="s">
        <v>392</v>
      </c>
      <c r="AA523">
        <v>9937</v>
      </c>
      <c r="AB523" t="s">
        <v>914</v>
      </c>
      <c r="AC523" t="str">
        <f>HYPERLINK("plots/20251231000436_3FT6Y121H01_04823_B11P_N_UFLEX98_M5358A8BH101511/dpll_52084/txpa_54217.png","plot")</f>
        <v>plot</v>
      </c>
    </row>
    <row r="524" spans="1:29" x14ac:dyDescent="0.35">
      <c r="A524" t="s">
        <v>46</v>
      </c>
      <c r="B524">
        <v>52084</v>
      </c>
      <c r="C524" t="s">
        <v>52</v>
      </c>
      <c r="D524">
        <v>54218</v>
      </c>
      <c r="E524" t="s">
        <v>238</v>
      </c>
      <c r="F524">
        <v>8709</v>
      </c>
      <c r="G524">
        <v>0.47315748348065523</v>
      </c>
      <c r="H524">
        <v>0</v>
      </c>
      <c r="I524">
        <v>0</v>
      </c>
      <c r="J524">
        <v>0.36645960946710943</v>
      </c>
      <c r="K524">
        <v>5.1613230084241812E-275</v>
      </c>
      <c r="L524">
        <v>9.567790732252503E-275</v>
      </c>
      <c r="M524">
        <v>0.25405902432013172</v>
      </c>
      <c r="N524">
        <v>6.6339014091928391E-277</v>
      </c>
      <c r="O524">
        <v>1.238816948236011E-276</v>
      </c>
      <c r="P524">
        <v>0.22387800417374651</v>
      </c>
      <c r="Q524">
        <v>1.201621303413462</v>
      </c>
      <c r="R524">
        <v>3.828869526407257</v>
      </c>
      <c r="S524">
        <v>0.2780025931320349</v>
      </c>
      <c r="T524">
        <v>0.19947155483366069</v>
      </c>
      <c r="U524">
        <v>4.3172251671833726</v>
      </c>
      <c r="V524">
        <v>0.1242644437513286</v>
      </c>
      <c r="W524">
        <v>9.0165392589275459</v>
      </c>
      <c r="X524">
        <v>0.31557950171261601</v>
      </c>
      <c r="Z524" t="s">
        <v>392</v>
      </c>
      <c r="AA524">
        <v>9937</v>
      </c>
      <c r="AB524" t="s">
        <v>915</v>
      </c>
      <c r="AC524" t="str">
        <f>HYPERLINK("plots/20251231000436_3FT6Y121H01_04823_B11P_N_UFLEX98_M5358A8BH101511/dpll_52084/txpa_54218.png","plot")</f>
        <v>plot</v>
      </c>
    </row>
    <row r="525" spans="1:29" x14ac:dyDescent="0.35">
      <c r="A525" t="s">
        <v>46</v>
      </c>
      <c r="B525">
        <v>52084</v>
      </c>
      <c r="C525" t="s">
        <v>52</v>
      </c>
      <c r="D525">
        <v>54219</v>
      </c>
      <c r="E525" t="s">
        <v>239</v>
      </c>
      <c r="F525">
        <v>8697</v>
      </c>
      <c r="G525">
        <v>0.46678846960179982</v>
      </c>
      <c r="H525">
        <v>0</v>
      </c>
      <c r="I525">
        <v>0</v>
      </c>
      <c r="J525">
        <v>0.39380436641887517</v>
      </c>
      <c r="K525">
        <v>0</v>
      </c>
      <c r="L525">
        <v>0</v>
      </c>
      <c r="M525">
        <v>0.27436368438443681</v>
      </c>
      <c r="N525">
        <v>0</v>
      </c>
      <c r="O525">
        <v>0</v>
      </c>
      <c r="P525">
        <v>0.21789147535319031</v>
      </c>
      <c r="Q525">
        <v>1.274329449129679</v>
      </c>
      <c r="R525">
        <v>4.4059734138075974</v>
      </c>
      <c r="S525">
        <v>0.29905807466385292</v>
      </c>
      <c r="T525">
        <v>0.20444686957648259</v>
      </c>
      <c r="U525">
        <v>4.3174854188800733</v>
      </c>
      <c r="V525">
        <v>0.12387549215203281</v>
      </c>
      <c r="W525">
        <v>9.9078722292744619</v>
      </c>
      <c r="X525">
        <v>0.33817927809877318</v>
      </c>
      <c r="Z525" t="s">
        <v>392</v>
      </c>
      <c r="AA525">
        <v>9937</v>
      </c>
      <c r="AB525" t="s">
        <v>916</v>
      </c>
      <c r="AC525" t="str">
        <f>HYPERLINK("plots/20251231000436_3FT6Y121H01_04823_B11P_N_UFLEX98_M5358A8BH101511/dpll_52084/txpa_54219.png","plot")</f>
        <v>plot</v>
      </c>
    </row>
    <row r="526" spans="1:29" x14ac:dyDescent="0.35">
      <c r="A526" t="s">
        <v>46</v>
      </c>
      <c r="B526">
        <v>52084</v>
      </c>
      <c r="C526" t="s">
        <v>52</v>
      </c>
      <c r="D526">
        <v>54220</v>
      </c>
      <c r="E526" t="s">
        <v>240</v>
      </c>
      <c r="F526">
        <v>8666</v>
      </c>
      <c r="G526">
        <v>0.50025541818578345</v>
      </c>
      <c r="H526">
        <v>0</v>
      </c>
      <c r="I526">
        <v>0</v>
      </c>
      <c r="J526">
        <v>0.45155520895267071</v>
      </c>
      <c r="K526">
        <v>0</v>
      </c>
      <c r="L526">
        <v>0</v>
      </c>
      <c r="M526">
        <v>0.32027340370686852</v>
      </c>
      <c r="N526">
        <v>0</v>
      </c>
      <c r="O526">
        <v>0</v>
      </c>
      <c r="P526">
        <v>0.25025548342423309</v>
      </c>
      <c r="Q526">
        <v>1.392777751150537</v>
      </c>
      <c r="R526">
        <v>4.0438154063546916</v>
      </c>
      <c r="S526">
        <v>0.29384154650147393</v>
      </c>
      <c r="T526">
        <v>0.20048522284119741</v>
      </c>
      <c r="U526">
        <v>4.3186940792753292</v>
      </c>
      <c r="V526">
        <v>0.1218965997574785</v>
      </c>
      <c r="W526">
        <v>10.058796433994919</v>
      </c>
      <c r="X526">
        <v>0.33937637836851448</v>
      </c>
      <c r="Z526" t="s">
        <v>392</v>
      </c>
      <c r="AA526">
        <v>9937</v>
      </c>
      <c r="AB526" t="s">
        <v>917</v>
      </c>
      <c r="AC526" t="str">
        <f>HYPERLINK("plots/20251231000436_3FT6Y121H01_04823_B11P_N_UFLEX98_M5358A8BH101511/dpll_52084/txpa_54220.png","plot")</f>
        <v>plot</v>
      </c>
    </row>
    <row r="527" spans="1:29" x14ac:dyDescent="0.35">
      <c r="A527" t="s">
        <v>46</v>
      </c>
      <c r="B527">
        <v>52084</v>
      </c>
      <c r="C527" t="s">
        <v>52</v>
      </c>
      <c r="D527">
        <v>54221</v>
      </c>
      <c r="E527" t="s">
        <v>241</v>
      </c>
      <c r="F527">
        <v>8588</v>
      </c>
      <c r="G527">
        <v>0.42968280665813702</v>
      </c>
      <c r="H527">
        <v>0</v>
      </c>
      <c r="I527">
        <v>0</v>
      </c>
      <c r="J527">
        <v>0.44870561477435661</v>
      </c>
      <c r="K527">
        <v>0</v>
      </c>
      <c r="L527">
        <v>0</v>
      </c>
      <c r="M527">
        <v>0.32025641426620499</v>
      </c>
      <c r="N527">
        <v>0</v>
      </c>
      <c r="O527">
        <v>0</v>
      </c>
      <c r="P527">
        <v>0.18462731433761401</v>
      </c>
      <c r="Q527">
        <v>1.1933125225936141</v>
      </c>
      <c r="R527">
        <v>4.9842808867415878</v>
      </c>
      <c r="S527">
        <v>0.29107470669908098</v>
      </c>
      <c r="T527">
        <v>0.1943577834427479</v>
      </c>
      <c r="U527">
        <v>4.3223500667210057</v>
      </c>
      <c r="V527">
        <v>0.1160768071039129</v>
      </c>
      <c r="W527">
        <v>10.142195348393111</v>
      </c>
      <c r="X527">
        <v>0.32236781494026201</v>
      </c>
      <c r="Z527" t="s">
        <v>392</v>
      </c>
      <c r="AA527">
        <v>9937</v>
      </c>
      <c r="AB527" t="s">
        <v>918</v>
      </c>
      <c r="AC527" t="str">
        <f>HYPERLINK("plots/20251231000436_3FT6Y121H01_04823_B11P_N_UFLEX98_M5358A8BH101511/dpll_52084/txpa_54221.png","plot")</f>
        <v>plot</v>
      </c>
    </row>
    <row r="528" spans="1:29" x14ac:dyDescent="0.35">
      <c r="A528" t="s">
        <v>46</v>
      </c>
      <c r="B528">
        <v>52084</v>
      </c>
      <c r="C528" t="s">
        <v>52</v>
      </c>
      <c r="D528">
        <v>54222</v>
      </c>
      <c r="E528" t="s">
        <v>242</v>
      </c>
      <c r="F528">
        <v>8649</v>
      </c>
      <c r="G528">
        <v>0.50418509078413376</v>
      </c>
      <c r="H528">
        <v>0</v>
      </c>
      <c r="I528">
        <v>0</v>
      </c>
      <c r="J528">
        <v>0.46017601107247219</v>
      </c>
      <c r="K528">
        <v>0</v>
      </c>
      <c r="L528">
        <v>0</v>
      </c>
      <c r="M528">
        <v>0.32846386695426327</v>
      </c>
      <c r="N528">
        <v>0</v>
      </c>
      <c r="O528">
        <v>0</v>
      </c>
      <c r="P528">
        <v>0.25420260576900522</v>
      </c>
      <c r="Q528">
        <v>1.381095885285343</v>
      </c>
      <c r="R528">
        <v>4.0593301962838666</v>
      </c>
      <c r="S528">
        <v>0.28452697982432362</v>
      </c>
      <c r="T528">
        <v>0.1936773255897116</v>
      </c>
      <c r="U528">
        <v>4.3196766747600881</v>
      </c>
      <c r="V528">
        <v>0.12028301316562021</v>
      </c>
      <c r="W528">
        <v>10.0252178775581</v>
      </c>
      <c r="X528">
        <v>0.32948688406156351</v>
      </c>
      <c r="Z528" t="s">
        <v>392</v>
      </c>
      <c r="AA528">
        <v>9937</v>
      </c>
      <c r="AB528" t="s">
        <v>919</v>
      </c>
      <c r="AC528" t="str">
        <f>HYPERLINK("plots/20251231000436_3FT6Y121H01_04823_B11P_N_UFLEX98_M5358A8BH101511/dpll_52084/txpa_54222.png","plot")</f>
        <v>plot</v>
      </c>
    </row>
    <row r="529" spans="1:29" x14ac:dyDescent="0.35">
      <c r="A529" t="s">
        <v>46</v>
      </c>
      <c r="B529">
        <v>52084</v>
      </c>
      <c r="C529" t="s">
        <v>52</v>
      </c>
      <c r="D529">
        <v>54223</v>
      </c>
      <c r="E529" t="s">
        <v>243</v>
      </c>
      <c r="F529">
        <v>8586</v>
      </c>
      <c r="G529">
        <v>0.44894412912371479</v>
      </c>
      <c r="H529">
        <v>0</v>
      </c>
      <c r="I529">
        <v>0</v>
      </c>
      <c r="J529">
        <v>0.44889661422822769</v>
      </c>
      <c r="K529">
        <v>0</v>
      </c>
      <c r="L529">
        <v>0</v>
      </c>
      <c r="M529">
        <v>0.31998074175097108</v>
      </c>
      <c r="N529">
        <v>0</v>
      </c>
      <c r="O529">
        <v>0</v>
      </c>
      <c r="P529">
        <v>0.20155083107465069</v>
      </c>
      <c r="Q529">
        <v>1.1570258083027081</v>
      </c>
      <c r="R529">
        <v>5.1422833825256236</v>
      </c>
      <c r="S529">
        <v>0.2664600907876597</v>
      </c>
      <c r="T529">
        <v>0.17839385017350709</v>
      </c>
      <c r="U529">
        <v>4.3226598343815512</v>
      </c>
      <c r="V529">
        <v>0.1157132462516867</v>
      </c>
      <c r="W529">
        <v>10.143712371418591</v>
      </c>
      <c r="X529">
        <v>0.29821798212844902</v>
      </c>
      <c r="Z529" t="s">
        <v>392</v>
      </c>
      <c r="AA529">
        <v>9937</v>
      </c>
      <c r="AB529" t="s">
        <v>920</v>
      </c>
      <c r="AC529" t="str">
        <f>HYPERLINK("plots/20251231000436_3FT6Y121H01_04823_B11P_N_UFLEX98_M5358A8BH101511/dpll_52084/txpa_54223.png","plot")</f>
        <v>plot</v>
      </c>
    </row>
    <row r="530" spans="1:29" x14ac:dyDescent="0.35">
      <c r="A530" t="s">
        <v>46</v>
      </c>
      <c r="B530">
        <v>52084</v>
      </c>
      <c r="C530" t="s">
        <v>52</v>
      </c>
      <c r="D530">
        <v>54224</v>
      </c>
      <c r="E530" t="s">
        <v>244</v>
      </c>
      <c r="F530">
        <v>8619</v>
      </c>
      <c r="G530">
        <v>0.47721548062917563</v>
      </c>
      <c r="H530">
        <v>0</v>
      </c>
      <c r="I530">
        <v>0</v>
      </c>
      <c r="J530">
        <v>0.46530762812222809</v>
      </c>
      <c r="K530">
        <v>0</v>
      </c>
      <c r="L530">
        <v>0</v>
      </c>
      <c r="M530">
        <v>0.33489062039118872</v>
      </c>
      <c r="N530">
        <v>0</v>
      </c>
      <c r="O530">
        <v>0</v>
      </c>
      <c r="P530">
        <v>0.22773461495213509</v>
      </c>
      <c r="Q530">
        <v>1.2332003240755149</v>
      </c>
      <c r="R530">
        <v>4.7530124618272973</v>
      </c>
      <c r="S530">
        <v>0.26694286363404912</v>
      </c>
      <c r="T530">
        <v>0.17766313813704079</v>
      </c>
      <c r="U530">
        <v>4.3214619968673862</v>
      </c>
      <c r="V530">
        <v>0.1175550036596355</v>
      </c>
      <c r="W530">
        <v>10.082240796844181</v>
      </c>
      <c r="X530">
        <v>0.30378073322061838</v>
      </c>
      <c r="Z530" t="s">
        <v>392</v>
      </c>
      <c r="AA530">
        <v>9937</v>
      </c>
      <c r="AB530" t="s">
        <v>921</v>
      </c>
      <c r="AC530" t="str">
        <f>HYPERLINK("plots/20251231000436_3FT6Y121H01_04823_B11P_N_UFLEX98_M5358A8BH101511/dpll_52084/txpa_54224.png","plot")</f>
        <v>plot</v>
      </c>
    </row>
    <row r="531" spans="1:29" x14ac:dyDescent="0.35">
      <c r="A531" t="s">
        <v>46</v>
      </c>
      <c r="B531">
        <v>52084</v>
      </c>
      <c r="C531" t="s">
        <v>52</v>
      </c>
      <c r="D531">
        <v>54225</v>
      </c>
      <c r="E531" t="s">
        <v>245</v>
      </c>
      <c r="F531">
        <v>8594</v>
      </c>
      <c r="G531">
        <v>0.44006435958954088</v>
      </c>
      <c r="H531">
        <v>0</v>
      </c>
      <c r="I531">
        <v>0</v>
      </c>
      <c r="J531">
        <v>0.44014792202579339</v>
      </c>
      <c r="K531">
        <v>0</v>
      </c>
      <c r="L531">
        <v>0</v>
      </c>
      <c r="M531">
        <v>0.31229164322094333</v>
      </c>
      <c r="N531">
        <v>0</v>
      </c>
      <c r="O531">
        <v>0</v>
      </c>
      <c r="P531">
        <v>0.19365664058095269</v>
      </c>
      <c r="Q531">
        <v>1.151690191586842</v>
      </c>
      <c r="R531">
        <v>5.1779763944166506</v>
      </c>
      <c r="S531">
        <v>0.27241231234880631</v>
      </c>
      <c r="T531">
        <v>0.18415070687356519</v>
      </c>
      <c r="U531">
        <v>4.3225514507796126</v>
      </c>
      <c r="V531">
        <v>0.1159237771502791</v>
      </c>
      <c r="W531">
        <v>10.156216502909009</v>
      </c>
      <c r="X531">
        <v>0.30338352608287089</v>
      </c>
      <c r="Z531" t="s">
        <v>392</v>
      </c>
      <c r="AA531">
        <v>9937</v>
      </c>
      <c r="AB531" t="s">
        <v>922</v>
      </c>
      <c r="AC531" t="str">
        <f>HYPERLINK("plots/20251231000436_3FT6Y121H01_04823_B11P_N_UFLEX98_M5358A8BH101511/dpll_52084/txpa_54225.png","plot")</f>
        <v>plot</v>
      </c>
    </row>
    <row r="532" spans="1:29" x14ac:dyDescent="0.35">
      <c r="A532" t="s">
        <v>46</v>
      </c>
      <c r="B532">
        <v>52084</v>
      </c>
      <c r="C532" t="s">
        <v>52</v>
      </c>
      <c r="D532">
        <v>54226</v>
      </c>
      <c r="E532" t="s">
        <v>246</v>
      </c>
      <c r="F532">
        <v>8701</v>
      </c>
      <c r="G532">
        <v>0.49097321481360351</v>
      </c>
      <c r="H532">
        <v>0</v>
      </c>
      <c r="I532">
        <v>0</v>
      </c>
      <c r="J532">
        <v>0.38494688834945662</v>
      </c>
      <c r="K532">
        <v>2.428269269883468E-305</v>
      </c>
      <c r="L532">
        <v>5.0663889704976069E-305</v>
      </c>
      <c r="M532">
        <v>0.26720828055778539</v>
      </c>
      <c r="N532">
        <v>8.433726377457224E-306</v>
      </c>
      <c r="O532">
        <v>1.7560161286943789E-305</v>
      </c>
      <c r="P532">
        <v>0.24105469766440479</v>
      </c>
      <c r="Q532">
        <v>1.28328524508932</v>
      </c>
      <c r="R532">
        <v>4.3433979710910817</v>
      </c>
      <c r="S532">
        <v>0.28217047784542931</v>
      </c>
      <c r="T532">
        <v>0.20016294300775561</v>
      </c>
      <c r="U532">
        <v>4.3175214271922773</v>
      </c>
      <c r="V532">
        <v>0.12392698727134401</v>
      </c>
      <c r="W532">
        <v>9.8840095139639139</v>
      </c>
      <c r="X532">
        <v>0.32391517385335239</v>
      </c>
      <c r="Z532" t="s">
        <v>392</v>
      </c>
      <c r="AA532">
        <v>9937</v>
      </c>
      <c r="AB532" t="s">
        <v>923</v>
      </c>
      <c r="AC532" t="str">
        <f>HYPERLINK("plots/20251231000436_3FT6Y121H01_04823_B11P_N_UFLEX98_M5358A8BH101511/dpll_52084/txpa_54226.png","plot")</f>
        <v>plot</v>
      </c>
    </row>
    <row r="533" spans="1:29" x14ac:dyDescent="0.35">
      <c r="A533" t="s">
        <v>46</v>
      </c>
      <c r="B533">
        <v>52084</v>
      </c>
      <c r="C533" t="s">
        <v>52</v>
      </c>
      <c r="D533">
        <v>54227</v>
      </c>
      <c r="E533" t="s">
        <v>247</v>
      </c>
      <c r="F533">
        <v>8690</v>
      </c>
      <c r="G533">
        <v>0.47728842277747752</v>
      </c>
      <c r="H533">
        <v>0</v>
      </c>
      <c r="I533">
        <v>0</v>
      </c>
      <c r="J533">
        <v>0.40867486258007008</v>
      </c>
      <c r="K533">
        <v>0</v>
      </c>
      <c r="L533">
        <v>0</v>
      </c>
      <c r="M533">
        <v>0.28577150322240602</v>
      </c>
      <c r="N533">
        <v>0</v>
      </c>
      <c r="O533">
        <v>0</v>
      </c>
      <c r="P533">
        <v>0.22780423851741211</v>
      </c>
      <c r="Q533">
        <v>1.341307106993022</v>
      </c>
      <c r="R533">
        <v>4.514782852075494</v>
      </c>
      <c r="S533">
        <v>0.30550298686177552</v>
      </c>
      <c r="T533">
        <v>0.20733989357020099</v>
      </c>
      <c r="U533">
        <v>4.317586539355581</v>
      </c>
      <c r="V533">
        <v>0.1237170107173524</v>
      </c>
      <c r="W533">
        <v>10.305992362370541</v>
      </c>
      <c r="X533">
        <v>0.34767762596345791</v>
      </c>
      <c r="Z533" t="s">
        <v>392</v>
      </c>
      <c r="AA533">
        <v>9937</v>
      </c>
      <c r="AB533" t="s">
        <v>924</v>
      </c>
      <c r="AC533" t="str">
        <f>HYPERLINK("plots/20251231000436_3FT6Y121H01_04823_B11P_N_UFLEX98_M5358A8BH101511/dpll_52084/txpa_54227.png","plot")</f>
        <v>plot</v>
      </c>
    </row>
    <row r="534" spans="1:29" x14ac:dyDescent="0.35">
      <c r="A534" t="s">
        <v>46</v>
      </c>
      <c r="B534">
        <v>52084</v>
      </c>
      <c r="C534" t="s">
        <v>52</v>
      </c>
      <c r="D534">
        <v>54228</v>
      </c>
      <c r="E534" t="s">
        <v>248</v>
      </c>
      <c r="F534">
        <v>8649</v>
      </c>
      <c r="G534">
        <v>0.48815711119932298</v>
      </c>
      <c r="H534">
        <v>0</v>
      </c>
      <c r="I534">
        <v>0</v>
      </c>
      <c r="J534">
        <v>0.45942842004629558</v>
      </c>
      <c r="K534">
        <v>0</v>
      </c>
      <c r="L534">
        <v>0</v>
      </c>
      <c r="M534">
        <v>0.32811952068461442</v>
      </c>
      <c r="N534">
        <v>0</v>
      </c>
      <c r="O534">
        <v>0</v>
      </c>
      <c r="P534">
        <v>0.2382973652144682</v>
      </c>
      <c r="Q534">
        <v>1.402222845252181</v>
      </c>
      <c r="R534">
        <v>4.3773791799216983</v>
      </c>
      <c r="S534">
        <v>0.30232386815476958</v>
      </c>
      <c r="T534">
        <v>0.20291993499105501</v>
      </c>
      <c r="U534">
        <v>4.3194825886229626</v>
      </c>
      <c r="V534">
        <v>0.12060002465865489</v>
      </c>
      <c r="W534">
        <v>10.43425634535784</v>
      </c>
      <c r="X534">
        <v>0.34642148159814973</v>
      </c>
      <c r="Z534" t="s">
        <v>392</v>
      </c>
      <c r="AA534">
        <v>9937</v>
      </c>
      <c r="AB534" t="s">
        <v>925</v>
      </c>
      <c r="AC534" t="str">
        <f>HYPERLINK("plots/20251231000436_3FT6Y121H01_04823_B11P_N_UFLEX98_M5358A8BH101511/dpll_52084/txpa_54228.png","plot")</f>
        <v>plot</v>
      </c>
    </row>
    <row r="535" spans="1:29" x14ac:dyDescent="0.35">
      <c r="A535" t="s">
        <v>46</v>
      </c>
      <c r="B535">
        <v>52084</v>
      </c>
      <c r="C535" t="s">
        <v>52</v>
      </c>
      <c r="D535">
        <v>54229</v>
      </c>
      <c r="E535" t="s">
        <v>249</v>
      </c>
      <c r="F535">
        <v>8591</v>
      </c>
      <c r="G535">
        <v>0.42918768297424231</v>
      </c>
      <c r="H535">
        <v>0</v>
      </c>
      <c r="I535">
        <v>0</v>
      </c>
      <c r="J535">
        <v>0.45205590025892262</v>
      </c>
      <c r="K535">
        <v>0</v>
      </c>
      <c r="L535">
        <v>0</v>
      </c>
      <c r="M535">
        <v>0.32384931425856489</v>
      </c>
      <c r="N535">
        <v>0</v>
      </c>
      <c r="O535">
        <v>0</v>
      </c>
      <c r="P535">
        <v>0.18420206721679869</v>
      </c>
      <c r="Q535">
        <v>1.2547667370949731</v>
      </c>
      <c r="R535">
        <v>5.0570133111471227</v>
      </c>
      <c r="S535">
        <v>0.30681957979817032</v>
      </c>
      <c r="T535">
        <v>0.2038832007513606</v>
      </c>
      <c r="U535">
        <v>4.3222813431498066</v>
      </c>
      <c r="V535">
        <v>0.11619870839788</v>
      </c>
      <c r="W535">
        <v>10.48046816889768</v>
      </c>
      <c r="X535">
        <v>0.33971681848057222</v>
      </c>
      <c r="Z535" t="s">
        <v>392</v>
      </c>
      <c r="AA535">
        <v>9937</v>
      </c>
      <c r="AB535" t="s">
        <v>926</v>
      </c>
      <c r="AC535" t="str">
        <f>HYPERLINK("plots/20251231000436_3FT6Y121H01_04823_B11P_N_UFLEX98_M5358A8BH101511/dpll_52084/txpa_54229.png","plot")</f>
        <v>plot</v>
      </c>
    </row>
    <row r="536" spans="1:29" x14ac:dyDescent="0.35">
      <c r="A536" t="s">
        <v>46</v>
      </c>
      <c r="B536">
        <v>52084</v>
      </c>
      <c r="C536" t="s">
        <v>52</v>
      </c>
      <c r="D536">
        <v>54230</v>
      </c>
      <c r="E536" t="s">
        <v>250</v>
      </c>
      <c r="F536">
        <v>8622</v>
      </c>
      <c r="G536">
        <v>0.48226221410223402</v>
      </c>
      <c r="H536">
        <v>0</v>
      </c>
      <c r="I536">
        <v>0</v>
      </c>
      <c r="J536">
        <v>0.46441142088910381</v>
      </c>
      <c r="K536">
        <v>0</v>
      </c>
      <c r="L536">
        <v>0</v>
      </c>
      <c r="M536">
        <v>0.33348625661513598</v>
      </c>
      <c r="N536">
        <v>0</v>
      </c>
      <c r="O536">
        <v>0</v>
      </c>
      <c r="P536">
        <v>0.232576843150789</v>
      </c>
      <c r="Q536">
        <v>1.3511057452970141</v>
      </c>
      <c r="R536">
        <v>4.5630282339169677</v>
      </c>
      <c r="S536">
        <v>0.29058411857973232</v>
      </c>
      <c r="T536">
        <v>0.19519259396992841</v>
      </c>
      <c r="U536">
        <v>4.3208722352122484</v>
      </c>
      <c r="V536">
        <v>0.1184059445711656</v>
      </c>
      <c r="W536">
        <v>10.40098353560659</v>
      </c>
      <c r="X536">
        <v>0.33172607620780298</v>
      </c>
      <c r="Z536" t="s">
        <v>392</v>
      </c>
      <c r="AA536">
        <v>9937</v>
      </c>
      <c r="AB536" t="s">
        <v>927</v>
      </c>
      <c r="AC536" t="str">
        <f>HYPERLINK("plots/20251231000436_3FT6Y121H01_04823_B11P_N_UFLEX98_M5358A8BH101511/dpll_52084/txpa_54230.png","plot")</f>
        <v>plot</v>
      </c>
    </row>
    <row r="537" spans="1:29" x14ac:dyDescent="0.35">
      <c r="A537" t="s">
        <v>46</v>
      </c>
      <c r="B537">
        <v>52084</v>
      </c>
      <c r="C537" t="s">
        <v>52</v>
      </c>
      <c r="D537">
        <v>54231</v>
      </c>
      <c r="E537" t="s">
        <v>251</v>
      </c>
      <c r="F537">
        <v>8579</v>
      </c>
      <c r="G537">
        <v>0.44029872866091502</v>
      </c>
      <c r="H537">
        <v>0</v>
      </c>
      <c r="I537">
        <v>0</v>
      </c>
      <c r="J537">
        <v>0.45497022815228622</v>
      </c>
      <c r="K537">
        <v>0</v>
      </c>
      <c r="L537">
        <v>0</v>
      </c>
      <c r="M537">
        <v>0.32638682356798793</v>
      </c>
      <c r="N537">
        <v>0</v>
      </c>
      <c r="O537">
        <v>0</v>
      </c>
      <c r="P537">
        <v>0.19386297046041809</v>
      </c>
      <c r="Q537">
        <v>1.184065888798822</v>
      </c>
      <c r="R537">
        <v>5.3831121872811627</v>
      </c>
      <c r="S537">
        <v>0.27826979326798418</v>
      </c>
      <c r="T537">
        <v>0.18483977146331579</v>
      </c>
      <c r="U537">
        <v>4.3229653273108752</v>
      </c>
      <c r="V537">
        <v>0.1152546628186543</v>
      </c>
      <c r="W537">
        <v>10.50178796981</v>
      </c>
      <c r="X537">
        <v>0.30994664732197469</v>
      </c>
      <c r="Z537" t="s">
        <v>392</v>
      </c>
      <c r="AA537">
        <v>9937</v>
      </c>
      <c r="AB537" t="s">
        <v>928</v>
      </c>
      <c r="AC537" t="str">
        <f>HYPERLINK("plots/20251231000436_3FT6Y121H01_04823_B11P_N_UFLEX98_M5358A8BH101511/dpll_52084/txpa_54231.png","plot")</f>
        <v>plot</v>
      </c>
    </row>
    <row r="538" spans="1:29" x14ac:dyDescent="0.35">
      <c r="A538" t="s">
        <v>46</v>
      </c>
      <c r="B538">
        <v>52084</v>
      </c>
      <c r="C538" t="s">
        <v>52</v>
      </c>
      <c r="D538">
        <v>54232</v>
      </c>
      <c r="E538" t="s">
        <v>252</v>
      </c>
      <c r="F538">
        <v>8617</v>
      </c>
      <c r="G538">
        <v>0.47270636298878282</v>
      </c>
      <c r="H538">
        <v>0</v>
      </c>
      <c r="I538">
        <v>0</v>
      </c>
      <c r="J538">
        <v>0.46945740103058042</v>
      </c>
      <c r="K538">
        <v>0</v>
      </c>
      <c r="L538">
        <v>0</v>
      </c>
      <c r="M538">
        <v>0.33960627811329158</v>
      </c>
      <c r="N538">
        <v>0</v>
      </c>
      <c r="O538">
        <v>0</v>
      </c>
      <c r="P538">
        <v>0.22345130561008289</v>
      </c>
      <c r="Q538">
        <v>1.284281184544295</v>
      </c>
      <c r="R538">
        <v>4.8926786329092424</v>
      </c>
      <c r="S538">
        <v>0.28122167547358029</v>
      </c>
      <c r="T538">
        <v>0.18590170814432999</v>
      </c>
      <c r="U538">
        <v>4.3215358187304176</v>
      </c>
      <c r="V538">
        <v>0.1174683785514187</v>
      </c>
      <c r="W538">
        <v>10.44274577323894</v>
      </c>
      <c r="X538">
        <v>0.31914617649454741</v>
      </c>
      <c r="Z538" t="s">
        <v>392</v>
      </c>
      <c r="AA538">
        <v>9937</v>
      </c>
      <c r="AB538" t="s">
        <v>929</v>
      </c>
      <c r="AC538" t="str">
        <f>HYPERLINK("plots/20251231000436_3FT6Y121H01_04823_B11P_N_UFLEX98_M5358A8BH101511/dpll_52084/txpa_54232.png","plot")</f>
        <v>plot</v>
      </c>
    </row>
    <row r="539" spans="1:29" x14ac:dyDescent="0.35">
      <c r="A539" t="s">
        <v>46</v>
      </c>
      <c r="B539">
        <v>52084</v>
      </c>
      <c r="C539" t="s">
        <v>52</v>
      </c>
      <c r="D539">
        <v>54233</v>
      </c>
      <c r="E539" t="s">
        <v>253</v>
      </c>
      <c r="F539">
        <v>8598</v>
      </c>
      <c r="G539">
        <v>0.44272140783272901</v>
      </c>
      <c r="H539">
        <v>0</v>
      </c>
      <c r="I539">
        <v>0</v>
      </c>
      <c r="J539">
        <v>0.44565806794853852</v>
      </c>
      <c r="K539">
        <v>0</v>
      </c>
      <c r="L539">
        <v>0</v>
      </c>
      <c r="M539">
        <v>0.31760713287018172</v>
      </c>
      <c r="N539">
        <v>0</v>
      </c>
      <c r="O539">
        <v>0</v>
      </c>
      <c r="P539">
        <v>0.1960022449533935</v>
      </c>
      <c r="Q539">
        <v>1.2253334617804339</v>
      </c>
      <c r="R539">
        <v>5.2028937973533784</v>
      </c>
      <c r="S539">
        <v>0.28842551466819211</v>
      </c>
      <c r="T539">
        <v>0.19379341954480139</v>
      </c>
      <c r="U539">
        <v>4.3223663853221694</v>
      </c>
      <c r="V539">
        <v>0.1162271917296117</v>
      </c>
      <c r="W539">
        <v>10.499233963363571</v>
      </c>
      <c r="X539">
        <v>0.32168552203572681</v>
      </c>
      <c r="Z539" t="s">
        <v>392</v>
      </c>
      <c r="AA539">
        <v>9937</v>
      </c>
      <c r="AB539" t="s">
        <v>930</v>
      </c>
      <c r="AC539" t="str">
        <f>HYPERLINK("plots/20251231000436_3FT6Y121H01_04823_B11P_N_UFLEX98_M5358A8BH101511/dpll_52084/txpa_54233.png","plot")</f>
        <v>plot</v>
      </c>
    </row>
    <row r="540" spans="1:29" x14ac:dyDescent="0.35">
      <c r="A540" t="s">
        <v>46</v>
      </c>
      <c r="B540">
        <v>52084</v>
      </c>
      <c r="C540" t="s">
        <v>52</v>
      </c>
      <c r="D540">
        <v>54234</v>
      </c>
      <c r="E540" t="s">
        <v>254</v>
      </c>
      <c r="F540">
        <v>8695</v>
      </c>
      <c r="G540">
        <v>0.49586165279130079</v>
      </c>
      <c r="H540">
        <v>0</v>
      </c>
      <c r="I540">
        <v>0</v>
      </c>
      <c r="J540">
        <v>0.39687578575618021</v>
      </c>
      <c r="K540">
        <v>0</v>
      </c>
      <c r="L540">
        <v>0</v>
      </c>
      <c r="M540">
        <v>0.27605839998980231</v>
      </c>
      <c r="N540">
        <v>0</v>
      </c>
      <c r="O540">
        <v>0</v>
      </c>
      <c r="P540">
        <v>0.24587877870892061</v>
      </c>
      <c r="Q540">
        <v>1.3267497836693209</v>
      </c>
      <c r="R540">
        <v>4.5574102454914351</v>
      </c>
      <c r="S540">
        <v>0.28716222987895318</v>
      </c>
      <c r="T540">
        <v>0.20204689405010939</v>
      </c>
      <c r="U540">
        <v>4.3177731331799878</v>
      </c>
      <c r="V540">
        <v>0.1235956566949445</v>
      </c>
      <c r="W540">
        <v>10.286014815871191</v>
      </c>
      <c r="X540">
        <v>0.33069810875555178</v>
      </c>
      <c r="Z540" t="s">
        <v>392</v>
      </c>
      <c r="AA540">
        <v>9937</v>
      </c>
      <c r="AB540" t="s">
        <v>931</v>
      </c>
      <c r="AC540" t="str">
        <f>HYPERLINK("plots/20251231000436_3FT6Y121H01_04823_B11P_N_UFLEX98_M5358A8BH101511/dpll_52084/txpa_54234.png","plot")</f>
        <v>plot</v>
      </c>
    </row>
    <row r="541" spans="1:29" x14ac:dyDescent="0.35">
      <c r="A541" t="s">
        <v>46</v>
      </c>
      <c r="B541">
        <v>52084</v>
      </c>
      <c r="C541" t="s">
        <v>52</v>
      </c>
      <c r="D541">
        <v>54235</v>
      </c>
      <c r="E541" t="s">
        <v>255</v>
      </c>
      <c r="F541">
        <v>8680</v>
      </c>
      <c r="G541">
        <v>0.48296370194283689</v>
      </c>
      <c r="H541">
        <v>0</v>
      </c>
      <c r="I541">
        <v>0</v>
      </c>
      <c r="J541">
        <v>0.42294649170118098</v>
      </c>
      <c r="K541">
        <v>0</v>
      </c>
      <c r="L541">
        <v>0</v>
      </c>
      <c r="M541">
        <v>0.29708772993768712</v>
      </c>
      <c r="N541">
        <v>0</v>
      </c>
      <c r="O541">
        <v>0</v>
      </c>
      <c r="P541">
        <v>0.2332539373943294</v>
      </c>
      <c r="Q541">
        <v>1.3996780491950751</v>
      </c>
      <c r="R541">
        <v>4.6290241279174209</v>
      </c>
      <c r="S541">
        <v>0.31288369975715868</v>
      </c>
      <c r="T541">
        <v>0.2111909790573821</v>
      </c>
      <c r="U541">
        <v>4.3178516698156679</v>
      </c>
      <c r="V541">
        <v>0.12330154531848241</v>
      </c>
      <c r="W541">
        <v>10.67262632983871</v>
      </c>
      <c r="X541">
        <v>0.3573404496442637</v>
      </c>
      <c r="Z541" t="s">
        <v>392</v>
      </c>
      <c r="AA541">
        <v>9937</v>
      </c>
      <c r="AB541" t="s">
        <v>932</v>
      </c>
      <c r="AC541" t="str">
        <f>HYPERLINK("plots/20251231000436_3FT6Y121H01_04823_B11P_N_UFLEX98_M5358A8BH101511/dpll_52084/txpa_54235.png","plot")</f>
        <v>plot</v>
      </c>
    </row>
    <row r="542" spans="1:29" x14ac:dyDescent="0.35">
      <c r="A542" t="s">
        <v>46</v>
      </c>
      <c r="B542">
        <v>52084</v>
      </c>
      <c r="C542" t="s">
        <v>52</v>
      </c>
      <c r="D542">
        <v>54236</v>
      </c>
      <c r="E542" t="s">
        <v>256</v>
      </c>
      <c r="F542">
        <v>8634</v>
      </c>
      <c r="G542">
        <v>0.47436908731317101</v>
      </c>
      <c r="H542">
        <v>0</v>
      </c>
      <c r="I542">
        <v>0</v>
      </c>
      <c r="J542">
        <v>0.46481331455756292</v>
      </c>
      <c r="K542">
        <v>0</v>
      </c>
      <c r="L542">
        <v>0</v>
      </c>
      <c r="M542">
        <v>0.33392488410780619</v>
      </c>
      <c r="N542">
        <v>0</v>
      </c>
      <c r="O542">
        <v>0</v>
      </c>
      <c r="P542">
        <v>0.22502603099833079</v>
      </c>
      <c r="Q542">
        <v>1.4112367354151629</v>
      </c>
      <c r="R542">
        <v>4.6798289969617084</v>
      </c>
      <c r="S542">
        <v>0.31249540903738221</v>
      </c>
      <c r="T542">
        <v>0.20721927315242311</v>
      </c>
      <c r="U542">
        <v>4.3202304211257818</v>
      </c>
      <c r="V542">
        <v>0.1193278299440646</v>
      </c>
      <c r="W542">
        <v>10.776696872712529</v>
      </c>
      <c r="X542">
        <v>0.35499745172741992</v>
      </c>
      <c r="Z542" t="s">
        <v>392</v>
      </c>
      <c r="AA542">
        <v>9937</v>
      </c>
      <c r="AB542" t="s">
        <v>933</v>
      </c>
      <c r="AC542" t="str">
        <f>HYPERLINK("plots/20251231000436_3FT6Y121H01_04823_B11P_N_UFLEX98_M5358A8BH101511/dpll_52084/txpa_54236.png","plot")</f>
        <v>plot</v>
      </c>
    </row>
    <row r="543" spans="1:29" x14ac:dyDescent="0.35">
      <c r="A543" t="s">
        <v>46</v>
      </c>
      <c r="B543">
        <v>52084</v>
      </c>
      <c r="C543" t="s">
        <v>52</v>
      </c>
      <c r="D543">
        <v>54237</v>
      </c>
      <c r="E543" t="s">
        <v>257</v>
      </c>
      <c r="F543">
        <v>8598</v>
      </c>
      <c r="G543">
        <v>0.43516625115473212</v>
      </c>
      <c r="H543">
        <v>0</v>
      </c>
      <c r="I543">
        <v>0</v>
      </c>
      <c r="J543">
        <v>0.45190037211266071</v>
      </c>
      <c r="K543">
        <v>0</v>
      </c>
      <c r="L543">
        <v>0</v>
      </c>
      <c r="M543">
        <v>0.32400237729506909</v>
      </c>
      <c r="N543">
        <v>0</v>
      </c>
      <c r="O543">
        <v>0</v>
      </c>
      <c r="P543">
        <v>0.18936966614406339</v>
      </c>
      <c r="Q543">
        <v>1.3426953955070311</v>
      </c>
      <c r="R543">
        <v>4.9798438966406016</v>
      </c>
      <c r="S543">
        <v>0.32429756904927071</v>
      </c>
      <c r="T543">
        <v>0.2160598292226156</v>
      </c>
      <c r="U543">
        <v>4.3219462327285418</v>
      </c>
      <c r="V543">
        <v>0.11674417805940369</v>
      </c>
      <c r="W543">
        <v>10.78290120295418</v>
      </c>
      <c r="X543">
        <v>0.36021145922200248</v>
      </c>
      <c r="Z543" t="s">
        <v>392</v>
      </c>
      <c r="AA543">
        <v>9937</v>
      </c>
      <c r="AB543" t="s">
        <v>934</v>
      </c>
      <c r="AC543" t="str">
        <f>HYPERLINK("plots/20251231000436_3FT6Y121H01_04823_B11P_N_UFLEX98_M5358A8BH101511/dpll_52084/txpa_54237.png","plot")</f>
        <v>plot</v>
      </c>
    </row>
    <row r="544" spans="1:29" x14ac:dyDescent="0.35">
      <c r="A544" t="s">
        <v>46</v>
      </c>
      <c r="B544">
        <v>52084</v>
      </c>
      <c r="C544" t="s">
        <v>52</v>
      </c>
      <c r="D544">
        <v>54238</v>
      </c>
      <c r="E544" t="s">
        <v>258</v>
      </c>
      <c r="F544">
        <v>8613</v>
      </c>
      <c r="G544">
        <v>0.47272266360886178</v>
      </c>
      <c r="H544">
        <v>0</v>
      </c>
      <c r="I544">
        <v>0</v>
      </c>
      <c r="J544">
        <v>0.4694870978926674</v>
      </c>
      <c r="K544">
        <v>0</v>
      </c>
      <c r="L544">
        <v>0</v>
      </c>
      <c r="M544">
        <v>0.33891348116865783</v>
      </c>
      <c r="N544">
        <v>0</v>
      </c>
      <c r="O544">
        <v>0</v>
      </c>
      <c r="P544">
        <v>0.22346671668945711</v>
      </c>
      <c r="Q544">
        <v>1.375137370569306</v>
      </c>
      <c r="R544">
        <v>4.7979008484746606</v>
      </c>
      <c r="S544">
        <v>0.30161309306007278</v>
      </c>
      <c r="T544">
        <v>0.2006071349583847</v>
      </c>
      <c r="U544">
        <v>4.3213159243004764</v>
      </c>
      <c r="V544">
        <v>0.1176672775701841</v>
      </c>
      <c r="W544">
        <v>10.74030386601649</v>
      </c>
      <c r="X544">
        <v>0.34229090994840611</v>
      </c>
      <c r="Z544" t="s">
        <v>392</v>
      </c>
      <c r="AA544">
        <v>9937</v>
      </c>
      <c r="AB544" t="s">
        <v>935</v>
      </c>
      <c r="AC544" t="str">
        <f>HYPERLINK("plots/20251231000436_3FT6Y121H01_04823_B11P_N_UFLEX98_M5358A8BH101511/dpll_52084/txpa_54238.png","plot")</f>
        <v>plot</v>
      </c>
    </row>
    <row r="545" spans="1:29" x14ac:dyDescent="0.35">
      <c r="A545" t="s">
        <v>46</v>
      </c>
      <c r="B545">
        <v>52084</v>
      </c>
      <c r="C545" t="s">
        <v>52</v>
      </c>
      <c r="D545">
        <v>54239</v>
      </c>
      <c r="E545" t="s">
        <v>259</v>
      </c>
      <c r="F545">
        <v>8576</v>
      </c>
      <c r="G545">
        <v>0.43700610616883401</v>
      </c>
      <c r="H545">
        <v>0</v>
      </c>
      <c r="I545">
        <v>0</v>
      </c>
      <c r="J545">
        <v>0.4585899882181983</v>
      </c>
      <c r="K545">
        <v>0</v>
      </c>
      <c r="L545">
        <v>0</v>
      </c>
      <c r="M545">
        <v>0.33022546300843891</v>
      </c>
      <c r="N545">
        <v>0</v>
      </c>
      <c r="O545">
        <v>0</v>
      </c>
      <c r="P545">
        <v>0.19097433682884621</v>
      </c>
      <c r="Q545">
        <v>1.2308002077882489</v>
      </c>
      <c r="R545">
        <v>5.5042021132312282</v>
      </c>
      <c r="S545">
        <v>0.29160579997561642</v>
      </c>
      <c r="T545">
        <v>0.19344561617948039</v>
      </c>
      <c r="U545">
        <v>4.3230439277052239</v>
      </c>
      <c r="V545">
        <v>0.1151172151650449</v>
      </c>
      <c r="W545">
        <v>10.825005477728549</v>
      </c>
      <c r="X545">
        <v>0.32422039496720989</v>
      </c>
      <c r="Z545" t="s">
        <v>392</v>
      </c>
      <c r="AA545">
        <v>9937</v>
      </c>
      <c r="AB545" t="s">
        <v>936</v>
      </c>
      <c r="AC545" t="str">
        <f>HYPERLINK("plots/20251231000436_3FT6Y121H01_04823_B11P_N_UFLEX98_M5358A8BH101511/dpll_52084/txpa_54239.png","plot")</f>
        <v>plot</v>
      </c>
    </row>
    <row r="546" spans="1:29" x14ac:dyDescent="0.35">
      <c r="A546" t="s">
        <v>46</v>
      </c>
      <c r="B546">
        <v>52084</v>
      </c>
      <c r="C546" t="s">
        <v>52</v>
      </c>
      <c r="D546">
        <v>54240</v>
      </c>
      <c r="E546" t="s">
        <v>260</v>
      </c>
      <c r="F546">
        <v>8624</v>
      </c>
      <c r="G546">
        <v>0.47631193927559617</v>
      </c>
      <c r="H546">
        <v>0</v>
      </c>
      <c r="I546">
        <v>0</v>
      </c>
      <c r="J546">
        <v>0.47182781296010667</v>
      </c>
      <c r="K546">
        <v>0</v>
      </c>
      <c r="L546">
        <v>0</v>
      </c>
      <c r="M546">
        <v>0.34216061557860672</v>
      </c>
      <c r="N546">
        <v>0</v>
      </c>
      <c r="O546">
        <v>0</v>
      </c>
      <c r="P546">
        <v>0.22687306349647929</v>
      </c>
      <c r="Q546">
        <v>1.3710915982142149</v>
      </c>
      <c r="R546">
        <v>4.8431661020035914</v>
      </c>
      <c r="S546">
        <v>0.29861036782543032</v>
      </c>
      <c r="T546">
        <v>0.19709596282709599</v>
      </c>
      <c r="U546">
        <v>4.3212082082560297</v>
      </c>
      <c r="V546">
        <v>0.117985777579802</v>
      </c>
      <c r="W546">
        <v>10.76793837047774</v>
      </c>
      <c r="X546">
        <v>0.33962891754186592</v>
      </c>
      <c r="Z546" t="s">
        <v>392</v>
      </c>
      <c r="AA546">
        <v>9937</v>
      </c>
      <c r="AB546" t="s">
        <v>937</v>
      </c>
      <c r="AC546" t="str">
        <f>HYPERLINK("plots/20251231000436_3FT6Y121H01_04823_B11P_N_UFLEX98_M5358A8BH101511/dpll_52084/txpa_54240.png","plot")</f>
        <v>plot</v>
      </c>
    </row>
    <row r="547" spans="1:29" x14ac:dyDescent="0.35">
      <c r="A547" t="s">
        <v>46</v>
      </c>
      <c r="B547">
        <v>52084</v>
      </c>
      <c r="C547" t="s">
        <v>52</v>
      </c>
      <c r="D547">
        <v>54241</v>
      </c>
      <c r="E547" t="s">
        <v>261</v>
      </c>
      <c r="F547">
        <v>8608</v>
      </c>
      <c r="G547">
        <v>0.45113551882821579</v>
      </c>
      <c r="H547">
        <v>0</v>
      </c>
      <c r="I547">
        <v>0</v>
      </c>
      <c r="J547">
        <v>0.44750371959460938</v>
      </c>
      <c r="K547">
        <v>0</v>
      </c>
      <c r="L547">
        <v>0</v>
      </c>
      <c r="M547">
        <v>0.31947207768003688</v>
      </c>
      <c r="N547">
        <v>0</v>
      </c>
      <c r="O547">
        <v>0</v>
      </c>
      <c r="P547">
        <v>0.2035232563484034</v>
      </c>
      <c r="Q547">
        <v>1.32720829010363</v>
      </c>
      <c r="R547">
        <v>5.0702044831581183</v>
      </c>
      <c r="S547">
        <v>0.30713813754708758</v>
      </c>
      <c r="T547">
        <v>0.20659432650523721</v>
      </c>
      <c r="U547">
        <v>4.3218959946561339</v>
      </c>
      <c r="V547">
        <v>0.1169877423677487</v>
      </c>
      <c r="W547">
        <v>10.80626067623141</v>
      </c>
      <c r="X547">
        <v>0.34416953449880461</v>
      </c>
      <c r="Z547" t="s">
        <v>392</v>
      </c>
      <c r="AA547">
        <v>9937</v>
      </c>
      <c r="AB547" t="s">
        <v>938</v>
      </c>
      <c r="AC547" t="str">
        <f>HYPERLINK("plots/20251231000436_3FT6Y121H01_04823_B11P_N_UFLEX98_M5358A8BH101511/dpll_52084/txpa_54241.png","plot")</f>
        <v>plot</v>
      </c>
    </row>
    <row r="548" spans="1:29" x14ac:dyDescent="0.35">
      <c r="A548" t="s">
        <v>46</v>
      </c>
      <c r="B548">
        <v>52084</v>
      </c>
      <c r="C548" t="s">
        <v>52</v>
      </c>
      <c r="D548">
        <v>54242</v>
      </c>
      <c r="E548" t="s">
        <v>262</v>
      </c>
      <c r="F548">
        <v>8693</v>
      </c>
      <c r="G548">
        <v>0.50202975428166619</v>
      </c>
      <c r="H548">
        <v>0</v>
      </c>
      <c r="I548">
        <v>0</v>
      </c>
      <c r="J548">
        <v>0.40993899705821352</v>
      </c>
      <c r="K548">
        <v>0</v>
      </c>
      <c r="L548">
        <v>0</v>
      </c>
      <c r="M548">
        <v>0.28612080522048211</v>
      </c>
      <c r="N548">
        <v>0</v>
      </c>
      <c r="O548">
        <v>0</v>
      </c>
      <c r="P548">
        <v>0.25203387418411011</v>
      </c>
      <c r="Q548">
        <v>1.3877584488690571</v>
      </c>
      <c r="R548">
        <v>4.663917431485233</v>
      </c>
      <c r="S548">
        <v>0.29523690604943198</v>
      </c>
      <c r="T548">
        <v>0.20599086926486229</v>
      </c>
      <c r="U548">
        <v>4.317850459335097</v>
      </c>
      <c r="V548">
        <v>0.12350093317675789</v>
      </c>
      <c r="W548">
        <v>10.656050887380649</v>
      </c>
      <c r="X548">
        <v>0.34139303895342349</v>
      </c>
      <c r="Z548" t="s">
        <v>392</v>
      </c>
      <c r="AA548">
        <v>9937</v>
      </c>
      <c r="AB548" t="s">
        <v>939</v>
      </c>
      <c r="AC548" t="str">
        <f>HYPERLINK("plots/20251231000436_3FT6Y121H01_04823_B11P_N_UFLEX98_M5358A8BH101511/dpll_52084/txpa_54242.png","plot")</f>
        <v>plot</v>
      </c>
    </row>
    <row r="549" spans="1:29" x14ac:dyDescent="0.35">
      <c r="A549" t="s">
        <v>46</v>
      </c>
      <c r="B549">
        <v>52084</v>
      </c>
      <c r="C549" t="s">
        <v>52</v>
      </c>
      <c r="D549">
        <v>54243</v>
      </c>
      <c r="E549" t="s">
        <v>263</v>
      </c>
      <c r="F549">
        <v>8663</v>
      </c>
      <c r="G549">
        <v>0.48336235236297281</v>
      </c>
      <c r="H549">
        <v>0</v>
      </c>
      <c r="I549">
        <v>0</v>
      </c>
      <c r="J549">
        <v>0.45097342371856203</v>
      </c>
      <c r="K549">
        <v>0</v>
      </c>
      <c r="L549">
        <v>0</v>
      </c>
      <c r="M549">
        <v>0.3211172991273778</v>
      </c>
      <c r="N549">
        <v>0</v>
      </c>
      <c r="O549">
        <v>0</v>
      </c>
      <c r="P549">
        <v>0.23363916368186671</v>
      </c>
      <c r="Q549">
        <v>1.5892996691094079</v>
      </c>
      <c r="R549">
        <v>4.8205537984863058</v>
      </c>
      <c r="S549">
        <v>0.35119689316431302</v>
      </c>
      <c r="T549">
        <v>0.2357084187403499</v>
      </c>
      <c r="U549">
        <v>4.3186625860556394</v>
      </c>
      <c r="V549">
        <v>0.122018620298286</v>
      </c>
      <c r="W549">
        <v>11.68420281749971</v>
      </c>
      <c r="X549">
        <v>0.40119829754475472</v>
      </c>
      <c r="Z549" t="s">
        <v>392</v>
      </c>
      <c r="AA549">
        <v>9937</v>
      </c>
      <c r="AB549" t="s">
        <v>940</v>
      </c>
      <c r="AC549" t="str">
        <f>HYPERLINK("plots/20251231000436_3FT6Y121H01_04823_B11P_N_UFLEX98_M5358A8BH101511/dpll_52084/txpa_54243.png","plot")</f>
        <v>plot</v>
      </c>
    </row>
    <row r="550" spans="1:29" x14ac:dyDescent="0.35">
      <c r="A550" t="s">
        <v>46</v>
      </c>
      <c r="B550">
        <v>52084</v>
      </c>
      <c r="C550" t="s">
        <v>52</v>
      </c>
      <c r="D550">
        <v>54244</v>
      </c>
      <c r="E550" t="s">
        <v>264</v>
      </c>
      <c r="F550">
        <v>8643</v>
      </c>
      <c r="G550">
        <v>0.47769704301004262</v>
      </c>
      <c r="H550">
        <v>0</v>
      </c>
      <c r="I550">
        <v>0</v>
      </c>
      <c r="J550">
        <v>0.46635409466766797</v>
      </c>
      <c r="K550">
        <v>0</v>
      </c>
      <c r="L550">
        <v>0</v>
      </c>
      <c r="M550">
        <v>0.33681046987060947</v>
      </c>
      <c r="N550">
        <v>0</v>
      </c>
      <c r="O550">
        <v>0</v>
      </c>
      <c r="P550">
        <v>0.22819446490053849</v>
      </c>
      <c r="Q550">
        <v>1.642520655475296</v>
      </c>
      <c r="R550">
        <v>4.5993002171281674</v>
      </c>
      <c r="S550">
        <v>0.36204616424994679</v>
      </c>
      <c r="T550">
        <v>0.24110749216228089</v>
      </c>
      <c r="U550">
        <v>4.31991748756219</v>
      </c>
      <c r="V550">
        <v>0.1198607097376017</v>
      </c>
      <c r="W550">
        <v>11.69485392039801</v>
      </c>
      <c r="X550">
        <v>0.41213085658518678</v>
      </c>
      <c r="Z550" t="s">
        <v>392</v>
      </c>
      <c r="AA550">
        <v>9937</v>
      </c>
      <c r="AB550" t="s">
        <v>941</v>
      </c>
      <c r="AC550" t="str">
        <f>HYPERLINK("plots/20251231000436_3FT6Y121H01_04823_B11P_N_UFLEX98_M5358A8BH101511/dpll_52084/txpa_54244.png","plot")</f>
        <v>plot</v>
      </c>
    </row>
    <row r="551" spans="1:29" x14ac:dyDescent="0.35">
      <c r="A551" t="s">
        <v>46</v>
      </c>
      <c r="B551">
        <v>52084</v>
      </c>
      <c r="C551" t="s">
        <v>52</v>
      </c>
      <c r="D551">
        <v>54245</v>
      </c>
      <c r="E551" t="s">
        <v>265</v>
      </c>
      <c r="F551">
        <v>8662</v>
      </c>
      <c r="G551">
        <v>0.47819769452321609</v>
      </c>
      <c r="H551">
        <v>0</v>
      </c>
      <c r="I551">
        <v>0</v>
      </c>
      <c r="J551">
        <v>0.43687984283808989</v>
      </c>
      <c r="K551">
        <v>0</v>
      </c>
      <c r="L551">
        <v>0</v>
      </c>
      <c r="M551">
        <v>0.3115839889017793</v>
      </c>
      <c r="N551">
        <v>0</v>
      </c>
      <c r="O551">
        <v>0</v>
      </c>
      <c r="P551">
        <v>0.22867303504731909</v>
      </c>
      <c r="Q551">
        <v>1.7821611116809231</v>
      </c>
      <c r="R551">
        <v>3.8696352325255829</v>
      </c>
      <c r="S551">
        <v>0.39622063711053851</v>
      </c>
      <c r="T551">
        <v>0.27170040146362229</v>
      </c>
      <c r="U551">
        <v>4.3192669375432926</v>
      </c>
      <c r="V551">
        <v>0.1210607668232514</v>
      </c>
      <c r="W551">
        <v>11.56726479958439</v>
      </c>
      <c r="X551">
        <v>0.45117279579898989</v>
      </c>
      <c r="Z551" t="s">
        <v>392</v>
      </c>
      <c r="AA551">
        <v>9937</v>
      </c>
      <c r="AB551" t="s">
        <v>942</v>
      </c>
      <c r="AC551" t="str">
        <f>HYPERLINK("plots/20251231000436_3FT6Y121H01_04823_B11P_N_UFLEX98_M5358A8BH101511/dpll_52084/txpa_54245.png","plot")</f>
        <v>plot</v>
      </c>
    </row>
    <row r="552" spans="1:29" x14ac:dyDescent="0.35">
      <c r="A552" t="s">
        <v>46</v>
      </c>
      <c r="B552">
        <v>52084</v>
      </c>
      <c r="C552" t="s">
        <v>52</v>
      </c>
      <c r="D552">
        <v>54246</v>
      </c>
      <c r="E552" t="s">
        <v>266</v>
      </c>
      <c r="F552">
        <v>8630</v>
      </c>
      <c r="G552">
        <v>0.48079792261946352</v>
      </c>
      <c r="H552">
        <v>0</v>
      </c>
      <c r="I552">
        <v>0</v>
      </c>
      <c r="J552">
        <v>0.47149968377924328</v>
      </c>
      <c r="K552">
        <v>0</v>
      </c>
      <c r="L552">
        <v>0</v>
      </c>
      <c r="M552">
        <v>0.3415062378281622</v>
      </c>
      <c r="N552">
        <v>0</v>
      </c>
      <c r="O552">
        <v>0</v>
      </c>
      <c r="P552">
        <v>0.23116664239519161</v>
      </c>
      <c r="Q552">
        <v>1.6251285121103241</v>
      </c>
      <c r="R552">
        <v>4.6242819884087796</v>
      </c>
      <c r="S552">
        <v>0.35217707035599471</v>
      </c>
      <c r="T552">
        <v>0.2338165422236021</v>
      </c>
      <c r="U552">
        <v>4.3206633457705683</v>
      </c>
      <c r="V552">
        <v>0.11883517319223399</v>
      </c>
      <c r="W552">
        <v>11.645915182850519</v>
      </c>
      <c r="X552">
        <v>0.40167067932429118</v>
      </c>
      <c r="Z552" t="s">
        <v>392</v>
      </c>
      <c r="AA552">
        <v>9937</v>
      </c>
      <c r="AB552" t="s">
        <v>943</v>
      </c>
      <c r="AC552" t="str">
        <f>HYPERLINK("plots/20251231000436_3FT6Y121H01_04823_B11P_N_UFLEX98_M5358A8BH101511/dpll_52084/txpa_54246.png","plot")</f>
        <v>plot</v>
      </c>
    </row>
    <row r="553" spans="1:29" x14ac:dyDescent="0.35">
      <c r="A553" t="s">
        <v>46</v>
      </c>
      <c r="B553">
        <v>52084</v>
      </c>
      <c r="C553" t="s">
        <v>52</v>
      </c>
      <c r="D553">
        <v>54247</v>
      </c>
      <c r="E553" t="s">
        <v>267</v>
      </c>
      <c r="F553">
        <v>8607</v>
      </c>
      <c r="G553">
        <v>0.45036786645050692</v>
      </c>
      <c r="H553">
        <v>0</v>
      </c>
      <c r="I553">
        <v>0</v>
      </c>
      <c r="J553">
        <v>0.4516069040678003</v>
      </c>
      <c r="K553">
        <v>0</v>
      </c>
      <c r="L553">
        <v>0</v>
      </c>
      <c r="M553">
        <v>0.32402000722380919</v>
      </c>
      <c r="N553">
        <v>0</v>
      </c>
      <c r="O553">
        <v>0</v>
      </c>
      <c r="P553">
        <v>0.2028312151311816</v>
      </c>
      <c r="Q553">
        <v>1.51973372772168</v>
      </c>
      <c r="R553">
        <v>5.1120160276538087</v>
      </c>
      <c r="S553">
        <v>0.35217728381151092</v>
      </c>
      <c r="T553">
        <v>0.23699270965302741</v>
      </c>
      <c r="U553">
        <v>4.3218984937841292</v>
      </c>
      <c r="V553">
        <v>0.1168991416392211</v>
      </c>
      <c r="W553">
        <v>11.680150936447079</v>
      </c>
      <c r="X553">
        <v>0.39446768192188858</v>
      </c>
      <c r="Z553" t="s">
        <v>392</v>
      </c>
      <c r="AA553">
        <v>9937</v>
      </c>
      <c r="AB553" t="s">
        <v>944</v>
      </c>
      <c r="AC553" t="str">
        <f>HYPERLINK("plots/20251231000436_3FT6Y121H01_04823_B11P_N_UFLEX98_M5358A8BH101511/dpll_52084/txpa_54247.png","plot")</f>
        <v>plot</v>
      </c>
    </row>
    <row r="554" spans="1:29" x14ac:dyDescent="0.35">
      <c r="A554" t="s">
        <v>46</v>
      </c>
      <c r="B554">
        <v>52084</v>
      </c>
      <c r="C554" t="s">
        <v>52</v>
      </c>
      <c r="D554">
        <v>54248</v>
      </c>
      <c r="E554" t="s">
        <v>268</v>
      </c>
      <c r="F554">
        <v>8658</v>
      </c>
      <c r="G554">
        <v>0.50013354070483496</v>
      </c>
      <c r="H554">
        <v>0</v>
      </c>
      <c r="I554">
        <v>0</v>
      </c>
      <c r="J554">
        <v>0.46399929247656779</v>
      </c>
      <c r="K554">
        <v>0</v>
      </c>
      <c r="L554">
        <v>0</v>
      </c>
      <c r="M554">
        <v>0.33466610061197283</v>
      </c>
      <c r="N554">
        <v>0</v>
      </c>
      <c r="O554">
        <v>0</v>
      </c>
      <c r="P554">
        <v>0.25013355853795483</v>
      </c>
      <c r="Q554">
        <v>1.7195479839233061</v>
      </c>
      <c r="R554">
        <v>4.209184138086961</v>
      </c>
      <c r="S554">
        <v>0.35913732257231301</v>
      </c>
      <c r="T554">
        <v>0.24217308019517539</v>
      </c>
      <c r="U554">
        <v>4.3195752423192424</v>
      </c>
      <c r="V554">
        <v>0.12063278241374149</v>
      </c>
      <c r="W554">
        <v>11.636901037422041</v>
      </c>
      <c r="X554">
        <v>0.414756941720551</v>
      </c>
      <c r="Z554" t="s">
        <v>392</v>
      </c>
      <c r="AA554">
        <v>9937</v>
      </c>
      <c r="AB554" t="s">
        <v>945</v>
      </c>
      <c r="AC554" t="str">
        <f>HYPERLINK("plots/20251231000436_3FT6Y121H01_04823_B11P_N_UFLEX98_M5358A8BH101511/dpll_52084/txpa_54248.png","plot")</f>
        <v>plot</v>
      </c>
    </row>
    <row r="555" spans="1:29" x14ac:dyDescent="0.35">
      <c r="A555" t="s">
        <v>46</v>
      </c>
      <c r="B555">
        <v>52084</v>
      </c>
      <c r="C555" t="s">
        <v>52</v>
      </c>
      <c r="D555">
        <v>54249</v>
      </c>
      <c r="E555" t="s">
        <v>269</v>
      </c>
      <c r="F555">
        <v>8665</v>
      </c>
      <c r="G555">
        <v>0.49707586551742772</v>
      </c>
      <c r="H555">
        <v>0</v>
      </c>
      <c r="I555">
        <v>0</v>
      </c>
      <c r="J555">
        <v>0.43832486361467621</v>
      </c>
      <c r="K555">
        <v>0</v>
      </c>
      <c r="L555">
        <v>0</v>
      </c>
      <c r="M555">
        <v>0.3119692778437449</v>
      </c>
      <c r="N555">
        <v>0</v>
      </c>
      <c r="O555">
        <v>0</v>
      </c>
      <c r="P555">
        <v>0.24708441607989989</v>
      </c>
      <c r="Q555">
        <v>1.777477847229133</v>
      </c>
      <c r="R555">
        <v>3.9332165536469299</v>
      </c>
      <c r="S555">
        <v>0.37611464817334189</v>
      </c>
      <c r="T555">
        <v>0.259821333169588</v>
      </c>
      <c r="U555">
        <v>4.3192252265435664</v>
      </c>
      <c r="V555">
        <v>0.12122456850794031</v>
      </c>
      <c r="W555">
        <v>11.61054371102135</v>
      </c>
      <c r="X555">
        <v>0.43348309586199307</v>
      </c>
      <c r="Z555" t="s">
        <v>392</v>
      </c>
      <c r="AA555">
        <v>9937</v>
      </c>
      <c r="AB555" t="s">
        <v>946</v>
      </c>
      <c r="AC555" t="str">
        <f>HYPERLINK("plots/20251231000436_3FT6Y121H01_04823_B11P_N_UFLEX98_M5358A8BH101511/dpll_52084/txpa_54249.png","plot")</f>
        <v>plot</v>
      </c>
    </row>
    <row r="556" spans="1:29" x14ac:dyDescent="0.35">
      <c r="A556" t="s">
        <v>46</v>
      </c>
      <c r="B556">
        <v>52084</v>
      </c>
      <c r="C556" t="s">
        <v>52</v>
      </c>
      <c r="D556">
        <v>54250</v>
      </c>
      <c r="E556" t="s">
        <v>270</v>
      </c>
      <c r="F556">
        <v>8686</v>
      </c>
      <c r="G556">
        <v>0.50969708644431566</v>
      </c>
      <c r="H556">
        <v>0</v>
      </c>
      <c r="I556">
        <v>0</v>
      </c>
      <c r="J556">
        <v>0.43863605824291813</v>
      </c>
      <c r="K556">
        <v>0</v>
      </c>
      <c r="L556">
        <v>0</v>
      </c>
      <c r="M556">
        <v>0.30996474348857261</v>
      </c>
      <c r="N556">
        <v>0</v>
      </c>
      <c r="O556">
        <v>0</v>
      </c>
      <c r="P556">
        <v>0.25979111992982418</v>
      </c>
      <c r="Q556">
        <v>1.600569059574509</v>
      </c>
      <c r="R556">
        <v>4.7744472323246194</v>
      </c>
      <c r="S556">
        <v>0.33244428134408782</v>
      </c>
      <c r="T556">
        <v>0.2290715601621707</v>
      </c>
      <c r="U556">
        <v>4.3181564696062624</v>
      </c>
      <c r="V556">
        <v>0.12305647094265219</v>
      </c>
      <c r="W556">
        <v>11.6859548719779</v>
      </c>
      <c r="X556">
        <v>0.38642634068255849</v>
      </c>
      <c r="Z556" t="s">
        <v>392</v>
      </c>
      <c r="AA556">
        <v>9937</v>
      </c>
      <c r="AB556" t="s">
        <v>947</v>
      </c>
      <c r="AC556" t="str">
        <f>HYPERLINK("plots/20251231000436_3FT6Y121H01_04823_B11P_N_UFLEX98_M5358A8BH101511/dpll_52084/txpa_54250.png","plot")</f>
        <v>plot</v>
      </c>
    </row>
    <row r="557" spans="1:29" x14ac:dyDescent="0.35">
      <c r="A557" t="s">
        <v>46</v>
      </c>
      <c r="B557">
        <v>52084</v>
      </c>
      <c r="C557" t="s">
        <v>52</v>
      </c>
      <c r="D557">
        <v>54251</v>
      </c>
      <c r="E557" t="s">
        <v>271</v>
      </c>
      <c r="F557">
        <v>8664</v>
      </c>
      <c r="G557">
        <v>0.4835117935363149</v>
      </c>
      <c r="H557">
        <v>0</v>
      </c>
      <c r="I557">
        <v>0</v>
      </c>
      <c r="J557">
        <v>0.45296205173556731</v>
      </c>
      <c r="K557">
        <v>0</v>
      </c>
      <c r="L557">
        <v>0</v>
      </c>
      <c r="M557">
        <v>0.32331468009337772</v>
      </c>
      <c r="N557">
        <v>0</v>
      </c>
      <c r="O557">
        <v>0</v>
      </c>
      <c r="P557">
        <v>0.233783654488704</v>
      </c>
      <c r="Q557">
        <v>1.6664926912226909</v>
      </c>
      <c r="R557">
        <v>4.7465587805992584</v>
      </c>
      <c r="S557">
        <v>0.36780100715036862</v>
      </c>
      <c r="T557">
        <v>0.2478061771233821</v>
      </c>
      <c r="U557">
        <v>4.3187419331717454</v>
      </c>
      <c r="V557">
        <v>0.1219174669393049</v>
      </c>
      <c r="W557">
        <v>11.943710647506929</v>
      </c>
      <c r="X557">
        <v>0.42020602248552152</v>
      </c>
      <c r="Z557" t="s">
        <v>392</v>
      </c>
      <c r="AA557">
        <v>9937</v>
      </c>
      <c r="AB557" t="s">
        <v>948</v>
      </c>
      <c r="AC557" t="str">
        <f>HYPERLINK("plots/20251231000436_3FT6Y121H01_04823_B11P_N_UFLEX98_M5358A8BH101511/dpll_52084/txpa_54251.png","plot")</f>
        <v>plot</v>
      </c>
    </row>
    <row r="558" spans="1:29" x14ac:dyDescent="0.35">
      <c r="A558" t="s">
        <v>46</v>
      </c>
      <c r="B558">
        <v>52084</v>
      </c>
      <c r="C558" t="s">
        <v>52</v>
      </c>
      <c r="D558">
        <v>54252</v>
      </c>
      <c r="E558" t="s">
        <v>272</v>
      </c>
      <c r="F558">
        <v>8652</v>
      </c>
      <c r="G558">
        <v>0.48078198249261461</v>
      </c>
      <c r="H558">
        <v>0</v>
      </c>
      <c r="I558">
        <v>0</v>
      </c>
      <c r="J558">
        <v>0.46086467371546758</v>
      </c>
      <c r="K558">
        <v>0</v>
      </c>
      <c r="L558">
        <v>0</v>
      </c>
      <c r="M558">
        <v>0.33208107988528618</v>
      </c>
      <c r="N558">
        <v>0</v>
      </c>
      <c r="O558">
        <v>0</v>
      </c>
      <c r="P558">
        <v>0.23115131468952871</v>
      </c>
      <c r="Q558">
        <v>1.738086750060684</v>
      </c>
      <c r="R558">
        <v>4.4192388073222926</v>
      </c>
      <c r="S558">
        <v>0.38162572458331839</v>
      </c>
      <c r="T558">
        <v>0.25632895586661347</v>
      </c>
      <c r="U558">
        <v>4.3196184394359696</v>
      </c>
      <c r="V558">
        <v>0.1203979350348176</v>
      </c>
      <c r="W558">
        <v>11.927110382223759</v>
      </c>
      <c r="X558">
        <v>0.43525353120298782</v>
      </c>
      <c r="Z558" t="s">
        <v>392</v>
      </c>
      <c r="AA558">
        <v>9937</v>
      </c>
      <c r="AB558" t="s">
        <v>949</v>
      </c>
      <c r="AC558" t="str">
        <f>HYPERLINK("plots/20251231000436_3FT6Y121H01_04823_B11P_N_UFLEX98_M5358A8BH101511/dpll_52084/txpa_54252.png","plot")</f>
        <v>plot</v>
      </c>
    </row>
    <row r="559" spans="1:29" x14ac:dyDescent="0.35">
      <c r="A559" t="s">
        <v>46</v>
      </c>
      <c r="B559">
        <v>52084</v>
      </c>
      <c r="C559" t="s">
        <v>52</v>
      </c>
      <c r="D559">
        <v>54253</v>
      </c>
      <c r="E559" t="s">
        <v>273</v>
      </c>
      <c r="F559">
        <v>8671</v>
      </c>
      <c r="G559">
        <v>0.48229936454561578</v>
      </c>
      <c r="H559">
        <v>0</v>
      </c>
      <c r="I559">
        <v>0</v>
      </c>
      <c r="J559">
        <v>0.42891143425552741</v>
      </c>
      <c r="K559">
        <v>0</v>
      </c>
      <c r="L559">
        <v>0</v>
      </c>
      <c r="M559">
        <v>0.30500900505956791</v>
      </c>
      <c r="N559">
        <v>0</v>
      </c>
      <c r="O559">
        <v>0</v>
      </c>
      <c r="P559">
        <v>0.2326126770411048</v>
      </c>
      <c r="Q559">
        <v>1.8803020475602481</v>
      </c>
      <c r="R559">
        <v>3.6401855195890662</v>
      </c>
      <c r="S559">
        <v>0.41572022763433453</v>
      </c>
      <c r="T559">
        <v>0.28825664493650521</v>
      </c>
      <c r="U559">
        <v>4.318878441471572</v>
      </c>
      <c r="V559">
        <v>0.1217328980683054</v>
      </c>
      <c r="W559">
        <v>11.760981496251871</v>
      </c>
      <c r="X559">
        <v>0.47459033604351492</v>
      </c>
      <c r="Z559" t="s">
        <v>392</v>
      </c>
      <c r="AA559">
        <v>9937</v>
      </c>
      <c r="AB559" t="s">
        <v>950</v>
      </c>
      <c r="AC559" t="str">
        <f>HYPERLINK("plots/20251231000436_3FT6Y121H01_04823_B11P_N_UFLEX98_M5358A8BH101511/dpll_52084/txpa_54253.png","plot")</f>
        <v>plot</v>
      </c>
    </row>
    <row r="560" spans="1:29" x14ac:dyDescent="0.35">
      <c r="A560" t="s">
        <v>46</v>
      </c>
      <c r="B560">
        <v>52084</v>
      </c>
      <c r="C560" t="s">
        <v>52</v>
      </c>
      <c r="D560">
        <v>54254</v>
      </c>
      <c r="E560" t="s">
        <v>274</v>
      </c>
      <c r="F560">
        <v>8641</v>
      </c>
      <c r="G560">
        <v>0.48657247646608082</v>
      </c>
      <c r="H560">
        <v>0</v>
      </c>
      <c r="I560">
        <v>0</v>
      </c>
      <c r="J560">
        <v>0.46827990702224798</v>
      </c>
      <c r="K560">
        <v>0</v>
      </c>
      <c r="L560">
        <v>0</v>
      </c>
      <c r="M560">
        <v>0.33866965668768101</v>
      </c>
      <c r="N560">
        <v>0</v>
      </c>
      <c r="O560">
        <v>0</v>
      </c>
      <c r="P560">
        <v>0.2367527748543348</v>
      </c>
      <c r="Q560">
        <v>1.730792228848189</v>
      </c>
      <c r="R560">
        <v>4.3957654175561656</v>
      </c>
      <c r="S560">
        <v>0.37129116512512828</v>
      </c>
      <c r="T560">
        <v>0.24799270818999891</v>
      </c>
      <c r="U560">
        <v>4.3202579982640898</v>
      </c>
      <c r="V560">
        <v>0.1194839941617768</v>
      </c>
      <c r="W560">
        <v>11.87323438757088</v>
      </c>
      <c r="X560">
        <v>0.42501781043786951</v>
      </c>
      <c r="Z560" t="s">
        <v>392</v>
      </c>
      <c r="AA560">
        <v>9937</v>
      </c>
      <c r="AB560" t="s">
        <v>951</v>
      </c>
      <c r="AC560" t="str">
        <f>HYPERLINK("plots/20251231000436_3FT6Y121H01_04823_B11P_N_UFLEX98_M5358A8BH101511/dpll_52084/txpa_54254.png","plot")</f>
        <v>plot</v>
      </c>
    </row>
    <row r="561" spans="1:29" x14ac:dyDescent="0.35">
      <c r="A561" t="s">
        <v>46</v>
      </c>
      <c r="B561">
        <v>52084</v>
      </c>
      <c r="C561" t="s">
        <v>52</v>
      </c>
      <c r="D561">
        <v>54255</v>
      </c>
      <c r="E561" t="s">
        <v>275</v>
      </c>
      <c r="F561">
        <v>8623</v>
      </c>
      <c r="G561">
        <v>0.46015932138114429</v>
      </c>
      <c r="H561">
        <v>0</v>
      </c>
      <c r="I561">
        <v>0</v>
      </c>
      <c r="J561">
        <v>0.44716426561249739</v>
      </c>
      <c r="K561">
        <v>0</v>
      </c>
      <c r="L561">
        <v>0</v>
      </c>
      <c r="M561">
        <v>0.32011052352201308</v>
      </c>
      <c r="N561">
        <v>0</v>
      </c>
      <c r="O561">
        <v>0</v>
      </c>
      <c r="P561">
        <v>0.21174660105395529</v>
      </c>
      <c r="Q561">
        <v>1.6480808419495361</v>
      </c>
      <c r="R561">
        <v>4.7664018514576041</v>
      </c>
      <c r="S561">
        <v>0.37471955220340147</v>
      </c>
      <c r="T561">
        <v>0.25407786134465599</v>
      </c>
      <c r="U561">
        <v>4.3212694701380032</v>
      </c>
      <c r="V561">
        <v>0.1178496575999174</v>
      </c>
      <c r="W561">
        <v>11.888203278093471</v>
      </c>
      <c r="X561">
        <v>0.42208373034317331</v>
      </c>
      <c r="Z561" t="s">
        <v>392</v>
      </c>
      <c r="AA561">
        <v>9937</v>
      </c>
      <c r="AB561" t="s">
        <v>952</v>
      </c>
      <c r="AC561" t="str">
        <f>HYPERLINK("plots/20251231000436_3FT6Y121H01_04823_B11P_N_UFLEX98_M5358A8BH101511/dpll_52084/txpa_54255.png","plot")</f>
        <v>plot</v>
      </c>
    </row>
    <row r="562" spans="1:29" x14ac:dyDescent="0.35">
      <c r="A562" t="s">
        <v>46</v>
      </c>
      <c r="B562">
        <v>52084</v>
      </c>
      <c r="C562" t="s">
        <v>52</v>
      </c>
      <c r="D562">
        <v>54256</v>
      </c>
      <c r="E562" t="s">
        <v>276</v>
      </c>
      <c r="F562">
        <v>8668</v>
      </c>
      <c r="G562">
        <v>0.50761801647444149</v>
      </c>
      <c r="H562">
        <v>0</v>
      </c>
      <c r="I562">
        <v>0</v>
      </c>
      <c r="J562">
        <v>0.45914944818398951</v>
      </c>
      <c r="K562">
        <v>0</v>
      </c>
      <c r="L562">
        <v>0</v>
      </c>
      <c r="M562">
        <v>0.33030391957503619</v>
      </c>
      <c r="N562">
        <v>0</v>
      </c>
      <c r="O562">
        <v>0</v>
      </c>
      <c r="P562">
        <v>0.25767605064944638</v>
      </c>
      <c r="Q562">
        <v>1.8357022023986249</v>
      </c>
      <c r="R562">
        <v>3.9224340134881261</v>
      </c>
      <c r="S562">
        <v>0.37841159871806918</v>
      </c>
      <c r="T562">
        <v>0.25776724612113228</v>
      </c>
      <c r="U562">
        <v>4.3190797296954324</v>
      </c>
      <c r="V562">
        <v>0.121458399848122</v>
      </c>
      <c r="W562">
        <v>11.850978185625291</v>
      </c>
      <c r="X562">
        <v>0.43923076972236758</v>
      </c>
      <c r="Z562" t="s">
        <v>392</v>
      </c>
      <c r="AA562">
        <v>9937</v>
      </c>
      <c r="AB562" t="s">
        <v>953</v>
      </c>
      <c r="AC562" t="str">
        <f>HYPERLINK("plots/20251231000436_3FT6Y121H01_04823_B11P_N_UFLEX98_M5358A8BH101511/dpll_52084/txpa_54256.png","plot")</f>
        <v>plot</v>
      </c>
    </row>
    <row r="563" spans="1:29" x14ac:dyDescent="0.35">
      <c r="A563" t="s">
        <v>46</v>
      </c>
      <c r="B563">
        <v>52084</v>
      </c>
      <c r="C563" t="s">
        <v>52</v>
      </c>
      <c r="D563">
        <v>54257</v>
      </c>
      <c r="E563" t="s">
        <v>277</v>
      </c>
      <c r="F563">
        <v>8682</v>
      </c>
      <c r="G563">
        <v>0.51040895482377646</v>
      </c>
      <c r="H563">
        <v>0</v>
      </c>
      <c r="I563">
        <v>0</v>
      </c>
      <c r="J563">
        <v>0.43361972360410339</v>
      </c>
      <c r="K563">
        <v>0</v>
      </c>
      <c r="L563">
        <v>0</v>
      </c>
      <c r="M563">
        <v>0.3081746559698636</v>
      </c>
      <c r="N563">
        <v>0</v>
      </c>
      <c r="O563">
        <v>0</v>
      </c>
      <c r="P563">
        <v>0.26051730116429989</v>
      </c>
      <c r="Q563">
        <v>1.9250146438389939</v>
      </c>
      <c r="R563">
        <v>3.4911419141693081</v>
      </c>
      <c r="S563">
        <v>0.39765917070445911</v>
      </c>
      <c r="T563">
        <v>0.27777406209886779</v>
      </c>
      <c r="U563">
        <v>4.3183825992858793</v>
      </c>
      <c r="V563">
        <v>0.1226185719675575</v>
      </c>
      <c r="W563">
        <v>11.804091655494121</v>
      </c>
      <c r="X563">
        <v>0.46245769086412208</v>
      </c>
      <c r="Z563" t="s">
        <v>392</v>
      </c>
      <c r="AA563">
        <v>9937</v>
      </c>
      <c r="AB563" t="s">
        <v>954</v>
      </c>
      <c r="AC563" t="str">
        <f>HYPERLINK("plots/20251231000436_3FT6Y121H01_04823_B11P_N_UFLEX98_M5358A8BH101511/dpll_52084/txpa_54257.png","plot")</f>
        <v>plot</v>
      </c>
    </row>
    <row r="564" spans="1:29" x14ac:dyDescent="0.35">
      <c r="A564" t="s">
        <v>46</v>
      </c>
      <c r="B564">
        <v>52084</v>
      </c>
      <c r="C564" t="s">
        <v>52</v>
      </c>
      <c r="D564">
        <v>54258</v>
      </c>
      <c r="E564" t="s">
        <v>278</v>
      </c>
      <c r="F564">
        <v>8686</v>
      </c>
      <c r="G564">
        <v>0.51152524418639234</v>
      </c>
      <c r="H564">
        <v>0</v>
      </c>
      <c r="I564">
        <v>0</v>
      </c>
      <c r="J564">
        <v>0.44129869456554949</v>
      </c>
      <c r="K564">
        <v>0</v>
      </c>
      <c r="L564">
        <v>0</v>
      </c>
      <c r="M564">
        <v>0.31230066453008481</v>
      </c>
      <c r="N564">
        <v>0</v>
      </c>
      <c r="O564">
        <v>0</v>
      </c>
      <c r="P564">
        <v>0.26165807543994829</v>
      </c>
      <c r="Q564">
        <v>1.686465304666753</v>
      </c>
      <c r="R564">
        <v>4.6687737347156828</v>
      </c>
      <c r="S564">
        <v>0.3485929175371964</v>
      </c>
      <c r="T564">
        <v>0.24075427156272369</v>
      </c>
      <c r="U564">
        <v>4.3181564696062624</v>
      </c>
      <c r="V564">
        <v>0.12305647094265219</v>
      </c>
      <c r="W564">
        <v>11.951194800828921</v>
      </c>
      <c r="X564">
        <v>0.40570914362125682</v>
      </c>
      <c r="Z564" t="s">
        <v>392</v>
      </c>
      <c r="AA564">
        <v>9937</v>
      </c>
      <c r="AB564" t="s">
        <v>955</v>
      </c>
      <c r="AC564" t="str">
        <f>HYPERLINK("plots/20251231000436_3FT6Y121H01_04823_B11P_N_UFLEX98_M5358A8BH101511/dpll_52084/txpa_54258.png","plot")</f>
        <v>plot</v>
      </c>
    </row>
    <row r="565" spans="1:29" x14ac:dyDescent="0.35">
      <c r="A565" t="s">
        <v>46</v>
      </c>
      <c r="B565">
        <v>52084</v>
      </c>
      <c r="C565" t="s">
        <v>52</v>
      </c>
      <c r="D565">
        <v>55146</v>
      </c>
      <c r="E565" t="s">
        <v>279</v>
      </c>
      <c r="F565">
        <v>8705</v>
      </c>
      <c r="G565">
        <v>-3.6416396472858819E-3</v>
      </c>
      <c r="H565">
        <v>0.73406780559655027</v>
      </c>
      <c r="I565">
        <v>0.73406780559655027</v>
      </c>
      <c r="J565">
        <v>-2.975809637397824E-3</v>
      </c>
      <c r="K565">
        <v>0.78131518142472434</v>
      </c>
      <c r="L565">
        <v>0.78208646985653552</v>
      </c>
      <c r="M565">
        <v>-2.0632011727516721E-3</v>
      </c>
      <c r="N565">
        <v>0.77282418346684001</v>
      </c>
      <c r="O565">
        <v>0.77358708986710345</v>
      </c>
      <c r="P565">
        <v>1.326153932068445E-5</v>
      </c>
      <c r="Q565">
        <v>-0.1514534868712244</v>
      </c>
      <c r="R565">
        <v>-9.9629272154800326</v>
      </c>
      <c r="S565">
        <v>5.1808785637532369</v>
      </c>
      <c r="T565">
        <v>3.8980011667656029</v>
      </c>
      <c r="U565">
        <v>4.3168715340608843</v>
      </c>
      <c r="V565">
        <v>0.1245801734943538</v>
      </c>
      <c r="W565">
        <v>-10.616732461688679</v>
      </c>
      <c r="X565">
        <v>5.1812105255401679</v>
      </c>
      <c r="Z565" t="s">
        <v>392</v>
      </c>
      <c r="AA565">
        <v>9937</v>
      </c>
      <c r="AB565" t="s">
        <v>956</v>
      </c>
      <c r="AC565" t="str">
        <f>HYPERLINK("plots/20251231000436_3FT6Y121H01_04823_B11P_N_UFLEX98_M5358A8BH101511/dpll_52084/txpa_55146.png","plot")</f>
        <v>plot</v>
      </c>
    </row>
    <row r="566" spans="1:29" x14ac:dyDescent="0.35">
      <c r="A566" t="s">
        <v>46</v>
      </c>
      <c r="B566">
        <v>52084</v>
      </c>
      <c r="C566" t="s">
        <v>52</v>
      </c>
      <c r="D566">
        <v>55147</v>
      </c>
      <c r="E566" t="s">
        <v>280</v>
      </c>
      <c r="F566">
        <v>8716</v>
      </c>
      <c r="G566">
        <v>0.21632475958604111</v>
      </c>
      <c r="H566">
        <v>8.0850270078066183E-93</v>
      </c>
      <c r="I566">
        <v>8.8152875117375383E-93</v>
      </c>
      <c r="J566">
        <v>0.15281903804021399</v>
      </c>
      <c r="K566">
        <v>1.074282117935383E-46</v>
      </c>
      <c r="L566">
        <v>1.1613241658704461E-46</v>
      </c>
      <c r="M566">
        <v>0.1028202682768963</v>
      </c>
      <c r="N566">
        <v>6.0953238572813192E-47</v>
      </c>
      <c r="O566">
        <v>6.5891880504085903E-47</v>
      </c>
      <c r="P566">
        <v>4.6796401609958488E-2</v>
      </c>
      <c r="Q566">
        <v>1.9418316114486269</v>
      </c>
      <c r="R566">
        <v>-29.774885702153231</v>
      </c>
      <c r="S566">
        <v>1.0918905989234391</v>
      </c>
      <c r="T566">
        <v>0.84818951753524674</v>
      </c>
      <c r="U566">
        <v>4.3169497564249664</v>
      </c>
      <c r="V566">
        <v>0.1245965072716559</v>
      </c>
      <c r="W566">
        <v>-21.392096200091789</v>
      </c>
      <c r="X566">
        <v>1.1184361742002</v>
      </c>
      <c r="Z566" t="s">
        <v>392</v>
      </c>
      <c r="AA566">
        <v>9937</v>
      </c>
      <c r="AB566" t="s">
        <v>957</v>
      </c>
      <c r="AC566" t="str">
        <f>HYPERLINK("plots/20251231000436_3FT6Y121H01_04823_B11P_N_UFLEX98_M5358A8BH101511/dpll_52084/txpa_55147.png","plot")</f>
        <v>plot</v>
      </c>
    </row>
    <row r="567" spans="1:29" x14ac:dyDescent="0.35">
      <c r="A567" t="s">
        <v>46</v>
      </c>
      <c r="B567">
        <v>52084</v>
      </c>
      <c r="C567" t="s">
        <v>52</v>
      </c>
      <c r="D567">
        <v>55148</v>
      </c>
      <c r="E567" t="s">
        <v>281</v>
      </c>
      <c r="F567">
        <v>8716</v>
      </c>
      <c r="G567">
        <v>0.1631543248612769</v>
      </c>
      <c r="H567">
        <v>4.6260450975084605E-53</v>
      </c>
      <c r="I567">
        <v>4.8012382076495177E-53</v>
      </c>
      <c r="J567">
        <v>0.13125547945998139</v>
      </c>
      <c r="K567">
        <v>8.4652762088581887E-35</v>
      </c>
      <c r="L567">
        <v>8.8129261558338836E-35</v>
      </c>
      <c r="M567">
        <v>8.7524762468118328E-2</v>
      </c>
      <c r="N567">
        <v>1.7302265918884061E-34</v>
      </c>
      <c r="O567">
        <v>1.7957520615914469E-34</v>
      </c>
      <c r="P567">
        <v>2.6619333720939081E-2</v>
      </c>
      <c r="Q567">
        <v>1.570559501835175</v>
      </c>
      <c r="R567">
        <v>-28.82047645545633</v>
      </c>
      <c r="S567">
        <v>1.183254364950626</v>
      </c>
      <c r="T567">
        <v>0.92088659325961375</v>
      </c>
      <c r="U567">
        <v>4.3169497564249664</v>
      </c>
      <c r="V567">
        <v>0.1245965072716559</v>
      </c>
      <c r="W567">
        <v>-22.040449996558049</v>
      </c>
      <c r="X567">
        <v>1.1993934488549911</v>
      </c>
      <c r="Z567" t="s">
        <v>392</v>
      </c>
      <c r="AA567">
        <v>9937</v>
      </c>
      <c r="AB567" t="s">
        <v>958</v>
      </c>
      <c r="AC567" t="str">
        <f>HYPERLINK("plots/20251231000436_3FT6Y121H01_04823_B11P_N_UFLEX98_M5358A8BH101511/dpll_52084/txpa_55148.png","plot")</f>
        <v>plot</v>
      </c>
    </row>
    <row r="568" spans="1:29" x14ac:dyDescent="0.35">
      <c r="A568" t="s">
        <v>46</v>
      </c>
      <c r="B568">
        <v>52084</v>
      </c>
      <c r="C568" t="s">
        <v>52</v>
      </c>
      <c r="D568">
        <v>55149</v>
      </c>
      <c r="E568" t="s">
        <v>282</v>
      </c>
      <c r="F568">
        <v>8716</v>
      </c>
      <c r="G568">
        <v>0.13586989402737221</v>
      </c>
      <c r="H568">
        <v>3.4517777530300781E-37</v>
      </c>
      <c r="I568">
        <v>3.517691097057789E-37</v>
      </c>
      <c r="J568">
        <v>0.11927315203648139</v>
      </c>
      <c r="K568">
        <v>5.4913793425356468E-29</v>
      </c>
      <c r="L568">
        <v>5.6131639650515582E-29</v>
      </c>
      <c r="M568">
        <v>7.9162512925291001E-2</v>
      </c>
      <c r="N568">
        <v>1.602477602802046E-28</v>
      </c>
      <c r="O568">
        <v>1.6380164206061239E-28</v>
      </c>
      <c r="P568">
        <v>1.8460628103009351E-2</v>
      </c>
      <c r="Q568">
        <v>1.322104670187485</v>
      </c>
      <c r="R568">
        <v>-27.41644199244725</v>
      </c>
      <c r="S568">
        <v>1.201095163679901</v>
      </c>
      <c r="T568">
        <v>0.93452015442016223</v>
      </c>
      <c r="U568">
        <v>4.3169497564249664</v>
      </c>
      <c r="V568">
        <v>0.1245965072716559</v>
      </c>
      <c r="W568">
        <v>-21.708982558513078</v>
      </c>
      <c r="X568">
        <v>1.212407099689935</v>
      </c>
      <c r="Z568" t="s">
        <v>392</v>
      </c>
      <c r="AA568">
        <v>9937</v>
      </c>
      <c r="AB568" t="s">
        <v>959</v>
      </c>
      <c r="AC568" t="str">
        <f>HYPERLINK("plots/20251231000436_3FT6Y121H01_04823_B11P_N_UFLEX98_M5358A8BH101511/dpll_52084/txpa_55149.png","plot")</f>
        <v>plot</v>
      </c>
    </row>
    <row r="569" spans="1:29" x14ac:dyDescent="0.35">
      <c r="A569" t="s">
        <v>46</v>
      </c>
      <c r="B569">
        <v>52084</v>
      </c>
      <c r="C569" t="s">
        <v>52</v>
      </c>
      <c r="D569">
        <v>55150</v>
      </c>
      <c r="E569" t="s">
        <v>283</v>
      </c>
      <c r="F569">
        <v>8716</v>
      </c>
      <c r="G569">
        <v>0.1813863236725784</v>
      </c>
      <c r="H569">
        <v>2.3368201864154229E-65</v>
      </c>
      <c r="I569">
        <v>2.4682663219012909E-65</v>
      </c>
      <c r="J569">
        <v>0.14201061421393529</v>
      </c>
      <c r="K569">
        <v>1.6850634293961129E-40</v>
      </c>
      <c r="L569">
        <v>1.7948049552601461E-40</v>
      </c>
      <c r="M569">
        <v>9.5034318100281207E-2</v>
      </c>
      <c r="N569">
        <v>2.3490603821808009E-40</v>
      </c>
      <c r="O569">
        <v>2.502045407070727E-40</v>
      </c>
      <c r="P569">
        <v>3.2900998415453367E-2</v>
      </c>
      <c r="Q569">
        <v>1.720340005169166</v>
      </c>
      <c r="R569">
        <v>-29.12537258014272</v>
      </c>
      <c r="S569">
        <v>1.1620536271977699</v>
      </c>
      <c r="T569">
        <v>0.89591467538497183</v>
      </c>
      <c r="U569">
        <v>4.3169497564249664</v>
      </c>
      <c r="V569">
        <v>0.1245965072716559</v>
      </c>
      <c r="W569">
        <v>-21.69875121385957</v>
      </c>
      <c r="X569">
        <v>1.181722809216323</v>
      </c>
      <c r="Z569" t="s">
        <v>392</v>
      </c>
      <c r="AA569">
        <v>9937</v>
      </c>
      <c r="AB569" t="s">
        <v>960</v>
      </c>
      <c r="AC569" t="str">
        <f>HYPERLINK("plots/20251231000436_3FT6Y121H01_04823_B11P_N_UFLEX98_M5358A8BH101511/dpll_52084/txpa_55150.png","plot")</f>
        <v>plot</v>
      </c>
    </row>
    <row r="570" spans="1:29" x14ac:dyDescent="0.35">
      <c r="A570" t="s">
        <v>46</v>
      </c>
      <c r="B570">
        <v>52084</v>
      </c>
      <c r="C570" t="s">
        <v>52</v>
      </c>
      <c r="D570">
        <v>55151</v>
      </c>
      <c r="E570" t="s">
        <v>284</v>
      </c>
      <c r="F570">
        <v>8716</v>
      </c>
      <c r="G570">
        <v>0.1330383967388396</v>
      </c>
      <c r="H570">
        <v>1.033634194935497E-35</v>
      </c>
      <c r="I570">
        <v>1.0512588502152401E-35</v>
      </c>
      <c r="J570">
        <v>0.11299926464358449</v>
      </c>
      <c r="K570">
        <v>3.6135479234163528E-26</v>
      </c>
      <c r="L570">
        <v>3.6678053997439257E-26</v>
      </c>
      <c r="M570">
        <v>7.4935047146396261E-2</v>
      </c>
      <c r="N570">
        <v>9.9853096757072082E-26</v>
      </c>
      <c r="O570">
        <v>1.012510401116711E-25</v>
      </c>
      <c r="P570">
        <v>1.76992150068409E-2</v>
      </c>
      <c r="Q570">
        <v>1.3189500049672549</v>
      </c>
      <c r="R570">
        <v>-27.52185684462594</v>
      </c>
      <c r="S570">
        <v>1.2242060742466621</v>
      </c>
      <c r="T570">
        <v>0.94892479022987031</v>
      </c>
      <c r="U570">
        <v>4.3169497564249664</v>
      </c>
      <c r="V570">
        <v>0.1245965072716559</v>
      </c>
      <c r="W570">
        <v>-21.82801594194585</v>
      </c>
      <c r="X570">
        <v>1.235256647052454</v>
      </c>
      <c r="Z570" t="s">
        <v>392</v>
      </c>
      <c r="AA570">
        <v>9937</v>
      </c>
      <c r="AB570" t="s">
        <v>961</v>
      </c>
      <c r="AC570" t="str">
        <f>HYPERLINK("plots/20251231000436_3FT6Y121H01_04823_B11P_N_UFLEX98_M5358A8BH101511/dpll_52084/txpa_55151.png","plot")</f>
        <v>plot</v>
      </c>
    </row>
    <row r="571" spans="1:29" x14ac:dyDescent="0.35">
      <c r="A571" t="s">
        <v>46</v>
      </c>
      <c r="B571">
        <v>52084</v>
      </c>
      <c r="C571" t="s">
        <v>52</v>
      </c>
      <c r="D571">
        <v>55152</v>
      </c>
      <c r="E571" t="s">
        <v>285</v>
      </c>
      <c r="F571">
        <v>8716</v>
      </c>
      <c r="G571">
        <v>0.17926881784195761</v>
      </c>
      <c r="H571">
        <v>7.3676809047921659E-64</v>
      </c>
      <c r="I571">
        <v>7.7498220305593953E-64</v>
      </c>
      <c r="J571">
        <v>0.14241986439968371</v>
      </c>
      <c r="K571">
        <v>1.0013199687156101E-40</v>
      </c>
      <c r="L571">
        <v>1.06765346822043E-40</v>
      </c>
      <c r="M571">
        <v>9.5356612208863087E-2</v>
      </c>
      <c r="N571">
        <v>1.282599875596447E-40</v>
      </c>
      <c r="O571">
        <v>1.3675670597842241E-40</v>
      </c>
      <c r="P571">
        <v>3.2137309050452957E-2</v>
      </c>
      <c r="Q571">
        <v>1.6070737279677709</v>
      </c>
      <c r="R571">
        <v>-28.474029197984251</v>
      </c>
      <c r="S571">
        <v>1.098800566061346</v>
      </c>
      <c r="T571">
        <v>0.85243003732538247</v>
      </c>
      <c r="U571">
        <v>4.3169497564249664</v>
      </c>
      <c r="V571">
        <v>0.1245965072716559</v>
      </c>
      <c r="W571">
        <v>-21.536372659476822</v>
      </c>
      <c r="X571">
        <v>1.1169581851616279</v>
      </c>
      <c r="Z571" t="s">
        <v>392</v>
      </c>
      <c r="AA571">
        <v>9937</v>
      </c>
      <c r="AB571" t="s">
        <v>962</v>
      </c>
      <c r="AC571" t="str">
        <f>HYPERLINK("plots/20251231000436_3FT6Y121H01_04823_B11P_N_UFLEX98_M5358A8BH101511/dpll_52084/txpa_55152.png","plot")</f>
        <v>plot</v>
      </c>
    </row>
    <row r="572" spans="1:29" x14ac:dyDescent="0.35">
      <c r="A572" t="s">
        <v>46</v>
      </c>
      <c r="B572">
        <v>52084</v>
      </c>
      <c r="C572" t="s">
        <v>52</v>
      </c>
      <c r="D572">
        <v>55153</v>
      </c>
      <c r="E572" t="s">
        <v>286</v>
      </c>
      <c r="F572">
        <v>8716</v>
      </c>
      <c r="G572">
        <v>0.12925393150526729</v>
      </c>
      <c r="H572">
        <v>8.6676810267849167E-34</v>
      </c>
      <c r="I572">
        <v>8.7802483128470575E-34</v>
      </c>
      <c r="J572">
        <v>0.1174908510325342</v>
      </c>
      <c r="K572">
        <v>3.5971243258649891E-28</v>
      </c>
      <c r="L572">
        <v>3.6621325968143559E-28</v>
      </c>
      <c r="M572">
        <v>7.8322368070886217E-2</v>
      </c>
      <c r="N572">
        <v>5.9337389373002082E-28</v>
      </c>
      <c r="O572">
        <v>6.0409751831550306E-28</v>
      </c>
      <c r="P572">
        <v>1.6706578809568339E-2</v>
      </c>
      <c r="Q572">
        <v>1.2507804633117059</v>
      </c>
      <c r="R572">
        <v>-27.249778794819161</v>
      </c>
      <c r="S572">
        <v>1.19552826188835</v>
      </c>
      <c r="T572">
        <v>0.92785617799480569</v>
      </c>
      <c r="U572">
        <v>4.3169497564249664</v>
      </c>
      <c r="V572">
        <v>0.1245965072716559</v>
      </c>
      <c r="W572">
        <v>-21.850222378384579</v>
      </c>
      <c r="X572">
        <v>1.2057109232759491</v>
      </c>
      <c r="Z572" t="s">
        <v>392</v>
      </c>
      <c r="AA572">
        <v>9937</v>
      </c>
      <c r="AB572" t="s">
        <v>963</v>
      </c>
      <c r="AC572" t="str">
        <f>HYPERLINK("plots/20251231000436_3FT6Y121H01_04823_B11P_N_UFLEX98_M5358A8BH101511/dpll_52084/txpa_55153.png","plot")</f>
        <v>plot</v>
      </c>
    </row>
    <row r="573" spans="1:29" x14ac:dyDescent="0.35">
      <c r="A573" t="s">
        <v>46</v>
      </c>
      <c r="B573">
        <v>52084</v>
      </c>
      <c r="C573" t="s">
        <v>52</v>
      </c>
      <c r="D573">
        <v>55154</v>
      </c>
      <c r="E573" t="s">
        <v>287</v>
      </c>
      <c r="F573">
        <v>8716</v>
      </c>
      <c r="G573">
        <v>0.19923862742524301</v>
      </c>
      <c r="H573">
        <v>9.6840843436204228E-79</v>
      </c>
      <c r="I573">
        <v>1.044644843024586E-78</v>
      </c>
      <c r="J573">
        <v>0.14361727956811129</v>
      </c>
      <c r="K573">
        <v>2.1644495867178069E-41</v>
      </c>
      <c r="L573">
        <v>2.3151391149070209E-41</v>
      </c>
      <c r="M573">
        <v>9.6854374018890216E-2</v>
      </c>
      <c r="N573">
        <v>7.5220931293328084E-42</v>
      </c>
      <c r="O573">
        <v>8.0457831573243326E-42</v>
      </c>
      <c r="P573">
        <v>3.9696030658294808E-2</v>
      </c>
      <c r="Q573">
        <v>1.8821361993974211</v>
      </c>
      <c r="R573">
        <v>-29.655515653302238</v>
      </c>
      <c r="S573">
        <v>1.1533545190352299</v>
      </c>
      <c r="T573">
        <v>0.88909423338297133</v>
      </c>
      <c r="U573">
        <v>4.3169497564249664</v>
      </c>
      <c r="V573">
        <v>0.1245965072716559</v>
      </c>
      <c r="W573">
        <v>-21.53042824575493</v>
      </c>
      <c r="X573">
        <v>1.177018732185644</v>
      </c>
      <c r="Z573" t="s">
        <v>392</v>
      </c>
      <c r="AA573">
        <v>9937</v>
      </c>
      <c r="AB573" t="s">
        <v>964</v>
      </c>
      <c r="AC573" t="str">
        <f>HYPERLINK("plots/20251231000436_3FT6Y121H01_04823_B11P_N_UFLEX98_M5358A8BH101511/dpll_52084/txpa_55154.png","plot")</f>
        <v>plot</v>
      </c>
    </row>
    <row r="574" spans="1:29" x14ac:dyDescent="0.35">
      <c r="A574" t="s">
        <v>46</v>
      </c>
      <c r="B574">
        <v>52084</v>
      </c>
      <c r="C574" t="s">
        <v>52</v>
      </c>
      <c r="D574">
        <v>55155</v>
      </c>
      <c r="E574" t="s">
        <v>288</v>
      </c>
      <c r="F574">
        <v>8716</v>
      </c>
      <c r="G574">
        <v>0.34608012554898132</v>
      </c>
      <c r="H574">
        <v>9.8775289387077258E-244</v>
      </c>
      <c r="I574">
        <v>1.195204575638381E-243</v>
      </c>
      <c r="J574">
        <v>0.20836893366231349</v>
      </c>
      <c r="K574">
        <v>4.1620412039026931E-86</v>
      </c>
      <c r="L574">
        <v>4.6530427571745648E-86</v>
      </c>
      <c r="M574">
        <v>0.1400676499614564</v>
      </c>
      <c r="N574">
        <v>1.2932573281196679E-85</v>
      </c>
      <c r="O574">
        <v>1.4442323025477349E-85</v>
      </c>
      <c r="P574">
        <v>0.1197714532999986</v>
      </c>
      <c r="Q574">
        <v>1.1413640441331721</v>
      </c>
      <c r="R574">
        <v>-13.03640308442397</v>
      </c>
      <c r="S574">
        <v>0.3855016179154796</v>
      </c>
      <c r="T574">
        <v>0.30644275270311572</v>
      </c>
      <c r="U574">
        <v>4.3169497564249664</v>
      </c>
      <c r="V574">
        <v>0.1245965072716559</v>
      </c>
      <c r="W574">
        <v>-8.10919185211106</v>
      </c>
      <c r="X574">
        <v>0.410916325226304</v>
      </c>
      <c r="Z574" t="s">
        <v>392</v>
      </c>
      <c r="AA574">
        <v>9937</v>
      </c>
      <c r="AB574" t="s">
        <v>965</v>
      </c>
      <c r="AC574" t="str">
        <f>HYPERLINK("plots/20251231000436_3FT6Y121H01_04823_B11P_N_UFLEX98_M5358A8BH101511/dpll_52084/txpa_55155.png","plot")</f>
        <v>plot</v>
      </c>
    </row>
    <row r="575" spans="1:29" x14ac:dyDescent="0.35">
      <c r="A575" t="s">
        <v>46</v>
      </c>
      <c r="B575">
        <v>52084</v>
      </c>
      <c r="C575" t="s">
        <v>52</v>
      </c>
      <c r="D575">
        <v>55156</v>
      </c>
      <c r="E575" t="s">
        <v>289</v>
      </c>
      <c r="F575">
        <v>8716</v>
      </c>
      <c r="G575">
        <v>0.35841673639285038</v>
      </c>
      <c r="H575">
        <v>1.5973982597644601E-262</v>
      </c>
      <c r="I575">
        <v>1.9825726259500139E-262</v>
      </c>
      <c r="J575">
        <v>0.27365042212849078</v>
      </c>
      <c r="K575">
        <v>1.6206399315995769E-149</v>
      </c>
      <c r="L575">
        <v>2.074910215457034E-149</v>
      </c>
      <c r="M575">
        <v>0.18446359676495749</v>
      </c>
      <c r="N575">
        <v>4.7831794982319818E-147</v>
      </c>
      <c r="O575">
        <v>6.1008100769902265E-147</v>
      </c>
      <c r="P575">
        <v>0.12846255692650199</v>
      </c>
      <c r="Q575">
        <v>0.9825616579534826</v>
      </c>
      <c r="R575">
        <v>-12.89242185276966</v>
      </c>
      <c r="S575">
        <v>0.3188566728158358</v>
      </c>
      <c r="T575">
        <v>0.25565147305454072</v>
      </c>
      <c r="U575">
        <v>4.3169497564249664</v>
      </c>
      <c r="V575">
        <v>0.1245965072716559</v>
      </c>
      <c r="W575">
        <v>-8.6507525427948586</v>
      </c>
      <c r="X575">
        <v>0.34156817561629188</v>
      </c>
      <c r="Z575" t="s">
        <v>392</v>
      </c>
      <c r="AA575">
        <v>9937</v>
      </c>
      <c r="AB575" t="s">
        <v>966</v>
      </c>
      <c r="AC575" t="str">
        <f>HYPERLINK("plots/20251231000436_3FT6Y121H01_04823_B11P_N_UFLEX98_M5358A8BH101511/dpll_52084/txpa_55156.png","plot")</f>
        <v>plot</v>
      </c>
    </row>
    <row r="576" spans="1:29" x14ac:dyDescent="0.35">
      <c r="A576" t="s">
        <v>46</v>
      </c>
      <c r="B576">
        <v>52084</v>
      </c>
      <c r="C576" t="s">
        <v>52</v>
      </c>
      <c r="D576">
        <v>55157</v>
      </c>
      <c r="E576" t="s">
        <v>290</v>
      </c>
      <c r="F576">
        <v>8716</v>
      </c>
      <c r="G576">
        <v>0.20183806663711201</v>
      </c>
      <c r="H576">
        <v>8.4142342710287869E-81</v>
      </c>
      <c r="I576">
        <v>9.1056921566949737E-81</v>
      </c>
      <c r="J576">
        <v>0.16908524588384971</v>
      </c>
      <c r="K576">
        <v>6.5370731251728309E-57</v>
      </c>
      <c r="L576">
        <v>7.0894033678344927E-57</v>
      </c>
      <c r="M576">
        <v>0.1118657515790948</v>
      </c>
      <c r="N576">
        <v>2.789190173811714E-55</v>
      </c>
      <c r="O576">
        <v>3.0248543703155919E-55</v>
      </c>
      <c r="P576">
        <v>4.0738605143807248E-2</v>
      </c>
      <c r="Q576">
        <v>0.7900091620853571</v>
      </c>
      <c r="R576">
        <v>-11.82203879214627</v>
      </c>
      <c r="S576">
        <v>0.47761558203601162</v>
      </c>
      <c r="T576">
        <v>0.37645961386658172</v>
      </c>
      <c r="U576">
        <v>4.3169497564249664</v>
      </c>
      <c r="V576">
        <v>0.1245965072716559</v>
      </c>
      <c r="W576">
        <v>-8.4116089323083987</v>
      </c>
      <c r="X576">
        <v>0.48767997012880709</v>
      </c>
      <c r="Z576" t="s">
        <v>392</v>
      </c>
      <c r="AA576">
        <v>9937</v>
      </c>
      <c r="AB576" t="s">
        <v>967</v>
      </c>
      <c r="AC576" t="str">
        <f>HYPERLINK("plots/20251231000436_3FT6Y121H01_04823_B11P_N_UFLEX98_M5358A8BH101511/dpll_52084/txpa_55157.png","plot")</f>
        <v>plot</v>
      </c>
    </row>
    <row r="577" spans="1:29" x14ac:dyDescent="0.35">
      <c r="A577" t="s">
        <v>46</v>
      </c>
      <c r="B577">
        <v>52084</v>
      </c>
      <c r="C577" t="s">
        <v>52</v>
      </c>
      <c r="D577">
        <v>55158</v>
      </c>
      <c r="E577" t="s">
        <v>291</v>
      </c>
      <c r="F577">
        <v>8716</v>
      </c>
      <c r="G577">
        <v>0.32056865990946332</v>
      </c>
      <c r="H577">
        <v>1.735218504470687E-207</v>
      </c>
      <c r="I577">
        <v>2.020105124607666E-207</v>
      </c>
      <c r="J577">
        <v>0.25295222931324163</v>
      </c>
      <c r="K577">
        <v>2.5561964803178959E-127</v>
      </c>
      <c r="L577">
        <v>3.093058748260557E-127</v>
      </c>
      <c r="M577">
        <v>0.17046012903272029</v>
      </c>
      <c r="N577">
        <v>7.2431945762955722E-126</v>
      </c>
      <c r="O577">
        <v>8.7644383059232817E-126</v>
      </c>
      <c r="P577">
        <v>0.10276426571614911</v>
      </c>
      <c r="Q577">
        <v>1.081364897484407</v>
      </c>
      <c r="R577">
        <v>-13.06825209062284</v>
      </c>
      <c r="S577">
        <v>0.39809382408707428</v>
      </c>
      <c r="T577">
        <v>0.32023694050966528</v>
      </c>
      <c r="U577">
        <v>4.3169497564249664</v>
      </c>
      <c r="V577">
        <v>0.1245965072716559</v>
      </c>
      <c r="W577">
        <v>-8.4000541598210194</v>
      </c>
      <c r="X577">
        <v>0.42029775883513287</v>
      </c>
      <c r="Z577" t="s">
        <v>392</v>
      </c>
      <c r="AA577">
        <v>9937</v>
      </c>
      <c r="AB577" t="s">
        <v>968</v>
      </c>
      <c r="AC577" t="str">
        <f>HYPERLINK("plots/20251231000436_3FT6Y121H01_04823_B11P_N_UFLEX98_M5358A8BH101511/dpll_52084/txpa_55158.png","plot")</f>
        <v>plot</v>
      </c>
    </row>
    <row r="578" spans="1:29" x14ac:dyDescent="0.35">
      <c r="A578" t="s">
        <v>46</v>
      </c>
      <c r="B578">
        <v>52084</v>
      </c>
      <c r="C578" t="s">
        <v>52</v>
      </c>
      <c r="D578">
        <v>55159</v>
      </c>
      <c r="E578" t="s">
        <v>292</v>
      </c>
      <c r="F578">
        <v>8716</v>
      </c>
      <c r="G578">
        <v>0.2188595308376354</v>
      </c>
      <c r="H578">
        <v>5.1476625817720432E-95</v>
      </c>
      <c r="I578">
        <v>5.6429511977479471E-95</v>
      </c>
      <c r="J578">
        <v>0.185790448863668</v>
      </c>
      <c r="K578">
        <v>1.5546513672167979E-68</v>
      </c>
      <c r="L578">
        <v>1.7023936137773569E-68</v>
      </c>
      <c r="M578">
        <v>0.1225293346090349</v>
      </c>
      <c r="N578">
        <v>5.8749374486499803E-66</v>
      </c>
      <c r="O578">
        <v>6.4332468390184442E-66</v>
      </c>
      <c r="P578">
        <v>4.7899494238469877E-2</v>
      </c>
      <c r="Q578">
        <v>0.83681158304889569</v>
      </c>
      <c r="R578">
        <v>-12.140166282195681</v>
      </c>
      <c r="S578">
        <v>0.46481974724507408</v>
      </c>
      <c r="T578">
        <v>0.35699082957379519</v>
      </c>
      <c r="U578">
        <v>4.3169497564249664</v>
      </c>
      <c r="V578">
        <v>0.1245965072716559</v>
      </c>
      <c r="W578">
        <v>-8.5276927225791628</v>
      </c>
      <c r="X578">
        <v>0.47639597916212062</v>
      </c>
      <c r="Z578" t="s">
        <v>392</v>
      </c>
      <c r="AA578">
        <v>9937</v>
      </c>
      <c r="AB578" t="s">
        <v>969</v>
      </c>
      <c r="AC578" t="str">
        <f>HYPERLINK("plots/20251231000436_3FT6Y121H01_04823_B11P_N_UFLEX98_M5358A8BH101511/dpll_52084/txpa_55159.png","plot")</f>
        <v>plot</v>
      </c>
    </row>
    <row r="579" spans="1:29" x14ac:dyDescent="0.35">
      <c r="A579" t="s">
        <v>46</v>
      </c>
      <c r="B579">
        <v>52084</v>
      </c>
      <c r="C579" t="s">
        <v>52</v>
      </c>
      <c r="D579">
        <v>55160</v>
      </c>
      <c r="E579" t="s">
        <v>293</v>
      </c>
      <c r="F579">
        <v>8716</v>
      </c>
      <c r="G579">
        <v>0.33996409303483072</v>
      </c>
      <c r="H579">
        <v>1.0017892707831579E-234</v>
      </c>
      <c r="I579">
        <v>1.1880869246480961E-234</v>
      </c>
      <c r="J579">
        <v>0.26802743461428807</v>
      </c>
      <c r="K579">
        <v>2.7440125533398768E-143</v>
      </c>
      <c r="L579">
        <v>3.460732250107755E-143</v>
      </c>
      <c r="M579">
        <v>0.17972270001021581</v>
      </c>
      <c r="N579">
        <v>1.0867021608282671E-139</v>
      </c>
      <c r="O579">
        <v>1.3553702227304581E-139</v>
      </c>
      <c r="P579">
        <v>0.11557558455299501</v>
      </c>
      <c r="Q579">
        <v>0.9571870983122106</v>
      </c>
      <c r="R579">
        <v>-12.443501362862451</v>
      </c>
      <c r="S579">
        <v>0.32989452021182758</v>
      </c>
      <c r="T579">
        <v>0.26529407435866909</v>
      </c>
      <c r="U579">
        <v>4.3169497564249664</v>
      </c>
      <c r="V579">
        <v>0.1245965072716559</v>
      </c>
      <c r="W579">
        <v>-8.3113727519504366</v>
      </c>
      <c r="X579">
        <v>0.35080813444310899</v>
      </c>
      <c r="Z579" t="s">
        <v>392</v>
      </c>
      <c r="AA579">
        <v>9937</v>
      </c>
      <c r="AB579" t="s">
        <v>970</v>
      </c>
      <c r="AC579" t="str">
        <f>HYPERLINK("plots/20251231000436_3FT6Y121H01_04823_B11P_N_UFLEX98_M5358A8BH101511/dpll_52084/txpa_55160.png","plot")</f>
        <v>plot</v>
      </c>
    </row>
    <row r="580" spans="1:29" x14ac:dyDescent="0.35">
      <c r="A580" t="s">
        <v>46</v>
      </c>
      <c r="B580">
        <v>52084</v>
      </c>
      <c r="C580" t="s">
        <v>52</v>
      </c>
      <c r="D580">
        <v>55161</v>
      </c>
      <c r="E580" t="s">
        <v>294</v>
      </c>
      <c r="F580">
        <v>8716</v>
      </c>
      <c r="G580">
        <v>0.24611047345655501</v>
      </c>
      <c r="H580">
        <v>2.03931029367367E-120</v>
      </c>
      <c r="I580">
        <v>2.272374327236376E-120</v>
      </c>
      <c r="J580">
        <v>0.2043858060399143</v>
      </c>
      <c r="K580">
        <v>7.5329781042423387E-83</v>
      </c>
      <c r="L580">
        <v>8.3846759579601869E-83</v>
      </c>
      <c r="M580">
        <v>0.13533771881106571</v>
      </c>
      <c r="N580">
        <v>4.6971639671585388E-80</v>
      </c>
      <c r="O580">
        <v>5.2225046740117969E-80</v>
      </c>
      <c r="P580">
        <v>6.0570365145009637E-2</v>
      </c>
      <c r="Q580">
        <v>0.76767277130905143</v>
      </c>
      <c r="R580">
        <v>-11.847282990092371</v>
      </c>
      <c r="S580">
        <v>0.37666834351207501</v>
      </c>
      <c r="T580">
        <v>0.29686300179975861</v>
      </c>
      <c r="U580">
        <v>4.3169497564249664</v>
      </c>
      <c r="V580">
        <v>0.1245965072716559</v>
      </c>
      <c r="W580">
        <v>-8.5332782069756767</v>
      </c>
      <c r="X580">
        <v>0.38864394793643381</v>
      </c>
      <c r="Z580" t="s">
        <v>392</v>
      </c>
      <c r="AA580">
        <v>9937</v>
      </c>
      <c r="AB580" t="s">
        <v>971</v>
      </c>
      <c r="AC580" t="str">
        <f>HYPERLINK("plots/20251231000436_3FT6Y121H01_04823_B11P_N_UFLEX98_M5358A8BH101511/dpll_52084/txpa_55161.png","plot")</f>
        <v>plot</v>
      </c>
    </row>
    <row r="581" spans="1:29" x14ac:dyDescent="0.35">
      <c r="A581" t="s">
        <v>46</v>
      </c>
      <c r="B581">
        <v>52084</v>
      </c>
      <c r="C581" t="s">
        <v>52</v>
      </c>
      <c r="D581">
        <v>55162</v>
      </c>
      <c r="E581" t="s">
        <v>295</v>
      </c>
      <c r="F581">
        <v>8716</v>
      </c>
      <c r="G581">
        <v>0.31012446222605072</v>
      </c>
      <c r="H581">
        <v>1.2438263307126511E-193</v>
      </c>
      <c r="I581">
        <v>1.4332271583438959E-193</v>
      </c>
      <c r="J581">
        <v>0.20704872850651701</v>
      </c>
      <c r="K581">
        <v>5.0886999077309431E-85</v>
      </c>
      <c r="L581">
        <v>5.6827551833030562E-85</v>
      </c>
      <c r="M581">
        <v>0.1391332091825363</v>
      </c>
      <c r="N581">
        <v>1.6724559709769009E-84</v>
      </c>
      <c r="O581">
        <v>1.8656439544230781E-84</v>
      </c>
      <c r="P581">
        <v>9.6177182070997125E-2</v>
      </c>
      <c r="Q581">
        <v>1.1301639855498189</v>
      </c>
      <c r="R581">
        <v>-13.00340082008816</v>
      </c>
      <c r="S581">
        <v>0.43164632064881719</v>
      </c>
      <c r="T581">
        <v>0.34702921993740038</v>
      </c>
      <c r="U581">
        <v>4.3169497564249664</v>
      </c>
      <c r="V581">
        <v>0.1245965072716559</v>
      </c>
      <c r="W581">
        <v>-8.124539677948599</v>
      </c>
      <c r="X581">
        <v>0.45405797476589088</v>
      </c>
      <c r="Z581" t="s">
        <v>392</v>
      </c>
      <c r="AA581">
        <v>9937</v>
      </c>
      <c r="AB581" t="s">
        <v>972</v>
      </c>
      <c r="AC581" t="str">
        <f>HYPERLINK("plots/20251231000436_3FT6Y121H01_04823_B11P_N_UFLEX98_M5358A8BH101511/dpll_52084/txpa_55162.png","plot")</f>
        <v>plot</v>
      </c>
    </row>
    <row r="582" spans="1:29" x14ac:dyDescent="0.35">
      <c r="A582" t="s">
        <v>46</v>
      </c>
      <c r="B582">
        <v>52084</v>
      </c>
      <c r="C582" t="s">
        <v>52</v>
      </c>
      <c r="D582">
        <v>55163</v>
      </c>
      <c r="E582" t="s">
        <v>296</v>
      </c>
      <c r="F582">
        <v>8716</v>
      </c>
      <c r="G582">
        <v>0.35404650946417149</v>
      </c>
      <c r="H582">
        <v>9.0525653284446886E-256</v>
      </c>
      <c r="I582">
        <v>1.104609054517799E-255</v>
      </c>
      <c r="J582">
        <v>0.21650044662657031</v>
      </c>
      <c r="K582">
        <v>5.7065382664186887E-93</v>
      </c>
      <c r="L582">
        <v>6.4580689756122206E-93</v>
      </c>
      <c r="M582">
        <v>0.1455020268351456</v>
      </c>
      <c r="N582">
        <v>3.0152906590427179E-92</v>
      </c>
      <c r="O582">
        <v>3.4200276602565048E-92</v>
      </c>
      <c r="P582">
        <v>0.1253489308637637</v>
      </c>
      <c r="Q582">
        <v>1.0359186776129909</v>
      </c>
      <c r="R582">
        <v>-6.6578843639520393</v>
      </c>
      <c r="S582">
        <v>0.34092881993082519</v>
      </c>
      <c r="T582">
        <v>0.27104087688231521</v>
      </c>
      <c r="U582">
        <v>4.3169497564249664</v>
      </c>
      <c r="V582">
        <v>0.1245965072716559</v>
      </c>
      <c r="W582">
        <v>-2.1858754809545662</v>
      </c>
      <c r="X582">
        <v>0.36456184596592628</v>
      </c>
      <c r="Z582" t="s">
        <v>392</v>
      </c>
      <c r="AA582">
        <v>9937</v>
      </c>
      <c r="AB582" t="s">
        <v>973</v>
      </c>
      <c r="AC582" t="str">
        <f>HYPERLINK("plots/20251231000436_3FT6Y121H01_04823_B11P_N_UFLEX98_M5358A8BH101511/dpll_52084/txpa_55163.png","plot")</f>
        <v>plot</v>
      </c>
    </row>
    <row r="583" spans="1:29" x14ac:dyDescent="0.35">
      <c r="A583" t="s">
        <v>46</v>
      </c>
      <c r="B583">
        <v>52084</v>
      </c>
      <c r="C583" t="s">
        <v>52</v>
      </c>
      <c r="D583">
        <v>55164</v>
      </c>
      <c r="E583" t="s">
        <v>297</v>
      </c>
      <c r="F583">
        <v>8716</v>
      </c>
      <c r="G583">
        <v>0.37874877370681298</v>
      </c>
      <c r="H583">
        <v>2.2665715274645432E-295</v>
      </c>
      <c r="I583">
        <v>2.942770203391865E-295</v>
      </c>
      <c r="J583">
        <v>0.28754839999082971</v>
      </c>
      <c r="K583">
        <v>1.4707310363221279E-165</v>
      </c>
      <c r="L583">
        <v>1.9622648300403129E-165</v>
      </c>
      <c r="M583">
        <v>0.193927533503883</v>
      </c>
      <c r="N583">
        <v>2.4729811924770409E-162</v>
      </c>
      <c r="O583">
        <v>3.2693649663255789E-162</v>
      </c>
      <c r="P583">
        <v>0.14345063358441459</v>
      </c>
      <c r="Q583">
        <v>0.91054758173308714</v>
      </c>
      <c r="R583">
        <v>-6.6122412378166544</v>
      </c>
      <c r="S583">
        <v>0.27720978891951198</v>
      </c>
      <c r="T583">
        <v>0.22255836763522791</v>
      </c>
      <c r="U583">
        <v>4.3169497564249664</v>
      </c>
      <c r="V583">
        <v>0.1245965072716559</v>
      </c>
      <c r="W583">
        <v>-2.6814530766406608</v>
      </c>
      <c r="X583">
        <v>0.29954169165552741</v>
      </c>
      <c r="Z583" t="s">
        <v>392</v>
      </c>
      <c r="AA583">
        <v>9937</v>
      </c>
      <c r="AB583" t="s">
        <v>974</v>
      </c>
      <c r="AC583" t="str">
        <f>HYPERLINK("plots/20251231000436_3FT6Y121H01_04823_B11P_N_UFLEX98_M5358A8BH101511/dpll_52084/txpa_55164.png","plot")</f>
        <v>plot</v>
      </c>
    </row>
    <row r="584" spans="1:29" x14ac:dyDescent="0.35">
      <c r="A584" t="s">
        <v>46</v>
      </c>
      <c r="B584">
        <v>52084</v>
      </c>
      <c r="C584" t="s">
        <v>52</v>
      </c>
      <c r="D584">
        <v>55165</v>
      </c>
      <c r="E584" t="s">
        <v>298</v>
      </c>
      <c r="F584">
        <v>8716</v>
      </c>
      <c r="G584">
        <v>0.21757388328134639</v>
      </c>
      <c r="H584">
        <v>6.7447693267590776E-94</v>
      </c>
      <c r="I584">
        <v>7.3698233807475268E-94</v>
      </c>
      <c r="J584">
        <v>0.18183939707109281</v>
      </c>
      <c r="K584">
        <v>1.110526982440465E-65</v>
      </c>
      <c r="L584">
        <v>1.212136017432327E-65</v>
      </c>
      <c r="M584">
        <v>0.120661177604193</v>
      </c>
      <c r="N584">
        <v>5.0342488963393707E-64</v>
      </c>
      <c r="O584">
        <v>5.4948637038623503E-64</v>
      </c>
      <c r="P584">
        <v>4.7338394686124941E-2</v>
      </c>
      <c r="Q584">
        <v>0.74602099551532841</v>
      </c>
      <c r="R584">
        <v>-5.7003642311742739</v>
      </c>
      <c r="S584">
        <v>0.41696017023525739</v>
      </c>
      <c r="T584">
        <v>0.32808922280528341</v>
      </c>
      <c r="U584">
        <v>4.3169497564249664</v>
      </c>
      <c r="V584">
        <v>0.1245965072716559</v>
      </c>
      <c r="W584">
        <v>-2.4798290762964661</v>
      </c>
      <c r="X584">
        <v>0.42721860266812062</v>
      </c>
      <c r="Z584" t="s">
        <v>392</v>
      </c>
      <c r="AA584">
        <v>9937</v>
      </c>
      <c r="AB584" t="s">
        <v>975</v>
      </c>
      <c r="AC584" t="str">
        <f>HYPERLINK("plots/20251231000436_3FT6Y121H01_04823_B11P_N_UFLEX98_M5358A8BH101511/dpll_52084/txpa_55165.png","plot")</f>
        <v>plot</v>
      </c>
    </row>
    <row r="585" spans="1:29" x14ac:dyDescent="0.35">
      <c r="A585" t="s">
        <v>46</v>
      </c>
      <c r="B585">
        <v>52084</v>
      </c>
      <c r="C585" t="s">
        <v>52</v>
      </c>
      <c r="D585">
        <v>55166</v>
      </c>
      <c r="E585" t="s">
        <v>299</v>
      </c>
      <c r="F585">
        <v>8716</v>
      </c>
      <c r="G585">
        <v>0.33545205599489952</v>
      </c>
      <c r="H585">
        <v>3.2769859515410298E-228</v>
      </c>
      <c r="I585">
        <v>3.8637950637937262E-228</v>
      </c>
      <c r="J585">
        <v>0.26727891475716592</v>
      </c>
      <c r="K585">
        <v>1.804233542099157E-142</v>
      </c>
      <c r="L585">
        <v>2.2670295064294239E-142</v>
      </c>
      <c r="M585">
        <v>0.18035111021741429</v>
      </c>
      <c r="N585">
        <v>1.1258595346656691E-140</v>
      </c>
      <c r="O585">
        <v>1.4111515057490589E-140</v>
      </c>
      <c r="P585">
        <v>0.11252808187120519</v>
      </c>
      <c r="Q585">
        <v>0.99386003407132406</v>
      </c>
      <c r="R585">
        <v>-6.7590246728720818</v>
      </c>
      <c r="S585">
        <v>0.34773870443862498</v>
      </c>
      <c r="T585">
        <v>0.27904167792410017</v>
      </c>
      <c r="U585">
        <v>4.3169497564249664</v>
      </c>
      <c r="V585">
        <v>0.1245965072716559</v>
      </c>
      <c r="W585">
        <v>-2.4685808408673702</v>
      </c>
      <c r="X585">
        <v>0.3691480995545271</v>
      </c>
      <c r="Z585" t="s">
        <v>392</v>
      </c>
      <c r="AA585">
        <v>9937</v>
      </c>
      <c r="AB585" t="s">
        <v>976</v>
      </c>
      <c r="AC585" t="str">
        <f>HYPERLINK("plots/20251231000436_3FT6Y121H01_04823_B11P_N_UFLEX98_M5358A8BH101511/dpll_52084/txpa_55166.png","plot")</f>
        <v>plot</v>
      </c>
    </row>
    <row r="586" spans="1:29" x14ac:dyDescent="0.35">
      <c r="A586" t="s">
        <v>46</v>
      </c>
      <c r="B586">
        <v>52084</v>
      </c>
      <c r="C586" t="s">
        <v>52</v>
      </c>
      <c r="D586">
        <v>55167</v>
      </c>
      <c r="E586" t="s">
        <v>300</v>
      </c>
      <c r="F586">
        <v>8716</v>
      </c>
      <c r="G586">
        <v>0.2322184646290798</v>
      </c>
      <c r="H586">
        <v>4.698015814870693E-107</v>
      </c>
      <c r="I586">
        <v>5.1780304742161769E-107</v>
      </c>
      <c r="J586">
        <v>0.19588501047036769</v>
      </c>
      <c r="K586">
        <v>4.0050217029951038E-76</v>
      </c>
      <c r="L586">
        <v>4.4190337397573837E-76</v>
      </c>
      <c r="M586">
        <v>0.12962851645329559</v>
      </c>
      <c r="N586">
        <v>1.311965840061451E-73</v>
      </c>
      <c r="O586">
        <v>1.4460145237199029E-73</v>
      </c>
      <c r="P586">
        <v>5.392541531468719E-2</v>
      </c>
      <c r="Q586">
        <v>0.78165818776231288</v>
      </c>
      <c r="R586">
        <v>-5.9542352071368443</v>
      </c>
      <c r="S586">
        <v>0.40790945608350421</v>
      </c>
      <c r="T586">
        <v>0.31200525693712172</v>
      </c>
      <c r="U586">
        <v>4.3169497564249664</v>
      </c>
      <c r="V586">
        <v>0.1245965072716559</v>
      </c>
      <c r="W586">
        <v>-2.579856083868747</v>
      </c>
      <c r="X586">
        <v>0.4193976574215979</v>
      </c>
      <c r="Z586" t="s">
        <v>392</v>
      </c>
      <c r="AA586">
        <v>9937</v>
      </c>
      <c r="AB586" t="s">
        <v>977</v>
      </c>
      <c r="AC586" t="str">
        <f>HYPERLINK("plots/20251231000436_3FT6Y121H01_04823_B11P_N_UFLEX98_M5358A8BH101511/dpll_52084/txpa_55167.png","plot")</f>
        <v>plot</v>
      </c>
    </row>
    <row r="587" spans="1:29" x14ac:dyDescent="0.35">
      <c r="A587" t="s">
        <v>46</v>
      </c>
      <c r="B587">
        <v>52084</v>
      </c>
      <c r="C587" t="s">
        <v>52</v>
      </c>
      <c r="D587">
        <v>55168</v>
      </c>
      <c r="E587" t="s">
        <v>301</v>
      </c>
      <c r="F587">
        <v>8716</v>
      </c>
      <c r="G587">
        <v>0.36169431642177258</v>
      </c>
      <c r="H587">
        <v>1.1699511174755861E-267</v>
      </c>
      <c r="I587">
        <v>1.464605472987955E-267</v>
      </c>
      <c r="J587">
        <v>0.2854359201943919</v>
      </c>
      <c r="K587">
        <v>4.6334729465628121E-163</v>
      </c>
      <c r="L587">
        <v>6.1176322497587121E-163</v>
      </c>
      <c r="M587">
        <v>0.1919493942693368</v>
      </c>
      <c r="N587">
        <v>4.4270536944244688E-159</v>
      </c>
      <c r="O587">
        <v>5.7997835221529868E-159</v>
      </c>
      <c r="P587">
        <v>0.13082277853181329</v>
      </c>
      <c r="Q587">
        <v>0.89664225791122754</v>
      </c>
      <c r="R587">
        <v>-6.2637170687442669</v>
      </c>
      <c r="S587">
        <v>0.28794705410548099</v>
      </c>
      <c r="T587">
        <v>0.2313661137733527</v>
      </c>
      <c r="U587">
        <v>4.3169497564249664</v>
      </c>
      <c r="V587">
        <v>0.1245965072716559</v>
      </c>
      <c r="W587">
        <v>-2.392957491854061</v>
      </c>
      <c r="X587">
        <v>0.3088754468500825</v>
      </c>
      <c r="Z587" t="s">
        <v>392</v>
      </c>
      <c r="AA587">
        <v>9937</v>
      </c>
      <c r="AB587" t="s">
        <v>978</v>
      </c>
      <c r="AC587" t="str">
        <f>HYPERLINK("plots/20251231000436_3FT6Y121H01_04823_B11P_N_UFLEX98_M5358A8BH101511/dpll_52084/txpa_55168.png","plot")</f>
        <v>plot</v>
      </c>
    </row>
    <row r="588" spans="1:29" x14ac:dyDescent="0.35">
      <c r="A588" t="s">
        <v>46</v>
      </c>
      <c r="B588">
        <v>52084</v>
      </c>
      <c r="C588" t="s">
        <v>52</v>
      </c>
      <c r="D588">
        <v>55169</v>
      </c>
      <c r="E588" t="s">
        <v>302</v>
      </c>
      <c r="F588">
        <v>8716</v>
      </c>
      <c r="G588">
        <v>0.26787681180308731</v>
      </c>
      <c r="H588">
        <v>4.0103574402771648E-143</v>
      </c>
      <c r="I588">
        <v>4.5233620071646782E-143</v>
      </c>
      <c r="J588">
        <v>0.21987167235338009</v>
      </c>
      <c r="K588">
        <v>6.7124511184587801E-96</v>
      </c>
      <c r="L588">
        <v>7.7610324220264582E-96</v>
      </c>
      <c r="M588">
        <v>0.146287432861614</v>
      </c>
      <c r="N588">
        <v>3.1758025488918039E-93</v>
      </c>
      <c r="O588">
        <v>3.6182739152542581E-93</v>
      </c>
      <c r="P588">
        <v>7.1757986301786633E-2</v>
      </c>
      <c r="Q588">
        <v>0.73124783350394129</v>
      </c>
      <c r="R588">
        <v>-5.7378741568458551</v>
      </c>
      <c r="S588">
        <v>0.32767328479389879</v>
      </c>
      <c r="T588">
        <v>0.25743774940994729</v>
      </c>
      <c r="U588">
        <v>4.3169497564249664</v>
      </c>
      <c r="V588">
        <v>0.1245965072716559</v>
      </c>
      <c r="W588">
        <v>-2.5811140001147321</v>
      </c>
      <c r="X588">
        <v>0.34012248164104197</v>
      </c>
      <c r="Z588" t="s">
        <v>392</v>
      </c>
      <c r="AA588">
        <v>9937</v>
      </c>
      <c r="AB588" t="s">
        <v>979</v>
      </c>
      <c r="AC588" t="str">
        <f>HYPERLINK("plots/20251231000436_3FT6Y121H01_04823_B11P_N_UFLEX98_M5358A8BH101511/dpll_52084/txpa_55169.png","plot")</f>
        <v>plot</v>
      </c>
    </row>
    <row r="589" spans="1:29" x14ac:dyDescent="0.35">
      <c r="A589" t="s">
        <v>46</v>
      </c>
      <c r="B589">
        <v>52084</v>
      </c>
      <c r="C589" t="s">
        <v>52</v>
      </c>
      <c r="D589">
        <v>55170</v>
      </c>
      <c r="E589" t="s">
        <v>303</v>
      </c>
      <c r="F589">
        <v>8716</v>
      </c>
      <c r="G589">
        <v>0.32034208444107171</v>
      </c>
      <c r="H589">
        <v>3.5146778607786403E-207</v>
      </c>
      <c r="I589">
        <v>4.0870221913182802E-207</v>
      </c>
      <c r="J589">
        <v>0.21692557172803639</v>
      </c>
      <c r="K589">
        <v>2.4529125138925251E-93</v>
      </c>
      <c r="L589">
        <v>2.7852780392911762E-93</v>
      </c>
      <c r="M589">
        <v>0.1460705178833048</v>
      </c>
      <c r="N589">
        <v>5.9106295992502947E-93</v>
      </c>
      <c r="O589">
        <v>6.7265750994835003E-93</v>
      </c>
      <c r="P589">
        <v>0.1026190510640507</v>
      </c>
      <c r="Q589">
        <v>1.03574862136164</v>
      </c>
      <c r="R589">
        <v>-6.6595348380988444</v>
      </c>
      <c r="S589">
        <v>0.38160120952188548</v>
      </c>
      <c r="T589">
        <v>0.30633200279745121</v>
      </c>
      <c r="U589">
        <v>4.3169497564249664</v>
      </c>
      <c r="V589">
        <v>0.1245965072716559</v>
      </c>
      <c r="W589">
        <v>-2.188260079394218</v>
      </c>
      <c r="X589">
        <v>0.40285265939459342</v>
      </c>
      <c r="Z589" t="s">
        <v>392</v>
      </c>
      <c r="AA589">
        <v>9937</v>
      </c>
      <c r="AB589" t="s">
        <v>980</v>
      </c>
      <c r="AC589" t="str">
        <f>HYPERLINK("plots/20251231000436_3FT6Y121H01_04823_B11P_N_UFLEX98_M5358A8BH101511/dpll_52084/txpa_55170.png","plot")</f>
        <v>plot</v>
      </c>
    </row>
    <row r="590" spans="1:29" x14ac:dyDescent="0.35">
      <c r="A590" t="s">
        <v>46</v>
      </c>
      <c r="B590">
        <v>52084</v>
      </c>
      <c r="C590" t="s">
        <v>52</v>
      </c>
      <c r="D590">
        <v>55171</v>
      </c>
      <c r="E590" t="s">
        <v>304</v>
      </c>
      <c r="F590">
        <v>8716</v>
      </c>
      <c r="G590">
        <v>0.37278989858674721</v>
      </c>
      <c r="H590">
        <v>1.6968134765892398E-285</v>
      </c>
      <c r="I590">
        <v>2.183463026981586E-285</v>
      </c>
      <c r="J590">
        <v>0.2321909273111519</v>
      </c>
      <c r="K590">
        <v>4.9836064324161581E-107</v>
      </c>
      <c r="L590">
        <v>5.8084792212298681E-107</v>
      </c>
      <c r="M590">
        <v>0.15640452682804171</v>
      </c>
      <c r="N590">
        <v>2.7268884874713919E-106</v>
      </c>
      <c r="O590">
        <v>3.181892895622546E-106</v>
      </c>
      <c r="P590">
        <v>0.13897230848831721</v>
      </c>
      <c r="Q590">
        <v>1.0428927105984751</v>
      </c>
      <c r="R590">
        <v>-3.8892055121882092</v>
      </c>
      <c r="S590">
        <v>0.32341861184663923</v>
      </c>
      <c r="T590">
        <v>0.25639452150746678</v>
      </c>
      <c r="U590">
        <v>4.3169497564249664</v>
      </c>
      <c r="V590">
        <v>0.1245965072716559</v>
      </c>
      <c r="W590">
        <v>0.61290992080725104</v>
      </c>
      <c r="X590">
        <v>0.34856306378538582</v>
      </c>
      <c r="Z590" t="s">
        <v>392</v>
      </c>
      <c r="AA590">
        <v>9937</v>
      </c>
      <c r="AB590" t="s">
        <v>981</v>
      </c>
      <c r="AC590" t="str">
        <f>HYPERLINK("plots/20251231000436_3FT6Y121H01_04823_B11P_N_UFLEX98_M5358A8BH101511/dpll_52084/txpa_55171.png","plot")</f>
        <v>plot</v>
      </c>
    </row>
    <row r="591" spans="1:29" x14ac:dyDescent="0.35">
      <c r="A591" t="s">
        <v>46</v>
      </c>
      <c r="B591">
        <v>52084</v>
      </c>
      <c r="C591" t="s">
        <v>52</v>
      </c>
      <c r="D591">
        <v>55172</v>
      </c>
      <c r="E591" t="s">
        <v>305</v>
      </c>
      <c r="F591">
        <v>8716</v>
      </c>
      <c r="G591">
        <v>0.40117227778231962</v>
      </c>
      <c r="H591">
        <v>0</v>
      </c>
      <c r="I591">
        <v>0</v>
      </c>
      <c r="J591">
        <v>0.30383902154842302</v>
      </c>
      <c r="K591">
        <v>1.464211115645906E-185</v>
      </c>
      <c r="L591">
        <v>2.0881998189380429E-185</v>
      </c>
      <c r="M591">
        <v>0.20525878990135171</v>
      </c>
      <c r="N591">
        <v>1.2907685465276919E-181</v>
      </c>
      <c r="O591">
        <v>1.830544484166545E-181</v>
      </c>
      <c r="P591">
        <v>0.16093919646105459</v>
      </c>
      <c r="Q591">
        <v>0.93161709980081187</v>
      </c>
      <c r="R591">
        <v>-3.873190282194833</v>
      </c>
      <c r="S591">
        <v>0.26502339131979569</v>
      </c>
      <c r="T591">
        <v>0.2118867550624437</v>
      </c>
      <c r="U591">
        <v>4.3169497564249664</v>
      </c>
      <c r="V591">
        <v>0.1245965072716559</v>
      </c>
      <c r="W591">
        <v>0.14855392987161539</v>
      </c>
      <c r="X591">
        <v>0.28934261707065162</v>
      </c>
      <c r="Z591" t="s">
        <v>392</v>
      </c>
      <c r="AA591">
        <v>9937</v>
      </c>
      <c r="AB591" t="s">
        <v>982</v>
      </c>
      <c r="AC591" t="str">
        <f>HYPERLINK("plots/20251231000436_3FT6Y121H01_04823_B11P_N_UFLEX98_M5358A8BH101511/dpll_52084/txpa_55172.png","plot")</f>
        <v>plot</v>
      </c>
    </row>
    <row r="592" spans="1:29" x14ac:dyDescent="0.35">
      <c r="A592" t="s">
        <v>46</v>
      </c>
      <c r="B592">
        <v>52084</v>
      </c>
      <c r="C592" t="s">
        <v>52</v>
      </c>
      <c r="D592">
        <v>55173</v>
      </c>
      <c r="E592" t="s">
        <v>306</v>
      </c>
      <c r="F592">
        <v>8716</v>
      </c>
      <c r="G592">
        <v>0.244580432060652</v>
      </c>
      <c r="H592">
        <v>6.6651639736855743E-119</v>
      </c>
      <c r="I592">
        <v>7.4106099444267241E-119</v>
      </c>
      <c r="J592">
        <v>0.20267516489790449</v>
      </c>
      <c r="K592">
        <v>1.7995295564734971E-81</v>
      </c>
      <c r="L592">
        <v>1.9964146282977301E-81</v>
      </c>
      <c r="M592">
        <v>0.1351782538159895</v>
      </c>
      <c r="N592">
        <v>6.9619660184070266E-80</v>
      </c>
      <c r="O592">
        <v>7.7321287433348579E-80</v>
      </c>
      <c r="P592">
        <v>5.9819587746975218E-2</v>
      </c>
      <c r="Q592">
        <v>0.79089014232090693</v>
      </c>
      <c r="R592">
        <v>-3.0836705436700309</v>
      </c>
      <c r="S592">
        <v>0.3906438641491331</v>
      </c>
      <c r="T592">
        <v>0.30647679410592021</v>
      </c>
      <c r="U592">
        <v>4.3169497564249664</v>
      </c>
      <c r="V592">
        <v>0.1245965072716559</v>
      </c>
      <c r="W592">
        <v>0.33056246358111518</v>
      </c>
      <c r="X592">
        <v>0.40290283461569382</v>
      </c>
      <c r="Z592" t="s">
        <v>392</v>
      </c>
      <c r="AA592">
        <v>9937</v>
      </c>
      <c r="AB592" t="s">
        <v>983</v>
      </c>
      <c r="AC592" t="str">
        <f>HYPERLINK("plots/20251231000436_3FT6Y121H01_04823_B11P_N_UFLEX98_M5358A8BH101511/dpll_52084/txpa_55173.png","plot")</f>
        <v>plot</v>
      </c>
    </row>
    <row r="593" spans="1:29" x14ac:dyDescent="0.35">
      <c r="A593" t="s">
        <v>46</v>
      </c>
      <c r="B593">
        <v>52084</v>
      </c>
      <c r="C593" t="s">
        <v>52</v>
      </c>
      <c r="D593">
        <v>55174</v>
      </c>
      <c r="E593" t="s">
        <v>307</v>
      </c>
      <c r="F593">
        <v>8716</v>
      </c>
      <c r="G593">
        <v>0.35844585429088183</v>
      </c>
      <c r="H593">
        <v>1.438991722774626E-262</v>
      </c>
      <c r="I593">
        <v>1.7881588319772931E-262</v>
      </c>
      <c r="J593">
        <v>0.28474240556110469</v>
      </c>
      <c r="K593">
        <v>3.02962552305196E-162</v>
      </c>
      <c r="L593">
        <v>3.9741788879362052E-162</v>
      </c>
      <c r="M593">
        <v>0.19265119220894181</v>
      </c>
      <c r="N593">
        <v>3.0953820096396042E-160</v>
      </c>
      <c r="O593">
        <v>4.0656960592934701E-160</v>
      </c>
      <c r="P593">
        <v>0.12848343045832011</v>
      </c>
      <c r="Q593">
        <v>1.0135154174559451</v>
      </c>
      <c r="R593">
        <v>-4.0316370814391904</v>
      </c>
      <c r="S593">
        <v>0.32887099713641299</v>
      </c>
      <c r="T593">
        <v>0.26398324125534811</v>
      </c>
      <c r="U593">
        <v>4.3169497564249664</v>
      </c>
      <c r="V593">
        <v>0.1245965072716559</v>
      </c>
      <c r="W593">
        <v>0.34365805308019731</v>
      </c>
      <c r="X593">
        <v>0.35230001845273751</v>
      </c>
      <c r="Z593" t="s">
        <v>392</v>
      </c>
      <c r="AA593">
        <v>9937</v>
      </c>
      <c r="AB593" t="s">
        <v>984</v>
      </c>
      <c r="AC593" t="str">
        <f>HYPERLINK("plots/20251231000436_3FT6Y121H01_04823_B11P_N_UFLEX98_M5358A8BH101511/dpll_52084/txpa_55174.png","plot")</f>
        <v>plot</v>
      </c>
    </row>
    <row r="594" spans="1:29" x14ac:dyDescent="0.35">
      <c r="A594" t="s">
        <v>46</v>
      </c>
      <c r="B594">
        <v>52084</v>
      </c>
      <c r="C594" t="s">
        <v>52</v>
      </c>
      <c r="D594">
        <v>55175</v>
      </c>
      <c r="E594" t="s">
        <v>308</v>
      </c>
      <c r="F594">
        <v>8716</v>
      </c>
      <c r="G594">
        <v>0.25682734890464382</v>
      </c>
      <c r="H594">
        <v>2.5308616382361858E-131</v>
      </c>
      <c r="I594">
        <v>2.8482726983035429E-131</v>
      </c>
      <c r="J594">
        <v>0.21413539240399851</v>
      </c>
      <c r="K594">
        <v>6.0533830394026074E-91</v>
      </c>
      <c r="L594">
        <v>6.8277312591259665E-91</v>
      </c>
      <c r="M594">
        <v>0.14261483634218339</v>
      </c>
      <c r="N594">
        <v>1.0627359647531839E-88</v>
      </c>
      <c r="O594">
        <v>1.200015888930656E-88</v>
      </c>
      <c r="P594">
        <v>6.5960287145387653E-2</v>
      </c>
      <c r="Q594">
        <v>0.81948776581990379</v>
      </c>
      <c r="R594">
        <v>-3.296186061437266</v>
      </c>
      <c r="S594">
        <v>0.38420660753430419</v>
      </c>
      <c r="T594">
        <v>0.29361100473337609</v>
      </c>
      <c r="U594">
        <v>4.3169497564249664</v>
      </c>
      <c r="V594">
        <v>0.1245965072716559</v>
      </c>
      <c r="W594">
        <v>0.2415014496122074</v>
      </c>
      <c r="X594">
        <v>0.39756402037589411</v>
      </c>
      <c r="Z594" t="s">
        <v>392</v>
      </c>
      <c r="AA594">
        <v>9937</v>
      </c>
      <c r="AB594" t="s">
        <v>985</v>
      </c>
      <c r="AC594" t="str">
        <f>HYPERLINK("plots/20251231000436_3FT6Y121H01_04823_B11P_N_UFLEX98_M5358A8BH101511/dpll_52084/txpa_55175.png","plot")</f>
        <v>plot</v>
      </c>
    </row>
    <row r="595" spans="1:29" x14ac:dyDescent="0.35">
      <c r="A595" t="s">
        <v>46</v>
      </c>
      <c r="B595">
        <v>52084</v>
      </c>
      <c r="C595" t="s">
        <v>52</v>
      </c>
      <c r="D595">
        <v>55176</v>
      </c>
      <c r="E595" t="s">
        <v>309</v>
      </c>
      <c r="F595">
        <v>8716</v>
      </c>
      <c r="G595">
        <v>0.3889572406822574</v>
      </c>
      <c r="H595">
        <v>0</v>
      </c>
      <c r="I595">
        <v>0</v>
      </c>
      <c r="J595">
        <v>0.30360757279515399</v>
      </c>
      <c r="K595">
        <v>2.877406670429816E-185</v>
      </c>
      <c r="L595">
        <v>4.0978797244604413E-185</v>
      </c>
      <c r="M595">
        <v>0.2048624113697281</v>
      </c>
      <c r="N595">
        <v>6.3539177875816227E-181</v>
      </c>
      <c r="O595">
        <v>8.9733602181166653E-181</v>
      </c>
      <c r="P595">
        <v>0.15128773507915549</v>
      </c>
      <c r="Q595">
        <v>0.92293368353561001</v>
      </c>
      <c r="R595">
        <v>-3.5736678532200288</v>
      </c>
      <c r="S595">
        <v>0.27235153547258217</v>
      </c>
      <c r="T595">
        <v>0.2186450909236817</v>
      </c>
      <c r="U595">
        <v>4.3169497564249664</v>
      </c>
      <c r="V595">
        <v>0.1245965072716559</v>
      </c>
      <c r="W595">
        <v>0.4105904871154199</v>
      </c>
      <c r="X595">
        <v>0.29564769950083181</v>
      </c>
      <c r="Z595" t="s">
        <v>392</v>
      </c>
      <c r="AA595">
        <v>9937</v>
      </c>
      <c r="AB595" t="s">
        <v>986</v>
      </c>
      <c r="AC595" t="str">
        <f>HYPERLINK("plots/20251231000436_3FT6Y121H01_04823_B11P_N_UFLEX98_M5358A8BH101511/dpll_52084/txpa_55176.png","plot")</f>
        <v>plot</v>
      </c>
    </row>
    <row r="596" spans="1:29" x14ac:dyDescent="0.35">
      <c r="A596" t="s">
        <v>46</v>
      </c>
      <c r="B596">
        <v>52084</v>
      </c>
      <c r="C596" t="s">
        <v>52</v>
      </c>
      <c r="D596">
        <v>55177</v>
      </c>
      <c r="E596" t="s">
        <v>310</v>
      </c>
      <c r="F596">
        <v>8716</v>
      </c>
      <c r="G596">
        <v>0.29690747795743128</v>
      </c>
      <c r="H596">
        <v>6.8634569156843779E-177</v>
      </c>
      <c r="I596">
        <v>7.8109375000044429E-177</v>
      </c>
      <c r="J596">
        <v>0.2406060815661647</v>
      </c>
      <c r="K596">
        <v>5.1033077662032846E-115</v>
      </c>
      <c r="L596">
        <v>6.0879459705060366E-115</v>
      </c>
      <c r="M596">
        <v>0.1610076272005927</v>
      </c>
      <c r="N596">
        <v>1.5998772087499141E-112</v>
      </c>
      <c r="O596">
        <v>1.9018469984436259E-112</v>
      </c>
      <c r="P596">
        <v>8.8154050467042569E-2</v>
      </c>
      <c r="Q596">
        <v>0.77055924538459353</v>
      </c>
      <c r="R596">
        <v>-3.0857070822109698</v>
      </c>
      <c r="S596">
        <v>0.30876395088940028</v>
      </c>
      <c r="T596">
        <v>0.24180745544176091</v>
      </c>
      <c r="U596">
        <v>4.3169497564249664</v>
      </c>
      <c r="V596">
        <v>0.1245965072716559</v>
      </c>
      <c r="W596">
        <v>0.24075846446305649</v>
      </c>
      <c r="X596">
        <v>0.32336332948329549</v>
      </c>
      <c r="Z596" t="s">
        <v>392</v>
      </c>
      <c r="AA596">
        <v>9937</v>
      </c>
      <c r="AB596" t="s">
        <v>987</v>
      </c>
      <c r="AC596" t="str">
        <f>HYPERLINK("plots/20251231000436_3FT6Y121H01_04823_B11P_N_UFLEX98_M5358A8BH101511/dpll_52084/txpa_55177.png","plot")</f>
        <v>plot</v>
      </c>
    </row>
    <row r="597" spans="1:29" x14ac:dyDescent="0.35">
      <c r="A597" t="s">
        <v>46</v>
      </c>
      <c r="B597">
        <v>52084</v>
      </c>
      <c r="C597" t="s">
        <v>52</v>
      </c>
      <c r="D597">
        <v>55178</v>
      </c>
      <c r="E597" t="s">
        <v>311</v>
      </c>
      <c r="F597">
        <v>8716</v>
      </c>
      <c r="G597">
        <v>0.34158223453937281</v>
      </c>
      <c r="H597">
        <v>4.3423950290108748E-237</v>
      </c>
      <c r="I597">
        <v>5.1924393389351741E-237</v>
      </c>
      <c r="J597">
        <v>0.2321937315585566</v>
      </c>
      <c r="K597">
        <v>4.9537484589232209E-107</v>
      </c>
      <c r="L597">
        <v>5.7803232880876259E-107</v>
      </c>
      <c r="M597">
        <v>0.15682618313004079</v>
      </c>
      <c r="N597">
        <v>7.4449628951610604E-107</v>
      </c>
      <c r="O597">
        <v>8.6972262392780134E-107</v>
      </c>
      <c r="P597">
        <v>0.1166784229529111</v>
      </c>
      <c r="Q597">
        <v>1.0485529838903029</v>
      </c>
      <c r="R597">
        <v>-3.9111998257767948</v>
      </c>
      <c r="S597">
        <v>0.35944750874182868</v>
      </c>
      <c r="T597">
        <v>0.28766749283270632</v>
      </c>
      <c r="U597">
        <v>4.3169497564249664</v>
      </c>
      <c r="V597">
        <v>0.1245965072716559</v>
      </c>
      <c r="W597">
        <v>0.61535072262712254</v>
      </c>
      <c r="X597">
        <v>0.38247316830801292</v>
      </c>
      <c r="Z597" t="s">
        <v>392</v>
      </c>
      <c r="AA597">
        <v>9937</v>
      </c>
      <c r="AB597" t="s">
        <v>988</v>
      </c>
      <c r="AC597" t="str">
        <f>HYPERLINK("plots/20251231000436_3FT6Y121H01_04823_B11P_N_UFLEX98_M5358A8BH101511/dpll_52084/txpa_55178.png","plot")</f>
        <v>plot</v>
      </c>
    </row>
    <row r="598" spans="1:29" x14ac:dyDescent="0.35">
      <c r="A598" t="s">
        <v>46</v>
      </c>
      <c r="B598">
        <v>52084</v>
      </c>
      <c r="C598" t="s">
        <v>52</v>
      </c>
      <c r="D598">
        <v>55179</v>
      </c>
      <c r="E598" t="s">
        <v>312</v>
      </c>
      <c r="F598">
        <v>8716</v>
      </c>
      <c r="G598">
        <v>0.41009173074389871</v>
      </c>
      <c r="H598">
        <v>0</v>
      </c>
      <c r="I598">
        <v>0</v>
      </c>
      <c r="J598">
        <v>0.2677097750593031</v>
      </c>
      <c r="K598">
        <v>6.1068027118690212E-143</v>
      </c>
      <c r="L598">
        <v>7.6922955898573763E-143</v>
      </c>
      <c r="M598">
        <v>0.1814051906887007</v>
      </c>
      <c r="N598">
        <v>2.6354975969892131E-142</v>
      </c>
      <c r="O598">
        <v>3.3115174267002013E-142</v>
      </c>
      <c r="P598">
        <v>0.1681752276245263</v>
      </c>
      <c r="Q598">
        <v>1.101174094266534</v>
      </c>
      <c r="R598">
        <v>-1.005084503514154</v>
      </c>
      <c r="S598">
        <v>0.30512082629191167</v>
      </c>
      <c r="T598">
        <v>0.23909609102019791</v>
      </c>
      <c r="U598">
        <v>4.3169497564249664</v>
      </c>
      <c r="V598">
        <v>0.1245965072716559</v>
      </c>
      <c r="W598">
        <v>3.748628734511243</v>
      </c>
      <c r="X598">
        <v>0.33456525883795951</v>
      </c>
      <c r="Z598" t="s">
        <v>392</v>
      </c>
      <c r="AA598">
        <v>9937</v>
      </c>
      <c r="AB598" t="s">
        <v>989</v>
      </c>
      <c r="AC598" t="str">
        <f>HYPERLINK("plots/20251231000436_3FT6Y121H01_04823_B11P_N_UFLEX98_M5358A8BH101511/dpll_52084/txpa_55179.png","plot")</f>
        <v>plot</v>
      </c>
    </row>
    <row r="599" spans="1:29" x14ac:dyDescent="0.35">
      <c r="A599" t="s">
        <v>46</v>
      </c>
      <c r="B599">
        <v>52084</v>
      </c>
      <c r="C599" t="s">
        <v>52</v>
      </c>
      <c r="D599">
        <v>55180</v>
      </c>
      <c r="E599" t="s">
        <v>313</v>
      </c>
      <c r="F599">
        <v>8716</v>
      </c>
      <c r="G599">
        <v>0.44128048925171198</v>
      </c>
      <c r="H599">
        <v>0</v>
      </c>
      <c r="I599">
        <v>0</v>
      </c>
      <c r="J599">
        <v>0.33407567041662428</v>
      </c>
      <c r="K599">
        <v>3.0274113912866951E-226</v>
      </c>
      <c r="L599">
        <v>4.7965549230698569E-226</v>
      </c>
      <c r="M599">
        <v>0.226643881918072</v>
      </c>
      <c r="N599">
        <v>5.6192558308061786E-221</v>
      </c>
      <c r="O599">
        <v>8.8066853360702712E-221</v>
      </c>
      <c r="P599">
        <v>0.19472847019423031</v>
      </c>
      <c r="Q599">
        <v>1.0088353005151149</v>
      </c>
      <c r="R599">
        <v>-1.0246644530647691</v>
      </c>
      <c r="S599">
        <v>0.25559812876252408</v>
      </c>
      <c r="T599">
        <v>0.20198958192930749</v>
      </c>
      <c r="U599">
        <v>4.3169497564249664</v>
      </c>
      <c r="V599">
        <v>0.1245965072716559</v>
      </c>
      <c r="W599">
        <v>3.330426851766866</v>
      </c>
      <c r="X599">
        <v>0.28484684439523289</v>
      </c>
      <c r="Z599" t="s">
        <v>392</v>
      </c>
      <c r="AA599">
        <v>9937</v>
      </c>
      <c r="AB599" t="s">
        <v>990</v>
      </c>
      <c r="AC599" t="str">
        <f>HYPERLINK("plots/20251231000436_3FT6Y121H01_04823_B11P_N_UFLEX98_M5358A8BH101511/dpll_52084/txpa_55180.png","plot")</f>
        <v>plot</v>
      </c>
    </row>
    <row r="600" spans="1:29" x14ac:dyDescent="0.35">
      <c r="A600" t="s">
        <v>46</v>
      </c>
      <c r="B600">
        <v>52084</v>
      </c>
      <c r="C600" t="s">
        <v>52</v>
      </c>
      <c r="D600">
        <v>55181</v>
      </c>
      <c r="E600" t="s">
        <v>314</v>
      </c>
      <c r="F600">
        <v>8716</v>
      </c>
      <c r="G600">
        <v>0.29809706091876448</v>
      </c>
      <c r="H600">
        <v>2.3196965147624539E-178</v>
      </c>
      <c r="I600">
        <v>2.645863066331978E-178</v>
      </c>
      <c r="J600">
        <v>0.24065052928377129</v>
      </c>
      <c r="K600">
        <v>4.6217678455897339E-115</v>
      </c>
      <c r="L600">
        <v>5.5199912784781994E-115</v>
      </c>
      <c r="M600">
        <v>0.16227041458378491</v>
      </c>
      <c r="N600">
        <v>2.8896584005839761E-114</v>
      </c>
      <c r="O600">
        <v>3.4553226629624429E-114</v>
      </c>
      <c r="P600">
        <v>8.8861857728405616E-2</v>
      </c>
      <c r="Q600">
        <v>0.90060964231524565</v>
      </c>
      <c r="R600">
        <v>-0.40283670968900642</v>
      </c>
      <c r="S600">
        <v>0.35929565493210092</v>
      </c>
      <c r="T600">
        <v>0.27954941971995928</v>
      </c>
      <c r="U600">
        <v>4.3169497564249664</v>
      </c>
      <c r="V600">
        <v>0.1245965072716559</v>
      </c>
      <c r="W600">
        <v>3.48504986633777</v>
      </c>
      <c r="X600">
        <v>0.37643046698214289</v>
      </c>
      <c r="Z600" t="s">
        <v>392</v>
      </c>
      <c r="AA600">
        <v>9937</v>
      </c>
      <c r="AB600" t="s">
        <v>991</v>
      </c>
      <c r="AC600" t="str">
        <f>HYPERLINK("plots/20251231000436_3FT6Y121H01_04823_B11P_N_UFLEX98_M5358A8BH101511/dpll_52084/txpa_55181.png","plot")</f>
        <v>plot</v>
      </c>
    </row>
    <row r="601" spans="1:29" x14ac:dyDescent="0.35">
      <c r="A601" t="s">
        <v>46</v>
      </c>
      <c r="B601">
        <v>52084</v>
      </c>
      <c r="C601" t="s">
        <v>52</v>
      </c>
      <c r="D601">
        <v>55182</v>
      </c>
      <c r="E601" t="s">
        <v>315</v>
      </c>
      <c r="F601">
        <v>8716</v>
      </c>
      <c r="G601">
        <v>0.4030216960464591</v>
      </c>
      <c r="H601">
        <v>0</v>
      </c>
      <c r="I601">
        <v>0</v>
      </c>
      <c r="J601">
        <v>0.31543109884845361</v>
      </c>
      <c r="K601">
        <v>1.33287764792268E-200</v>
      </c>
      <c r="L601">
        <v>1.9875557867552899E-200</v>
      </c>
      <c r="M601">
        <v>0.21489439801944091</v>
      </c>
      <c r="N601">
        <v>7.1568706514016917E-199</v>
      </c>
      <c r="O601">
        <v>1.0594258161344991E-198</v>
      </c>
      <c r="P601">
        <v>0.16242648748416449</v>
      </c>
      <c r="Q601">
        <v>1.0916906615777331</v>
      </c>
      <c r="R601">
        <v>-1.212509423863841</v>
      </c>
      <c r="S601">
        <v>0.30886136716384072</v>
      </c>
      <c r="T601">
        <v>0.24751265862935701</v>
      </c>
      <c r="U601">
        <v>4.3169497564249664</v>
      </c>
      <c r="V601">
        <v>0.1245965072716559</v>
      </c>
      <c r="W601">
        <v>3.5002643117255618</v>
      </c>
      <c r="X601">
        <v>0.33750253345663228</v>
      </c>
      <c r="Z601" t="s">
        <v>392</v>
      </c>
      <c r="AA601">
        <v>9937</v>
      </c>
      <c r="AB601" t="s">
        <v>992</v>
      </c>
      <c r="AC601" t="str">
        <f>HYPERLINK("plots/20251231000436_3FT6Y121H01_04823_B11P_N_UFLEX98_M5358A8BH101511/dpll_52084/txpa_55182.png","plot")</f>
        <v>plot</v>
      </c>
    </row>
    <row r="602" spans="1:29" x14ac:dyDescent="0.35">
      <c r="A602" t="s">
        <v>46</v>
      </c>
      <c r="B602">
        <v>52084</v>
      </c>
      <c r="C602" t="s">
        <v>52</v>
      </c>
      <c r="D602">
        <v>55183</v>
      </c>
      <c r="E602" t="s">
        <v>316</v>
      </c>
      <c r="F602">
        <v>8716</v>
      </c>
      <c r="G602">
        <v>0.3087220616610824</v>
      </c>
      <c r="H602">
        <v>8.1809597602365457E-192</v>
      </c>
      <c r="I602">
        <v>9.3946695321402696E-192</v>
      </c>
      <c r="J602">
        <v>0.2478197711894877</v>
      </c>
      <c r="K602">
        <v>4.0287285077645411E-122</v>
      </c>
      <c r="L602">
        <v>4.840202259328488E-122</v>
      </c>
      <c r="M602">
        <v>0.166783381581598</v>
      </c>
      <c r="N602">
        <v>1.342505016344489E-120</v>
      </c>
      <c r="O602">
        <v>1.6110060196133871E-120</v>
      </c>
      <c r="P602">
        <v>9.5309311356269161E-2</v>
      </c>
      <c r="Q602">
        <v>0.92367104537519129</v>
      </c>
      <c r="R602">
        <v>-0.57592069386735334</v>
      </c>
      <c r="S602">
        <v>0.35455260239924141</v>
      </c>
      <c r="T602">
        <v>0.27047395833747839</v>
      </c>
      <c r="U602">
        <v>4.3169497564249664</v>
      </c>
      <c r="V602">
        <v>0.1245965072716559</v>
      </c>
      <c r="W602">
        <v>3.4115208004818731</v>
      </c>
      <c r="X602">
        <v>0.37278251350903002</v>
      </c>
      <c r="Z602" t="s">
        <v>392</v>
      </c>
      <c r="AA602">
        <v>9937</v>
      </c>
      <c r="AB602" t="s">
        <v>993</v>
      </c>
      <c r="AC602" t="str">
        <f>HYPERLINK("plots/20251231000436_3FT6Y121H01_04823_B11P_N_UFLEX98_M5358A8BH101511/dpll_52084/txpa_55183.png","plot")</f>
        <v>plot</v>
      </c>
    </row>
    <row r="603" spans="1:29" x14ac:dyDescent="0.35">
      <c r="A603" t="s">
        <v>46</v>
      </c>
      <c r="B603">
        <v>52084</v>
      </c>
      <c r="C603" t="s">
        <v>52</v>
      </c>
      <c r="D603">
        <v>55184</v>
      </c>
      <c r="E603" t="s">
        <v>317</v>
      </c>
      <c r="F603">
        <v>8716</v>
      </c>
      <c r="G603">
        <v>0.43868779685453879</v>
      </c>
      <c r="H603">
        <v>0</v>
      </c>
      <c r="I603">
        <v>0</v>
      </c>
      <c r="J603">
        <v>0.33490062468504772</v>
      </c>
      <c r="K603">
        <v>2.014555490199724E-227</v>
      </c>
      <c r="L603">
        <v>3.2068434333791521E-227</v>
      </c>
      <c r="M603">
        <v>0.2275555750060019</v>
      </c>
      <c r="N603">
        <v>9.6590617914129301E-223</v>
      </c>
      <c r="O603">
        <v>1.5279701492188319E-222</v>
      </c>
      <c r="P603">
        <v>0.19244698310908909</v>
      </c>
      <c r="Q603">
        <v>1.010462443101839</v>
      </c>
      <c r="R603">
        <v>-0.80526179358650829</v>
      </c>
      <c r="S603">
        <v>0.25788797842451139</v>
      </c>
      <c r="T603">
        <v>0.20576773944723251</v>
      </c>
      <c r="U603">
        <v>4.3169497564249664</v>
      </c>
      <c r="V603">
        <v>0.1245965072716559</v>
      </c>
      <c r="W603">
        <v>3.5568538040385498</v>
      </c>
      <c r="X603">
        <v>0.28699246261782768</v>
      </c>
      <c r="Z603" t="s">
        <v>392</v>
      </c>
      <c r="AA603">
        <v>9937</v>
      </c>
      <c r="AB603" t="s">
        <v>994</v>
      </c>
      <c r="AC603" t="str">
        <f>HYPERLINK("plots/20251231000436_3FT6Y121H01_04823_B11P_N_UFLEX98_M5358A8BH101511/dpll_52084/txpa_55184.png","plot")</f>
        <v>plot</v>
      </c>
    </row>
    <row r="604" spans="1:29" x14ac:dyDescent="0.35">
      <c r="A604" t="s">
        <v>46</v>
      </c>
      <c r="B604">
        <v>52084</v>
      </c>
      <c r="C604" t="s">
        <v>52</v>
      </c>
      <c r="D604">
        <v>55185</v>
      </c>
      <c r="E604" t="s">
        <v>318</v>
      </c>
      <c r="F604">
        <v>8716</v>
      </c>
      <c r="G604">
        <v>0.35501809211017837</v>
      </c>
      <c r="H604">
        <v>2.9147227684911852E-257</v>
      </c>
      <c r="I604">
        <v>3.565173567249773E-257</v>
      </c>
      <c r="J604">
        <v>0.27981749747089307</v>
      </c>
      <c r="K604">
        <v>1.6056212849367851E-156</v>
      </c>
      <c r="L604">
        <v>2.08730767041782E-156</v>
      </c>
      <c r="M604">
        <v>0.18907944818531661</v>
      </c>
      <c r="N604">
        <v>1.9985778145905251E-154</v>
      </c>
      <c r="O604">
        <v>2.6048302107902219E-154</v>
      </c>
      <c r="P604">
        <v>0.1260378457255511</v>
      </c>
      <c r="Q604">
        <v>0.87801035035090669</v>
      </c>
      <c r="R604">
        <v>-0.37816403974725832</v>
      </c>
      <c r="S604">
        <v>0.28805566209525241</v>
      </c>
      <c r="T604">
        <v>0.2237238492986037</v>
      </c>
      <c r="U604">
        <v>4.3169497564249664</v>
      </c>
      <c r="V604">
        <v>0.1245965072716559</v>
      </c>
      <c r="W604">
        <v>3.4121625283386878</v>
      </c>
      <c r="X604">
        <v>0.30814492397231102</v>
      </c>
      <c r="Z604" t="s">
        <v>392</v>
      </c>
      <c r="AA604">
        <v>9937</v>
      </c>
      <c r="AB604" t="s">
        <v>995</v>
      </c>
      <c r="AC604" t="str">
        <f>HYPERLINK("plots/20251231000436_3FT6Y121H01_04823_B11P_N_UFLEX98_M5358A8BH101511/dpll_52084/txpa_55185.png","plot")</f>
        <v>plot</v>
      </c>
    </row>
    <row r="605" spans="1:29" x14ac:dyDescent="0.35">
      <c r="A605" t="s">
        <v>46</v>
      </c>
      <c r="B605">
        <v>52084</v>
      </c>
      <c r="C605" t="s">
        <v>52</v>
      </c>
      <c r="D605">
        <v>55186</v>
      </c>
      <c r="E605" t="s">
        <v>319</v>
      </c>
      <c r="F605">
        <v>8716</v>
      </c>
      <c r="G605">
        <v>0.38451674822649251</v>
      </c>
      <c r="H605">
        <v>3.9636009745594141E-305</v>
      </c>
      <c r="I605">
        <v>5.1993420287234734E-305</v>
      </c>
      <c r="J605">
        <v>0.26517887958930142</v>
      </c>
      <c r="K605">
        <v>3.4431898615880809E-140</v>
      </c>
      <c r="L605">
        <v>4.2891824565728675E-140</v>
      </c>
      <c r="M605">
        <v>0.18018906316937369</v>
      </c>
      <c r="N605">
        <v>1.9744565289701871E-140</v>
      </c>
      <c r="O605">
        <v>2.4686793099577928E-140</v>
      </c>
      <c r="P605">
        <v>0.1478531296666758</v>
      </c>
      <c r="Q605">
        <v>1.1137053446848331</v>
      </c>
      <c r="R605">
        <v>-1.0535892595824821</v>
      </c>
      <c r="S605">
        <v>0.33311425870139838</v>
      </c>
      <c r="T605">
        <v>0.26461328259122913</v>
      </c>
      <c r="U605">
        <v>4.3169497564249664</v>
      </c>
      <c r="V605">
        <v>0.1245965072716559</v>
      </c>
      <c r="W605">
        <v>3.7542207568838921</v>
      </c>
      <c r="X605">
        <v>0.36087841873605342</v>
      </c>
      <c r="Z605" t="s">
        <v>392</v>
      </c>
      <c r="AA605">
        <v>9937</v>
      </c>
      <c r="AB605" t="s">
        <v>996</v>
      </c>
      <c r="AC605" t="str">
        <f>HYPERLINK("plots/20251231000436_3FT6Y121H01_04823_B11P_N_UFLEX98_M5358A8BH101511/dpll_52084/txpa_55186.png","plot")</f>
        <v>plot</v>
      </c>
    </row>
    <row r="606" spans="1:29" x14ac:dyDescent="0.35">
      <c r="A606" t="s">
        <v>46</v>
      </c>
      <c r="B606">
        <v>52084</v>
      </c>
      <c r="C606" t="s">
        <v>52</v>
      </c>
      <c r="D606">
        <v>55187</v>
      </c>
      <c r="E606" t="s">
        <v>320</v>
      </c>
      <c r="F606">
        <v>8711</v>
      </c>
      <c r="G606">
        <v>0.43306597155125393</v>
      </c>
      <c r="H606">
        <v>0</v>
      </c>
      <c r="I606">
        <v>0</v>
      </c>
      <c r="J606">
        <v>0.29790329769807772</v>
      </c>
      <c r="K606">
        <v>5.0880913125036985E-178</v>
      </c>
      <c r="L606">
        <v>7.0675679327106161E-178</v>
      </c>
      <c r="M606">
        <v>0.20274193935716581</v>
      </c>
      <c r="N606">
        <v>3.8309680925343441E-177</v>
      </c>
      <c r="O606">
        <v>5.3286716678049734E-177</v>
      </c>
      <c r="P606">
        <v>0.18754613571563139</v>
      </c>
      <c r="Q606">
        <v>1.1455475086842679</v>
      </c>
      <c r="R606">
        <v>0.53152415316096047</v>
      </c>
      <c r="S606">
        <v>0.29644158441107171</v>
      </c>
      <c r="T606">
        <v>0.22911186177366069</v>
      </c>
      <c r="U606">
        <v>4.3171519593617269</v>
      </c>
      <c r="V606">
        <v>0.12433850915100229</v>
      </c>
      <c r="W606">
        <v>5.4770268248191938</v>
      </c>
      <c r="X606">
        <v>0.32890062657483388</v>
      </c>
      <c r="Z606" t="s">
        <v>392</v>
      </c>
      <c r="AA606">
        <v>9937</v>
      </c>
      <c r="AB606" t="s">
        <v>997</v>
      </c>
      <c r="AC606" t="str">
        <f>HYPERLINK("plots/20251231000436_3FT6Y121H01_04823_B11P_N_UFLEX98_M5358A8BH101511/dpll_52084/txpa_55187.png","plot")</f>
        <v>plot</v>
      </c>
    </row>
    <row r="607" spans="1:29" x14ac:dyDescent="0.35">
      <c r="A607" t="s">
        <v>46</v>
      </c>
      <c r="B607">
        <v>52084</v>
      </c>
      <c r="C607" t="s">
        <v>52</v>
      </c>
      <c r="D607">
        <v>55188</v>
      </c>
      <c r="E607" t="s">
        <v>321</v>
      </c>
      <c r="F607">
        <v>8716</v>
      </c>
      <c r="G607">
        <v>0.46763137467399751</v>
      </c>
      <c r="H607">
        <v>0</v>
      </c>
      <c r="I607">
        <v>0</v>
      </c>
      <c r="J607">
        <v>0.355444615241574</v>
      </c>
      <c r="K607">
        <v>6.4250043440054177E-258</v>
      </c>
      <c r="L607">
        <v>1.1252080146496529E-257</v>
      </c>
      <c r="M607">
        <v>0.24198896077940871</v>
      </c>
      <c r="N607">
        <v>1.2877020493474841E-251</v>
      </c>
      <c r="O607">
        <v>2.2131014882005921E-251</v>
      </c>
      <c r="P607">
        <v>0.21867910257949261</v>
      </c>
      <c r="Q607">
        <v>1.079780182889732</v>
      </c>
      <c r="R607">
        <v>0.42889564018244908</v>
      </c>
      <c r="S607">
        <v>0.25428888904123043</v>
      </c>
      <c r="T607">
        <v>0.19778573308476649</v>
      </c>
      <c r="U607">
        <v>4.3169497564249664</v>
      </c>
      <c r="V607">
        <v>0.1245965072716559</v>
      </c>
      <c r="W607">
        <v>5.090252437700781</v>
      </c>
      <c r="X607">
        <v>0.2876984879446996</v>
      </c>
      <c r="Z607" t="s">
        <v>392</v>
      </c>
      <c r="AA607">
        <v>9937</v>
      </c>
      <c r="AB607" t="s">
        <v>998</v>
      </c>
      <c r="AC607" t="str">
        <f>HYPERLINK("plots/20251231000436_3FT6Y121H01_04823_B11P_N_UFLEX98_M5358A8BH101511/dpll_52084/txpa_55188.png","plot")</f>
        <v>plot</v>
      </c>
    </row>
    <row r="608" spans="1:29" x14ac:dyDescent="0.35">
      <c r="A608" t="s">
        <v>46</v>
      </c>
      <c r="B608">
        <v>52084</v>
      </c>
      <c r="C608" t="s">
        <v>52</v>
      </c>
      <c r="D608">
        <v>55189</v>
      </c>
      <c r="E608" t="s">
        <v>322</v>
      </c>
      <c r="F608">
        <v>8716</v>
      </c>
      <c r="G608">
        <v>0.34049488652327448</v>
      </c>
      <c r="H608">
        <v>1.6873023974655561E-235</v>
      </c>
      <c r="I608">
        <v>2.0057733071864879E-235</v>
      </c>
      <c r="J608">
        <v>0.26753471345867402</v>
      </c>
      <c r="K608">
        <v>9.4858880033280982E-143</v>
      </c>
      <c r="L608">
        <v>1.193385910096116E-142</v>
      </c>
      <c r="M608">
        <v>0.1815583040403147</v>
      </c>
      <c r="N608">
        <v>1.523505128890055E-142</v>
      </c>
      <c r="O608">
        <v>1.921435573003129E-142</v>
      </c>
      <c r="P608">
        <v>0.11593676774849759</v>
      </c>
      <c r="Q608">
        <v>0.99473501267484388</v>
      </c>
      <c r="R608">
        <v>0.93173538045031634</v>
      </c>
      <c r="S608">
        <v>0.34223106432813549</v>
      </c>
      <c r="T608">
        <v>0.26415144402235707</v>
      </c>
      <c r="U608">
        <v>4.3169497564249664</v>
      </c>
      <c r="V608">
        <v>0.1245965072716559</v>
      </c>
      <c r="W608">
        <v>5.225956451124369</v>
      </c>
      <c r="X608">
        <v>0.36400108531920627</v>
      </c>
      <c r="Z608" t="s">
        <v>392</v>
      </c>
      <c r="AA608">
        <v>9937</v>
      </c>
      <c r="AB608" t="s">
        <v>999</v>
      </c>
      <c r="AC608" t="str">
        <f>HYPERLINK("plots/20251231000436_3FT6Y121H01_04823_B11P_N_UFLEX98_M5358A8BH101511/dpll_52084/txpa_55189.png","plot")</f>
        <v>plot</v>
      </c>
    </row>
    <row r="609" spans="1:29" x14ac:dyDescent="0.35">
      <c r="A609" t="s">
        <v>46</v>
      </c>
      <c r="B609">
        <v>52084</v>
      </c>
      <c r="C609" t="s">
        <v>52</v>
      </c>
      <c r="D609">
        <v>55190</v>
      </c>
      <c r="E609" t="s">
        <v>323</v>
      </c>
      <c r="F609">
        <v>8716</v>
      </c>
      <c r="G609">
        <v>0.43474311166387558</v>
      </c>
      <c r="H609">
        <v>0</v>
      </c>
      <c r="I609">
        <v>0</v>
      </c>
      <c r="J609">
        <v>0.33540259700471498</v>
      </c>
      <c r="K609">
        <v>3.8572818994212939E-228</v>
      </c>
      <c r="L609">
        <v>6.1692174227337415E-228</v>
      </c>
      <c r="M609">
        <v>0.22982345595545961</v>
      </c>
      <c r="N609">
        <v>3.6632786123443142E-227</v>
      </c>
      <c r="O609">
        <v>5.8497078943576921E-227</v>
      </c>
      <c r="P609">
        <v>0.189001573139189</v>
      </c>
      <c r="Q609">
        <v>1.1635062550129209</v>
      </c>
      <c r="R609">
        <v>0.21940768620395451</v>
      </c>
      <c r="S609">
        <v>0.30028039047670851</v>
      </c>
      <c r="T609">
        <v>0.2394468380391446</v>
      </c>
      <c r="U609">
        <v>4.3169497564249664</v>
      </c>
      <c r="V609">
        <v>0.1245965072716559</v>
      </c>
      <c r="W609">
        <v>5.2422057303809089</v>
      </c>
      <c r="X609">
        <v>0.33345856823010023</v>
      </c>
      <c r="Z609" t="s">
        <v>392</v>
      </c>
      <c r="AA609">
        <v>9937</v>
      </c>
      <c r="AB609" t="s">
        <v>1000</v>
      </c>
      <c r="AC609" t="str">
        <f>HYPERLINK("plots/20251231000436_3FT6Y121H01_04823_B11P_N_UFLEX98_M5358A8BH101511/dpll_52084/txpa_55190.png","plot")</f>
        <v>plot</v>
      </c>
    </row>
    <row r="610" spans="1:29" x14ac:dyDescent="0.35">
      <c r="A610" t="s">
        <v>46</v>
      </c>
      <c r="B610">
        <v>52084</v>
      </c>
      <c r="C610" t="s">
        <v>52</v>
      </c>
      <c r="D610">
        <v>55191</v>
      </c>
      <c r="E610" t="s">
        <v>324</v>
      </c>
      <c r="F610">
        <v>8716</v>
      </c>
      <c r="G610">
        <v>0.34982076532904899</v>
      </c>
      <c r="H610">
        <v>2.4310872713978208E-249</v>
      </c>
      <c r="I610">
        <v>2.9522425068232219E-249</v>
      </c>
      <c r="J610">
        <v>0.27137364123368529</v>
      </c>
      <c r="K610">
        <v>5.6198825887433286E-147</v>
      </c>
      <c r="L610">
        <v>7.1680011886613019E-147</v>
      </c>
      <c r="M610">
        <v>0.18374425620731211</v>
      </c>
      <c r="N610">
        <v>6.0084801445651517E-146</v>
      </c>
      <c r="O610">
        <v>7.6540186766194268E-146</v>
      </c>
      <c r="P610">
        <v>0.1223745678554016</v>
      </c>
      <c r="Q610">
        <v>1.0119423892902719</v>
      </c>
      <c r="R610">
        <v>0.7938450921763156</v>
      </c>
      <c r="S610">
        <v>0.33763367506024788</v>
      </c>
      <c r="T610">
        <v>0.25737465269137932</v>
      </c>
      <c r="U610">
        <v>4.3169497564249664</v>
      </c>
      <c r="V610">
        <v>0.1245965072716559</v>
      </c>
      <c r="W610">
        <v>5.1623495431390554</v>
      </c>
      <c r="X610">
        <v>0.36042596598605131</v>
      </c>
      <c r="Z610" t="s">
        <v>392</v>
      </c>
      <c r="AA610">
        <v>9937</v>
      </c>
      <c r="AB610" t="s">
        <v>1001</v>
      </c>
      <c r="AC610" t="str">
        <f>HYPERLINK("plots/20251231000436_3FT6Y121H01_04823_B11P_N_UFLEX98_M5358A8BH101511/dpll_52084/txpa_55191.png","plot")</f>
        <v>plot</v>
      </c>
    </row>
    <row r="611" spans="1:29" x14ac:dyDescent="0.35">
      <c r="A611" t="s">
        <v>46</v>
      </c>
      <c r="B611">
        <v>52084</v>
      </c>
      <c r="C611" t="s">
        <v>52</v>
      </c>
      <c r="D611">
        <v>55192</v>
      </c>
      <c r="E611" t="s">
        <v>325</v>
      </c>
      <c r="F611">
        <v>8716</v>
      </c>
      <c r="G611">
        <v>0.4717436055187435</v>
      </c>
      <c r="H611">
        <v>0</v>
      </c>
      <c r="I611">
        <v>0</v>
      </c>
      <c r="J611">
        <v>0.35537109121111182</v>
      </c>
      <c r="K611">
        <v>8.3397270392164851E-258</v>
      </c>
      <c r="L611">
        <v>1.458014347890606E-257</v>
      </c>
      <c r="M611">
        <v>0.2426922694783418</v>
      </c>
      <c r="N611">
        <v>4.5442281137855539E-253</v>
      </c>
      <c r="O611">
        <v>7.8901494989358765E-253</v>
      </c>
      <c r="P611">
        <v>0.22254202934782391</v>
      </c>
      <c r="Q611">
        <v>1.087402767889293</v>
      </c>
      <c r="R611">
        <v>0.59824970176564918</v>
      </c>
      <c r="S611">
        <v>0.2532233940194677</v>
      </c>
      <c r="T611">
        <v>0.19999504770722501</v>
      </c>
      <c r="U611">
        <v>4.3169497564249664</v>
      </c>
      <c r="V611">
        <v>0.1245965072716559</v>
      </c>
      <c r="W611">
        <v>5.2925128157411656</v>
      </c>
      <c r="X611">
        <v>0.28720386517492252</v>
      </c>
      <c r="Z611" t="s">
        <v>392</v>
      </c>
      <c r="AA611">
        <v>9937</v>
      </c>
      <c r="AB611" t="s">
        <v>1002</v>
      </c>
      <c r="AC611" t="str">
        <f>HYPERLINK("plots/20251231000436_3FT6Y121H01_04823_B11P_N_UFLEX98_M5358A8BH101511/dpll_52084/txpa_55192.png","plot")</f>
        <v>plot</v>
      </c>
    </row>
    <row r="612" spans="1:29" x14ac:dyDescent="0.35">
      <c r="A612" t="s">
        <v>46</v>
      </c>
      <c r="B612">
        <v>52084</v>
      </c>
      <c r="C612" t="s">
        <v>52</v>
      </c>
      <c r="D612">
        <v>55193</v>
      </c>
      <c r="E612" t="s">
        <v>326</v>
      </c>
      <c r="F612">
        <v>8716</v>
      </c>
      <c r="G612">
        <v>0.39881460380078909</v>
      </c>
      <c r="H612">
        <v>0</v>
      </c>
      <c r="I612">
        <v>0</v>
      </c>
      <c r="J612">
        <v>0.30697010343792008</v>
      </c>
      <c r="K612">
        <v>1.4792106290589639E-189</v>
      </c>
      <c r="L612">
        <v>2.1366375753073921E-189</v>
      </c>
      <c r="M612">
        <v>0.208815029006437</v>
      </c>
      <c r="N612">
        <v>6.7762588497030247E-188</v>
      </c>
      <c r="O612">
        <v>9.8299377304704817E-188</v>
      </c>
      <c r="P612">
        <v>0.1590530882047804</v>
      </c>
      <c r="Q612">
        <v>0.97035981206115218</v>
      </c>
      <c r="R612">
        <v>0.97530363073998849</v>
      </c>
      <c r="S612">
        <v>0.2779886035810073</v>
      </c>
      <c r="T612">
        <v>0.21452753631709029</v>
      </c>
      <c r="U612">
        <v>4.3169497564249664</v>
      </c>
      <c r="V612">
        <v>0.1245965072716559</v>
      </c>
      <c r="W612">
        <v>5.1642981850619556</v>
      </c>
      <c r="X612">
        <v>0.30315701137160989</v>
      </c>
      <c r="Z612" t="s">
        <v>392</v>
      </c>
      <c r="AA612">
        <v>9937</v>
      </c>
      <c r="AB612" t="s">
        <v>1003</v>
      </c>
      <c r="AC612" t="str">
        <f>HYPERLINK("plots/20251231000436_3FT6Y121H01_04823_B11P_N_UFLEX98_M5358A8BH101511/dpll_52084/txpa_55193.png","plot")</f>
        <v>plot</v>
      </c>
    </row>
    <row r="613" spans="1:29" x14ac:dyDescent="0.35">
      <c r="A613" t="s">
        <v>46</v>
      </c>
      <c r="B613">
        <v>52084</v>
      </c>
      <c r="C613" t="s">
        <v>52</v>
      </c>
      <c r="D613">
        <v>55194</v>
      </c>
      <c r="E613" t="s">
        <v>327</v>
      </c>
      <c r="F613">
        <v>8713</v>
      </c>
      <c r="G613">
        <v>0.41544875233007439</v>
      </c>
      <c r="H613">
        <v>0</v>
      </c>
      <c r="I613">
        <v>0</v>
      </c>
      <c r="J613">
        <v>0.29220132374559371</v>
      </c>
      <c r="K613">
        <v>4.4277600865001206E-171</v>
      </c>
      <c r="L613">
        <v>6.0672280104204356E-171</v>
      </c>
      <c r="M613">
        <v>0.19932241835026049</v>
      </c>
      <c r="N613">
        <v>2.51555031350061E-171</v>
      </c>
      <c r="O613">
        <v>3.4330659729335378E-171</v>
      </c>
      <c r="P613">
        <v>0.17259766581261549</v>
      </c>
      <c r="Q613">
        <v>1.168269291974775</v>
      </c>
      <c r="R613">
        <v>0.43921002694566003</v>
      </c>
      <c r="S613">
        <v>0.31838959733256678</v>
      </c>
      <c r="T613">
        <v>0.25098432220044609</v>
      </c>
      <c r="U613">
        <v>4.3170582030299549</v>
      </c>
      <c r="V613">
        <v>0.1244800975877976</v>
      </c>
      <c r="W613">
        <v>5.4826965572133588</v>
      </c>
      <c r="X613">
        <v>0.35004624435195281</v>
      </c>
      <c r="Z613" t="s">
        <v>392</v>
      </c>
      <c r="AA613">
        <v>9937</v>
      </c>
      <c r="AB613" t="s">
        <v>1004</v>
      </c>
      <c r="AC613" t="str">
        <f>HYPERLINK("plots/20251231000436_3FT6Y121H01_04823_B11P_N_UFLEX98_M5358A8BH101511/dpll_52084/txpa_55194.png","plot")</f>
        <v>plot</v>
      </c>
    </row>
    <row r="614" spans="1:29" x14ac:dyDescent="0.35">
      <c r="A614" t="s">
        <v>46</v>
      </c>
      <c r="B614">
        <v>52084</v>
      </c>
      <c r="C614" t="s">
        <v>52</v>
      </c>
      <c r="D614">
        <v>55195</v>
      </c>
      <c r="E614" t="s">
        <v>328</v>
      </c>
      <c r="F614">
        <v>8695</v>
      </c>
      <c r="G614">
        <v>0.44894738976476167</v>
      </c>
      <c r="H614">
        <v>0</v>
      </c>
      <c r="I614">
        <v>0</v>
      </c>
      <c r="J614">
        <v>0.34087457643015923</v>
      </c>
      <c r="K614">
        <v>1.7245615360101188E-235</v>
      </c>
      <c r="L614">
        <v>2.8159507206348809E-235</v>
      </c>
      <c r="M614">
        <v>0.23347450517833859</v>
      </c>
      <c r="N614">
        <v>8.24251017119898E-234</v>
      </c>
      <c r="O614">
        <v>1.341557835248117E-233</v>
      </c>
      <c r="P614">
        <v>0.2015537587765929</v>
      </c>
      <c r="Q614">
        <v>1.1901450744004329</v>
      </c>
      <c r="R614">
        <v>2.3835220125558321</v>
      </c>
      <c r="S614">
        <v>0.29224474163080583</v>
      </c>
      <c r="T614">
        <v>0.21889361872015309</v>
      </c>
      <c r="U614">
        <v>4.3178360200115007</v>
      </c>
      <c r="V614">
        <v>0.12337989258465169</v>
      </c>
      <c r="W614">
        <v>7.5223732838412882</v>
      </c>
      <c r="X614">
        <v>0.32707612247532752</v>
      </c>
      <c r="Z614" t="s">
        <v>392</v>
      </c>
      <c r="AA614">
        <v>9937</v>
      </c>
      <c r="AB614" t="s">
        <v>1005</v>
      </c>
      <c r="AC614" t="str">
        <f>HYPERLINK("plots/20251231000436_3FT6Y121H01_04823_B11P_N_UFLEX98_M5358A8BH101511/dpll_52084/txpa_55195.png","plot")</f>
        <v>plot</v>
      </c>
    </row>
    <row r="615" spans="1:29" x14ac:dyDescent="0.35">
      <c r="A615" t="s">
        <v>46</v>
      </c>
      <c r="B615">
        <v>52084</v>
      </c>
      <c r="C615" t="s">
        <v>52</v>
      </c>
      <c r="D615">
        <v>55196</v>
      </c>
      <c r="E615" t="s">
        <v>329</v>
      </c>
      <c r="F615">
        <v>8714</v>
      </c>
      <c r="G615">
        <v>0.49287107839535621</v>
      </c>
      <c r="H615">
        <v>0</v>
      </c>
      <c r="I615">
        <v>0</v>
      </c>
      <c r="J615">
        <v>0.38278893330623509</v>
      </c>
      <c r="K615">
        <v>4.0786389755641131E-302</v>
      </c>
      <c r="L615">
        <v>8.2880559543527272E-302</v>
      </c>
      <c r="M615">
        <v>0.26207358193614327</v>
      </c>
      <c r="N615">
        <v>1.1161567185904551E-294</v>
      </c>
      <c r="O615">
        <v>2.2235420680760739E-294</v>
      </c>
      <c r="P615">
        <v>0.2429218999186013</v>
      </c>
      <c r="Q615">
        <v>1.181943637730277</v>
      </c>
      <c r="R615">
        <v>2.0791145392192401</v>
      </c>
      <c r="S615">
        <v>0.2597799775652217</v>
      </c>
      <c r="T615">
        <v>0.19562747036805481</v>
      </c>
      <c r="U615">
        <v>4.3170257554509979</v>
      </c>
      <c r="V615">
        <v>0.1245078750823482</v>
      </c>
      <c r="W615">
        <v>7.1815956647922894</v>
      </c>
      <c r="X615">
        <v>0.29857968392061368</v>
      </c>
      <c r="Z615" t="s">
        <v>392</v>
      </c>
      <c r="AA615">
        <v>9937</v>
      </c>
      <c r="AB615" t="s">
        <v>1006</v>
      </c>
      <c r="AC615" t="str">
        <f>HYPERLINK("plots/20251231000436_3FT6Y121H01_04823_B11P_N_UFLEX98_M5358A8BH101511/dpll_52084/txpa_55196.png","plot")</f>
        <v>plot</v>
      </c>
    </row>
    <row r="616" spans="1:29" x14ac:dyDescent="0.35">
      <c r="A616" t="s">
        <v>46</v>
      </c>
      <c r="B616">
        <v>52084</v>
      </c>
      <c r="C616" t="s">
        <v>52</v>
      </c>
      <c r="D616">
        <v>55197</v>
      </c>
      <c r="E616" t="s">
        <v>330</v>
      </c>
      <c r="F616">
        <v>8716</v>
      </c>
      <c r="G616">
        <v>0.40205496519731349</v>
      </c>
      <c r="H616">
        <v>0</v>
      </c>
      <c r="I616">
        <v>0</v>
      </c>
      <c r="J616">
        <v>0.30464857792710248</v>
      </c>
      <c r="K616">
        <v>1.371674748814562E-186</v>
      </c>
      <c r="L616">
        <v>1.96729589151056E-186</v>
      </c>
      <c r="M616">
        <v>0.20813681754927921</v>
      </c>
      <c r="N616">
        <v>1.083624675412493E-186</v>
      </c>
      <c r="O616">
        <v>1.5652356422624901E-186</v>
      </c>
      <c r="P616">
        <v>0.16164819503981301</v>
      </c>
      <c r="Q616">
        <v>1.1441457023042121</v>
      </c>
      <c r="R616">
        <v>2.3476914643411519</v>
      </c>
      <c r="S616">
        <v>0.32463101436846109</v>
      </c>
      <c r="T616">
        <v>0.24743981880820309</v>
      </c>
      <c r="U616">
        <v>4.3169497564249664</v>
      </c>
      <c r="V616">
        <v>0.1245965072716559</v>
      </c>
      <c r="W616">
        <v>7.2869109752179897</v>
      </c>
      <c r="X616">
        <v>0.35456982417073019</v>
      </c>
      <c r="Z616" t="s">
        <v>392</v>
      </c>
      <c r="AA616">
        <v>9937</v>
      </c>
      <c r="AB616" t="s">
        <v>1007</v>
      </c>
      <c r="AC616" t="str">
        <f>HYPERLINK("plots/20251231000436_3FT6Y121H01_04823_B11P_N_UFLEX98_M5358A8BH101511/dpll_52084/txpa_55197.png","plot")</f>
        <v>plot</v>
      </c>
    </row>
    <row r="617" spans="1:29" x14ac:dyDescent="0.35">
      <c r="A617" t="s">
        <v>46</v>
      </c>
      <c r="B617">
        <v>52084</v>
      </c>
      <c r="C617" t="s">
        <v>52</v>
      </c>
      <c r="D617">
        <v>55198</v>
      </c>
      <c r="E617" t="s">
        <v>331</v>
      </c>
      <c r="F617">
        <v>8713</v>
      </c>
      <c r="G617">
        <v>0.47118614041228463</v>
      </c>
      <c r="H617">
        <v>0</v>
      </c>
      <c r="I617">
        <v>0</v>
      </c>
      <c r="J617">
        <v>0.36038312982718079</v>
      </c>
      <c r="K617">
        <v>1.6614369232373669E-265</v>
      </c>
      <c r="L617">
        <v>3.0245907363782589E-265</v>
      </c>
      <c r="M617">
        <v>0.24879937667684091</v>
      </c>
      <c r="N617">
        <v>9.1002782670701306E-266</v>
      </c>
      <c r="O617">
        <v>1.6566754331793741E-265</v>
      </c>
      <c r="P617">
        <v>0.22201637891662521</v>
      </c>
      <c r="Q617">
        <v>1.2636233165843871</v>
      </c>
      <c r="R617">
        <v>1.849735603870386</v>
      </c>
      <c r="S617">
        <v>0.29439007882440521</v>
      </c>
      <c r="T617">
        <v>0.23072131465956511</v>
      </c>
      <c r="U617">
        <v>4.3170646894295883</v>
      </c>
      <c r="V617">
        <v>0.1244622773120956</v>
      </c>
      <c r="W617">
        <v>7.304879204636749</v>
      </c>
      <c r="X617">
        <v>0.33378196461623999</v>
      </c>
      <c r="Z617" t="s">
        <v>392</v>
      </c>
      <c r="AA617">
        <v>9937</v>
      </c>
      <c r="AB617" t="s">
        <v>1008</v>
      </c>
      <c r="AC617" t="str">
        <f>HYPERLINK("plots/20251231000436_3FT6Y121H01_04823_B11P_N_UFLEX98_M5358A8BH101511/dpll_52084/txpa_55198.png","plot")</f>
        <v>plot</v>
      </c>
    </row>
    <row r="618" spans="1:29" x14ac:dyDescent="0.35">
      <c r="A618" t="s">
        <v>46</v>
      </c>
      <c r="B618">
        <v>52084</v>
      </c>
      <c r="C618" t="s">
        <v>52</v>
      </c>
      <c r="D618">
        <v>55199</v>
      </c>
      <c r="E618" t="s">
        <v>332</v>
      </c>
      <c r="F618">
        <v>8716</v>
      </c>
      <c r="G618">
        <v>0.4096846573099735</v>
      </c>
      <c r="H618">
        <v>0</v>
      </c>
      <c r="I618">
        <v>0</v>
      </c>
      <c r="J618">
        <v>0.30295660341964298</v>
      </c>
      <c r="K618">
        <v>1.917644794822737E-184</v>
      </c>
      <c r="L618">
        <v>2.7195689817486088E-184</v>
      </c>
      <c r="M618">
        <v>0.20652428312762261</v>
      </c>
      <c r="N618">
        <v>7.6675583870493697E-184</v>
      </c>
      <c r="O618">
        <v>1.093516765747969E-183</v>
      </c>
      <c r="P618">
        <v>0.16784151843519041</v>
      </c>
      <c r="Q618">
        <v>1.152162191658475</v>
      </c>
      <c r="R618">
        <v>2.265548243498325</v>
      </c>
      <c r="S618">
        <v>0.31963026503482539</v>
      </c>
      <c r="T618">
        <v>0.2433545743170894</v>
      </c>
      <c r="U618">
        <v>4.3169497564249664</v>
      </c>
      <c r="V618">
        <v>0.1245965072716559</v>
      </c>
      <c r="W618">
        <v>7.2393745361404314</v>
      </c>
      <c r="X618">
        <v>0.35040459126221563</v>
      </c>
      <c r="Z618" t="s">
        <v>392</v>
      </c>
      <c r="AA618">
        <v>9937</v>
      </c>
      <c r="AB618" t="s">
        <v>1009</v>
      </c>
      <c r="AC618" t="str">
        <f>HYPERLINK("plots/20251231000436_3FT6Y121H01_04823_B11P_N_UFLEX98_M5358A8BH101511/dpll_52084/txpa_55199.png","plot")</f>
        <v>plot</v>
      </c>
    </row>
    <row r="619" spans="1:29" x14ac:dyDescent="0.35">
      <c r="A619" t="s">
        <v>46</v>
      </c>
      <c r="B619">
        <v>52084</v>
      </c>
      <c r="C619" t="s">
        <v>52</v>
      </c>
      <c r="D619">
        <v>55200</v>
      </c>
      <c r="E619" t="s">
        <v>333</v>
      </c>
      <c r="F619">
        <v>8712</v>
      </c>
      <c r="G619">
        <v>0.50518024717669519</v>
      </c>
      <c r="H619">
        <v>0</v>
      </c>
      <c r="I619">
        <v>0</v>
      </c>
      <c r="J619">
        <v>0.38142480493360609</v>
      </c>
      <c r="K619">
        <v>9.7663354354004317E-300</v>
      </c>
      <c r="L619">
        <v>1.957127298714632E-299</v>
      </c>
      <c r="M619">
        <v>0.26231071955117707</v>
      </c>
      <c r="N619">
        <v>3.8504289477661959E-295</v>
      </c>
      <c r="O619">
        <v>7.7008578955323917E-295</v>
      </c>
      <c r="P619">
        <v>0.25520708213750692</v>
      </c>
      <c r="Q619">
        <v>1.194632800908372</v>
      </c>
      <c r="R619">
        <v>2.1902759588054548</v>
      </c>
      <c r="S619">
        <v>0.25389421089311742</v>
      </c>
      <c r="T619">
        <v>0.19543948198582051</v>
      </c>
      <c r="U619">
        <v>4.3171041759641868</v>
      </c>
      <c r="V619">
        <v>0.1244147530790896</v>
      </c>
      <c r="W619">
        <v>7.3476302123507811</v>
      </c>
      <c r="X619">
        <v>0.29421171111864641</v>
      </c>
      <c r="Z619" t="s">
        <v>392</v>
      </c>
      <c r="AA619">
        <v>9937</v>
      </c>
      <c r="AB619" t="s">
        <v>1010</v>
      </c>
      <c r="AC619" t="str">
        <f>HYPERLINK("plots/20251231000436_3FT6Y121H01_04823_B11P_N_UFLEX98_M5358A8BH101511/dpll_52084/txpa_55200.png","plot")</f>
        <v>plot</v>
      </c>
    </row>
    <row r="620" spans="1:29" x14ac:dyDescent="0.35">
      <c r="A620" t="s">
        <v>46</v>
      </c>
      <c r="B620">
        <v>52084</v>
      </c>
      <c r="C620" t="s">
        <v>52</v>
      </c>
      <c r="D620">
        <v>55201</v>
      </c>
      <c r="E620" t="s">
        <v>334</v>
      </c>
      <c r="F620">
        <v>8716</v>
      </c>
      <c r="G620">
        <v>0.45646779866598802</v>
      </c>
      <c r="H620">
        <v>0</v>
      </c>
      <c r="I620">
        <v>0</v>
      </c>
      <c r="J620">
        <v>0.34017207971939151</v>
      </c>
      <c r="K620">
        <v>4.9869587037674117E-235</v>
      </c>
      <c r="L620">
        <v>8.1298651537301529E-235</v>
      </c>
      <c r="M620">
        <v>0.23287776679354069</v>
      </c>
      <c r="N620">
        <v>3.482565165916103E-233</v>
      </c>
      <c r="O620">
        <v>5.650113725182285E-233</v>
      </c>
      <c r="P620">
        <v>0.20836285121897299</v>
      </c>
      <c r="Q620">
        <v>1.117568891149078</v>
      </c>
      <c r="R620">
        <v>2.4198747763634789</v>
      </c>
      <c r="S620">
        <v>0.27139896959906612</v>
      </c>
      <c r="T620">
        <v>0.20693391278573539</v>
      </c>
      <c r="U620">
        <v>4.3169497564249664</v>
      </c>
      <c r="V620">
        <v>0.1245965072716559</v>
      </c>
      <c r="W620">
        <v>7.2443635287976136</v>
      </c>
      <c r="X620">
        <v>0.30504929565584238</v>
      </c>
      <c r="Z620" t="s">
        <v>392</v>
      </c>
      <c r="AA620">
        <v>9937</v>
      </c>
      <c r="AB620" t="s">
        <v>1011</v>
      </c>
      <c r="AC620" t="str">
        <f>HYPERLINK("plots/20251231000436_3FT6Y121H01_04823_B11P_N_UFLEX98_M5358A8BH101511/dpll_52084/txpa_55201.png","plot")</f>
        <v>plot</v>
      </c>
    </row>
    <row r="621" spans="1:29" x14ac:dyDescent="0.35">
      <c r="A621" t="s">
        <v>46</v>
      </c>
      <c r="B621">
        <v>52084</v>
      </c>
      <c r="C621" t="s">
        <v>52</v>
      </c>
      <c r="D621">
        <v>55202</v>
      </c>
      <c r="E621" t="s">
        <v>335</v>
      </c>
      <c r="F621">
        <v>8708</v>
      </c>
      <c r="G621">
        <v>0.4545134703170553</v>
      </c>
      <c r="H621">
        <v>0</v>
      </c>
      <c r="I621">
        <v>0</v>
      </c>
      <c r="J621">
        <v>0.32994339743505752</v>
      </c>
      <c r="K621">
        <v>3.328337275317292E-220</v>
      </c>
      <c r="L621">
        <v>5.192206149494976E-220</v>
      </c>
      <c r="M621">
        <v>0.2267058724256997</v>
      </c>
      <c r="N621">
        <v>6.7363222051400161E-221</v>
      </c>
      <c r="O621">
        <v>1.0541096783969101E-220</v>
      </c>
      <c r="P621">
        <v>0.2065824946996527</v>
      </c>
      <c r="Q621">
        <v>1.256239660683991</v>
      </c>
      <c r="R621">
        <v>2.104894364519668</v>
      </c>
      <c r="S621">
        <v>0.30578417626278132</v>
      </c>
      <c r="T621">
        <v>0.2363671347848903</v>
      </c>
      <c r="U621">
        <v>4.3172664184657794</v>
      </c>
      <c r="V621">
        <v>0.12421193149265029</v>
      </c>
      <c r="W621">
        <v>7.5284156651355083</v>
      </c>
      <c r="X621">
        <v>0.3433120575334791</v>
      </c>
      <c r="Z621" t="s">
        <v>392</v>
      </c>
      <c r="AA621">
        <v>9937</v>
      </c>
      <c r="AB621" t="s">
        <v>1012</v>
      </c>
      <c r="AC621" t="str">
        <f>HYPERLINK("plots/20251231000436_3FT6Y121H01_04823_B11P_N_UFLEX98_M5358A8BH101511/dpll_52084/txpa_55202.png","plot")</f>
        <v>plot</v>
      </c>
    </row>
    <row r="622" spans="1:29" x14ac:dyDescent="0.35">
      <c r="A622" t="s">
        <v>46</v>
      </c>
      <c r="B622">
        <v>52084</v>
      </c>
      <c r="C622" t="s">
        <v>52</v>
      </c>
      <c r="D622">
        <v>55203</v>
      </c>
      <c r="E622" t="s">
        <v>336</v>
      </c>
      <c r="F622">
        <v>8682</v>
      </c>
      <c r="G622">
        <v>0.44697140471859098</v>
      </c>
      <c r="H622">
        <v>0</v>
      </c>
      <c r="I622">
        <v>0</v>
      </c>
      <c r="J622">
        <v>0.36258358970781451</v>
      </c>
      <c r="K622">
        <v>5.0802069372633872E-268</v>
      </c>
      <c r="L622">
        <v>9.2984293039441781E-268</v>
      </c>
      <c r="M622">
        <v>0.24953264581149209</v>
      </c>
      <c r="N622">
        <v>2.2236663495741441E-266</v>
      </c>
      <c r="O622">
        <v>4.05853926521893E-266</v>
      </c>
      <c r="P622">
        <v>0.19978343663611051</v>
      </c>
      <c r="Q622">
        <v>1.208610073977828</v>
      </c>
      <c r="R622">
        <v>3.1818380607901169</v>
      </c>
      <c r="S622">
        <v>0.29629016039686368</v>
      </c>
      <c r="T622">
        <v>0.21658848476703041</v>
      </c>
      <c r="U622">
        <v>4.3184279515088688</v>
      </c>
      <c r="V622">
        <v>0.1224988476828916</v>
      </c>
      <c r="W622">
        <v>8.4011335867311701</v>
      </c>
      <c r="X622">
        <v>0.33123671849529462</v>
      </c>
      <c r="Z622" t="s">
        <v>392</v>
      </c>
      <c r="AA622">
        <v>9937</v>
      </c>
      <c r="AB622" t="s">
        <v>1013</v>
      </c>
      <c r="AC622" t="str">
        <f>HYPERLINK("plots/20251231000436_3FT6Y121H01_04823_B11P_N_UFLEX98_M5358A8BH101511/dpll_52084/txpa_55203.png","plot")</f>
        <v>plot</v>
      </c>
    </row>
    <row r="623" spans="1:29" x14ac:dyDescent="0.35">
      <c r="A623" t="s">
        <v>46</v>
      </c>
      <c r="B623">
        <v>52084</v>
      </c>
      <c r="C623" t="s">
        <v>52</v>
      </c>
      <c r="D623">
        <v>55204</v>
      </c>
      <c r="E623" t="s">
        <v>337</v>
      </c>
      <c r="F623">
        <v>8705</v>
      </c>
      <c r="G623">
        <v>0.49546689305400748</v>
      </c>
      <c r="H623">
        <v>0</v>
      </c>
      <c r="I623">
        <v>0</v>
      </c>
      <c r="J623">
        <v>0.39450843330434421</v>
      </c>
      <c r="K623">
        <v>0</v>
      </c>
      <c r="L623">
        <v>0</v>
      </c>
      <c r="M623">
        <v>0.27103452404709388</v>
      </c>
      <c r="N623">
        <v>0</v>
      </c>
      <c r="O623">
        <v>0</v>
      </c>
      <c r="P623">
        <v>0.2454874421125913</v>
      </c>
      <c r="Q623">
        <v>1.216057368186144</v>
      </c>
      <c r="R623">
        <v>2.840486427457932</v>
      </c>
      <c r="S623">
        <v>0.26449730012596639</v>
      </c>
      <c r="T623">
        <v>0.19547849666869821</v>
      </c>
      <c r="U623">
        <v>4.3173788461803566</v>
      </c>
      <c r="V623">
        <v>0.1240719278711782</v>
      </c>
      <c r="W623">
        <v>8.0906667846065474</v>
      </c>
      <c r="X623">
        <v>0.30451798937120861</v>
      </c>
      <c r="Z623" t="s">
        <v>392</v>
      </c>
      <c r="AA623">
        <v>9937</v>
      </c>
      <c r="AB623" t="s">
        <v>1014</v>
      </c>
      <c r="AC623" t="str">
        <f>HYPERLINK("plots/20251231000436_3FT6Y121H01_04823_B11P_N_UFLEX98_M5358A8BH101511/dpll_52084/txpa_55204.png","plot")</f>
        <v>plot</v>
      </c>
    </row>
    <row r="624" spans="1:29" x14ac:dyDescent="0.35">
      <c r="A624" t="s">
        <v>46</v>
      </c>
      <c r="B624">
        <v>52084</v>
      </c>
      <c r="C624" t="s">
        <v>52</v>
      </c>
      <c r="D624">
        <v>55205</v>
      </c>
      <c r="E624" t="s">
        <v>338</v>
      </c>
      <c r="F624">
        <v>8716</v>
      </c>
      <c r="G624">
        <v>0.43283208880689122</v>
      </c>
      <c r="H624">
        <v>0</v>
      </c>
      <c r="I624">
        <v>0</v>
      </c>
      <c r="J624">
        <v>0.32509653944064271</v>
      </c>
      <c r="K624">
        <v>1.142142775614605E-213</v>
      </c>
      <c r="L624">
        <v>1.7574093694585879E-213</v>
      </c>
      <c r="M624">
        <v>0.2225853656224088</v>
      </c>
      <c r="N624">
        <v>3.2733580426325517E-213</v>
      </c>
      <c r="O624">
        <v>5.0366996285726968E-213</v>
      </c>
      <c r="P624">
        <v>0.1873436171009365</v>
      </c>
      <c r="Q624">
        <v>1.233450265581167</v>
      </c>
      <c r="R624">
        <v>2.85074933522551</v>
      </c>
      <c r="S624">
        <v>0.32006384695632928</v>
      </c>
      <c r="T624">
        <v>0.241189948713699</v>
      </c>
      <c r="U624">
        <v>4.3169497564249664</v>
      </c>
      <c r="V624">
        <v>0.1245965072716559</v>
      </c>
      <c r="W624">
        <v>8.1754921587884368</v>
      </c>
      <c r="X624">
        <v>0.35506516027575752</v>
      </c>
      <c r="Z624" t="s">
        <v>392</v>
      </c>
      <c r="AA624">
        <v>9937</v>
      </c>
      <c r="AB624" t="s">
        <v>1015</v>
      </c>
      <c r="AC624" t="str">
        <f>HYPERLINK("plots/20251231000436_3FT6Y121H01_04823_B11P_N_UFLEX98_M5358A8BH101511/dpll_52084/txpa_55205.png","plot")</f>
        <v>plot</v>
      </c>
    </row>
    <row r="625" spans="1:29" x14ac:dyDescent="0.35">
      <c r="A625" t="s">
        <v>46</v>
      </c>
      <c r="B625">
        <v>52084</v>
      </c>
      <c r="C625" t="s">
        <v>52</v>
      </c>
      <c r="D625">
        <v>55206</v>
      </c>
      <c r="E625" t="s">
        <v>339</v>
      </c>
      <c r="F625">
        <v>8710</v>
      </c>
      <c r="G625">
        <v>0.48498622047572582</v>
      </c>
      <c r="H625">
        <v>0</v>
      </c>
      <c r="I625">
        <v>0</v>
      </c>
      <c r="J625">
        <v>0.37391318608009633</v>
      </c>
      <c r="K625">
        <v>3.8063542486322318E-287</v>
      </c>
      <c r="L625">
        <v>7.3238011539147699E-287</v>
      </c>
      <c r="M625">
        <v>0.25928081469991421</v>
      </c>
      <c r="N625">
        <v>2.3938139513153239E-288</v>
      </c>
      <c r="O625">
        <v>4.6769313037258932E-288</v>
      </c>
      <c r="P625">
        <v>0.2352116340513293</v>
      </c>
      <c r="Q625">
        <v>1.317124508423676</v>
      </c>
      <c r="R625">
        <v>2.5090497395088511</v>
      </c>
      <c r="S625">
        <v>0.29516349295519162</v>
      </c>
      <c r="T625">
        <v>0.22736604938368951</v>
      </c>
      <c r="U625">
        <v>4.3171944489092988</v>
      </c>
      <c r="V625">
        <v>0.1242852257541341</v>
      </c>
      <c r="W625">
        <v>8.1953323557979321</v>
      </c>
      <c r="X625">
        <v>0.33753354211830211</v>
      </c>
      <c r="Z625" t="s">
        <v>392</v>
      </c>
      <c r="AA625">
        <v>9937</v>
      </c>
      <c r="AB625" t="s">
        <v>1016</v>
      </c>
      <c r="AC625" t="str">
        <f>HYPERLINK("plots/20251231000436_3FT6Y121H01_04823_B11P_N_UFLEX98_M5358A8BH101511/dpll_52084/txpa_55206.png","plot")</f>
        <v>plot</v>
      </c>
    </row>
    <row r="626" spans="1:29" x14ac:dyDescent="0.35">
      <c r="A626" t="s">
        <v>46</v>
      </c>
      <c r="B626">
        <v>52084</v>
      </c>
      <c r="C626" t="s">
        <v>52</v>
      </c>
      <c r="D626">
        <v>55207</v>
      </c>
      <c r="E626" t="s">
        <v>340</v>
      </c>
      <c r="F626">
        <v>8716</v>
      </c>
      <c r="G626">
        <v>0.43967842687144798</v>
      </c>
      <c r="H626">
        <v>0</v>
      </c>
      <c r="I626">
        <v>0</v>
      </c>
      <c r="J626">
        <v>0.31990406554212403</v>
      </c>
      <c r="K626">
        <v>1.3731651828063299E-206</v>
      </c>
      <c r="L626">
        <v>2.0938187900234869E-206</v>
      </c>
      <c r="M626">
        <v>0.21866511284535309</v>
      </c>
      <c r="N626">
        <v>7.6940051107355361E-206</v>
      </c>
      <c r="O626">
        <v>1.1644359973560951E-205</v>
      </c>
      <c r="P626">
        <v>0.1933171190561512</v>
      </c>
      <c r="Q626">
        <v>1.235597416992787</v>
      </c>
      <c r="R626">
        <v>2.803331387915069</v>
      </c>
      <c r="S626">
        <v>0.31446637040065439</v>
      </c>
      <c r="T626">
        <v>0.23813327160674491</v>
      </c>
      <c r="U626">
        <v>4.3169497564249664</v>
      </c>
      <c r="V626">
        <v>0.1245965072716559</v>
      </c>
      <c r="W626">
        <v>8.1373433562413968</v>
      </c>
      <c r="X626">
        <v>0.35014481753545929</v>
      </c>
      <c r="Z626" t="s">
        <v>392</v>
      </c>
      <c r="AA626">
        <v>9937</v>
      </c>
      <c r="AB626" t="s">
        <v>1017</v>
      </c>
      <c r="AC626" t="str">
        <f>HYPERLINK("plots/20251231000436_3FT6Y121H01_04823_B11P_N_UFLEX98_M5358A8BH101511/dpll_52084/txpa_55207.png","plot")</f>
        <v>plot</v>
      </c>
    </row>
    <row r="627" spans="1:29" x14ac:dyDescent="0.35">
      <c r="A627" t="s">
        <v>46</v>
      </c>
      <c r="B627">
        <v>52084</v>
      </c>
      <c r="C627" t="s">
        <v>52</v>
      </c>
      <c r="D627">
        <v>55208</v>
      </c>
      <c r="E627" t="s">
        <v>341</v>
      </c>
      <c r="F627">
        <v>8706</v>
      </c>
      <c r="G627">
        <v>0.51417690480152511</v>
      </c>
      <c r="H627">
        <v>0</v>
      </c>
      <c r="I627">
        <v>0</v>
      </c>
      <c r="J627">
        <v>0.39470540256592168</v>
      </c>
      <c r="K627">
        <v>0</v>
      </c>
      <c r="L627">
        <v>0</v>
      </c>
      <c r="M627">
        <v>0.27264121668586072</v>
      </c>
      <c r="N627">
        <v>0</v>
      </c>
      <c r="O627">
        <v>0</v>
      </c>
      <c r="P627">
        <v>0.2643778894312766</v>
      </c>
      <c r="Q627">
        <v>1.2476384912933109</v>
      </c>
      <c r="R627">
        <v>2.8453460823823602</v>
      </c>
      <c r="S627">
        <v>0.25837932091281562</v>
      </c>
      <c r="T627">
        <v>0.19473434140498111</v>
      </c>
      <c r="U627">
        <v>4.3173271302549967</v>
      </c>
      <c r="V627">
        <v>0.1241592583565795</v>
      </c>
      <c r="W627">
        <v>8.2318095895933823</v>
      </c>
      <c r="X627">
        <v>0.30126959871115527</v>
      </c>
      <c r="Z627" t="s">
        <v>392</v>
      </c>
      <c r="AA627">
        <v>9937</v>
      </c>
      <c r="AB627" t="s">
        <v>1018</v>
      </c>
      <c r="AC627" t="str">
        <f>HYPERLINK("plots/20251231000436_3FT6Y121H01_04823_B11P_N_UFLEX98_M5358A8BH101511/dpll_52084/txpa_55208.png","plot")</f>
        <v>plot</v>
      </c>
    </row>
    <row r="628" spans="1:29" x14ac:dyDescent="0.35">
      <c r="A628" t="s">
        <v>46</v>
      </c>
      <c r="B628">
        <v>52084</v>
      </c>
      <c r="C628" t="s">
        <v>52</v>
      </c>
      <c r="D628">
        <v>55209</v>
      </c>
      <c r="E628" t="s">
        <v>342</v>
      </c>
      <c r="F628">
        <v>8713</v>
      </c>
      <c r="G628">
        <v>0.48024007464660651</v>
      </c>
      <c r="H628">
        <v>0</v>
      </c>
      <c r="I628">
        <v>0</v>
      </c>
      <c r="J628">
        <v>0.35579323489731413</v>
      </c>
      <c r="K628">
        <v>2.2834483277857859E-258</v>
      </c>
      <c r="L628">
        <v>4.0128537337517978E-258</v>
      </c>
      <c r="M628">
        <v>0.24411111669860749</v>
      </c>
      <c r="N628">
        <v>6.325083978603129E-256</v>
      </c>
      <c r="O628">
        <v>1.1154148094441001E-255</v>
      </c>
      <c r="P628">
        <v>0.2306305292965781</v>
      </c>
      <c r="Q628">
        <v>1.197087191564272</v>
      </c>
      <c r="R628">
        <v>2.975539271530657</v>
      </c>
      <c r="S628">
        <v>0.27210883962514792</v>
      </c>
      <c r="T628">
        <v>0.2052037727794942</v>
      </c>
      <c r="U628">
        <v>4.317065186043842</v>
      </c>
      <c r="V628">
        <v>0.1244608358444047</v>
      </c>
      <c r="W628">
        <v>8.1434427108917706</v>
      </c>
      <c r="X628">
        <v>0.31024164851373082</v>
      </c>
      <c r="Z628" t="s">
        <v>392</v>
      </c>
      <c r="AA628">
        <v>9937</v>
      </c>
      <c r="AB628" t="s">
        <v>1019</v>
      </c>
      <c r="AC628" t="str">
        <f>HYPERLINK("plots/20251231000436_3FT6Y121H01_04823_B11P_N_UFLEX98_M5358A8BH101511/dpll_52084/txpa_55209.png","plot")</f>
        <v>plot</v>
      </c>
    </row>
    <row r="629" spans="1:29" x14ac:dyDescent="0.35">
      <c r="A629" t="s">
        <v>46</v>
      </c>
      <c r="B629">
        <v>52084</v>
      </c>
      <c r="C629" t="s">
        <v>52</v>
      </c>
      <c r="D629">
        <v>55210</v>
      </c>
      <c r="E629" t="s">
        <v>343</v>
      </c>
      <c r="F629">
        <v>8692</v>
      </c>
      <c r="G629">
        <v>0.46080874891577522</v>
      </c>
      <c r="H629">
        <v>0</v>
      </c>
      <c r="I629">
        <v>0</v>
      </c>
      <c r="J629">
        <v>0.34638360985125283</v>
      </c>
      <c r="K629">
        <v>1.61863632410973E-243</v>
      </c>
      <c r="L629">
        <v>2.712887987846722E-243</v>
      </c>
      <c r="M629">
        <v>0.23922130694976931</v>
      </c>
      <c r="N629">
        <v>2.8424426572797921E-245</v>
      </c>
      <c r="O629">
        <v>4.8117476702532698E-245</v>
      </c>
      <c r="P629">
        <v>0.21234470307732201</v>
      </c>
      <c r="Q629">
        <v>1.2685016477422859</v>
      </c>
      <c r="R629">
        <v>2.933828741049219</v>
      </c>
      <c r="S629">
        <v>0.30103988039074492</v>
      </c>
      <c r="T629">
        <v>0.2294064760215396</v>
      </c>
      <c r="U629">
        <v>4.3179600562586291</v>
      </c>
      <c r="V629">
        <v>0.1232283399406562</v>
      </c>
      <c r="W629">
        <v>8.4111681872986654</v>
      </c>
      <c r="X629">
        <v>0.33921958433093818</v>
      </c>
      <c r="Z629" t="s">
        <v>392</v>
      </c>
      <c r="AA629">
        <v>9937</v>
      </c>
      <c r="AB629" t="s">
        <v>1020</v>
      </c>
      <c r="AC629" t="str">
        <f>HYPERLINK("plots/20251231000436_3FT6Y121H01_04823_B11P_N_UFLEX98_M5358A8BH101511/dpll_52084/txpa_55210.png","plot")</f>
        <v>plot</v>
      </c>
    </row>
    <row r="630" spans="1:29" x14ac:dyDescent="0.35">
      <c r="A630" t="s">
        <v>46</v>
      </c>
      <c r="B630">
        <v>52084</v>
      </c>
      <c r="C630" t="s">
        <v>52</v>
      </c>
      <c r="D630">
        <v>55211</v>
      </c>
      <c r="E630" t="s">
        <v>344</v>
      </c>
      <c r="F630">
        <v>8660</v>
      </c>
      <c r="G630">
        <v>0.44301898649249088</v>
      </c>
      <c r="H630">
        <v>0</v>
      </c>
      <c r="I630">
        <v>0</v>
      </c>
      <c r="J630">
        <v>0.38525707629902928</v>
      </c>
      <c r="K630">
        <v>1.9342454066433199E-304</v>
      </c>
      <c r="L630">
        <v>4.0191082834760794E-304</v>
      </c>
      <c r="M630">
        <v>0.26713448082622832</v>
      </c>
      <c r="N630">
        <v>3.3471672080182061E-304</v>
      </c>
      <c r="O630">
        <v>6.9265868345519601E-304</v>
      </c>
      <c r="P630">
        <v>0.1962658223928338</v>
      </c>
      <c r="Q630">
        <v>1.23518211688354</v>
      </c>
      <c r="R630">
        <v>3.8887454700993742</v>
      </c>
      <c r="S630">
        <v>0.30324827057908688</v>
      </c>
      <c r="T630">
        <v>0.21655574520282589</v>
      </c>
      <c r="U630">
        <v>4.3191725049653584</v>
      </c>
      <c r="V630">
        <v>0.1213273004721636</v>
      </c>
      <c r="W630">
        <v>9.2237101079676673</v>
      </c>
      <c r="X630">
        <v>0.33827288762377339</v>
      </c>
      <c r="Z630" t="s">
        <v>392</v>
      </c>
      <c r="AA630">
        <v>9937</v>
      </c>
      <c r="AB630" t="s">
        <v>1021</v>
      </c>
      <c r="AC630" t="str">
        <f>HYPERLINK("plots/20251231000436_3FT6Y121H01_04823_B11P_N_UFLEX98_M5358A8BH101511/dpll_52084/txpa_55211.png","plot")</f>
        <v>plot</v>
      </c>
    </row>
    <row r="631" spans="1:29" x14ac:dyDescent="0.35">
      <c r="A631" t="s">
        <v>46</v>
      </c>
      <c r="B631">
        <v>52084</v>
      </c>
      <c r="C631" t="s">
        <v>52</v>
      </c>
      <c r="D631">
        <v>55212</v>
      </c>
      <c r="E631" t="s">
        <v>345</v>
      </c>
      <c r="F631">
        <v>8702</v>
      </c>
      <c r="G631">
        <v>0.50231997247637028</v>
      </c>
      <c r="H631">
        <v>0</v>
      </c>
      <c r="I631">
        <v>0</v>
      </c>
      <c r="J631">
        <v>0.41046742982574491</v>
      </c>
      <c r="K631">
        <v>0</v>
      </c>
      <c r="L631">
        <v>0</v>
      </c>
      <c r="M631">
        <v>0.28378310877839552</v>
      </c>
      <c r="N631">
        <v>0</v>
      </c>
      <c r="O631">
        <v>0</v>
      </c>
      <c r="P631">
        <v>0.25232535474866141</v>
      </c>
      <c r="Q631">
        <v>1.290162427202252</v>
      </c>
      <c r="R631">
        <v>3.3807744078012769</v>
      </c>
      <c r="S631">
        <v>0.27531539117144088</v>
      </c>
      <c r="T631">
        <v>0.1983371688587898</v>
      </c>
      <c r="U631">
        <v>4.3174367901631809</v>
      </c>
      <c r="V631">
        <v>0.1239753021814342</v>
      </c>
      <c r="W631">
        <v>8.9509691362905084</v>
      </c>
      <c r="X631">
        <v>0.31841910642534932</v>
      </c>
      <c r="Z631" t="s">
        <v>392</v>
      </c>
      <c r="AA631">
        <v>9937</v>
      </c>
      <c r="AB631" t="s">
        <v>1022</v>
      </c>
      <c r="AC631" t="str">
        <f>HYPERLINK("plots/20251231000436_3FT6Y121H01_04823_B11P_N_UFLEX98_M5358A8BH101511/dpll_52084/txpa_55212.png","plot")</f>
        <v>plot</v>
      </c>
    </row>
    <row r="632" spans="1:29" x14ac:dyDescent="0.35">
      <c r="A632" t="s">
        <v>46</v>
      </c>
      <c r="B632">
        <v>52084</v>
      </c>
      <c r="C632" t="s">
        <v>52</v>
      </c>
      <c r="D632">
        <v>55213</v>
      </c>
      <c r="E632" t="s">
        <v>346</v>
      </c>
      <c r="F632">
        <v>8711</v>
      </c>
      <c r="G632">
        <v>0.46051418285037787</v>
      </c>
      <c r="H632">
        <v>0</v>
      </c>
      <c r="I632">
        <v>0</v>
      </c>
      <c r="J632">
        <v>0.35088954242713849</v>
      </c>
      <c r="K632">
        <v>8.1635730351086685E-251</v>
      </c>
      <c r="L632">
        <v>1.393579639326631E-250</v>
      </c>
      <c r="M632">
        <v>0.2411571693859712</v>
      </c>
      <c r="N632">
        <v>9.1607958448293601E-250</v>
      </c>
      <c r="O632">
        <v>1.5690957747731371E-249</v>
      </c>
      <c r="P632">
        <v>0.21207331260635129</v>
      </c>
      <c r="Q632">
        <v>1.326716678995391</v>
      </c>
      <c r="R632">
        <v>3.2845751810540871</v>
      </c>
      <c r="S632">
        <v>0.31808182482912289</v>
      </c>
      <c r="T632">
        <v>0.23560012138286399</v>
      </c>
      <c r="U632">
        <v>4.3171324620594653</v>
      </c>
      <c r="V632">
        <v>0.1243900663619685</v>
      </c>
      <c r="W632">
        <v>9.0121868239008158</v>
      </c>
      <c r="X632">
        <v>0.35836111435765677</v>
      </c>
      <c r="Z632" t="s">
        <v>392</v>
      </c>
      <c r="AA632">
        <v>9937</v>
      </c>
      <c r="AB632" t="s">
        <v>1023</v>
      </c>
      <c r="AC632" t="str">
        <f>HYPERLINK("plots/20251231000436_3FT6Y121H01_04823_B11P_N_UFLEX98_M5358A8BH101511/dpll_52084/txpa_55213.png","plot")</f>
        <v>plot</v>
      </c>
    </row>
    <row r="633" spans="1:29" x14ac:dyDescent="0.35">
      <c r="A633" t="s">
        <v>46</v>
      </c>
      <c r="B633">
        <v>52084</v>
      </c>
      <c r="C633" t="s">
        <v>52</v>
      </c>
      <c r="D633">
        <v>55214</v>
      </c>
      <c r="E633" t="s">
        <v>347</v>
      </c>
      <c r="F633">
        <v>8699</v>
      </c>
      <c r="G633">
        <v>0.49488419416729962</v>
      </c>
      <c r="H633">
        <v>0</v>
      </c>
      <c r="I633">
        <v>0</v>
      </c>
      <c r="J633">
        <v>0.39045752146226431</v>
      </c>
      <c r="K633">
        <v>0</v>
      </c>
      <c r="L633">
        <v>0</v>
      </c>
      <c r="M633">
        <v>0.27207018730321492</v>
      </c>
      <c r="N633">
        <v>0</v>
      </c>
      <c r="O633">
        <v>0</v>
      </c>
      <c r="P633">
        <v>0.24491036563661739</v>
      </c>
      <c r="Q633">
        <v>1.365964565288813</v>
      </c>
      <c r="R633">
        <v>3.1370106968502429</v>
      </c>
      <c r="S633">
        <v>0.29688569042434843</v>
      </c>
      <c r="T633">
        <v>0.223589670296653</v>
      </c>
      <c r="U633">
        <v>4.3175676060466719</v>
      </c>
      <c r="V633">
        <v>0.1237881649784205</v>
      </c>
      <c r="W633">
        <v>9.0346550549488445</v>
      </c>
      <c r="X633">
        <v>0.34167639410501283</v>
      </c>
      <c r="Z633" t="s">
        <v>392</v>
      </c>
      <c r="AA633">
        <v>9937</v>
      </c>
      <c r="AB633" t="s">
        <v>1024</v>
      </c>
      <c r="AC633" t="str">
        <f>HYPERLINK("plots/20251231000436_3FT6Y121H01_04823_B11P_N_UFLEX98_M5358A8BH101511/dpll_52084/txpa_55214.png","plot")</f>
        <v>plot</v>
      </c>
    </row>
    <row r="634" spans="1:29" x14ac:dyDescent="0.35">
      <c r="A634" t="s">
        <v>46</v>
      </c>
      <c r="B634">
        <v>52084</v>
      </c>
      <c r="C634" t="s">
        <v>52</v>
      </c>
      <c r="D634">
        <v>55215</v>
      </c>
      <c r="E634" t="s">
        <v>348</v>
      </c>
      <c r="F634">
        <v>8712</v>
      </c>
      <c r="G634">
        <v>0.46713554664372109</v>
      </c>
      <c r="H634">
        <v>0</v>
      </c>
      <c r="I634">
        <v>0</v>
      </c>
      <c r="J634">
        <v>0.34161143291999119</v>
      </c>
      <c r="K634">
        <v>5.0447659200646933E-237</v>
      </c>
      <c r="L634">
        <v>8.3042088359506479E-237</v>
      </c>
      <c r="M634">
        <v>0.2342106925913629</v>
      </c>
      <c r="N634">
        <v>9.8980674293196968E-236</v>
      </c>
      <c r="O634">
        <v>1.6293247359302228E-235</v>
      </c>
      <c r="P634">
        <v>0.21821561893812819</v>
      </c>
      <c r="Q634">
        <v>1.3243197865176519</v>
      </c>
      <c r="R634">
        <v>3.2687444592781869</v>
      </c>
      <c r="S634">
        <v>0.31183050294156278</v>
      </c>
      <c r="T634">
        <v>0.23350612564305689</v>
      </c>
      <c r="U634">
        <v>4.3171064000229569</v>
      </c>
      <c r="V634">
        <v>0.1244085061246922</v>
      </c>
      <c r="W634">
        <v>8.9859738853305782</v>
      </c>
      <c r="X634">
        <v>0.35269558794182349</v>
      </c>
      <c r="Z634" t="s">
        <v>392</v>
      </c>
      <c r="AA634">
        <v>9937</v>
      </c>
      <c r="AB634" t="s">
        <v>1025</v>
      </c>
      <c r="AC634" t="str">
        <f>HYPERLINK("plots/20251231000436_3FT6Y121H01_04823_B11P_N_UFLEX98_M5358A8BH101511/dpll_52084/txpa_55215.png","plot")</f>
        <v>plot</v>
      </c>
    </row>
    <row r="635" spans="1:29" x14ac:dyDescent="0.35">
      <c r="A635" t="s">
        <v>46</v>
      </c>
      <c r="B635">
        <v>52084</v>
      </c>
      <c r="C635" t="s">
        <v>52</v>
      </c>
      <c r="D635">
        <v>55216</v>
      </c>
      <c r="E635" t="s">
        <v>349</v>
      </c>
      <c r="F635">
        <v>8694</v>
      </c>
      <c r="G635">
        <v>0.51497571275097753</v>
      </c>
      <c r="H635">
        <v>0</v>
      </c>
      <c r="I635">
        <v>0</v>
      </c>
      <c r="J635">
        <v>0.41046736921959431</v>
      </c>
      <c r="K635">
        <v>0</v>
      </c>
      <c r="L635">
        <v>0</v>
      </c>
      <c r="M635">
        <v>0.28541815584351599</v>
      </c>
      <c r="N635">
        <v>0</v>
      </c>
      <c r="O635">
        <v>0</v>
      </c>
      <c r="P635">
        <v>0.2651999847233773</v>
      </c>
      <c r="Q635">
        <v>1.2989793870226261</v>
      </c>
      <c r="R635">
        <v>3.4529429615913041</v>
      </c>
      <c r="S635">
        <v>0.26709262075293971</v>
      </c>
      <c r="T635">
        <v>0.19571905166613771</v>
      </c>
      <c r="U635">
        <v>4.3178155954681392</v>
      </c>
      <c r="V635">
        <v>0.1235340776946096</v>
      </c>
      <c r="W635">
        <v>9.0616964170692444</v>
      </c>
      <c r="X635">
        <v>0.31160347283745748</v>
      </c>
      <c r="Z635" t="s">
        <v>392</v>
      </c>
      <c r="AA635">
        <v>9937</v>
      </c>
      <c r="AB635" t="s">
        <v>1026</v>
      </c>
      <c r="AC635" t="str">
        <f>HYPERLINK("plots/20251231000436_3FT6Y121H01_04823_B11P_N_UFLEX98_M5358A8BH101511/dpll_52084/txpa_55216.png","plot")</f>
        <v>plot</v>
      </c>
    </row>
    <row r="636" spans="1:29" x14ac:dyDescent="0.35">
      <c r="A636" t="s">
        <v>46</v>
      </c>
      <c r="B636">
        <v>52084</v>
      </c>
      <c r="C636" t="s">
        <v>52</v>
      </c>
      <c r="D636">
        <v>55217</v>
      </c>
      <c r="E636" t="s">
        <v>350</v>
      </c>
      <c r="F636">
        <v>8706</v>
      </c>
      <c r="G636">
        <v>0.49935271310106039</v>
      </c>
      <c r="H636">
        <v>0</v>
      </c>
      <c r="I636">
        <v>0</v>
      </c>
      <c r="J636">
        <v>0.37513163564072699</v>
      </c>
      <c r="K636">
        <v>5.0532990256501749E-289</v>
      </c>
      <c r="L636">
        <v>9.8539331000178403E-289</v>
      </c>
      <c r="M636">
        <v>0.25821687811985022</v>
      </c>
      <c r="N636">
        <v>7.1319854101109271E-286</v>
      </c>
      <c r="O636">
        <v>1.3827596951916791E-285</v>
      </c>
      <c r="P636">
        <v>0.2493531320813899</v>
      </c>
      <c r="Q636">
        <v>1.2850326348484939</v>
      </c>
      <c r="R636">
        <v>3.4450262735378758</v>
      </c>
      <c r="S636">
        <v>0.27672592113381961</v>
      </c>
      <c r="T636">
        <v>0.204613881997251</v>
      </c>
      <c r="U636">
        <v>4.3173432193889276</v>
      </c>
      <c r="V636">
        <v>0.1241224112175847</v>
      </c>
      <c r="W636">
        <v>8.9929532062945086</v>
      </c>
      <c r="X636">
        <v>0.31941620611241328</v>
      </c>
      <c r="Z636" t="s">
        <v>392</v>
      </c>
      <c r="AA636">
        <v>9937</v>
      </c>
      <c r="AB636" t="s">
        <v>1027</v>
      </c>
      <c r="AC636" t="str">
        <f>HYPERLINK("plots/20251231000436_3FT6Y121H01_04823_B11P_N_UFLEX98_M5358A8BH101511/dpll_52084/txpa_55217.png","plot")</f>
        <v>plot</v>
      </c>
    </row>
    <row r="637" spans="1:29" x14ac:dyDescent="0.35">
      <c r="A637" t="s">
        <v>46</v>
      </c>
      <c r="B637">
        <v>52084</v>
      </c>
      <c r="C637" t="s">
        <v>52</v>
      </c>
      <c r="D637">
        <v>55218</v>
      </c>
      <c r="E637" t="s">
        <v>351</v>
      </c>
      <c r="F637">
        <v>8679</v>
      </c>
      <c r="G637">
        <v>0.46838906264805552</v>
      </c>
      <c r="H637">
        <v>0</v>
      </c>
      <c r="I637">
        <v>0</v>
      </c>
      <c r="J637">
        <v>0.36613338797118072</v>
      </c>
      <c r="K637">
        <v>1.4907559168626989E-273</v>
      </c>
      <c r="L637">
        <v>2.7534180322382081E-273</v>
      </c>
      <c r="M637">
        <v>0.25475071751736839</v>
      </c>
      <c r="N637">
        <v>1.8859451604455E-277</v>
      </c>
      <c r="O637">
        <v>3.534839912554043E-277</v>
      </c>
      <c r="P637">
        <v>0.21938831400832409</v>
      </c>
      <c r="Q637">
        <v>1.309580369488865</v>
      </c>
      <c r="R637">
        <v>3.5843097016254379</v>
      </c>
      <c r="S637">
        <v>0.302319468888612</v>
      </c>
      <c r="T637">
        <v>0.22540294817222459</v>
      </c>
      <c r="U637">
        <v>4.3185330360640624</v>
      </c>
      <c r="V637">
        <v>0.1223906388980589</v>
      </c>
      <c r="W637">
        <v>9.2397757906440816</v>
      </c>
      <c r="X637">
        <v>0.34219496331521287</v>
      </c>
      <c r="Z637" t="s">
        <v>392</v>
      </c>
      <c r="AA637">
        <v>9937</v>
      </c>
      <c r="AB637" t="s">
        <v>1028</v>
      </c>
      <c r="AC637" t="str">
        <f>HYPERLINK("plots/20251231000436_3FT6Y121H01_04823_B11P_N_UFLEX98_M5358A8BH101511/dpll_52084/txpa_55218.png","plot")</f>
        <v>plot</v>
      </c>
    </row>
    <row r="638" spans="1:29" x14ac:dyDescent="0.35">
      <c r="A638" t="s">
        <v>46</v>
      </c>
      <c r="B638">
        <v>52084</v>
      </c>
      <c r="C638" t="s">
        <v>52</v>
      </c>
      <c r="D638">
        <v>55219</v>
      </c>
      <c r="E638" t="s">
        <v>352</v>
      </c>
      <c r="F638">
        <v>8642</v>
      </c>
      <c r="G638">
        <v>0.4347242911202206</v>
      </c>
      <c r="H638">
        <v>0</v>
      </c>
      <c r="I638">
        <v>0</v>
      </c>
      <c r="J638">
        <v>0.4020188922602268</v>
      </c>
      <c r="K638">
        <v>0</v>
      </c>
      <c r="L638">
        <v>0</v>
      </c>
      <c r="M638">
        <v>0.28125801102062797</v>
      </c>
      <c r="N638">
        <v>0</v>
      </c>
      <c r="O638">
        <v>0</v>
      </c>
      <c r="P638">
        <v>0.18898520928997831</v>
      </c>
      <c r="Q638">
        <v>1.2896620875505871</v>
      </c>
      <c r="R638">
        <v>4.4284556338966183</v>
      </c>
      <c r="S638">
        <v>0.32085759175160627</v>
      </c>
      <c r="T638">
        <v>0.2245943000284486</v>
      </c>
      <c r="U638">
        <v>4.3198720204813714</v>
      </c>
      <c r="V638">
        <v>0.12010498562941101</v>
      </c>
      <c r="W638">
        <v>9.9996308017819953</v>
      </c>
      <c r="X638">
        <v>0.35630593839814712</v>
      </c>
      <c r="Z638" t="s">
        <v>392</v>
      </c>
      <c r="AA638">
        <v>9937</v>
      </c>
      <c r="AB638" t="s">
        <v>1029</v>
      </c>
      <c r="AC638" t="str">
        <f>HYPERLINK("plots/20251231000436_3FT6Y121H01_04823_B11P_N_UFLEX98_M5358A8BH101511/dpll_52084/txpa_55219.png","plot")</f>
        <v>plot</v>
      </c>
    </row>
    <row r="639" spans="1:29" x14ac:dyDescent="0.35">
      <c r="A639" t="s">
        <v>46</v>
      </c>
      <c r="B639">
        <v>52084</v>
      </c>
      <c r="C639" t="s">
        <v>52</v>
      </c>
      <c r="D639">
        <v>55220</v>
      </c>
      <c r="E639" t="s">
        <v>353</v>
      </c>
      <c r="F639">
        <v>8686</v>
      </c>
      <c r="G639">
        <v>0.4982087443032085</v>
      </c>
      <c r="H639">
        <v>0</v>
      </c>
      <c r="I639">
        <v>0</v>
      </c>
      <c r="J639">
        <v>0.42735909471195388</v>
      </c>
      <c r="K639">
        <v>0</v>
      </c>
      <c r="L639">
        <v>0</v>
      </c>
      <c r="M639">
        <v>0.29827810105047109</v>
      </c>
      <c r="N639">
        <v>0</v>
      </c>
      <c r="O639">
        <v>0</v>
      </c>
      <c r="P639">
        <v>0.24821195290017981</v>
      </c>
      <c r="Q639">
        <v>1.3503815014140861</v>
      </c>
      <c r="R639">
        <v>3.9547008800573642</v>
      </c>
      <c r="S639">
        <v>0.28948150820806817</v>
      </c>
      <c r="T639">
        <v>0.2031419855076424</v>
      </c>
      <c r="U639">
        <v>4.3180054991941059</v>
      </c>
      <c r="V639">
        <v>0.1231836264506336</v>
      </c>
      <c r="W639">
        <v>9.7856556291733821</v>
      </c>
      <c r="X639">
        <v>0.33388593102412811</v>
      </c>
      <c r="Z639" t="s">
        <v>392</v>
      </c>
      <c r="AA639">
        <v>9937</v>
      </c>
      <c r="AB639" t="s">
        <v>1030</v>
      </c>
      <c r="AC639" t="str">
        <f>HYPERLINK("plots/20251231000436_3FT6Y121H01_04823_B11P_N_UFLEX98_M5358A8BH101511/dpll_52084/txpa_55220.png","plot")</f>
        <v>plot</v>
      </c>
    </row>
    <row r="640" spans="1:29" x14ac:dyDescent="0.35">
      <c r="A640" t="s">
        <v>46</v>
      </c>
      <c r="B640">
        <v>52084</v>
      </c>
      <c r="C640" t="s">
        <v>52</v>
      </c>
      <c r="D640">
        <v>55221</v>
      </c>
      <c r="E640" t="s">
        <v>354</v>
      </c>
      <c r="F640">
        <v>8699</v>
      </c>
      <c r="G640">
        <v>0.48135520488969602</v>
      </c>
      <c r="H640">
        <v>0</v>
      </c>
      <c r="I640">
        <v>0</v>
      </c>
      <c r="J640">
        <v>0.38436615175253919</v>
      </c>
      <c r="K640">
        <v>2.79196082009031E-304</v>
      </c>
      <c r="L640">
        <v>5.7894647680400286E-304</v>
      </c>
      <c r="M640">
        <v>0.26648320212088</v>
      </c>
      <c r="N640">
        <v>4.3734024340294666E-304</v>
      </c>
      <c r="O640">
        <v>9.0318331325985325E-304</v>
      </c>
      <c r="P640">
        <v>0.23170283327440119</v>
      </c>
      <c r="Q640">
        <v>1.4227910445113721</v>
      </c>
      <c r="R640">
        <v>3.670716611135759</v>
      </c>
      <c r="S640">
        <v>0.32081990922188047</v>
      </c>
      <c r="T640">
        <v>0.23074720706767171</v>
      </c>
      <c r="U640">
        <v>4.317553642717554</v>
      </c>
      <c r="V640">
        <v>0.1238357984863331</v>
      </c>
      <c r="W640">
        <v>9.8136932681917468</v>
      </c>
      <c r="X640">
        <v>0.36603419530208431</v>
      </c>
      <c r="Z640" t="s">
        <v>392</v>
      </c>
      <c r="AA640">
        <v>9937</v>
      </c>
      <c r="AB640" t="s">
        <v>1031</v>
      </c>
      <c r="AC640" t="str">
        <f>HYPERLINK("plots/20251231000436_3FT6Y121H01_04823_B11P_N_UFLEX98_M5358A8BH101511/dpll_52084/txpa_55221.png","plot")</f>
        <v>plot</v>
      </c>
    </row>
    <row r="641" spans="1:29" x14ac:dyDescent="0.35">
      <c r="A641" t="s">
        <v>46</v>
      </c>
      <c r="B641">
        <v>52084</v>
      </c>
      <c r="C641" t="s">
        <v>52</v>
      </c>
      <c r="D641">
        <v>55222</v>
      </c>
      <c r="E641" t="s">
        <v>355</v>
      </c>
      <c r="F641">
        <v>8689</v>
      </c>
      <c r="G641">
        <v>0.50054833082194539</v>
      </c>
      <c r="H641">
        <v>0</v>
      </c>
      <c r="I641">
        <v>0</v>
      </c>
      <c r="J641">
        <v>0.41332142849794118</v>
      </c>
      <c r="K641">
        <v>0</v>
      </c>
      <c r="L641">
        <v>0</v>
      </c>
      <c r="M641">
        <v>0.29008296501965991</v>
      </c>
      <c r="N641">
        <v>0</v>
      </c>
      <c r="O641">
        <v>0</v>
      </c>
      <c r="P641">
        <v>0.25054863148863571</v>
      </c>
      <c r="Q641">
        <v>1.434526853683125</v>
      </c>
      <c r="R641">
        <v>3.6428007157680722</v>
      </c>
      <c r="S641">
        <v>0.30588703761150221</v>
      </c>
      <c r="T641">
        <v>0.22222541720073791</v>
      </c>
      <c r="U641">
        <v>4.3179647411669926</v>
      </c>
      <c r="V641">
        <v>0.1232967623392659</v>
      </c>
      <c r="W641">
        <v>9.8370370902290247</v>
      </c>
      <c r="X641">
        <v>0.3533575194575565</v>
      </c>
      <c r="Z641" t="s">
        <v>392</v>
      </c>
      <c r="AA641">
        <v>9937</v>
      </c>
      <c r="AB641" t="s">
        <v>1032</v>
      </c>
      <c r="AC641" t="str">
        <f>HYPERLINK("plots/20251231000436_3FT6Y121H01_04823_B11P_N_UFLEX98_M5358A8BH101511/dpll_52084/txpa_55222.png","plot")</f>
        <v>plot</v>
      </c>
    </row>
    <row r="642" spans="1:29" x14ac:dyDescent="0.35">
      <c r="A642" t="s">
        <v>46</v>
      </c>
      <c r="B642">
        <v>52084</v>
      </c>
      <c r="C642" t="s">
        <v>52</v>
      </c>
      <c r="D642">
        <v>55223</v>
      </c>
      <c r="E642" t="s">
        <v>356</v>
      </c>
      <c r="F642">
        <v>8703</v>
      </c>
      <c r="G642">
        <v>0.49200224010364418</v>
      </c>
      <c r="H642">
        <v>0</v>
      </c>
      <c r="I642">
        <v>0</v>
      </c>
      <c r="J642">
        <v>0.37240040105363398</v>
      </c>
      <c r="K642">
        <v>1.948061948878052E-284</v>
      </c>
      <c r="L642">
        <v>3.7270468229478199E-284</v>
      </c>
      <c r="M642">
        <v>0.25726164474258312</v>
      </c>
      <c r="N642">
        <v>1.109570736111971E-283</v>
      </c>
      <c r="O642">
        <v>2.130880163669582E-283</v>
      </c>
      <c r="P642">
        <v>0.24206620426700401</v>
      </c>
      <c r="Q642">
        <v>1.4295330584823029</v>
      </c>
      <c r="R642">
        <v>3.630961398564728</v>
      </c>
      <c r="S642">
        <v>0.31374515348326992</v>
      </c>
      <c r="T642">
        <v>0.23011267427505619</v>
      </c>
      <c r="U642">
        <v>4.3173946736757438</v>
      </c>
      <c r="V642">
        <v>0.1240392749708184</v>
      </c>
      <c r="W642">
        <v>9.802819811099619</v>
      </c>
      <c r="X642">
        <v>0.36040129427786322</v>
      </c>
      <c r="Z642" t="s">
        <v>392</v>
      </c>
      <c r="AA642">
        <v>9937</v>
      </c>
      <c r="AB642" t="s">
        <v>1033</v>
      </c>
      <c r="AC642" t="str">
        <f>HYPERLINK("plots/20251231000436_3FT6Y121H01_04823_B11P_N_UFLEX98_M5358A8BH101511/dpll_52084/txpa_55223.png","plot")</f>
        <v>plot</v>
      </c>
    </row>
    <row r="643" spans="1:29" x14ac:dyDescent="0.35">
      <c r="A643" t="s">
        <v>46</v>
      </c>
      <c r="B643">
        <v>52084</v>
      </c>
      <c r="C643" t="s">
        <v>52</v>
      </c>
      <c r="D643">
        <v>55224</v>
      </c>
      <c r="E643" t="s">
        <v>357</v>
      </c>
      <c r="F643">
        <v>8689</v>
      </c>
      <c r="G643">
        <v>0.51436718058506414</v>
      </c>
      <c r="H643">
        <v>0</v>
      </c>
      <c r="I643">
        <v>0</v>
      </c>
      <c r="J643">
        <v>0.4293835464015992</v>
      </c>
      <c r="K643">
        <v>0</v>
      </c>
      <c r="L643">
        <v>0</v>
      </c>
      <c r="M643">
        <v>0.3013985490325819</v>
      </c>
      <c r="N643">
        <v>0</v>
      </c>
      <c r="O643">
        <v>0</v>
      </c>
      <c r="P643">
        <v>0.26457359646302803</v>
      </c>
      <c r="Q643">
        <v>1.3946400245515349</v>
      </c>
      <c r="R643">
        <v>3.8264206711276239</v>
      </c>
      <c r="S643">
        <v>0.28637753185684039</v>
      </c>
      <c r="T643">
        <v>0.20275349506752649</v>
      </c>
      <c r="U643">
        <v>4.3180504470019558</v>
      </c>
      <c r="V643">
        <v>0.1231701445062672</v>
      </c>
      <c r="W643">
        <v>9.8485466525491994</v>
      </c>
      <c r="X643">
        <v>0.33395990226835381</v>
      </c>
      <c r="Z643" t="s">
        <v>392</v>
      </c>
      <c r="AA643">
        <v>9937</v>
      </c>
      <c r="AB643" t="s">
        <v>1034</v>
      </c>
      <c r="AC643" t="str">
        <f>HYPERLINK("plots/20251231000436_3FT6Y121H01_04823_B11P_N_UFLEX98_M5358A8BH101511/dpll_52084/txpa_55224.png","plot")</f>
        <v>plot</v>
      </c>
    </row>
    <row r="644" spans="1:29" x14ac:dyDescent="0.35">
      <c r="A644" t="s">
        <v>46</v>
      </c>
      <c r="B644">
        <v>52084</v>
      </c>
      <c r="C644" t="s">
        <v>52</v>
      </c>
      <c r="D644">
        <v>55225</v>
      </c>
      <c r="E644" t="s">
        <v>358</v>
      </c>
      <c r="F644">
        <v>8695</v>
      </c>
      <c r="G644">
        <v>0.51130320080223146</v>
      </c>
      <c r="H644">
        <v>0</v>
      </c>
      <c r="I644">
        <v>0</v>
      </c>
      <c r="J644">
        <v>0.40053950460779292</v>
      </c>
      <c r="K644">
        <v>0</v>
      </c>
      <c r="L644">
        <v>0</v>
      </c>
      <c r="M644">
        <v>0.27768465671565662</v>
      </c>
      <c r="N644">
        <v>0</v>
      </c>
      <c r="O644">
        <v>0</v>
      </c>
      <c r="P644">
        <v>0.26143096315060699</v>
      </c>
      <c r="Q644">
        <v>1.385430107149463</v>
      </c>
      <c r="R644">
        <v>3.827279074652846</v>
      </c>
      <c r="S644">
        <v>0.28771027164342028</v>
      </c>
      <c r="T644">
        <v>0.2063826596046649</v>
      </c>
      <c r="U644">
        <v>4.317784733640023</v>
      </c>
      <c r="V644">
        <v>0.1235602232279671</v>
      </c>
      <c r="W644">
        <v>9.8092680408280604</v>
      </c>
      <c r="X644">
        <v>0.33479949477638199</v>
      </c>
      <c r="Z644" t="s">
        <v>392</v>
      </c>
      <c r="AA644">
        <v>9937</v>
      </c>
      <c r="AB644" t="s">
        <v>1035</v>
      </c>
      <c r="AC644" t="str">
        <f>HYPERLINK("plots/20251231000436_3FT6Y121H01_04823_B11P_N_UFLEX98_M5358A8BH101511/dpll_52084/txpa_55225.png","plot")</f>
        <v>plot</v>
      </c>
    </row>
    <row r="645" spans="1:29" x14ac:dyDescent="0.35">
      <c r="A645" t="s">
        <v>46</v>
      </c>
      <c r="B645">
        <v>52084</v>
      </c>
      <c r="C645" t="s">
        <v>52</v>
      </c>
      <c r="D645">
        <v>55226</v>
      </c>
      <c r="E645" t="s">
        <v>359</v>
      </c>
      <c r="F645">
        <v>8663</v>
      </c>
      <c r="G645">
        <v>0.46524628583635103</v>
      </c>
      <c r="H645">
        <v>0</v>
      </c>
      <c r="I645">
        <v>0</v>
      </c>
      <c r="J645">
        <v>0.38616469378367568</v>
      </c>
      <c r="K645">
        <v>4.3034620800966967E-306</v>
      </c>
      <c r="L645">
        <v>8.9973413385939201E-306</v>
      </c>
      <c r="M645">
        <v>0.27039095230979798</v>
      </c>
      <c r="N645">
        <v>0</v>
      </c>
      <c r="O645">
        <v>0</v>
      </c>
      <c r="P645">
        <v>0.21645410648451971</v>
      </c>
      <c r="Q645">
        <v>1.358137005959297</v>
      </c>
      <c r="R645">
        <v>4.1650522392918816</v>
      </c>
      <c r="S645">
        <v>0.3122578476131217</v>
      </c>
      <c r="T645">
        <v>0.22669070679767039</v>
      </c>
      <c r="U645">
        <v>4.3193871565277613</v>
      </c>
      <c r="V645">
        <v>0.12084969029547731</v>
      </c>
      <c r="W645">
        <v>10.03137177963754</v>
      </c>
      <c r="X645">
        <v>0.35278183092629839</v>
      </c>
      <c r="Z645" t="s">
        <v>392</v>
      </c>
      <c r="AA645">
        <v>9937</v>
      </c>
      <c r="AB645" t="s">
        <v>1036</v>
      </c>
      <c r="AC645" t="str">
        <f>HYPERLINK("plots/20251231000436_3FT6Y121H01_04823_B11P_N_UFLEX98_M5358A8BH101511/dpll_52084/txpa_55226.png","plot")</f>
        <v>plot</v>
      </c>
    </row>
    <row r="646" spans="1:29" x14ac:dyDescent="0.35">
      <c r="A646" t="s">
        <v>46</v>
      </c>
      <c r="B646">
        <v>52084</v>
      </c>
      <c r="C646" t="s">
        <v>52</v>
      </c>
      <c r="D646">
        <v>55227</v>
      </c>
      <c r="E646" t="s">
        <v>360</v>
      </c>
      <c r="F646">
        <v>8640</v>
      </c>
      <c r="G646">
        <v>0.43297178418295479</v>
      </c>
      <c r="H646">
        <v>0</v>
      </c>
      <c r="I646">
        <v>0</v>
      </c>
      <c r="J646">
        <v>0.4054040672875785</v>
      </c>
      <c r="K646">
        <v>0</v>
      </c>
      <c r="L646">
        <v>0</v>
      </c>
      <c r="M646">
        <v>0.28458029339122742</v>
      </c>
      <c r="N646">
        <v>0</v>
      </c>
      <c r="O646">
        <v>0</v>
      </c>
      <c r="P646">
        <v>0.18746456589857119</v>
      </c>
      <c r="Q646">
        <v>1.344239384288646</v>
      </c>
      <c r="R646">
        <v>4.5348550915337036</v>
      </c>
      <c r="S646">
        <v>0.33559470114346979</v>
      </c>
      <c r="T646">
        <v>0.23405101070389381</v>
      </c>
      <c r="U646">
        <v>4.3199732859953706</v>
      </c>
      <c r="V646">
        <v>0.1199228812626397</v>
      </c>
      <c r="W646">
        <v>10.34193332164352</v>
      </c>
      <c r="X646">
        <v>0.37232232205342303</v>
      </c>
      <c r="Z646" t="s">
        <v>392</v>
      </c>
      <c r="AA646">
        <v>9937</v>
      </c>
      <c r="AB646" t="s">
        <v>1037</v>
      </c>
      <c r="AC646" t="str">
        <f>HYPERLINK("plots/20251231000436_3FT6Y121H01_04823_B11P_N_UFLEX98_M5358A8BH101511/dpll_52084/txpa_55227.png","plot")</f>
        <v>plot</v>
      </c>
    </row>
    <row r="647" spans="1:29" x14ac:dyDescent="0.35">
      <c r="A647" t="s">
        <v>46</v>
      </c>
      <c r="B647">
        <v>52084</v>
      </c>
      <c r="C647" t="s">
        <v>52</v>
      </c>
      <c r="D647">
        <v>55228</v>
      </c>
      <c r="E647" t="s">
        <v>361</v>
      </c>
      <c r="F647">
        <v>8679</v>
      </c>
      <c r="G647">
        <v>0.49688464925181092</v>
      </c>
      <c r="H647">
        <v>0</v>
      </c>
      <c r="I647">
        <v>0</v>
      </c>
      <c r="J647">
        <v>0.43643656519566321</v>
      </c>
      <c r="K647">
        <v>0</v>
      </c>
      <c r="L647">
        <v>0</v>
      </c>
      <c r="M647">
        <v>0.30646655053011501</v>
      </c>
      <c r="N647">
        <v>0</v>
      </c>
      <c r="O647">
        <v>0</v>
      </c>
      <c r="P647">
        <v>0.24689435466209511</v>
      </c>
      <c r="Q647">
        <v>1.396521867123893</v>
      </c>
      <c r="R647">
        <v>4.1357671563926619</v>
      </c>
      <c r="S647">
        <v>0.29965932627992969</v>
      </c>
      <c r="T647">
        <v>0.20778540090731501</v>
      </c>
      <c r="U647">
        <v>4.3182117673695144</v>
      </c>
      <c r="V647">
        <v>0.1228662795888453</v>
      </c>
      <c r="W647">
        <v>10.1662443163959</v>
      </c>
      <c r="X647">
        <v>0.34532249373440482</v>
      </c>
      <c r="Z647" t="s">
        <v>392</v>
      </c>
      <c r="AA647">
        <v>9937</v>
      </c>
      <c r="AB647" t="s">
        <v>1038</v>
      </c>
      <c r="AC647" t="str">
        <f>HYPERLINK("plots/20251231000436_3FT6Y121H01_04823_B11P_N_UFLEX98_M5358A8BH101511/dpll_52084/txpa_55228.png","plot")</f>
        <v>plot</v>
      </c>
    </row>
    <row r="648" spans="1:29" x14ac:dyDescent="0.35">
      <c r="A648" t="s">
        <v>46</v>
      </c>
      <c r="B648">
        <v>52084</v>
      </c>
      <c r="C648" t="s">
        <v>52</v>
      </c>
      <c r="D648">
        <v>55229</v>
      </c>
      <c r="E648" t="s">
        <v>362</v>
      </c>
      <c r="F648">
        <v>8688</v>
      </c>
      <c r="G648">
        <v>0.48722903130879203</v>
      </c>
      <c r="H648">
        <v>0</v>
      </c>
      <c r="I648">
        <v>0</v>
      </c>
      <c r="J648">
        <v>0.40135697145512123</v>
      </c>
      <c r="K648">
        <v>0</v>
      </c>
      <c r="L648">
        <v>0</v>
      </c>
      <c r="M648">
        <v>0.27971449252529917</v>
      </c>
      <c r="N648">
        <v>0</v>
      </c>
      <c r="O648">
        <v>0</v>
      </c>
      <c r="P648">
        <v>0.23739212895010381</v>
      </c>
      <c r="Q648">
        <v>1.4681584909073619</v>
      </c>
      <c r="R648">
        <v>3.836879488182682</v>
      </c>
      <c r="S648">
        <v>0.3246457965727812</v>
      </c>
      <c r="T648">
        <v>0.22982589280941329</v>
      </c>
      <c r="U648">
        <v>4.3178840709023936</v>
      </c>
      <c r="V648">
        <v>0.1233798830520281</v>
      </c>
      <c r="W648">
        <v>10.176217649631679</v>
      </c>
      <c r="X648">
        <v>0.37177838607730679</v>
      </c>
      <c r="Z648" t="s">
        <v>392</v>
      </c>
      <c r="AA648">
        <v>9937</v>
      </c>
      <c r="AB648" t="s">
        <v>1039</v>
      </c>
      <c r="AC648" t="str">
        <f>HYPERLINK("plots/20251231000436_3FT6Y121H01_04823_B11P_N_UFLEX98_M5358A8BH101511/dpll_52084/txpa_55229.png","plot")</f>
        <v>plot</v>
      </c>
    </row>
    <row r="649" spans="1:29" x14ac:dyDescent="0.35">
      <c r="A649" t="s">
        <v>46</v>
      </c>
      <c r="B649">
        <v>52084</v>
      </c>
      <c r="C649" t="s">
        <v>52</v>
      </c>
      <c r="D649">
        <v>55230</v>
      </c>
      <c r="E649" t="s">
        <v>363</v>
      </c>
      <c r="F649">
        <v>8684</v>
      </c>
      <c r="G649">
        <v>0.50258959466753905</v>
      </c>
      <c r="H649">
        <v>0</v>
      </c>
      <c r="I649">
        <v>0</v>
      </c>
      <c r="J649">
        <v>0.42575893350216498</v>
      </c>
      <c r="K649">
        <v>0</v>
      </c>
      <c r="L649">
        <v>0</v>
      </c>
      <c r="M649">
        <v>0.30007820334034269</v>
      </c>
      <c r="N649">
        <v>0</v>
      </c>
      <c r="O649">
        <v>0</v>
      </c>
      <c r="P649">
        <v>0.2525963006680812</v>
      </c>
      <c r="Q649">
        <v>1.481958871266646</v>
      </c>
      <c r="R649">
        <v>3.79971181390128</v>
      </c>
      <c r="S649">
        <v>0.31364017941374628</v>
      </c>
      <c r="T649">
        <v>0.22340422743570279</v>
      </c>
      <c r="U649">
        <v>4.3181354462229393</v>
      </c>
      <c r="V649">
        <v>0.12304286106747481</v>
      </c>
      <c r="W649">
        <v>10.199010945762319</v>
      </c>
      <c r="X649">
        <v>0.3628098580624094</v>
      </c>
      <c r="Z649" t="s">
        <v>392</v>
      </c>
      <c r="AA649">
        <v>9937</v>
      </c>
      <c r="AB649" t="s">
        <v>1040</v>
      </c>
      <c r="AC649" t="str">
        <f>HYPERLINK("plots/20251231000436_3FT6Y121H01_04823_B11P_N_UFLEX98_M5358A8BH101511/dpll_52084/txpa_55230.png","plot")</f>
        <v>plot</v>
      </c>
    </row>
    <row r="650" spans="1:29" x14ac:dyDescent="0.35">
      <c r="A650" t="s">
        <v>46</v>
      </c>
      <c r="B650">
        <v>52084</v>
      </c>
      <c r="C650" t="s">
        <v>52</v>
      </c>
      <c r="D650">
        <v>55231</v>
      </c>
      <c r="E650" t="s">
        <v>364</v>
      </c>
      <c r="F650">
        <v>8692</v>
      </c>
      <c r="G650">
        <v>0.49579103282927822</v>
      </c>
      <c r="H650">
        <v>0</v>
      </c>
      <c r="I650">
        <v>0</v>
      </c>
      <c r="J650">
        <v>0.38849068872137671</v>
      </c>
      <c r="K650">
        <v>0</v>
      </c>
      <c r="L650">
        <v>0</v>
      </c>
      <c r="M650">
        <v>0.2698211578239777</v>
      </c>
      <c r="N650">
        <v>0</v>
      </c>
      <c r="O650">
        <v>0</v>
      </c>
      <c r="P650">
        <v>0.2458087482339224</v>
      </c>
      <c r="Q650">
        <v>1.464302891225866</v>
      </c>
      <c r="R650">
        <v>3.851434724094545</v>
      </c>
      <c r="S650">
        <v>0.31673854511916982</v>
      </c>
      <c r="T650">
        <v>0.22920331366646601</v>
      </c>
      <c r="U650">
        <v>4.317830672802577</v>
      </c>
      <c r="V650">
        <v>0.1234960036149978</v>
      </c>
      <c r="W650">
        <v>10.174046662103081</v>
      </c>
      <c r="X650">
        <v>0.3647414801278801</v>
      </c>
      <c r="Z650" t="s">
        <v>392</v>
      </c>
      <c r="AA650">
        <v>9937</v>
      </c>
      <c r="AB650" t="s">
        <v>1041</v>
      </c>
      <c r="AC650" t="str">
        <f>HYPERLINK("plots/20251231000436_3FT6Y121H01_04823_B11P_N_UFLEX98_M5358A8BH101511/dpll_52084/txpa_55231.png","plot")</f>
        <v>plot</v>
      </c>
    </row>
    <row r="651" spans="1:29" x14ac:dyDescent="0.35">
      <c r="A651" t="s">
        <v>46</v>
      </c>
      <c r="B651">
        <v>52084</v>
      </c>
      <c r="C651" t="s">
        <v>52</v>
      </c>
      <c r="D651">
        <v>55232</v>
      </c>
      <c r="E651" t="s">
        <v>365</v>
      </c>
      <c r="F651">
        <v>8687</v>
      </c>
      <c r="G651">
        <v>0.51240348470662911</v>
      </c>
      <c r="H651">
        <v>0</v>
      </c>
      <c r="I651">
        <v>0</v>
      </c>
      <c r="J651">
        <v>0.43655670873564267</v>
      </c>
      <c r="K651">
        <v>0</v>
      </c>
      <c r="L651">
        <v>0</v>
      </c>
      <c r="M651">
        <v>0.30783864800214961</v>
      </c>
      <c r="N651">
        <v>0</v>
      </c>
      <c r="O651">
        <v>0</v>
      </c>
      <c r="P651">
        <v>0.2625573311394967</v>
      </c>
      <c r="Q651">
        <v>1.4538747872337181</v>
      </c>
      <c r="R651">
        <v>3.920787191817428</v>
      </c>
      <c r="S651">
        <v>0.29978263607414779</v>
      </c>
      <c r="T651">
        <v>0.20958690987837411</v>
      </c>
      <c r="U651">
        <v>4.3181374095775293</v>
      </c>
      <c r="V651">
        <v>0.1230417248304249</v>
      </c>
      <c r="W651">
        <v>10.19881829941292</v>
      </c>
      <c r="X651">
        <v>0.34911406117997712</v>
      </c>
      <c r="Z651" t="s">
        <v>392</v>
      </c>
      <c r="AA651">
        <v>9937</v>
      </c>
      <c r="AB651" t="s">
        <v>1042</v>
      </c>
      <c r="AC651" t="str">
        <f>HYPERLINK("plots/20251231000436_3FT6Y121H01_04823_B11P_N_UFLEX98_M5358A8BH101511/dpll_52084/txpa_55232.png","plot")</f>
        <v>plot</v>
      </c>
    </row>
    <row r="652" spans="1:29" x14ac:dyDescent="0.35">
      <c r="A652" t="s">
        <v>46</v>
      </c>
      <c r="B652">
        <v>52084</v>
      </c>
      <c r="C652" t="s">
        <v>52</v>
      </c>
      <c r="D652">
        <v>55233</v>
      </c>
      <c r="E652" t="s">
        <v>366</v>
      </c>
      <c r="F652">
        <v>8686</v>
      </c>
      <c r="G652">
        <v>0.51079471925779807</v>
      </c>
      <c r="H652">
        <v>0</v>
      </c>
      <c r="I652">
        <v>0</v>
      </c>
      <c r="J652">
        <v>0.41324537986476079</v>
      </c>
      <c r="K652">
        <v>0</v>
      </c>
      <c r="L652">
        <v>0</v>
      </c>
      <c r="M652">
        <v>0.28787229439097922</v>
      </c>
      <c r="N652">
        <v>0</v>
      </c>
      <c r="O652">
        <v>0</v>
      </c>
      <c r="P652">
        <v>0.26091124522165282</v>
      </c>
      <c r="Q652">
        <v>1.432356587869583</v>
      </c>
      <c r="R652">
        <v>3.993097618571356</v>
      </c>
      <c r="S652">
        <v>0.29649252036198948</v>
      </c>
      <c r="T652">
        <v>0.20895863256166511</v>
      </c>
      <c r="U652">
        <v>4.3181759964310382</v>
      </c>
      <c r="V652">
        <v>0.12299450092556651</v>
      </c>
      <c r="W652">
        <v>10.17826545463965</v>
      </c>
      <c r="X652">
        <v>0.34489781712788731</v>
      </c>
      <c r="Z652" t="s">
        <v>392</v>
      </c>
      <c r="AA652">
        <v>9937</v>
      </c>
      <c r="AB652" t="s">
        <v>1043</v>
      </c>
      <c r="AC652" t="str">
        <f>HYPERLINK("plots/20251231000436_3FT6Y121H01_04823_B11P_N_UFLEX98_M5358A8BH101511/dpll_52084/txpa_55233.png","plot")</f>
        <v>plot</v>
      </c>
    </row>
    <row r="653" spans="1:29" x14ac:dyDescent="0.35">
      <c r="A653" t="s">
        <v>46</v>
      </c>
      <c r="B653">
        <v>52084</v>
      </c>
      <c r="C653" t="s">
        <v>52</v>
      </c>
      <c r="D653">
        <v>55234</v>
      </c>
      <c r="E653" t="s">
        <v>367</v>
      </c>
      <c r="F653">
        <v>8663</v>
      </c>
      <c r="G653">
        <v>0.46948143334061421</v>
      </c>
      <c r="H653">
        <v>0</v>
      </c>
      <c r="I653">
        <v>0</v>
      </c>
      <c r="J653">
        <v>0.39499249956924948</v>
      </c>
      <c r="K653">
        <v>0</v>
      </c>
      <c r="L653">
        <v>0</v>
      </c>
      <c r="M653">
        <v>0.27711752103181492</v>
      </c>
      <c r="N653">
        <v>0</v>
      </c>
      <c r="O653">
        <v>0</v>
      </c>
      <c r="P653">
        <v>0.22041281625155751</v>
      </c>
      <c r="Q653">
        <v>1.4246712524464371</v>
      </c>
      <c r="R653">
        <v>4.230312045882223</v>
      </c>
      <c r="S653">
        <v>0.32377928439434711</v>
      </c>
      <c r="T653">
        <v>0.23270146195345889</v>
      </c>
      <c r="U653">
        <v>4.3193871565277613</v>
      </c>
      <c r="V653">
        <v>0.12084969029547731</v>
      </c>
      <c r="W653">
        <v>10.384018755973679</v>
      </c>
      <c r="X653">
        <v>0.36672606711181599</v>
      </c>
      <c r="Z653" t="s">
        <v>392</v>
      </c>
      <c r="AA653">
        <v>9937</v>
      </c>
      <c r="AB653" t="s">
        <v>1044</v>
      </c>
      <c r="AC653" t="str">
        <f>HYPERLINK("plots/20251231000436_3FT6Y121H01_04823_B11P_N_UFLEX98_M5358A8BH101511/dpll_52084/txpa_55234.png","plot")</f>
        <v>plot</v>
      </c>
    </row>
    <row r="654" spans="1:29" x14ac:dyDescent="0.35">
      <c r="A654" t="s">
        <v>46</v>
      </c>
      <c r="B654">
        <v>52084</v>
      </c>
      <c r="C654" t="s">
        <v>52</v>
      </c>
      <c r="D654">
        <v>55235</v>
      </c>
      <c r="E654" t="s">
        <v>368</v>
      </c>
      <c r="F654">
        <v>8658</v>
      </c>
      <c r="G654">
        <v>0.44932446182305968</v>
      </c>
      <c r="H654">
        <v>0</v>
      </c>
      <c r="I654">
        <v>0</v>
      </c>
      <c r="J654">
        <v>0.40842885772742138</v>
      </c>
      <c r="K654">
        <v>0</v>
      </c>
      <c r="L654">
        <v>0</v>
      </c>
      <c r="M654">
        <v>0.28749456847728588</v>
      </c>
      <c r="N654">
        <v>0</v>
      </c>
      <c r="O654">
        <v>0</v>
      </c>
      <c r="P654">
        <v>0.20189247199258231</v>
      </c>
      <c r="Q654">
        <v>1.4792436953272829</v>
      </c>
      <c r="R654">
        <v>4.2533437944605748</v>
      </c>
      <c r="S654">
        <v>0.35669343078941229</v>
      </c>
      <c r="T654">
        <v>0.24869487216208111</v>
      </c>
      <c r="U654">
        <v>4.3191602828597828</v>
      </c>
      <c r="V654">
        <v>0.1212857631627586</v>
      </c>
      <c r="W654">
        <v>10.64243441198891</v>
      </c>
      <c r="X654">
        <v>0.39929097063520058</v>
      </c>
      <c r="Z654" t="s">
        <v>392</v>
      </c>
      <c r="AA654">
        <v>9937</v>
      </c>
      <c r="AB654" t="s">
        <v>1045</v>
      </c>
      <c r="AC654" t="str">
        <f>HYPERLINK("plots/20251231000436_3FT6Y121H01_04823_B11P_N_UFLEX98_M5358A8BH101511/dpll_52084/txpa_55235.png","plot")</f>
        <v>plot</v>
      </c>
    </row>
    <row r="655" spans="1:29" x14ac:dyDescent="0.35">
      <c r="A655" t="s">
        <v>46</v>
      </c>
      <c r="B655">
        <v>52084</v>
      </c>
      <c r="C655" t="s">
        <v>52</v>
      </c>
      <c r="D655">
        <v>55236</v>
      </c>
      <c r="E655" t="s">
        <v>369</v>
      </c>
      <c r="F655">
        <v>8675</v>
      </c>
      <c r="G655">
        <v>0.49534027933170549</v>
      </c>
      <c r="H655">
        <v>0</v>
      </c>
      <c r="I655">
        <v>0</v>
      </c>
      <c r="J655">
        <v>0.44437316855909847</v>
      </c>
      <c r="K655">
        <v>0</v>
      </c>
      <c r="L655">
        <v>0</v>
      </c>
      <c r="M655">
        <v>0.31390626011969808</v>
      </c>
      <c r="N655">
        <v>0</v>
      </c>
      <c r="O655">
        <v>0</v>
      </c>
      <c r="P655">
        <v>0.2453619923284121</v>
      </c>
      <c r="Q655">
        <v>1.451601545540717</v>
      </c>
      <c r="R655">
        <v>4.243366912374996</v>
      </c>
      <c r="S655">
        <v>0.31195150299477248</v>
      </c>
      <c r="T655">
        <v>0.214215664801891</v>
      </c>
      <c r="U655">
        <v>4.3183645202305474</v>
      </c>
      <c r="V655">
        <v>0.12254596064121739</v>
      </c>
      <c r="W655">
        <v>10.511911524149861</v>
      </c>
      <c r="X655">
        <v>0.35912263405383221</v>
      </c>
      <c r="Z655" t="s">
        <v>392</v>
      </c>
      <c r="AA655">
        <v>9937</v>
      </c>
      <c r="AB655" t="s">
        <v>1046</v>
      </c>
      <c r="AC655" t="str">
        <f>HYPERLINK("plots/20251231000436_3FT6Y121H01_04823_B11P_N_UFLEX98_M5358A8BH101511/dpll_52084/txpa_55236.png","plot")</f>
        <v>plot</v>
      </c>
    </row>
    <row r="656" spans="1:29" x14ac:dyDescent="0.35">
      <c r="A656" t="s">
        <v>46</v>
      </c>
      <c r="B656">
        <v>52084</v>
      </c>
      <c r="C656" t="s">
        <v>52</v>
      </c>
      <c r="D656">
        <v>55237</v>
      </c>
      <c r="E656" t="s">
        <v>370</v>
      </c>
      <c r="F656">
        <v>8682</v>
      </c>
      <c r="G656">
        <v>0.48803153026387169</v>
      </c>
      <c r="H656">
        <v>0</v>
      </c>
      <c r="I656">
        <v>0</v>
      </c>
      <c r="J656">
        <v>0.41505271714070102</v>
      </c>
      <c r="K656">
        <v>0</v>
      </c>
      <c r="L656">
        <v>0</v>
      </c>
      <c r="M656">
        <v>0.29079455585495428</v>
      </c>
      <c r="N656">
        <v>0</v>
      </c>
      <c r="O656">
        <v>0</v>
      </c>
      <c r="P656">
        <v>0.23817477453169639</v>
      </c>
      <c r="Q656">
        <v>1.5160031188689009</v>
      </c>
      <c r="R656">
        <v>3.9566305083646158</v>
      </c>
      <c r="S656">
        <v>0.33335754748234109</v>
      </c>
      <c r="T656">
        <v>0.2323645007197393</v>
      </c>
      <c r="U656">
        <v>4.3181622328956459</v>
      </c>
      <c r="V656">
        <v>0.1229576111981165</v>
      </c>
      <c r="W656">
        <v>10.50297792121631</v>
      </c>
      <c r="X656">
        <v>0.38195098165937819</v>
      </c>
      <c r="Z656" t="s">
        <v>392</v>
      </c>
      <c r="AA656">
        <v>9937</v>
      </c>
      <c r="AB656" t="s">
        <v>1047</v>
      </c>
      <c r="AC656" t="str">
        <f>HYPERLINK("plots/20251231000436_3FT6Y121H01_04823_B11P_N_UFLEX98_M5358A8BH101511/dpll_52084/txpa_55237.png","plot")</f>
        <v>plot</v>
      </c>
    </row>
    <row r="657" spans="1:29" x14ac:dyDescent="0.35">
      <c r="A657" t="s">
        <v>46</v>
      </c>
      <c r="B657">
        <v>52084</v>
      </c>
      <c r="C657" t="s">
        <v>52</v>
      </c>
      <c r="D657">
        <v>55238</v>
      </c>
      <c r="E657" t="s">
        <v>371</v>
      </c>
      <c r="F657">
        <v>8682</v>
      </c>
      <c r="G657">
        <v>0.50530189239722656</v>
      </c>
      <c r="H657">
        <v>0</v>
      </c>
      <c r="I657">
        <v>0</v>
      </c>
      <c r="J657">
        <v>0.43689561800027132</v>
      </c>
      <c r="K657">
        <v>0</v>
      </c>
      <c r="L657">
        <v>0</v>
      </c>
      <c r="M657">
        <v>0.30931885450256658</v>
      </c>
      <c r="N657">
        <v>0</v>
      </c>
      <c r="O657">
        <v>0</v>
      </c>
      <c r="P657">
        <v>0.25533000246021831</v>
      </c>
      <c r="Q657">
        <v>1.5413818664982699</v>
      </c>
      <c r="R657">
        <v>3.8691433753831168</v>
      </c>
      <c r="S657">
        <v>0.32358102335653349</v>
      </c>
      <c r="T657">
        <v>0.2267096340042084</v>
      </c>
      <c r="U657">
        <v>4.318175775397374</v>
      </c>
      <c r="V657">
        <v>0.1229325266287223</v>
      </c>
      <c r="W657">
        <v>10.52510121193273</v>
      </c>
      <c r="X657">
        <v>0.37499556245352428</v>
      </c>
      <c r="Z657" t="s">
        <v>392</v>
      </c>
      <c r="AA657">
        <v>9937</v>
      </c>
      <c r="AB657" t="s">
        <v>1048</v>
      </c>
      <c r="AC657" t="str">
        <f>HYPERLINK("plots/20251231000436_3FT6Y121H01_04823_B11P_N_UFLEX98_M5358A8BH101511/dpll_52084/txpa_55238.png","plot")</f>
        <v>plot</v>
      </c>
    </row>
    <row r="658" spans="1:29" x14ac:dyDescent="0.35">
      <c r="A658" t="s">
        <v>46</v>
      </c>
      <c r="B658">
        <v>52084</v>
      </c>
      <c r="C658" t="s">
        <v>52</v>
      </c>
      <c r="D658">
        <v>55239</v>
      </c>
      <c r="E658" t="s">
        <v>372</v>
      </c>
      <c r="F658">
        <v>8686</v>
      </c>
      <c r="G658">
        <v>0.49863549926032769</v>
      </c>
      <c r="H658">
        <v>0</v>
      </c>
      <c r="I658">
        <v>0</v>
      </c>
      <c r="J658">
        <v>0.4041681050962207</v>
      </c>
      <c r="K658">
        <v>0</v>
      </c>
      <c r="L658">
        <v>0</v>
      </c>
      <c r="M658">
        <v>0.28221035616927498</v>
      </c>
      <c r="N658">
        <v>0</v>
      </c>
      <c r="O658">
        <v>0</v>
      </c>
      <c r="P658">
        <v>0.2486373611225963</v>
      </c>
      <c r="Q658">
        <v>1.513840417596799</v>
      </c>
      <c r="R658">
        <v>3.9726443008875161</v>
      </c>
      <c r="S658">
        <v>0.32369207389259808</v>
      </c>
      <c r="T658">
        <v>0.2308552882982034</v>
      </c>
      <c r="U658">
        <v>4.3181257818328342</v>
      </c>
      <c r="V658">
        <v>0.1230085689128412</v>
      </c>
      <c r="W658">
        <v>10.50959763769284</v>
      </c>
      <c r="X658">
        <v>0.37344983180545882</v>
      </c>
      <c r="Z658" t="s">
        <v>392</v>
      </c>
      <c r="AA658">
        <v>9937</v>
      </c>
      <c r="AB658" t="s">
        <v>1049</v>
      </c>
      <c r="AC658" t="str">
        <f>HYPERLINK("plots/20251231000436_3FT6Y121H01_04823_B11P_N_UFLEX98_M5358A8BH101511/dpll_52084/txpa_55239.png","plot")</f>
        <v>plot</v>
      </c>
    </row>
    <row r="659" spans="1:29" x14ac:dyDescent="0.35">
      <c r="A659" t="s">
        <v>46</v>
      </c>
      <c r="B659">
        <v>52084</v>
      </c>
      <c r="C659" t="s">
        <v>52</v>
      </c>
      <c r="D659">
        <v>55240</v>
      </c>
      <c r="E659" t="s">
        <v>373</v>
      </c>
      <c r="F659">
        <v>8687</v>
      </c>
      <c r="G659">
        <v>0.5111214101335998</v>
      </c>
      <c r="H659">
        <v>0</v>
      </c>
      <c r="I659">
        <v>0</v>
      </c>
      <c r="J659">
        <v>0.44088023956713529</v>
      </c>
      <c r="K659">
        <v>0</v>
      </c>
      <c r="L659">
        <v>0</v>
      </c>
      <c r="M659">
        <v>0.31192743643617371</v>
      </c>
      <c r="N659">
        <v>0</v>
      </c>
      <c r="O659">
        <v>0</v>
      </c>
      <c r="P659">
        <v>0.26124509589695949</v>
      </c>
      <c r="Q659">
        <v>1.5204502966552249</v>
      </c>
      <c r="R659">
        <v>3.947275626462015</v>
      </c>
      <c r="S659">
        <v>0.31457612261539408</v>
      </c>
      <c r="T659">
        <v>0.21844804043075111</v>
      </c>
      <c r="U659">
        <v>4.3181374095775293</v>
      </c>
      <c r="V659">
        <v>0.1230417248304249</v>
      </c>
      <c r="W659">
        <v>10.512788931852191</v>
      </c>
      <c r="X659">
        <v>0.36601641666798967</v>
      </c>
      <c r="Z659" t="s">
        <v>392</v>
      </c>
      <c r="AA659">
        <v>9937</v>
      </c>
      <c r="AB659" t="s">
        <v>1050</v>
      </c>
      <c r="AC659" t="str">
        <f>HYPERLINK("plots/20251231000436_3FT6Y121H01_04823_B11P_N_UFLEX98_M5358A8BH101511/dpll_52084/txpa_55240.png","plot")</f>
        <v>plot</v>
      </c>
    </row>
    <row r="660" spans="1:29" x14ac:dyDescent="0.35">
      <c r="A660" t="s">
        <v>46</v>
      </c>
      <c r="B660">
        <v>52084</v>
      </c>
      <c r="C660" t="s">
        <v>52</v>
      </c>
      <c r="D660">
        <v>55241</v>
      </c>
      <c r="E660" t="s">
        <v>374</v>
      </c>
      <c r="F660">
        <v>8678</v>
      </c>
      <c r="G660">
        <v>0.50732610322194893</v>
      </c>
      <c r="H660">
        <v>0</v>
      </c>
      <c r="I660">
        <v>0</v>
      </c>
      <c r="J660">
        <v>0.4240302323360659</v>
      </c>
      <c r="K660">
        <v>0</v>
      </c>
      <c r="L660">
        <v>0</v>
      </c>
      <c r="M660">
        <v>0.29704754969223662</v>
      </c>
      <c r="N660">
        <v>0</v>
      </c>
      <c r="O660">
        <v>0</v>
      </c>
      <c r="P660">
        <v>0.25737977501036757</v>
      </c>
      <c r="Q660">
        <v>1.4784247385617311</v>
      </c>
      <c r="R660">
        <v>4.1277087493887104</v>
      </c>
      <c r="S660">
        <v>0.30721583906286432</v>
      </c>
      <c r="T660">
        <v>0.213392483037776</v>
      </c>
      <c r="U660">
        <v>4.318567830029961</v>
      </c>
      <c r="V660">
        <v>0.12234133857136641</v>
      </c>
      <c r="W660">
        <v>10.51238626446186</v>
      </c>
      <c r="X660">
        <v>0.35652110219437128</v>
      </c>
      <c r="Z660" t="s">
        <v>392</v>
      </c>
      <c r="AA660">
        <v>9937</v>
      </c>
      <c r="AB660" t="s">
        <v>1051</v>
      </c>
      <c r="AC660" t="str">
        <f>HYPERLINK("plots/20251231000436_3FT6Y121H01_04823_B11P_N_UFLEX98_M5358A8BH101511/dpll_52084/txpa_55241.png","plot")</f>
        <v>plot</v>
      </c>
    </row>
    <row r="661" spans="1:29" x14ac:dyDescent="0.35">
      <c r="A661" t="s">
        <v>46</v>
      </c>
      <c r="B661">
        <v>52084</v>
      </c>
      <c r="C661" t="s">
        <v>52</v>
      </c>
      <c r="D661">
        <v>55242</v>
      </c>
      <c r="E661" t="s">
        <v>375</v>
      </c>
      <c r="F661">
        <v>8665</v>
      </c>
      <c r="G661">
        <v>0.47370963224218621</v>
      </c>
      <c r="H661">
        <v>0</v>
      </c>
      <c r="I661">
        <v>0</v>
      </c>
      <c r="J661">
        <v>0.40030450147750102</v>
      </c>
      <c r="K661">
        <v>0</v>
      </c>
      <c r="L661">
        <v>0</v>
      </c>
      <c r="M661">
        <v>0.28100379571538697</v>
      </c>
      <c r="N661">
        <v>0</v>
      </c>
      <c r="O661">
        <v>0</v>
      </c>
      <c r="P661">
        <v>0.22440081567902731</v>
      </c>
      <c r="Q661">
        <v>1.5019178508743549</v>
      </c>
      <c r="R661">
        <v>4.2137730733384959</v>
      </c>
      <c r="S661">
        <v>0.33793243978832849</v>
      </c>
      <c r="T661">
        <v>0.24158598264137451</v>
      </c>
      <c r="U661">
        <v>4.3192825815349103</v>
      </c>
      <c r="V661">
        <v>0.1210325853445009</v>
      </c>
      <c r="W661">
        <v>10.70098068551644</v>
      </c>
      <c r="X661">
        <v>0.3837392953273186</v>
      </c>
      <c r="Z661" t="s">
        <v>392</v>
      </c>
      <c r="AA661">
        <v>9937</v>
      </c>
      <c r="AB661" t="s">
        <v>1052</v>
      </c>
      <c r="AC661" t="str">
        <f>HYPERLINK("plots/20251231000436_3FT6Y121H01_04823_B11P_N_UFLEX98_M5358A8BH101511/dpll_52084/txpa_55242.png","plot")</f>
        <v>plot</v>
      </c>
    </row>
    <row r="662" spans="1:29" x14ac:dyDescent="0.35">
      <c r="A662" t="s">
        <v>46</v>
      </c>
      <c r="B662">
        <v>52084</v>
      </c>
      <c r="C662" t="s">
        <v>52</v>
      </c>
      <c r="D662">
        <v>55243</v>
      </c>
      <c r="E662" t="s">
        <v>376</v>
      </c>
      <c r="F662">
        <v>8693</v>
      </c>
      <c r="G662">
        <v>0.46845280632206249</v>
      </c>
      <c r="H662">
        <v>0</v>
      </c>
      <c r="I662">
        <v>0</v>
      </c>
      <c r="J662">
        <v>0.397818247488193</v>
      </c>
      <c r="K662">
        <v>0</v>
      </c>
      <c r="L662">
        <v>0</v>
      </c>
      <c r="M662">
        <v>0.28003244738181449</v>
      </c>
      <c r="N662">
        <v>0</v>
      </c>
      <c r="O662">
        <v>0</v>
      </c>
      <c r="P662">
        <v>0.21944803175101579</v>
      </c>
      <c r="Q662">
        <v>1.8000548488974</v>
      </c>
      <c r="R662">
        <v>3.6599219036007362</v>
      </c>
      <c r="S662">
        <v>0.4193043613835602</v>
      </c>
      <c r="T662">
        <v>0.29689017543646318</v>
      </c>
      <c r="U662">
        <v>4.3178097164385134</v>
      </c>
      <c r="V662">
        <v>0.1235189398652895</v>
      </c>
      <c r="W662">
        <v>11.43221622029219</v>
      </c>
      <c r="X662">
        <v>0.47462810262752692</v>
      </c>
      <c r="Z662" t="s">
        <v>392</v>
      </c>
      <c r="AA662">
        <v>9937</v>
      </c>
      <c r="AB662" t="s">
        <v>1053</v>
      </c>
      <c r="AC662" t="str">
        <f>HYPERLINK("plots/20251231000436_3FT6Y121H01_04823_B11P_N_UFLEX98_M5358A8BH101511/dpll_52084/txpa_55243.png","plot")</f>
        <v>plot</v>
      </c>
    </row>
    <row r="663" spans="1:29" x14ac:dyDescent="0.35">
      <c r="A663" t="s">
        <v>46</v>
      </c>
      <c r="B663">
        <v>52084</v>
      </c>
      <c r="C663" t="s">
        <v>52</v>
      </c>
      <c r="D663">
        <v>55244</v>
      </c>
      <c r="E663" t="s">
        <v>377</v>
      </c>
      <c r="F663">
        <v>8672</v>
      </c>
      <c r="G663">
        <v>0.49333287491696498</v>
      </c>
      <c r="H663">
        <v>0</v>
      </c>
      <c r="I663">
        <v>0</v>
      </c>
      <c r="J663">
        <v>0.45446558134265308</v>
      </c>
      <c r="K663">
        <v>0</v>
      </c>
      <c r="L663">
        <v>0</v>
      </c>
      <c r="M663">
        <v>0.3245250465048376</v>
      </c>
      <c r="N663">
        <v>0</v>
      </c>
      <c r="O663">
        <v>0</v>
      </c>
      <c r="P663">
        <v>0.24337732547383789</v>
      </c>
      <c r="Q663">
        <v>1.655375349085392</v>
      </c>
      <c r="R663">
        <v>4.2896978601563527</v>
      </c>
      <c r="S663">
        <v>0.35671636135598278</v>
      </c>
      <c r="T663">
        <v>0.2430675476841421</v>
      </c>
      <c r="U663">
        <v>4.3185336525599638</v>
      </c>
      <c r="V663">
        <v>0.1222227267024224</v>
      </c>
      <c r="W663">
        <v>11.43849201279982</v>
      </c>
      <c r="X663">
        <v>0.41011758828203948</v>
      </c>
      <c r="Z663" t="s">
        <v>392</v>
      </c>
      <c r="AA663">
        <v>9937</v>
      </c>
      <c r="AB663" t="s">
        <v>1054</v>
      </c>
      <c r="AC663" t="str">
        <f>HYPERLINK("plots/20251231000436_3FT6Y121H01_04823_B11P_N_UFLEX98_M5358A8BH101511/dpll_52084/txpa_55244.png","plot")</f>
        <v>plot</v>
      </c>
    </row>
    <row r="664" spans="1:29" x14ac:dyDescent="0.35">
      <c r="A664" t="s">
        <v>46</v>
      </c>
      <c r="B664">
        <v>52084</v>
      </c>
      <c r="C664" t="s">
        <v>52</v>
      </c>
      <c r="D664">
        <v>55245</v>
      </c>
      <c r="E664" t="s">
        <v>378</v>
      </c>
      <c r="F664">
        <v>8680</v>
      </c>
      <c r="G664">
        <v>0.48049529011577868</v>
      </c>
      <c r="H664">
        <v>0</v>
      </c>
      <c r="I664">
        <v>0</v>
      </c>
      <c r="J664">
        <v>0.42084553413140341</v>
      </c>
      <c r="K664">
        <v>0</v>
      </c>
      <c r="L664">
        <v>0</v>
      </c>
      <c r="M664">
        <v>0.29741276914213571</v>
      </c>
      <c r="N664">
        <v>0</v>
      </c>
      <c r="O664">
        <v>0</v>
      </c>
      <c r="P664">
        <v>0.23087572382344629</v>
      </c>
      <c r="Q664">
        <v>1.699140132128935</v>
      </c>
      <c r="R664">
        <v>4.0313822821303082</v>
      </c>
      <c r="S664">
        <v>0.3798505065263777</v>
      </c>
      <c r="T664">
        <v>0.26478448071855643</v>
      </c>
      <c r="U664">
        <v>4.3184302471198164</v>
      </c>
      <c r="V664">
        <v>0.12248965345389889</v>
      </c>
      <c r="W664">
        <v>11.369000422811061</v>
      </c>
      <c r="X664">
        <v>0.43315114681755851</v>
      </c>
      <c r="Z664" t="s">
        <v>392</v>
      </c>
      <c r="AA664">
        <v>9937</v>
      </c>
      <c r="AB664" t="s">
        <v>1055</v>
      </c>
      <c r="AC664" t="str">
        <f>HYPERLINK("plots/20251231000436_3FT6Y121H01_04823_B11P_N_UFLEX98_M5358A8BH101511/dpll_52084/txpa_55245.png","plot")</f>
        <v>plot</v>
      </c>
    </row>
    <row r="665" spans="1:29" x14ac:dyDescent="0.35">
      <c r="A665" t="s">
        <v>46</v>
      </c>
      <c r="B665">
        <v>52084</v>
      </c>
      <c r="C665" t="s">
        <v>52</v>
      </c>
      <c r="D665">
        <v>55246</v>
      </c>
      <c r="E665" t="s">
        <v>379</v>
      </c>
      <c r="F665">
        <v>8685</v>
      </c>
      <c r="G665">
        <v>0.50470987445134763</v>
      </c>
      <c r="H665">
        <v>0</v>
      </c>
      <c r="I665">
        <v>0</v>
      </c>
      <c r="J665">
        <v>0.448027993024952</v>
      </c>
      <c r="K665">
        <v>0</v>
      </c>
      <c r="L665">
        <v>0</v>
      </c>
      <c r="M665">
        <v>0.31941508645471139</v>
      </c>
      <c r="N665">
        <v>0</v>
      </c>
      <c r="O665">
        <v>0</v>
      </c>
      <c r="P665">
        <v>0.25473205736869509</v>
      </c>
      <c r="Q665">
        <v>1.7389789860669049</v>
      </c>
      <c r="R665">
        <v>3.8778295318997329</v>
      </c>
      <c r="S665">
        <v>0.36576377183659431</v>
      </c>
      <c r="T665">
        <v>0.25143657387400559</v>
      </c>
      <c r="U665">
        <v>4.3181620639032818</v>
      </c>
      <c r="V665">
        <v>0.12297503039723839</v>
      </c>
      <c r="W665">
        <v>11.38702261945884</v>
      </c>
      <c r="X665">
        <v>0.4237107385786863</v>
      </c>
      <c r="Z665" t="s">
        <v>392</v>
      </c>
      <c r="AA665">
        <v>9937</v>
      </c>
      <c r="AB665" t="s">
        <v>1056</v>
      </c>
      <c r="AC665" t="str">
        <f>HYPERLINK("plots/20251231000436_3FT6Y121H01_04823_B11P_N_UFLEX98_M5358A8BH101511/dpll_52084/txpa_55246.png","plot")</f>
        <v>plot</v>
      </c>
    </row>
    <row r="666" spans="1:29" x14ac:dyDescent="0.35">
      <c r="A666" t="s">
        <v>46</v>
      </c>
      <c r="B666">
        <v>52084</v>
      </c>
      <c r="C666" t="s">
        <v>52</v>
      </c>
      <c r="D666">
        <v>55247</v>
      </c>
      <c r="E666" t="s">
        <v>380</v>
      </c>
      <c r="F666">
        <v>8682</v>
      </c>
      <c r="G666">
        <v>0.50576747442317149</v>
      </c>
      <c r="H666">
        <v>0</v>
      </c>
      <c r="I666">
        <v>0</v>
      </c>
      <c r="J666">
        <v>0.43256971518248988</v>
      </c>
      <c r="K666">
        <v>0</v>
      </c>
      <c r="L666">
        <v>0</v>
      </c>
      <c r="M666">
        <v>0.3055334431577385</v>
      </c>
      <c r="N666">
        <v>0</v>
      </c>
      <c r="O666">
        <v>0</v>
      </c>
      <c r="P666">
        <v>0.25580073818439342</v>
      </c>
      <c r="Q666">
        <v>1.7170387418169599</v>
      </c>
      <c r="R666">
        <v>3.99039442812817</v>
      </c>
      <c r="S666">
        <v>0.35908380108470839</v>
      </c>
      <c r="T666">
        <v>0.25088135207118489</v>
      </c>
      <c r="U666">
        <v>4.3183429196037766</v>
      </c>
      <c r="V666">
        <v>0.1226159624339655</v>
      </c>
      <c r="W666">
        <v>11.405156521538821</v>
      </c>
      <c r="X666">
        <v>0.41627105045536722</v>
      </c>
      <c r="Z666" t="s">
        <v>392</v>
      </c>
      <c r="AA666">
        <v>9937</v>
      </c>
      <c r="AB666" t="s">
        <v>1057</v>
      </c>
      <c r="AC666" t="str">
        <f>HYPERLINK("plots/20251231000436_3FT6Y121H01_04823_B11P_N_UFLEX98_M5358A8BH101511/dpll_52084/txpa_55247.png","plot")</f>
        <v>plot</v>
      </c>
    </row>
    <row r="667" spans="1:29" x14ac:dyDescent="0.35">
      <c r="A667" t="s">
        <v>46</v>
      </c>
      <c r="B667">
        <v>52084</v>
      </c>
      <c r="C667" t="s">
        <v>52</v>
      </c>
      <c r="D667">
        <v>55248</v>
      </c>
      <c r="E667" t="s">
        <v>381</v>
      </c>
      <c r="F667">
        <v>8689</v>
      </c>
      <c r="G667">
        <v>0.5081253332679404</v>
      </c>
      <c r="H667">
        <v>0</v>
      </c>
      <c r="I667">
        <v>0</v>
      </c>
      <c r="J667">
        <v>0.43847973122924888</v>
      </c>
      <c r="K667">
        <v>0</v>
      </c>
      <c r="L667">
        <v>0</v>
      </c>
      <c r="M667">
        <v>0.31115238389160932</v>
      </c>
      <c r="N667">
        <v>0</v>
      </c>
      <c r="O667">
        <v>0</v>
      </c>
      <c r="P667">
        <v>0.25819135430865547</v>
      </c>
      <c r="Q667">
        <v>1.731215984385825</v>
      </c>
      <c r="R667">
        <v>3.8642283454909099</v>
      </c>
      <c r="S667">
        <v>0.36141552924123838</v>
      </c>
      <c r="T667">
        <v>0.25193035627196952</v>
      </c>
      <c r="U667">
        <v>4.3180504470019558</v>
      </c>
      <c r="V667">
        <v>0.1231701445062672</v>
      </c>
      <c r="W667">
        <v>11.33970630072505</v>
      </c>
      <c r="X667">
        <v>0.41964867525296312</v>
      </c>
      <c r="Z667" t="s">
        <v>392</v>
      </c>
      <c r="AA667">
        <v>9937</v>
      </c>
      <c r="AB667" t="s">
        <v>1058</v>
      </c>
      <c r="AC667" t="str">
        <f>HYPERLINK("plots/20251231000436_3FT6Y121H01_04823_B11P_N_UFLEX98_M5358A8BH101511/dpll_52084/txpa_55248.png","plot")</f>
        <v>plot</v>
      </c>
    </row>
    <row r="668" spans="1:29" x14ac:dyDescent="0.35">
      <c r="A668" t="s">
        <v>46</v>
      </c>
      <c r="B668">
        <v>52084</v>
      </c>
      <c r="C668" t="s">
        <v>52</v>
      </c>
      <c r="D668">
        <v>55249</v>
      </c>
      <c r="E668" t="s">
        <v>382</v>
      </c>
      <c r="F668">
        <v>8673</v>
      </c>
      <c r="G668">
        <v>0.5029466119287993</v>
      </c>
      <c r="H668">
        <v>0</v>
      </c>
      <c r="I668">
        <v>0</v>
      </c>
      <c r="J668">
        <v>0.43437488251065098</v>
      </c>
      <c r="K668">
        <v>0</v>
      </c>
      <c r="L668">
        <v>0</v>
      </c>
      <c r="M668">
        <v>0.3076801082151952</v>
      </c>
      <c r="N668">
        <v>0</v>
      </c>
      <c r="O668">
        <v>0</v>
      </c>
      <c r="P668">
        <v>0.25295529445065817</v>
      </c>
      <c r="Q668">
        <v>1.6777992431981079</v>
      </c>
      <c r="R668">
        <v>4.1556888866161117</v>
      </c>
      <c r="S668">
        <v>0.35173371285782329</v>
      </c>
      <c r="T668">
        <v>0.2437383024003123</v>
      </c>
      <c r="U668">
        <v>4.3187951406664364</v>
      </c>
      <c r="V668">
        <v>0.1219965731606646</v>
      </c>
      <c r="W668">
        <v>11.401760105153921</v>
      </c>
      <c r="X668">
        <v>0.40697313246977851</v>
      </c>
      <c r="Z668" t="s">
        <v>392</v>
      </c>
      <c r="AA668">
        <v>9937</v>
      </c>
      <c r="AB668" t="s">
        <v>1059</v>
      </c>
      <c r="AC668" t="str">
        <f>HYPERLINK("plots/20251231000436_3FT6Y121H01_04823_B11P_N_UFLEX98_M5358A8BH101511/dpll_52084/txpa_55249.png","plot")</f>
        <v>plot</v>
      </c>
    </row>
    <row r="669" spans="1:29" x14ac:dyDescent="0.35">
      <c r="A669" t="s">
        <v>46</v>
      </c>
      <c r="B669">
        <v>52084</v>
      </c>
      <c r="C669" t="s">
        <v>52</v>
      </c>
      <c r="D669">
        <v>55250</v>
      </c>
      <c r="E669" t="s">
        <v>383</v>
      </c>
      <c r="F669">
        <v>8688</v>
      </c>
      <c r="G669">
        <v>0.49375461333811699</v>
      </c>
      <c r="H669">
        <v>0</v>
      </c>
      <c r="I669">
        <v>0</v>
      </c>
      <c r="J669">
        <v>0.39750017853978448</v>
      </c>
      <c r="K669">
        <v>0</v>
      </c>
      <c r="L669">
        <v>0</v>
      </c>
      <c r="M669">
        <v>0.27860485414253511</v>
      </c>
      <c r="N669">
        <v>0</v>
      </c>
      <c r="O669">
        <v>0</v>
      </c>
      <c r="P669">
        <v>0.24379361819267339</v>
      </c>
      <c r="Q669">
        <v>1.825288420989513</v>
      </c>
      <c r="R669">
        <v>3.661379610352967</v>
      </c>
      <c r="S669">
        <v>0.39575983854324981</v>
      </c>
      <c r="T669">
        <v>0.28471345115332519</v>
      </c>
      <c r="U669">
        <v>4.3180916795580124</v>
      </c>
      <c r="V669">
        <v>0.12311648678610899</v>
      </c>
      <c r="W669">
        <v>11.543142353821359</v>
      </c>
      <c r="X669">
        <v>0.45513113537170252</v>
      </c>
      <c r="Z669" t="s">
        <v>392</v>
      </c>
      <c r="AA669">
        <v>9937</v>
      </c>
      <c r="AB669" t="s">
        <v>1060</v>
      </c>
      <c r="AC669" t="str">
        <f>HYPERLINK("plots/20251231000436_3FT6Y121H01_04823_B11P_N_UFLEX98_M5358A8BH101511/dpll_52084/txpa_55250.png","plot")</f>
        <v>plot</v>
      </c>
    </row>
    <row r="670" spans="1:29" x14ac:dyDescent="0.35">
      <c r="A670" t="s">
        <v>46</v>
      </c>
      <c r="B670">
        <v>52084</v>
      </c>
      <c r="C670" t="s">
        <v>52</v>
      </c>
      <c r="D670">
        <v>55251</v>
      </c>
      <c r="E670" t="s">
        <v>384</v>
      </c>
      <c r="F670">
        <v>8698</v>
      </c>
      <c r="G670">
        <v>0.46896357984755099</v>
      </c>
      <c r="H670">
        <v>0</v>
      </c>
      <c r="I670">
        <v>0</v>
      </c>
      <c r="J670">
        <v>0.39292646901114642</v>
      </c>
      <c r="K670">
        <v>0</v>
      </c>
      <c r="L670">
        <v>0</v>
      </c>
      <c r="M670">
        <v>0.27627819116720181</v>
      </c>
      <c r="N670">
        <v>0</v>
      </c>
      <c r="O670">
        <v>0</v>
      </c>
      <c r="P670">
        <v>0.2199268392234304</v>
      </c>
      <c r="Q670">
        <v>1.8740338381832291</v>
      </c>
      <c r="R670">
        <v>3.5325353324542408</v>
      </c>
      <c r="S670">
        <v>0.43650238076005993</v>
      </c>
      <c r="T670">
        <v>0.31102310653187021</v>
      </c>
      <c r="U670">
        <v>4.3176698116808456</v>
      </c>
      <c r="V670">
        <v>0.1236817448345279</v>
      </c>
      <c r="W670">
        <v>11.623994661646361</v>
      </c>
      <c r="X670">
        <v>0.4942468561434909</v>
      </c>
      <c r="Z670" t="s">
        <v>392</v>
      </c>
      <c r="AA670">
        <v>9937</v>
      </c>
      <c r="AB670" t="s">
        <v>1061</v>
      </c>
      <c r="AC670" t="str">
        <f>HYPERLINK("plots/20251231000436_3FT6Y121H01_04823_B11P_N_UFLEX98_M5358A8BH101511/dpll_52084/txpa_55251.png","plot")</f>
        <v>plot</v>
      </c>
    </row>
    <row r="671" spans="1:29" x14ac:dyDescent="0.35">
      <c r="A671" t="s">
        <v>46</v>
      </c>
      <c r="B671">
        <v>52084</v>
      </c>
      <c r="C671" t="s">
        <v>52</v>
      </c>
      <c r="D671">
        <v>55252</v>
      </c>
      <c r="E671" t="s">
        <v>385</v>
      </c>
      <c r="F671">
        <v>8677</v>
      </c>
      <c r="G671">
        <v>0.49774202547871582</v>
      </c>
      <c r="H671">
        <v>0</v>
      </c>
      <c r="I671">
        <v>0</v>
      </c>
      <c r="J671">
        <v>0.45437299198427278</v>
      </c>
      <c r="K671">
        <v>0</v>
      </c>
      <c r="L671">
        <v>0</v>
      </c>
      <c r="M671">
        <v>0.32474494845879948</v>
      </c>
      <c r="N671">
        <v>0</v>
      </c>
      <c r="O671">
        <v>0</v>
      </c>
      <c r="P671">
        <v>0.24774712392765461</v>
      </c>
      <c r="Q671">
        <v>1.7431025974262191</v>
      </c>
      <c r="R671">
        <v>4.1448718527121988</v>
      </c>
      <c r="S671">
        <v>0.37254238755294339</v>
      </c>
      <c r="T671">
        <v>0.2546950399360538</v>
      </c>
      <c r="U671">
        <v>4.3183129278552501</v>
      </c>
      <c r="V671">
        <v>0.122659207078334</v>
      </c>
      <c r="W671">
        <v>11.67213433375591</v>
      </c>
      <c r="X671">
        <v>0.4295550134647555</v>
      </c>
      <c r="Z671" t="s">
        <v>392</v>
      </c>
      <c r="AA671">
        <v>9937</v>
      </c>
      <c r="AB671" t="s">
        <v>1062</v>
      </c>
      <c r="AC671" t="str">
        <f>HYPERLINK("plots/20251231000436_3FT6Y121H01_04823_B11P_N_UFLEX98_M5358A8BH101511/dpll_52084/txpa_55252.png","plot")</f>
        <v>plot</v>
      </c>
    </row>
    <row r="672" spans="1:29" x14ac:dyDescent="0.35">
      <c r="A672" t="s">
        <v>46</v>
      </c>
      <c r="B672">
        <v>52084</v>
      </c>
      <c r="C672" t="s">
        <v>52</v>
      </c>
      <c r="D672">
        <v>55253</v>
      </c>
      <c r="E672" t="s">
        <v>386</v>
      </c>
      <c r="F672">
        <v>8690</v>
      </c>
      <c r="G672">
        <v>0.48519646592553678</v>
      </c>
      <c r="H672">
        <v>0</v>
      </c>
      <c r="I672">
        <v>0</v>
      </c>
      <c r="J672">
        <v>0.41429145554972691</v>
      </c>
      <c r="K672">
        <v>0</v>
      </c>
      <c r="L672">
        <v>0</v>
      </c>
      <c r="M672">
        <v>0.29258552668048432</v>
      </c>
      <c r="N672">
        <v>0</v>
      </c>
      <c r="O672">
        <v>0</v>
      </c>
      <c r="P672">
        <v>0.2354156105466306</v>
      </c>
      <c r="Q672">
        <v>1.801925635173784</v>
      </c>
      <c r="R672">
        <v>3.8028394673014372</v>
      </c>
      <c r="S672">
        <v>0.40051705864742482</v>
      </c>
      <c r="T672">
        <v>0.28266539461687529</v>
      </c>
      <c r="U672">
        <v>4.317969125776755</v>
      </c>
      <c r="V672">
        <v>0.1233428727844018</v>
      </c>
      <c r="W672">
        <v>11.5834987269275</v>
      </c>
      <c r="X672">
        <v>0.4580715235883473</v>
      </c>
      <c r="Z672" t="s">
        <v>392</v>
      </c>
      <c r="AA672">
        <v>9937</v>
      </c>
      <c r="AB672" t="s">
        <v>1063</v>
      </c>
      <c r="AC672" t="str">
        <f>HYPERLINK("plots/20251231000436_3FT6Y121H01_04823_B11P_N_UFLEX98_M5358A8BH101511/dpll_52084/txpa_55253.png","plot")</f>
        <v>plot</v>
      </c>
    </row>
    <row r="673" spans="1:29" x14ac:dyDescent="0.35">
      <c r="A673" t="s">
        <v>46</v>
      </c>
      <c r="B673">
        <v>52084</v>
      </c>
      <c r="C673" t="s">
        <v>52</v>
      </c>
      <c r="D673">
        <v>55254</v>
      </c>
      <c r="E673" t="s">
        <v>387</v>
      </c>
      <c r="F673">
        <v>8686</v>
      </c>
      <c r="G673">
        <v>0.50300592598279692</v>
      </c>
      <c r="H673">
        <v>0</v>
      </c>
      <c r="I673">
        <v>0</v>
      </c>
      <c r="J673">
        <v>0.4456066830548599</v>
      </c>
      <c r="K673">
        <v>0</v>
      </c>
      <c r="L673">
        <v>0</v>
      </c>
      <c r="M673">
        <v>0.31760848666819153</v>
      </c>
      <c r="N673">
        <v>0</v>
      </c>
      <c r="O673">
        <v>0</v>
      </c>
      <c r="P673">
        <v>0.25301496157381098</v>
      </c>
      <c r="Q673">
        <v>1.800407589954929</v>
      </c>
      <c r="R673">
        <v>3.8274838619930751</v>
      </c>
      <c r="S673">
        <v>0.38041985449129961</v>
      </c>
      <c r="T673">
        <v>0.26203698289483057</v>
      </c>
      <c r="U673">
        <v>4.3181805356896152</v>
      </c>
      <c r="V673">
        <v>0.1229800006607748</v>
      </c>
      <c r="W673">
        <v>11.601968873244299</v>
      </c>
      <c r="X673">
        <v>0.44018194451628351</v>
      </c>
      <c r="Z673" t="s">
        <v>392</v>
      </c>
      <c r="AA673">
        <v>9937</v>
      </c>
      <c r="AB673" t="s">
        <v>1064</v>
      </c>
      <c r="AC673" t="str">
        <f>HYPERLINK("plots/20251231000436_3FT6Y121H01_04823_B11P_N_UFLEX98_M5358A8BH101511/dpll_52084/txpa_55254.png","plot")</f>
        <v>plot</v>
      </c>
    </row>
    <row r="674" spans="1:29" x14ac:dyDescent="0.35">
      <c r="A674" t="s">
        <v>46</v>
      </c>
      <c r="B674">
        <v>52084</v>
      </c>
      <c r="C674" t="s">
        <v>52</v>
      </c>
      <c r="D674">
        <v>55255</v>
      </c>
      <c r="E674" t="s">
        <v>388</v>
      </c>
      <c r="F674">
        <v>8683</v>
      </c>
      <c r="G674">
        <v>0.50529430650939056</v>
      </c>
      <c r="H674">
        <v>0</v>
      </c>
      <c r="I674">
        <v>0</v>
      </c>
      <c r="J674">
        <v>0.43375574893335261</v>
      </c>
      <c r="K674">
        <v>0</v>
      </c>
      <c r="L674">
        <v>0</v>
      </c>
      <c r="M674">
        <v>0.30675748810490938</v>
      </c>
      <c r="N674">
        <v>0</v>
      </c>
      <c r="O674">
        <v>0</v>
      </c>
      <c r="P674">
        <v>0.25532233619080591</v>
      </c>
      <c r="Q674">
        <v>1.784324292620171</v>
      </c>
      <c r="R674">
        <v>3.921929780822079</v>
      </c>
      <c r="S674">
        <v>0.37363991150189702</v>
      </c>
      <c r="T674">
        <v>0.26123056493638452</v>
      </c>
      <c r="U674">
        <v>4.3183613769434528</v>
      </c>
      <c r="V674">
        <v>0.12262096315197329</v>
      </c>
      <c r="W674">
        <v>11.62728689001497</v>
      </c>
      <c r="X674">
        <v>0.43300619167471749</v>
      </c>
      <c r="Z674" t="s">
        <v>392</v>
      </c>
      <c r="AA674">
        <v>9937</v>
      </c>
      <c r="AB674" t="s">
        <v>1065</v>
      </c>
      <c r="AC674" t="str">
        <f>HYPERLINK("plots/20251231000436_3FT6Y121H01_04823_B11P_N_UFLEX98_M5358A8BH101511/dpll_52084/txpa_55255.png","plot")</f>
        <v>plot</v>
      </c>
    </row>
    <row r="675" spans="1:29" x14ac:dyDescent="0.35">
      <c r="A675" t="s">
        <v>46</v>
      </c>
      <c r="B675">
        <v>52084</v>
      </c>
      <c r="C675" t="s">
        <v>52</v>
      </c>
      <c r="D675">
        <v>55256</v>
      </c>
      <c r="E675" t="s">
        <v>389</v>
      </c>
      <c r="F675">
        <v>8693</v>
      </c>
      <c r="G675">
        <v>0.51106936472150188</v>
      </c>
      <c r="H675">
        <v>0</v>
      </c>
      <c r="I675">
        <v>0</v>
      </c>
      <c r="J675">
        <v>0.43631526166443563</v>
      </c>
      <c r="K675">
        <v>0</v>
      </c>
      <c r="L675">
        <v>0</v>
      </c>
      <c r="M675">
        <v>0.30957872182451612</v>
      </c>
      <c r="N675">
        <v>0</v>
      </c>
      <c r="O675">
        <v>0</v>
      </c>
      <c r="P675">
        <v>0.26119189555683953</v>
      </c>
      <c r="Q675">
        <v>1.812220658368606</v>
      </c>
      <c r="R675">
        <v>3.7150909032417081</v>
      </c>
      <c r="S675">
        <v>0.37639367063086759</v>
      </c>
      <c r="T675">
        <v>0.26370141731952768</v>
      </c>
      <c r="U675">
        <v>4.317850459335097</v>
      </c>
      <c r="V675">
        <v>0.12350093317675789</v>
      </c>
      <c r="W675">
        <v>11.53998870539515</v>
      </c>
      <c r="X675">
        <v>0.43792674317836122</v>
      </c>
      <c r="Z675" t="s">
        <v>392</v>
      </c>
      <c r="AA675">
        <v>9937</v>
      </c>
      <c r="AB675" t="s">
        <v>1066</v>
      </c>
      <c r="AC675" t="str">
        <f>HYPERLINK("plots/20251231000436_3FT6Y121H01_04823_B11P_N_UFLEX98_M5358A8BH101511/dpll_52084/txpa_55256.png","plot")</f>
        <v>plot</v>
      </c>
    </row>
    <row r="676" spans="1:29" x14ac:dyDescent="0.35">
      <c r="A676" t="s">
        <v>46</v>
      </c>
      <c r="B676">
        <v>52084</v>
      </c>
      <c r="C676" t="s">
        <v>52</v>
      </c>
      <c r="D676">
        <v>55257</v>
      </c>
      <c r="E676" t="s">
        <v>390</v>
      </c>
      <c r="F676">
        <v>8679</v>
      </c>
      <c r="G676">
        <v>0.50502409120589797</v>
      </c>
      <c r="H676">
        <v>0</v>
      </c>
      <c r="I676">
        <v>0</v>
      </c>
      <c r="J676">
        <v>0.43183317204904043</v>
      </c>
      <c r="K676">
        <v>0</v>
      </c>
      <c r="L676">
        <v>0</v>
      </c>
      <c r="M676">
        <v>0.30612758141089991</v>
      </c>
      <c r="N676">
        <v>0</v>
      </c>
      <c r="O676">
        <v>0</v>
      </c>
      <c r="P676">
        <v>0.25504933269834318</v>
      </c>
      <c r="Q676">
        <v>1.7678668564267881</v>
      </c>
      <c r="R676">
        <v>3.985759392530122</v>
      </c>
      <c r="S676">
        <v>0.36950609835172632</v>
      </c>
      <c r="T676">
        <v>0.25818374015807449</v>
      </c>
      <c r="U676">
        <v>4.3185552080884886</v>
      </c>
      <c r="V676">
        <v>0.1223053393325005</v>
      </c>
      <c r="W676">
        <v>11.620390012559049</v>
      </c>
      <c r="X676">
        <v>0.42813711174385682</v>
      </c>
      <c r="Z676" t="s">
        <v>392</v>
      </c>
      <c r="AA676">
        <v>9937</v>
      </c>
      <c r="AB676" t="s">
        <v>1067</v>
      </c>
      <c r="AC676" t="str">
        <f>HYPERLINK("plots/20251231000436_3FT6Y121H01_04823_B11P_N_UFLEX98_M5358A8BH101511/dpll_52084/txpa_55257.png","plot")</f>
        <v>plot</v>
      </c>
    </row>
    <row r="677" spans="1:29" x14ac:dyDescent="0.35">
      <c r="A677" t="s">
        <v>46</v>
      </c>
      <c r="B677">
        <v>52084</v>
      </c>
      <c r="C677" t="s">
        <v>52</v>
      </c>
      <c r="D677">
        <v>55258</v>
      </c>
      <c r="E677" t="s">
        <v>391</v>
      </c>
      <c r="F677">
        <v>8696</v>
      </c>
      <c r="G677">
        <v>0.49770681820693319</v>
      </c>
      <c r="H677">
        <v>0</v>
      </c>
      <c r="I677">
        <v>0</v>
      </c>
      <c r="J677">
        <v>0.39326371278076078</v>
      </c>
      <c r="K677">
        <v>0</v>
      </c>
      <c r="L677">
        <v>0</v>
      </c>
      <c r="M677">
        <v>0.27539780951135678</v>
      </c>
      <c r="N677">
        <v>0</v>
      </c>
      <c r="O677">
        <v>0</v>
      </c>
      <c r="P677">
        <v>0.2477120768896692</v>
      </c>
      <c r="Q677">
        <v>1.9318017761918791</v>
      </c>
      <c r="R677">
        <v>3.4075152321987989</v>
      </c>
      <c r="S677">
        <v>0.41625557414698222</v>
      </c>
      <c r="T677">
        <v>0.30117076143001081</v>
      </c>
      <c r="U677">
        <v>4.3177295183992639</v>
      </c>
      <c r="V677">
        <v>0.1236528182027147</v>
      </c>
      <c r="W677">
        <v>11.748512784958599</v>
      </c>
      <c r="X677">
        <v>0.47994667763586613</v>
      </c>
      <c r="Z677" t="s">
        <v>392</v>
      </c>
      <c r="AA677">
        <v>9937</v>
      </c>
      <c r="AB677" t="s">
        <v>1068</v>
      </c>
      <c r="AC677" t="str">
        <f>HYPERLINK("plots/20251231000436_3FT6Y121H01_04823_B11P_N_UFLEX98_M5358A8BH101511/dpll_52084/txpa_55258.png","plot")</f>
        <v>plot</v>
      </c>
    </row>
    <row r="678" spans="1:29" x14ac:dyDescent="0.35">
      <c r="A678" t="s">
        <v>46</v>
      </c>
      <c r="B678">
        <v>52094</v>
      </c>
      <c r="C678" t="s">
        <v>53</v>
      </c>
      <c r="D678">
        <v>53179</v>
      </c>
      <c r="E678" t="s">
        <v>54</v>
      </c>
      <c r="F678">
        <v>8716</v>
      </c>
      <c r="G678">
        <v>0.15259791597542369</v>
      </c>
      <c r="H678">
        <v>1.4540603482360371E-46</v>
      </c>
      <c r="I678">
        <v>1.486307654346111E-46</v>
      </c>
      <c r="J678">
        <v>0.12952058688950729</v>
      </c>
      <c r="K678">
        <v>6.3712779404506078E-34</v>
      </c>
      <c r="L678">
        <v>6.5856022748388564E-34</v>
      </c>
      <c r="M678">
        <v>8.6653330211254112E-2</v>
      </c>
      <c r="N678">
        <v>7.6872719849339856E-34</v>
      </c>
      <c r="O678">
        <v>7.9377737196772534E-34</v>
      </c>
      <c r="P678">
        <v>2.3286123960042489E-2</v>
      </c>
      <c r="Q678">
        <v>1.17990940094111</v>
      </c>
      <c r="R678">
        <v>-26.5516479517593</v>
      </c>
      <c r="S678">
        <v>1.077722152019863</v>
      </c>
      <c r="T678">
        <v>0.83090857502990334</v>
      </c>
      <c r="U678">
        <v>4.3177108791877004</v>
      </c>
      <c r="V678">
        <v>0.14104184712444839</v>
      </c>
      <c r="W678">
        <v>-21.457140294860029</v>
      </c>
      <c r="X678">
        <v>1.090556186724315</v>
      </c>
      <c r="Z678" t="s">
        <v>392</v>
      </c>
      <c r="AA678">
        <v>9937</v>
      </c>
      <c r="AB678" t="s">
        <v>1069</v>
      </c>
      <c r="AC678" t="str">
        <f>HYPERLINK("plots/20251231000436_3FT6Y121H01_04823_B11P_N_UFLEX98_M5358A8BH101511/dpll_52094/txpa_53179.png","plot")</f>
        <v>plot</v>
      </c>
    </row>
    <row r="679" spans="1:29" x14ac:dyDescent="0.35">
      <c r="A679" t="s">
        <v>46</v>
      </c>
      <c r="B679">
        <v>52094</v>
      </c>
      <c r="C679" t="s">
        <v>53</v>
      </c>
      <c r="D679">
        <v>53180</v>
      </c>
      <c r="E679" t="s">
        <v>55</v>
      </c>
      <c r="F679">
        <v>8716</v>
      </c>
      <c r="G679">
        <v>0.17676808284524589</v>
      </c>
      <c r="H679">
        <v>4.1046451180422588E-62</v>
      </c>
      <c r="I679">
        <v>4.2864162200770858E-62</v>
      </c>
      <c r="J679">
        <v>0.12666723084963891</v>
      </c>
      <c r="K679">
        <v>1.659784438549241E-32</v>
      </c>
      <c r="L679">
        <v>1.701740566925107E-32</v>
      </c>
      <c r="M679">
        <v>8.5338806170703149E-2</v>
      </c>
      <c r="N679">
        <v>7.1073901267415713E-33</v>
      </c>
      <c r="O679">
        <v>7.3018172122755353E-33</v>
      </c>
      <c r="P679">
        <v>3.124695511278373E-2</v>
      </c>
      <c r="Q679">
        <v>1.345567511217495</v>
      </c>
      <c r="R679">
        <v>-26.834177665894661</v>
      </c>
      <c r="S679">
        <v>1.0566502325154961</v>
      </c>
      <c r="T679">
        <v>0.81676577642235593</v>
      </c>
      <c r="U679">
        <v>4.3177108791877004</v>
      </c>
      <c r="V679">
        <v>0.14104184712444839</v>
      </c>
      <c r="W679">
        <v>-21.02440618402937</v>
      </c>
      <c r="X679">
        <v>1.0736176133047111</v>
      </c>
      <c r="Z679" t="s">
        <v>392</v>
      </c>
      <c r="AA679">
        <v>9937</v>
      </c>
      <c r="AB679" t="s">
        <v>1070</v>
      </c>
      <c r="AC679" t="str">
        <f>HYPERLINK("plots/20251231000436_3FT6Y121H01_04823_B11P_N_UFLEX98_M5358A8BH101511/dpll_52094/txpa_53180.png","plot")</f>
        <v>plot</v>
      </c>
    </row>
    <row r="680" spans="1:29" x14ac:dyDescent="0.35">
      <c r="A680" t="s">
        <v>46</v>
      </c>
      <c r="B680">
        <v>52094</v>
      </c>
      <c r="C680" t="s">
        <v>53</v>
      </c>
      <c r="D680">
        <v>53181</v>
      </c>
      <c r="E680" t="s">
        <v>56</v>
      </c>
      <c r="F680">
        <v>8716</v>
      </c>
      <c r="G680">
        <v>0.1597423091921634</v>
      </c>
      <c r="H680">
        <v>6.5286461083182658E-51</v>
      </c>
      <c r="I680">
        <v>6.7208600546545401E-51</v>
      </c>
      <c r="J680">
        <v>0.1297579577448342</v>
      </c>
      <c r="K680">
        <v>4.8416581429737067E-34</v>
      </c>
      <c r="L680">
        <v>5.0096340377299369E-34</v>
      </c>
      <c r="M680">
        <v>8.7165781040756743E-2</v>
      </c>
      <c r="N680">
        <v>3.1903831975881318E-34</v>
      </c>
      <c r="O680">
        <v>3.3044418410156949E-34</v>
      </c>
      <c r="P680">
        <v>2.5517605346044719E-2</v>
      </c>
      <c r="Q680">
        <v>1.180707471517161</v>
      </c>
      <c r="R680">
        <v>-26.269550390272691</v>
      </c>
      <c r="S680">
        <v>1.0290403963133961</v>
      </c>
      <c r="T680">
        <v>0.79488364640004483</v>
      </c>
      <c r="U680">
        <v>4.3177108791877004</v>
      </c>
      <c r="V680">
        <v>0.14104184712444839</v>
      </c>
      <c r="W680">
        <v>-21.17159689536485</v>
      </c>
      <c r="X680">
        <v>1.042486261395468</v>
      </c>
      <c r="Z680" t="s">
        <v>392</v>
      </c>
      <c r="AA680">
        <v>9937</v>
      </c>
      <c r="AB680" t="s">
        <v>1071</v>
      </c>
      <c r="AC680" t="str">
        <f>HYPERLINK("plots/20251231000436_3FT6Y121H01_04823_B11P_N_UFLEX98_M5358A8BH101511/dpll_52094/txpa_53181.png","plot")</f>
        <v>plot</v>
      </c>
    </row>
    <row r="681" spans="1:29" x14ac:dyDescent="0.35">
      <c r="A681" t="s">
        <v>46</v>
      </c>
      <c r="B681">
        <v>52094</v>
      </c>
      <c r="C681" t="s">
        <v>53</v>
      </c>
      <c r="D681">
        <v>53182</v>
      </c>
      <c r="E681" t="s">
        <v>57</v>
      </c>
      <c r="F681">
        <v>8716</v>
      </c>
      <c r="G681">
        <v>0.160961671376915</v>
      </c>
      <c r="H681">
        <v>1.127351619320933E-51</v>
      </c>
      <c r="I681">
        <v>1.162903908434818E-51</v>
      </c>
      <c r="J681">
        <v>0.1126790099468202</v>
      </c>
      <c r="K681">
        <v>4.9850358291068968E-26</v>
      </c>
      <c r="L681">
        <v>5.0548263307143937E-26</v>
      </c>
      <c r="M681">
        <v>7.5962146693424937E-2</v>
      </c>
      <c r="N681">
        <v>2.1574900378276939E-26</v>
      </c>
      <c r="O681">
        <v>2.1920790564702221E-26</v>
      </c>
      <c r="P681">
        <v>2.590865965244997E-2</v>
      </c>
      <c r="Q681">
        <v>1.1866312495054321</v>
      </c>
      <c r="R681">
        <v>-26.108189199630601</v>
      </c>
      <c r="S681">
        <v>1.026162692639323</v>
      </c>
      <c r="T681">
        <v>0.79313035375358709</v>
      </c>
      <c r="U681">
        <v>4.3177108791877004</v>
      </c>
      <c r="V681">
        <v>0.14104184712444839</v>
      </c>
      <c r="W681">
        <v>-20.984658544056909</v>
      </c>
      <c r="X681">
        <v>1.039779606251291</v>
      </c>
      <c r="Z681" t="s">
        <v>392</v>
      </c>
      <c r="AA681">
        <v>9937</v>
      </c>
      <c r="AB681" t="s">
        <v>1072</v>
      </c>
      <c r="AC681" t="str">
        <f>HYPERLINK("plots/20251231000436_3FT6Y121H01_04823_B11P_N_UFLEX98_M5358A8BH101511/dpll_52094/txpa_53182.png","plot")</f>
        <v>plot</v>
      </c>
    </row>
    <row r="682" spans="1:29" x14ac:dyDescent="0.35">
      <c r="A682" t="s">
        <v>46</v>
      </c>
      <c r="B682">
        <v>52094</v>
      </c>
      <c r="C682" t="s">
        <v>53</v>
      </c>
      <c r="D682">
        <v>53183</v>
      </c>
      <c r="E682" t="s">
        <v>58</v>
      </c>
      <c r="F682">
        <v>8716</v>
      </c>
      <c r="G682">
        <v>0.1842701424951762</v>
      </c>
      <c r="H682">
        <v>1.9837709170125611E-67</v>
      </c>
      <c r="I682">
        <v>2.1107489085527149E-67</v>
      </c>
      <c r="J682">
        <v>0.13679760506450361</v>
      </c>
      <c r="K682">
        <v>1.115341552600355E-37</v>
      </c>
      <c r="L682">
        <v>1.181772554165893E-37</v>
      </c>
      <c r="M682">
        <v>9.194356359365706E-2</v>
      </c>
      <c r="N682">
        <v>6.9597020564947421E-38</v>
      </c>
      <c r="O682">
        <v>7.3819433946502812E-38</v>
      </c>
      <c r="P682">
        <v>3.3955485415192548E-2</v>
      </c>
      <c r="Q682">
        <v>1.2400059277449269</v>
      </c>
      <c r="R682">
        <v>-26.097781241204771</v>
      </c>
      <c r="S682">
        <v>0.93280406697515594</v>
      </c>
      <c r="T682">
        <v>0.72481159154413322</v>
      </c>
      <c r="U682">
        <v>4.3177108791877004</v>
      </c>
      <c r="V682">
        <v>0.14104184712444839</v>
      </c>
      <c r="W682">
        <v>-20.743794156723268</v>
      </c>
      <c r="X682">
        <v>0.94911049682933923</v>
      </c>
      <c r="Z682" t="s">
        <v>392</v>
      </c>
      <c r="AA682">
        <v>9937</v>
      </c>
      <c r="AB682" t="s">
        <v>1073</v>
      </c>
      <c r="AC682" t="str">
        <f>HYPERLINK("plots/20251231000436_3FT6Y121H01_04823_B11P_N_UFLEX98_M5358A8BH101511/dpll_52094/txpa_53183.png","plot")</f>
        <v>plot</v>
      </c>
    </row>
    <row r="683" spans="1:29" x14ac:dyDescent="0.35">
      <c r="A683" t="s">
        <v>46</v>
      </c>
      <c r="B683">
        <v>52094</v>
      </c>
      <c r="C683" t="s">
        <v>53</v>
      </c>
      <c r="D683">
        <v>53184</v>
      </c>
      <c r="E683" t="s">
        <v>59</v>
      </c>
      <c r="F683">
        <v>8716</v>
      </c>
      <c r="G683">
        <v>0.1913750254631241</v>
      </c>
      <c r="H683">
        <v>1.112362096690448E-72</v>
      </c>
      <c r="I683">
        <v>1.1873001747832779E-72</v>
      </c>
      <c r="J683">
        <v>0.136578518623616</v>
      </c>
      <c r="K683">
        <v>1.457418311840299E-37</v>
      </c>
      <c r="L683">
        <v>1.542611866603406E-37</v>
      </c>
      <c r="M683">
        <v>9.1859398353433458E-2</v>
      </c>
      <c r="N683">
        <v>8.1002637773550139E-38</v>
      </c>
      <c r="O683">
        <v>8.5737656265532189E-38</v>
      </c>
      <c r="P683">
        <v>3.662440037101141E-2</v>
      </c>
      <c r="Q683">
        <v>1.3335992738342091</v>
      </c>
      <c r="R683">
        <v>-26.537510032991459</v>
      </c>
      <c r="S683">
        <v>0.96463048322300926</v>
      </c>
      <c r="T683">
        <v>0.74955987549159064</v>
      </c>
      <c r="U683">
        <v>4.3177108791877004</v>
      </c>
      <c r="V683">
        <v>0.14104184712444839</v>
      </c>
      <c r="W683">
        <v>-20.77941393988068</v>
      </c>
      <c r="X683">
        <v>0.98285188702244475</v>
      </c>
      <c r="Z683" t="s">
        <v>392</v>
      </c>
      <c r="AA683">
        <v>9937</v>
      </c>
      <c r="AB683" t="s">
        <v>1074</v>
      </c>
      <c r="AC683" t="str">
        <f>HYPERLINK("plots/20251231000436_3FT6Y121H01_04823_B11P_N_UFLEX98_M5358A8BH101511/dpll_52094/txpa_53184.png","plot")</f>
        <v>plot</v>
      </c>
    </row>
    <row r="684" spans="1:29" x14ac:dyDescent="0.35">
      <c r="A684" t="s">
        <v>46</v>
      </c>
      <c r="B684">
        <v>52094</v>
      </c>
      <c r="C684" t="s">
        <v>53</v>
      </c>
      <c r="D684">
        <v>53185</v>
      </c>
      <c r="E684" t="s">
        <v>60</v>
      </c>
      <c r="F684">
        <v>8716</v>
      </c>
      <c r="G684">
        <v>0.1729869468948505</v>
      </c>
      <c r="H684">
        <v>1.5994039395735731E-59</v>
      </c>
      <c r="I684">
        <v>1.6650878795971281E-59</v>
      </c>
      <c r="J684">
        <v>0.1331019169201107</v>
      </c>
      <c r="K684">
        <v>9.5851073965703196E-36</v>
      </c>
      <c r="L684">
        <v>1.0019895773321961E-35</v>
      </c>
      <c r="M684">
        <v>8.9328424379031685E-2</v>
      </c>
      <c r="N684">
        <v>7.4148764951907132E-36</v>
      </c>
      <c r="O684">
        <v>7.7592206048744927E-36</v>
      </c>
      <c r="P684">
        <v>2.9924483796001822E-2</v>
      </c>
      <c r="Q684">
        <v>1.2064668043354969</v>
      </c>
      <c r="R684">
        <v>-26.05148356375971</v>
      </c>
      <c r="S684">
        <v>0.96878607290206942</v>
      </c>
      <c r="T684">
        <v>0.75150057212289922</v>
      </c>
      <c r="U684">
        <v>4.3177108791877004</v>
      </c>
      <c r="V684">
        <v>0.14104184712444839</v>
      </c>
      <c r="W684">
        <v>-20.84230871730151</v>
      </c>
      <c r="X684">
        <v>0.98367136730403981</v>
      </c>
      <c r="Z684" t="s">
        <v>392</v>
      </c>
      <c r="AA684">
        <v>9937</v>
      </c>
      <c r="AB684" t="s">
        <v>1075</v>
      </c>
      <c r="AC684" t="str">
        <f>HYPERLINK("plots/20251231000436_3FT6Y121H01_04823_B11P_N_UFLEX98_M5358A8BH101511/dpll_52094/txpa_53185.png","plot")</f>
        <v>plot</v>
      </c>
    </row>
    <row r="685" spans="1:29" x14ac:dyDescent="0.35">
      <c r="A685" t="s">
        <v>46</v>
      </c>
      <c r="B685">
        <v>52094</v>
      </c>
      <c r="C685" t="s">
        <v>53</v>
      </c>
      <c r="D685">
        <v>53186</v>
      </c>
      <c r="E685" t="s">
        <v>61</v>
      </c>
      <c r="F685">
        <v>8716</v>
      </c>
      <c r="G685">
        <v>0.1937411086406447</v>
      </c>
      <c r="H685">
        <v>1.7795993869223419E-74</v>
      </c>
      <c r="I685">
        <v>1.911561205867855E-74</v>
      </c>
      <c r="J685">
        <v>0.15244012321460329</v>
      </c>
      <c r="K685">
        <v>1.804157375637807E-46</v>
      </c>
      <c r="L685">
        <v>1.9482594024459378E-46</v>
      </c>
      <c r="M685">
        <v>0.102762821825786</v>
      </c>
      <c r="N685">
        <v>6.859553384992849E-47</v>
      </c>
      <c r="O685">
        <v>7.4074410355513834E-47</v>
      </c>
      <c r="P685">
        <v>3.7535617177306101E-2</v>
      </c>
      <c r="Q685">
        <v>1.4876834640606791</v>
      </c>
      <c r="R685">
        <v>-27.80692738848488</v>
      </c>
      <c r="S685">
        <v>1.0624393819929681</v>
      </c>
      <c r="T685">
        <v>0.82547173399391038</v>
      </c>
      <c r="U685">
        <v>4.3177108791877004</v>
      </c>
      <c r="V685">
        <v>0.14104184712444839</v>
      </c>
      <c r="W685">
        <v>-21.383540310922449</v>
      </c>
      <c r="X685">
        <v>1.083020661850373</v>
      </c>
      <c r="Z685" t="s">
        <v>392</v>
      </c>
      <c r="AA685">
        <v>9937</v>
      </c>
      <c r="AB685" t="s">
        <v>1076</v>
      </c>
      <c r="AC685" t="str">
        <f>HYPERLINK("plots/20251231000436_3FT6Y121H01_04823_B11P_N_UFLEX98_M5358A8BH101511/dpll_52094/txpa_53186.png","plot")</f>
        <v>plot</v>
      </c>
    </row>
    <row r="686" spans="1:29" x14ac:dyDescent="0.35">
      <c r="A686" t="s">
        <v>46</v>
      </c>
      <c r="B686">
        <v>52094</v>
      </c>
      <c r="C686" t="s">
        <v>53</v>
      </c>
      <c r="D686">
        <v>53187</v>
      </c>
      <c r="E686" t="s">
        <v>62</v>
      </c>
      <c r="F686">
        <v>8716</v>
      </c>
      <c r="G686">
        <v>0.36187884270692289</v>
      </c>
      <c r="H686">
        <v>5.9875834895563442E-268</v>
      </c>
      <c r="I686">
        <v>7.5048327050805109E-268</v>
      </c>
      <c r="J686">
        <v>0.29073648984146971</v>
      </c>
      <c r="K686">
        <v>2.269549242583465E-169</v>
      </c>
      <c r="L686">
        <v>3.0973390739968152E-169</v>
      </c>
      <c r="M686">
        <v>0.19780789294757589</v>
      </c>
      <c r="N686">
        <v>8.8087283300564583E-169</v>
      </c>
      <c r="O686">
        <v>1.1893542645375831E-168</v>
      </c>
      <c r="P686">
        <v>0.13095629679890189</v>
      </c>
      <c r="Q686">
        <v>0.73788073787631181</v>
      </c>
      <c r="R686">
        <v>-11.162463402528051</v>
      </c>
      <c r="S686">
        <v>0.26808151003726899</v>
      </c>
      <c r="T686">
        <v>0.2017940819767185</v>
      </c>
      <c r="U686">
        <v>4.3177108791877004</v>
      </c>
      <c r="V686">
        <v>0.14104184712444839</v>
      </c>
      <c r="W686">
        <v>-7.9765077130564483</v>
      </c>
      <c r="X686">
        <v>0.28758813709347297</v>
      </c>
      <c r="Z686" t="s">
        <v>392</v>
      </c>
      <c r="AA686">
        <v>9937</v>
      </c>
      <c r="AB686" t="s">
        <v>1077</v>
      </c>
      <c r="AC686" t="str">
        <f>HYPERLINK("plots/20251231000436_3FT6Y121H01_04823_B11P_N_UFLEX98_M5358A8BH101511/dpll_52094/txpa_53187.png","plot")</f>
        <v>plot</v>
      </c>
    </row>
    <row r="687" spans="1:29" x14ac:dyDescent="0.35">
      <c r="A687" t="s">
        <v>46</v>
      </c>
      <c r="B687">
        <v>52094</v>
      </c>
      <c r="C687" t="s">
        <v>53</v>
      </c>
      <c r="D687">
        <v>53188</v>
      </c>
      <c r="E687" t="s">
        <v>63</v>
      </c>
      <c r="F687">
        <v>8716</v>
      </c>
      <c r="G687">
        <v>0.3155925090922721</v>
      </c>
      <c r="H687">
        <v>8.1382702205568973E-201</v>
      </c>
      <c r="I687">
        <v>9.3988678857001081E-201</v>
      </c>
      <c r="J687">
        <v>0.19707874975799969</v>
      </c>
      <c r="K687">
        <v>4.7501168639363711E-77</v>
      </c>
      <c r="L687">
        <v>5.2525828789874371E-77</v>
      </c>
      <c r="M687">
        <v>0.13433983876162031</v>
      </c>
      <c r="N687">
        <v>6.5692981686062048E-79</v>
      </c>
      <c r="O687">
        <v>7.2800746917668758E-79</v>
      </c>
      <c r="P687">
        <v>9.9598631795155851E-2</v>
      </c>
      <c r="Q687">
        <v>0.875952756848703</v>
      </c>
      <c r="R687">
        <v>-11.43945314946045</v>
      </c>
      <c r="S687">
        <v>0.37144553531402968</v>
      </c>
      <c r="T687">
        <v>0.29480436708075092</v>
      </c>
      <c r="U687">
        <v>4.3177108791877004</v>
      </c>
      <c r="V687">
        <v>0.14104184712444839</v>
      </c>
      <c r="W687">
        <v>-7.6573424015603493</v>
      </c>
      <c r="X687">
        <v>0.39147315370394847</v>
      </c>
      <c r="Z687" t="s">
        <v>392</v>
      </c>
      <c r="AA687">
        <v>9937</v>
      </c>
      <c r="AB687" t="s">
        <v>1078</v>
      </c>
      <c r="AC687" t="str">
        <f>HYPERLINK("plots/20251231000436_3FT6Y121H01_04823_B11P_N_UFLEX98_M5358A8BH101511/dpll_52094/txpa_53188.png","plot")</f>
        <v>plot</v>
      </c>
    </row>
    <row r="688" spans="1:29" x14ac:dyDescent="0.35">
      <c r="A688" t="s">
        <v>46</v>
      </c>
      <c r="B688">
        <v>52094</v>
      </c>
      <c r="C688" t="s">
        <v>53</v>
      </c>
      <c r="D688">
        <v>53189</v>
      </c>
      <c r="E688" t="s">
        <v>64</v>
      </c>
      <c r="F688">
        <v>8716</v>
      </c>
      <c r="G688">
        <v>0.36637311111960807</v>
      </c>
      <c r="H688">
        <v>4.2858320778841323E-275</v>
      </c>
      <c r="I688">
        <v>5.4255102708795383E-275</v>
      </c>
      <c r="J688">
        <v>0.27753535273069929</v>
      </c>
      <c r="K688">
        <v>6.5868305394872332E-154</v>
      </c>
      <c r="L688">
        <v>8.4975142074300951E-154</v>
      </c>
      <c r="M688">
        <v>0.1890091757431421</v>
      </c>
      <c r="N688">
        <v>2.7883695939639429E-154</v>
      </c>
      <c r="O688">
        <v>3.6295337205127577E-154</v>
      </c>
      <c r="P688">
        <v>0.1342292565514607</v>
      </c>
      <c r="Q688">
        <v>0.75410002797009856</v>
      </c>
      <c r="R688">
        <v>-10.999318443064221</v>
      </c>
      <c r="S688">
        <v>0.27010329943609351</v>
      </c>
      <c r="T688">
        <v>0.2097903559678318</v>
      </c>
      <c r="U688">
        <v>4.3177108791877004</v>
      </c>
      <c r="V688">
        <v>0.14104184712444839</v>
      </c>
      <c r="W688">
        <v>-7.7433325483019733</v>
      </c>
      <c r="X688">
        <v>0.29030422166210279</v>
      </c>
      <c r="Z688" t="s">
        <v>392</v>
      </c>
      <c r="AA688">
        <v>9937</v>
      </c>
      <c r="AB688" t="s">
        <v>1079</v>
      </c>
      <c r="AC688" t="str">
        <f>HYPERLINK("plots/20251231000436_3FT6Y121H01_04823_B11P_N_UFLEX98_M5358A8BH101511/dpll_52094/txpa_53189.png","plot")</f>
        <v>plot</v>
      </c>
    </row>
    <row r="689" spans="1:29" x14ac:dyDescent="0.35">
      <c r="A689" t="s">
        <v>46</v>
      </c>
      <c r="B689">
        <v>52094</v>
      </c>
      <c r="C689" t="s">
        <v>53</v>
      </c>
      <c r="D689">
        <v>53190</v>
      </c>
      <c r="E689" t="s">
        <v>65</v>
      </c>
      <c r="F689">
        <v>8716</v>
      </c>
      <c r="G689">
        <v>0.34195604032621008</v>
      </c>
      <c r="H689">
        <v>1.2297877105570941E-237</v>
      </c>
      <c r="I689">
        <v>1.4722606121663429E-237</v>
      </c>
      <c r="J689">
        <v>0.21919990625344921</v>
      </c>
      <c r="K689">
        <v>2.5976579510223889E-95</v>
      </c>
      <c r="L689">
        <v>2.9864230865495489E-95</v>
      </c>
      <c r="M689">
        <v>0.1495601517261051</v>
      </c>
      <c r="N689">
        <v>2.4187224400078322E-97</v>
      </c>
      <c r="O689">
        <v>2.806160817125791E-97</v>
      </c>
      <c r="P689">
        <v>0.11693393351558071</v>
      </c>
      <c r="Q689">
        <v>0.84122340625362113</v>
      </c>
      <c r="R689">
        <v>-11.314378485707079</v>
      </c>
      <c r="S689">
        <v>0.32603238326261857</v>
      </c>
      <c r="T689">
        <v>0.2540471848770503</v>
      </c>
      <c r="U689">
        <v>4.3177108791877004</v>
      </c>
      <c r="V689">
        <v>0.14104184712444839</v>
      </c>
      <c r="W689">
        <v>-7.6822190326984856</v>
      </c>
      <c r="X689">
        <v>0.34696770657756659</v>
      </c>
      <c r="Z689" t="s">
        <v>392</v>
      </c>
      <c r="AA689">
        <v>9937</v>
      </c>
      <c r="AB689" t="s">
        <v>1080</v>
      </c>
      <c r="AC689" t="str">
        <f>HYPERLINK("plots/20251231000436_3FT6Y121H01_04823_B11P_N_UFLEX98_M5358A8BH101511/dpll_52094/txpa_53190.png","plot")</f>
        <v>plot</v>
      </c>
    </row>
    <row r="690" spans="1:29" x14ac:dyDescent="0.35">
      <c r="A690" t="s">
        <v>46</v>
      </c>
      <c r="B690">
        <v>52094</v>
      </c>
      <c r="C690" t="s">
        <v>53</v>
      </c>
      <c r="D690">
        <v>53191</v>
      </c>
      <c r="E690" t="s">
        <v>66</v>
      </c>
      <c r="F690">
        <v>8716</v>
      </c>
      <c r="G690">
        <v>0.39577984580900433</v>
      </c>
      <c r="H690">
        <v>0</v>
      </c>
      <c r="I690">
        <v>0</v>
      </c>
      <c r="J690">
        <v>0.28961126567695877</v>
      </c>
      <c r="K690">
        <v>5.0920201252330656E-168</v>
      </c>
      <c r="L690">
        <v>6.8752442170257371E-168</v>
      </c>
      <c r="M690">
        <v>0.198177513077475</v>
      </c>
      <c r="N690">
        <v>2.0767353399957639E-169</v>
      </c>
      <c r="O690">
        <v>2.81902226874927E-169</v>
      </c>
      <c r="P690">
        <v>0.15664168634859921</v>
      </c>
      <c r="Q690">
        <v>0.78886951022922824</v>
      </c>
      <c r="R690">
        <v>-10.947301816622099</v>
      </c>
      <c r="S690">
        <v>0.25815505476148221</v>
      </c>
      <c r="T690">
        <v>0.19978880332857471</v>
      </c>
      <c r="U690">
        <v>4.3177108791877004</v>
      </c>
      <c r="V690">
        <v>0.14104184712444839</v>
      </c>
      <c r="W690">
        <v>-7.5411913500458931</v>
      </c>
      <c r="X690">
        <v>0.28112500937347618</v>
      </c>
      <c r="Z690" t="s">
        <v>392</v>
      </c>
      <c r="AA690">
        <v>9937</v>
      </c>
      <c r="AB690" t="s">
        <v>1081</v>
      </c>
      <c r="AC690" t="str">
        <f>HYPERLINK("plots/20251231000436_3FT6Y121H01_04823_B11P_N_UFLEX98_M5358A8BH101511/dpll_52094/txpa_53191.png","plot")</f>
        <v>plot</v>
      </c>
    </row>
    <row r="691" spans="1:29" x14ac:dyDescent="0.35">
      <c r="A691" t="s">
        <v>46</v>
      </c>
      <c r="B691">
        <v>52094</v>
      </c>
      <c r="C691" t="s">
        <v>53</v>
      </c>
      <c r="D691">
        <v>53192</v>
      </c>
      <c r="E691" t="s">
        <v>67</v>
      </c>
      <c r="F691">
        <v>8714</v>
      </c>
      <c r="G691">
        <v>0.37188556882905</v>
      </c>
      <c r="H691">
        <v>5.9532923326179756E-284</v>
      </c>
      <c r="I691">
        <v>7.6316541406758886E-284</v>
      </c>
      <c r="J691">
        <v>0.25086867709913019</v>
      </c>
      <c r="K691">
        <v>3.6339795233396258E-125</v>
      </c>
      <c r="L691">
        <v>4.3815163337293458E-125</v>
      </c>
      <c r="M691">
        <v>0.17222661901322101</v>
      </c>
      <c r="N691">
        <v>2.0472711422560421E-128</v>
      </c>
      <c r="O691">
        <v>2.4921163724461311E-128</v>
      </c>
      <c r="P691">
        <v>0.13829887630330609</v>
      </c>
      <c r="Q691">
        <v>0.8792992012556603</v>
      </c>
      <c r="R691">
        <v>-11.32632346614127</v>
      </c>
      <c r="S691">
        <v>0.30933405390381641</v>
      </c>
      <c r="T691">
        <v>0.2398786948897772</v>
      </c>
      <c r="U691">
        <v>4.3177966139545552</v>
      </c>
      <c r="V691">
        <v>0.1409441229068373</v>
      </c>
      <c r="W691">
        <v>-7.5296883523066329</v>
      </c>
      <c r="X691">
        <v>0.33325319690109118</v>
      </c>
      <c r="Z691" t="s">
        <v>392</v>
      </c>
      <c r="AA691">
        <v>9937</v>
      </c>
      <c r="AB691" t="s">
        <v>1082</v>
      </c>
      <c r="AC691" t="str">
        <f>HYPERLINK("plots/20251231000436_3FT6Y121H01_04823_B11P_N_UFLEX98_M5358A8BH101511/dpll_52094/txpa_53192.png","plot")</f>
        <v>plot</v>
      </c>
    </row>
    <row r="692" spans="1:29" x14ac:dyDescent="0.35">
      <c r="A692" t="s">
        <v>46</v>
      </c>
      <c r="B692">
        <v>52094</v>
      </c>
      <c r="C692" t="s">
        <v>53</v>
      </c>
      <c r="D692">
        <v>53193</v>
      </c>
      <c r="E692" t="s">
        <v>68</v>
      </c>
      <c r="F692">
        <v>8716</v>
      </c>
      <c r="G692">
        <v>0.38587443564194301</v>
      </c>
      <c r="H692">
        <v>1.8731241713514298E-307</v>
      </c>
      <c r="I692">
        <v>2.466685597078377E-307</v>
      </c>
      <c r="J692">
        <v>0.28965522341701561</v>
      </c>
      <c r="K692">
        <v>4.5105583677768033E-168</v>
      </c>
      <c r="L692">
        <v>6.0982749132342386E-168</v>
      </c>
      <c r="M692">
        <v>0.19817535095140471</v>
      </c>
      <c r="N692">
        <v>2.0827109522844711E-169</v>
      </c>
      <c r="O692">
        <v>2.8233541518936548E-169</v>
      </c>
      <c r="P692">
        <v>0.14889908008198799</v>
      </c>
      <c r="Q692">
        <v>0.79218107026356799</v>
      </c>
      <c r="R692">
        <v>-10.9253745918849</v>
      </c>
      <c r="S692">
        <v>0.26711117327876921</v>
      </c>
      <c r="T692">
        <v>0.20898744344223921</v>
      </c>
      <c r="U692">
        <v>4.3177108791877004</v>
      </c>
      <c r="V692">
        <v>0.14104184712444839</v>
      </c>
      <c r="W692">
        <v>-7.504965766521341</v>
      </c>
      <c r="X692">
        <v>0.28955191400829711</v>
      </c>
      <c r="Z692" t="s">
        <v>392</v>
      </c>
      <c r="AA692">
        <v>9937</v>
      </c>
      <c r="AB692" t="s">
        <v>1083</v>
      </c>
      <c r="AC692" t="str">
        <f>HYPERLINK("plots/20251231000436_3FT6Y121H01_04823_B11P_N_UFLEX98_M5358A8BH101511/dpll_52094/txpa_53193.png","plot")</f>
        <v>plot</v>
      </c>
    </row>
    <row r="693" spans="1:29" x14ac:dyDescent="0.35">
      <c r="A693" t="s">
        <v>46</v>
      </c>
      <c r="B693">
        <v>52094</v>
      </c>
      <c r="C693" t="s">
        <v>53</v>
      </c>
      <c r="D693">
        <v>53194</v>
      </c>
      <c r="E693" t="s">
        <v>69</v>
      </c>
      <c r="F693">
        <v>8713</v>
      </c>
      <c r="G693">
        <v>0.39450711031516023</v>
      </c>
      <c r="H693">
        <v>0</v>
      </c>
      <c r="I693">
        <v>0</v>
      </c>
      <c r="J693">
        <v>0.28484608595419308</v>
      </c>
      <c r="K693">
        <v>2.5990886215633088E-162</v>
      </c>
      <c r="L693">
        <v>3.4182566306941571E-162</v>
      </c>
      <c r="M693">
        <v>0.19516830390226281</v>
      </c>
      <c r="N693">
        <v>2.61720812391305E-164</v>
      </c>
      <c r="O693">
        <v>3.4919066284839913E-164</v>
      </c>
      <c r="P693">
        <v>0.15563586008921801</v>
      </c>
      <c r="Q693">
        <v>0.86180314761419152</v>
      </c>
      <c r="R693">
        <v>-11.62247914315873</v>
      </c>
      <c r="S693">
        <v>0.28278196027945468</v>
      </c>
      <c r="T693">
        <v>0.21693769777916061</v>
      </c>
      <c r="U693">
        <v>4.3178441858143</v>
      </c>
      <c r="V693">
        <v>0.14088296825192259</v>
      </c>
      <c r="W693">
        <v>-7.9013474329163316</v>
      </c>
      <c r="X693">
        <v>0.3077596887613599</v>
      </c>
      <c r="Z693" t="s">
        <v>392</v>
      </c>
      <c r="AA693">
        <v>9937</v>
      </c>
      <c r="AB693" t="s">
        <v>1084</v>
      </c>
      <c r="AC693" t="str">
        <f>HYPERLINK("plots/20251231000436_3FT6Y121H01_04823_B11P_N_UFLEX98_M5358A8BH101511/dpll_52094/txpa_53194.png","plot")</f>
        <v>plot</v>
      </c>
    </row>
    <row r="694" spans="1:29" x14ac:dyDescent="0.35">
      <c r="A694" t="s">
        <v>46</v>
      </c>
      <c r="B694">
        <v>52094</v>
      </c>
      <c r="C694" t="s">
        <v>53</v>
      </c>
      <c r="D694">
        <v>53195</v>
      </c>
      <c r="E694" t="s">
        <v>70</v>
      </c>
      <c r="F694">
        <v>8715</v>
      </c>
      <c r="G694">
        <v>0.3891221097018801</v>
      </c>
      <c r="H694">
        <v>0</v>
      </c>
      <c r="I694">
        <v>0</v>
      </c>
      <c r="J694">
        <v>0.31181557351423328</v>
      </c>
      <c r="K694">
        <v>8.1545158052781951E-196</v>
      </c>
      <c r="L694">
        <v>1.198359279210448E-195</v>
      </c>
      <c r="M694">
        <v>0.21251850195845901</v>
      </c>
      <c r="N694">
        <v>1.639485853474279E-194</v>
      </c>
      <c r="O694">
        <v>2.4023679991660681E-194</v>
      </c>
      <c r="P694">
        <v>0.15141601625884199</v>
      </c>
      <c r="Q694">
        <v>0.72145390101793783</v>
      </c>
      <c r="R694">
        <v>-5.0703603032931639</v>
      </c>
      <c r="S694">
        <v>0.24085234798510671</v>
      </c>
      <c r="T694">
        <v>0.17912269088883251</v>
      </c>
      <c r="U694">
        <v>4.3177374527825583</v>
      </c>
      <c r="V694">
        <v>0.1410281175306248</v>
      </c>
      <c r="W694">
        <v>-1.955311774411933</v>
      </c>
      <c r="X694">
        <v>0.26147392555934718</v>
      </c>
      <c r="Z694" t="s">
        <v>392</v>
      </c>
      <c r="AA694">
        <v>9937</v>
      </c>
      <c r="AB694" t="s">
        <v>1085</v>
      </c>
      <c r="AC694" t="str">
        <f>HYPERLINK("plots/20251231000436_3FT6Y121H01_04823_B11P_N_UFLEX98_M5358A8BH101511/dpll_52094/txpa_53195.png","plot")</f>
        <v>plot</v>
      </c>
    </row>
    <row r="695" spans="1:29" x14ac:dyDescent="0.35">
      <c r="A695" t="s">
        <v>46</v>
      </c>
      <c r="B695">
        <v>52094</v>
      </c>
      <c r="C695" t="s">
        <v>53</v>
      </c>
      <c r="D695">
        <v>53196</v>
      </c>
      <c r="E695" t="s">
        <v>71</v>
      </c>
      <c r="F695">
        <v>8716</v>
      </c>
      <c r="G695">
        <v>0.33361704921558988</v>
      </c>
      <c r="H695">
        <v>1.3607527673094151E-225</v>
      </c>
      <c r="I695">
        <v>1.598845082331109E-225</v>
      </c>
      <c r="J695">
        <v>0.20884289454764071</v>
      </c>
      <c r="K695">
        <v>1.6870563834971719E-86</v>
      </c>
      <c r="L695">
        <v>1.8923397929935091E-86</v>
      </c>
      <c r="M695">
        <v>0.1424749098428712</v>
      </c>
      <c r="N695">
        <v>1.578489146444481E-88</v>
      </c>
      <c r="O695">
        <v>1.7804093375914389E-88</v>
      </c>
      <c r="P695">
        <v>0.1113003355273173</v>
      </c>
      <c r="Q695">
        <v>0.83657070597425309</v>
      </c>
      <c r="R695">
        <v>-5.2815460078876546</v>
      </c>
      <c r="S695">
        <v>0.33339186316625419</v>
      </c>
      <c r="T695">
        <v>0.26382843237151932</v>
      </c>
      <c r="U695">
        <v>4.3177108791877004</v>
      </c>
      <c r="V695">
        <v>0.14104184712444839</v>
      </c>
      <c r="W695">
        <v>-1.6694755694928869</v>
      </c>
      <c r="X695">
        <v>0.35367340457640722</v>
      </c>
      <c r="Z695" t="s">
        <v>392</v>
      </c>
      <c r="AA695">
        <v>9937</v>
      </c>
      <c r="AB695" t="s">
        <v>1086</v>
      </c>
      <c r="AC695" t="str">
        <f>HYPERLINK("plots/20251231000436_3FT6Y121H01_04823_B11P_N_UFLEX98_M5358A8BH101511/dpll_52094/txpa_53196.png","plot")</f>
        <v>plot</v>
      </c>
    </row>
    <row r="696" spans="1:29" x14ac:dyDescent="0.35">
      <c r="A696" t="s">
        <v>46</v>
      </c>
      <c r="B696">
        <v>52094</v>
      </c>
      <c r="C696" t="s">
        <v>53</v>
      </c>
      <c r="D696">
        <v>53197</v>
      </c>
      <c r="E696" t="s">
        <v>72</v>
      </c>
      <c r="F696">
        <v>8716</v>
      </c>
      <c r="G696">
        <v>0.39652107746191728</v>
      </c>
      <c r="H696">
        <v>0</v>
      </c>
      <c r="I696">
        <v>0</v>
      </c>
      <c r="J696">
        <v>0.30240157471296719</v>
      </c>
      <c r="K696">
        <v>9.626143281117922E-184</v>
      </c>
      <c r="L696">
        <v>1.3556818454241079E-183</v>
      </c>
      <c r="M696">
        <v>0.20669812446603841</v>
      </c>
      <c r="N696">
        <v>3.8861629308843952E-184</v>
      </c>
      <c r="O696">
        <v>5.5500974815729257E-184</v>
      </c>
      <c r="P696">
        <v>0.15722896487155991</v>
      </c>
      <c r="Q696">
        <v>0.73909073977474682</v>
      </c>
      <c r="R696">
        <v>-4.9460487886400202</v>
      </c>
      <c r="S696">
        <v>0.2413289124734449</v>
      </c>
      <c r="T696">
        <v>0.18549847638659281</v>
      </c>
      <c r="U696">
        <v>4.3177108791877004</v>
      </c>
      <c r="V696">
        <v>0.14104184712444839</v>
      </c>
      <c r="W696">
        <v>-1.75486866080771</v>
      </c>
      <c r="X696">
        <v>0.26289327114122202</v>
      </c>
      <c r="Z696" t="s">
        <v>392</v>
      </c>
      <c r="AA696">
        <v>9937</v>
      </c>
      <c r="AB696" t="s">
        <v>1087</v>
      </c>
      <c r="AC696" t="str">
        <f>HYPERLINK("plots/20251231000436_3FT6Y121H01_04823_B11P_N_UFLEX98_M5358A8BH101511/dpll_52094/txpa_53197.png","plot")</f>
        <v>plot</v>
      </c>
    </row>
    <row r="697" spans="1:29" x14ac:dyDescent="0.35">
      <c r="A697" t="s">
        <v>46</v>
      </c>
      <c r="B697">
        <v>52094</v>
      </c>
      <c r="C697" t="s">
        <v>53</v>
      </c>
      <c r="D697">
        <v>53198</v>
      </c>
      <c r="E697" t="s">
        <v>73</v>
      </c>
      <c r="F697">
        <v>8716</v>
      </c>
      <c r="G697">
        <v>0.36383490877771812</v>
      </c>
      <c r="H697">
        <v>4.8031794115710776E-271</v>
      </c>
      <c r="I697">
        <v>6.0577411981754639E-271</v>
      </c>
      <c r="J697">
        <v>0.2360386463723346</v>
      </c>
      <c r="K697">
        <v>1.212496056112487E-110</v>
      </c>
      <c r="L697">
        <v>1.4296174429047229E-110</v>
      </c>
      <c r="M697">
        <v>0.16133167875688581</v>
      </c>
      <c r="N697">
        <v>5.7666681125737185E-113</v>
      </c>
      <c r="O697">
        <v>6.8712120636307287E-113</v>
      </c>
      <c r="P697">
        <v>0.1323758408452905</v>
      </c>
      <c r="Q697">
        <v>0.80915195659754946</v>
      </c>
      <c r="R697">
        <v>-5.1981348179640632</v>
      </c>
      <c r="S697">
        <v>0.29215586753774758</v>
      </c>
      <c r="T697">
        <v>0.22650434003757311</v>
      </c>
      <c r="U697">
        <v>4.3177108791877004</v>
      </c>
      <c r="V697">
        <v>0.14104184712444839</v>
      </c>
      <c r="W697">
        <v>-1.7044506120468099</v>
      </c>
      <c r="X697">
        <v>0.31367052421185659</v>
      </c>
      <c r="Z697" t="s">
        <v>392</v>
      </c>
      <c r="AA697">
        <v>9937</v>
      </c>
      <c r="AB697" t="s">
        <v>1088</v>
      </c>
      <c r="AC697" t="str">
        <f>HYPERLINK("plots/20251231000436_3FT6Y121H01_04823_B11P_N_UFLEX98_M5358A8BH101511/dpll_52094/txpa_53198.png","plot")</f>
        <v>plot</v>
      </c>
    </row>
    <row r="698" spans="1:29" x14ac:dyDescent="0.35">
      <c r="A698" t="s">
        <v>46</v>
      </c>
      <c r="B698">
        <v>52094</v>
      </c>
      <c r="C698" t="s">
        <v>53</v>
      </c>
      <c r="D698">
        <v>53199</v>
      </c>
      <c r="E698" t="s">
        <v>74</v>
      </c>
      <c r="F698">
        <v>8713</v>
      </c>
      <c r="G698">
        <v>0.42786651555938898</v>
      </c>
      <c r="H698">
        <v>0</v>
      </c>
      <c r="I698">
        <v>0</v>
      </c>
      <c r="J698">
        <v>0.31929305586418327</v>
      </c>
      <c r="K698">
        <v>1.0758815961192949E-205</v>
      </c>
      <c r="L698">
        <v>1.625847896371037E-205</v>
      </c>
      <c r="M698">
        <v>0.21944149257589629</v>
      </c>
      <c r="N698">
        <v>3.3122503939412543E-207</v>
      </c>
      <c r="O698">
        <v>5.0354151416138398E-207</v>
      </c>
      <c r="P698">
        <v>0.18306975513693291</v>
      </c>
      <c r="Q698">
        <v>0.77173097234198018</v>
      </c>
      <c r="R698">
        <v>-4.9203182943199328</v>
      </c>
      <c r="S698">
        <v>0.2297567960886894</v>
      </c>
      <c r="T698">
        <v>0.17639659571412911</v>
      </c>
      <c r="U698">
        <v>4.3178180618615851</v>
      </c>
      <c r="V698">
        <v>0.14094289004565769</v>
      </c>
      <c r="W698">
        <v>-1.5881243630437281</v>
      </c>
      <c r="X698">
        <v>0.25421478340603321</v>
      </c>
      <c r="Z698" t="s">
        <v>392</v>
      </c>
      <c r="AA698">
        <v>9937</v>
      </c>
      <c r="AB698" t="s">
        <v>1089</v>
      </c>
      <c r="AC698" t="str">
        <f>HYPERLINK("plots/20251231000436_3FT6Y121H01_04823_B11P_N_UFLEX98_M5358A8BH101511/dpll_52094/txpa_53199.png","plot")</f>
        <v>plot</v>
      </c>
    </row>
    <row r="699" spans="1:29" x14ac:dyDescent="0.35">
      <c r="A699" t="s">
        <v>46</v>
      </c>
      <c r="B699">
        <v>52094</v>
      </c>
      <c r="C699" t="s">
        <v>53</v>
      </c>
      <c r="D699">
        <v>53200</v>
      </c>
      <c r="E699" t="s">
        <v>75</v>
      </c>
      <c r="F699">
        <v>8712</v>
      </c>
      <c r="G699">
        <v>0.39499725459921697</v>
      </c>
      <c r="H699">
        <v>0</v>
      </c>
      <c r="I699">
        <v>0</v>
      </c>
      <c r="J699">
        <v>0.27027872379020429</v>
      </c>
      <c r="K699">
        <v>1.0678255167322179E-145</v>
      </c>
      <c r="L699">
        <v>1.3585634554158961E-145</v>
      </c>
      <c r="M699">
        <v>0.18596165514793961</v>
      </c>
      <c r="N699">
        <v>2.282257100983205E-149</v>
      </c>
      <c r="O699">
        <v>2.9368130715697591E-149</v>
      </c>
      <c r="P699">
        <v>0.15602283114091869</v>
      </c>
      <c r="Q699">
        <v>0.84648515430842164</v>
      </c>
      <c r="R699">
        <v>-5.2267227194078636</v>
      </c>
      <c r="S699">
        <v>0.27737641366389759</v>
      </c>
      <c r="T699">
        <v>0.21375126700590599</v>
      </c>
      <c r="U699">
        <v>4.3178595135445361</v>
      </c>
      <c r="V699">
        <v>0.14089767841759679</v>
      </c>
      <c r="W699">
        <v>-1.5717187428030299</v>
      </c>
      <c r="X699">
        <v>0.30194587853030169</v>
      </c>
      <c r="Z699" t="s">
        <v>392</v>
      </c>
      <c r="AA699">
        <v>9937</v>
      </c>
      <c r="AB699" t="s">
        <v>1090</v>
      </c>
      <c r="AC699" t="str">
        <f>HYPERLINK("plots/20251231000436_3FT6Y121H01_04823_B11P_N_UFLEX98_M5358A8BH101511/dpll_52094/txpa_53200.png","plot")</f>
        <v>plot</v>
      </c>
    </row>
    <row r="700" spans="1:29" x14ac:dyDescent="0.35">
      <c r="A700" t="s">
        <v>46</v>
      </c>
      <c r="B700">
        <v>52094</v>
      </c>
      <c r="C700" t="s">
        <v>53</v>
      </c>
      <c r="D700">
        <v>53201</v>
      </c>
      <c r="E700" t="s">
        <v>76</v>
      </c>
      <c r="F700">
        <v>8715</v>
      </c>
      <c r="G700">
        <v>0.41757856438161162</v>
      </c>
      <c r="H700">
        <v>0</v>
      </c>
      <c r="I700">
        <v>0</v>
      </c>
      <c r="J700">
        <v>0.3149044704543621</v>
      </c>
      <c r="K700">
        <v>7.0083799329574585E-200</v>
      </c>
      <c r="L700">
        <v>1.040482760178457E-199</v>
      </c>
      <c r="M700">
        <v>0.21607292627185001</v>
      </c>
      <c r="N700">
        <v>5.2761626069543671E-201</v>
      </c>
      <c r="O700">
        <v>7.8908980581883903E-201</v>
      </c>
      <c r="P700">
        <v>0.17437185743100769</v>
      </c>
      <c r="Q700">
        <v>0.77580152743997366</v>
      </c>
      <c r="R700">
        <v>-4.8945145521393618</v>
      </c>
      <c r="S700">
        <v>0.2380276262352598</v>
      </c>
      <c r="T700">
        <v>0.1844519144689917</v>
      </c>
      <c r="U700">
        <v>4.3177471638554223</v>
      </c>
      <c r="V700">
        <v>0.14100925108931939</v>
      </c>
      <c r="W700">
        <v>-1.5447997073207109</v>
      </c>
      <c r="X700">
        <v>0.26197511488709452</v>
      </c>
      <c r="Z700" t="s">
        <v>392</v>
      </c>
      <c r="AA700">
        <v>9937</v>
      </c>
      <c r="AB700" t="s">
        <v>1091</v>
      </c>
      <c r="AC700" t="str">
        <f>HYPERLINK("plots/20251231000436_3FT6Y121H01_04823_B11P_N_UFLEX98_M5358A8BH101511/dpll_52094/txpa_53201.png","plot")</f>
        <v>plot</v>
      </c>
    </row>
    <row r="701" spans="1:29" x14ac:dyDescent="0.35">
      <c r="A701" t="s">
        <v>46</v>
      </c>
      <c r="B701">
        <v>52094</v>
      </c>
      <c r="C701" t="s">
        <v>53</v>
      </c>
      <c r="D701">
        <v>53202</v>
      </c>
      <c r="E701" t="s">
        <v>77</v>
      </c>
      <c r="F701">
        <v>8712</v>
      </c>
      <c r="G701">
        <v>0.4129521911649166</v>
      </c>
      <c r="H701">
        <v>0</v>
      </c>
      <c r="I701">
        <v>0</v>
      </c>
      <c r="J701">
        <v>0.29815537057152458</v>
      </c>
      <c r="K701">
        <v>2.3664956837253001E-178</v>
      </c>
      <c r="L701">
        <v>3.2961904166173832E-178</v>
      </c>
      <c r="M701">
        <v>0.20458592333449219</v>
      </c>
      <c r="N701">
        <v>2.3616468476709628E-180</v>
      </c>
      <c r="O701">
        <v>3.3306118268961849E-180</v>
      </c>
      <c r="P701">
        <v>0.1705295121879058</v>
      </c>
      <c r="Q701">
        <v>0.81635010857655976</v>
      </c>
      <c r="R701">
        <v>-5.4050308460280654</v>
      </c>
      <c r="S701">
        <v>0.25357703036319218</v>
      </c>
      <c r="T701">
        <v>0.1935093509495808</v>
      </c>
      <c r="U701">
        <v>4.3178804982782371</v>
      </c>
      <c r="V701">
        <v>0.14085027158546581</v>
      </c>
      <c r="W701">
        <v>-1.8801286324380171</v>
      </c>
      <c r="X701">
        <v>0.27844175902656287</v>
      </c>
      <c r="Z701" t="s">
        <v>392</v>
      </c>
      <c r="AA701">
        <v>9937</v>
      </c>
      <c r="AB701" t="s">
        <v>1092</v>
      </c>
      <c r="AC701" t="str">
        <f>HYPERLINK("plots/20251231000436_3FT6Y121H01_04823_B11P_N_UFLEX98_M5358A8BH101511/dpll_52094/txpa_53202.png","plot")</f>
        <v>plot</v>
      </c>
    </row>
    <row r="702" spans="1:29" x14ac:dyDescent="0.35">
      <c r="A702" t="s">
        <v>46</v>
      </c>
      <c r="B702">
        <v>52094</v>
      </c>
      <c r="C702" t="s">
        <v>53</v>
      </c>
      <c r="D702">
        <v>53203</v>
      </c>
      <c r="E702" t="s">
        <v>78</v>
      </c>
      <c r="F702">
        <v>8711</v>
      </c>
      <c r="G702">
        <v>0.40758096426959312</v>
      </c>
      <c r="H702">
        <v>0</v>
      </c>
      <c r="I702">
        <v>0</v>
      </c>
      <c r="J702">
        <v>0.32999408873114972</v>
      </c>
      <c r="K702">
        <v>2.376889251185524E-220</v>
      </c>
      <c r="L702">
        <v>3.713660555781389E-220</v>
      </c>
      <c r="M702">
        <v>0.2254313418328914</v>
      </c>
      <c r="N702">
        <v>1.636476922065101E-218</v>
      </c>
      <c r="O702">
        <v>2.5489824869032462E-218</v>
      </c>
      <c r="P702">
        <v>0.16612224243493129</v>
      </c>
      <c r="Q702">
        <v>0.75469608807734678</v>
      </c>
      <c r="R702">
        <v>-2.357668147566788</v>
      </c>
      <c r="S702">
        <v>0.23809918708081301</v>
      </c>
      <c r="T702">
        <v>0.17551454695923979</v>
      </c>
      <c r="U702">
        <v>4.3179125990127423</v>
      </c>
      <c r="V702">
        <v>0.1408229509296573</v>
      </c>
      <c r="W702">
        <v>0.90104359956801749</v>
      </c>
      <c r="X702">
        <v>0.26075440095338448</v>
      </c>
      <c r="Z702" t="s">
        <v>392</v>
      </c>
      <c r="AA702">
        <v>9937</v>
      </c>
      <c r="AB702" t="s">
        <v>1093</v>
      </c>
      <c r="AC702" t="str">
        <f>HYPERLINK("plots/20251231000436_3FT6Y121H01_04823_B11P_N_UFLEX98_M5358A8BH101511/dpll_52094/txpa_53203.png","plot")</f>
        <v>plot</v>
      </c>
    </row>
    <row r="703" spans="1:29" x14ac:dyDescent="0.35">
      <c r="A703" t="s">
        <v>46</v>
      </c>
      <c r="B703">
        <v>52094</v>
      </c>
      <c r="C703" t="s">
        <v>53</v>
      </c>
      <c r="D703">
        <v>53204</v>
      </c>
      <c r="E703" t="s">
        <v>79</v>
      </c>
      <c r="F703">
        <v>8716</v>
      </c>
      <c r="G703">
        <v>0.35686037743954307</v>
      </c>
      <c r="H703">
        <v>4.1756108743510089E-260</v>
      </c>
      <c r="I703">
        <v>5.1446773105612678E-260</v>
      </c>
      <c r="J703">
        <v>0.22544811603545151</v>
      </c>
      <c r="K703">
        <v>7.4463297653335478E-101</v>
      </c>
      <c r="L703">
        <v>8.6688615178509961E-101</v>
      </c>
      <c r="M703">
        <v>0.15388930713534271</v>
      </c>
      <c r="N703">
        <v>5.8060347729904242E-103</v>
      </c>
      <c r="O703">
        <v>6.7592643625858672E-103</v>
      </c>
      <c r="P703">
        <v>0.1273493289862932</v>
      </c>
      <c r="Q703">
        <v>0.87237879870402868</v>
      </c>
      <c r="R703">
        <v>-2.5898651962613131</v>
      </c>
      <c r="S703">
        <v>0.32206983986468141</v>
      </c>
      <c r="T703">
        <v>0.25308079844974418</v>
      </c>
      <c r="U703">
        <v>4.3177108791877004</v>
      </c>
      <c r="V703">
        <v>0.14104184712444839</v>
      </c>
      <c r="W703">
        <v>1.176814233675769</v>
      </c>
      <c r="X703">
        <v>0.34479007740854772</v>
      </c>
      <c r="Z703" t="s">
        <v>392</v>
      </c>
      <c r="AA703">
        <v>9937</v>
      </c>
      <c r="AB703" t="s">
        <v>1094</v>
      </c>
      <c r="AC703" t="str">
        <f>HYPERLINK("plots/20251231000436_3FT6Y121H01_04823_B11P_N_UFLEX98_M5358A8BH101511/dpll_52094/txpa_53204.png","plot")</f>
        <v>plot</v>
      </c>
    </row>
    <row r="704" spans="1:29" x14ac:dyDescent="0.35">
      <c r="A704" t="s">
        <v>46</v>
      </c>
      <c r="B704">
        <v>52094</v>
      </c>
      <c r="C704" t="s">
        <v>53</v>
      </c>
      <c r="D704">
        <v>53205</v>
      </c>
      <c r="E704" t="s">
        <v>80</v>
      </c>
      <c r="F704">
        <v>8715</v>
      </c>
      <c r="G704">
        <v>0.42306451363449998</v>
      </c>
      <c r="H704">
        <v>0</v>
      </c>
      <c r="I704">
        <v>0</v>
      </c>
      <c r="J704">
        <v>0.32740279998340233</v>
      </c>
      <c r="K704">
        <v>7.8097147061132776E-217</v>
      </c>
      <c r="L704">
        <v>1.205334963774561E-216</v>
      </c>
      <c r="M704">
        <v>0.2244442099254336</v>
      </c>
      <c r="N704">
        <v>1.0135961154075391E-216</v>
      </c>
      <c r="O704">
        <v>1.5715389312282019E-216</v>
      </c>
      <c r="P704">
        <v>0.17898358269679601</v>
      </c>
      <c r="Q704">
        <v>0.78711256401097385</v>
      </c>
      <c r="R704">
        <v>-2.3133468476516779</v>
      </c>
      <c r="S704">
        <v>0.23766616505739349</v>
      </c>
      <c r="T704">
        <v>0.18042269376617051</v>
      </c>
      <c r="U704">
        <v>4.317755179001721</v>
      </c>
      <c r="V704">
        <v>0.1409892854567717</v>
      </c>
      <c r="W704">
        <v>1.085212502064028</v>
      </c>
      <c r="X704">
        <v>0.26231091097805798</v>
      </c>
      <c r="Z704" t="s">
        <v>392</v>
      </c>
      <c r="AA704">
        <v>9937</v>
      </c>
      <c r="AB704" t="s">
        <v>1095</v>
      </c>
      <c r="AC704" t="str">
        <f>HYPERLINK("plots/20251231000436_3FT6Y121H01_04823_B11P_N_UFLEX98_M5358A8BH101511/dpll_52094/txpa_53205.png","plot")</f>
        <v>plot</v>
      </c>
    </row>
    <row r="705" spans="1:29" x14ac:dyDescent="0.35">
      <c r="A705" t="s">
        <v>46</v>
      </c>
      <c r="B705">
        <v>52094</v>
      </c>
      <c r="C705" t="s">
        <v>53</v>
      </c>
      <c r="D705">
        <v>53206</v>
      </c>
      <c r="E705" t="s">
        <v>81</v>
      </c>
      <c r="F705">
        <v>8713</v>
      </c>
      <c r="G705">
        <v>0.38630539335835617</v>
      </c>
      <c r="H705">
        <v>4.3395559266451539E-308</v>
      </c>
      <c r="I705">
        <v>5.7221192582811269E-308</v>
      </c>
      <c r="J705">
        <v>0.25567844072809942</v>
      </c>
      <c r="K705">
        <v>4.3834101224084981E-130</v>
      </c>
      <c r="L705">
        <v>5.3551540531592977E-130</v>
      </c>
      <c r="M705">
        <v>0.17499387135126809</v>
      </c>
      <c r="N705">
        <v>1.6201054458831869E-132</v>
      </c>
      <c r="O705">
        <v>1.9816488807304609E-132</v>
      </c>
      <c r="P705">
        <v>0.14923185693775429</v>
      </c>
      <c r="Q705">
        <v>0.84183236154641194</v>
      </c>
      <c r="R705">
        <v>-2.4929424082075662</v>
      </c>
      <c r="S705">
        <v>0.2831767691476198</v>
      </c>
      <c r="T705">
        <v>0.21829823653069641</v>
      </c>
      <c r="U705">
        <v>4.3178371316423734</v>
      </c>
      <c r="V705">
        <v>0.14089062352013629</v>
      </c>
      <c r="W705">
        <v>1.1419526210957189</v>
      </c>
      <c r="X705">
        <v>0.30702725966778749</v>
      </c>
      <c r="Z705" t="s">
        <v>392</v>
      </c>
      <c r="AA705">
        <v>9937</v>
      </c>
      <c r="AB705" t="s">
        <v>1096</v>
      </c>
      <c r="AC705" t="str">
        <f>HYPERLINK("plots/20251231000436_3FT6Y121H01_04823_B11P_N_UFLEX98_M5358A8BH101511/dpll_52094/txpa_53206.png","plot")</f>
        <v>plot</v>
      </c>
    </row>
    <row r="706" spans="1:29" x14ac:dyDescent="0.35">
      <c r="A706" t="s">
        <v>46</v>
      </c>
      <c r="B706">
        <v>52094</v>
      </c>
      <c r="C706" t="s">
        <v>53</v>
      </c>
      <c r="D706">
        <v>53207</v>
      </c>
      <c r="E706" t="s">
        <v>82</v>
      </c>
      <c r="F706">
        <v>8712</v>
      </c>
      <c r="G706">
        <v>0.45251821219758542</v>
      </c>
      <c r="H706">
        <v>0</v>
      </c>
      <c r="I706">
        <v>0</v>
      </c>
      <c r="J706">
        <v>0.34353111450938639</v>
      </c>
      <c r="K706">
        <v>7.6216301355339647E-240</v>
      </c>
      <c r="L706">
        <v>1.262799502848275E-239</v>
      </c>
      <c r="M706">
        <v>0.2369358923438506</v>
      </c>
      <c r="N706">
        <v>3.4314746622272988E-241</v>
      </c>
      <c r="O706">
        <v>5.7607869329445063E-241</v>
      </c>
      <c r="P706">
        <v>0.20477273237049889</v>
      </c>
      <c r="Q706">
        <v>0.81708648336269629</v>
      </c>
      <c r="R706">
        <v>-2.2851481541023029</v>
      </c>
      <c r="S706">
        <v>0.22684376169860049</v>
      </c>
      <c r="T706">
        <v>0.17196941652772241</v>
      </c>
      <c r="U706">
        <v>4.3178631751606984</v>
      </c>
      <c r="V706">
        <v>0.1408880544065409</v>
      </c>
      <c r="W706">
        <v>1.242919483331038</v>
      </c>
      <c r="X706">
        <v>0.25439357316427369</v>
      </c>
      <c r="Z706" t="s">
        <v>392</v>
      </c>
      <c r="AA706">
        <v>9937</v>
      </c>
      <c r="AB706" t="s">
        <v>1097</v>
      </c>
      <c r="AC706" t="str">
        <f>HYPERLINK("plots/20251231000436_3FT6Y121H01_04823_B11P_N_UFLEX98_M5358A8BH101511/dpll_52094/txpa_53207.png","plot")</f>
        <v>plot</v>
      </c>
    </row>
    <row r="707" spans="1:29" x14ac:dyDescent="0.35">
      <c r="A707" t="s">
        <v>46</v>
      </c>
      <c r="B707">
        <v>52094</v>
      </c>
      <c r="C707" t="s">
        <v>53</v>
      </c>
      <c r="D707">
        <v>53208</v>
      </c>
      <c r="E707" t="s">
        <v>83</v>
      </c>
      <c r="F707">
        <v>8707</v>
      </c>
      <c r="G707">
        <v>0.41588607623807761</v>
      </c>
      <c r="H707">
        <v>0</v>
      </c>
      <c r="I707">
        <v>0</v>
      </c>
      <c r="J707">
        <v>0.29060335053371589</v>
      </c>
      <c r="K707">
        <v>4.883885111684516E-169</v>
      </c>
      <c r="L707">
        <v>6.6384175646757365E-169</v>
      </c>
      <c r="M707">
        <v>0.20022019724677009</v>
      </c>
      <c r="N707">
        <v>9.8518879358227706E-173</v>
      </c>
      <c r="O707">
        <v>1.3518016734674269E-172</v>
      </c>
      <c r="P707">
        <v>0.17296122840870409</v>
      </c>
      <c r="Q707">
        <v>0.86950611391669497</v>
      </c>
      <c r="R707">
        <v>-2.496944526646419</v>
      </c>
      <c r="S707">
        <v>0.26733674888421849</v>
      </c>
      <c r="T707">
        <v>0.20498935261766721</v>
      </c>
      <c r="U707">
        <v>4.3180883968071671</v>
      </c>
      <c r="V707">
        <v>0.14061200749297989</v>
      </c>
      <c r="W707">
        <v>1.257659734810153</v>
      </c>
      <c r="X707">
        <v>0.29398195128623561</v>
      </c>
      <c r="Z707" t="s">
        <v>392</v>
      </c>
      <c r="AA707">
        <v>9937</v>
      </c>
      <c r="AB707" t="s">
        <v>1098</v>
      </c>
      <c r="AC707" t="str">
        <f>HYPERLINK("plots/20251231000436_3FT6Y121H01_04823_B11P_N_UFLEX98_M5358A8BH101511/dpll_52094/txpa_53208.png","plot")</f>
        <v>plot</v>
      </c>
    </row>
    <row r="708" spans="1:29" x14ac:dyDescent="0.35">
      <c r="A708" t="s">
        <v>46</v>
      </c>
      <c r="B708">
        <v>52094</v>
      </c>
      <c r="C708" t="s">
        <v>53</v>
      </c>
      <c r="D708">
        <v>53209</v>
      </c>
      <c r="E708" t="s">
        <v>84</v>
      </c>
      <c r="F708">
        <v>8714</v>
      </c>
      <c r="G708">
        <v>0.44457625061356421</v>
      </c>
      <c r="H708">
        <v>0</v>
      </c>
      <c r="I708">
        <v>0</v>
      </c>
      <c r="J708">
        <v>0.3374009294490577</v>
      </c>
      <c r="K708">
        <v>5.8551380564945917E-231</v>
      </c>
      <c r="L708">
        <v>9.4539967982253435E-231</v>
      </c>
      <c r="M708">
        <v>0.23220532819219061</v>
      </c>
      <c r="N708">
        <v>8.5806947396870757E-232</v>
      </c>
      <c r="O708">
        <v>1.3876913023991541E-231</v>
      </c>
      <c r="P708">
        <v>0.19764804260961469</v>
      </c>
      <c r="Q708">
        <v>0.82154958479258366</v>
      </c>
      <c r="R708">
        <v>-2.2633686242392339</v>
      </c>
      <c r="S708">
        <v>0.2333085461969433</v>
      </c>
      <c r="T708">
        <v>0.17879452051152031</v>
      </c>
      <c r="U708">
        <v>4.3177914729171452</v>
      </c>
      <c r="V708">
        <v>0.14095665608004959</v>
      </c>
      <c r="W708">
        <v>1.2839111675568049</v>
      </c>
      <c r="X708">
        <v>0.2604792363885724</v>
      </c>
      <c r="Z708" t="s">
        <v>392</v>
      </c>
      <c r="AA708">
        <v>9937</v>
      </c>
      <c r="AB708" t="s">
        <v>1099</v>
      </c>
      <c r="AC708" t="str">
        <f>HYPERLINK("plots/20251231000436_3FT6Y121H01_04823_B11P_N_UFLEX98_M5358A8BH101511/dpll_52094/txpa_53209.png","plot")</f>
        <v>plot</v>
      </c>
    </row>
    <row r="709" spans="1:29" x14ac:dyDescent="0.35">
      <c r="A709" t="s">
        <v>46</v>
      </c>
      <c r="B709">
        <v>52094</v>
      </c>
      <c r="C709" t="s">
        <v>53</v>
      </c>
      <c r="D709">
        <v>53210</v>
      </c>
      <c r="E709" t="s">
        <v>85</v>
      </c>
      <c r="F709">
        <v>8708</v>
      </c>
      <c r="G709">
        <v>0.42959981453461538</v>
      </c>
      <c r="H709">
        <v>0</v>
      </c>
      <c r="I709">
        <v>0</v>
      </c>
      <c r="J709">
        <v>0.31313310248694531</v>
      </c>
      <c r="K709">
        <v>2.1887106747985471E-197</v>
      </c>
      <c r="L709">
        <v>3.2304987252485102E-197</v>
      </c>
      <c r="M709">
        <v>0.2151214050180057</v>
      </c>
      <c r="N709">
        <v>4.2049830388503873E-199</v>
      </c>
      <c r="O709">
        <v>6.2519835797570284E-199</v>
      </c>
      <c r="P709">
        <v>0.18455600064817601</v>
      </c>
      <c r="Q709">
        <v>0.84176237175119006</v>
      </c>
      <c r="R709">
        <v>-2.6567661053983338</v>
      </c>
      <c r="S709">
        <v>0.24879471949778881</v>
      </c>
      <c r="T709">
        <v>0.1888070462084866</v>
      </c>
      <c r="U709">
        <v>4.3180643804547536</v>
      </c>
      <c r="V709">
        <v>0.1406188697626985</v>
      </c>
      <c r="W709">
        <v>0.97801800886759283</v>
      </c>
      <c r="X709">
        <v>0.27553008478983682</v>
      </c>
      <c r="Z709" t="s">
        <v>392</v>
      </c>
      <c r="AA709">
        <v>9937</v>
      </c>
      <c r="AB709" t="s">
        <v>1100</v>
      </c>
      <c r="AC709" t="str">
        <f>HYPERLINK("plots/20251231000436_3FT6Y121H01_04823_B11P_N_UFLEX98_M5358A8BH101511/dpll_52094/txpa_53210.png","plot")</f>
        <v>plot</v>
      </c>
    </row>
    <row r="710" spans="1:29" x14ac:dyDescent="0.35">
      <c r="A710" t="s">
        <v>46</v>
      </c>
      <c r="B710">
        <v>52094</v>
      </c>
      <c r="C710" t="s">
        <v>53</v>
      </c>
      <c r="D710">
        <v>53211</v>
      </c>
      <c r="E710" t="s">
        <v>86</v>
      </c>
      <c r="F710">
        <v>8702</v>
      </c>
      <c r="G710">
        <v>0.43221029162930619</v>
      </c>
      <c r="H710">
        <v>0</v>
      </c>
      <c r="I710">
        <v>0</v>
      </c>
      <c r="J710">
        <v>0.36020094163347971</v>
      </c>
      <c r="K710">
        <v>6.8911806136730076E-265</v>
      </c>
      <c r="L710">
        <v>1.2477959182615051E-264</v>
      </c>
      <c r="M710">
        <v>0.24711112489691159</v>
      </c>
      <c r="N710">
        <v>7.181327640435627E-262</v>
      </c>
      <c r="O710">
        <v>1.291111033227256E-261</v>
      </c>
      <c r="P710">
        <v>0.18680573619028989</v>
      </c>
      <c r="Q710">
        <v>0.83326045022990103</v>
      </c>
      <c r="R710">
        <v>0.5046313220576355</v>
      </c>
      <c r="S710">
        <v>0.24397680127470661</v>
      </c>
      <c r="T710">
        <v>0.17673716971950579</v>
      </c>
      <c r="U710">
        <v>4.3183080912433924</v>
      </c>
      <c r="V710">
        <v>0.14034297221601999</v>
      </c>
      <c r="W710">
        <v>4.1029066663985292</v>
      </c>
      <c r="X710">
        <v>0.27056793991296518</v>
      </c>
      <c r="Z710" t="s">
        <v>392</v>
      </c>
      <c r="AA710">
        <v>9937</v>
      </c>
      <c r="AB710" t="s">
        <v>1101</v>
      </c>
      <c r="AC710" t="str">
        <f>HYPERLINK("plots/20251231000436_3FT6Y121H01_04823_B11P_N_UFLEX98_M5358A8BH101511/dpll_52094/txpa_53211.png","plot")</f>
        <v>plot</v>
      </c>
    </row>
    <row r="711" spans="1:29" x14ac:dyDescent="0.35">
      <c r="A711" t="s">
        <v>46</v>
      </c>
      <c r="B711">
        <v>52094</v>
      </c>
      <c r="C711" t="s">
        <v>53</v>
      </c>
      <c r="D711">
        <v>53212</v>
      </c>
      <c r="E711" t="s">
        <v>87</v>
      </c>
      <c r="F711">
        <v>8710</v>
      </c>
      <c r="G711">
        <v>0.39346310721076738</v>
      </c>
      <c r="H711">
        <v>0</v>
      </c>
      <c r="I711">
        <v>0</v>
      </c>
      <c r="J711">
        <v>0.26052981843228828</v>
      </c>
      <c r="K711">
        <v>4.0207720956823689E-135</v>
      </c>
      <c r="L711">
        <v>4.9359115072904622E-135</v>
      </c>
      <c r="M711">
        <v>0.17810333439159051</v>
      </c>
      <c r="N711">
        <v>3.7514872961273179E-137</v>
      </c>
      <c r="O711">
        <v>4.6503766727055018E-137</v>
      </c>
      <c r="P711">
        <v>0.15481321673595189</v>
      </c>
      <c r="Q711">
        <v>0.94658184195384965</v>
      </c>
      <c r="R711">
        <v>0.27947969331966421</v>
      </c>
      <c r="S711">
        <v>0.31128075338212602</v>
      </c>
      <c r="T711">
        <v>0.24094482300050979</v>
      </c>
      <c r="U711">
        <v>4.3179640870264064</v>
      </c>
      <c r="V711">
        <v>0.14074944811274001</v>
      </c>
      <c r="W711">
        <v>4.3667860923076924</v>
      </c>
      <c r="X711">
        <v>0.33861083645938128</v>
      </c>
      <c r="Z711" t="s">
        <v>392</v>
      </c>
      <c r="AA711">
        <v>9937</v>
      </c>
      <c r="AB711" t="s">
        <v>1102</v>
      </c>
      <c r="AC711" t="str">
        <f>HYPERLINK("plots/20251231000436_3FT6Y121H01_04823_B11P_N_UFLEX98_M5358A8BH101511/dpll_52094/txpa_53212.png","plot")</f>
        <v>plot</v>
      </c>
    </row>
    <row r="712" spans="1:29" x14ac:dyDescent="0.35">
      <c r="A712" t="s">
        <v>46</v>
      </c>
      <c r="B712">
        <v>52094</v>
      </c>
      <c r="C712" t="s">
        <v>53</v>
      </c>
      <c r="D712">
        <v>53213</v>
      </c>
      <c r="E712" t="s">
        <v>88</v>
      </c>
      <c r="F712">
        <v>8703</v>
      </c>
      <c r="G712">
        <v>0.45409459763477689</v>
      </c>
      <c r="H712">
        <v>0</v>
      </c>
      <c r="I712">
        <v>0</v>
      </c>
      <c r="J712">
        <v>0.36647734206074062</v>
      </c>
      <c r="K712">
        <v>7.4543611832478578E-275</v>
      </c>
      <c r="L712">
        <v>1.3793288758783439E-274</v>
      </c>
      <c r="M712">
        <v>0.25272064010672168</v>
      </c>
      <c r="N712">
        <v>7.9383910475211573E-274</v>
      </c>
      <c r="O712">
        <v>1.4608944686363799E-273</v>
      </c>
      <c r="P712">
        <v>0.20620190360109</v>
      </c>
      <c r="Q712">
        <v>0.86868646783335035</v>
      </c>
      <c r="R712">
        <v>0.51266528557033642</v>
      </c>
      <c r="S712">
        <v>0.23925596580800779</v>
      </c>
      <c r="T712">
        <v>0.17769987749938521</v>
      </c>
      <c r="U712">
        <v>4.3182686870044806</v>
      </c>
      <c r="V712">
        <v>0.14038347231553391</v>
      </c>
      <c r="W712">
        <v>4.2638868584396183</v>
      </c>
      <c r="X712">
        <v>0.26855466535641209</v>
      </c>
      <c r="Z712" t="s">
        <v>392</v>
      </c>
      <c r="AA712">
        <v>9937</v>
      </c>
      <c r="AB712" t="s">
        <v>1103</v>
      </c>
      <c r="AC712" t="str">
        <f>HYPERLINK("plots/20251231000436_3FT6Y121H01_04823_B11P_N_UFLEX98_M5358A8BH101511/dpll_52094/txpa_53213.png","plot")</f>
        <v>plot</v>
      </c>
    </row>
    <row r="713" spans="1:29" x14ac:dyDescent="0.35">
      <c r="A713" t="s">
        <v>46</v>
      </c>
      <c r="B713">
        <v>52094</v>
      </c>
      <c r="C713" t="s">
        <v>53</v>
      </c>
      <c r="D713">
        <v>53214</v>
      </c>
      <c r="E713" t="s">
        <v>89</v>
      </c>
      <c r="F713">
        <v>8697</v>
      </c>
      <c r="G713">
        <v>0.41500352979831873</v>
      </c>
      <c r="H713">
        <v>0</v>
      </c>
      <c r="I713">
        <v>0</v>
      </c>
      <c r="J713">
        <v>0.2909181212964867</v>
      </c>
      <c r="K713">
        <v>3.1813471521967732E-169</v>
      </c>
      <c r="L713">
        <v>4.3358682961391488E-169</v>
      </c>
      <c r="M713">
        <v>0.1995269612712742</v>
      </c>
      <c r="N713">
        <v>2.321500031858203E-171</v>
      </c>
      <c r="O713">
        <v>3.1725081297900508E-171</v>
      </c>
      <c r="P713">
        <v>0.17222792974506401</v>
      </c>
      <c r="Q713">
        <v>0.89398224788899072</v>
      </c>
      <c r="R713">
        <v>0.47591352750562921</v>
      </c>
      <c r="S713">
        <v>0.27451646268335128</v>
      </c>
      <c r="T713">
        <v>0.20971745258428209</v>
      </c>
      <c r="U713">
        <v>4.318530615959526</v>
      </c>
      <c r="V713">
        <v>0.1400750785995796</v>
      </c>
      <c r="W713">
        <v>4.3366032351385542</v>
      </c>
      <c r="X713">
        <v>0.30174353866468367</v>
      </c>
      <c r="Z713" t="s">
        <v>392</v>
      </c>
      <c r="AA713">
        <v>9937</v>
      </c>
      <c r="AB713" t="s">
        <v>1104</v>
      </c>
      <c r="AC713" t="str">
        <f>HYPERLINK("plots/20251231000436_3FT6Y121H01_04823_B11P_N_UFLEX98_M5358A8BH101511/dpll_52094/txpa_53214.png","plot")</f>
        <v>plot</v>
      </c>
    </row>
    <row r="714" spans="1:29" x14ac:dyDescent="0.35">
      <c r="A714" t="s">
        <v>46</v>
      </c>
      <c r="B714">
        <v>52094</v>
      </c>
      <c r="C714" t="s">
        <v>53</v>
      </c>
      <c r="D714">
        <v>53215</v>
      </c>
      <c r="E714" t="s">
        <v>90</v>
      </c>
      <c r="F714">
        <v>8698</v>
      </c>
      <c r="G714">
        <v>0.47871534605370891</v>
      </c>
      <c r="H714">
        <v>0</v>
      </c>
      <c r="I714">
        <v>0</v>
      </c>
      <c r="J714">
        <v>0.37920504564571111</v>
      </c>
      <c r="K714">
        <v>1.577470812813769E-295</v>
      </c>
      <c r="L714">
        <v>3.1487311106164608E-295</v>
      </c>
      <c r="M714">
        <v>0.26293520716134111</v>
      </c>
      <c r="N714">
        <v>4.6167188700191999E-296</v>
      </c>
      <c r="O714">
        <v>9.3254042513933641E-296</v>
      </c>
      <c r="P714">
        <v>0.22916838254732219</v>
      </c>
      <c r="Q714">
        <v>0.89310727303966242</v>
      </c>
      <c r="R714">
        <v>0.5561634882833677</v>
      </c>
      <c r="S714">
        <v>0.2295139397606715</v>
      </c>
      <c r="T714">
        <v>0.17087862841427801</v>
      </c>
      <c r="U714">
        <v>4.3184883405380541</v>
      </c>
      <c r="V714">
        <v>0.14012899211851321</v>
      </c>
      <c r="W714">
        <v>4.4130368337548864</v>
      </c>
      <c r="X714">
        <v>0.26142930878744097</v>
      </c>
      <c r="Z714" t="s">
        <v>392</v>
      </c>
      <c r="AA714">
        <v>9937</v>
      </c>
      <c r="AB714" t="s">
        <v>1105</v>
      </c>
      <c r="AC714" t="str">
        <f>HYPERLINK("plots/20251231000436_3FT6Y121H01_04823_B11P_N_UFLEX98_M5358A8BH101511/dpll_52094/txpa_53215.png","plot")</f>
        <v>plot</v>
      </c>
    </row>
    <row r="715" spans="1:29" x14ac:dyDescent="0.35">
      <c r="A715" t="s">
        <v>46</v>
      </c>
      <c r="B715">
        <v>52094</v>
      </c>
      <c r="C715" t="s">
        <v>53</v>
      </c>
      <c r="D715">
        <v>53216</v>
      </c>
      <c r="E715" t="s">
        <v>91</v>
      </c>
      <c r="F715">
        <v>8694</v>
      </c>
      <c r="G715">
        <v>0.44590241129312558</v>
      </c>
      <c r="H715">
        <v>0</v>
      </c>
      <c r="I715">
        <v>0</v>
      </c>
      <c r="J715">
        <v>0.3287014913615614</v>
      </c>
      <c r="K715">
        <v>4.0391331685998008E-218</v>
      </c>
      <c r="L715">
        <v>6.2913687142245742E-218</v>
      </c>
      <c r="M715">
        <v>0.22705387328092441</v>
      </c>
      <c r="N715">
        <v>3.245575404162606E-221</v>
      </c>
      <c r="O715">
        <v>5.0944480802180833E-221</v>
      </c>
      <c r="P715">
        <v>0.1988289603970238</v>
      </c>
      <c r="Q715">
        <v>0.92665082441888547</v>
      </c>
      <c r="R715">
        <v>0.4216612644226112</v>
      </c>
      <c r="S715">
        <v>0.26017327545535202</v>
      </c>
      <c r="T715">
        <v>0.19674991520897481</v>
      </c>
      <c r="U715">
        <v>4.3186772957211863</v>
      </c>
      <c r="V715">
        <v>0.13987778482160901</v>
      </c>
      <c r="W715">
        <v>4.4235671409017714</v>
      </c>
      <c r="X715">
        <v>0.29068661962813142</v>
      </c>
      <c r="Z715" t="s">
        <v>392</v>
      </c>
      <c r="AA715">
        <v>9937</v>
      </c>
      <c r="AB715" t="s">
        <v>1106</v>
      </c>
      <c r="AC715" t="str">
        <f>HYPERLINK("plots/20251231000436_3FT6Y121H01_04823_B11P_N_UFLEX98_M5358A8BH101511/dpll_52094/txpa_53216.png","plot")</f>
        <v>plot</v>
      </c>
    </row>
    <row r="716" spans="1:29" x14ac:dyDescent="0.35">
      <c r="A716" t="s">
        <v>46</v>
      </c>
      <c r="B716">
        <v>52094</v>
      </c>
      <c r="C716" t="s">
        <v>53</v>
      </c>
      <c r="D716">
        <v>53217</v>
      </c>
      <c r="E716" t="s">
        <v>92</v>
      </c>
      <c r="F716">
        <v>8708</v>
      </c>
      <c r="G716">
        <v>0.47924824832307827</v>
      </c>
      <c r="H716">
        <v>0</v>
      </c>
      <c r="I716">
        <v>0</v>
      </c>
      <c r="J716">
        <v>0.37154304398363369</v>
      </c>
      <c r="K716">
        <v>3.3714267627941589E-283</v>
      </c>
      <c r="L716">
        <v>6.3780349579725321E-283</v>
      </c>
      <c r="M716">
        <v>0.25730874908766233</v>
      </c>
      <c r="N716">
        <v>6.0821459486538145E-284</v>
      </c>
      <c r="O716">
        <v>1.172489732307028E-283</v>
      </c>
      <c r="P716">
        <v>0.2296788835207389</v>
      </c>
      <c r="Q716">
        <v>0.91308822718338456</v>
      </c>
      <c r="R716">
        <v>0.50393425638979217</v>
      </c>
      <c r="S716">
        <v>0.23515590047171109</v>
      </c>
      <c r="T716">
        <v>0.1767942486037441</v>
      </c>
      <c r="U716">
        <v>4.3180590909508503</v>
      </c>
      <c r="V716">
        <v>0.1406347701453283</v>
      </c>
      <c r="W716">
        <v>4.4467031766192013</v>
      </c>
      <c r="X716">
        <v>0.26794454314994898</v>
      </c>
      <c r="Z716" t="s">
        <v>392</v>
      </c>
      <c r="AA716">
        <v>9937</v>
      </c>
      <c r="AB716" t="s">
        <v>1107</v>
      </c>
      <c r="AC716" t="str">
        <f>HYPERLINK("plots/20251231000436_3FT6Y121H01_04823_B11P_N_UFLEX98_M5358A8BH101511/dpll_52094/txpa_53217.png","plot")</f>
        <v>plot</v>
      </c>
    </row>
    <row r="717" spans="1:29" x14ac:dyDescent="0.35">
      <c r="A717" t="s">
        <v>46</v>
      </c>
      <c r="B717">
        <v>52094</v>
      </c>
      <c r="C717" t="s">
        <v>53</v>
      </c>
      <c r="D717">
        <v>53218</v>
      </c>
      <c r="E717" t="s">
        <v>93</v>
      </c>
      <c r="F717">
        <v>8695</v>
      </c>
      <c r="G717">
        <v>0.45057991995613311</v>
      </c>
      <c r="H717">
        <v>0</v>
      </c>
      <c r="I717">
        <v>0</v>
      </c>
      <c r="J717">
        <v>0.33923423651365658</v>
      </c>
      <c r="K717">
        <v>4.1689377577821397E-233</v>
      </c>
      <c r="L717">
        <v>6.7636846182257433E-233</v>
      </c>
      <c r="M717">
        <v>0.2337487528937025</v>
      </c>
      <c r="N717">
        <v>2.365327926604376E-234</v>
      </c>
      <c r="O717">
        <v>3.8560169092875188E-234</v>
      </c>
      <c r="P717">
        <v>0.20302226426767531</v>
      </c>
      <c r="Q717">
        <v>0.8952466107920628</v>
      </c>
      <c r="R717">
        <v>0.31734998570002843</v>
      </c>
      <c r="S717">
        <v>0.24823558588120509</v>
      </c>
      <c r="T717">
        <v>0.18634228277512141</v>
      </c>
      <c r="U717">
        <v>4.3186248431282337</v>
      </c>
      <c r="V717">
        <v>0.139957143064771</v>
      </c>
      <c r="W717">
        <v>4.1835842397929834</v>
      </c>
      <c r="X717">
        <v>0.27807754503812437</v>
      </c>
      <c r="Z717" t="s">
        <v>392</v>
      </c>
      <c r="AA717">
        <v>9937</v>
      </c>
      <c r="AB717" t="s">
        <v>1108</v>
      </c>
      <c r="AC717" t="str">
        <f>HYPERLINK("plots/20251231000436_3FT6Y121H01_04823_B11P_N_UFLEX98_M5358A8BH101511/dpll_52094/txpa_53218.png","plot")</f>
        <v>plot</v>
      </c>
    </row>
    <row r="718" spans="1:29" x14ac:dyDescent="0.35">
      <c r="A718" t="s">
        <v>46</v>
      </c>
      <c r="B718">
        <v>52094</v>
      </c>
      <c r="C718" t="s">
        <v>53</v>
      </c>
      <c r="D718">
        <v>53219</v>
      </c>
      <c r="E718" t="s">
        <v>94</v>
      </c>
      <c r="F718">
        <v>8697</v>
      </c>
      <c r="G718">
        <v>0.44543276064906212</v>
      </c>
      <c r="H718">
        <v>0</v>
      </c>
      <c r="I718">
        <v>0</v>
      </c>
      <c r="J718">
        <v>0.37878210420748742</v>
      </c>
      <c r="K718">
        <v>8.68959955016801E-295</v>
      </c>
      <c r="L718">
        <v>1.7276968517392869E-294</v>
      </c>
      <c r="M718">
        <v>0.26095945167328238</v>
      </c>
      <c r="N718">
        <v>1.2494583135404439E-291</v>
      </c>
      <c r="O718">
        <v>2.4600985047184659E-291</v>
      </c>
      <c r="P718">
        <v>0.1984103442594447</v>
      </c>
      <c r="Q718">
        <v>0.90482336834410726</v>
      </c>
      <c r="R718">
        <v>1.952638429390289</v>
      </c>
      <c r="S718">
        <v>0.25466729833466351</v>
      </c>
      <c r="T718">
        <v>0.18187772324367499</v>
      </c>
      <c r="U718">
        <v>4.3185438213176957</v>
      </c>
      <c r="V718">
        <v>0.14003624133319759</v>
      </c>
      <c r="W718">
        <v>5.8601577961365994</v>
      </c>
      <c r="X718">
        <v>0.28446058477764341</v>
      </c>
      <c r="Z718" t="s">
        <v>392</v>
      </c>
      <c r="AA718">
        <v>9937</v>
      </c>
      <c r="AB718" t="s">
        <v>1109</v>
      </c>
      <c r="AC718" t="str">
        <f>HYPERLINK("plots/20251231000436_3FT6Y121H01_04823_B11P_N_UFLEX98_M5358A8BH101511/dpll_52094/txpa_53219.png","plot")</f>
        <v>plot</v>
      </c>
    </row>
    <row r="719" spans="1:29" x14ac:dyDescent="0.35">
      <c r="A719" t="s">
        <v>46</v>
      </c>
      <c r="B719">
        <v>52094</v>
      </c>
      <c r="C719" t="s">
        <v>53</v>
      </c>
      <c r="D719">
        <v>53220</v>
      </c>
      <c r="E719" t="s">
        <v>95</v>
      </c>
      <c r="F719">
        <v>8702</v>
      </c>
      <c r="G719">
        <v>0.41464686638663267</v>
      </c>
      <c r="H719">
        <v>0</v>
      </c>
      <c r="I719">
        <v>0</v>
      </c>
      <c r="J719">
        <v>0.28892401613631408</v>
      </c>
      <c r="K719">
        <v>6.2274361711416106E-167</v>
      </c>
      <c r="L719">
        <v>8.3526723247851765E-167</v>
      </c>
      <c r="M719">
        <v>0.1976749191048231</v>
      </c>
      <c r="N719">
        <v>2.4959365610196561E-168</v>
      </c>
      <c r="O719">
        <v>3.361061982568301E-168</v>
      </c>
      <c r="P719">
        <v>0.17193202380425401</v>
      </c>
      <c r="Q719">
        <v>1.001985776451344</v>
      </c>
      <c r="R719">
        <v>1.791687760912301</v>
      </c>
      <c r="S719">
        <v>0.308631554038858</v>
      </c>
      <c r="T719">
        <v>0.2352151612510909</v>
      </c>
      <c r="U719">
        <v>4.3183016591588146</v>
      </c>
      <c r="V719">
        <v>0.14036186078250379</v>
      </c>
      <c r="W719">
        <v>6.1185646018156747</v>
      </c>
      <c r="X719">
        <v>0.33918160116800178</v>
      </c>
      <c r="Z719" t="s">
        <v>392</v>
      </c>
      <c r="AA719">
        <v>9937</v>
      </c>
      <c r="AB719" t="s">
        <v>1110</v>
      </c>
      <c r="AC719" t="str">
        <f>HYPERLINK("plots/20251231000436_3FT6Y121H01_04823_B11P_N_UFLEX98_M5358A8BH101511/dpll_52094/txpa_53220.png","plot")</f>
        <v>plot</v>
      </c>
    </row>
    <row r="720" spans="1:29" x14ac:dyDescent="0.35">
      <c r="A720" t="s">
        <v>46</v>
      </c>
      <c r="B720">
        <v>52094</v>
      </c>
      <c r="C720" t="s">
        <v>53</v>
      </c>
      <c r="D720">
        <v>53221</v>
      </c>
      <c r="E720" t="s">
        <v>96</v>
      </c>
      <c r="F720">
        <v>8697</v>
      </c>
      <c r="G720">
        <v>0.47071385382086239</v>
      </c>
      <c r="H720">
        <v>0</v>
      </c>
      <c r="I720">
        <v>0</v>
      </c>
      <c r="J720">
        <v>0.39009681196240498</v>
      </c>
      <c r="K720">
        <v>0</v>
      </c>
      <c r="L720">
        <v>0</v>
      </c>
      <c r="M720">
        <v>0.27045440821023559</v>
      </c>
      <c r="N720">
        <v>0</v>
      </c>
      <c r="O720">
        <v>0</v>
      </c>
      <c r="P720">
        <v>0.22157153217888831</v>
      </c>
      <c r="Q720">
        <v>0.94614653857136521</v>
      </c>
      <c r="R720">
        <v>1.918742873747175</v>
      </c>
      <c r="S720">
        <v>0.24838913893160691</v>
      </c>
      <c r="T720">
        <v>0.18080770511088809</v>
      </c>
      <c r="U720">
        <v>4.3185322865355866</v>
      </c>
      <c r="V720">
        <v>0.14007053646357481</v>
      </c>
      <c r="W720">
        <v>6.0047072483615036</v>
      </c>
      <c r="X720">
        <v>0.2815452576020438</v>
      </c>
      <c r="Z720" t="s">
        <v>392</v>
      </c>
      <c r="AA720">
        <v>9937</v>
      </c>
      <c r="AB720" t="s">
        <v>1111</v>
      </c>
      <c r="AC720" t="str">
        <f>HYPERLINK("plots/20251231000436_3FT6Y121H01_04823_B11P_N_UFLEX98_M5358A8BH101511/dpll_52094/txpa_53221.png","plot")</f>
        <v>plot</v>
      </c>
    </row>
    <row r="721" spans="1:29" x14ac:dyDescent="0.35">
      <c r="A721" t="s">
        <v>46</v>
      </c>
      <c r="B721">
        <v>52094</v>
      </c>
      <c r="C721" t="s">
        <v>53</v>
      </c>
      <c r="D721">
        <v>53222</v>
      </c>
      <c r="E721" t="s">
        <v>97</v>
      </c>
      <c r="F721">
        <v>8691</v>
      </c>
      <c r="G721">
        <v>0.43643668122208029</v>
      </c>
      <c r="H721">
        <v>0</v>
      </c>
      <c r="I721">
        <v>0</v>
      </c>
      <c r="J721">
        <v>0.32015322787528938</v>
      </c>
      <c r="K721">
        <v>2.4482999313044439E-206</v>
      </c>
      <c r="L721">
        <v>3.7220031939171002E-206</v>
      </c>
      <c r="M721">
        <v>0.22016918048566569</v>
      </c>
      <c r="N721">
        <v>4.6486524665966409E-208</v>
      </c>
      <c r="O721">
        <v>7.0883212047052539E-208</v>
      </c>
      <c r="P721">
        <v>0.1904769767161438</v>
      </c>
      <c r="Q721">
        <v>0.9622204018493502</v>
      </c>
      <c r="R721">
        <v>1.934950211624394</v>
      </c>
      <c r="S721">
        <v>0.27716717845744948</v>
      </c>
      <c r="T721">
        <v>0.20875173630158089</v>
      </c>
      <c r="U721">
        <v>4.3188040204809566</v>
      </c>
      <c r="V721">
        <v>0.1397329631599934</v>
      </c>
      <c r="W721">
        <v>6.0905915517201699</v>
      </c>
      <c r="X721">
        <v>0.30807196953959182</v>
      </c>
      <c r="Z721" t="s">
        <v>392</v>
      </c>
      <c r="AA721">
        <v>9937</v>
      </c>
      <c r="AB721" t="s">
        <v>1112</v>
      </c>
      <c r="AC721" t="str">
        <f>HYPERLINK("plots/20251231000436_3FT6Y121H01_04823_B11P_N_UFLEX98_M5358A8BH101511/dpll_52094/txpa_53222.png","plot")</f>
        <v>plot</v>
      </c>
    </row>
    <row r="722" spans="1:29" x14ac:dyDescent="0.35">
      <c r="A722" t="s">
        <v>46</v>
      </c>
      <c r="B722">
        <v>52094</v>
      </c>
      <c r="C722" t="s">
        <v>53</v>
      </c>
      <c r="D722">
        <v>53223</v>
      </c>
      <c r="E722" t="s">
        <v>98</v>
      </c>
      <c r="F722">
        <v>8689</v>
      </c>
      <c r="G722">
        <v>0.48970428491391671</v>
      </c>
      <c r="H722">
        <v>0</v>
      </c>
      <c r="I722">
        <v>0</v>
      </c>
      <c r="J722">
        <v>0.39785768753011808</v>
      </c>
      <c r="K722">
        <v>0</v>
      </c>
      <c r="L722">
        <v>0</v>
      </c>
      <c r="M722">
        <v>0.27705354163531148</v>
      </c>
      <c r="N722">
        <v>0</v>
      </c>
      <c r="O722">
        <v>0</v>
      </c>
      <c r="P722">
        <v>0.23981028666305049</v>
      </c>
      <c r="Q722">
        <v>0.95960845192520061</v>
      </c>
      <c r="R722">
        <v>2.00551011622164</v>
      </c>
      <c r="S722">
        <v>0.23854905100805721</v>
      </c>
      <c r="T722">
        <v>0.1749309138844817</v>
      </c>
      <c r="U722">
        <v>4.318889661986419</v>
      </c>
      <c r="V722">
        <v>0.13963089799823181</v>
      </c>
      <c r="W722">
        <v>6.1499531387961799</v>
      </c>
      <c r="X722">
        <v>0.2736161271134529</v>
      </c>
      <c r="Z722" t="s">
        <v>392</v>
      </c>
      <c r="AA722">
        <v>9937</v>
      </c>
      <c r="AB722" t="s">
        <v>1113</v>
      </c>
      <c r="AC722" t="str">
        <f>HYPERLINK("plots/20251231000436_3FT6Y121H01_04823_B11P_N_UFLEX98_M5358A8BH101511/dpll_52094/txpa_53223.png","plot")</f>
        <v>plot</v>
      </c>
    </row>
    <row r="723" spans="1:29" x14ac:dyDescent="0.35">
      <c r="A723" t="s">
        <v>46</v>
      </c>
      <c r="B723">
        <v>52094</v>
      </c>
      <c r="C723" t="s">
        <v>53</v>
      </c>
      <c r="D723">
        <v>53224</v>
      </c>
      <c r="E723" t="s">
        <v>99</v>
      </c>
      <c r="F723">
        <v>8690</v>
      </c>
      <c r="G723">
        <v>0.46579194343006108</v>
      </c>
      <c r="H723">
        <v>0</v>
      </c>
      <c r="I723">
        <v>0</v>
      </c>
      <c r="J723">
        <v>0.3581631543617102</v>
      </c>
      <c r="K723">
        <v>2.365652655787895E-261</v>
      </c>
      <c r="L723">
        <v>4.2531414768952566E-261</v>
      </c>
      <c r="M723">
        <v>0.24808071369844201</v>
      </c>
      <c r="N723">
        <v>1.489997349246345E-263</v>
      </c>
      <c r="O723">
        <v>2.7027858893305781E-263</v>
      </c>
      <c r="P723">
        <v>0.2169621345643532</v>
      </c>
      <c r="Q723">
        <v>0.99479830246167711</v>
      </c>
      <c r="R723">
        <v>1.859736520661504</v>
      </c>
      <c r="S723">
        <v>0.26373333699517681</v>
      </c>
      <c r="T723">
        <v>0.19599465271652</v>
      </c>
      <c r="U723">
        <v>4.3188851254315308</v>
      </c>
      <c r="V723">
        <v>0.13955826916880201</v>
      </c>
      <c r="W723">
        <v>6.1561561119677783</v>
      </c>
      <c r="X723">
        <v>0.29805652764464291</v>
      </c>
      <c r="Z723" t="s">
        <v>392</v>
      </c>
      <c r="AA723">
        <v>9937</v>
      </c>
      <c r="AB723" t="s">
        <v>1114</v>
      </c>
      <c r="AC723" t="str">
        <f>HYPERLINK("plots/20251231000436_3FT6Y121H01_04823_B11P_N_UFLEX98_M5358A8BH101511/dpll_52094/txpa_53224.png","plot")</f>
        <v>plot</v>
      </c>
    </row>
    <row r="724" spans="1:29" x14ac:dyDescent="0.35">
      <c r="A724" t="s">
        <v>46</v>
      </c>
      <c r="B724">
        <v>52094</v>
      </c>
      <c r="C724" t="s">
        <v>53</v>
      </c>
      <c r="D724">
        <v>53225</v>
      </c>
      <c r="E724" t="s">
        <v>100</v>
      </c>
      <c r="F724">
        <v>8698</v>
      </c>
      <c r="G724">
        <v>0.49355290081811642</v>
      </c>
      <c r="H724">
        <v>0</v>
      </c>
      <c r="I724">
        <v>0</v>
      </c>
      <c r="J724">
        <v>0.39036189807997451</v>
      </c>
      <c r="K724">
        <v>0</v>
      </c>
      <c r="L724">
        <v>0</v>
      </c>
      <c r="M724">
        <v>0.27150064735121548</v>
      </c>
      <c r="N724">
        <v>0</v>
      </c>
      <c r="O724">
        <v>0</v>
      </c>
      <c r="P724">
        <v>0.24359446590597739</v>
      </c>
      <c r="Q724">
        <v>0.97742922915924646</v>
      </c>
      <c r="R724">
        <v>1.9572205961692379</v>
      </c>
      <c r="S724">
        <v>0.24138527056443679</v>
      </c>
      <c r="T724">
        <v>0.17925178251902019</v>
      </c>
      <c r="U724">
        <v>4.3184793577833984</v>
      </c>
      <c r="V724">
        <v>0.14015441088295799</v>
      </c>
      <c r="W724">
        <v>6.178228545987583</v>
      </c>
      <c r="X724">
        <v>0.27756096168317662</v>
      </c>
      <c r="Z724" t="s">
        <v>392</v>
      </c>
      <c r="AA724">
        <v>9937</v>
      </c>
      <c r="AB724" t="s">
        <v>1115</v>
      </c>
      <c r="AC724" t="str">
        <f>HYPERLINK("plots/20251231000436_3FT6Y121H01_04823_B11P_N_UFLEX98_M5358A8BH101511/dpll_52094/txpa_53225.png","plot")</f>
        <v>plot</v>
      </c>
    </row>
    <row r="725" spans="1:29" x14ac:dyDescent="0.35">
      <c r="A725" t="s">
        <v>46</v>
      </c>
      <c r="B725">
        <v>52094</v>
      </c>
      <c r="C725" t="s">
        <v>53</v>
      </c>
      <c r="D725">
        <v>53226</v>
      </c>
      <c r="E725" t="s">
        <v>101</v>
      </c>
      <c r="F725">
        <v>8691</v>
      </c>
      <c r="G725">
        <v>0.46541069503358778</v>
      </c>
      <c r="H725">
        <v>0</v>
      </c>
      <c r="I725">
        <v>0</v>
      </c>
      <c r="J725">
        <v>0.35817861920574318</v>
      </c>
      <c r="K725">
        <v>2.089861131334321E-261</v>
      </c>
      <c r="L725">
        <v>3.770674710272244E-261</v>
      </c>
      <c r="M725">
        <v>0.24758810801838169</v>
      </c>
      <c r="N725">
        <v>1.5166052991630501E-262</v>
      </c>
      <c r="O725">
        <v>2.7363661447532602E-262</v>
      </c>
      <c r="P725">
        <v>0.21660711505164729</v>
      </c>
      <c r="Q725">
        <v>0.96178863592112196</v>
      </c>
      <c r="R725">
        <v>1.78953655611004</v>
      </c>
      <c r="S725">
        <v>0.25557885847500722</v>
      </c>
      <c r="T725">
        <v>0.18911698374186811</v>
      </c>
      <c r="U725">
        <v>4.3188016001610858</v>
      </c>
      <c r="V725">
        <v>0.13973873875718401</v>
      </c>
      <c r="W725">
        <v>5.9433108559429293</v>
      </c>
      <c r="X725">
        <v>0.28877533835983432</v>
      </c>
      <c r="Z725" t="s">
        <v>392</v>
      </c>
      <c r="AA725">
        <v>9937</v>
      </c>
      <c r="AB725" t="s">
        <v>1116</v>
      </c>
      <c r="AC725" t="str">
        <f>HYPERLINK("plots/20251231000436_3FT6Y121H01_04823_B11P_N_UFLEX98_M5358A8BH101511/dpll_52094/txpa_53226.png","plot")</f>
        <v>plot</v>
      </c>
    </row>
    <row r="726" spans="1:29" x14ac:dyDescent="0.35">
      <c r="A726" t="s">
        <v>46</v>
      </c>
      <c r="B726">
        <v>52094</v>
      </c>
      <c r="C726" t="s">
        <v>53</v>
      </c>
      <c r="D726">
        <v>53227</v>
      </c>
      <c r="E726" t="s">
        <v>102</v>
      </c>
      <c r="F726">
        <v>8686</v>
      </c>
      <c r="G726">
        <v>0.45148583811730841</v>
      </c>
      <c r="H726">
        <v>0</v>
      </c>
      <c r="I726">
        <v>0</v>
      </c>
      <c r="J726">
        <v>0.39627320942151018</v>
      </c>
      <c r="K726">
        <v>0</v>
      </c>
      <c r="L726">
        <v>0</v>
      </c>
      <c r="M726">
        <v>0.27467863648500002</v>
      </c>
      <c r="N726">
        <v>0</v>
      </c>
      <c r="O726">
        <v>0</v>
      </c>
      <c r="P726">
        <v>0.20383946202048839</v>
      </c>
      <c r="Q726">
        <v>1.000636140006294</v>
      </c>
      <c r="R726">
        <v>3.608996558953828</v>
      </c>
      <c r="S726">
        <v>0.27569193234322709</v>
      </c>
      <c r="T726">
        <v>0.19300448901741121</v>
      </c>
      <c r="U726">
        <v>4.3190376779875654</v>
      </c>
      <c r="V726">
        <v>0.13941730474946709</v>
      </c>
      <c r="W726">
        <v>7.9307817495970534</v>
      </c>
      <c r="X726">
        <v>0.30899306666257043</v>
      </c>
      <c r="Z726" t="s">
        <v>392</v>
      </c>
      <c r="AA726">
        <v>9937</v>
      </c>
      <c r="AB726" t="s">
        <v>1117</v>
      </c>
      <c r="AC726" t="str">
        <f>HYPERLINK("plots/20251231000436_3FT6Y121H01_04823_B11P_N_UFLEX98_M5358A8BH101511/dpll_52094/txpa_53227.png","plot")</f>
        <v>plot</v>
      </c>
    </row>
    <row r="727" spans="1:29" x14ac:dyDescent="0.35">
      <c r="A727" t="s">
        <v>46</v>
      </c>
      <c r="B727">
        <v>52094</v>
      </c>
      <c r="C727" t="s">
        <v>53</v>
      </c>
      <c r="D727">
        <v>53228</v>
      </c>
      <c r="E727" t="s">
        <v>103</v>
      </c>
      <c r="F727">
        <v>8686</v>
      </c>
      <c r="G727">
        <v>0.43171602349163929</v>
      </c>
      <c r="H727">
        <v>0</v>
      </c>
      <c r="I727">
        <v>0</v>
      </c>
      <c r="J727">
        <v>0.33123623485708509</v>
      </c>
      <c r="K727">
        <v>1.8281507520085941E-221</v>
      </c>
      <c r="L727">
        <v>2.8695740906141091E-221</v>
      </c>
      <c r="M727">
        <v>0.2275184546302344</v>
      </c>
      <c r="N727">
        <v>6.5130733086925319E-222</v>
      </c>
      <c r="O727">
        <v>1.027100518664732E-221</v>
      </c>
      <c r="P727">
        <v>0.18637872493943369</v>
      </c>
      <c r="Q727">
        <v>1.071590327003872</v>
      </c>
      <c r="R727">
        <v>3.5478603477673269</v>
      </c>
      <c r="S727">
        <v>0.31198109921473</v>
      </c>
      <c r="T727">
        <v>0.23094870273358081</v>
      </c>
      <c r="U727">
        <v>4.3190585313147576</v>
      </c>
      <c r="V727">
        <v>0.13935145908397351</v>
      </c>
      <c r="W727">
        <v>8.1761216916877721</v>
      </c>
      <c r="X727">
        <v>0.34589328976146699</v>
      </c>
      <c r="Z727" t="s">
        <v>392</v>
      </c>
      <c r="AA727">
        <v>9937</v>
      </c>
      <c r="AB727" t="s">
        <v>1118</v>
      </c>
      <c r="AC727" t="str">
        <f>HYPERLINK("plots/20251231000436_3FT6Y121H01_04823_B11P_N_UFLEX98_M5358A8BH101511/dpll_52094/txpa_53228.png","plot")</f>
        <v>plot</v>
      </c>
    </row>
    <row r="728" spans="1:29" x14ac:dyDescent="0.35">
      <c r="A728" t="s">
        <v>46</v>
      </c>
      <c r="B728">
        <v>52094</v>
      </c>
      <c r="C728" t="s">
        <v>53</v>
      </c>
      <c r="D728">
        <v>53229</v>
      </c>
      <c r="E728" t="s">
        <v>104</v>
      </c>
      <c r="F728">
        <v>8685</v>
      </c>
      <c r="G728">
        <v>0.47927155617344108</v>
      </c>
      <c r="H728">
        <v>0</v>
      </c>
      <c r="I728">
        <v>0</v>
      </c>
      <c r="J728">
        <v>0.41426455779961668</v>
      </c>
      <c r="K728">
        <v>0</v>
      </c>
      <c r="L728">
        <v>0</v>
      </c>
      <c r="M728">
        <v>0.2896044378578097</v>
      </c>
      <c r="N728">
        <v>0</v>
      </c>
      <c r="O728">
        <v>0</v>
      </c>
      <c r="P728">
        <v>0.22970122455691189</v>
      </c>
      <c r="Q728">
        <v>1.0556806023567009</v>
      </c>
      <c r="R728">
        <v>3.4866473139980578</v>
      </c>
      <c r="S728">
        <v>0.26944381196672917</v>
      </c>
      <c r="T728">
        <v>0.19031964208161231</v>
      </c>
      <c r="U728">
        <v>4.3190745989637307</v>
      </c>
      <c r="V728">
        <v>0.1393839371854951</v>
      </c>
      <c r="W728">
        <v>8.0462105882556152</v>
      </c>
      <c r="X728">
        <v>0.30701784170471941</v>
      </c>
      <c r="Z728" t="s">
        <v>392</v>
      </c>
      <c r="AA728">
        <v>9937</v>
      </c>
      <c r="AB728" t="s">
        <v>1119</v>
      </c>
      <c r="AC728" t="str">
        <f>HYPERLINK("plots/20251231000436_3FT6Y121H01_04823_B11P_N_UFLEX98_M5358A8BH101511/dpll_52094/txpa_53229.png","plot")</f>
        <v>plot</v>
      </c>
    </row>
    <row r="729" spans="1:29" x14ac:dyDescent="0.35">
      <c r="A729" t="s">
        <v>46</v>
      </c>
      <c r="B729">
        <v>52094</v>
      </c>
      <c r="C729" t="s">
        <v>53</v>
      </c>
      <c r="D729">
        <v>53230</v>
      </c>
      <c r="E729" t="s">
        <v>105</v>
      </c>
      <c r="F729">
        <v>8672</v>
      </c>
      <c r="G729">
        <v>0.44517692297273709</v>
      </c>
      <c r="H729">
        <v>0</v>
      </c>
      <c r="I729">
        <v>0</v>
      </c>
      <c r="J729">
        <v>0.35761347235153879</v>
      </c>
      <c r="K729">
        <v>5.7706540826078863E-260</v>
      </c>
      <c r="L729">
        <v>1.02656898943235E-259</v>
      </c>
      <c r="M729">
        <v>0.24726769030683191</v>
      </c>
      <c r="N729">
        <v>2.6337339447787142E-261</v>
      </c>
      <c r="O729">
        <v>4.7183855477131021E-261</v>
      </c>
      <c r="P729">
        <v>0.19818249274747429</v>
      </c>
      <c r="Q729">
        <v>1.0329865906897899</v>
      </c>
      <c r="R729">
        <v>3.6895609479591478</v>
      </c>
      <c r="S729">
        <v>0.28711607718176752</v>
      </c>
      <c r="T729">
        <v>0.21055652390328849</v>
      </c>
      <c r="U729">
        <v>4.3197996565959409</v>
      </c>
      <c r="V729">
        <v>0.13819195004682899</v>
      </c>
      <c r="W729">
        <v>8.1518560676891134</v>
      </c>
      <c r="X729">
        <v>0.32065999824611241</v>
      </c>
      <c r="Z729" t="s">
        <v>392</v>
      </c>
      <c r="AA729">
        <v>9937</v>
      </c>
      <c r="AB729" t="s">
        <v>1120</v>
      </c>
      <c r="AC729" t="str">
        <f>HYPERLINK("plots/20251231000436_3FT6Y121H01_04823_B11P_N_UFLEX98_M5358A8BH101511/dpll_52094/txpa_53230.png","plot")</f>
        <v>plot</v>
      </c>
    </row>
    <row r="730" spans="1:29" x14ac:dyDescent="0.35">
      <c r="A730" t="s">
        <v>46</v>
      </c>
      <c r="B730">
        <v>52094</v>
      </c>
      <c r="C730" t="s">
        <v>53</v>
      </c>
      <c r="D730">
        <v>53231</v>
      </c>
      <c r="E730" t="s">
        <v>106</v>
      </c>
      <c r="F730">
        <v>8683</v>
      </c>
      <c r="G730">
        <v>0.49555608006452351</v>
      </c>
      <c r="H730">
        <v>0</v>
      </c>
      <c r="I730">
        <v>0</v>
      </c>
      <c r="J730">
        <v>0.41841714607680908</v>
      </c>
      <c r="K730">
        <v>0</v>
      </c>
      <c r="L730">
        <v>0</v>
      </c>
      <c r="M730">
        <v>0.29340253250816117</v>
      </c>
      <c r="N730">
        <v>0</v>
      </c>
      <c r="O730">
        <v>0</v>
      </c>
      <c r="P730">
        <v>0.2455758284889164</v>
      </c>
      <c r="Q730">
        <v>1.080428237656615</v>
      </c>
      <c r="R730">
        <v>3.5192578873982958</v>
      </c>
      <c r="S730">
        <v>0.26312719585527311</v>
      </c>
      <c r="T730">
        <v>0.18692984721789979</v>
      </c>
      <c r="U730">
        <v>4.3192620370839574</v>
      </c>
      <c r="V730">
        <v>0.138956809073773</v>
      </c>
      <c r="W730">
        <v>8.185910558102039</v>
      </c>
      <c r="X730">
        <v>0.30295836612158072</v>
      </c>
      <c r="Z730" t="s">
        <v>392</v>
      </c>
      <c r="AA730">
        <v>9937</v>
      </c>
      <c r="AB730" t="s">
        <v>1121</v>
      </c>
      <c r="AC730" t="str">
        <f>HYPERLINK("plots/20251231000436_3FT6Y121H01_04823_B11P_N_UFLEX98_M5358A8BH101511/dpll_52094/txpa_53231.png","plot")</f>
        <v>plot</v>
      </c>
    </row>
    <row r="731" spans="1:29" x14ac:dyDescent="0.35">
      <c r="A731" t="s">
        <v>46</v>
      </c>
      <c r="B731">
        <v>52094</v>
      </c>
      <c r="C731" t="s">
        <v>53</v>
      </c>
      <c r="D731">
        <v>53232</v>
      </c>
      <c r="E731" t="s">
        <v>107</v>
      </c>
      <c r="F731">
        <v>8679</v>
      </c>
      <c r="G731">
        <v>0.47787789685016829</v>
      </c>
      <c r="H731">
        <v>0</v>
      </c>
      <c r="I731">
        <v>0</v>
      </c>
      <c r="J731">
        <v>0.39262146180131119</v>
      </c>
      <c r="K731">
        <v>0</v>
      </c>
      <c r="L731">
        <v>0</v>
      </c>
      <c r="M731">
        <v>0.27375317672829952</v>
      </c>
      <c r="N731">
        <v>0</v>
      </c>
      <c r="O731">
        <v>0</v>
      </c>
      <c r="P731">
        <v>0.22836728429794009</v>
      </c>
      <c r="Q731">
        <v>1.0859360683938679</v>
      </c>
      <c r="R731">
        <v>3.4965723992672859</v>
      </c>
      <c r="S731">
        <v>0.2770672771919076</v>
      </c>
      <c r="T731">
        <v>0.19999046883371929</v>
      </c>
      <c r="U731">
        <v>4.3194201395322036</v>
      </c>
      <c r="V731">
        <v>0.13880900061006099</v>
      </c>
      <c r="W731">
        <v>8.1871865233321817</v>
      </c>
      <c r="X731">
        <v>0.31543141328303242</v>
      </c>
      <c r="Z731" t="s">
        <v>392</v>
      </c>
      <c r="AA731">
        <v>9937</v>
      </c>
      <c r="AB731" t="s">
        <v>1122</v>
      </c>
      <c r="AC731" t="str">
        <f>HYPERLINK("plots/20251231000436_3FT6Y121H01_04823_B11P_N_UFLEX98_M5358A8BH101511/dpll_52094/txpa_53232.png","plot")</f>
        <v>plot</v>
      </c>
    </row>
    <row r="732" spans="1:29" x14ac:dyDescent="0.35">
      <c r="A732" t="s">
        <v>46</v>
      </c>
      <c r="B732">
        <v>52094</v>
      </c>
      <c r="C732" t="s">
        <v>53</v>
      </c>
      <c r="D732">
        <v>53233</v>
      </c>
      <c r="E732" t="s">
        <v>108</v>
      </c>
      <c r="F732">
        <v>8689</v>
      </c>
      <c r="G732">
        <v>0.50283014577176932</v>
      </c>
      <c r="H732">
        <v>0</v>
      </c>
      <c r="I732">
        <v>0</v>
      </c>
      <c r="J732">
        <v>0.41146227073800179</v>
      </c>
      <c r="K732">
        <v>0</v>
      </c>
      <c r="L732">
        <v>0</v>
      </c>
      <c r="M732">
        <v>0.28817563228313958</v>
      </c>
      <c r="N732">
        <v>0</v>
      </c>
      <c r="O732">
        <v>0</v>
      </c>
      <c r="P732">
        <v>0.25283815549685879</v>
      </c>
      <c r="Q732">
        <v>1.092390819990525</v>
      </c>
      <c r="R732">
        <v>3.4889722755158989</v>
      </c>
      <c r="S732">
        <v>0.26208778863014909</v>
      </c>
      <c r="T732">
        <v>0.18896891464531579</v>
      </c>
      <c r="U732">
        <v>4.3189070859707668</v>
      </c>
      <c r="V732">
        <v>0.13957502073454581</v>
      </c>
      <c r="W732">
        <v>8.2069067286223962</v>
      </c>
      <c r="X732">
        <v>0.30322460304440529</v>
      </c>
      <c r="Z732" t="s">
        <v>392</v>
      </c>
      <c r="AA732">
        <v>9937</v>
      </c>
      <c r="AB732" t="s">
        <v>1123</v>
      </c>
      <c r="AC732" t="str">
        <f>HYPERLINK("plots/20251231000436_3FT6Y121H01_04823_B11P_N_UFLEX98_M5358A8BH101511/dpll_52094/txpa_53233.png","plot")</f>
        <v>plot</v>
      </c>
    </row>
    <row r="733" spans="1:29" x14ac:dyDescent="0.35">
      <c r="A733" t="s">
        <v>46</v>
      </c>
      <c r="B733">
        <v>52094</v>
      </c>
      <c r="C733" t="s">
        <v>53</v>
      </c>
      <c r="D733">
        <v>53234</v>
      </c>
      <c r="E733" t="s">
        <v>109</v>
      </c>
      <c r="F733">
        <v>8686</v>
      </c>
      <c r="G733">
        <v>0.47542997195578057</v>
      </c>
      <c r="H733">
        <v>0</v>
      </c>
      <c r="I733">
        <v>0</v>
      </c>
      <c r="J733">
        <v>0.3785446749378153</v>
      </c>
      <c r="K733">
        <v>5.0734847946152908E-294</v>
      </c>
      <c r="L733">
        <v>1.0047878089335751E-293</v>
      </c>
      <c r="M733">
        <v>0.26292390600194998</v>
      </c>
      <c r="N733">
        <v>1.23652637653929E-295</v>
      </c>
      <c r="O733">
        <v>2.482847021407604E-295</v>
      </c>
      <c r="P733">
        <v>0.22603365823387431</v>
      </c>
      <c r="Q733">
        <v>1.061893435536019</v>
      </c>
      <c r="R733">
        <v>3.431251510512451</v>
      </c>
      <c r="S733">
        <v>0.27383669948758099</v>
      </c>
      <c r="T733">
        <v>0.1977899527949418</v>
      </c>
      <c r="U733">
        <v>4.3190561597973742</v>
      </c>
      <c r="V733">
        <v>0.13936741232159441</v>
      </c>
      <c r="W733">
        <v>8.0176288943126881</v>
      </c>
      <c r="X733">
        <v>0.31128315209733431</v>
      </c>
      <c r="Z733" t="s">
        <v>392</v>
      </c>
      <c r="AA733">
        <v>9937</v>
      </c>
      <c r="AB733" t="s">
        <v>1124</v>
      </c>
      <c r="AC733" t="str">
        <f>HYPERLINK("plots/20251231000436_3FT6Y121H01_04823_B11P_N_UFLEX98_M5358A8BH101511/dpll_52094/txpa_53234.png","plot")</f>
        <v>plot</v>
      </c>
    </row>
    <row r="734" spans="1:29" x14ac:dyDescent="0.35">
      <c r="A734" t="s">
        <v>46</v>
      </c>
      <c r="B734">
        <v>52094</v>
      </c>
      <c r="C734" t="s">
        <v>53</v>
      </c>
      <c r="D734">
        <v>53235</v>
      </c>
      <c r="E734" t="s">
        <v>110</v>
      </c>
      <c r="F734">
        <v>8682</v>
      </c>
      <c r="G734">
        <v>0.45716724946417292</v>
      </c>
      <c r="H734">
        <v>0</v>
      </c>
      <c r="I734">
        <v>0</v>
      </c>
      <c r="J734">
        <v>0.40533733673962108</v>
      </c>
      <c r="K734">
        <v>0</v>
      </c>
      <c r="L734">
        <v>0</v>
      </c>
      <c r="M734">
        <v>0.28213702675531449</v>
      </c>
      <c r="N734">
        <v>0</v>
      </c>
      <c r="O734">
        <v>0</v>
      </c>
      <c r="P734">
        <v>0.2090018939826373</v>
      </c>
      <c r="Q734">
        <v>1.0706642867658189</v>
      </c>
      <c r="R734">
        <v>4.1952436749646269</v>
      </c>
      <c r="S734">
        <v>0.29016892548890821</v>
      </c>
      <c r="T734">
        <v>0.20094026548003421</v>
      </c>
      <c r="U734">
        <v>4.3190791521538809</v>
      </c>
      <c r="V734">
        <v>0.1393188839214114</v>
      </c>
      <c r="W734">
        <v>8.8195274748905792</v>
      </c>
      <c r="X734">
        <v>0.32627830112843093</v>
      </c>
      <c r="Z734" t="s">
        <v>392</v>
      </c>
      <c r="AA734">
        <v>9937</v>
      </c>
      <c r="AB734" t="s">
        <v>1125</v>
      </c>
      <c r="AC734" t="str">
        <f>HYPERLINK("plots/20251231000436_3FT6Y121H01_04823_B11P_N_UFLEX98_M5358A8BH101511/dpll_52094/txpa_53235.png","plot")</f>
        <v>plot</v>
      </c>
    </row>
    <row r="735" spans="1:29" x14ac:dyDescent="0.35">
      <c r="A735" t="s">
        <v>46</v>
      </c>
      <c r="B735">
        <v>52094</v>
      </c>
      <c r="C735" t="s">
        <v>53</v>
      </c>
      <c r="D735">
        <v>53236</v>
      </c>
      <c r="E735" t="s">
        <v>111</v>
      </c>
      <c r="F735">
        <v>8681</v>
      </c>
      <c r="G735">
        <v>0.4397342814026246</v>
      </c>
      <c r="H735">
        <v>0</v>
      </c>
      <c r="I735">
        <v>0</v>
      </c>
      <c r="J735">
        <v>0.35684621001395322</v>
      </c>
      <c r="K735">
        <v>4.7724260462696519E-259</v>
      </c>
      <c r="L735">
        <v>8.460209809296202E-259</v>
      </c>
      <c r="M735">
        <v>0.2462667329603245</v>
      </c>
      <c r="N735">
        <v>1.7677533306158471E-259</v>
      </c>
      <c r="O735">
        <v>3.1558131641627978E-259</v>
      </c>
      <c r="P735">
        <v>0.19336623824068261</v>
      </c>
      <c r="Q735">
        <v>1.1257143831077741</v>
      </c>
      <c r="R735">
        <v>4.1889301423535041</v>
      </c>
      <c r="S735">
        <v>0.31934162840676872</v>
      </c>
      <c r="T735">
        <v>0.23127216500208431</v>
      </c>
      <c r="U735">
        <v>4.3193350982605683</v>
      </c>
      <c r="V735">
        <v>0.13890070899404799</v>
      </c>
      <c r="W735">
        <v>9.0512677879276584</v>
      </c>
      <c r="X735">
        <v>0.3555841164798802</v>
      </c>
      <c r="Z735" t="s">
        <v>392</v>
      </c>
      <c r="AA735">
        <v>9937</v>
      </c>
      <c r="AB735" t="s">
        <v>1126</v>
      </c>
      <c r="AC735" t="str">
        <f>HYPERLINK("plots/20251231000436_3FT6Y121H01_04823_B11P_N_UFLEX98_M5358A8BH101511/dpll_52094/txpa_53236.png","plot")</f>
        <v>plot</v>
      </c>
    </row>
    <row r="736" spans="1:29" x14ac:dyDescent="0.35">
      <c r="A736" t="s">
        <v>46</v>
      </c>
      <c r="B736">
        <v>52094</v>
      </c>
      <c r="C736" t="s">
        <v>53</v>
      </c>
      <c r="D736">
        <v>53237</v>
      </c>
      <c r="E736" t="s">
        <v>112</v>
      </c>
      <c r="F736">
        <v>8677</v>
      </c>
      <c r="G736">
        <v>0.48117587896509367</v>
      </c>
      <c r="H736">
        <v>0</v>
      </c>
      <c r="I736">
        <v>0</v>
      </c>
      <c r="J736">
        <v>0.42605641267962729</v>
      </c>
      <c r="K736">
        <v>0</v>
      </c>
      <c r="L736">
        <v>0</v>
      </c>
      <c r="M736">
        <v>0.29946315816727431</v>
      </c>
      <c r="N736">
        <v>0</v>
      </c>
      <c r="O736">
        <v>0</v>
      </c>
      <c r="P736">
        <v>0.2315302264978305</v>
      </c>
      <c r="Q736">
        <v>1.1247401102448791</v>
      </c>
      <c r="R736">
        <v>4.0583146490780857</v>
      </c>
      <c r="S736">
        <v>0.28450378618018612</v>
      </c>
      <c r="T736">
        <v>0.19770811812841191</v>
      </c>
      <c r="U736">
        <v>4.319361942606891</v>
      </c>
      <c r="V736">
        <v>0.13885174678612941</v>
      </c>
      <c r="W736">
        <v>8.9164742765932932</v>
      </c>
      <c r="X736">
        <v>0.32456350331570638</v>
      </c>
      <c r="Z736" t="s">
        <v>392</v>
      </c>
      <c r="AA736">
        <v>9937</v>
      </c>
      <c r="AB736" t="s">
        <v>1127</v>
      </c>
      <c r="AC736" t="str">
        <f>HYPERLINK("plots/20251231000436_3FT6Y121H01_04823_B11P_N_UFLEX98_M5358A8BH101511/dpll_52094/txpa_53237.png","plot")</f>
        <v>plot</v>
      </c>
    </row>
    <row r="737" spans="1:29" x14ac:dyDescent="0.35">
      <c r="A737" t="s">
        <v>46</v>
      </c>
      <c r="B737">
        <v>52094</v>
      </c>
      <c r="C737" t="s">
        <v>53</v>
      </c>
      <c r="D737">
        <v>53238</v>
      </c>
      <c r="E737" t="s">
        <v>113</v>
      </c>
      <c r="F737">
        <v>8662</v>
      </c>
      <c r="G737">
        <v>0.44416985895144551</v>
      </c>
      <c r="H737">
        <v>0</v>
      </c>
      <c r="I737">
        <v>0</v>
      </c>
      <c r="J737">
        <v>0.37774376707576479</v>
      </c>
      <c r="K737">
        <v>6.9495504608932942E-292</v>
      </c>
      <c r="L737">
        <v>1.368319255795301E-291</v>
      </c>
      <c r="M737">
        <v>0.26239930033144709</v>
      </c>
      <c r="N737">
        <v>1.173033942228097E-293</v>
      </c>
      <c r="O737">
        <v>2.3186284939947169E-293</v>
      </c>
      <c r="P737">
        <v>0.19728686360094691</v>
      </c>
      <c r="Q737">
        <v>1.07524013048648</v>
      </c>
      <c r="R737">
        <v>4.3842065162399448</v>
      </c>
      <c r="S737">
        <v>0.29740024855795177</v>
      </c>
      <c r="T737">
        <v>0.21375738209885661</v>
      </c>
      <c r="U737">
        <v>4.3203960780420223</v>
      </c>
      <c r="V737">
        <v>0.137129165090245</v>
      </c>
      <c r="W737">
        <v>9.0296697589471258</v>
      </c>
      <c r="X737">
        <v>0.33196034893771409</v>
      </c>
      <c r="Z737" t="s">
        <v>392</v>
      </c>
      <c r="AA737">
        <v>9937</v>
      </c>
      <c r="AB737" t="s">
        <v>1128</v>
      </c>
      <c r="AC737" t="str">
        <f>HYPERLINK("plots/20251231000436_3FT6Y121H01_04823_B11P_N_UFLEX98_M5358A8BH101511/dpll_52094/txpa_53238.png","plot")</f>
        <v>plot</v>
      </c>
    </row>
    <row r="738" spans="1:29" x14ac:dyDescent="0.35">
      <c r="A738" t="s">
        <v>46</v>
      </c>
      <c r="B738">
        <v>52094</v>
      </c>
      <c r="C738" t="s">
        <v>53</v>
      </c>
      <c r="D738">
        <v>53239</v>
      </c>
      <c r="E738" t="s">
        <v>114</v>
      </c>
      <c r="F738">
        <v>8668</v>
      </c>
      <c r="G738">
        <v>0.48353712287082901</v>
      </c>
      <c r="H738">
        <v>0</v>
      </c>
      <c r="I738">
        <v>0</v>
      </c>
      <c r="J738">
        <v>0.42538787916072479</v>
      </c>
      <c r="K738">
        <v>0</v>
      </c>
      <c r="L738">
        <v>0</v>
      </c>
      <c r="M738">
        <v>0.29939245173198492</v>
      </c>
      <c r="N738">
        <v>0</v>
      </c>
      <c r="O738">
        <v>0</v>
      </c>
      <c r="P738">
        <v>0.23380814919419921</v>
      </c>
      <c r="Q738">
        <v>1.117543292901966</v>
      </c>
      <c r="R738">
        <v>4.2262214409912442</v>
      </c>
      <c r="S738">
        <v>0.27837197482100479</v>
      </c>
      <c r="T738">
        <v>0.19432721603387809</v>
      </c>
      <c r="U738">
        <v>4.3200876483617909</v>
      </c>
      <c r="V738">
        <v>0.13760913496674509</v>
      </c>
      <c r="W738">
        <v>9.0541064171665901</v>
      </c>
      <c r="X738">
        <v>0.3180400398444877</v>
      </c>
      <c r="Z738" t="s">
        <v>392</v>
      </c>
      <c r="AA738">
        <v>9937</v>
      </c>
      <c r="AB738" t="s">
        <v>1129</v>
      </c>
      <c r="AC738" t="str">
        <f>HYPERLINK("plots/20251231000436_3FT6Y121H01_04823_B11P_N_UFLEX98_M5358A8BH101511/dpll_52094/txpa_53239.png","plot")</f>
        <v>plot</v>
      </c>
    </row>
    <row r="739" spans="1:29" x14ac:dyDescent="0.35">
      <c r="A739" t="s">
        <v>46</v>
      </c>
      <c r="B739">
        <v>52094</v>
      </c>
      <c r="C739" t="s">
        <v>53</v>
      </c>
      <c r="D739">
        <v>53240</v>
      </c>
      <c r="E739" t="s">
        <v>115</v>
      </c>
      <c r="F739">
        <v>8675</v>
      </c>
      <c r="G739">
        <v>0.4814429549176093</v>
      </c>
      <c r="H739">
        <v>0</v>
      </c>
      <c r="I739">
        <v>0</v>
      </c>
      <c r="J739">
        <v>0.40931337512566651</v>
      </c>
      <c r="K739">
        <v>0</v>
      </c>
      <c r="L739">
        <v>0</v>
      </c>
      <c r="M739">
        <v>0.28692149261129962</v>
      </c>
      <c r="N739">
        <v>0</v>
      </c>
      <c r="O739">
        <v>0</v>
      </c>
      <c r="P739">
        <v>0.23178731883979919</v>
      </c>
      <c r="Q739">
        <v>1.1483549546422041</v>
      </c>
      <c r="R739">
        <v>4.0880509568554428</v>
      </c>
      <c r="S739">
        <v>0.28957976839413779</v>
      </c>
      <c r="T739">
        <v>0.20532808971632471</v>
      </c>
      <c r="U739">
        <v>4.3196141127377521</v>
      </c>
      <c r="V739">
        <v>0.13852278061169951</v>
      </c>
      <c r="W739">
        <v>9.0485012253602299</v>
      </c>
      <c r="X739">
        <v>0.33040949051478541</v>
      </c>
      <c r="Z739" t="s">
        <v>392</v>
      </c>
      <c r="AA739">
        <v>9937</v>
      </c>
      <c r="AB739" t="s">
        <v>1130</v>
      </c>
      <c r="AC739" t="str">
        <f>HYPERLINK("plots/20251231000436_3FT6Y121H01_04823_B11P_N_UFLEX98_M5358A8BH101511/dpll_52094/txpa_53240.png","plot")</f>
        <v>plot</v>
      </c>
    </row>
    <row r="740" spans="1:29" x14ac:dyDescent="0.35">
      <c r="A740" t="s">
        <v>46</v>
      </c>
      <c r="B740">
        <v>52094</v>
      </c>
      <c r="C740" t="s">
        <v>53</v>
      </c>
      <c r="D740">
        <v>53241</v>
      </c>
      <c r="E740" t="s">
        <v>116</v>
      </c>
      <c r="F740">
        <v>8679</v>
      </c>
      <c r="G740">
        <v>0.49894384857522089</v>
      </c>
      <c r="H740">
        <v>0</v>
      </c>
      <c r="I740">
        <v>0</v>
      </c>
      <c r="J740">
        <v>0.42122548936762949</v>
      </c>
      <c r="K740">
        <v>0</v>
      </c>
      <c r="L740">
        <v>0</v>
      </c>
      <c r="M740">
        <v>0.29625249037847429</v>
      </c>
      <c r="N740">
        <v>0</v>
      </c>
      <c r="O740">
        <v>0</v>
      </c>
      <c r="P740">
        <v>0.24894496403105301</v>
      </c>
      <c r="Q740">
        <v>1.1468073738256539</v>
      </c>
      <c r="R740">
        <v>4.1155596214307533</v>
      </c>
      <c r="S740">
        <v>0.27665556729342022</v>
      </c>
      <c r="T740">
        <v>0.19597585954188901</v>
      </c>
      <c r="U740">
        <v>4.3193909032146554</v>
      </c>
      <c r="V740">
        <v>0.13889600359291751</v>
      </c>
      <c r="W740">
        <v>9.0690689596727729</v>
      </c>
      <c r="X740">
        <v>0.3192482712636513</v>
      </c>
      <c r="Z740" t="s">
        <v>392</v>
      </c>
      <c r="AA740">
        <v>9937</v>
      </c>
      <c r="AB740" t="s">
        <v>1131</v>
      </c>
      <c r="AC740" t="str">
        <f>HYPERLINK("plots/20251231000436_3FT6Y121H01_04823_B11P_N_UFLEX98_M5358A8BH101511/dpll_52094/txpa_53241.png","plot")</f>
        <v>plot</v>
      </c>
    </row>
    <row r="741" spans="1:29" x14ac:dyDescent="0.35">
      <c r="A741" t="s">
        <v>46</v>
      </c>
      <c r="B741">
        <v>52094</v>
      </c>
      <c r="C741" t="s">
        <v>53</v>
      </c>
      <c r="D741">
        <v>53242</v>
      </c>
      <c r="E741" t="s">
        <v>117</v>
      </c>
      <c r="F741">
        <v>8680</v>
      </c>
      <c r="G741">
        <v>0.47416557937634202</v>
      </c>
      <c r="H741">
        <v>0</v>
      </c>
      <c r="I741">
        <v>0</v>
      </c>
      <c r="J741">
        <v>0.38809713257557849</v>
      </c>
      <c r="K741">
        <v>0</v>
      </c>
      <c r="L741">
        <v>0</v>
      </c>
      <c r="M741">
        <v>0.27037346931254441</v>
      </c>
      <c r="N741">
        <v>0</v>
      </c>
      <c r="O741">
        <v>0</v>
      </c>
      <c r="P741">
        <v>0.22483299666530199</v>
      </c>
      <c r="Q741">
        <v>1.1085042256307791</v>
      </c>
      <c r="R741">
        <v>4.119712326410701</v>
      </c>
      <c r="S741">
        <v>0.28583042061269681</v>
      </c>
      <c r="T741">
        <v>0.20382291466116059</v>
      </c>
      <c r="U741">
        <v>4.3193715504608292</v>
      </c>
      <c r="V741">
        <v>0.13887641578551341</v>
      </c>
      <c r="W741">
        <v>8.9077539421658987</v>
      </c>
      <c r="X741">
        <v>0.3246652655411611</v>
      </c>
      <c r="Z741" t="s">
        <v>392</v>
      </c>
      <c r="AA741">
        <v>9937</v>
      </c>
      <c r="AB741" t="s">
        <v>1132</v>
      </c>
      <c r="AC741" t="str">
        <f>HYPERLINK("plots/20251231000436_3FT6Y121H01_04823_B11P_N_UFLEX98_M5358A8BH101511/dpll_52094/txpa_53242.png","plot")</f>
        <v>plot</v>
      </c>
    </row>
    <row r="742" spans="1:29" x14ac:dyDescent="0.35">
      <c r="A742" t="s">
        <v>46</v>
      </c>
      <c r="B742">
        <v>52094</v>
      </c>
      <c r="C742" t="s">
        <v>53</v>
      </c>
      <c r="D742">
        <v>53243</v>
      </c>
      <c r="E742" t="s">
        <v>118</v>
      </c>
      <c r="F742">
        <v>8666</v>
      </c>
      <c r="G742">
        <v>0.45070479659195251</v>
      </c>
      <c r="H742">
        <v>0</v>
      </c>
      <c r="I742">
        <v>0</v>
      </c>
      <c r="J742">
        <v>0.41435328298247298</v>
      </c>
      <c r="K742">
        <v>0</v>
      </c>
      <c r="L742">
        <v>0</v>
      </c>
      <c r="M742">
        <v>0.28990533297443638</v>
      </c>
      <c r="N742">
        <v>0</v>
      </c>
      <c r="O742">
        <v>0</v>
      </c>
      <c r="P742">
        <v>0.20313481367099331</v>
      </c>
      <c r="Q742">
        <v>1.11622778212272</v>
      </c>
      <c r="R742">
        <v>4.8340966955139821</v>
      </c>
      <c r="S742">
        <v>0.30556912650726242</v>
      </c>
      <c r="T742">
        <v>0.20903429648563471</v>
      </c>
      <c r="U742">
        <v>4.319788057350566</v>
      </c>
      <c r="V742">
        <v>0.13822336361712231</v>
      </c>
      <c r="W742">
        <v>9.6559641380106154</v>
      </c>
      <c r="X742">
        <v>0.34232774928190712</v>
      </c>
      <c r="Z742" t="s">
        <v>392</v>
      </c>
      <c r="AA742">
        <v>9937</v>
      </c>
      <c r="AB742" t="s">
        <v>1133</v>
      </c>
      <c r="AC742" t="str">
        <f>HYPERLINK("plots/20251231000436_3FT6Y121H01_04823_B11P_N_UFLEX98_M5358A8BH101511/dpll_52094/txpa_53243.png","plot")</f>
        <v>plot</v>
      </c>
    </row>
    <row r="743" spans="1:29" x14ac:dyDescent="0.35">
      <c r="A743" t="s">
        <v>46</v>
      </c>
      <c r="B743">
        <v>52094</v>
      </c>
      <c r="C743" t="s">
        <v>53</v>
      </c>
      <c r="D743">
        <v>53244</v>
      </c>
      <c r="E743" t="s">
        <v>119</v>
      </c>
      <c r="F743">
        <v>8653</v>
      </c>
      <c r="G743">
        <v>0.42324363648925117</v>
      </c>
      <c r="H743">
        <v>0</v>
      </c>
      <c r="I743">
        <v>0</v>
      </c>
      <c r="J743">
        <v>0.38327261935553408</v>
      </c>
      <c r="K743">
        <v>7.842726799257667E-301</v>
      </c>
      <c r="L743">
        <v>1.5810188815998561E-300</v>
      </c>
      <c r="M743">
        <v>0.2664286822485038</v>
      </c>
      <c r="N743">
        <v>2.2932919216230359E-302</v>
      </c>
      <c r="O743">
        <v>4.6883024365438675E-302</v>
      </c>
      <c r="P743">
        <v>0.17913517582864541</v>
      </c>
      <c r="Q743">
        <v>1.111328293295911</v>
      </c>
      <c r="R743">
        <v>5.0642291224506959</v>
      </c>
      <c r="S743">
        <v>0.32412622533070318</v>
      </c>
      <c r="T743">
        <v>0.22867128065155271</v>
      </c>
      <c r="U743">
        <v>4.3209135806078818</v>
      </c>
      <c r="V743">
        <v>0.1362547060820104</v>
      </c>
      <c r="W743">
        <v>9.8661826374667747</v>
      </c>
      <c r="X743">
        <v>0.35776960811436109</v>
      </c>
      <c r="Z743" t="s">
        <v>392</v>
      </c>
      <c r="AA743">
        <v>9937</v>
      </c>
      <c r="AB743" t="s">
        <v>1134</v>
      </c>
      <c r="AC743" t="str">
        <f>HYPERLINK("plots/20251231000436_3FT6Y121H01_04823_B11P_N_UFLEX98_M5358A8BH101511/dpll_52094/txpa_53244.png","plot")</f>
        <v>plot</v>
      </c>
    </row>
    <row r="744" spans="1:29" x14ac:dyDescent="0.35">
      <c r="A744" t="s">
        <v>46</v>
      </c>
      <c r="B744">
        <v>52094</v>
      </c>
      <c r="C744" t="s">
        <v>53</v>
      </c>
      <c r="D744">
        <v>53245</v>
      </c>
      <c r="E744" t="s">
        <v>120</v>
      </c>
      <c r="F744">
        <v>8659</v>
      </c>
      <c r="G744">
        <v>0.46685613566593909</v>
      </c>
      <c r="H744">
        <v>0</v>
      </c>
      <c r="I744">
        <v>0</v>
      </c>
      <c r="J744">
        <v>0.4356272861953101</v>
      </c>
      <c r="K744">
        <v>0</v>
      </c>
      <c r="L744">
        <v>0</v>
      </c>
      <c r="M744">
        <v>0.30812013382345382</v>
      </c>
      <c r="N744">
        <v>0</v>
      </c>
      <c r="O744">
        <v>0</v>
      </c>
      <c r="P744">
        <v>0.21795465140893369</v>
      </c>
      <c r="Q744">
        <v>1.1671477365293279</v>
      </c>
      <c r="R744">
        <v>4.6847469552858758</v>
      </c>
      <c r="S744">
        <v>0.3031021240986449</v>
      </c>
      <c r="T744">
        <v>0.20660185000386649</v>
      </c>
      <c r="U744">
        <v>4.3203901146783688</v>
      </c>
      <c r="V744">
        <v>0.1371056427442362</v>
      </c>
      <c r="W744">
        <v>9.7272804985564161</v>
      </c>
      <c r="X744">
        <v>0.34276627930801962</v>
      </c>
      <c r="Z744" t="s">
        <v>392</v>
      </c>
      <c r="AA744">
        <v>9937</v>
      </c>
      <c r="AB744" t="s">
        <v>1135</v>
      </c>
      <c r="AC744" t="str">
        <f>HYPERLINK("plots/20251231000436_3FT6Y121H01_04823_B11P_N_UFLEX98_M5358A8BH101511/dpll_52094/txpa_53245.png","plot")</f>
        <v>plot</v>
      </c>
    </row>
    <row r="745" spans="1:29" x14ac:dyDescent="0.35">
      <c r="A745" t="s">
        <v>46</v>
      </c>
      <c r="B745">
        <v>52094</v>
      </c>
      <c r="C745" t="s">
        <v>53</v>
      </c>
      <c r="D745">
        <v>53246</v>
      </c>
      <c r="E745" t="s">
        <v>121</v>
      </c>
      <c r="F745">
        <v>8648</v>
      </c>
      <c r="G745">
        <v>0.44108065710986771</v>
      </c>
      <c r="H745">
        <v>0</v>
      </c>
      <c r="I745">
        <v>0</v>
      </c>
      <c r="J745">
        <v>0.40041861547815821</v>
      </c>
      <c r="K745">
        <v>0</v>
      </c>
      <c r="L745">
        <v>0</v>
      </c>
      <c r="M745">
        <v>0.28016601009855879</v>
      </c>
      <c r="N745">
        <v>0</v>
      </c>
      <c r="O745">
        <v>0</v>
      </c>
      <c r="P745">
        <v>0.1945521460764727</v>
      </c>
      <c r="Q745">
        <v>1.1226360245246849</v>
      </c>
      <c r="R745">
        <v>4.9914273114335899</v>
      </c>
      <c r="S745">
        <v>0.31054654974467749</v>
      </c>
      <c r="T745">
        <v>0.21841122594499091</v>
      </c>
      <c r="U745">
        <v>4.3211428525670668</v>
      </c>
      <c r="V745">
        <v>0.13596030924892441</v>
      </c>
      <c r="W745">
        <v>9.842497944842739</v>
      </c>
      <c r="X745">
        <v>0.34604541960301838</v>
      </c>
      <c r="Z745" t="s">
        <v>392</v>
      </c>
      <c r="AA745">
        <v>9937</v>
      </c>
      <c r="AB745" t="s">
        <v>1136</v>
      </c>
      <c r="AC745" t="str">
        <f>HYPERLINK("plots/20251231000436_3FT6Y121H01_04823_B11P_N_UFLEX98_M5358A8BH101511/dpll_52094/txpa_53246.png","plot")</f>
        <v>plot</v>
      </c>
    </row>
    <row r="746" spans="1:29" x14ac:dyDescent="0.35">
      <c r="A746" t="s">
        <v>46</v>
      </c>
      <c r="B746">
        <v>52094</v>
      </c>
      <c r="C746" t="s">
        <v>53</v>
      </c>
      <c r="D746">
        <v>53247</v>
      </c>
      <c r="E746" t="s">
        <v>122</v>
      </c>
      <c r="F746">
        <v>8651</v>
      </c>
      <c r="G746">
        <v>0.47233763859179928</v>
      </c>
      <c r="H746">
        <v>0</v>
      </c>
      <c r="I746">
        <v>0</v>
      </c>
      <c r="J746">
        <v>0.43410330926336221</v>
      </c>
      <c r="K746">
        <v>0</v>
      </c>
      <c r="L746">
        <v>0</v>
      </c>
      <c r="M746">
        <v>0.30710999856058069</v>
      </c>
      <c r="N746">
        <v>0</v>
      </c>
      <c r="O746">
        <v>0</v>
      </c>
      <c r="P746">
        <v>0.22310284483047721</v>
      </c>
      <c r="Q746">
        <v>1.1674228285028869</v>
      </c>
      <c r="R746">
        <v>4.8152892546748021</v>
      </c>
      <c r="S746">
        <v>0.29680089582657909</v>
      </c>
      <c r="T746">
        <v>0.20384170012435349</v>
      </c>
      <c r="U746">
        <v>4.3209222617038492</v>
      </c>
      <c r="V746">
        <v>0.13624887237753741</v>
      </c>
      <c r="W746">
        <v>9.8596325431742002</v>
      </c>
      <c r="X746">
        <v>0.33675072866419492</v>
      </c>
      <c r="Z746" t="s">
        <v>392</v>
      </c>
      <c r="AA746">
        <v>9937</v>
      </c>
      <c r="AB746" t="s">
        <v>1137</v>
      </c>
      <c r="AC746" t="str">
        <f>HYPERLINK("plots/20251231000436_3FT6Y121H01_04823_B11P_N_UFLEX98_M5358A8BH101511/dpll_52094/txpa_53247.png","plot")</f>
        <v>plot</v>
      </c>
    </row>
    <row r="747" spans="1:29" x14ac:dyDescent="0.35">
      <c r="A747" t="s">
        <v>46</v>
      </c>
      <c r="B747">
        <v>52094</v>
      </c>
      <c r="C747" t="s">
        <v>53</v>
      </c>
      <c r="D747">
        <v>53248</v>
      </c>
      <c r="E747" t="s">
        <v>123</v>
      </c>
      <c r="F747">
        <v>8654</v>
      </c>
      <c r="G747">
        <v>0.46530393884943511</v>
      </c>
      <c r="H747">
        <v>0</v>
      </c>
      <c r="I747">
        <v>0</v>
      </c>
      <c r="J747">
        <v>0.42352173234770729</v>
      </c>
      <c r="K747">
        <v>0</v>
      </c>
      <c r="L747">
        <v>0</v>
      </c>
      <c r="M747">
        <v>0.29896718920776671</v>
      </c>
      <c r="N747">
        <v>0</v>
      </c>
      <c r="O747">
        <v>0</v>
      </c>
      <c r="P747">
        <v>0.2165077555087988</v>
      </c>
      <c r="Q747">
        <v>1.164731526351473</v>
      </c>
      <c r="R747">
        <v>4.8158690321792541</v>
      </c>
      <c r="S747">
        <v>0.30227641020479701</v>
      </c>
      <c r="T747">
        <v>0.21052014677225861</v>
      </c>
      <c r="U747">
        <v>4.3208296830367452</v>
      </c>
      <c r="V747">
        <v>0.1364340893862524</v>
      </c>
      <c r="W747">
        <v>9.8484755840073959</v>
      </c>
      <c r="X747">
        <v>0.34151674187448389</v>
      </c>
      <c r="Z747" t="s">
        <v>392</v>
      </c>
      <c r="AA747">
        <v>9937</v>
      </c>
      <c r="AB747" t="s">
        <v>1138</v>
      </c>
      <c r="AC747" t="str">
        <f>HYPERLINK("plots/20251231000436_3FT6Y121H01_04823_B11P_N_UFLEX98_M5358A8BH101511/dpll_52094/txpa_53248.png","plot")</f>
        <v>plot</v>
      </c>
    </row>
    <row r="748" spans="1:29" x14ac:dyDescent="0.35">
      <c r="A748" t="s">
        <v>46</v>
      </c>
      <c r="B748">
        <v>52094</v>
      </c>
      <c r="C748" t="s">
        <v>53</v>
      </c>
      <c r="D748">
        <v>53249</v>
      </c>
      <c r="E748" t="s">
        <v>124</v>
      </c>
      <c r="F748">
        <v>8669</v>
      </c>
      <c r="G748">
        <v>0.49250880553199111</v>
      </c>
      <c r="H748">
        <v>0</v>
      </c>
      <c r="I748">
        <v>0</v>
      </c>
      <c r="J748">
        <v>0.43291041694043841</v>
      </c>
      <c r="K748">
        <v>0</v>
      </c>
      <c r="L748">
        <v>0</v>
      </c>
      <c r="M748">
        <v>0.30612904085787412</v>
      </c>
      <c r="N748">
        <v>0</v>
      </c>
      <c r="O748">
        <v>0</v>
      </c>
      <c r="P748">
        <v>0.2425649235265486</v>
      </c>
      <c r="Q748">
        <v>1.215764809154688</v>
      </c>
      <c r="R748">
        <v>4.6158643207874261</v>
      </c>
      <c r="S748">
        <v>0.29637327761137011</v>
      </c>
      <c r="T748">
        <v>0.20584628823958709</v>
      </c>
      <c r="U748">
        <v>4.3199530945899181</v>
      </c>
      <c r="V748">
        <v>0.13796083614318261</v>
      </c>
      <c r="W748">
        <v>9.8679112703887402</v>
      </c>
      <c r="X748">
        <v>0.34055823518376199</v>
      </c>
      <c r="Z748" t="s">
        <v>392</v>
      </c>
      <c r="AA748">
        <v>9937</v>
      </c>
      <c r="AB748" t="s">
        <v>1139</v>
      </c>
      <c r="AC748" t="str">
        <f>HYPERLINK("plots/20251231000436_3FT6Y121H01_04823_B11P_N_UFLEX98_M5358A8BH101511/dpll_52094/txpa_53249.png","plot")</f>
        <v>plot</v>
      </c>
    </row>
    <row r="749" spans="1:29" x14ac:dyDescent="0.35">
      <c r="A749" t="s">
        <v>46</v>
      </c>
      <c r="B749">
        <v>52094</v>
      </c>
      <c r="C749" t="s">
        <v>53</v>
      </c>
      <c r="D749">
        <v>53250</v>
      </c>
      <c r="E749" t="s">
        <v>125</v>
      </c>
      <c r="F749">
        <v>8671</v>
      </c>
      <c r="G749">
        <v>0.47067999865620253</v>
      </c>
      <c r="H749">
        <v>0</v>
      </c>
      <c r="I749">
        <v>0</v>
      </c>
      <c r="J749">
        <v>0.40034346269839372</v>
      </c>
      <c r="K749">
        <v>0</v>
      </c>
      <c r="L749">
        <v>0</v>
      </c>
      <c r="M749">
        <v>0.28023527040362661</v>
      </c>
      <c r="N749">
        <v>0</v>
      </c>
      <c r="O749">
        <v>0</v>
      </c>
      <c r="P749">
        <v>0.22153966113500281</v>
      </c>
      <c r="Q749">
        <v>1.1593763376784461</v>
      </c>
      <c r="R749">
        <v>4.7338517600599452</v>
      </c>
      <c r="S749">
        <v>0.30019630787436019</v>
      </c>
      <c r="T749">
        <v>0.21123180361278279</v>
      </c>
      <c r="U749">
        <v>4.3198435516088098</v>
      </c>
      <c r="V749">
        <v>0.13813809310434211</v>
      </c>
      <c r="W749">
        <v>9.7421761562680196</v>
      </c>
      <c r="X749">
        <v>0.34026097759504992</v>
      </c>
      <c r="Z749" t="s">
        <v>392</v>
      </c>
      <c r="AA749">
        <v>9937</v>
      </c>
      <c r="AB749" t="s">
        <v>1140</v>
      </c>
      <c r="AC749" t="str">
        <f>HYPERLINK("plots/20251231000436_3FT6Y121H01_04823_B11P_N_UFLEX98_M5358A8BH101511/dpll_52094/txpa_53250.png","plot")</f>
        <v>plot</v>
      </c>
    </row>
    <row r="750" spans="1:29" x14ac:dyDescent="0.35">
      <c r="A750" t="s">
        <v>46</v>
      </c>
      <c r="B750">
        <v>52094</v>
      </c>
      <c r="C750" t="s">
        <v>53</v>
      </c>
      <c r="D750">
        <v>53251</v>
      </c>
      <c r="E750" t="s">
        <v>126</v>
      </c>
      <c r="F750">
        <v>8642</v>
      </c>
      <c r="G750">
        <v>0.43357421310068872</v>
      </c>
      <c r="H750">
        <v>0</v>
      </c>
      <c r="I750">
        <v>0</v>
      </c>
      <c r="J750">
        <v>0.42540924421845938</v>
      </c>
      <c r="K750">
        <v>0</v>
      </c>
      <c r="L750">
        <v>0</v>
      </c>
      <c r="M750">
        <v>0.29986254755609693</v>
      </c>
      <c r="N750">
        <v>0</v>
      </c>
      <c r="O750">
        <v>0</v>
      </c>
      <c r="P750">
        <v>0.1879865982658814</v>
      </c>
      <c r="Q750">
        <v>1.1447415021440359</v>
      </c>
      <c r="R750">
        <v>5.5087970779968423</v>
      </c>
      <c r="S750">
        <v>0.32389428050242602</v>
      </c>
      <c r="T750">
        <v>0.21825488313870081</v>
      </c>
      <c r="U750">
        <v>4.3210563598703997</v>
      </c>
      <c r="V750">
        <v>0.1361453539238443</v>
      </c>
      <c r="W750">
        <v>10.455289626243919</v>
      </c>
      <c r="X750">
        <v>0.35945688708318002</v>
      </c>
      <c r="Z750" t="s">
        <v>392</v>
      </c>
      <c r="AA750">
        <v>9937</v>
      </c>
      <c r="AB750" t="s">
        <v>1141</v>
      </c>
      <c r="AC750" t="str">
        <f>HYPERLINK("plots/20251231000436_3FT6Y121H01_04823_B11P_N_UFLEX98_M5358A8BH101511/dpll_52094/txpa_53251.png","plot")</f>
        <v>plot</v>
      </c>
    </row>
    <row r="751" spans="1:29" x14ac:dyDescent="0.35">
      <c r="A751" t="s">
        <v>46</v>
      </c>
      <c r="B751">
        <v>52094</v>
      </c>
      <c r="C751" t="s">
        <v>53</v>
      </c>
      <c r="D751">
        <v>53252</v>
      </c>
      <c r="E751" t="s">
        <v>127</v>
      </c>
      <c r="F751">
        <v>8641</v>
      </c>
      <c r="G751">
        <v>0.42711694820309509</v>
      </c>
      <c r="H751">
        <v>0</v>
      </c>
      <c r="I751">
        <v>0</v>
      </c>
      <c r="J751">
        <v>0.41636438395332043</v>
      </c>
      <c r="K751">
        <v>0</v>
      </c>
      <c r="L751">
        <v>0</v>
      </c>
      <c r="M751">
        <v>0.29360374317649129</v>
      </c>
      <c r="N751">
        <v>0</v>
      </c>
      <c r="O751">
        <v>0</v>
      </c>
      <c r="P751">
        <v>0.18242888744232541</v>
      </c>
      <c r="Q751">
        <v>1.1783815231502479</v>
      </c>
      <c r="R751">
        <v>5.5295460436488444</v>
      </c>
      <c r="S751">
        <v>0.33736499469670861</v>
      </c>
      <c r="T751">
        <v>0.23107462070016191</v>
      </c>
      <c r="U751">
        <v>4.3215547090614512</v>
      </c>
      <c r="V751">
        <v>0.13524563604463849</v>
      </c>
      <c r="W751">
        <v>10.6219862640898</v>
      </c>
      <c r="X751">
        <v>0.37313190046002082</v>
      </c>
      <c r="Z751" t="s">
        <v>392</v>
      </c>
      <c r="AA751">
        <v>9937</v>
      </c>
      <c r="AB751" t="s">
        <v>1142</v>
      </c>
      <c r="AC751" t="str">
        <f>HYPERLINK("plots/20251231000436_3FT6Y121H01_04823_B11P_N_UFLEX98_M5358A8BH101511/dpll_52094/txpa_53252.png","plot")</f>
        <v>plot</v>
      </c>
    </row>
    <row r="752" spans="1:29" x14ac:dyDescent="0.35">
      <c r="A752" t="s">
        <v>46</v>
      </c>
      <c r="B752">
        <v>52094</v>
      </c>
      <c r="C752" t="s">
        <v>53</v>
      </c>
      <c r="D752">
        <v>53253</v>
      </c>
      <c r="E752" t="s">
        <v>128</v>
      </c>
      <c r="F752">
        <v>8629</v>
      </c>
      <c r="G752">
        <v>0.44318547451012441</v>
      </c>
      <c r="H752">
        <v>0</v>
      </c>
      <c r="I752">
        <v>0</v>
      </c>
      <c r="J752">
        <v>0.44429754952293182</v>
      </c>
      <c r="K752">
        <v>0</v>
      </c>
      <c r="L752">
        <v>0</v>
      </c>
      <c r="M752">
        <v>0.31651243683166019</v>
      </c>
      <c r="N752">
        <v>0</v>
      </c>
      <c r="O752">
        <v>0</v>
      </c>
      <c r="P752">
        <v>0.19641336481676411</v>
      </c>
      <c r="Q752">
        <v>1.188503262971933</v>
      </c>
      <c r="R752">
        <v>5.3547509359497401</v>
      </c>
      <c r="S752">
        <v>0.32335688396147072</v>
      </c>
      <c r="T752">
        <v>0.2163762370829142</v>
      </c>
      <c r="U752">
        <v>4.3219636828137684</v>
      </c>
      <c r="V752">
        <v>0.13451665654757811</v>
      </c>
      <c r="W752">
        <v>10.49141887542009</v>
      </c>
      <c r="X752">
        <v>0.36073719565738882</v>
      </c>
      <c r="Z752" t="s">
        <v>392</v>
      </c>
      <c r="AA752">
        <v>9937</v>
      </c>
      <c r="AB752" t="s">
        <v>1143</v>
      </c>
      <c r="AC752" t="str">
        <f>HYPERLINK("plots/20251231000436_3FT6Y121H01_04823_B11P_N_UFLEX98_M5358A8BH101511/dpll_52094/txpa_53253.png","plot")</f>
        <v>plot</v>
      </c>
    </row>
    <row r="753" spans="1:29" x14ac:dyDescent="0.35">
      <c r="A753" t="s">
        <v>46</v>
      </c>
      <c r="B753">
        <v>52094</v>
      </c>
      <c r="C753" t="s">
        <v>53</v>
      </c>
      <c r="D753">
        <v>53254</v>
      </c>
      <c r="E753" t="s">
        <v>129</v>
      </c>
      <c r="F753">
        <v>8634</v>
      </c>
      <c r="G753">
        <v>0.43926839131540052</v>
      </c>
      <c r="H753">
        <v>0</v>
      </c>
      <c r="I753">
        <v>0</v>
      </c>
      <c r="J753">
        <v>0.4253123898277687</v>
      </c>
      <c r="K753">
        <v>0</v>
      </c>
      <c r="L753">
        <v>0</v>
      </c>
      <c r="M753">
        <v>0.30085866959515639</v>
      </c>
      <c r="N753">
        <v>0</v>
      </c>
      <c r="O753">
        <v>0</v>
      </c>
      <c r="P753">
        <v>0.1929567196088198</v>
      </c>
      <c r="Q753">
        <v>1.192818956482834</v>
      </c>
      <c r="R753">
        <v>5.4433226926620852</v>
      </c>
      <c r="S753">
        <v>0.32861432618357661</v>
      </c>
      <c r="T753">
        <v>0.2255730565601638</v>
      </c>
      <c r="U753">
        <v>4.321904846305304</v>
      </c>
      <c r="V753">
        <v>0.1347158367393031</v>
      </c>
      <c r="W753">
        <v>10.598572721450079</v>
      </c>
      <c r="X753">
        <v>0.36581645066673768</v>
      </c>
      <c r="Z753" t="s">
        <v>392</v>
      </c>
      <c r="AA753">
        <v>9937</v>
      </c>
      <c r="AB753" t="s">
        <v>1144</v>
      </c>
      <c r="AC753" t="str">
        <f>HYPERLINK("plots/20251231000436_3FT6Y121H01_04823_B11P_N_UFLEX98_M5358A8BH101511/dpll_52094/txpa_53254.png","plot")</f>
        <v>plot</v>
      </c>
    </row>
    <row r="754" spans="1:29" x14ac:dyDescent="0.35">
      <c r="A754" t="s">
        <v>46</v>
      </c>
      <c r="B754">
        <v>52094</v>
      </c>
      <c r="C754" t="s">
        <v>53</v>
      </c>
      <c r="D754">
        <v>53255</v>
      </c>
      <c r="E754" t="s">
        <v>130</v>
      </c>
      <c r="F754">
        <v>8626</v>
      </c>
      <c r="G754">
        <v>0.45118864372720591</v>
      </c>
      <c r="H754">
        <v>0</v>
      </c>
      <c r="I754">
        <v>0</v>
      </c>
      <c r="J754">
        <v>0.44182150246011148</v>
      </c>
      <c r="K754">
        <v>0</v>
      </c>
      <c r="L754">
        <v>0</v>
      </c>
      <c r="M754">
        <v>0.31449584250346252</v>
      </c>
      <c r="N754">
        <v>0</v>
      </c>
      <c r="O754">
        <v>0</v>
      </c>
      <c r="P754">
        <v>0.20357119222839551</v>
      </c>
      <c r="Q754">
        <v>1.1989019496055251</v>
      </c>
      <c r="R754">
        <v>5.4314181512355564</v>
      </c>
      <c r="S754">
        <v>0.31810490557068799</v>
      </c>
      <c r="T754">
        <v>0.21468111714395979</v>
      </c>
      <c r="U754">
        <v>4.3222497646649654</v>
      </c>
      <c r="V754">
        <v>0.1341518156411067</v>
      </c>
      <c r="W754">
        <v>10.6133718207744</v>
      </c>
      <c r="X754">
        <v>0.35646924086255682</v>
      </c>
      <c r="Z754" t="s">
        <v>392</v>
      </c>
      <c r="AA754">
        <v>9937</v>
      </c>
      <c r="AB754" t="s">
        <v>1145</v>
      </c>
      <c r="AC754" t="str">
        <f>HYPERLINK("plots/20251231000436_3FT6Y121H01_04823_B11P_N_UFLEX98_M5358A8BH101511/dpll_52094/txpa_53255.png","plot")</f>
        <v>plot</v>
      </c>
    </row>
    <row r="755" spans="1:29" x14ac:dyDescent="0.35">
      <c r="A755" t="s">
        <v>46</v>
      </c>
      <c r="B755">
        <v>52094</v>
      </c>
      <c r="C755" t="s">
        <v>53</v>
      </c>
      <c r="D755">
        <v>53256</v>
      </c>
      <c r="E755" t="s">
        <v>131</v>
      </c>
      <c r="F755">
        <v>8649</v>
      </c>
      <c r="G755">
        <v>0.46776972692318869</v>
      </c>
      <c r="H755">
        <v>0</v>
      </c>
      <c r="I755">
        <v>0</v>
      </c>
      <c r="J755">
        <v>0.44092231806828719</v>
      </c>
      <c r="K755">
        <v>0</v>
      </c>
      <c r="L755">
        <v>0</v>
      </c>
      <c r="M755">
        <v>0.31437016656818001</v>
      </c>
      <c r="N755">
        <v>0</v>
      </c>
      <c r="O755">
        <v>0</v>
      </c>
      <c r="P755">
        <v>0.2188085174257946</v>
      </c>
      <c r="Q755">
        <v>1.2612774264258</v>
      </c>
      <c r="R755">
        <v>5.1401852219331623</v>
      </c>
      <c r="S755">
        <v>0.32408795370157312</v>
      </c>
      <c r="T755">
        <v>0.22141845468116109</v>
      </c>
      <c r="U755">
        <v>4.3211031910047399</v>
      </c>
      <c r="V755">
        <v>0.13599744074202541</v>
      </c>
      <c r="W755">
        <v>10.590295134003931</v>
      </c>
      <c r="X755">
        <v>0.36669859588361847</v>
      </c>
      <c r="Z755" t="s">
        <v>392</v>
      </c>
      <c r="AA755">
        <v>9937</v>
      </c>
      <c r="AB755" t="s">
        <v>1146</v>
      </c>
      <c r="AC755" t="str">
        <f>HYPERLINK("plots/20251231000436_3FT6Y121H01_04823_B11P_N_UFLEX98_M5358A8BH101511/dpll_52094/txpa_53256.png","plot")</f>
        <v>plot</v>
      </c>
    </row>
    <row r="756" spans="1:29" x14ac:dyDescent="0.35">
      <c r="A756" t="s">
        <v>46</v>
      </c>
      <c r="B756">
        <v>52094</v>
      </c>
      <c r="C756" t="s">
        <v>53</v>
      </c>
      <c r="D756">
        <v>53257</v>
      </c>
      <c r="E756" t="s">
        <v>132</v>
      </c>
      <c r="F756">
        <v>8646</v>
      </c>
      <c r="G756">
        <v>0.47230629182628658</v>
      </c>
      <c r="H756">
        <v>0</v>
      </c>
      <c r="I756">
        <v>0</v>
      </c>
      <c r="J756">
        <v>0.44268152048321802</v>
      </c>
      <c r="K756">
        <v>0</v>
      </c>
      <c r="L756">
        <v>0</v>
      </c>
      <c r="M756">
        <v>0.31492932840381782</v>
      </c>
      <c r="N756">
        <v>0</v>
      </c>
      <c r="O756">
        <v>0</v>
      </c>
      <c r="P756">
        <v>0.22307323329869741</v>
      </c>
      <c r="Q756">
        <v>1.2564835459668979</v>
      </c>
      <c r="R756">
        <v>5.1864481729954521</v>
      </c>
      <c r="S756">
        <v>0.31826502472267387</v>
      </c>
      <c r="T756">
        <v>0.21697256136268381</v>
      </c>
      <c r="U756">
        <v>4.3212673724265551</v>
      </c>
      <c r="V756">
        <v>0.13573470868192361</v>
      </c>
      <c r="W756">
        <v>10.616049524173031</v>
      </c>
      <c r="X756">
        <v>0.36109709107617499</v>
      </c>
      <c r="Z756" t="s">
        <v>392</v>
      </c>
      <c r="AA756">
        <v>9937</v>
      </c>
      <c r="AB756" t="s">
        <v>1147</v>
      </c>
      <c r="AC756" t="str">
        <f>HYPERLINK("plots/20251231000436_3FT6Y121H01_04823_B11P_N_UFLEX98_M5358A8BH101511/dpll_52094/txpa_53257.png","plot")</f>
        <v>plot</v>
      </c>
    </row>
    <row r="757" spans="1:29" x14ac:dyDescent="0.35">
      <c r="A757" t="s">
        <v>46</v>
      </c>
      <c r="B757">
        <v>52094</v>
      </c>
      <c r="C757" t="s">
        <v>53</v>
      </c>
      <c r="D757">
        <v>53258</v>
      </c>
      <c r="E757" t="s">
        <v>133</v>
      </c>
      <c r="F757">
        <v>8662</v>
      </c>
      <c r="G757">
        <v>0.46761405423601321</v>
      </c>
      <c r="H757">
        <v>0</v>
      </c>
      <c r="I757">
        <v>0</v>
      </c>
      <c r="J757">
        <v>0.41738731958902608</v>
      </c>
      <c r="K757">
        <v>0</v>
      </c>
      <c r="L757">
        <v>0</v>
      </c>
      <c r="M757">
        <v>0.29432578442850887</v>
      </c>
      <c r="N757">
        <v>0</v>
      </c>
      <c r="O757">
        <v>0</v>
      </c>
      <c r="P757">
        <v>0.2186629037190411</v>
      </c>
      <c r="Q757">
        <v>1.2289521555476799</v>
      </c>
      <c r="R757">
        <v>5.2254760493526007</v>
      </c>
      <c r="S757">
        <v>0.31884834102388249</v>
      </c>
      <c r="T757">
        <v>0.22085581920017289</v>
      </c>
      <c r="U757">
        <v>4.320363595820826</v>
      </c>
      <c r="V757">
        <v>0.13725955602882739</v>
      </c>
      <c r="W757">
        <v>10.53499620318633</v>
      </c>
      <c r="X757">
        <v>0.36073643579156922</v>
      </c>
      <c r="Z757" t="s">
        <v>392</v>
      </c>
      <c r="AA757">
        <v>9937</v>
      </c>
      <c r="AB757" t="s">
        <v>1148</v>
      </c>
      <c r="AC757" t="str">
        <f>HYPERLINK("plots/20251231000436_3FT6Y121H01_04823_B11P_N_UFLEX98_M5358A8BH101511/dpll_52094/txpa_53258.png","plot")</f>
        <v>plot</v>
      </c>
    </row>
    <row r="758" spans="1:29" x14ac:dyDescent="0.35">
      <c r="A758" t="s">
        <v>46</v>
      </c>
      <c r="B758">
        <v>52094</v>
      </c>
      <c r="C758" t="s">
        <v>53</v>
      </c>
      <c r="D758">
        <v>53259</v>
      </c>
      <c r="E758" t="s">
        <v>134</v>
      </c>
      <c r="F758">
        <v>8632</v>
      </c>
      <c r="G758">
        <v>0.42763481128681402</v>
      </c>
      <c r="H758">
        <v>0</v>
      </c>
      <c r="I758">
        <v>0</v>
      </c>
      <c r="J758">
        <v>0.43199384085912967</v>
      </c>
      <c r="K758">
        <v>0</v>
      </c>
      <c r="L758">
        <v>0</v>
      </c>
      <c r="M758">
        <v>0.30587538524629232</v>
      </c>
      <c r="N758">
        <v>0</v>
      </c>
      <c r="O758">
        <v>0</v>
      </c>
      <c r="P758">
        <v>0.18287153182430901</v>
      </c>
      <c r="Q758">
        <v>1.172143493660232</v>
      </c>
      <c r="R758">
        <v>5.7468506513172528</v>
      </c>
      <c r="S758">
        <v>0.33525706221049623</v>
      </c>
      <c r="T758">
        <v>0.22423781701860551</v>
      </c>
      <c r="U758">
        <v>4.3215772276413347</v>
      </c>
      <c r="V758">
        <v>0.1353163242765745</v>
      </c>
      <c r="W758">
        <v>10.81235928104727</v>
      </c>
      <c r="X758">
        <v>0.37090092971973992</v>
      </c>
      <c r="Z758" t="s">
        <v>392</v>
      </c>
      <c r="AA758">
        <v>9937</v>
      </c>
      <c r="AB758" t="s">
        <v>1149</v>
      </c>
      <c r="AC758" t="str">
        <f>HYPERLINK("plots/20251231000436_3FT6Y121H01_04823_B11P_N_UFLEX98_M5358A8BH101511/dpll_52094/txpa_53259.png","plot")</f>
        <v>plot</v>
      </c>
    </row>
    <row r="759" spans="1:29" x14ac:dyDescent="0.35">
      <c r="A759" t="s">
        <v>46</v>
      </c>
      <c r="B759">
        <v>52094</v>
      </c>
      <c r="C759" t="s">
        <v>53</v>
      </c>
      <c r="D759">
        <v>53260</v>
      </c>
      <c r="E759" t="s">
        <v>135</v>
      </c>
      <c r="F759">
        <v>8639</v>
      </c>
      <c r="G759">
        <v>0.43303993030173737</v>
      </c>
      <c r="H759">
        <v>0</v>
      </c>
      <c r="I759">
        <v>0</v>
      </c>
      <c r="J759">
        <v>0.43140667902063712</v>
      </c>
      <c r="K759">
        <v>0</v>
      </c>
      <c r="L759">
        <v>0</v>
      </c>
      <c r="M759">
        <v>0.30662934649780671</v>
      </c>
      <c r="N759">
        <v>0</v>
      </c>
      <c r="O759">
        <v>0</v>
      </c>
      <c r="P759">
        <v>0.18752358123573359</v>
      </c>
      <c r="Q759">
        <v>1.235873367506344</v>
      </c>
      <c r="R759">
        <v>5.6106176268411518</v>
      </c>
      <c r="S759">
        <v>0.34742656761787022</v>
      </c>
      <c r="T759">
        <v>0.23463680723541769</v>
      </c>
      <c r="U759">
        <v>4.3216659363352239</v>
      </c>
      <c r="V759">
        <v>0.1350631116982044</v>
      </c>
      <c r="W759">
        <v>10.951649460817221</v>
      </c>
      <c r="X759">
        <v>0.38546307395726032</v>
      </c>
      <c r="Z759" t="s">
        <v>392</v>
      </c>
      <c r="AA759">
        <v>9937</v>
      </c>
      <c r="AB759" t="s">
        <v>1150</v>
      </c>
      <c r="AC759" t="str">
        <f>HYPERLINK("plots/20251231000436_3FT6Y121H01_04823_B11P_N_UFLEX98_M5358A8BH101511/dpll_52094/txpa_53260.png","plot")</f>
        <v>plot</v>
      </c>
    </row>
    <row r="760" spans="1:29" x14ac:dyDescent="0.35">
      <c r="A760" t="s">
        <v>46</v>
      </c>
      <c r="B760">
        <v>52094</v>
      </c>
      <c r="C760" t="s">
        <v>53</v>
      </c>
      <c r="D760">
        <v>53261</v>
      </c>
      <c r="E760" t="s">
        <v>136</v>
      </c>
      <c r="F760">
        <v>8620</v>
      </c>
      <c r="G760">
        <v>0.43927624337581861</v>
      </c>
      <c r="H760">
        <v>0</v>
      </c>
      <c r="I760">
        <v>0</v>
      </c>
      <c r="J760">
        <v>0.449372093120262</v>
      </c>
      <c r="K760">
        <v>0</v>
      </c>
      <c r="L760">
        <v>0</v>
      </c>
      <c r="M760">
        <v>0.32142460700973607</v>
      </c>
      <c r="N760">
        <v>0</v>
      </c>
      <c r="O760">
        <v>0</v>
      </c>
      <c r="P760">
        <v>0.19296361799437139</v>
      </c>
      <c r="Q760">
        <v>1.22686775111183</v>
      </c>
      <c r="R760">
        <v>5.5249334278193656</v>
      </c>
      <c r="S760">
        <v>0.33602105367080359</v>
      </c>
      <c r="T760">
        <v>0.22322511726579261</v>
      </c>
      <c r="U760">
        <v>4.3223559307424599</v>
      </c>
      <c r="V760">
        <v>0.13393222717407069</v>
      </c>
      <c r="W760">
        <v>10.82789252807425</v>
      </c>
      <c r="X760">
        <v>0.37406332081990379</v>
      </c>
      <c r="Z760" t="s">
        <v>392</v>
      </c>
      <c r="AA760">
        <v>9937</v>
      </c>
      <c r="AB760" t="s">
        <v>1151</v>
      </c>
      <c r="AC760" t="str">
        <f>HYPERLINK("plots/20251231000436_3FT6Y121H01_04823_B11P_N_UFLEX98_M5358A8BH101511/dpll_52094/txpa_53261.png","plot")</f>
        <v>plot</v>
      </c>
    </row>
    <row r="761" spans="1:29" x14ac:dyDescent="0.35">
      <c r="A761" t="s">
        <v>46</v>
      </c>
      <c r="B761">
        <v>52094</v>
      </c>
      <c r="C761" t="s">
        <v>53</v>
      </c>
      <c r="D761">
        <v>53262</v>
      </c>
      <c r="E761" t="s">
        <v>137</v>
      </c>
      <c r="F761">
        <v>8631</v>
      </c>
      <c r="G761">
        <v>0.44254735060281553</v>
      </c>
      <c r="H761">
        <v>0</v>
      </c>
      <c r="I761">
        <v>0</v>
      </c>
      <c r="J761">
        <v>0.43697307477145719</v>
      </c>
      <c r="K761">
        <v>0</v>
      </c>
      <c r="L761">
        <v>0</v>
      </c>
      <c r="M761">
        <v>0.31092630630646051</v>
      </c>
      <c r="N761">
        <v>0</v>
      </c>
      <c r="O761">
        <v>0</v>
      </c>
      <c r="P761">
        <v>0.1958481575255713</v>
      </c>
      <c r="Q761">
        <v>1.25114354125642</v>
      </c>
      <c r="R761">
        <v>5.520482036622794</v>
      </c>
      <c r="S761">
        <v>0.34077689253195431</v>
      </c>
      <c r="T761">
        <v>0.23119979001631011</v>
      </c>
      <c r="U761">
        <v>4.3220762971845668</v>
      </c>
      <c r="V761">
        <v>0.13442463779024491</v>
      </c>
      <c r="W761">
        <v>10.928019880662729</v>
      </c>
      <c r="X761">
        <v>0.38003733866648692</v>
      </c>
      <c r="Z761" t="s">
        <v>392</v>
      </c>
      <c r="AA761">
        <v>9937</v>
      </c>
      <c r="AB761" t="s">
        <v>1152</v>
      </c>
      <c r="AC761" t="str">
        <f>HYPERLINK("plots/20251231000436_3FT6Y121H01_04823_B11P_N_UFLEX98_M5358A8BH101511/dpll_52094/txpa_53262.png","plot")</f>
        <v>plot</v>
      </c>
    </row>
    <row r="762" spans="1:29" x14ac:dyDescent="0.35">
      <c r="A762" t="s">
        <v>46</v>
      </c>
      <c r="B762">
        <v>52094</v>
      </c>
      <c r="C762" t="s">
        <v>53</v>
      </c>
      <c r="D762">
        <v>53263</v>
      </c>
      <c r="E762" t="s">
        <v>138</v>
      </c>
      <c r="F762">
        <v>8620</v>
      </c>
      <c r="G762">
        <v>0.44709630802221589</v>
      </c>
      <c r="H762">
        <v>0</v>
      </c>
      <c r="I762">
        <v>0</v>
      </c>
      <c r="J762">
        <v>0.44655514298167959</v>
      </c>
      <c r="K762">
        <v>0</v>
      </c>
      <c r="L762">
        <v>0</v>
      </c>
      <c r="M762">
        <v>0.3190493538999572</v>
      </c>
      <c r="N762">
        <v>0</v>
      </c>
      <c r="O762">
        <v>0</v>
      </c>
      <c r="P762">
        <v>0.1998951086470962</v>
      </c>
      <c r="Q762">
        <v>1.2416944695640659</v>
      </c>
      <c r="R762">
        <v>5.5751758019311213</v>
      </c>
      <c r="S762">
        <v>0.33190772156594428</v>
      </c>
      <c r="T762">
        <v>0.22219708688022019</v>
      </c>
      <c r="U762">
        <v>4.3225768242459397</v>
      </c>
      <c r="V762">
        <v>0.13361506358890499</v>
      </c>
      <c r="W762">
        <v>10.94249553886311</v>
      </c>
      <c r="X762">
        <v>0.3710813140969853</v>
      </c>
      <c r="Z762" t="s">
        <v>392</v>
      </c>
      <c r="AA762">
        <v>9937</v>
      </c>
      <c r="AB762" t="s">
        <v>1153</v>
      </c>
      <c r="AC762" t="str">
        <f>HYPERLINK("plots/20251231000436_3FT6Y121H01_04823_B11P_N_UFLEX98_M5358A8BH101511/dpll_52094/txpa_53263.png","plot")</f>
        <v>plot</v>
      </c>
    </row>
    <row r="763" spans="1:29" x14ac:dyDescent="0.35">
      <c r="A763" t="s">
        <v>46</v>
      </c>
      <c r="B763">
        <v>52094</v>
      </c>
      <c r="C763" t="s">
        <v>53</v>
      </c>
      <c r="D763">
        <v>53264</v>
      </c>
      <c r="E763" t="s">
        <v>139</v>
      </c>
      <c r="F763">
        <v>8645</v>
      </c>
      <c r="G763">
        <v>0.46747446467140169</v>
      </c>
      <c r="H763">
        <v>0</v>
      </c>
      <c r="I763">
        <v>0</v>
      </c>
      <c r="J763">
        <v>0.44794754182970048</v>
      </c>
      <c r="K763">
        <v>0</v>
      </c>
      <c r="L763">
        <v>0</v>
      </c>
      <c r="M763">
        <v>0.32084452081260317</v>
      </c>
      <c r="N763">
        <v>0</v>
      </c>
      <c r="O763">
        <v>0</v>
      </c>
      <c r="P763">
        <v>0.2185323751198136</v>
      </c>
      <c r="Q763">
        <v>1.312291839584796</v>
      </c>
      <c r="R763">
        <v>5.242936320190327</v>
      </c>
      <c r="S763">
        <v>0.336562843154536</v>
      </c>
      <c r="T763">
        <v>0.2281546185397578</v>
      </c>
      <c r="U763">
        <v>4.3213259116252178</v>
      </c>
      <c r="V763">
        <v>0.13563234077455749</v>
      </c>
      <c r="W763">
        <v>10.91377705020243</v>
      </c>
      <c r="X763">
        <v>0.38074638816335921</v>
      </c>
      <c r="Z763" t="s">
        <v>392</v>
      </c>
      <c r="AA763">
        <v>9937</v>
      </c>
      <c r="AB763" t="s">
        <v>1154</v>
      </c>
      <c r="AC763" t="str">
        <f>HYPERLINK("plots/20251231000436_3FT6Y121H01_04823_B11P_N_UFLEX98_M5358A8BH101511/dpll_52094/txpa_53264.png","plot")</f>
        <v>plot</v>
      </c>
    </row>
    <row r="764" spans="1:29" x14ac:dyDescent="0.35">
      <c r="A764" t="s">
        <v>46</v>
      </c>
      <c r="B764">
        <v>52094</v>
      </c>
      <c r="C764" t="s">
        <v>53</v>
      </c>
      <c r="D764">
        <v>53265</v>
      </c>
      <c r="E764" t="s">
        <v>140</v>
      </c>
      <c r="F764">
        <v>8640</v>
      </c>
      <c r="G764">
        <v>0.46846992475891741</v>
      </c>
      <c r="H764">
        <v>0</v>
      </c>
      <c r="I764">
        <v>0</v>
      </c>
      <c r="J764">
        <v>0.44763038594309351</v>
      </c>
      <c r="K764">
        <v>0</v>
      </c>
      <c r="L764">
        <v>0</v>
      </c>
      <c r="M764">
        <v>0.31951711346385869</v>
      </c>
      <c r="N764">
        <v>0</v>
      </c>
      <c r="O764">
        <v>0</v>
      </c>
      <c r="P764">
        <v>0.2194640704036257</v>
      </c>
      <c r="Q764">
        <v>1.3010470378234349</v>
      </c>
      <c r="R764">
        <v>5.3195259491979119</v>
      </c>
      <c r="S764">
        <v>0.3318332487697141</v>
      </c>
      <c r="T764">
        <v>0.22431652944137631</v>
      </c>
      <c r="U764">
        <v>4.3215819516203702</v>
      </c>
      <c r="V764">
        <v>0.1352500082332847</v>
      </c>
      <c r="W764">
        <v>10.942107346064811</v>
      </c>
      <c r="X764">
        <v>0.37561989207325458</v>
      </c>
      <c r="Z764" t="s">
        <v>392</v>
      </c>
      <c r="AA764">
        <v>9937</v>
      </c>
      <c r="AB764" t="s">
        <v>1155</v>
      </c>
      <c r="AC764" t="str">
        <f>HYPERLINK("plots/20251231000436_3FT6Y121H01_04823_B11P_N_UFLEX98_M5358A8BH101511/dpll_52094/txpa_53265.png","plot")</f>
        <v>plot</v>
      </c>
    </row>
    <row r="765" spans="1:29" x14ac:dyDescent="0.35">
      <c r="A765" t="s">
        <v>46</v>
      </c>
      <c r="B765">
        <v>52094</v>
      </c>
      <c r="C765" t="s">
        <v>53</v>
      </c>
      <c r="D765">
        <v>53266</v>
      </c>
      <c r="E765" t="s">
        <v>141</v>
      </c>
      <c r="F765">
        <v>8652</v>
      </c>
      <c r="G765">
        <v>0.4606446838693809</v>
      </c>
      <c r="H765">
        <v>0</v>
      </c>
      <c r="I765">
        <v>0</v>
      </c>
      <c r="J765">
        <v>0.42565124034893509</v>
      </c>
      <c r="K765">
        <v>0</v>
      </c>
      <c r="L765">
        <v>0</v>
      </c>
      <c r="M765">
        <v>0.30133028739025108</v>
      </c>
      <c r="N765">
        <v>0</v>
      </c>
      <c r="O765">
        <v>0</v>
      </c>
      <c r="P765">
        <v>0.21219352477712189</v>
      </c>
      <c r="Q765">
        <v>1.250661256911765</v>
      </c>
      <c r="R765">
        <v>5.4842264768454791</v>
      </c>
      <c r="S765">
        <v>0.32836179608237198</v>
      </c>
      <c r="T765">
        <v>0.22570631075719511</v>
      </c>
      <c r="U765">
        <v>4.320940414470642</v>
      </c>
      <c r="V765">
        <v>0.13626813619314851</v>
      </c>
      <c r="W765">
        <v>10.888259246648181</v>
      </c>
      <c r="X765">
        <v>0.3699712261016172</v>
      </c>
      <c r="Z765" t="s">
        <v>392</v>
      </c>
      <c r="AA765">
        <v>9937</v>
      </c>
      <c r="AB765" t="s">
        <v>1156</v>
      </c>
      <c r="AC765" t="str">
        <f>HYPERLINK("plots/20251231000436_3FT6Y121H01_04823_B11P_N_UFLEX98_M5358A8BH101511/dpll_52094/txpa_53266.png","plot")</f>
        <v>plot</v>
      </c>
    </row>
    <row r="766" spans="1:29" x14ac:dyDescent="0.35">
      <c r="A766" t="s">
        <v>46</v>
      </c>
      <c r="B766">
        <v>52094</v>
      </c>
      <c r="C766" t="s">
        <v>53</v>
      </c>
      <c r="D766">
        <v>53267</v>
      </c>
      <c r="E766" t="s">
        <v>142</v>
      </c>
      <c r="F766">
        <v>8630</v>
      </c>
      <c r="G766">
        <v>0.43024978073422809</v>
      </c>
      <c r="H766">
        <v>0</v>
      </c>
      <c r="I766">
        <v>0</v>
      </c>
      <c r="J766">
        <v>0.44001207644725809</v>
      </c>
      <c r="K766">
        <v>0</v>
      </c>
      <c r="L766">
        <v>0</v>
      </c>
      <c r="M766">
        <v>0.31316956082867131</v>
      </c>
      <c r="N766">
        <v>0</v>
      </c>
      <c r="O766">
        <v>0</v>
      </c>
      <c r="P766">
        <v>0.18511487382185141</v>
      </c>
      <c r="Q766">
        <v>1.2286637938379981</v>
      </c>
      <c r="R766">
        <v>5.8208348031774966</v>
      </c>
      <c r="S766">
        <v>0.34833594313624949</v>
      </c>
      <c r="T766">
        <v>0.23122821439471311</v>
      </c>
      <c r="U766">
        <v>4.32168805631518</v>
      </c>
      <c r="V766">
        <v>0.13513344685159431</v>
      </c>
      <c r="W766">
        <v>11.130736446234071</v>
      </c>
      <c r="X766">
        <v>0.3859004255615105</v>
      </c>
      <c r="Z766" t="s">
        <v>392</v>
      </c>
      <c r="AA766">
        <v>9937</v>
      </c>
      <c r="AB766" t="s">
        <v>1157</v>
      </c>
      <c r="AC766" t="str">
        <f>HYPERLINK("plots/20251231000436_3FT6Y121H01_04823_B11P_N_UFLEX98_M5358A8BH101511/dpll_52094/txpa_53267.png","plot")</f>
        <v>plot</v>
      </c>
    </row>
    <row r="767" spans="1:29" x14ac:dyDescent="0.35">
      <c r="A767" t="s">
        <v>46</v>
      </c>
      <c r="B767">
        <v>52094</v>
      </c>
      <c r="C767" t="s">
        <v>53</v>
      </c>
      <c r="D767">
        <v>53268</v>
      </c>
      <c r="E767" t="s">
        <v>143</v>
      </c>
      <c r="F767">
        <v>8632</v>
      </c>
      <c r="G767">
        <v>0.43542561965269477</v>
      </c>
      <c r="H767">
        <v>0</v>
      </c>
      <c r="I767">
        <v>0</v>
      </c>
      <c r="J767">
        <v>0.44320701265031692</v>
      </c>
      <c r="K767">
        <v>0</v>
      </c>
      <c r="L767">
        <v>0</v>
      </c>
      <c r="M767">
        <v>0.31709319577623851</v>
      </c>
      <c r="N767">
        <v>0</v>
      </c>
      <c r="O767">
        <v>0</v>
      </c>
      <c r="P767">
        <v>0.1895954702499332</v>
      </c>
      <c r="Q767">
        <v>1.2797032548807601</v>
      </c>
      <c r="R767">
        <v>5.7131165241159323</v>
      </c>
      <c r="S767">
        <v>0.35584531986045759</v>
      </c>
      <c r="T767">
        <v>0.23790963455228159</v>
      </c>
      <c r="U767">
        <v>4.3219888525254868</v>
      </c>
      <c r="V767">
        <v>0.13450554542130069</v>
      </c>
      <c r="W767">
        <v>11.24397972625116</v>
      </c>
      <c r="X767">
        <v>0.39530789302761499</v>
      </c>
      <c r="Z767" t="s">
        <v>392</v>
      </c>
      <c r="AA767">
        <v>9937</v>
      </c>
      <c r="AB767" t="s">
        <v>1158</v>
      </c>
      <c r="AC767" t="str">
        <f>HYPERLINK("plots/20251231000436_3FT6Y121H01_04823_B11P_N_UFLEX98_M5358A8BH101511/dpll_52094/txpa_53268.png","plot")</f>
        <v>plot</v>
      </c>
    </row>
    <row r="768" spans="1:29" x14ac:dyDescent="0.35">
      <c r="A768" t="s">
        <v>46</v>
      </c>
      <c r="B768">
        <v>52094</v>
      </c>
      <c r="C768" t="s">
        <v>53</v>
      </c>
      <c r="D768">
        <v>53269</v>
      </c>
      <c r="E768" t="s">
        <v>144</v>
      </c>
      <c r="F768">
        <v>8614</v>
      </c>
      <c r="G768">
        <v>0.4381893047456894</v>
      </c>
      <c r="H768">
        <v>0</v>
      </c>
      <c r="I768">
        <v>0</v>
      </c>
      <c r="J768">
        <v>0.45386220735197569</v>
      </c>
      <c r="K768">
        <v>0</v>
      </c>
      <c r="L768">
        <v>0</v>
      </c>
      <c r="M768">
        <v>0.32573768433858108</v>
      </c>
      <c r="N768">
        <v>0</v>
      </c>
      <c r="O768">
        <v>0</v>
      </c>
      <c r="P768">
        <v>0.19200986679351059</v>
      </c>
      <c r="Q768">
        <v>1.2744649825748211</v>
      </c>
      <c r="R768">
        <v>5.6177050002308206</v>
      </c>
      <c r="S768">
        <v>0.34899011242739658</v>
      </c>
      <c r="T768">
        <v>0.2305524045908656</v>
      </c>
      <c r="U768">
        <v>4.3226187289296503</v>
      </c>
      <c r="V768">
        <v>0.13349628191379739</v>
      </c>
      <c r="W768">
        <v>11.12673120327374</v>
      </c>
      <c r="X768">
        <v>0.38827131278754701</v>
      </c>
      <c r="Z768" t="s">
        <v>392</v>
      </c>
      <c r="AA768">
        <v>9937</v>
      </c>
      <c r="AB768" t="s">
        <v>1159</v>
      </c>
      <c r="AC768" t="str">
        <f>HYPERLINK("plots/20251231000436_3FT6Y121H01_04823_B11P_N_UFLEX98_M5358A8BH101511/dpll_52094/txpa_53269.png","plot")</f>
        <v>plot</v>
      </c>
    </row>
    <row r="769" spans="1:29" x14ac:dyDescent="0.35">
      <c r="A769" t="s">
        <v>46</v>
      </c>
      <c r="B769">
        <v>52094</v>
      </c>
      <c r="C769" t="s">
        <v>53</v>
      </c>
      <c r="D769">
        <v>53270</v>
      </c>
      <c r="E769" t="s">
        <v>145</v>
      </c>
      <c r="F769">
        <v>8623</v>
      </c>
      <c r="G769">
        <v>0.44156515107308969</v>
      </c>
      <c r="H769">
        <v>0</v>
      </c>
      <c r="I769">
        <v>0</v>
      </c>
      <c r="J769">
        <v>0.44545911411000372</v>
      </c>
      <c r="K769">
        <v>0</v>
      </c>
      <c r="L769">
        <v>0</v>
      </c>
      <c r="M769">
        <v>0.3185568045733973</v>
      </c>
      <c r="N769">
        <v>0</v>
      </c>
      <c r="O769">
        <v>0</v>
      </c>
      <c r="P769">
        <v>0.19497978264220051</v>
      </c>
      <c r="Q769">
        <v>1.290324753656827</v>
      </c>
      <c r="R769">
        <v>5.6422526586125246</v>
      </c>
      <c r="S769">
        <v>0.35085921796505237</v>
      </c>
      <c r="T769">
        <v>0.23602112528819641</v>
      </c>
      <c r="U769">
        <v>4.3224781189841126</v>
      </c>
      <c r="V769">
        <v>0.1338290648248382</v>
      </c>
      <c r="W769">
        <v>11.21965317267772</v>
      </c>
      <c r="X769">
        <v>0.39107016186077947</v>
      </c>
      <c r="Z769" t="s">
        <v>392</v>
      </c>
      <c r="AA769">
        <v>9937</v>
      </c>
      <c r="AB769" t="s">
        <v>1160</v>
      </c>
      <c r="AC769" t="str">
        <f>HYPERLINK("plots/20251231000436_3FT6Y121H01_04823_B11P_N_UFLEX98_M5358A8BH101511/dpll_52094/txpa_53270.png","plot")</f>
        <v>plot</v>
      </c>
    </row>
    <row r="770" spans="1:29" x14ac:dyDescent="0.35">
      <c r="A770" t="s">
        <v>46</v>
      </c>
      <c r="B770">
        <v>52094</v>
      </c>
      <c r="C770" t="s">
        <v>53</v>
      </c>
      <c r="D770">
        <v>53271</v>
      </c>
      <c r="E770" t="s">
        <v>146</v>
      </c>
      <c r="F770">
        <v>8618</v>
      </c>
      <c r="G770">
        <v>0.4484226238930944</v>
      </c>
      <c r="H770">
        <v>0</v>
      </c>
      <c r="I770">
        <v>0</v>
      </c>
      <c r="J770">
        <v>0.45158907035581408</v>
      </c>
      <c r="K770">
        <v>0</v>
      </c>
      <c r="L770">
        <v>0</v>
      </c>
      <c r="M770">
        <v>0.32384109382180482</v>
      </c>
      <c r="N770">
        <v>0</v>
      </c>
      <c r="O770">
        <v>0</v>
      </c>
      <c r="P770">
        <v>0.20108284961916759</v>
      </c>
      <c r="Q770">
        <v>1.299245251548365</v>
      </c>
      <c r="R770">
        <v>5.6169786864070819</v>
      </c>
      <c r="S770">
        <v>0.34563813190240122</v>
      </c>
      <c r="T770">
        <v>0.22988432159774719</v>
      </c>
      <c r="U770">
        <v>4.3226754938500811</v>
      </c>
      <c r="V770">
        <v>0.13347267140555091</v>
      </c>
      <c r="W770">
        <v>11.233194295776279</v>
      </c>
      <c r="X770">
        <v>0.38671941444345992</v>
      </c>
      <c r="Z770" t="s">
        <v>392</v>
      </c>
      <c r="AA770">
        <v>9937</v>
      </c>
      <c r="AB770" t="s">
        <v>1161</v>
      </c>
      <c r="AC770" t="str">
        <f>HYPERLINK("plots/20251231000436_3FT6Y121H01_04823_B11P_N_UFLEX98_M5358A8BH101511/dpll_52094/txpa_53271.png","plot")</f>
        <v>plot</v>
      </c>
    </row>
    <row r="771" spans="1:29" x14ac:dyDescent="0.35">
      <c r="A771" t="s">
        <v>46</v>
      </c>
      <c r="B771">
        <v>52094</v>
      </c>
      <c r="C771" t="s">
        <v>53</v>
      </c>
      <c r="D771">
        <v>53272</v>
      </c>
      <c r="E771" t="s">
        <v>147</v>
      </c>
      <c r="F771">
        <v>8646</v>
      </c>
      <c r="G771">
        <v>0.47217635889346082</v>
      </c>
      <c r="H771">
        <v>0</v>
      </c>
      <c r="I771">
        <v>0</v>
      </c>
      <c r="J771">
        <v>0.45461279769081808</v>
      </c>
      <c r="K771">
        <v>0</v>
      </c>
      <c r="L771">
        <v>0</v>
      </c>
      <c r="M771">
        <v>0.32702879324305989</v>
      </c>
      <c r="N771">
        <v>0</v>
      </c>
      <c r="O771">
        <v>0</v>
      </c>
      <c r="P771">
        <v>0.22295051389788631</v>
      </c>
      <c r="Q771">
        <v>1.382254171794643</v>
      </c>
      <c r="R771">
        <v>5.2258016621086654</v>
      </c>
      <c r="S771">
        <v>0.3500611945021585</v>
      </c>
      <c r="T771">
        <v>0.23584615944721299</v>
      </c>
      <c r="U771">
        <v>4.3212878496414522</v>
      </c>
      <c r="V771">
        <v>0.1356628941803048</v>
      </c>
      <c r="W771">
        <v>11.198919819801061</v>
      </c>
      <c r="X771">
        <v>0.39714102137157758</v>
      </c>
      <c r="Z771" t="s">
        <v>392</v>
      </c>
      <c r="AA771">
        <v>9937</v>
      </c>
      <c r="AB771" t="s">
        <v>1162</v>
      </c>
      <c r="AC771" t="str">
        <f>HYPERLINK("plots/20251231000436_3FT6Y121H01_04823_B11P_N_UFLEX98_M5358A8BH101511/dpll_52094/txpa_53272.png","plot")</f>
        <v>plot</v>
      </c>
    </row>
    <row r="772" spans="1:29" x14ac:dyDescent="0.35">
      <c r="A772" t="s">
        <v>46</v>
      </c>
      <c r="B772">
        <v>52094</v>
      </c>
      <c r="C772" t="s">
        <v>53</v>
      </c>
      <c r="D772">
        <v>53273</v>
      </c>
      <c r="E772" t="s">
        <v>148</v>
      </c>
      <c r="F772">
        <v>8639</v>
      </c>
      <c r="G772">
        <v>0.47024515033647618</v>
      </c>
      <c r="H772">
        <v>0</v>
      </c>
      <c r="I772">
        <v>0</v>
      </c>
      <c r="J772">
        <v>0.45260624124152188</v>
      </c>
      <c r="K772">
        <v>0</v>
      </c>
      <c r="L772">
        <v>0</v>
      </c>
      <c r="M772">
        <v>0.32411975361738798</v>
      </c>
      <c r="N772">
        <v>0</v>
      </c>
      <c r="O772">
        <v>0</v>
      </c>
      <c r="P772">
        <v>0.22113050141497509</v>
      </c>
      <c r="Q772">
        <v>1.362922091597921</v>
      </c>
      <c r="R772">
        <v>5.3401283400078103</v>
      </c>
      <c r="S772">
        <v>0.3458338334464493</v>
      </c>
      <c r="T772">
        <v>0.23217814728831601</v>
      </c>
      <c r="U772">
        <v>4.321620044218081</v>
      </c>
      <c r="V772">
        <v>0.13521147851967019</v>
      </c>
      <c r="W772">
        <v>11.23015976976502</v>
      </c>
      <c r="X772">
        <v>0.39188646811182598</v>
      </c>
      <c r="Z772" t="s">
        <v>392</v>
      </c>
      <c r="AA772">
        <v>9937</v>
      </c>
      <c r="AB772" t="s">
        <v>1163</v>
      </c>
      <c r="AC772" t="str">
        <f>HYPERLINK("plots/20251231000436_3FT6Y121H01_04823_B11P_N_UFLEX98_M5358A8BH101511/dpll_52094/txpa_53273.png","plot")</f>
        <v>plot</v>
      </c>
    </row>
    <row r="773" spans="1:29" x14ac:dyDescent="0.35">
      <c r="A773" t="s">
        <v>46</v>
      </c>
      <c r="B773">
        <v>52094</v>
      </c>
      <c r="C773" t="s">
        <v>53</v>
      </c>
      <c r="D773">
        <v>53274</v>
      </c>
      <c r="E773" t="s">
        <v>149</v>
      </c>
      <c r="F773">
        <v>8648</v>
      </c>
      <c r="G773">
        <v>0.46165604130993371</v>
      </c>
      <c r="H773">
        <v>0</v>
      </c>
      <c r="I773">
        <v>0</v>
      </c>
      <c r="J773">
        <v>0.43485683493876182</v>
      </c>
      <c r="K773">
        <v>0</v>
      </c>
      <c r="L773">
        <v>0</v>
      </c>
      <c r="M773">
        <v>0.30926580649162011</v>
      </c>
      <c r="N773">
        <v>0</v>
      </c>
      <c r="O773">
        <v>0</v>
      </c>
      <c r="P773">
        <v>0.21312630047795919</v>
      </c>
      <c r="Q773">
        <v>1.2982315559840529</v>
      </c>
      <c r="R773">
        <v>5.5930064425908403</v>
      </c>
      <c r="S773">
        <v>0.33905538983603362</v>
      </c>
      <c r="T773">
        <v>0.23124745622078571</v>
      </c>
      <c r="U773">
        <v>4.3211551632747458</v>
      </c>
      <c r="V773">
        <v>0.13592821400596811</v>
      </c>
      <c r="W773">
        <v>11.20286643385754</v>
      </c>
      <c r="X773">
        <v>0.38224626340940759</v>
      </c>
      <c r="Z773" t="s">
        <v>392</v>
      </c>
      <c r="AA773">
        <v>9937</v>
      </c>
      <c r="AB773" t="s">
        <v>1164</v>
      </c>
      <c r="AC773" t="str">
        <f>HYPERLINK("plots/20251231000436_3FT6Y121H01_04823_B11P_N_UFLEX98_M5358A8BH101511/dpll_52094/txpa_53274.png","plot")</f>
        <v>plot</v>
      </c>
    </row>
    <row r="774" spans="1:29" x14ac:dyDescent="0.35">
      <c r="A774" t="s">
        <v>46</v>
      </c>
      <c r="B774">
        <v>52094</v>
      </c>
      <c r="C774" t="s">
        <v>53</v>
      </c>
      <c r="D774">
        <v>53275</v>
      </c>
      <c r="E774" t="s">
        <v>150</v>
      </c>
      <c r="F774">
        <v>8620</v>
      </c>
      <c r="G774">
        <v>0.43943842434865271</v>
      </c>
      <c r="H774">
        <v>0</v>
      </c>
      <c r="I774">
        <v>0</v>
      </c>
      <c r="J774">
        <v>0.4603841995114728</v>
      </c>
      <c r="K774">
        <v>0</v>
      </c>
      <c r="L774">
        <v>0</v>
      </c>
      <c r="M774">
        <v>0.33201974279862811</v>
      </c>
      <c r="N774">
        <v>0</v>
      </c>
      <c r="O774">
        <v>0</v>
      </c>
      <c r="P774">
        <v>0.1931061287940265</v>
      </c>
      <c r="Q774">
        <v>1.395136686711437</v>
      </c>
      <c r="R774">
        <v>5.9372522257591136</v>
      </c>
      <c r="S774">
        <v>0.38282014302048473</v>
      </c>
      <c r="T774">
        <v>0.25033846487129502</v>
      </c>
      <c r="U774">
        <v>4.3222355568445474</v>
      </c>
      <c r="V774">
        <v>0.13424342842571341</v>
      </c>
      <c r="W774">
        <v>11.967361619721579</v>
      </c>
      <c r="X774">
        <v>0.42619835128035699</v>
      </c>
      <c r="Z774" t="s">
        <v>392</v>
      </c>
      <c r="AA774">
        <v>9937</v>
      </c>
      <c r="AB774" t="s">
        <v>1165</v>
      </c>
      <c r="AC774" t="str">
        <f>HYPERLINK("plots/20251231000436_3FT6Y121H01_04823_B11P_N_UFLEX98_M5358A8BH101511/dpll_52094/txpa_53275.png","plot")</f>
        <v>plot</v>
      </c>
    </row>
    <row r="775" spans="1:29" x14ac:dyDescent="0.35">
      <c r="A775" t="s">
        <v>46</v>
      </c>
      <c r="B775">
        <v>52094</v>
      </c>
      <c r="C775" t="s">
        <v>53</v>
      </c>
      <c r="D775">
        <v>53276</v>
      </c>
      <c r="E775" t="s">
        <v>151</v>
      </c>
      <c r="F775">
        <v>8642</v>
      </c>
      <c r="G775">
        <v>0.46700551054299411</v>
      </c>
      <c r="H775">
        <v>0</v>
      </c>
      <c r="I775">
        <v>0</v>
      </c>
      <c r="J775">
        <v>0.46523507884029441</v>
      </c>
      <c r="K775">
        <v>0</v>
      </c>
      <c r="L775">
        <v>0</v>
      </c>
      <c r="M775">
        <v>0.33674640359459601</v>
      </c>
      <c r="N775">
        <v>0</v>
      </c>
      <c r="O775">
        <v>0</v>
      </c>
      <c r="P775">
        <v>0.21809414687752249</v>
      </c>
      <c r="Q775">
        <v>1.524320592553186</v>
      </c>
      <c r="R775">
        <v>5.3917074615209781</v>
      </c>
      <c r="S775">
        <v>0.39092848287437831</v>
      </c>
      <c r="T775">
        <v>0.25874974631948772</v>
      </c>
      <c r="U775">
        <v>4.3214288597546862</v>
      </c>
      <c r="V775">
        <v>0.1354537082168675</v>
      </c>
      <c r="W775">
        <v>11.97895046169868</v>
      </c>
      <c r="X775">
        <v>0.44212514009222381</v>
      </c>
      <c r="Z775" t="s">
        <v>392</v>
      </c>
      <c r="AA775">
        <v>9937</v>
      </c>
      <c r="AB775" t="s">
        <v>1166</v>
      </c>
      <c r="AC775" t="str">
        <f>HYPERLINK("plots/20251231000436_3FT6Y121H01_04823_B11P_N_UFLEX98_M5358A8BH101511/dpll_52094/txpa_53276.png","plot")</f>
        <v>plot</v>
      </c>
    </row>
    <row r="776" spans="1:29" x14ac:dyDescent="0.35">
      <c r="A776" t="s">
        <v>46</v>
      </c>
      <c r="B776">
        <v>52094</v>
      </c>
      <c r="C776" t="s">
        <v>53</v>
      </c>
      <c r="D776">
        <v>53277</v>
      </c>
      <c r="E776" t="s">
        <v>152</v>
      </c>
      <c r="F776">
        <v>8621</v>
      </c>
      <c r="G776">
        <v>0.45162968308796142</v>
      </c>
      <c r="H776">
        <v>0</v>
      </c>
      <c r="I776">
        <v>0</v>
      </c>
      <c r="J776">
        <v>0.46422023312218291</v>
      </c>
      <c r="K776">
        <v>0</v>
      </c>
      <c r="L776">
        <v>0</v>
      </c>
      <c r="M776">
        <v>0.33592059347017927</v>
      </c>
      <c r="N776">
        <v>0</v>
      </c>
      <c r="O776">
        <v>0</v>
      </c>
      <c r="P776">
        <v>0.20396937064613249</v>
      </c>
      <c r="Q776">
        <v>1.484901244799322</v>
      </c>
      <c r="R776">
        <v>5.4703472844223331</v>
      </c>
      <c r="S776">
        <v>0.39232476765958779</v>
      </c>
      <c r="T776">
        <v>0.25685228471153571</v>
      </c>
      <c r="U776">
        <v>4.3224688690407147</v>
      </c>
      <c r="V776">
        <v>0.13374911995863531</v>
      </c>
      <c r="W776">
        <v>11.88878668866721</v>
      </c>
      <c r="X776">
        <v>0.43975018063352223</v>
      </c>
      <c r="Z776" t="s">
        <v>392</v>
      </c>
      <c r="AA776">
        <v>9937</v>
      </c>
      <c r="AB776" t="s">
        <v>1167</v>
      </c>
      <c r="AC776" t="str">
        <f>HYPERLINK("plots/20251231000436_3FT6Y121H01_04823_B11P_N_UFLEX98_M5358A8BH101511/dpll_52094/txpa_53277.png","plot")</f>
        <v>plot</v>
      </c>
    </row>
    <row r="777" spans="1:29" x14ac:dyDescent="0.35">
      <c r="A777" t="s">
        <v>46</v>
      </c>
      <c r="B777">
        <v>52094</v>
      </c>
      <c r="C777" t="s">
        <v>53</v>
      </c>
      <c r="D777">
        <v>53278</v>
      </c>
      <c r="E777" t="s">
        <v>153</v>
      </c>
      <c r="F777">
        <v>8627</v>
      </c>
      <c r="G777">
        <v>0.46482492955198979</v>
      </c>
      <c r="H777">
        <v>0</v>
      </c>
      <c r="I777">
        <v>0</v>
      </c>
      <c r="J777">
        <v>0.46453960940478961</v>
      </c>
      <c r="K777">
        <v>0</v>
      </c>
      <c r="L777">
        <v>0</v>
      </c>
      <c r="M777">
        <v>0.33574154767189057</v>
      </c>
      <c r="N777">
        <v>0</v>
      </c>
      <c r="O777">
        <v>0</v>
      </c>
      <c r="P777">
        <v>0.2160622151330123</v>
      </c>
      <c r="Q777">
        <v>1.5148957834505681</v>
      </c>
      <c r="R777">
        <v>5.4023837249561062</v>
      </c>
      <c r="S777">
        <v>0.38685352690772801</v>
      </c>
      <c r="T777">
        <v>0.25722936234327221</v>
      </c>
      <c r="U777">
        <v>4.3222953989799473</v>
      </c>
      <c r="V777">
        <v>0.13407184609041231</v>
      </c>
      <c r="W777">
        <v>11.95021079969862</v>
      </c>
      <c r="X777">
        <v>0.43694918540095679</v>
      </c>
      <c r="Z777" t="s">
        <v>392</v>
      </c>
      <c r="AA777">
        <v>9937</v>
      </c>
      <c r="AB777" t="s">
        <v>1168</v>
      </c>
      <c r="AC777" t="str">
        <f>HYPERLINK("plots/20251231000436_3FT6Y121H01_04823_B11P_N_UFLEX98_M5358A8BH101511/dpll_52094/txpa_53278.png","plot")</f>
        <v>plot</v>
      </c>
    </row>
    <row r="778" spans="1:29" x14ac:dyDescent="0.35">
      <c r="A778" t="s">
        <v>46</v>
      </c>
      <c r="B778">
        <v>52094</v>
      </c>
      <c r="C778" t="s">
        <v>53</v>
      </c>
      <c r="D778">
        <v>53279</v>
      </c>
      <c r="E778" t="s">
        <v>154</v>
      </c>
      <c r="F778">
        <v>8624</v>
      </c>
      <c r="G778">
        <v>0.46466328063037132</v>
      </c>
      <c r="H778">
        <v>0</v>
      </c>
      <c r="I778">
        <v>0</v>
      </c>
      <c r="J778">
        <v>0.46532787998069469</v>
      </c>
      <c r="K778">
        <v>0</v>
      </c>
      <c r="L778">
        <v>0</v>
      </c>
      <c r="M778">
        <v>0.33687031480704771</v>
      </c>
      <c r="N778">
        <v>0</v>
      </c>
      <c r="O778">
        <v>0</v>
      </c>
      <c r="P778">
        <v>0.21591196436617921</v>
      </c>
      <c r="Q778">
        <v>1.505122802286549</v>
      </c>
      <c r="R778">
        <v>5.4682243162233144</v>
      </c>
      <c r="S778">
        <v>0.38384079438315688</v>
      </c>
      <c r="T778">
        <v>0.25258406945740558</v>
      </c>
      <c r="U778">
        <v>4.3224512457096473</v>
      </c>
      <c r="V778">
        <v>0.13383210714139249</v>
      </c>
      <c r="W778">
        <v>11.974044247912801</v>
      </c>
      <c r="X778">
        <v>0.43350478622562427</v>
      </c>
      <c r="Z778" t="s">
        <v>392</v>
      </c>
      <c r="AA778">
        <v>9937</v>
      </c>
      <c r="AB778" t="s">
        <v>1169</v>
      </c>
      <c r="AC778" t="str">
        <f>HYPERLINK("plots/20251231000436_3FT6Y121H01_04823_B11P_N_UFLEX98_M5358A8BH101511/dpll_52094/txpa_53279.png","plot")</f>
        <v>plot</v>
      </c>
    </row>
    <row r="779" spans="1:29" x14ac:dyDescent="0.35">
      <c r="A779" t="s">
        <v>46</v>
      </c>
      <c r="B779">
        <v>52094</v>
      </c>
      <c r="C779" t="s">
        <v>53</v>
      </c>
      <c r="D779">
        <v>53280</v>
      </c>
      <c r="E779" t="s">
        <v>155</v>
      </c>
      <c r="F779">
        <v>8665</v>
      </c>
      <c r="G779">
        <v>0.50372685216241397</v>
      </c>
      <c r="H779">
        <v>0</v>
      </c>
      <c r="I779">
        <v>0</v>
      </c>
      <c r="J779">
        <v>0.47023451548085932</v>
      </c>
      <c r="K779">
        <v>0</v>
      </c>
      <c r="L779">
        <v>0</v>
      </c>
      <c r="M779">
        <v>0.34083125811126719</v>
      </c>
      <c r="N779">
        <v>0</v>
      </c>
      <c r="O779">
        <v>0</v>
      </c>
      <c r="P779">
        <v>0.25374074158945448</v>
      </c>
      <c r="Q779">
        <v>1.6564503257706611</v>
      </c>
      <c r="R779">
        <v>4.7680762370324707</v>
      </c>
      <c r="S779">
        <v>0.39035421481834592</v>
      </c>
      <c r="T779">
        <v>0.26192315707073638</v>
      </c>
      <c r="U779">
        <v>4.3202262504327749</v>
      </c>
      <c r="V779">
        <v>0.13742183847140729</v>
      </c>
      <c r="W779">
        <v>11.9243164169648</v>
      </c>
      <c r="X779">
        <v>0.45189659460633919</v>
      </c>
      <c r="Z779" t="s">
        <v>392</v>
      </c>
      <c r="AA779">
        <v>9937</v>
      </c>
      <c r="AB779" t="s">
        <v>1170</v>
      </c>
      <c r="AC779" t="str">
        <f>HYPERLINK("plots/20251231000436_3FT6Y121H01_04823_B11P_N_UFLEX98_M5358A8BH101511/dpll_52094/txpa_53280.png","plot")</f>
        <v>plot</v>
      </c>
    </row>
    <row r="780" spans="1:29" x14ac:dyDescent="0.35">
      <c r="A780" t="s">
        <v>46</v>
      </c>
      <c r="B780">
        <v>52094</v>
      </c>
      <c r="C780" t="s">
        <v>53</v>
      </c>
      <c r="D780">
        <v>53281</v>
      </c>
      <c r="E780" t="s">
        <v>156</v>
      </c>
      <c r="F780">
        <v>8651</v>
      </c>
      <c r="G780">
        <v>0.49091752603300681</v>
      </c>
      <c r="H780">
        <v>0</v>
      </c>
      <c r="I780">
        <v>0</v>
      </c>
      <c r="J780">
        <v>0.46558221918918807</v>
      </c>
      <c r="K780">
        <v>0</v>
      </c>
      <c r="L780">
        <v>0</v>
      </c>
      <c r="M780">
        <v>0.33588564938556792</v>
      </c>
      <c r="N780">
        <v>0</v>
      </c>
      <c r="O780">
        <v>0</v>
      </c>
      <c r="P780">
        <v>0.24100001736636789</v>
      </c>
      <c r="Q780">
        <v>1.59645740026476</v>
      </c>
      <c r="R780">
        <v>5.0671580098120188</v>
      </c>
      <c r="S780">
        <v>0.38572184523155578</v>
      </c>
      <c r="T780">
        <v>0.25702715966417139</v>
      </c>
      <c r="U780">
        <v>4.3210037300890063</v>
      </c>
      <c r="V780">
        <v>0.13615376574404581</v>
      </c>
      <c r="W780">
        <v>11.965456391284251</v>
      </c>
      <c r="X780">
        <v>0.44277027274308822</v>
      </c>
      <c r="Z780" t="s">
        <v>392</v>
      </c>
      <c r="AA780">
        <v>9937</v>
      </c>
      <c r="AB780" t="s">
        <v>1171</v>
      </c>
      <c r="AC780" t="str">
        <f>HYPERLINK("plots/20251231000436_3FT6Y121H01_04823_B11P_N_UFLEX98_M5358A8BH101511/dpll_52094/txpa_53281.png","plot")</f>
        <v>plot</v>
      </c>
    </row>
    <row r="781" spans="1:29" x14ac:dyDescent="0.35">
      <c r="A781" t="s">
        <v>46</v>
      </c>
      <c r="B781">
        <v>52094</v>
      </c>
      <c r="C781" t="s">
        <v>53</v>
      </c>
      <c r="D781">
        <v>53282</v>
      </c>
      <c r="E781" t="s">
        <v>157</v>
      </c>
      <c r="F781">
        <v>8640</v>
      </c>
      <c r="G781">
        <v>0.47194740640412591</v>
      </c>
      <c r="H781">
        <v>0</v>
      </c>
      <c r="I781">
        <v>0</v>
      </c>
      <c r="J781">
        <v>0.45751046135829382</v>
      </c>
      <c r="K781">
        <v>0</v>
      </c>
      <c r="L781">
        <v>0</v>
      </c>
      <c r="M781">
        <v>0.32887383422676753</v>
      </c>
      <c r="N781">
        <v>0</v>
      </c>
      <c r="O781">
        <v>0</v>
      </c>
      <c r="P781">
        <v>0.22273435441158121</v>
      </c>
      <c r="Q781">
        <v>1.4642280516354309</v>
      </c>
      <c r="R781">
        <v>5.696963968833626</v>
      </c>
      <c r="S781">
        <v>0.36971787948682622</v>
      </c>
      <c r="T781">
        <v>0.2481177907169515</v>
      </c>
      <c r="U781">
        <v>4.3216049988425924</v>
      </c>
      <c r="V781">
        <v>0.1351747989532828</v>
      </c>
      <c r="W781">
        <v>12.02477923622685</v>
      </c>
      <c r="X781">
        <v>0.41938302831161811</v>
      </c>
      <c r="Z781" t="s">
        <v>392</v>
      </c>
      <c r="AA781">
        <v>9937</v>
      </c>
      <c r="AB781" t="s">
        <v>1172</v>
      </c>
      <c r="AC781" t="str">
        <f>HYPERLINK("plots/20251231000436_3FT6Y121H01_04823_B11P_N_UFLEX98_M5358A8BH101511/dpll_52094/txpa_53282.png","plot")</f>
        <v>plot</v>
      </c>
    </row>
    <row r="782" spans="1:29" x14ac:dyDescent="0.35">
      <c r="A782" t="s">
        <v>46</v>
      </c>
      <c r="B782">
        <v>52094</v>
      </c>
      <c r="C782" t="s">
        <v>53</v>
      </c>
      <c r="D782">
        <v>53283</v>
      </c>
      <c r="E782" t="s">
        <v>158</v>
      </c>
      <c r="F782">
        <v>8626</v>
      </c>
      <c r="G782">
        <v>0.45165370696960322</v>
      </c>
      <c r="H782">
        <v>0</v>
      </c>
      <c r="I782">
        <v>0</v>
      </c>
      <c r="J782">
        <v>0.46665916099931137</v>
      </c>
      <c r="K782">
        <v>0</v>
      </c>
      <c r="L782">
        <v>0</v>
      </c>
      <c r="M782">
        <v>0.33772217247424291</v>
      </c>
      <c r="N782">
        <v>0</v>
      </c>
      <c r="O782">
        <v>0</v>
      </c>
      <c r="P782">
        <v>0.20399107101938421</v>
      </c>
      <c r="Q782">
        <v>1.485987683631848</v>
      </c>
      <c r="R782">
        <v>5.7381631282251107</v>
      </c>
      <c r="S782">
        <v>0.3955878149921967</v>
      </c>
      <c r="T782">
        <v>0.25814566188828469</v>
      </c>
      <c r="U782">
        <v>4.3219446141896576</v>
      </c>
      <c r="V782">
        <v>0.13477194015762231</v>
      </c>
      <c r="W782">
        <v>12.160519594249941</v>
      </c>
      <c r="X782">
        <v>0.44341370409005337</v>
      </c>
      <c r="Z782" t="s">
        <v>392</v>
      </c>
      <c r="AA782">
        <v>9937</v>
      </c>
      <c r="AB782" t="s">
        <v>1173</v>
      </c>
      <c r="AC782" t="str">
        <f>HYPERLINK("plots/20251231000436_3FT6Y121H01_04823_B11P_N_UFLEX98_M5358A8BH101511/dpll_52094/txpa_53283.png","plot")</f>
        <v>plot</v>
      </c>
    </row>
    <row r="783" spans="1:29" x14ac:dyDescent="0.35">
      <c r="A783" t="s">
        <v>46</v>
      </c>
      <c r="B783">
        <v>52094</v>
      </c>
      <c r="C783" t="s">
        <v>53</v>
      </c>
      <c r="D783">
        <v>53284</v>
      </c>
      <c r="E783" t="s">
        <v>159</v>
      </c>
      <c r="F783">
        <v>8647</v>
      </c>
      <c r="G783">
        <v>0.47556737926064502</v>
      </c>
      <c r="H783">
        <v>0</v>
      </c>
      <c r="I783">
        <v>0</v>
      </c>
      <c r="J783">
        <v>0.46832156332879399</v>
      </c>
      <c r="K783">
        <v>0</v>
      </c>
      <c r="L783">
        <v>0</v>
      </c>
      <c r="M783">
        <v>0.33939818338306471</v>
      </c>
      <c r="N783">
        <v>0</v>
      </c>
      <c r="O783">
        <v>0</v>
      </c>
      <c r="P783">
        <v>0.2261643322168381</v>
      </c>
      <c r="Q783">
        <v>1.6022798953296831</v>
      </c>
      <c r="R783">
        <v>5.2218094609474948</v>
      </c>
      <c r="S783">
        <v>0.402513184925268</v>
      </c>
      <c r="T783">
        <v>0.26682360715713849</v>
      </c>
      <c r="U783">
        <v>4.3212172994101996</v>
      </c>
      <c r="V783">
        <v>0.13581712310753469</v>
      </c>
      <c r="W783">
        <v>12.14560906314329</v>
      </c>
      <c r="X783">
        <v>0.45759456028090939</v>
      </c>
      <c r="Z783" t="s">
        <v>392</v>
      </c>
      <c r="AA783">
        <v>9937</v>
      </c>
      <c r="AB783" t="s">
        <v>1174</v>
      </c>
      <c r="AC783" t="str">
        <f>HYPERLINK("plots/20251231000436_3FT6Y121H01_04823_B11P_N_UFLEX98_M5358A8BH101511/dpll_52094/txpa_53284.png","plot")</f>
        <v>plot</v>
      </c>
    </row>
    <row r="784" spans="1:29" x14ac:dyDescent="0.35">
      <c r="A784" t="s">
        <v>46</v>
      </c>
      <c r="B784">
        <v>52094</v>
      </c>
      <c r="C784" t="s">
        <v>53</v>
      </c>
      <c r="D784">
        <v>53285</v>
      </c>
      <c r="E784" t="s">
        <v>160</v>
      </c>
      <c r="F784">
        <v>8636</v>
      </c>
      <c r="G784">
        <v>0.46688481783849461</v>
      </c>
      <c r="H784">
        <v>0</v>
      </c>
      <c r="I784">
        <v>0</v>
      </c>
      <c r="J784">
        <v>0.46840315463064242</v>
      </c>
      <c r="K784">
        <v>0</v>
      </c>
      <c r="L784">
        <v>0</v>
      </c>
      <c r="M784">
        <v>0.33975057337157399</v>
      </c>
      <c r="N784">
        <v>0</v>
      </c>
      <c r="O784">
        <v>0</v>
      </c>
      <c r="P784">
        <v>0.2179814331280843</v>
      </c>
      <c r="Q784">
        <v>1.598786278842008</v>
      </c>
      <c r="R784">
        <v>5.1514930635444971</v>
      </c>
      <c r="S784">
        <v>0.40847752218988709</v>
      </c>
      <c r="T784">
        <v>0.26746567065550397</v>
      </c>
      <c r="U784">
        <v>4.3217970750347376</v>
      </c>
      <c r="V784">
        <v>0.1348975667877115</v>
      </c>
      <c r="W784">
        <v>12.06112292704956</v>
      </c>
      <c r="X784">
        <v>0.46193915627381188</v>
      </c>
      <c r="Z784" t="s">
        <v>392</v>
      </c>
      <c r="AA784">
        <v>9937</v>
      </c>
      <c r="AB784" t="s">
        <v>1175</v>
      </c>
      <c r="AC784" t="str">
        <f>HYPERLINK("plots/20251231000436_3FT6Y121H01_04823_B11P_N_UFLEX98_M5358A8BH101511/dpll_52094/txpa_53285.png","plot")</f>
        <v>plot</v>
      </c>
    </row>
    <row r="785" spans="1:29" x14ac:dyDescent="0.35">
      <c r="A785" t="s">
        <v>46</v>
      </c>
      <c r="B785">
        <v>52094</v>
      </c>
      <c r="C785" t="s">
        <v>53</v>
      </c>
      <c r="D785">
        <v>53286</v>
      </c>
      <c r="E785" t="s">
        <v>161</v>
      </c>
      <c r="F785">
        <v>8635</v>
      </c>
      <c r="G785">
        <v>0.47818441725041011</v>
      </c>
      <c r="H785">
        <v>0</v>
      </c>
      <c r="I785">
        <v>0</v>
      </c>
      <c r="J785">
        <v>0.4692890448514111</v>
      </c>
      <c r="K785">
        <v>0</v>
      </c>
      <c r="L785">
        <v>0</v>
      </c>
      <c r="M785">
        <v>0.33983339058856638</v>
      </c>
      <c r="N785">
        <v>0</v>
      </c>
      <c r="O785">
        <v>0</v>
      </c>
      <c r="P785">
        <v>0.22866033690111431</v>
      </c>
      <c r="Q785">
        <v>1.612431255668576</v>
      </c>
      <c r="R785">
        <v>5.1445433481513474</v>
      </c>
      <c r="S785">
        <v>0.39902431543649508</v>
      </c>
      <c r="T785">
        <v>0.26534895923791763</v>
      </c>
      <c r="U785">
        <v>4.3218686266357844</v>
      </c>
      <c r="V785">
        <v>0.1347460024133294</v>
      </c>
      <c r="W785">
        <v>12.113259404632309</v>
      </c>
      <c r="X785">
        <v>0.45436166054292182</v>
      </c>
      <c r="Z785" t="s">
        <v>392</v>
      </c>
      <c r="AA785">
        <v>9937</v>
      </c>
      <c r="AB785" t="s">
        <v>1176</v>
      </c>
      <c r="AC785" t="str">
        <f>HYPERLINK("plots/20251231000436_3FT6Y121H01_04823_B11P_N_UFLEX98_M5358A8BH101511/dpll_52094/txpa_53286.png","plot")</f>
        <v>plot</v>
      </c>
    </row>
    <row r="786" spans="1:29" x14ac:dyDescent="0.35">
      <c r="A786" t="s">
        <v>46</v>
      </c>
      <c r="B786">
        <v>52094</v>
      </c>
      <c r="C786" t="s">
        <v>53</v>
      </c>
      <c r="D786">
        <v>53287</v>
      </c>
      <c r="E786" t="s">
        <v>162</v>
      </c>
      <c r="F786">
        <v>8629</v>
      </c>
      <c r="G786">
        <v>0.47450210480927829</v>
      </c>
      <c r="H786">
        <v>0</v>
      </c>
      <c r="I786">
        <v>0</v>
      </c>
      <c r="J786">
        <v>0.46992822134613538</v>
      </c>
      <c r="K786">
        <v>0</v>
      </c>
      <c r="L786">
        <v>0</v>
      </c>
      <c r="M786">
        <v>0.34110844255421391</v>
      </c>
      <c r="N786">
        <v>0</v>
      </c>
      <c r="O786">
        <v>0</v>
      </c>
      <c r="P786">
        <v>0.2251522474684354</v>
      </c>
      <c r="Q786">
        <v>1.5848722805811879</v>
      </c>
      <c r="R786">
        <v>5.2897012784332631</v>
      </c>
      <c r="S786">
        <v>0.39480043154082378</v>
      </c>
      <c r="T786">
        <v>0.25973564941716198</v>
      </c>
      <c r="U786">
        <v>4.3221758678873563</v>
      </c>
      <c r="V786">
        <v>0.13428839082078761</v>
      </c>
      <c r="W786">
        <v>12.13979800324487</v>
      </c>
      <c r="X786">
        <v>0.44853320155716592</v>
      </c>
      <c r="Z786" t="s">
        <v>392</v>
      </c>
      <c r="AA786">
        <v>9937</v>
      </c>
      <c r="AB786" t="s">
        <v>1177</v>
      </c>
      <c r="AC786" t="str">
        <f>HYPERLINK("plots/20251231000436_3FT6Y121H01_04823_B11P_N_UFLEX98_M5358A8BH101511/dpll_52094/txpa_53287.png","plot")</f>
        <v>plot</v>
      </c>
    </row>
    <row r="787" spans="1:29" x14ac:dyDescent="0.35">
      <c r="A787" t="s">
        <v>46</v>
      </c>
      <c r="B787">
        <v>52094</v>
      </c>
      <c r="C787" t="s">
        <v>53</v>
      </c>
      <c r="D787">
        <v>53288</v>
      </c>
      <c r="E787" t="s">
        <v>163</v>
      </c>
      <c r="F787">
        <v>8666</v>
      </c>
      <c r="G787">
        <v>0.50827635052486719</v>
      </c>
      <c r="H787">
        <v>0</v>
      </c>
      <c r="I787">
        <v>0</v>
      </c>
      <c r="J787">
        <v>0.47283997559309832</v>
      </c>
      <c r="K787">
        <v>0</v>
      </c>
      <c r="L787">
        <v>0</v>
      </c>
      <c r="M787">
        <v>0.34308390622865731</v>
      </c>
      <c r="N787">
        <v>0</v>
      </c>
      <c r="O787">
        <v>0</v>
      </c>
      <c r="P787">
        <v>0.25834484850287759</v>
      </c>
      <c r="Q787">
        <v>1.720752550144993</v>
      </c>
      <c r="R787">
        <v>4.6536399986509283</v>
      </c>
      <c r="S787">
        <v>0.40075351107892149</v>
      </c>
      <c r="T787">
        <v>0.26899949092333908</v>
      </c>
      <c r="U787">
        <v>4.3201845140780053</v>
      </c>
      <c r="V787">
        <v>0.13746206606846681</v>
      </c>
      <c r="W787">
        <v>12.087608518347571</v>
      </c>
      <c r="X787">
        <v>0.46537321772153012</v>
      </c>
      <c r="Z787" t="s">
        <v>392</v>
      </c>
      <c r="AA787">
        <v>9937</v>
      </c>
      <c r="AB787" t="s">
        <v>1178</v>
      </c>
      <c r="AC787" t="str">
        <f>HYPERLINK("plots/20251231000436_3FT6Y121H01_04823_B11P_N_UFLEX98_M5358A8BH101511/dpll_52094/txpa_53288.png","plot")</f>
        <v>plot</v>
      </c>
    </row>
    <row r="788" spans="1:29" x14ac:dyDescent="0.35">
      <c r="A788" t="s">
        <v>46</v>
      </c>
      <c r="B788">
        <v>52094</v>
      </c>
      <c r="C788" t="s">
        <v>53</v>
      </c>
      <c r="D788">
        <v>53289</v>
      </c>
      <c r="E788" t="s">
        <v>164</v>
      </c>
      <c r="F788">
        <v>8655</v>
      </c>
      <c r="G788">
        <v>0.49879078271106381</v>
      </c>
      <c r="H788">
        <v>0</v>
      </c>
      <c r="I788">
        <v>0</v>
      </c>
      <c r="J788">
        <v>0.4690880794161616</v>
      </c>
      <c r="K788">
        <v>0</v>
      </c>
      <c r="L788">
        <v>0</v>
      </c>
      <c r="M788">
        <v>0.33900359363086979</v>
      </c>
      <c r="N788">
        <v>0</v>
      </c>
      <c r="O788">
        <v>0</v>
      </c>
      <c r="P788">
        <v>0.2487922449175157</v>
      </c>
      <c r="Q788">
        <v>1.670499159681011</v>
      </c>
      <c r="R788">
        <v>4.9126988025940772</v>
      </c>
      <c r="S788">
        <v>0.39640311460593991</v>
      </c>
      <c r="T788">
        <v>0.26439239389504388</v>
      </c>
      <c r="U788">
        <v>4.3207676886192941</v>
      </c>
      <c r="V788">
        <v>0.1365696748405239</v>
      </c>
      <c r="W788">
        <v>12.13053759560947</v>
      </c>
      <c r="X788">
        <v>0.45738521032606838</v>
      </c>
      <c r="Z788" t="s">
        <v>392</v>
      </c>
      <c r="AA788">
        <v>9937</v>
      </c>
      <c r="AB788" t="s">
        <v>1179</v>
      </c>
      <c r="AC788" t="str">
        <f>HYPERLINK("plots/20251231000436_3FT6Y121H01_04823_B11P_N_UFLEX98_M5358A8BH101511/dpll_52094/txpa_53289.png","plot")</f>
        <v>plot</v>
      </c>
    </row>
    <row r="789" spans="1:29" x14ac:dyDescent="0.35">
      <c r="A789" t="s">
        <v>46</v>
      </c>
      <c r="B789">
        <v>52094</v>
      </c>
      <c r="C789" t="s">
        <v>53</v>
      </c>
      <c r="D789">
        <v>53290</v>
      </c>
      <c r="E789" t="s">
        <v>165</v>
      </c>
      <c r="F789">
        <v>8647</v>
      </c>
      <c r="G789">
        <v>0.48445520129527081</v>
      </c>
      <c r="H789">
        <v>0</v>
      </c>
      <c r="I789">
        <v>0</v>
      </c>
      <c r="J789">
        <v>0.46422844440319178</v>
      </c>
      <c r="K789">
        <v>0</v>
      </c>
      <c r="L789">
        <v>0</v>
      </c>
      <c r="M789">
        <v>0.33461263596191099</v>
      </c>
      <c r="N789">
        <v>0</v>
      </c>
      <c r="O789">
        <v>0</v>
      </c>
      <c r="P789">
        <v>0.23469684206204139</v>
      </c>
      <c r="Q789">
        <v>1.5587628320134921</v>
      </c>
      <c r="R789">
        <v>5.4753908051451052</v>
      </c>
      <c r="S789">
        <v>0.38202623764172028</v>
      </c>
      <c r="T789">
        <v>0.25570860925356098</v>
      </c>
      <c r="U789">
        <v>4.3212428123048454</v>
      </c>
      <c r="V789">
        <v>0.13572977647699169</v>
      </c>
      <c r="W789">
        <v>12.211183489071351</v>
      </c>
      <c r="X789">
        <v>0.43671846272713188</v>
      </c>
      <c r="Z789" t="s">
        <v>392</v>
      </c>
      <c r="AA789">
        <v>9937</v>
      </c>
      <c r="AB789" t="s">
        <v>1180</v>
      </c>
      <c r="AC789" t="str">
        <f>HYPERLINK("plots/20251231000436_3FT6Y121H01_04823_B11P_N_UFLEX98_M5358A8BH101511/dpll_52094/txpa_53290.png","plot")</f>
        <v>plot</v>
      </c>
    </row>
    <row r="790" spans="1:29" x14ac:dyDescent="0.35">
      <c r="A790" t="s">
        <v>46</v>
      </c>
      <c r="B790">
        <v>52094</v>
      </c>
      <c r="C790" t="s">
        <v>53</v>
      </c>
      <c r="D790">
        <v>54146</v>
      </c>
      <c r="E790" t="s">
        <v>166</v>
      </c>
      <c r="F790">
        <v>8705</v>
      </c>
      <c r="G790">
        <v>-7.6723192418537353E-3</v>
      </c>
      <c r="H790">
        <v>0.4741521267182307</v>
      </c>
      <c r="I790">
        <v>0.47650174082486219</v>
      </c>
      <c r="J790">
        <v>-6.1837236586187849E-3</v>
      </c>
      <c r="K790">
        <v>0.5640288147620458</v>
      </c>
      <c r="L790">
        <v>0.56682380393331466</v>
      </c>
      <c r="M790">
        <v>-4.2468746460157846E-3</v>
      </c>
      <c r="N790">
        <v>0.55236344196339393</v>
      </c>
      <c r="O790">
        <v>0.55510062453011044</v>
      </c>
      <c r="P790">
        <v>5.8864482548919067E-5</v>
      </c>
      <c r="Q790">
        <v>-0.28029094632295271</v>
      </c>
      <c r="R790">
        <v>-9.3983800911922959</v>
      </c>
      <c r="S790">
        <v>5.1528088036307231</v>
      </c>
      <c r="T790">
        <v>3.88764056407256</v>
      </c>
      <c r="U790">
        <v>4.3177355789775991</v>
      </c>
      <c r="V790">
        <v>0.14105852973094751</v>
      </c>
      <c r="W790">
        <v>-10.608602282596211</v>
      </c>
      <c r="X790">
        <v>5.1532564715931723</v>
      </c>
      <c r="Z790" t="s">
        <v>392</v>
      </c>
      <c r="AA790">
        <v>9937</v>
      </c>
      <c r="AB790" t="s">
        <v>1181</v>
      </c>
      <c r="AC790" t="str">
        <f>HYPERLINK("plots/20251231000436_3FT6Y121H01_04823_B11P_N_UFLEX98_M5358A8BH101511/dpll_52094/txpa_54146.png","plot")</f>
        <v>plot</v>
      </c>
    </row>
    <row r="791" spans="1:29" x14ac:dyDescent="0.35">
      <c r="A791" t="s">
        <v>46</v>
      </c>
      <c r="B791">
        <v>52094</v>
      </c>
      <c r="C791" t="s">
        <v>53</v>
      </c>
      <c r="D791">
        <v>54147</v>
      </c>
      <c r="E791" t="s">
        <v>167</v>
      </c>
      <c r="F791">
        <v>8716</v>
      </c>
      <c r="G791">
        <v>0.1151715666321086</v>
      </c>
      <c r="H791">
        <v>3.9768952713651412E-27</v>
      </c>
      <c r="I791">
        <v>4.0085206810777869E-27</v>
      </c>
      <c r="J791">
        <v>9.7870017131178544E-2</v>
      </c>
      <c r="K791">
        <v>5.2976526806591788E-20</v>
      </c>
      <c r="L791">
        <v>5.334478468906066E-20</v>
      </c>
      <c r="M791">
        <v>6.4970806131614448E-2</v>
      </c>
      <c r="N791">
        <v>9.7410843405719666E-20</v>
      </c>
      <c r="O791">
        <v>9.8087979357894487E-20</v>
      </c>
      <c r="P791">
        <v>1.3264489760494229E-2</v>
      </c>
      <c r="Q791">
        <v>0.98730985413901762</v>
      </c>
      <c r="R791">
        <v>-26.31256095933654</v>
      </c>
      <c r="S791">
        <v>1.200968587037528</v>
      </c>
      <c r="T791">
        <v>0.93833980090126545</v>
      </c>
      <c r="U791">
        <v>4.3177108791877004</v>
      </c>
      <c r="V791">
        <v>0.14104184712444839</v>
      </c>
      <c r="W791">
        <v>-22.049642460991279</v>
      </c>
      <c r="X791">
        <v>1.209083192874749</v>
      </c>
      <c r="Z791" t="s">
        <v>392</v>
      </c>
      <c r="AA791">
        <v>9937</v>
      </c>
      <c r="AB791" t="s">
        <v>1182</v>
      </c>
      <c r="AC791" t="str">
        <f>HYPERLINK("plots/20251231000436_3FT6Y121H01_04823_B11P_N_UFLEX98_M5358A8BH101511/dpll_52094/txpa_54147.png","plot")</f>
        <v>plot</v>
      </c>
    </row>
    <row r="792" spans="1:29" x14ac:dyDescent="0.35">
      <c r="A792" t="s">
        <v>46</v>
      </c>
      <c r="B792">
        <v>52094</v>
      </c>
      <c r="C792" t="s">
        <v>53</v>
      </c>
      <c r="D792">
        <v>54148</v>
      </c>
      <c r="E792" t="s">
        <v>168</v>
      </c>
      <c r="F792">
        <v>8716</v>
      </c>
      <c r="G792">
        <v>0.1563322055977511</v>
      </c>
      <c r="H792">
        <v>8.2391961835080703E-49</v>
      </c>
      <c r="I792">
        <v>8.4474670678232388E-49</v>
      </c>
      <c r="J792">
        <v>0.13010052755595669</v>
      </c>
      <c r="K792">
        <v>3.2548185370105929E-34</v>
      </c>
      <c r="L792">
        <v>3.3746278083115959E-34</v>
      </c>
      <c r="M792">
        <v>8.6961610306555942E-2</v>
      </c>
      <c r="N792">
        <v>4.5318196855131679E-34</v>
      </c>
      <c r="O792">
        <v>4.6890460827656652E-34</v>
      </c>
      <c r="P792">
        <v>2.4439758507057509E-2</v>
      </c>
      <c r="Q792">
        <v>1.2772375116609529</v>
      </c>
      <c r="R792">
        <v>-27.09447523882687</v>
      </c>
      <c r="S792">
        <v>1.138081406437444</v>
      </c>
      <c r="T792">
        <v>0.88257380581435529</v>
      </c>
      <c r="U792">
        <v>4.3177108791877004</v>
      </c>
      <c r="V792">
        <v>0.14104184712444839</v>
      </c>
      <c r="W792">
        <v>-21.579732939421749</v>
      </c>
      <c r="X792">
        <v>1.1523149511803881</v>
      </c>
      <c r="Z792" t="s">
        <v>392</v>
      </c>
      <c r="AA792">
        <v>9937</v>
      </c>
      <c r="AB792" t="s">
        <v>1183</v>
      </c>
      <c r="AC792" t="str">
        <f>HYPERLINK("plots/20251231000436_3FT6Y121H01_04823_B11P_N_UFLEX98_M5358A8BH101511/dpll_52094/txpa_54148.png","plot")</f>
        <v>plot</v>
      </c>
    </row>
    <row r="793" spans="1:29" x14ac:dyDescent="0.35">
      <c r="A793" t="s">
        <v>46</v>
      </c>
      <c r="B793">
        <v>52094</v>
      </c>
      <c r="C793" t="s">
        <v>53</v>
      </c>
      <c r="D793">
        <v>54149</v>
      </c>
      <c r="E793" t="s">
        <v>169</v>
      </c>
      <c r="F793">
        <v>8716</v>
      </c>
      <c r="G793">
        <v>0.1826489055720136</v>
      </c>
      <c r="H793">
        <v>2.9249667422060482E-66</v>
      </c>
      <c r="I793">
        <v>3.105671493818778E-66</v>
      </c>
      <c r="J793">
        <v>0.13691458561160491</v>
      </c>
      <c r="K793">
        <v>9.667131313988991E-38</v>
      </c>
      <c r="L793">
        <v>1.025363091253644E-37</v>
      </c>
      <c r="M793">
        <v>9.1892805166882544E-2</v>
      </c>
      <c r="N793">
        <v>7.5982851546260072E-38</v>
      </c>
      <c r="O793">
        <v>8.0508475933027908E-38</v>
      </c>
      <c r="P793">
        <v>3.3360622706654339E-2</v>
      </c>
      <c r="Q793">
        <v>1.3738821804828969</v>
      </c>
      <c r="R793">
        <v>-26.995050161991561</v>
      </c>
      <c r="S793">
        <v>1.0430082164882959</v>
      </c>
      <c r="T793">
        <v>0.81113162648941917</v>
      </c>
      <c r="U793">
        <v>4.3177108791877004</v>
      </c>
      <c r="V793">
        <v>0.14104184712444839</v>
      </c>
      <c r="W793">
        <v>-21.063024124598439</v>
      </c>
      <c r="X793">
        <v>1.060914544545531</v>
      </c>
      <c r="Z793" t="s">
        <v>392</v>
      </c>
      <c r="AA793">
        <v>9937</v>
      </c>
      <c r="AB793" t="s">
        <v>1184</v>
      </c>
      <c r="AC793" t="str">
        <f>HYPERLINK("plots/20251231000436_3FT6Y121H01_04823_B11P_N_UFLEX98_M5358A8BH101511/dpll_52094/txpa_54149.png","plot")</f>
        <v>plot</v>
      </c>
    </row>
    <row r="794" spans="1:29" x14ac:dyDescent="0.35">
      <c r="A794" t="s">
        <v>46</v>
      </c>
      <c r="B794">
        <v>52094</v>
      </c>
      <c r="C794" t="s">
        <v>53</v>
      </c>
      <c r="D794">
        <v>54150</v>
      </c>
      <c r="E794" t="s">
        <v>170</v>
      </c>
      <c r="F794">
        <v>8716</v>
      </c>
      <c r="G794">
        <v>0.1815627340038522</v>
      </c>
      <c r="H794">
        <v>1.7495448251275711E-65</v>
      </c>
      <c r="I794">
        <v>1.8518146687675961E-65</v>
      </c>
      <c r="J794">
        <v>0.14593625698234061</v>
      </c>
      <c r="K794">
        <v>1.073236955124373E-42</v>
      </c>
      <c r="L794">
        <v>1.151600288355676E-42</v>
      </c>
      <c r="M794">
        <v>9.7890904777204718E-2</v>
      </c>
      <c r="N794">
        <v>1.033896381498203E-42</v>
      </c>
      <c r="O794">
        <v>1.109387228401246E-42</v>
      </c>
      <c r="P794">
        <v>3.2965026378953599E-2</v>
      </c>
      <c r="Q794">
        <v>1.459248150463164</v>
      </c>
      <c r="R794">
        <v>-27.924378445804528</v>
      </c>
      <c r="S794">
        <v>1.1146707375416101</v>
      </c>
      <c r="T794">
        <v>0.86574386701621608</v>
      </c>
      <c r="U794">
        <v>4.3177108791877004</v>
      </c>
      <c r="V794">
        <v>0.14104184712444839</v>
      </c>
      <c r="W794">
        <v>-21.623766831115191</v>
      </c>
      <c r="X794">
        <v>1.133575431563467</v>
      </c>
      <c r="Z794" t="s">
        <v>392</v>
      </c>
      <c r="AA794">
        <v>9937</v>
      </c>
      <c r="AB794" t="s">
        <v>1185</v>
      </c>
      <c r="AC794" t="str">
        <f>HYPERLINK("plots/20251231000436_3FT6Y121H01_04823_B11P_N_UFLEX98_M5358A8BH101511/dpll_52094/txpa_54150.png","plot")</f>
        <v>plot</v>
      </c>
    </row>
    <row r="795" spans="1:29" x14ac:dyDescent="0.35">
      <c r="A795" t="s">
        <v>46</v>
      </c>
      <c r="B795">
        <v>52094</v>
      </c>
      <c r="C795" t="s">
        <v>53</v>
      </c>
      <c r="D795">
        <v>54151</v>
      </c>
      <c r="E795" t="s">
        <v>171</v>
      </c>
      <c r="F795">
        <v>8716</v>
      </c>
      <c r="G795">
        <v>0.1629846896849084</v>
      </c>
      <c r="H795">
        <v>5.9320407528618656E-53</v>
      </c>
      <c r="I795">
        <v>6.1441157542409921E-53</v>
      </c>
      <c r="J795">
        <v>0.12850584009128699</v>
      </c>
      <c r="K795">
        <v>2.0484532043629551E-33</v>
      </c>
      <c r="L795">
        <v>2.1109060459593871E-33</v>
      </c>
      <c r="M795">
        <v>8.5729635036609741E-2</v>
      </c>
      <c r="N795">
        <v>3.6943759605877193E-33</v>
      </c>
      <c r="O795">
        <v>3.7992872454725638E-33</v>
      </c>
      <c r="P795">
        <v>2.6564009071685889E-2</v>
      </c>
      <c r="Q795">
        <v>1.190407519216732</v>
      </c>
      <c r="R795">
        <v>-26.31890990322692</v>
      </c>
      <c r="S795">
        <v>1.016308652690646</v>
      </c>
      <c r="T795">
        <v>0.78390655382901919</v>
      </c>
      <c r="U795">
        <v>4.3177108791877004</v>
      </c>
      <c r="V795">
        <v>0.14104184712444839</v>
      </c>
      <c r="W795">
        <v>-21.179074406838001</v>
      </c>
      <c r="X795">
        <v>1.0301413934385439</v>
      </c>
      <c r="Z795" t="s">
        <v>392</v>
      </c>
      <c r="AA795">
        <v>9937</v>
      </c>
      <c r="AB795" t="s">
        <v>1186</v>
      </c>
      <c r="AC795" t="str">
        <f>HYPERLINK("plots/20251231000436_3FT6Y121H01_04823_B11P_N_UFLEX98_M5358A8BH101511/dpll_52094/txpa_54151.png","plot")</f>
        <v>plot</v>
      </c>
    </row>
    <row r="796" spans="1:29" x14ac:dyDescent="0.35">
      <c r="A796" t="s">
        <v>46</v>
      </c>
      <c r="B796">
        <v>52094</v>
      </c>
      <c r="C796" t="s">
        <v>53</v>
      </c>
      <c r="D796">
        <v>54152</v>
      </c>
      <c r="E796" t="s">
        <v>172</v>
      </c>
      <c r="F796">
        <v>8716</v>
      </c>
      <c r="G796">
        <v>0.18009984291884529</v>
      </c>
      <c r="H796">
        <v>1.9115301539130869E-64</v>
      </c>
      <c r="I796">
        <v>2.0148561081786589E-64</v>
      </c>
      <c r="J796">
        <v>0.13457343866919261</v>
      </c>
      <c r="K796">
        <v>1.6518077359085639E-36</v>
      </c>
      <c r="L796">
        <v>1.7338851389350769E-36</v>
      </c>
      <c r="M796">
        <v>8.9920248691276308E-2</v>
      </c>
      <c r="N796">
        <v>2.6164683402982218E-36</v>
      </c>
      <c r="O796">
        <v>2.7436389835185082E-36</v>
      </c>
      <c r="P796">
        <v>3.2435953419392753E-2</v>
      </c>
      <c r="Q796">
        <v>1.3593593328236691</v>
      </c>
      <c r="R796">
        <v>-27.25506479414712</v>
      </c>
      <c r="S796">
        <v>1.047089663001602</v>
      </c>
      <c r="T796">
        <v>0.81121059741101509</v>
      </c>
      <c r="U796">
        <v>4.3177108791877004</v>
      </c>
      <c r="V796">
        <v>0.14104184712444839</v>
      </c>
      <c r="W796">
        <v>-21.38574421408903</v>
      </c>
      <c r="X796">
        <v>1.064557015153544</v>
      </c>
      <c r="Z796" t="s">
        <v>392</v>
      </c>
      <c r="AA796">
        <v>9937</v>
      </c>
      <c r="AB796" t="s">
        <v>1187</v>
      </c>
      <c r="AC796" t="str">
        <f>HYPERLINK("plots/20251231000436_3FT6Y121H01_04823_B11P_N_UFLEX98_M5358A8BH101511/dpll_52094/txpa_54152.png","plot")</f>
        <v>plot</v>
      </c>
    </row>
    <row r="797" spans="1:29" x14ac:dyDescent="0.35">
      <c r="A797" t="s">
        <v>46</v>
      </c>
      <c r="B797">
        <v>52094</v>
      </c>
      <c r="C797" t="s">
        <v>53</v>
      </c>
      <c r="D797">
        <v>54153</v>
      </c>
      <c r="E797" t="s">
        <v>173</v>
      </c>
      <c r="F797">
        <v>8716</v>
      </c>
      <c r="G797">
        <v>0.1925612297289046</v>
      </c>
      <c r="H797">
        <v>1.408762250093948E-73</v>
      </c>
      <c r="I797">
        <v>1.5084318073867608E-73</v>
      </c>
      <c r="J797">
        <v>0.13613916108336799</v>
      </c>
      <c r="K797">
        <v>2.488796393881644E-37</v>
      </c>
      <c r="L797">
        <v>2.6233259286860579E-37</v>
      </c>
      <c r="M797">
        <v>9.1265331275645956E-2</v>
      </c>
      <c r="N797">
        <v>2.365099924649124E-37</v>
      </c>
      <c r="O797">
        <v>2.4929431638193471E-37</v>
      </c>
      <c r="P797">
        <v>3.7079827194707968E-2</v>
      </c>
      <c r="Q797">
        <v>1.4203700360996789</v>
      </c>
      <c r="R797">
        <v>-27.264447524480701</v>
      </c>
      <c r="S797">
        <v>1.0208239851508569</v>
      </c>
      <c r="T797">
        <v>0.79160716784353558</v>
      </c>
      <c r="U797">
        <v>4.3177108791877004</v>
      </c>
      <c r="V797">
        <v>0.14104184712444839</v>
      </c>
      <c r="W797">
        <v>-21.131700367140891</v>
      </c>
      <c r="X797">
        <v>1.0403527946604461</v>
      </c>
      <c r="Z797" t="s">
        <v>392</v>
      </c>
      <c r="AA797">
        <v>9937</v>
      </c>
      <c r="AB797" t="s">
        <v>1188</v>
      </c>
      <c r="AC797" t="str">
        <f>HYPERLINK("plots/20251231000436_3FT6Y121H01_04823_B11P_N_UFLEX98_M5358A8BH101511/dpll_52094/txpa_54153.png","plot")</f>
        <v>plot</v>
      </c>
    </row>
    <row r="798" spans="1:29" x14ac:dyDescent="0.35">
      <c r="A798" t="s">
        <v>46</v>
      </c>
      <c r="B798">
        <v>52094</v>
      </c>
      <c r="C798" t="s">
        <v>53</v>
      </c>
      <c r="D798">
        <v>54154</v>
      </c>
      <c r="E798" t="s">
        <v>174</v>
      </c>
      <c r="F798">
        <v>8716</v>
      </c>
      <c r="G798">
        <v>0.12535325797496699</v>
      </c>
      <c r="H798">
        <v>7.26495469310846E-32</v>
      </c>
      <c r="I798">
        <v>7.3373147996135246E-32</v>
      </c>
      <c r="J798">
        <v>0.10628430950498299</v>
      </c>
      <c r="K798">
        <v>2.5365609825075391E-23</v>
      </c>
      <c r="L798">
        <v>2.5592764539926811E-23</v>
      </c>
      <c r="M798">
        <v>7.1005935781486063E-2</v>
      </c>
      <c r="N798">
        <v>2.9102457430816123E-23</v>
      </c>
      <c r="O798">
        <v>2.9363076452584621E-23</v>
      </c>
      <c r="P798">
        <v>1.571343928493862E-2</v>
      </c>
      <c r="Q798">
        <v>1.1308388260527431</v>
      </c>
      <c r="R798">
        <v>-27.270848795063671</v>
      </c>
      <c r="S798">
        <v>1.2622603335697531</v>
      </c>
      <c r="T798">
        <v>0.98866463025755569</v>
      </c>
      <c r="U798">
        <v>4.3177108791877004</v>
      </c>
      <c r="V798">
        <v>0.14104184712444839</v>
      </c>
      <c r="W798">
        <v>-22.388213693207891</v>
      </c>
      <c r="X798">
        <v>1.272368978701558</v>
      </c>
      <c r="Z798" t="s">
        <v>392</v>
      </c>
      <c r="AA798">
        <v>9937</v>
      </c>
      <c r="AB798" t="s">
        <v>1189</v>
      </c>
      <c r="AC798" t="str">
        <f>HYPERLINK("plots/20251231000436_3FT6Y121H01_04823_B11P_N_UFLEX98_M5358A8BH101511/dpll_52094/txpa_54154.png","plot")</f>
        <v>plot</v>
      </c>
    </row>
    <row r="799" spans="1:29" x14ac:dyDescent="0.35">
      <c r="A799" t="s">
        <v>46</v>
      </c>
      <c r="B799">
        <v>52094</v>
      </c>
      <c r="C799" t="s">
        <v>53</v>
      </c>
      <c r="D799">
        <v>54155</v>
      </c>
      <c r="E799" t="s">
        <v>175</v>
      </c>
      <c r="F799">
        <v>8716</v>
      </c>
      <c r="G799">
        <v>0.20781873208796331</v>
      </c>
      <c r="H799">
        <v>1.184009371945862E-85</v>
      </c>
      <c r="I799">
        <v>1.2854234509133879E-85</v>
      </c>
      <c r="J799">
        <v>0.17838922804495591</v>
      </c>
      <c r="K799">
        <v>3.0506761147270121E-63</v>
      </c>
      <c r="L799">
        <v>3.3155258095746952E-63</v>
      </c>
      <c r="M799">
        <v>0.1169687864010415</v>
      </c>
      <c r="N799">
        <v>2.8861751347195129E-60</v>
      </c>
      <c r="O799">
        <v>3.1367433940038439E-60</v>
      </c>
      <c r="P799">
        <v>4.3188625406648667E-2</v>
      </c>
      <c r="Q799">
        <v>0.59524497305584445</v>
      </c>
      <c r="R799">
        <v>-11.25454007903358</v>
      </c>
      <c r="S799">
        <v>0.39513662153308771</v>
      </c>
      <c r="T799">
        <v>0.3013744553538083</v>
      </c>
      <c r="U799">
        <v>4.3177108791877004</v>
      </c>
      <c r="V799">
        <v>0.14104184712444839</v>
      </c>
      <c r="W799">
        <v>-8.6844443830885716</v>
      </c>
      <c r="X799">
        <v>0.40397922577933643</v>
      </c>
      <c r="Z799" t="s">
        <v>392</v>
      </c>
      <c r="AA799">
        <v>9937</v>
      </c>
      <c r="AB799" t="s">
        <v>1190</v>
      </c>
      <c r="AC799" t="str">
        <f>HYPERLINK("plots/20251231000436_3FT6Y121H01_04823_B11P_N_UFLEX98_M5358A8BH101511/dpll_52094/txpa_54155.png","plot")</f>
        <v>plot</v>
      </c>
    </row>
    <row r="800" spans="1:29" x14ac:dyDescent="0.35">
      <c r="A800" t="s">
        <v>46</v>
      </c>
      <c r="B800">
        <v>52094</v>
      </c>
      <c r="C800" t="s">
        <v>53</v>
      </c>
      <c r="D800">
        <v>54156</v>
      </c>
      <c r="E800" t="s">
        <v>176</v>
      </c>
      <c r="F800">
        <v>8716</v>
      </c>
      <c r="G800">
        <v>0.3322320644111334</v>
      </c>
      <c r="H800">
        <v>1.253414765292901E-223</v>
      </c>
      <c r="I800">
        <v>1.465931455602078E-223</v>
      </c>
      <c r="J800">
        <v>0.26444363736645488</v>
      </c>
      <c r="K800">
        <v>2.140732829330833E-139</v>
      </c>
      <c r="L800">
        <v>2.6504311220286501E-139</v>
      </c>
      <c r="M800">
        <v>0.17770767044201879</v>
      </c>
      <c r="N800">
        <v>1.273301301874565E-136</v>
      </c>
      <c r="O800">
        <v>1.570714744648185E-136</v>
      </c>
      <c r="P800">
        <v>0.11037814462288351</v>
      </c>
      <c r="Q800">
        <v>0.84695122061453232</v>
      </c>
      <c r="R800">
        <v>-11.874759564556181</v>
      </c>
      <c r="S800">
        <v>0.33911160097770221</v>
      </c>
      <c r="T800">
        <v>0.2667521017701962</v>
      </c>
      <c r="U800">
        <v>4.3177108791877004</v>
      </c>
      <c r="V800">
        <v>0.14104184712444839</v>
      </c>
      <c r="W800">
        <v>-8.2178690651675073</v>
      </c>
      <c r="X800">
        <v>0.35955459263545031</v>
      </c>
      <c r="Z800" t="s">
        <v>392</v>
      </c>
      <c r="AA800">
        <v>9937</v>
      </c>
      <c r="AB800" t="s">
        <v>1191</v>
      </c>
      <c r="AC800" t="str">
        <f>HYPERLINK("plots/20251231000436_3FT6Y121H01_04823_B11P_N_UFLEX98_M5358A8BH101511/dpll_52094/txpa_54156.png","plot")</f>
        <v>plot</v>
      </c>
    </row>
    <row r="801" spans="1:29" x14ac:dyDescent="0.35">
      <c r="A801" t="s">
        <v>46</v>
      </c>
      <c r="B801">
        <v>52094</v>
      </c>
      <c r="C801" t="s">
        <v>53</v>
      </c>
      <c r="D801">
        <v>54157</v>
      </c>
      <c r="E801" t="s">
        <v>177</v>
      </c>
      <c r="F801">
        <v>8716</v>
      </c>
      <c r="G801">
        <v>0.34408647158341038</v>
      </c>
      <c r="H801">
        <v>8.9685104604960291E-241</v>
      </c>
      <c r="I801">
        <v>1.0774963989268919E-240</v>
      </c>
      <c r="J801">
        <v>0.21957582352301619</v>
      </c>
      <c r="K801">
        <v>1.21884994182621E-95</v>
      </c>
      <c r="L801">
        <v>1.407646743749177E-95</v>
      </c>
      <c r="M801">
        <v>0.1478799012429875</v>
      </c>
      <c r="N801">
        <v>3.2612284918495771E-95</v>
      </c>
      <c r="O801">
        <v>3.7706792368705487E-95</v>
      </c>
      <c r="P801">
        <v>0.1183954999267211</v>
      </c>
      <c r="Q801">
        <v>0.93025357114071883</v>
      </c>
      <c r="R801">
        <v>-11.82352799388876</v>
      </c>
      <c r="S801">
        <v>0.35800881420591413</v>
      </c>
      <c r="T801">
        <v>0.28681461990721702</v>
      </c>
      <c r="U801">
        <v>4.3177108791877004</v>
      </c>
      <c r="V801">
        <v>0.14104184712444839</v>
      </c>
      <c r="W801">
        <v>-7.8069620293712712</v>
      </c>
      <c r="X801">
        <v>0.38131310819639691</v>
      </c>
      <c r="Z801" t="s">
        <v>392</v>
      </c>
      <c r="AA801">
        <v>9937</v>
      </c>
      <c r="AB801" t="s">
        <v>1192</v>
      </c>
      <c r="AC801" t="str">
        <f>HYPERLINK("plots/20251231000436_3FT6Y121H01_04823_B11P_N_UFLEX98_M5358A8BH101511/dpll_52094/txpa_54157.png","plot")</f>
        <v>plot</v>
      </c>
    </row>
    <row r="802" spans="1:29" x14ac:dyDescent="0.35">
      <c r="A802" t="s">
        <v>46</v>
      </c>
      <c r="B802">
        <v>52094</v>
      </c>
      <c r="C802" t="s">
        <v>53</v>
      </c>
      <c r="D802">
        <v>54158</v>
      </c>
      <c r="E802" t="s">
        <v>178</v>
      </c>
      <c r="F802">
        <v>8716</v>
      </c>
      <c r="G802">
        <v>0.37273523041265688</v>
      </c>
      <c r="H802">
        <v>2.0857550834202421E-285</v>
      </c>
      <c r="I802">
        <v>2.6805521604412239E-285</v>
      </c>
      <c r="J802">
        <v>0.27834842725955861</v>
      </c>
      <c r="K802">
        <v>7.7727272100082029E-155</v>
      </c>
      <c r="L802">
        <v>1.006583063978074E-154</v>
      </c>
      <c r="M802">
        <v>0.18755434123131351</v>
      </c>
      <c r="N802">
        <v>5.9661151195825094E-152</v>
      </c>
      <c r="O802">
        <v>7.7065487022377894E-152</v>
      </c>
      <c r="P802">
        <v>0.13893155199077639</v>
      </c>
      <c r="Q802">
        <v>0.92946011292795283</v>
      </c>
      <c r="R802">
        <v>-12.26617363509571</v>
      </c>
      <c r="S802">
        <v>0.32634143828537421</v>
      </c>
      <c r="T802">
        <v>0.25899056462883763</v>
      </c>
      <c r="U802">
        <v>4.3177108791877004</v>
      </c>
      <c r="V802">
        <v>0.14104184712444839</v>
      </c>
      <c r="W802">
        <v>-8.2530335937356583</v>
      </c>
      <c r="X802">
        <v>0.35170480399913739</v>
      </c>
      <c r="Z802" t="s">
        <v>392</v>
      </c>
      <c r="AA802">
        <v>9937</v>
      </c>
      <c r="AB802" t="s">
        <v>1193</v>
      </c>
      <c r="AC802" t="str">
        <f>HYPERLINK("plots/20251231000436_3FT6Y121H01_04823_B11P_N_UFLEX98_M5358A8BH101511/dpll_52094/txpa_54158.png","plot")</f>
        <v>plot</v>
      </c>
    </row>
    <row r="803" spans="1:29" x14ac:dyDescent="0.35">
      <c r="A803" t="s">
        <v>46</v>
      </c>
      <c r="B803">
        <v>52094</v>
      </c>
      <c r="C803" t="s">
        <v>53</v>
      </c>
      <c r="D803">
        <v>54159</v>
      </c>
      <c r="E803" t="s">
        <v>179</v>
      </c>
      <c r="F803">
        <v>8716</v>
      </c>
      <c r="G803">
        <v>0.36434354973431021</v>
      </c>
      <c r="H803">
        <v>7.4641020053070205E-272</v>
      </c>
      <c r="I803">
        <v>9.4254040266267978E-272</v>
      </c>
      <c r="J803">
        <v>0.25301363699470492</v>
      </c>
      <c r="K803">
        <v>2.2114521773093299E-127</v>
      </c>
      <c r="L803">
        <v>2.6791069388191881E-127</v>
      </c>
      <c r="M803">
        <v>0.1692192584234572</v>
      </c>
      <c r="N803">
        <v>4.5802191604797153E-124</v>
      </c>
      <c r="O803">
        <v>5.5224045525879087E-124</v>
      </c>
      <c r="P803">
        <v>0.1327462222329977</v>
      </c>
      <c r="Q803">
        <v>0.84701131513604055</v>
      </c>
      <c r="R803">
        <v>-11.646311246890409</v>
      </c>
      <c r="S803">
        <v>0.30533338951774258</v>
      </c>
      <c r="T803">
        <v>0.24048643144235049</v>
      </c>
      <c r="U803">
        <v>4.3177108791877004</v>
      </c>
      <c r="V803">
        <v>0.14104184712444839</v>
      </c>
      <c r="W803">
        <v>-7.9891612767324469</v>
      </c>
      <c r="X803">
        <v>0.32788844624589092</v>
      </c>
      <c r="Z803" t="s">
        <v>392</v>
      </c>
      <c r="AA803">
        <v>9937</v>
      </c>
      <c r="AB803" t="s">
        <v>1194</v>
      </c>
      <c r="AC803" t="str">
        <f>HYPERLINK("plots/20251231000436_3FT6Y121H01_04823_B11P_N_UFLEX98_M5358A8BH101511/dpll_52094/txpa_54159.png","plot")</f>
        <v>plot</v>
      </c>
    </row>
    <row r="804" spans="1:29" x14ac:dyDescent="0.35">
      <c r="A804" t="s">
        <v>46</v>
      </c>
      <c r="B804">
        <v>52094</v>
      </c>
      <c r="C804" t="s">
        <v>53</v>
      </c>
      <c r="D804">
        <v>54160</v>
      </c>
      <c r="E804" t="s">
        <v>180</v>
      </c>
      <c r="F804">
        <v>8716</v>
      </c>
      <c r="G804">
        <v>0.39137056177330087</v>
      </c>
      <c r="H804">
        <v>0</v>
      </c>
      <c r="I804">
        <v>0</v>
      </c>
      <c r="J804">
        <v>0.28148359561938829</v>
      </c>
      <c r="K804">
        <v>1.9151446633785459E-158</v>
      </c>
      <c r="L804">
        <v>2.499300757613701E-158</v>
      </c>
      <c r="M804">
        <v>0.18811095202939551</v>
      </c>
      <c r="N804">
        <v>7.7208916929738175E-153</v>
      </c>
      <c r="O804">
        <v>1.001148871697628E-152</v>
      </c>
      <c r="P804">
        <v>0.15317091662274909</v>
      </c>
      <c r="Q804">
        <v>0.86770448161969194</v>
      </c>
      <c r="R804">
        <v>-11.83592184673061</v>
      </c>
      <c r="S804">
        <v>0.28774291522189682</v>
      </c>
      <c r="T804">
        <v>0.22617196136871151</v>
      </c>
      <c r="U804">
        <v>4.3177108791877004</v>
      </c>
      <c r="V804">
        <v>0.14104184712444839</v>
      </c>
      <c r="W804">
        <v>-8.0894247665213381</v>
      </c>
      <c r="X804">
        <v>0.31270272932968513</v>
      </c>
      <c r="Z804" t="s">
        <v>392</v>
      </c>
      <c r="AA804">
        <v>9937</v>
      </c>
      <c r="AB804" t="s">
        <v>1195</v>
      </c>
      <c r="AC804" t="str">
        <f>HYPERLINK("plots/20251231000436_3FT6Y121H01_04823_B11P_N_UFLEX98_M5358A8BH101511/dpll_52094/txpa_54160.png","plot")</f>
        <v>plot</v>
      </c>
    </row>
    <row r="805" spans="1:29" x14ac:dyDescent="0.35">
      <c r="A805" t="s">
        <v>46</v>
      </c>
      <c r="B805">
        <v>52094</v>
      </c>
      <c r="C805" t="s">
        <v>53</v>
      </c>
      <c r="D805">
        <v>54161</v>
      </c>
      <c r="E805" t="s">
        <v>181</v>
      </c>
      <c r="F805">
        <v>8716</v>
      </c>
      <c r="G805">
        <v>0.35651203185179142</v>
      </c>
      <c r="H805">
        <v>1.4451219777496599E-259</v>
      </c>
      <c r="I805">
        <v>1.776186285379582E-259</v>
      </c>
      <c r="J805">
        <v>0.21820847439082519</v>
      </c>
      <c r="K805">
        <v>1.898211926120763E-94</v>
      </c>
      <c r="L805">
        <v>2.1626819023443301E-94</v>
      </c>
      <c r="M805">
        <v>0.146370069858894</v>
      </c>
      <c r="N805">
        <v>2.5703246799882832E-93</v>
      </c>
      <c r="O805">
        <v>2.938341855138803E-93</v>
      </c>
      <c r="P805">
        <v>0.12710082885509269</v>
      </c>
      <c r="Q805">
        <v>0.90219782428316819</v>
      </c>
      <c r="R805">
        <v>-11.78016117086203</v>
      </c>
      <c r="S805">
        <v>0.3334515162407154</v>
      </c>
      <c r="T805">
        <v>0.26867262728297092</v>
      </c>
      <c r="U805">
        <v>4.3177108791877004</v>
      </c>
      <c r="V805">
        <v>0.14104184712444839</v>
      </c>
      <c r="W805">
        <v>-7.8847318097751264</v>
      </c>
      <c r="X805">
        <v>0.35692385176345409</v>
      </c>
      <c r="Z805" t="s">
        <v>392</v>
      </c>
      <c r="AA805">
        <v>9937</v>
      </c>
      <c r="AB805" t="s">
        <v>1196</v>
      </c>
      <c r="AC805" t="str">
        <f>HYPERLINK("plots/20251231000436_3FT6Y121H01_04823_B11P_N_UFLEX98_M5358A8BH101511/dpll_52094/txpa_54161.png","plot")</f>
        <v>plot</v>
      </c>
    </row>
    <row r="806" spans="1:29" x14ac:dyDescent="0.35">
      <c r="A806" t="s">
        <v>46</v>
      </c>
      <c r="B806">
        <v>52094</v>
      </c>
      <c r="C806" t="s">
        <v>53</v>
      </c>
      <c r="D806">
        <v>54162</v>
      </c>
      <c r="E806" t="s">
        <v>182</v>
      </c>
      <c r="F806">
        <v>8716</v>
      </c>
      <c r="G806">
        <v>0.23760379045989949</v>
      </c>
      <c r="H806">
        <v>3.9331081546505049E-112</v>
      </c>
      <c r="I806">
        <v>4.3491512200824566E-112</v>
      </c>
      <c r="J806">
        <v>0.21949678981043391</v>
      </c>
      <c r="K806">
        <v>1.429202576105903E-95</v>
      </c>
      <c r="L806">
        <v>1.6487046782382089E-95</v>
      </c>
      <c r="M806">
        <v>0.1463176207286242</v>
      </c>
      <c r="N806">
        <v>3.0259868945081741E-93</v>
      </c>
      <c r="O806">
        <v>3.4514631170205719E-93</v>
      </c>
      <c r="P806">
        <v>5.6455561240911827E-2</v>
      </c>
      <c r="Q806">
        <v>0.69203520391060358</v>
      </c>
      <c r="R806">
        <v>-11.796255298600141</v>
      </c>
      <c r="S806">
        <v>0.39900567676458132</v>
      </c>
      <c r="T806">
        <v>0.29880259229381911</v>
      </c>
      <c r="U806">
        <v>4.3177108791877004</v>
      </c>
      <c r="V806">
        <v>0.14104184712444839</v>
      </c>
      <c r="W806">
        <v>-8.8082473698944472</v>
      </c>
      <c r="X806">
        <v>0.41079278763092292</v>
      </c>
      <c r="Z806" t="s">
        <v>392</v>
      </c>
      <c r="AA806">
        <v>9937</v>
      </c>
      <c r="AB806" t="s">
        <v>1197</v>
      </c>
      <c r="AC806" t="str">
        <f>HYPERLINK("plots/20251231000436_3FT6Y121H01_04823_B11P_N_UFLEX98_M5358A8BH101511/dpll_52094/txpa_54162.png","plot")</f>
        <v>plot</v>
      </c>
    </row>
    <row r="807" spans="1:29" x14ac:dyDescent="0.35">
      <c r="A807" t="s">
        <v>46</v>
      </c>
      <c r="B807">
        <v>52094</v>
      </c>
      <c r="C807" t="s">
        <v>53</v>
      </c>
      <c r="D807">
        <v>54163</v>
      </c>
      <c r="E807" t="s">
        <v>183</v>
      </c>
      <c r="F807">
        <v>8716</v>
      </c>
      <c r="G807">
        <v>0.22000010554843999</v>
      </c>
      <c r="H807">
        <v>5.1795921285674379E-96</v>
      </c>
      <c r="I807">
        <v>5.6964277856479199E-96</v>
      </c>
      <c r="J807">
        <v>0.19144462244788571</v>
      </c>
      <c r="K807">
        <v>9.8572847168174169E-73</v>
      </c>
      <c r="L807">
        <v>1.081740985157236E-72</v>
      </c>
      <c r="M807">
        <v>0.12588545515928731</v>
      </c>
      <c r="N807">
        <v>1.594398062281867E-69</v>
      </c>
      <c r="O807">
        <v>1.7496965748417889E-69</v>
      </c>
      <c r="P807">
        <v>4.8400046441324743E-2</v>
      </c>
      <c r="Q807">
        <v>0.55574180243425975</v>
      </c>
      <c r="R807">
        <v>-5.0777735858666091</v>
      </c>
      <c r="S807">
        <v>0.34753652482458808</v>
      </c>
      <c r="T807">
        <v>0.26377568931359591</v>
      </c>
      <c r="U807">
        <v>4.3177108791877004</v>
      </c>
      <c r="V807">
        <v>0.14104184712444839</v>
      </c>
      <c r="W807">
        <v>-2.6782411594768241</v>
      </c>
      <c r="X807">
        <v>0.35628551242826489</v>
      </c>
      <c r="Z807" t="s">
        <v>392</v>
      </c>
      <c r="AA807">
        <v>9937</v>
      </c>
      <c r="AB807" t="s">
        <v>1198</v>
      </c>
      <c r="AC807" t="str">
        <f>HYPERLINK("plots/20251231000436_3FT6Y121H01_04823_B11P_N_UFLEX98_M5358A8BH101511/dpll_52094/txpa_54163.png","plot")</f>
        <v>plot</v>
      </c>
    </row>
    <row r="808" spans="1:29" x14ac:dyDescent="0.35">
      <c r="A808" t="s">
        <v>46</v>
      </c>
      <c r="B808">
        <v>52094</v>
      </c>
      <c r="C808" t="s">
        <v>53</v>
      </c>
      <c r="D808">
        <v>54164</v>
      </c>
      <c r="E808" t="s">
        <v>184</v>
      </c>
      <c r="F808">
        <v>8716</v>
      </c>
      <c r="G808">
        <v>0.35840279628256982</v>
      </c>
      <c r="H808">
        <v>1.679287496632656E-262</v>
      </c>
      <c r="I808">
        <v>2.0816595618404809E-262</v>
      </c>
      <c r="J808">
        <v>0.28658934417804882</v>
      </c>
      <c r="K808">
        <v>2.0158969033908149E-164</v>
      </c>
      <c r="L808">
        <v>2.679055648805094E-164</v>
      </c>
      <c r="M808">
        <v>0.19301008792648261</v>
      </c>
      <c r="N808">
        <v>8.033927487782838E-161</v>
      </c>
      <c r="O808">
        <v>1.0579743470924409E-160</v>
      </c>
      <c r="P808">
        <v>0.12845256438316521</v>
      </c>
      <c r="Q808">
        <v>0.8013572896334149</v>
      </c>
      <c r="R808">
        <v>-5.7302484501181947</v>
      </c>
      <c r="S808">
        <v>0.29439022744177329</v>
      </c>
      <c r="T808">
        <v>0.23132025044164839</v>
      </c>
      <c r="U808">
        <v>4.3177108791877004</v>
      </c>
      <c r="V808">
        <v>0.14104184712444839</v>
      </c>
      <c r="W808">
        <v>-2.27021936255163</v>
      </c>
      <c r="X808">
        <v>0.31535722798163662</v>
      </c>
      <c r="Z808" t="s">
        <v>392</v>
      </c>
      <c r="AA808">
        <v>9937</v>
      </c>
      <c r="AB808" t="s">
        <v>1199</v>
      </c>
      <c r="AC808" t="str">
        <f>HYPERLINK("plots/20251231000436_3FT6Y121H01_04823_B11P_N_UFLEX98_M5358A8BH101511/dpll_52094/txpa_54164.png","plot")</f>
        <v>plot</v>
      </c>
    </row>
    <row r="809" spans="1:29" x14ac:dyDescent="0.35">
      <c r="A809" t="s">
        <v>46</v>
      </c>
      <c r="B809">
        <v>52094</v>
      </c>
      <c r="C809" t="s">
        <v>53</v>
      </c>
      <c r="D809">
        <v>54165</v>
      </c>
      <c r="E809" t="s">
        <v>185</v>
      </c>
      <c r="F809">
        <v>8716</v>
      </c>
      <c r="G809">
        <v>0.37058257302509001</v>
      </c>
      <c r="H809">
        <v>6.8358588474717533E-282</v>
      </c>
      <c r="I809">
        <v>8.7079910443924089E-282</v>
      </c>
      <c r="J809">
        <v>0.23893430326220469</v>
      </c>
      <c r="K809">
        <v>2.091049304062392E-113</v>
      </c>
      <c r="L809">
        <v>2.482814981638484E-113</v>
      </c>
      <c r="M809">
        <v>0.16095276708283329</v>
      </c>
      <c r="N809">
        <v>1.911225066810002E-112</v>
      </c>
      <c r="O809">
        <v>2.2693000207790902E-112</v>
      </c>
      <c r="P809">
        <v>0.1373314434298962</v>
      </c>
      <c r="Q809">
        <v>0.88253158557104316</v>
      </c>
      <c r="R809">
        <v>-5.7274906719251568</v>
      </c>
      <c r="S809">
        <v>0.31195382962553392</v>
      </c>
      <c r="T809">
        <v>0.24958554528824209</v>
      </c>
      <c r="U809">
        <v>4.3177108791877004</v>
      </c>
      <c r="V809">
        <v>0.14104184712444839</v>
      </c>
      <c r="W809">
        <v>-1.9169744436782929</v>
      </c>
      <c r="X809">
        <v>0.33588704390095731</v>
      </c>
      <c r="Z809" t="s">
        <v>392</v>
      </c>
      <c r="AA809">
        <v>9937</v>
      </c>
      <c r="AB809" t="s">
        <v>1200</v>
      </c>
      <c r="AC809" t="str">
        <f>HYPERLINK("plots/20251231000436_3FT6Y121H01_04823_B11P_N_UFLEX98_M5358A8BH101511/dpll_52094/txpa_54165.png","plot")</f>
        <v>plot</v>
      </c>
    </row>
    <row r="810" spans="1:29" x14ac:dyDescent="0.35">
      <c r="A810" t="s">
        <v>46</v>
      </c>
      <c r="B810">
        <v>52094</v>
      </c>
      <c r="C810" t="s">
        <v>53</v>
      </c>
      <c r="D810">
        <v>54166</v>
      </c>
      <c r="E810" t="s">
        <v>186</v>
      </c>
      <c r="F810">
        <v>8716</v>
      </c>
      <c r="G810">
        <v>0.39778798095562562</v>
      </c>
      <c r="H810">
        <v>0</v>
      </c>
      <c r="I810">
        <v>0</v>
      </c>
      <c r="J810">
        <v>0.29755780195619091</v>
      </c>
      <c r="K810">
        <v>1.0793957059604029E-177</v>
      </c>
      <c r="L810">
        <v>1.495228477928755E-177</v>
      </c>
      <c r="M810">
        <v>0.20084492327833459</v>
      </c>
      <c r="N810">
        <v>5.6695910577875879E-174</v>
      </c>
      <c r="O810">
        <v>7.8323778373250876E-174</v>
      </c>
      <c r="P810">
        <v>0.15823527779275309</v>
      </c>
      <c r="Q810">
        <v>0.86972623286743778</v>
      </c>
      <c r="R810">
        <v>-6.0588947624496452</v>
      </c>
      <c r="S810">
        <v>0.28291068155469529</v>
      </c>
      <c r="T810">
        <v>0.22392108502175151</v>
      </c>
      <c r="U810">
        <v>4.3177108791877004</v>
      </c>
      <c r="V810">
        <v>0.14104184712444839</v>
      </c>
      <c r="W810">
        <v>-2.3036683448829738</v>
      </c>
      <c r="X810">
        <v>0.30837481334031441</v>
      </c>
      <c r="Z810" t="s">
        <v>392</v>
      </c>
      <c r="AA810">
        <v>9937</v>
      </c>
      <c r="AB810" t="s">
        <v>1201</v>
      </c>
      <c r="AC810" t="str">
        <f>HYPERLINK("plots/20251231000436_3FT6Y121H01_04823_B11P_N_UFLEX98_M5358A8BH101511/dpll_52094/txpa_54166.png","plot")</f>
        <v>plot</v>
      </c>
    </row>
    <row r="811" spans="1:29" x14ac:dyDescent="0.35">
      <c r="A811" t="s">
        <v>46</v>
      </c>
      <c r="B811">
        <v>52094</v>
      </c>
      <c r="C811" t="s">
        <v>53</v>
      </c>
      <c r="D811">
        <v>54167</v>
      </c>
      <c r="E811" t="s">
        <v>187</v>
      </c>
      <c r="F811">
        <v>8716</v>
      </c>
      <c r="G811">
        <v>0.39467451715542717</v>
      </c>
      <c r="H811">
        <v>0</v>
      </c>
      <c r="I811">
        <v>0</v>
      </c>
      <c r="J811">
        <v>0.27599891819549011</v>
      </c>
      <c r="K811">
        <v>3.663140569304738E-152</v>
      </c>
      <c r="L811">
        <v>4.7197262227128386E-152</v>
      </c>
      <c r="M811">
        <v>0.1851591319518138</v>
      </c>
      <c r="N811">
        <v>3.6391434231729662E-148</v>
      </c>
      <c r="O811">
        <v>4.6650966259132587E-148</v>
      </c>
      <c r="P811">
        <v>0.1557679744918696</v>
      </c>
      <c r="Q811">
        <v>0.810631969911635</v>
      </c>
      <c r="R811">
        <v>-5.5787734993689817</v>
      </c>
      <c r="S811">
        <v>0.26615744852047007</v>
      </c>
      <c r="T811">
        <v>0.20901139805297489</v>
      </c>
      <c r="U811">
        <v>4.3177108791877004</v>
      </c>
      <c r="V811">
        <v>0.14104184712444839</v>
      </c>
      <c r="W811">
        <v>-2.0786990238641581</v>
      </c>
      <c r="X811">
        <v>0.28968941597372411</v>
      </c>
      <c r="Z811" t="s">
        <v>392</v>
      </c>
      <c r="AA811">
        <v>9937</v>
      </c>
      <c r="AB811" t="s">
        <v>1202</v>
      </c>
      <c r="AC811" t="str">
        <f>HYPERLINK("plots/20251231000436_3FT6Y121H01_04823_B11P_N_UFLEX98_M5358A8BH101511/dpll_52094/txpa_54167.png","plot")</f>
        <v>plot</v>
      </c>
    </row>
    <row r="812" spans="1:29" x14ac:dyDescent="0.35">
      <c r="A812" t="s">
        <v>46</v>
      </c>
      <c r="B812">
        <v>52094</v>
      </c>
      <c r="C812" t="s">
        <v>53</v>
      </c>
      <c r="D812">
        <v>54168</v>
      </c>
      <c r="E812" t="s">
        <v>188</v>
      </c>
      <c r="F812">
        <v>8716</v>
      </c>
      <c r="G812">
        <v>0.42000526703089142</v>
      </c>
      <c r="H812">
        <v>0</v>
      </c>
      <c r="I812">
        <v>0</v>
      </c>
      <c r="J812">
        <v>0.30309373125311251</v>
      </c>
      <c r="K812">
        <v>1.2865202491454209E-184</v>
      </c>
      <c r="L812">
        <v>1.827074975677111E-184</v>
      </c>
      <c r="M812">
        <v>0.20324378377932531</v>
      </c>
      <c r="N812">
        <v>4.2079498232436559E-178</v>
      </c>
      <c r="O812">
        <v>5.8934545866976071E-178</v>
      </c>
      <c r="P812">
        <v>0.17640442433369041</v>
      </c>
      <c r="Q812">
        <v>0.81468270368113216</v>
      </c>
      <c r="R812">
        <v>-5.6788661240321208</v>
      </c>
      <c r="S812">
        <v>0.2482640487752279</v>
      </c>
      <c r="T812">
        <v>0.19436331457121189</v>
      </c>
      <c r="U812">
        <v>4.3177108791877004</v>
      </c>
      <c r="V812">
        <v>0.14104184712444839</v>
      </c>
      <c r="W812">
        <v>-2.1613017512620472</v>
      </c>
      <c r="X812">
        <v>0.27357836286151921</v>
      </c>
      <c r="Z812" t="s">
        <v>392</v>
      </c>
      <c r="AA812">
        <v>9937</v>
      </c>
      <c r="AB812" t="s">
        <v>1203</v>
      </c>
      <c r="AC812" t="str">
        <f>HYPERLINK("plots/20251231000436_3FT6Y121H01_04823_B11P_N_UFLEX98_M5358A8BH101511/dpll_52094/txpa_54168.png","plot")</f>
        <v>plot</v>
      </c>
    </row>
    <row r="813" spans="1:29" x14ac:dyDescent="0.35">
      <c r="A813" t="s">
        <v>46</v>
      </c>
      <c r="B813">
        <v>52094</v>
      </c>
      <c r="C813" t="s">
        <v>53</v>
      </c>
      <c r="D813">
        <v>54169</v>
      </c>
      <c r="E813" t="s">
        <v>189</v>
      </c>
      <c r="F813">
        <v>8716</v>
      </c>
      <c r="G813">
        <v>0.38271302628156068</v>
      </c>
      <c r="H813">
        <v>4.6834380783981243E-302</v>
      </c>
      <c r="I813">
        <v>6.0962852522409472E-302</v>
      </c>
      <c r="J813">
        <v>0.2371099040594476</v>
      </c>
      <c r="K813">
        <v>1.163488354970623E-111</v>
      </c>
      <c r="L813">
        <v>1.375031692238009E-111</v>
      </c>
      <c r="M813">
        <v>0.1595017507529416</v>
      </c>
      <c r="N813">
        <v>1.8407963146400709E-110</v>
      </c>
      <c r="O813">
        <v>2.170427282610502E-110</v>
      </c>
      <c r="P813">
        <v>0.14646926048559061</v>
      </c>
      <c r="Q813">
        <v>0.85202514019611508</v>
      </c>
      <c r="R813">
        <v>-5.6602745753236032</v>
      </c>
      <c r="S813">
        <v>0.29007601479018452</v>
      </c>
      <c r="T813">
        <v>0.23351261317631131</v>
      </c>
      <c r="U813">
        <v>4.3177108791877004</v>
      </c>
      <c r="V813">
        <v>0.14104184712444839</v>
      </c>
      <c r="W813">
        <v>-1.981476358157412</v>
      </c>
      <c r="X813">
        <v>0.3139981952987343</v>
      </c>
      <c r="Z813" t="s">
        <v>392</v>
      </c>
      <c r="AA813">
        <v>9937</v>
      </c>
      <c r="AB813" t="s">
        <v>1204</v>
      </c>
      <c r="AC813" t="str">
        <f>HYPERLINK("plots/20251231000436_3FT6Y121H01_04823_B11P_N_UFLEX98_M5358A8BH101511/dpll_52094/txpa_54169.png","plot")</f>
        <v>plot</v>
      </c>
    </row>
    <row r="814" spans="1:29" x14ac:dyDescent="0.35">
      <c r="A814" t="s">
        <v>46</v>
      </c>
      <c r="B814">
        <v>52094</v>
      </c>
      <c r="C814" t="s">
        <v>53</v>
      </c>
      <c r="D814">
        <v>54170</v>
      </c>
      <c r="E814" t="s">
        <v>190</v>
      </c>
      <c r="F814">
        <v>8716</v>
      </c>
      <c r="G814">
        <v>0.25232930630032702</v>
      </c>
      <c r="H814">
        <v>1.1087834881820981E-126</v>
      </c>
      <c r="I814">
        <v>1.2423275768139749E-126</v>
      </c>
      <c r="J814">
        <v>0.2335405968958893</v>
      </c>
      <c r="K814">
        <v>2.737922816642416E-108</v>
      </c>
      <c r="L814">
        <v>3.198449004695173E-108</v>
      </c>
      <c r="M814">
        <v>0.1560055977031384</v>
      </c>
      <c r="N814">
        <v>9.3580867009481942E-106</v>
      </c>
      <c r="O814">
        <v>1.090701139627755E-105</v>
      </c>
      <c r="P814">
        <v>6.3670078818004253E-2</v>
      </c>
      <c r="Q814">
        <v>0.64546635329348367</v>
      </c>
      <c r="R814">
        <v>-5.5508464232086672</v>
      </c>
      <c r="S814">
        <v>0.34909484640540223</v>
      </c>
      <c r="T814">
        <v>0.26078573211776601</v>
      </c>
      <c r="U814">
        <v>4.3177108791877004</v>
      </c>
      <c r="V814">
        <v>0.14104184712444839</v>
      </c>
      <c r="W814">
        <v>-2.7639093274437809</v>
      </c>
      <c r="X814">
        <v>0.36078950978781599</v>
      </c>
      <c r="Z814" t="s">
        <v>392</v>
      </c>
      <c r="AA814">
        <v>9937</v>
      </c>
      <c r="AB814" t="s">
        <v>1205</v>
      </c>
      <c r="AC814" t="str">
        <f>HYPERLINK("plots/20251231000436_3FT6Y121H01_04823_B11P_N_UFLEX98_M5358A8BH101511/dpll_52094/txpa_54170.png","plot")</f>
        <v>plot</v>
      </c>
    </row>
    <row r="815" spans="1:29" x14ac:dyDescent="0.35">
      <c r="A815" t="s">
        <v>46</v>
      </c>
      <c r="B815">
        <v>52094</v>
      </c>
      <c r="C815" t="s">
        <v>53</v>
      </c>
      <c r="D815">
        <v>54171</v>
      </c>
      <c r="E815" t="s">
        <v>191</v>
      </c>
      <c r="F815">
        <v>8716</v>
      </c>
      <c r="G815">
        <v>0.2464457769426906</v>
      </c>
      <c r="H815">
        <v>9.4668235548343276E-121</v>
      </c>
      <c r="I815">
        <v>1.056035102816503E-120</v>
      </c>
      <c r="J815">
        <v>0.2147826589993376</v>
      </c>
      <c r="K815">
        <v>1.6984048117353219E-91</v>
      </c>
      <c r="L815">
        <v>1.917797860912713E-91</v>
      </c>
      <c r="M815">
        <v>0.14196804088555909</v>
      </c>
      <c r="N815">
        <v>6.4980697375893676E-88</v>
      </c>
      <c r="O815">
        <v>7.3049254034541232E-88</v>
      </c>
      <c r="P815">
        <v>6.0735520972886432E-2</v>
      </c>
      <c r="Q815">
        <v>0.59256630666870058</v>
      </c>
      <c r="R815">
        <v>-2.387439977136502</v>
      </c>
      <c r="S815">
        <v>0.32864921137912129</v>
      </c>
      <c r="T815">
        <v>0.24767858190519751</v>
      </c>
      <c r="U815">
        <v>4.3177108791877004</v>
      </c>
      <c r="V815">
        <v>0.14104184712444839</v>
      </c>
      <c r="W815">
        <v>0.1710900118070216</v>
      </c>
      <c r="X815">
        <v>0.3391279309918997</v>
      </c>
      <c r="Z815" t="s">
        <v>392</v>
      </c>
      <c r="AA815">
        <v>9937</v>
      </c>
      <c r="AB815" t="s">
        <v>1206</v>
      </c>
      <c r="AC815" t="str">
        <f>HYPERLINK("plots/20251231000436_3FT6Y121H01_04823_B11P_N_UFLEX98_M5358A8BH101511/dpll_52094/txpa_54171.png","plot")</f>
        <v>plot</v>
      </c>
    </row>
    <row r="816" spans="1:29" x14ac:dyDescent="0.35">
      <c r="A816" t="s">
        <v>46</v>
      </c>
      <c r="B816">
        <v>52094</v>
      </c>
      <c r="C816" t="s">
        <v>53</v>
      </c>
      <c r="D816">
        <v>54172</v>
      </c>
      <c r="E816" t="s">
        <v>192</v>
      </c>
      <c r="F816">
        <v>8716</v>
      </c>
      <c r="G816">
        <v>0.38559334551460189</v>
      </c>
      <c r="H816">
        <v>5.6877446922787927E-307</v>
      </c>
      <c r="I816">
        <v>7.4706905673195542E-307</v>
      </c>
      <c r="J816">
        <v>0.30755818287686298</v>
      </c>
      <c r="K816">
        <v>2.594633079282673E-190</v>
      </c>
      <c r="L816">
        <v>3.7585113462751862E-190</v>
      </c>
      <c r="M816">
        <v>0.20784157587819649</v>
      </c>
      <c r="N816">
        <v>3.6565100582345479E-186</v>
      </c>
      <c r="O816">
        <v>5.2666210213776018E-186</v>
      </c>
      <c r="P816">
        <v>0.1486822281051432</v>
      </c>
      <c r="Q816">
        <v>0.82863453654761254</v>
      </c>
      <c r="R816">
        <v>-3.0303435241867871</v>
      </c>
      <c r="S816">
        <v>0.27964201424652779</v>
      </c>
      <c r="T816">
        <v>0.21864613049772949</v>
      </c>
      <c r="U816">
        <v>4.3177108791877004</v>
      </c>
      <c r="V816">
        <v>0.14104184712444839</v>
      </c>
      <c r="W816">
        <v>0.54746082913549787</v>
      </c>
      <c r="X816">
        <v>0.30309689465675888</v>
      </c>
      <c r="Z816" t="s">
        <v>392</v>
      </c>
      <c r="AA816">
        <v>9937</v>
      </c>
      <c r="AB816" t="s">
        <v>1207</v>
      </c>
      <c r="AC816" t="str">
        <f>HYPERLINK("plots/20251231000436_3FT6Y121H01_04823_B11P_N_UFLEX98_M5358A8BH101511/dpll_52094/txpa_54172.png","plot")</f>
        <v>plot</v>
      </c>
    </row>
    <row r="817" spans="1:29" x14ac:dyDescent="0.35">
      <c r="A817" t="s">
        <v>46</v>
      </c>
      <c r="B817">
        <v>52094</v>
      </c>
      <c r="C817" t="s">
        <v>53</v>
      </c>
      <c r="D817">
        <v>54173</v>
      </c>
      <c r="E817" t="s">
        <v>193</v>
      </c>
      <c r="F817">
        <v>8716</v>
      </c>
      <c r="G817">
        <v>0.39920815181220498</v>
      </c>
      <c r="H817">
        <v>0</v>
      </c>
      <c r="I817">
        <v>0</v>
      </c>
      <c r="J817">
        <v>0.26474439867322941</v>
      </c>
      <c r="K817">
        <v>1.0144580144284829E-139</v>
      </c>
      <c r="L817">
        <v>1.2590702896333931E-139</v>
      </c>
      <c r="M817">
        <v>0.17864941106833351</v>
      </c>
      <c r="N817">
        <v>4.4958318472235509E-138</v>
      </c>
      <c r="O817">
        <v>5.5935871080793634E-138</v>
      </c>
      <c r="P817">
        <v>0.15936714847331651</v>
      </c>
      <c r="Q817">
        <v>0.90814396179962587</v>
      </c>
      <c r="R817">
        <v>-3.0530779129318741</v>
      </c>
      <c r="S817">
        <v>0.29415859980769021</v>
      </c>
      <c r="T817">
        <v>0.2331043511101476</v>
      </c>
      <c r="U817">
        <v>4.3177108791877004</v>
      </c>
      <c r="V817">
        <v>0.14104184712444839</v>
      </c>
      <c r="W817">
        <v>0.86802515079899034</v>
      </c>
      <c r="X817">
        <v>0.32085091761199269</v>
      </c>
      <c r="Z817" t="s">
        <v>392</v>
      </c>
      <c r="AA817">
        <v>9937</v>
      </c>
      <c r="AB817" t="s">
        <v>1208</v>
      </c>
      <c r="AC817" t="str">
        <f>HYPERLINK("plots/20251231000436_3FT6Y121H01_04823_B11P_N_UFLEX98_M5358A8BH101511/dpll_52094/txpa_54173.png","plot")</f>
        <v>plot</v>
      </c>
    </row>
    <row r="818" spans="1:29" x14ac:dyDescent="0.35">
      <c r="A818" t="s">
        <v>46</v>
      </c>
      <c r="B818">
        <v>52094</v>
      </c>
      <c r="C818" t="s">
        <v>53</v>
      </c>
      <c r="D818">
        <v>54174</v>
      </c>
      <c r="E818" t="s">
        <v>194</v>
      </c>
      <c r="F818">
        <v>8716</v>
      </c>
      <c r="G818">
        <v>0.42303543043688879</v>
      </c>
      <c r="H818">
        <v>0</v>
      </c>
      <c r="I818">
        <v>0</v>
      </c>
      <c r="J818">
        <v>0.31783774065496362</v>
      </c>
      <c r="K818">
        <v>8.2471828571663075E-204</v>
      </c>
      <c r="L818">
        <v>1.242591889623571E-203</v>
      </c>
      <c r="M818">
        <v>0.2150380546857168</v>
      </c>
      <c r="N818">
        <v>3.936423090913155E-199</v>
      </c>
      <c r="O818">
        <v>5.8699014914499106E-199</v>
      </c>
      <c r="P818">
        <v>0.17895897540492381</v>
      </c>
      <c r="Q818">
        <v>0.89055131233705809</v>
      </c>
      <c r="R818">
        <v>-3.3300640649844722</v>
      </c>
      <c r="S818">
        <v>0.26902194390187562</v>
      </c>
      <c r="T818">
        <v>0.21158077537081399</v>
      </c>
      <c r="U818">
        <v>4.3177108791877004</v>
      </c>
      <c r="V818">
        <v>0.14104184712444839</v>
      </c>
      <c r="W818">
        <v>0.51507902476812761</v>
      </c>
      <c r="X818">
        <v>0.29691366966923322</v>
      </c>
      <c r="Z818" t="s">
        <v>392</v>
      </c>
      <c r="AA818">
        <v>9937</v>
      </c>
      <c r="AB818" t="s">
        <v>1209</v>
      </c>
      <c r="AC818" t="str">
        <f>HYPERLINK("plots/20251231000436_3FT6Y121H01_04823_B11P_N_UFLEX98_M5358A8BH101511/dpll_52094/txpa_54174.png","plot")</f>
        <v>plot</v>
      </c>
    </row>
    <row r="819" spans="1:29" x14ac:dyDescent="0.35">
      <c r="A819" t="s">
        <v>46</v>
      </c>
      <c r="B819">
        <v>52094</v>
      </c>
      <c r="C819" t="s">
        <v>53</v>
      </c>
      <c r="D819">
        <v>54175</v>
      </c>
      <c r="E819" t="s">
        <v>195</v>
      </c>
      <c r="F819">
        <v>8716</v>
      </c>
      <c r="G819">
        <v>0.42493803293416671</v>
      </c>
      <c r="H819">
        <v>0</v>
      </c>
      <c r="I819">
        <v>0</v>
      </c>
      <c r="J819">
        <v>0.30119973036103831</v>
      </c>
      <c r="K819">
        <v>3.1291000287533167E-182</v>
      </c>
      <c r="L819">
        <v>4.4007037852369809E-182</v>
      </c>
      <c r="M819">
        <v>0.20253478057125601</v>
      </c>
      <c r="N819">
        <v>6.9914247283735947E-177</v>
      </c>
      <c r="O819">
        <v>9.7113762665353766E-177</v>
      </c>
      <c r="P819">
        <v>0.18057233183395899</v>
      </c>
      <c r="Q819">
        <v>0.84171053796315365</v>
      </c>
      <c r="R819">
        <v>-2.910995274176122</v>
      </c>
      <c r="S819">
        <v>0.25288061855248972</v>
      </c>
      <c r="T819">
        <v>0.19728876784710461</v>
      </c>
      <c r="U819">
        <v>4.3177108791877004</v>
      </c>
      <c r="V819">
        <v>0.14104184712444839</v>
      </c>
      <c r="W819">
        <v>0.72326747271431857</v>
      </c>
      <c r="X819">
        <v>0.27937346111080708</v>
      </c>
      <c r="Z819" t="s">
        <v>392</v>
      </c>
      <c r="AA819">
        <v>9937</v>
      </c>
      <c r="AB819" t="s">
        <v>1210</v>
      </c>
      <c r="AC819" t="str">
        <f>HYPERLINK("plots/20251231000436_3FT6Y121H01_04823_B11P_N_UFLEX98_M5358A8BH101511/dpll_52094/txpa_54175.png","plot")</f>
        <v>plot</v>
      </c>
    </row>
    <row r="820" spans="1:29" x14ac:dyDescent="0.35">
      <c r="A820" t="s">
        <v>46</v>
      </c>
      <c r="B820">
        <v>52094</v>
      </c>
      <c r="C820" t="s">
        <v>53</v>
      </c>
      <c r="D820">
        <v>54176</v>
      </c>
      <c r="E820" t="s">
        <v>196</v>
      </c>
      <c r="F820">
        <v>8716</v>
      </c>
      <c r="G820">
        <v>0.44928253164054771</v>
      </c>
      <c r="H820">
        <v>0</v>
      </c>
      <c r="I820">
        <v>0</v>
      </c>
      <c r="J820">
        <v>0.32788669762282519</v>
      </c>
      <c r="K820">
        <v>1.56740414943268E-217</v>
      </c>
      <c r="L820">
        <v>2.433917009991941E-217</v>
      </c>
      <c r="M820">
        <v>0.22070202523881521</v>
      </c>
      <c r="N820">
        <v>1.200485299827671E-209</v>
      </c>
      <c r="O820">
        <v>1.8388098097058279E-209</v>
      </c>
      <c r="P820">
        <v>0.20185479323733979</v>
      </c>
      <c r="Q820">
        <v>0.84157739020573263</v>
      </c>
      <c r="R820">
        <v>-2.989195606830676</v>
      </c>
      <c r="S820">
        <v>0.236014427858904</v>
      </c>
      <c r="T820">
        <v>0.18346843613701119</v>
      </c>
      <c r="U820">
        <v>4.3177108791877004</v>
      </c>
      <c r="V820">
        <v>0.14104184712444839</v>
      </c>
      <c r="W820">
        <v>0.64449224653900872</v>
      </c>
      <c r="X820">
        <v>0.26419373390584933</v>
      </c>
      <c r="Z820" t="s">
        <v>392</v>
      </c>
      <c r="AA820">
        <v>9937</v>
      </c>
      <c r="AB820" t="s">
        <v>1211</v>
      </c>
      <c r="AC820" t="str">
        <f>HYPERLINK("plots/20251231000436_3FT6Y121H01_04823_B11P_N_UFLEX98_M5358A8BH101511/dpll_52094/txpa_54176.png","plot")</f>
        <v>plot</v>
      </c>
    </row>
    <row r="821" spans="1:29" x14ac:dyDescent="0.35">
      <c r="A821" t="s">
        <v>46</v>
      </c>
      <c r="B821">
        <v>52094</v>
      </c>
      <c r="C821" t="s">
        <v>53</v>
      </c>
      <c r="D821">
        <v>54177</v>
      </c>
      <c r="E821" t="s">
        <v>197</v>
      </c>
      <c r="F821">
        <v>8716</v>
      </c>
      <c r="G821">
        <v>0.41225818539389958</v>
      </c>
      <c r="H821">
        <v>0</v>
      </c>
      <c r="I821">
        <v>0</v>
      </c>
      <c r="J821">
        <v>0.26105544507642359</v>
      </c>
      <c r="K821">
        <v>9.0174110714824127E-136</v>
      </c>
      <c r="L821">
        <v>1.1096668478741709E-135</v>
      </c>
      <c r="M821">
        <v>0.17589159053466069</v>
      </c>
      <c r="N821">
        <v>6.6315501522230773E-134</v>
      </c>
      <c r="O821">
        <v>8.1409102352956415E-134</v>
      </c>
      <c r="P821">
        <v>0.16995681142427091</v>
      </c>
      <c r="Q821">
        <v>0.8767517586900081</v>
      </c>
      <c r="R821">
        <v>-2.9726838054522511</v>
      </c>
      <c r="S821">
        <v>0.27326296440084857</v>
      </c>
      <c r="T821">
        <v>0.21806189193209261</v>
      </c>
      <c r="U821">
        <v>4.3177108791877004</v>
      </c>
      <c r="V821">
        <v>0.14104184712444839</v>
      </c>
      <c r="W821">
        <v>0.81287680139054608</v>
      </c>
      <c r="X821">
        <v>0.29995447488106369</v>
      </c>
      <c r="Z821" t="s">
        <v>392</v>
      </c>
      <c r="AA821">
        <v>9937</v>
      </c>
      <c r="AB821" t="s">
        <v>1212</v>
      </c>
      <c r="AC821" t="str">
        <f>HYPERLINK("plots/20251231000436_3FT6Y121H01_04823_B11P_N_UFLEX98_M5358A8BH101511/dpll_52094/txpa_54177.png","plot")</f>
        <v>plot</v>
      </c>
    </row>
    <row r="822" spans="1:29" x14ac:dyDescent="0.35">
      <c r="A822" t="s">
        <v>46</v>
      </c>
      <c r="B822">
        <v>52094</v>
      </c>
      <c r="C822" t="s">
        <v>53</v>
      </c>
      <c r="D822">
        <v>54178</v>
      </c>
      <c r="E822" t="s">
        <v>198</v>
      </c>
      <c r="F822">
        <v>8716</v>
      </c>
      <c r="G822">
        <v>0.27872585309012721</v>
      </c>
      <c r="H822">
        <v>2.875258587016723E-155</v>
      </c>
      <c r="I822">
        <v>3.253919874146158E-155</v>
      </c>
      <c r="J822">
        <v>0.25418033575745552</v>
      </c>
      <c r="K822">
        <v>1.399648486699864E-128</v>
      </c>
      <c r="L822">
        <v>1.699692892830733E-128</v>
      </c>
      <c r="M822">
        <v>0.1707954652665068</v>
      </c>
      <c r="N822">
        <v>2.2675926252645811E-126</v>
      </c>
      <c r="O822">
        <v>2.7471193811449049E-126</v>
      </c>
      <c r="P822">
        <v>7.7688101180819175E-2</v>
      </c>
      <c r="Q822">
        <v>0.67786356613003218</v>
      </c>
      <c r="R822">
        <v>-2.8282763053233668</v>
      </c>
      <c r="S822">
        <v>0.32940259513282771</v>
      </c>
      <c r="T822">
        <v>0.24543383651806239</v>
      </c>
      <c r="U822">
        <v>4.3177108791877004</v>
      </c>
      <c r="V822">
        <v>0.14104184712444839</v>
      </c>
      <c r="W822">
        <v>9.8542588761243693E-2</v>
      </c>
      <c r="X822">
        <v>0.34301493171654401</v>
      </c>
      <c r="Z822" t="s">
        <v>392</v>
      </c>
      <c r="AA822">
        <v>9937</v>
      </c>
      <c r="AB822" t="s">
        <v>1213</v>
      </c>
      <c r="AC822" t="str">
        <f>HYPERLINK("plots/20251231000436_3FT6Y121H01_04823_B11P_N_UFLEX98_M5358A8BH101511/dpll_52094/txpa_54178.png","plot")</f>
        <v>plot</v>
      </c>
    </row>
    <row r="823" spans="1:29" x14ac:dyDescent="0.35">
      <c r="A823" t="s">
        <v>46</v>
      </c>
      <c r="B823">
        <v>52094</v>
      </c>
      <c r="C823" t="s">
        <v>53</v>
      </c>
      <c r="D823">
        <v>54179</v>
      </c>
      <c r="E823" t="s">
        <v>199</v>
      </c>
      <c r="F823">
        <v>8716</v>
      </c>
      <c r="G823">
        <v>0.30129408065277008</v>
      </c>
      <c r="H823">
        <v>2.3822311599149008E-182</v>
      </c>
      <c r="I823">
        <v>2.723317244818161E-182</v>
      </c>
      <c r="J823">
        <v>0.2627958676978272</v>
      </c>
      <c r="K823">
        <v>1.2587779711793321E-137</v>
      </c>
      <c r="L823">
        <v>1.5527991031336289E-137</v>
      </c>
      <c r="M823">
        <v>0.17661094132083219</v>
      </c>
      <c r="N823">
        <v>5.4798533205320192E-135</v>
      </c>
      <c r="O823">
        <v>6.743411731819742E-135</v>
      </c>
      <c r="P823">
        <v>9.0778123036397929E-2</v>
      </c>
      <c r="Q823">
        <v>0.68861375374174161</v>
      </c>
      <c r="R823">
        <v>0.40265469750898308</v>
      </c>
      <c r="S823">
        <v>0.30735699646124032</v>
      </c>
      <c r="T823">
        <v>0.22772978368135161</v>
      </c>
      <c r="U823">
        <v>4.3177108791877004</v>
      </c>
      <c r="V823">
        <v>0.14104184712444839</v>
      </c>
      <c r="W823">
        <v>3.375889793597981</v>
      </c>
      <c r="X823">
        <v>0.3223540123078828</v>
      </c>
      <c r="Z823" t="s">
        <v>392</v>
      </c>
      <c r="AA823">
        <v>9937</v>
      </c>
      <c r="AB823" t="s">
        <v>1214</v>
      </c>
      <c r="AC823" t="str">
        <f>HYPERLINK("plots/20251231000436_3FT6Y121H01_04823_B11P_N_UFLEX98_M5358A8BH101511/dpll_52094/txpa_54179.png","plot")</f>
        <v>plot</v>
      </c>
    </row>
    <row r="824" spans="1:29" x14ac:dyDescent="0.35">
      <c r="A824" t="s">
        <v>46</v>
      </c>
      <c r="B824">
        <v>52094</v>
      </c>
      <c r="C824" t="s">
        <v>53</v>
      </c>
      <c r="D824">
        <v>54180</v>
      </c>
      <c r="E824" t="s">
        <v>200</v>
      </c>
      <c r="F824">
        <v>8716</v>
      </c>
      <c r="G824">
        <v>0.43297584312510229</v>
      </c>
      <c r="H824">
        <v>0</v>
      </c>
      <c r="I824">
        <v>0</v>
      </c>
      <c r="J824">
        <v>0.34509560296081898</v>
      </c>
      <c r="K824">
        <v>2.8716864265826891E-242</v>
      </c>
      <c r="L824">
        <v>4.7814286314529493E-242</v>
      </c>
      <c r="M824">
        <v>0.2348052403012672</v>
      </c>
      <c r="N824">
        <v>5.054558803310728E-237</v>
      </c>
      <c r="O824">
        <v>8.3610483304356901E-237</v>
      </c>
      <c r="P824">
        <v>0.18746808072989321</v>
      </c>
      <c r="Q824">
        <v>0.9109957370670887</v>
      </c>
      <c r="R824">
        <v>-0.22731705762763621</v>
      </c>
      <c r="S824">
        <v>0.2674828644657597</v>
      </c>
      <c r="T824">
        <v>0.20630296207296681</v>
      </c>
      <c r="U824">
        <v>4.3177108791877004</v>
      </c>
      <c r="V824">
        <v>0.14104184712444839</v>
      </c>
      <c r="W824">
        <v>3.70609914720055</v>
      </c>
      <c r="X824">
        <v>0.29675679028891111</v>
      </c>
      <c r="Z824" t="s">
        <v>392</v>
      </c>
      <c r="AA824">
        <v>9937</v>
      </c>
      <c r="AB824" t="s">
        <v>1215</v>
      </c>
      <c r="AC824" t="str">
        <f>HYPERLINK("plots/20251231000436_3FT6Y121H01_04823_B11P_N_UFLEX98_M5358A8BH101511/dpll_52094/txpa_54180.png","plot")</f>
        <v>plot</v>
      </c>
    </row>
    <row r="825" spans="1:29" x14ac:dyDescent="0.35">
      <c r="A825" t="s">
        <v>46</v>
      </c>
      <c r="B825">
        <v>52094</v>
      </c>
      <c r="C825" t="s">
        <v>53</v>
      </c>
      <c r="D825">
        <v>54181</v>
      </c>
      <c r="E825" t="s">
        <v>201</v>
      </c>
      <c r="F825">
        <v>8716</v>
      </c>
      <c r="G825">
        <v>0.44686010447970193</v>
      </c>
      <c r="H825">
        <v>0</v>
      </c>
      <c r="I825">
        <v>0</v>
      </c>
      <c r="J825">
        <v>0.31496110413729878</v>
      </c>
      <c r="K825">
        <v>5.5963795408862988E-200</v>
      </c>
      <c r="L825">
        <v>8.3207167953939989E-200</v>
      </c>
      <c r="M825">
        <v>0.2134467790939599</v>
      </c>
      <c r="N825">
        <v>3.1404694279969079E-196</v>
      </c>
      <c r="O825">
        <v>4.6352780203622483E-196</v>
      </c>
      <c r="P825">
        <v>0.19968395297561009</v>
      </c>
      <c r="Q825">
        <v>0.98379626308760271</v>
      </c>
      <c r="R825">
        <v>-0.26770605623855692</v>
      </c>
      <c r="S825">
        <v>0.27777133125789299</v>
      </c>
      <c r="T825">
        <v>0.21447501237521621</v>
      </c>
      <c r="U825">
        <v>4.3177108791877004</v>
      </c>
      <c r="V825">
        <v>0.14104184712444839</v>
      </c>
      <c r="W825">
        <v>3.98004177179899</v>
      </c>
      <c r="X825">
        <v>0.31051427672552068</v>
      </c>
      <c r="Z825" t="s">
        <v>392</v>
      </c>
      <c r="AA825">
        <v>9937</v>
      </c>
      <c r="AB825" t="s">
        <v>1216</v>
      </c>
      <c r="AC825" t="str">
        <f>HYPERLINK("plots/20251231000436_3FT6Y121H01_04823_B11P_N_UFLEX98_M5358A8BH101511/dpll_52094/txpa_54181.png","plot")</f>
        <v>plot</v>
      </c>
    </row>
    <row r="826" spans="1:29" x14ac:dyDescent="0.35">
      <c r="A826" t="s">
        <v>46</v>
      </c>
      <c r="B826">
        <v>52094</v>
      </c>
      <c r="C826" t="s">
        <v>53</v>
      </c>
      <c r="D826">
        <v>54182</v>
      </c>
      <c r="E826" t="s">
        <v>202</v>
      </c>
      <c r="F826">
        <v>8716</v>
      </c>
      <c r="G826">
        <v>0.46776320310536251</v>
      </c>
      <c r="H826">
        <v>0</v>
      </c>
      <c r="I826">
        <v>0</v>
      </c>
      <c r="J826">
        <v>0.35612746833897801</v>
      </c>
      <c r="K826">
        <v>5.6801560961747605E-259</v>
      </c>
      <c r="L826">
        <v>1.003428272042022E-258</v>
      </c>
      <c r="M826">
        <v>0.2425660854301955</v>
      </c>
      <c r="N826">
        <v>8.302904726587273E-253</v>
      </c>
      <c r="O826">
        <v>1.434266676790374E-252</v>
      </c>
      <c r="P826">
        <v>0.21880241417938859</v>
      </c>
      <c r="Q826">
        <v>0.96766846059670042</v>
      </c>
      <c r="R826">
        <v>-0.50406072799373325</v>
      </c>
      <c r="S826">
        <v>0.25787191750400612</v>
      </c>
      <c r="T826">
        <v>0.1993465402777059</v>
      </c>
      <c r="U826">
        <v>4.3177108791877004</v>
      </c>
      <c r="V826">
        <v>0.14104184712444839</v>
      </c>
      <c r="W826">
        <v>3.6740519117714552</v>
      </c>
      <c r="X826">
        <v>0.29177529609118902</v>
      </c>
      <c r="Z826" t="s">
        <v>392</v>
      </c>
      <c r="AA826">
        <v>9937</v>
      </c>
      <c r="AB826" t="s">
        <v>1217</v>
      </c>
      <c r="AC826" t="str">
        <f>HYPERLINK("plots/20251231000436_3FT6Y121H01_04823_B11P_N_UFLEX98_M5358A8BH101511/dpll_52094/txpa_54182.png","plot")</f>
        <v>plot</v>
      </c>
    </row>
    <row r="827" spans="1:29" x14ac:dyDescent="0.35">
      <c r="A827" t="s">
        <v>46</v>
      </c>
      <c r="B827">
        <v>52094</v>
      </c>
      <c r="C827" t="s">
        <v>53</v>
      </c>
      <c r="D827">
        <v>54183</v>
      </c>
      <c r="E827" t="s">
        <v>203</v>
      </c>
      <c r="F827">
        <v>8716</v>
      </c>
      <c r="G827">
        <v>0.4758062234288632</v>
      </c>
      <c r="H827">
        <v>0</v>
      </c>
      <c r="I827">
        <v>0</v>
      </c>
      <c r="J827">
        <v>0.34603220114646899</v>
      </c>
      <c r="K827">
        <v>1.164153667216433E-243</v>
      </c>
      <c r="L827">
        <v>1.9543904280752701E-243</v>
      </c>
      <c r="M827">
        <v>0.2342949175215587</v>
      </c>
      <c r="N827">
        <v>5.2935427025743644E-236</v>
      </c>
      <c r="O827">
        <v>8.7421047237954489E-236</v>
      </c>
      <c r="P827">
        <v>0.2263915622536373</v>
      </c>
      <c r="Q827">
        <v>0.92862742650946384</v>
      </c>
      <c r="R827">
        <v>-0.148254844492512</v>
      </c>
      <c r="S827">
        <v>0.24210015018502989</v>
      </c>
      <c r="T827">
        <v>0.18492167513436741</v>
      </c>
      <c r="U827">
        <v>4.3177108791877004</v>
      </c>
      <c r="V827">
        <v>0.14104184712444839</v>
      </c>
      <c r="W827">
        <v>3.8612898976594772</v>
      </c>
      <c r="X827">
        <v>0.27527031189599321</v>
      </c>
      <c r="Z827" t="s">
        <v>392</v>
      </c>
      <c r="AA827">
        <v>9937</v>
      </c>
      <c r="AB827" t="s">
        <v>1218</v>
      </c>
      <c r="AC827" t="str">
        <f>HYPERLINK("plots/20251231000436_3FT6Y121H01_04823_B11P_N_UFLEX98_M5358A8BH101511/dpll_52094/txpa_54183.png","plot")</f>
        <v>plot</v>
      </c>
    </row>
    <row r="828" spans="1:29" x14ac:dyDescent="0.35">
      <c r="A828" t="s">
        <v>46</v>
      </c>
      <c r="B828">
        <v>52094</v>
      </c>
      <c r="C828" t="s">
        <v>53</v>
      </c>
      <c r="D828">
        <v>54184</v>
      </c>
      <c r="E828" t="s">
        <v>204</v>
      </c>
      <c r="F828">
        <v>8715</v>
      </c>
      <c r="G828">
        <v>0.49780924791428199</v>
      </c>
      <c r="H828">
        <v>0</v>
      </c>
      <c r="I828">
        <v>0</v>
      </c>
      <c r="J828">
        <v>0.37190028330523611</v>
      </c>
      <c r="K828">
        <v>5.2283313684136532E-284</v>
      </c>
      <c r="L828">
        <v>9.9840452119989529E-284</v>
      </c>
      <c r="M828">
        <v>0.25269992403604669</v>
      </c>
      <c r="N828">
        <v>3.7155885915249789E-274</v>
      </c>
      <c r="O828">
        <v>6.8626718247838415E-274</v>
      </c>
      <c r="P828">
        <v>0.2478140473089831</v>
      </c>
      <c r="Q828">
        <v>0.92236545766419842</v>
      </c>
      <c r="R828">
        <v>-0.19534839354364711</v>
      </c>
      <c r="S828">
        <v>0.22658197992333681</v>
      </c>
      <c r="T828">
        <v>0.17221875608699061</v>
      </c>
      <c r="U828">
        <v>4.3177471638554223</v>
      </c>
      <c r="V828">
        <v>0.14100925108931939</v>
      </c>
      <c r="W828">
        <v>3.7871924453241541</v>
      </c>
      <c r="X828">
        <v>0.26126887549963979</v>
      </c>
      <c r="Z828" t="s">
        <v>392</v>
      </c>
      <c r="AA828">
        <v>9937</v>
      </c>
      <c r="AB828" t="s">
        <v>1219</v>
      </c>
      <c r="AC828" t="str">
        <f>HYPERLINK("plots/20251231000436_3FT6Y121H01_04823_B11P_N_UFLEX98_M5358A8BH101511/dpll_52094/txpa_54184.png","plot")</f>
        <v>plot</v>
      </c>
    </row>
    <row r="829" spans="1:29" x14ac:dyDescent="0.35">
      <c r="A829" t="s">
        <v>46</v>
      </c>
      <c r="B829">
        <v>52094</v>
      </c>
      <c r="C829" t="s">
        <v>53</v>
      </c>
      <c r="D829">
        <v>54185</v>
      </c>
      <c r="E829" t="s">
        <v>205</v>
      </c>
      <c r="F829">
        <v>8716</v>
      </c>
      <c r="G829">
        <v>0.46280909166972722</v>
      </c>
      <c r="H829">
        <v>0</v>
      </c>
      <c r="I829">
        <v>0</v>
      </c>
      <c r="J829">
        <v>0.3102385176369889</v>
      </c>
      <c r="K829">
        <v>8.8402009920592094E-194</v>
      </c>
      <c r="L829">
        <v>1.2935012706995729E-193</v>
      </c>
      <c r="M829">
        <v>0.2099036166543857</v>
      </c>
      <c r="N829">
        <v>7.7543564256723832E-190</v>
      </c>
      <c r="O829">
        <v>1.1329852183907489E-189</v>
      </c>
      <c r="P829">
        <v>0.21419225533215791</v>
      </c>
      <c r="Q829">
        <v>0.95170999016824531</v>
      </c>
      <c r="R829">
        <v>-0.16977909249303019</v>
      </c>
      <c r="S829">
        <v>0.25708928152551241</v>
      </c>
      <c r="T829">
        <v>0.20025017459662059</v>
      </c>
      <c r="U829">
        <v>4.3177108791877004</v>
      </c>
      <c r="V829">
        <v>0.14104184712444839</v>
      </c>
      <c r="W829">
        <v>3.9394294858880219</v>
      </c>
      <c r="X829">
        <v>0.29003521615325267</v>
      </c>
      <c r="Z829" t="s">
        <v>392</v>
      </c>
      <c r="AA829">
        <v>9937</v>
      </c>
      <c r="AB829" t="s">
        <v>1220</v>
      </c>
      <c r="AC829" t="str">
        <f>HYPERLINK("plots/20251231000436_3FT6Y121H01_04823_B11P_N_UFLEX98_M5358A8BH101511/dpll_52094/txpa_54185.png","plot")</f>
        <v>plot</v>
      </c>
    </row>
    <row r="830" spans="1:29" x14ac:dyDescent="0.35">
      <c r="A830" t="s">
        <v>46</v>
      </c>
      <c r="B830">
        <v>52094</v>
      </c>
      <c r="C830" t="s">
        <v>53</v>
      </c>
      <c r="D830">
        <v>54186</v>
      </c>
      <c r="E830" t="s">
        <v>206</v>
      </c>
      <c r="F830">
        <v>8716</v>
      </c>
      <c r="G830">
        <v>0.33140093973499518</v>
      </c>
      <c r="H830">
        <v>1.8706211271746419E-222</v>
      </c>
      <c r="I830">
        <v>2.1852647729897319E-222</v>
      </c>
      <c r="J830">
        <v>0.29125000331795498</v>
      </c>
      <c r="K830">
        <v>5.4620387526924647E-170</v>
      </c>
      <c r="L830">
        <v>7.4743688194738997E-170</v>
      </c>
      <c r="M830">
        <v>0.19848661598298151</v>
      </c>
      <c r="N830">
        <v>5.7659821743677547E-170</v>
      </c>
      <c r="O830">
        <v>7.8374074059100579E-170</v>
      </c>
      <c r="P830">
        <v>0.1098265828572379</v>
      </c>
      <c r="Q830">
        <v>0.76211819509235934</v>
      </c>
      <c r="R830">
        <v>2.626451166862687E-2</v>
      </c>
      <c r="S830">
        <v>0.30600532012695192</v>
      </c>
      <c r="T830">
        <v>0.22660419522219261</v>
      </c>
      <c r="U830">
        <v>4.3177108791877004</v>
      </c>
      <c r="V830">
        <v>0.14104184712444839</v>
      </c>
      <c r="W830">
        <v>3.3168705338458011</v>
      </c>
      <c r="X830">
        <v>0.32435200108041912</v>
      </c>
      <c r="Z830" t="s">
        <v>392</v>
      </c>
      <c r="AA830">
        <v>9937</v>
      </c>
      <c r="AB830" t="s">
        <v>1221</v>
      </c>
      <c r="AC830" t="str">
        <f>HYPERLINK("plots/20251231000436_3FT6Y121H01_04823_B11P_N_UFLEX98_M5358A8BH101511/dpll_52094/txpa_54186.png","plot")</f>
        <v>plot</v>
      </c>
    </row>
    <row r="831" spans="1:29" x14ac:dyDescent="0.35">
      <c r="A831" t="s">
        <v>46</v>
      </c>
      <c r="B831">
        <v>52094</v>
      </c>
      <c r="C831" t="s">
        <v>53</v>
      </c>
      <c r="D831">
        <v>54187</v>
      </c>
      <c r="E831" t="s">
        <v>207</v>
      </c>
      <c r="F831">
        <v>8716</v>
      </c>
      <c r="G831">
        <v>0.34365267439477798</v>
      </c>
      <c r="H831">
        <v>3.9218929951376652E-240</v>
      </c>
      <c r="I831">
        <v>4.7062715941651969E-240</v>
      </c>
      <c r="J831">
        <v>0.2965558695502698</v>
      </c>
      <c r="K831">
        <v>1.8621825823452809E-176</v>
      </c>
      <c r="L831">
        <v>2.5725519598066961E-176</v>
      </c>
      <c r="M831">
        <v>0.2019702958107594</v>
      </c>
      <c r="N831">
        <v>6.514990692315315E-176</v>
      </c>
      <c r="O831">
        <v>9.0248641557482648E-176</v>
      </c>
      <c r="P831">
        <v>0.11809716061868331</v>
      </c>
      <c r="Q831">
        <v>0.76981381682514205</v>
      </c>
      <c r="R831">
        <v>1.823022363698082</v>
      </c>
      <c r="S831">
        <v>0.29668761401056509</v>
      </c>
      <c r="T831">
        <v>0.21642877463683341</v>
      </c>
      <c r="U831">
        <v>4.3177108791877004</v>
      </c>
      <c r="V831">
        <v>0.14104184712444839</v>
      </c>
      <c r="W831">
        <v>5.1468558555530057</v>
      </c>
      <c r="X831">
        <v>0.31594679965217132</v>
      </c>
      <c r="Z831" t="s">
        <v>392</v>
      </c>
      <c r="AA831">
        <v>9937</v>
      </c>
      <c r="AB831" t="s">
        <v>1222</v>
      </c>
      <c r="AC831" t="str">
        <f>HYPERLINK("plots/20251231000436_3FT6Y121H01_04823_B11P_N_UFLEX98_M5358A8BH101511/dpll_52094/txpa_54187.png","plot")</f>
        <v>plot</v>
      </c>
    </row>
    <row r="832" spans="1:29" x14ac:dyDescent="0.35">
      <c r="A832" t="s">
        <v>46</v>
      </c>
      <c r="B832">
        <v>52094</v>
      </c>
      <c r="C832" t="s">
        <v>53</v>
      </c>
      <c r="D832">
        <v>54188</v>
      </c>
      <c r="E832" t="s">
        <v>208</v>
      </c>
      <c r="F832">
        <v>8716</v>
      </c>
      <c r="G832">
        <v>0.46222428197274701</v>
      </c>
      <c r="H832">
        <v>0</v>
      </c>
      <c r="I832">
        <v>0</v>
      </c>
      <c r="J832">
        <v>0.36983060106114279</v>
      </c>
      <c r="K832">
        <v>1.139009477377736E-280</v>
      </c>
      <c r="L832">
        <v>2.142774786755148E-280</v>
      </c>
      <c r="M832">
        <v>0.25313596414140432</v>
      </c>
      <c r="N832">
        <v>3.951863218283184E-275</v>
      </c>
      <c r="O832">
        <v>7.3391745482401995E-275</v>
      </c>
      <c r="P832">
        <v>0.2136512868452215</v>
      </c>
      <c r="Q832">
        <v>0.98158601610796692</v>
      </c>
      <c r="R832">
        <v>1.206640497680324</v>
      </c>
      <c r="S832">
        <v>0.26558666674134612</v>
      </c>
      <c r="T832">
        <v>0.20137296990400469</v>
      </c>
      <c r="U832">
        <v>4.3177108791877004</v>
      </c>
      <c r="V832">
        <v>0.14104184712444839</v>
      </c>
      <c r="W832">
        <v>5.4448451182882058</v>
      </c>
      <c r="X832">
        <v>0.29951845937760352</v>
      </c>
      <c r="Z832" t="s">
        <v>392</v>
      </c>
      <c r="AA832">
        <v>9937</v>
      </c>
      <c r="AB832" t="s">
        <v>1223</v>
      </c>
      <c r="AC832" t="str">
        <f>HYPERLINK("plots/20251231000436_3FT6Y121H01_04823_B11P_N_UFLEX98_M5358A8BH101511/dpll_52094/txpa_54188.png","plot")</f>
        <v>plot</v>
      </c>
    </row>
    <row r="833" spans="1:29" x14ac:dyDescent="0.35">
      <c r="A833" t="s">
        <v>46</v>
      </c>
      <c r="B833">
        <v>52094</v>
      </c>
      <c r="C833" t="s">
        <v>53</v>
      </c>
      <c r="D833">
        <v>54189</v>
      </c>
      <c r="E833" t="s">
        <v>209</v>
      </c>
      <c r="F833">
        <v>8713</v>
      </c>
      <c r="G833">
        <v>0.4747960840664649</v>
      </c>
      <c r="H833">
        <v>0</v>
      </c>
      <c r="I833">
        <v>0</v>
      </c>
      <c r="J833">
        <v>0.35370569200743768</v>
      </c>
      <c r="K833">
        <v>3.6821653069474642E-255</v>
      </c>
      <c r="L833">
        <v>6.393348666514946E-255</v>
      </c>
      <c r="M833">
        <v>0.24111519240985241</v>
      </c>
      <c r="N833">
        <v>9.8420341377810063E-250</v>
      </c>
      <c r="O833">
        <v>1.682938046494088E-249</v>
      </c>
      <c r="P833">
        <v>0.22543132144484959</v>
      </c>
      <c r="Q833">
        <v>1.0440738841566211</v>
      </c>
      <c r="R833">
        <v>1.1800972666523091</v>
      </c>
      <c r="S833">
        <v>0.27262354803622207</v>
      </c>
      <c r="T833">
        <v>0.20476567545225771</v>
      </c>
      <c r="U833">
        <v>4.3178453180305292</v>
      </c>
      <c r="V833">
        <v>0.14087509413631619</v>
      </c>
      <c r="W833">
        <v>5.6882467990359231</v>
      </c>
      <c r="X833">
        <v>0.30978352950199051</v>
      </c>
      <c r="Z833" t="s">
        <v>392</v>
      </c>
      <c r="AA833">
        <v>9937</v>
      </c>
      <c r="AB833" t="s">
        <v>1224</v>
      </c>
      <c r="AC833" t="str">
        <f>HYPERLINK("plots/20251231000436_3FT6Y121H01_04823_B11P_N_UFLEX98_M5358A8BH101511/dpll_52094/txpa_54189.png","plot")</f>
        <v>plot</v>
      </c>
    </row>
    <row r="834" spans="1:29" x14ac:dyDescent="0.35">
      <c r="A834" t="s">
        <v>46</v>
      </c>
      <c r="B834">
        <v>52094</v>
      </c>
      <c r="C834" t="s">
        <v>53</v>
      </c>
      <c r="D834">
        <v>54190</v>
      </c>
      <c r="E834" t="s">
        <v>210</v>
      </c>
      <c r="F834">
        <v>8715</v>
      </c>
      <c r="G834">
        <v>0.49498891372755838</v>
      </c>
      <c r="H834">
        <v>0</v>
      </c>
      <c r="I834">
        <v>0</v>
      </c>
      <c r="J834">
        <v>0.38221406604427838</v>
      </c>
      <c r="K834">
        <v>3.5595301600692121E-301</v>
      </c>
      <c r="L834">
        <v>7.1899672954386077E-301</v>
      </c>
      <c r="M834">
        <v>0.26199112542221331</v>
      </c>
      <c r="N834">
        <v>1.5825575459606419E-294</v>
      </c>
      <c r="O834">
        <v>3.1464967678511592E-294</v>
      </c>
      <c r="P834">
        <v>0.24501402471318831</v>
      </c>
      <c r="Q834">
        <v>1.0337076722465</v>
      </c>
      <c r="R834">
        <v>0.95005269553604954</v>
      </c>
      <c r="S834">
        <v>0.2558552881969714</v>
      </c>
      <c r="T834">
        <v>0.1941547391471784</v>
      </c>
      <c r="U834">
        <v>4.3177471638554223</v>
      </c>
      <c r="V834">
        <v>0.14100925108931939</v>
      </c>
      <c r="W834">
        <v>5.413341065633964</v>
      </c>
      <c r="X834">
        <v>0.29447597848421719</v>
      </c>
      <c r="Z834" t="s">
        <v>392</v>
      </c>
      <c r="AA834">
        <v>9937</v>
      </c>
      <c r="AB834" t="s">
        <v>1225</v>
      </c>
      <c r="AC834" t="str">
        <f>HYPERLINK("plots/20251231000436_3FT6Y121H01_04823_B11P_N_UFLEX98_M5358A8BH101511/dpll_52094/txpa_54190.png","plot")</f>
        <v>plot</v>
      </c>
    </row>
    <row r="835" spans="1:29" x14ac:dyDescent="0.35">
      <c r="A835" t="s">
        <v>46</v>
      </c>
      <c r="B835">
        <v>52094</v>
      </c>
      <c r="C835" t="s">
        <v>53</v>
      </c>
      <c r="D835">
        <v>54191</v>
      </c>
      <c r="E835" t="s">
        <v>211</v>
      </c>
      <c r="F835">
        <v>8713</v>
      </c>
      <c r="G835">
        <v>0.50459084972918267</v>
      </c>
      <c r="H835">
        <v>0</v>
      </c>
      <c r="I835">
        <v>0</v>
      </c>
      <c r="J835">
        <v>0.37606673194224188</v>
      </c>
      <c r="K835">
        <v>8.410652225895231E-291</v>
      </c>
      <c r="L835">
        <v>1.6495940729318689E-290</v>
      </c>
      <c r="M835">
        <v>0.25643710461547498</v>
      </c>
      <c r="N835">
        <v>3.3718501170695358E-282</v>
      </c>
      <c r="O835">
        <v>6.4267970276475741E-282</v>
      </c>
      <c r="P835">
        <v>0.25461192563041862</v>
      </c>
      <c r="Q835">
        <v>0.99519401525472606</v>
      </c>
      <c r="R835">
        <v>1.290424381164661</v>
      </c>
      <c r="S835">
        <v>0.2399119268577487</v>
      </c>
      <c r="T835">
        <v>0.179558757818579</v>
      </c>
      <c r="U835">
        <v>4.3178365214047973</v>
      </c>
      <c r="V835">
        <v>0.1409019999433192</v>
      </c>
      <c r="W835">
        <v>5.5875094461150008</v>
      </c>
      <c r="X835">
        <v>0.27789807753405082</v>
      </c>
      <c r="Z835" t="s">
        <v>392</v>
      </c>
      <c r="AA835">
        <v>9937</v>
      </c>
      <c r="AB835" t="s">
        <v>1226</v>
      </c>
      <c r="AC835" t="str">
        <f>HYPERLINK("plots/20251231000436_3FT6Y121H01_04823_B11P_N_UFLEX98_M5358A8BH101511/dpll_52094/txpa_54191.png","plot")</f>
        <v>plot</v>
      </c>
    </row>
    <row r="836" spans="1:29" x14ac:dyDescent="0.35">
      <c r="A836" t="s">
        <v>46</v>
      </c>
      <c r="B836">
        <v>52094</v>
      </c>
      <c r="C836" t="s">
        <v>53</v>
      </c>
      <c r="D836">
        <v>54192</v>
      </c>
      <c r="E836" t="s">
        <v>212</v>
      </c>
      <c r="F836">
        <v>8710</v>
      </c>
      <c r="G836">
        <v>0.52245336147190968</v>
      </c>
      <c r="H836">
        <v>0</v>
      </c>
      <c r="I836">
        <v>0</v>
      </c>
      <c r="J836">
        <v>0.39963575836716142</v>
      </c>
      <c r="K836">
        <v>0</v>
      </c>
      <c r="L836">
        <v>0</v>
      </c>
      <c r="M836">
        <v>0.27393118797945248</v>
      </c>
      <c r="N836">
        <v>0</v>
      </c>
      <c r="O836">
        <v>0</v>
      </c>
      <c r="P836">
        <v>0.27295751491329789</v>
      </c>
      <c r="Q836">
        <v>0.98095359735392695</v>
      </c>
      <c r="R836">
        <v>1.2805543308050999</v>
      </c>
      <c r="S836">
        <v>0.22529329528162259</v>
      </c>
      <c r="T836">
        <v>0.16761956278122581</v>
      </c>
      <c r="U836">
        <v>4.3179737242250278</v>
      </c>
      <c r="V836">
        <v>0.1407318407685432</v>
      </c>
      <c r="W836">
        <v>5.5162861888633747</v>
      </c>
      <c r="X836">
        <v>0.26423680206633138</v>
      </c>
      <c r="Z836" t="s">
        <v>392</v>
      </c>
      <c r="AA836">
        <v>9937</v>
      </c>
      <c r="AB836" t="s">
        <v>1227</v>
      </c>
      <c r="AC836" t="str">
        <f>HYPERLINK("plots/20251231000436_3FT6Y121H01_04823_B11P_N_UFLEX98_M5358A8BH101511/dpll_52094/txpa_54192.png","plot")</f>
        <v>plot</v>
      </c>
    </row>
    <row r="837" spans="1:29" x14ac:dyDescent="0.35">
      <c r="A837" t="s">
        <v>46</v>
      </c>
      <c r="B837">
        <v>52094</v>
      </c>
      <c r="C837" t="s">
        <v>53</v>
      </c>
      <c r="D837">
        <v>54193</v>
      </c>
      <c r="E837" t="s">
        <v>213</v>
      </c>
      <c r="F837">
        <v>8710</v>
      </c>
      <c r="G837">
        <v>0.49175690842043512</v>
      </c>
      <c r="H837">
        <v>0</v>
      </c>
      <c r="I837">
        <v>0</v>
      </c>
      <c r="J837">
        <v>0.34749863255389141</v>
      </c>
      <c r="K837">
        <v>1.1080132788881529E-245</v>
      </c>
      <c r="L837">
        <v>1.8788051250712149E-245</v>
      </c>
      <c r="M837">
        <v>0.23630750921997121</v>
      </c>
      <c r="N837">
        <v>7.0948988692171415E-240</v>
      </c>
      <c r="O837">
        <v>1.1891285046919311E-239</v>
      </c>
      <c r="P837">
        <v>0.24182485697922421</v>
      </c>
      <c r="Q837">
        <v>1.0051994379233129</v>
      </c>
      <c r="R837">
        <v>1.317612187604839</v>
      </c>
      <c r="S837">
        <v>0.25051129733451322</v>
      </c>
      <c r="T837">
        <v>0.19080732514281959</v>
      </c>
      <c r="U837">
        <v>4.3179650351320316</v>
      </c>
      <c r="V837">
        <v>0.14075560897623379</v>
      </c>
      <c r="W837">
        <v>5.6580282138920781</v>
      </c>
      <c r="X837">
        <v>0.28771829455723069</v>
      </c>
      <c r="Z837" t="s">
        <v>392</v>
      </c>
      <c r="AA837">
        <v>9937</v>
      </c>
      <c r="AB837" t="s">
        <v>1228</v>
      </c>
      <c r="AC837" t="str">
        <f>HYPERLINK("plots/20251231000436_3FT6Y121H01_04823_B11P_N_UFLEX98_M5358A8BH101511/dpll_52094/txpa_54193.png","plot")</f>
        <v>plot</v>
      </c>
    </row>
    <row r="838" spans="1:29" x14ac:dyDescent="0.35">
      <c r="A838" t="s">
        <v>46</v>
      </c>
      <c r="B838">
        <v>52094</v>
      </c>
      <c r="C838" t="s">
        <v>53</v>
      </c>
      <c r="D838">
        <v>54194</v>
      </c>
      <c r="E838" t="s">
        <v>214</v>
      </c>
      <c r="F838">
        <v>8716</v>
      </c>
      <c r="G838">
        <v>0.3728344699563218</v>
      </c>
      <c r="H838">
        <v>1.4339892446699339E-285</v>
      </c>
      <c r="I838">
        <v>1.8476049480245401E-285</v>
      </c>
      <c r="J838">
        <v>0.3158753011167616</v>
      </c>
      <c r="K838">
        <v>3.4263201215767853E-201</v>
      </c>
      <c r="L838">
        <v>5.1243194738626249E-201</v>
      </c>
      <c r="M838">
        <v>0.21721666360001671</v>
      </c>
      <c r="N838">
        <v>3.7833610390515218E-203</v>
      </c>
      <c r="O838">
        <v>5.6918814445077809E-203</v>
      </c>
      <c r="P838">
        <v>0.13900554198761139</v>
      </c>
      <c r="Q838">
        <v>0.83578431649402152</v>
      </c>
      <c r="R838">
        <v>1.486634403326329</v>
      </c>
      <c r="S838">
        <v>0.29336034625896612</v>
      </c>
      <c r="T838">
        <v>0.21564382882312241</v>
      </c>
      <c r="U838">
        <v>4.3177108791877004</v>
      </c>
      <c r="V838">
        <v>0.14104184712444839</v>
      </c>
      <c r="W838">
        <v>5.0953094393070222</v>
      </c>
      <c r="X838">
        <v>0.31617399488242398</v>
      </c>
      <c r="Z838" t="s">
        <v>392</v>
      </c>
      <c r="AA838">
        <v>9937</v>
      </c>
      <c r="AB838" t="s">
        <v>1229</v>
      </c>
      <c r="AC838" t="str">
        <f>HYPERLINK("plots/20251231000436_3FT6Y121H01_04823_B11P_N_UFLEX98_M5358A8BH101511/dpll_52094/txpa_54194.png","plot")</f>
        <v>plot</v>
      </c>
    </row>
    <row r="839" spans="1:29" x14ac:dyDescent="0.35">
      <c r="A839" t="s">
        <v>46</v>
      </c>
      <c r="B839">
        <v>52094</v>
      </c>
      <c r="C839" t="s">
        <v>53</v>
      </c>
      <c r="D839">
        <v>54195</v>
      </c>
      <c r="E839" t="s">
        <v>215</v>
      </c>
      <c r="F839">
        <v>8716</v>
      </c>
      <c r="G839">
        <v>0.39938932656562348</v>
      </c>
      <c r="H839">
        <v>0</v>
      </c>
      <c r="I839">
        <v>0</v>
      </c>
      <c r="J839">
        <v>0.33364838698343707</v>
      </c>
      <c r="K839">
        <v>1.228047267577043E-225</v>
      </c>
      <c r="L839">
        <v>1.9396260581357041E-225</v>
      </c>
      <c r="M839">
        <v>0.22984987085386549</v>
      </c>
      <c r="N839">
        <v>3.2454157619336612E-227</v>
      </c>
      <c r="O839">
        <v>5.1906176381715014E-227</v>
      </c>
      <c r="P839">
        <v>0.15951183417454221</v>
      </c>
      <c r="Q839">
        <v>0.89238369750539748</v>
      </c>
      <c r="R839">
        <v>3.4004233172089688</v>
      </c>
      <c r="S839">
        <v>0.28889767498499569</v>
      </c>
      <c r="T839">
        <v>0.2059835209617627</v>
      </c>
      <c r="U839">
        <v>4.3177108791877004</v>
      </c>
      <c r="V839">
        <v>0.14104184712444839</v>
      </c>
      <c r="W839">
        <v>7.25347811633777</v>
      </c>
      <c r="X839">
        <v>0.31513973125475009</v>
      </c>
      <c r="Z839" t="s">
        <v>392</v>
      </c>
      <c r="AA839">
        <v>9937</v>
      </c>
      <c r="AB839" t="s">
        <v>1230</v>
      </c>
      <c r="AC839" t="str">
        <f>HYPERLINK("plots/20251231000436_3FT6Y121H01_04823_B11P_N_UFLEX98_M5358A8BH101511/dpll_52094/txpa_54195.png","plot")</f>
        <v>plot</v>
      </c>
    </row>
    <row r="840" spans="1:29" x14ac:dyDescent="0.35">
      <c r="A840" t="s">
        <v>46</v>
      </c>
      <c r="B840">
        <v>52094</v>
      </c>
      <c r="C840" t="s">
        <v>53</v>
      </c>
      <c r="D840">
        <v>54196</v>
      </c>
      <c r="E840" t="s">
        <v>216</v>
      </c>
      <c r="F840">
        <v>8710</v>
      </c>
      <c r="G840">
        <v>0.48935350623068868</v>
      </c>
      <c r="H840">
        <v>0</v>
      </c>
      <c r="I840">
        <v>0</v>
      </c>
      <c r="J840">
        <v>0.39955068959897211</v>
      </c>
      <c r="K840">
        <v>0</v>
      </c>
      <c r="L840">
        <v>0</v>
      </c>
      <c r="M840">
        <v>0.27582534520034241</v>
      </c>
      <c r="N840">
        <v>0</v>
      </c>
      <c r="O840">
        <v>0</v>
      </c>
      <c r="P840">
        <v>0.23946685406026871</v>
      </c>
      <c r="Q840">
        <v>1.074885585592418</v>
      </c>
      <c r="R840">
        <v>2.8621282772617271</v>
      </c>
      <c r="S840">
        <v>0.26964238612040292</v>
      </c>
      <c r="T840">
        <v>0.197964838345243</v>
      </c>
      <c r="U840">
        <v>4.3179557238805968</v>
      </c>
      <c r="V840">
        <v>0.14077141825255671</v>
      </c>
      <c r="W840">
        <v>7.5034366440872562</v>
      </c>
      <c r="X840">
        <v>0.3092103487897423</v>
      </c>
      <c r="Z840" t="s">
        <v>392</v>
      </c>
      <c r="AA840">
        <v>9937</v>
      </c>
      <c r="AB840" t="s">
        <v>1231</v>
      </c>
      <c r="AC840" t="str">
        <f>HYPERLINK("plots/20251231000436_3FT6Y121H01_04823_B11P_N_UFLEX98_M5358A8BH101511/dpll_52094/txpa_54196.png","plot")</f>
        <v>plot</v>
      </c>
    </row>
    <row r="841" spans="1:29" x14ac:dyDescent="0.35">
      <c r="A841" t="s">
        <v>46</v>
      </c>
      <c r="B841">
        <v>52094</v>
      </c>
      <c r="C841" t="s">
        <v>53</v>
      </c>
      <c r="D841">
        <v>54197</v>
      </c>
      <c r="E841" t="s">
        <v>217</v>
      </c>
      <c r="F841">
        <v>8695</v>
      </c>
      <c r="G841">
        <v>0.49268495639377452</v>
      </c>
      <c r="H841">
        <v>0</v>
      </c>
      <c r="I841">
        <v>0</v>
      </c>
      <c r="J841">
        <v>0.40017866066305979</v>
      </c>
      <c r="K841">
        <v>0</v>
      </c>
      <c r="L841">
        <v>0</v>
      </c>
      <c r="M841">
        <v>0.27611329290574282</v>
      </c>
      <c r="N841">
        <v>0</v>
      </c>
      <c r="O841">
        <v>0</v>
      </c>
      <c r="P841">
        <v>0.24273846625673551</v>
      </c>
      <c r="Q841">
        <v>1.1033314167656449</v>
      </c>
      <c r="R841">
        <v>2.9358410061149831</v>
      </c>
      <c r="S841">
        <v>0.27251215568457982</v>
      </c>
      <c r="T841">
        <v>0.1955689358966384</v>
      </c>
      <c r="U841">
        <v>4.318656287061529</v>
      </c>
      <c r="V841">
        <v>0.13984637815646239</v>
      </c>
      <c r="W841">
        <v>7.7007501658424378</v>
      </c>
      <c r="X841">
        <v>0.31317559129528838</v>
      </c>
      <c r="Z841" t="s">
        <v>392</v>
      </c>
      <c r="AA841">
        <v>9937</v>
      </c>
      <c r="AB841" t="s">
        <v>1232</v>
      </c>
      <c r="AC841" t="str">
        <f>HYPERLINK("plots/20251231000436_3FT6Y121H01_04823_B11P_N_UFLEX98_M5358A8BH101511/dpll_52094/txpa_54197.png","plot")</f>
        <v>plot</v>
      </c>
    </row>
    <row r="842" spans="1:29" x14ac:dyDescent="0.35">
      <c r="A842" t="s">
        <v>46</v>
      </c>
      <c r="B842">
        <v>52094</v>
      </c>
      <c r="C842" t="s">
        <v>53</v>
      </c>
      <c r="D842">
        <v>54198</v>
      </c>
      <c r="E842" t="s">
        <v>218</v>
      </c>
      <c r="F842">
        <v>8705</v>
      </c>
      <c r="G842">
        <v>0.51641174162156067</v>
      </c>
      <c r="H842">
        <v>0</v>
      </c>
      <c r="I842">
        <v>0</v>
      </c>
      <c r="J842">
        <v>0.41322353081477547</v>
      </c>
      <c r="K842">
        <v>0</v>
      </c>
      <c r="L842">
        <v>0</v>
      </c>
      <c r="M842">
        <v>0.28625779275324309</v>
      </c>
      <c r="N842">
        <v>0</v>
      </c>
      <c r="O842">
        <v>0</v>
      </c>
      <c r="P842">
        <v>0.26668108688461362</v>
      </c>
      <c r="Q842">
        <v>1.11399860038835</v>
      </c>
      <c r="R842">
        <v>2.6615689094649349</v>
      </c>
      <c r="S842">
        <v>0.25948947374083431</v>
      </c>
      <c r="T842">
        <v>0.19036612567235001</v>
      </c>
      <c r="U842">
        <v>4.3181849735784033</v>
      </c>
      <c r="V842">
        <v>0.14047845165370401</v>
      </c>
      <c r="W842">
        <v>7.4720209262492823</v>
      </c>
      <c r="X842">
        <v>0.30303880782329401</v>
      </c>
      <c r="Z842" t="s">
        <v>392</v>
      </c>
      <c r="AA842">
        <v>9937</v>
      </c>
      <c r="AB842" t="s">
        <v>1233</v>
      </c>
      <c r="AC842" t="str">
        <f>HYPERLINK("plots/20251231000436_3FT6Y121H01_04823_B11P_N_UFLEX98_M5358A8BH101511/dpll_52094/txpa_54198.png","plot")</f>
        <v>plot</v>
      </c>
    </row>
    <row r="843" spans="1:29" x14ac:dyDescent="0.35">
      <c r="A843" t="s">
        <v>46</v>
      </c>
      <c r="B843">
        <v>52094</v>
      </c>
      <c r="C843" t="s">
        <v>53</v>
      </c>
      <c r="D843">
        <v>54199</v>
      </c>
      <c r="E843" t="s">
        <v>219</v>
      </c>
      <c r="F843">
        <v>8693</v>
      </c>
      <c r="G843">
        <v>0.52175348035502067</v>
      </c>
      <c r="H843">
        <v>0</v>
      </c>
      <c r="I843">
        <v>0</v>
      </c>
      <c r="J843">
        <v>0.40904479619668449</v>
      </c>
      <c r="K843">
        <v>0</v>
      </c>
      <c r="L843">
        <v>0</v>
      </c>
      <c r="M843">
        <v>0.28218441524278642</v>
      </c>
      <c r="N843">
        <v>0</v>
      </c>
      <c r="O843">
        <v>0</v>
      </c>
      <c r="P843">
        <v>0.27222669426257701</v>
      </c>
      <c r="Q843">
        <v>1.0661713137206981</v>
      </c>
      <c r="R843">
        <v>3.025141103834645</v>
      </c>
      <c r="S843">
        <v>0.24377297545395879</v>
      </c>
      <c r="T843">
        <v>0.17600839308589719</v>
      </c>
      <c r="U843">
        <v>4.3187119490394572</v>
      </c>
      <c r="V843">
        <v>0.13984625469482581</v>
      </c>
      <c r="W843">
        <v>7.6296278961233179</v>
      </c>
      <c r="X843">
        <v>0.28576726500309751</v>
      </c>
      <c r="Z843" t="s">
        <v>392</v>
      </c>
      <c r="AA843">
        <v>9937</v>
      </c>
      <c r="AB843" t="s">
        <v>1234</v>
      </c>
      <c r="AC843" t="str">
        <f>HYPERLINK("plots/20251231000436_3FT6Y121H01_04823_B11P_N_UFLEX98_M5358A8BH101511/dpll_52094/txpa_54199.png","plot")</f>
        <v>plot</v>
      </c>
    </row>
    <row r="844" spans="1:29" x14ac:dyDescent="0.35">
      <c r="A844" t="s">
        <v>46</v>
      </c>
      <c r="B844">
        <v>52094</v>
      </c>
      <c r="C844" t="s">
        <v>53</v>
      </c>
      <c r="D844">
        <v>54200</v>
      </c>
      <c r="E844" t="s">
        <v>220</v>
      </c>
      <c r="F844">
        <v>8692</v>
      </c>
      <c r="G844">
        <v>0.53568698789344382</v>
      </c>
      <c r="H844">
        <v>0</v>
      </c>
      <c r="I844">
        <v>0</v>
      </c>
      <c r="J844">
        <v>0.43048025057537842</v>
      </c>
      <c r="K844">
        <v>0</v>
      </c>
      <c r="L844">
        <v>0</v>
      </c>
      <c r="M844">
        <v>0.29935995039517133</v>
      </c>
      <c r="N844">
        <v>0</v>
      </c>
      <c r="O844">
        <v>0</v>
      </c>
      <c r="P844">
        <v>0.28696054899835061</v>
      </c>
      <c r="Q844">
        <v>1.0490071191408299</v>
      </c>
      <c r="R844">
        <v>3.0318115571129969</v>
      </c>
      <c r="S844">
        <v>0.23102207133566249</v>
      </c>
      <c r="T844">
        <v>0.16549277418867819</v>
      </c>
      <c r="U844">
        <v>4.3187802983202941</v>
      </c>
      <c r="V844">
        <v>0.13971863671025611</v>
      </c>
      <c r="W844">
        <v>7.5622428360561438</v>
      </c>
      <c r="X844">
        <v>0.27360351828232982</v>
      </c>
      <c r="Z844" t="s">
        <v>392</v>
      </c>
      <c r="AA844">
        <v>9937</v>
      </c>
      <c r="AB844" t="s">
        <v>1235</v>
      </c>
      <c r="AC844" t="str">
        <f>HYPERLINK("plots/20251231000436_3FT6Y121H01_04823_B11P_N_UFLEX98_M5358A8BH101511/dpll_52094/txpa_54200.png","plot")</f>
        <v>plot</v>
      </c>
    </row>
    <row r="845" spans="1:29" x14ac:dyDescent="0.35">
      <c r="A845" t="s">
        <v>46</v>
      </c>
      <c r="B845">
        <v>52094</v>
      </c>
      <c r="C845" t="s">
        <v>53</v>
      </c>
      <c r="D845">
        <v>54201</v>
      </c>
      <c r="E845" t="s">
        <v>221</v>
      </c>
      <c r="F845">
        <v>8692</v>
      </c>
      <c r="G845">
        <v>0.51177077504553847</v>
      </c>
      <c r="H845">
        <v>0</v>
      </c>
      <c r="I845">
        <v>0</v>
      </c>
      <c r="J845">
        <v>0.39169925057545008</v>
      </c>
      <c r="K845">
        <v>0</v>
      </c>
      <c r="L845">
        <v>0</v>
      </c>
      <c r="M845">
        <v>0.26943236562184097</v>
      </c>
      <c r="N845">
        <v>0</v>
      </c>
      <c r="O845">
        <v>0</v>
      </c>
      <c r="P845">
        <v>0.26190932619071122</v>
      </c>
      <c r="Q845">
        <v>1.0649341495324161</v>
      </c>
      <c r="R845">
        <v>3.0880172908128571</v>
      </c>
      <c r="S845">
        <v>0.24963737183938001</v>
      </c>
      <c r="T845">
        <v>0.18243517733773171</v>
      </c>
      <c r="U845">
        <v>4.318804263920847</v>
      </c>
      <c r="V845">
        <v>0.13964727142263289</v>
      </c>
      <c r="W845">
        <v>7.6872594366083771</v>
      </c>
      <c r="X845">
        <v>0.29058937219256242</v>
      </c>
      <c r="Z845" t="s">
        <v>392</v>
      </c>
      <c r="AA845">
        <v>9937</v>
      </c>
      <c r="AB845" t="s">
        <v>1236</v>
      </c>
      <c r="AC845" t="str">
        <f>HYPERLINK("plots/20251231000436_3FT6Y121H01_04823_B11P_N_UFLEX98_M5358A8BH101511/dpll_52094/txpa_54201.png","plot")</f>
        <v>plot</v>
      </c>
    </row>
    <row r="846" spans="1:29" x14ac:dyDescent="0.35">
      <c r="A846" t="s">
        <v>46</v>
      </c>
      <c r="B846">
        <v>52094</v>
      </c>
      <c r="C846" t="s">
        <v>53</v>
      </c>
      <c r="D846">
        <v>54202</v>
      </c>
      <c r="E846" t="s">
        <v>222</v>
      </c>
      <c r="F846">
        <v>8714</v>
      </c>
      <c r="G846">
        <v>0.42591063871757562</v>
      </c>
      <c r="H846">
        <v>0</v>
      </c>
      <c r="I846">
        <v>0</v>
      </c>
      <c r="J846">
        <v>0.34106386521681148</v>
      </c>
      <c r="K846">
        <v>2.8185482259774358E-236</v>
      </c>
      <c r="L846">
        <v>4.6246082542736584E-236</v>
      </c>
      <c r="M846">
        <v>0.23606790595778149</v>
      </c>
      <c r="N846">
        <v>1.6700689743966021E-239</v>
      </c>
      <c r="O846">
        <v>2.7898681054994309E-239</v>
      </c>
      <c r="P846">
        <v>0.1813998721728132</v>
      </c>
      <c r="Q846">
        <v>0.93838499988069302</v>
      </c>
      <c r="R846">
        <v>3.161004222732029</v>
      </c>
      <c r="S846">
        <v>0.28097169916901432</v>
      </c>
      <c r="T846">
        <v>0.2045631922369682</v>
      </c>
      <c r="U846">
        <v>4.3177910638053696</v>
      </c>
      <c r="V846">
        <v>0.1409577717991419</v>
      </c>
      <c r="W846">
        <v>7.2127545896258889</v>
      </c>
      <c r="X846">
        <v>0.31056434530772892</v>
      </c>
      <c r="Z846" t="s">
        <v>392</v>
      </c>
      <c r="AA846">
        <v>9937</v>
      </c>
      <c r="AB846" t="s">
        <v>1237</v>
      </c>
      <c r="AC846" t="str">
        <f>HYPERLINK("plots/20251231000436_3FT6Y121H01_04823_B11P_N_UFLEX98_M5358A8BH101511/dpll_52094/txpa_54202.png","plot")</f>
        <v>plot</v>
      </c>
    </row>
    <row r="847" spans="1:29" x14ac:dyDescent="0.35">
      <c r="A847" t="s">
        <v>46</v>
      </c>
      <c r="B847">
        <v>52094</v>
      </c>
      <c r="C847" t="s">
        <v>53</v>
      </c>
      <c r="D847">
        <v>54203</v>
      </c>
      <c r="E847" t="s">
        <v>223</v>
      </c>
      <c r="F847">
        <v>8715</v>
      </c>
      <c r="G847">
        <v>0.4242536467090548</v>
      </c>
      <c r="H847">
        <v>0</v>
      </c>
      <c r="I847">
        <v>0</v>
      </c>
      <c r="J847">
        <v>0.35013170527393322</v>
      </c>
      <c r="K847">
        <v>8.8009108240395794E-250</v>
      </c>
      <c r="L847">
        <v>1.4973361703986801E-249</v>
      </c>
      <c r="M847">
        <v>0.24197101612191799</v>
      </c>
      <c r="N847">
        <v>1.4917414520609541E-251</v>
      </c>
      <c r="O847">
        <v>2.5594345725715871E-251</v>
      </c>
      <c r="P847">
        <v>0.1799911567459315</v>
      </c>
      <c r="Q847">
        <v>0.96073758632635309</v>
      </c>
      <c r="R847">
        <v>4.0227260158068399</v>
      </c>
      <c r="S847">
        <v>0.2891806680108796</v>
      </c>
      <c r="T847">
        <v>0.2035712120696028</v>
      </c>
      <c r="U847">
        <v>4.3177374527825583</v>
      </c>
      <c r="V847">
        <v>0.1410281175306248</v>
      </c>
      <c r="W847">
        <v>8.1709386745840504</v>
      </c>
      <c r="X847">
        <v>0.31936322596524158</v>
      </c>
      <c r="Z847" t="s">
        <v>392</v>
      </c>
      <c r="AA847">
        <v>9937</v>
      </c>
      <c r="AB847" t="s">
        <v>1238</v>
      </c>
      <c r="AC847" t="str">
        <f>HYPERLINK("plots/20251231000436_3FT6Y121H01_04823_B11P_N_UFLEX98_M5358A8BH101511/dpll_52094/txpa_54203.png","plot")</f>
        <v>plot</v>
      </c>
    </row>
    <row r="848" spans="1:29" x14ac:dyDescent="0.35">
      <c r="A848" t="s">
        <v>46</v>
      </c>
      <c r="B848">
        <v>52094</v>
      </c>
      <c r="C848" t="s">
        <v>53</v>
      </c>
      <c r="D848">
        <v>54204</v>
      </c>
      <c r="E848" t="s">
        <v>224</v>
      </c>
      <c r="F848">
        <v>8704</v>
      </c>
      <c r="G848">
        <v>0.49652655199570689</v>
      </c>
      <c r="H848">
        <v>0</v>
      </c>
      <c r="I848">
        <v>0</v>
      </c>
      <c r="J848">
        <v>0.41399334326198173</v>
      </c>
      <c r="K848">
        <v>0</v>
      </c>
      <c r="L848">
        <v>0</v>
      </c>
      <c r="M848">
        <v>0.28744811955848809</v>
      </c>
      <c r="N848">
        <v>0</v>
      </c>
      <c r="O848">
        <v>0</v>
      </c>
      <c r="P848">
        <v>0.24653861683674549</v>
      </c>
      <c r="Q848">
        <v>1.121653001747501</v>
      </c>
      <c r="R848">
        <v>3.5510251372633421</v>
      </c>
      <c r="S848">
        <v>0.27540180813103332</v>
      </c>
      <c r="T848">
        <v>0.1978703562940326</v>
      </c>
      <c r="U848">
        <v>4.3182167684972432</v>
      </c>
      <c r="V848">
        <v>0.14045758340743519</v>
      </c>
      <c r="W848">
        <v>8.3945659378446678</v>
      </c>
      <c r="X848">
        <v>0.31729354535809767</v>
      </c>
      <c r="Z848" t="s">
        <v>392</v>
      </c>
      <c r="AA848">
        <v>9937</v>
      </c>
      <c r="AB848" t="s">
        <v>1239</v>
      </c>
      <c r="AC848" t="str">
        <f>HYPERLINK("plots/20251231000436_3FT6Y121H01_04823_B11P_N_UFLEX98_M5358A8BH101511/dpll_52094/txpa_54204.png","plot")</f>
        <v>plot</v>
      </c>
    </row>
    <row r="849" spans="1:29" x14ac:dyDescent="0.35">
      <c r="A849" t="s">
        <v>46</v>
      </c>
      <c r="B849">
        <v>52094</v>
      </c>
      <c r="C849" t="s">
        <v>53</v>
      </c>
      <c r="D849">
        <v>54205</v>
      </c>
      <c r="E849" t="s">
        <v>225</v>
      </c>
      <c r="F849">
        <v>8675</v>
      </c>
      <c r="G849">
        <v>0.48606817578411748</v>
      </c>
      <c r="H849">
        <v>0</v>
      </c>
      <c r="I849">
        <v>0</v>
      </c>
      <c r="J849">
        <v>0.41947149052955518</v>
      </c>
      <c r="K849">
        <v>0</v>
      </c>
      <c r="L849">
        <v>0</v>
      </c>
      <c r="M849">
        <v>0.29208270845515849</v>
      </c>
      <c r="N849">
        <v>0</v>
      </c>
      <c r="O849">
        <v>0</v>
      </c>
      <c r="P849">
        <v>0.23626227151009979</v>
      </c>
      <c r="Q849">
        <v>1.1120858404517231</v>
      </c>
      <c r="R849">
        <v>3.7602524381551699</v>
      </c>
      <c r="S849">
        <v>0.27663751692426891</v>
      </c>
      <c r="T849">
        <v>0.19318511719092629</v>
      </c>
      <c r="U849">
        <v>4.3196623493948128</v>
      </c>
      <c r="V849">
        <v>0.1383639221747261</v>
      </c>
      <c r="W849">
        <v>8.5640877724495663</v>
      </c>
      <c r="X849">
        <v>0.31656579538796659</v>
      </c>
      <c r="Z849" t="s">
        <v>392</v>
      </c>
      <c r="AA849">
        <v>9937</v>
      </c>
      <c r="AB849" t="s">
        <v>1240</v>
      </c>
      <c r="AC849" t="str">
        <f>HYPERLINK("plots/20251231000436_3FT6Y121H01_04823_B11P_N_UFLEX98_M5358A8BH101511/dpll_52094/txpa_54205.png","plot")</f>
        <v>plot</v>
      </c>
    </row>
    <row r="850" spans="1:29" x14ac:dyDescent="0.35">
      <c r="A850" t="s">
        <v>46</v>
      </c>
      <c r="B850">
        <v>52094</v>
      </c>
      <c r="C850" t="s">
        <v>53</v>
      </c>
      <c r="D850">
        <v>54206</v>
      </c>
      <c r="E850" t="s">
        <v>226</v>
      </c>
      <c r="F850">
        <v>8696</v>
      </c>
      <c r="G850">
        <v>0.52011948988925583</v>
      </c>
      <c r="H850">
        <v>0</v>
      </c>
      <c r="I850">
        <v>0</v>
      </c>
      <c r="J850">
        <v>0.42768697170505598</v>
      </c>
      <c r="K850">
        <v>0</v>
      </c>
      <c r="L850">
        <v>0</v>
      </c>
      <c r="M850">
        <v>0.29835153897124111</v>
      </c>
      <c r="N850">
        <v>0</v>
      </c>
      <c r="O850">
        <v>0</v>
      </c>
      <c r="P850">
        <v>0.27052428376265969</v>
      </c>
      <c r="Q850">
        <v>1.1531184462982049</v>
      </c>
      <c r="R850">
        <v>3.3833983207484981</v>
      </c>
      <c r="S850">
        <v>0.26508094789798492</v>
      </c>
      <c r="T850">
        <v>0.1902837510974853</v>
      </c>
      <c r="U850">
        <v>4.3185788632704689</v>
      </c>
      <c r="V850">
        <v>0.13999975514674329</v>
      </c>
      <c r="W850">
        <v>8.3632312697792095</v>
      </c>
      <c r="X850">
        <v>0.31038310095111982</v>
      </c>
      <c r="Z850" t="s">
        <v>392</v>
      </c>
      <c r="AA850">
        <v>9937</v>
      </c>
      <c r="AB850" t="s">
        <v>1241</v>
      </c>
      <c r="AC850" t="str">
        <f>HYPERLINK("plots/20251231000436_3FT6Y121H01_04823_B11P_N_UFLEX98_M5358A8BH101511/dpll_52094/txpa_54206.png","plot")</f>
        <v>plot</v>
      </c>
    </row>
    <row r="851" spans="1:29" x14ac:dyDescent="0.35">
      <c r="A851" t="s">
        <v>46</v>
      </c>
      <c r="B851">
        <v>52094</v>
      </c>
      <c r="C851" t="s">
        <v>53</v>
      </c>
      <c r="D851">
        <v>54207</v>
      </c>
      <c r="E851" t="s">
        <v>227</v>
      </c>
      <c r="F851">
        <v>8678</v>
      </c>
      <c r="G851">
        <v>0.51772149241765586</v>
      </c>
      <c r="H851">
        <v>0</v>
      </c>
      <c r="I851">
        <v>0</v>
      </c>
      <c r="J851">
        <v>0.42435149065623751</v>
      </c>
      <c r="K851">
        <v>0</v>
      </c>
      <c r="L851">
        <v>0</v>
      </c>
      <c r="M851">
        <v>0.29523144420075559</v>
      </c>
      <c r="N851">
        <v>0</v>
      </c>
      <c r="O851">
        <v>0</v>
      </c>
      <c r="P851">
        <v>0.26803554371116489</v>
      </c>
      <c r="Q851">
        <v>1.096663588474559</v>
      </c>
      <c r="R851">
        <v>3.772907170759233</v>
      </c>
      <c r="S851">
        <v>0.25105500323750779</v>
      </c>
      <c r="T851">
        <v>0.17656401106804939</v>
      </c>
      <c r="U851">
        <v>4.3195278557271264</v>
      </c>
      <c r="V851">
        <v>0.13853888210122209</v>
      </c>
      <c r="W851">
        <v>8.5099760895367602</v>
      </c>
      <c r="X851">
        <v>0.2934599969549167</v>
      </c>
      <c r="Z851" t="s">
        <v>392</v>
      </c>
      <c r="AA851">
        <v>9937</v>
      </c>
      <c r="AB851" t="s">
        <v>1242</v>
      </c>
      <c r="AC851" t="str">
        <f>HYPERLINK("plots/20251231000436_3FT6Y121H01_04823_B11P_N_UFLEX98_M5358A8BH101511/dpll_52094/txpa_54207.png","plot")</f>
        <v>plot</v>
      </c>
    </row>
    <row r="852" spans="1:29" x14ac:dyDescent="0.35">
      <c r="A852" t="s">
        <v>46</v>
      </c>
      <c r="B852">
        <v>52094</v>
      </c>
      <c r="C852" t="s">
        <v>53</v>
      </c>
      <c r="D852">
        <v>54208</v>
      </c>
      <c r="E852" t="s">
        <v>228</v>
      </c>
      <c r="F852">
        <v>8684</v>
      </c>
      <c r="G852">
        <v>0.53451546474978529</v>
      </c>
      <c r="H852">
        <v>0</v>
      </c>
      <c r="I852">
        <v>0</v>
      </c>
      <c r="J852">
        <v>0.44475180577805629</v>
      </c>
      <c r="K852">
        <v>0</v>
      </c>
      <c r="L852">
        <v>0</v>
      </c>
      <c r="M852">
        <v>0.31225616639121551</v>
      </c>
      <c r="N852">
        <v>0</v>
      </c>
      <c r="O852">
        <v>0</v>
      </c>
      <c r="P852">
        <v>0.28570678205667888</v>
      </c>
      <c r="Q852">
        <v>1.092598431662527</v>
      </c>
      <c r="R852">
        <v>3.7246558677076829</v>
      </c>
      <c r="S852">
        <v>0.24016652178343001</v>
      </c>
      <c r="T852">
        <v>0.16766049222088461</v>
      </c>
      <c r="U852">
        <v>4.3192145072547206</v>
      </c>
      <c r="V852">
        <v>0.13902692402220171</v>
      </c>
      <c r="W852">
        <v>8.4438228643482258</v>
      </c>
      <c r="X852">
        <v>0.28418373117909651</v>
      </c>
      <c r="Z852" t="s">
        <v>392</v>
      </c>
      <c r="AA852">
        <v>9937</v>
      </c>
      <c r="AB852" t="s">
        <v>1243</v>
      </c>
      <c r="AC852" t="str">
        <f>HYPERLINK("plots/20251231000436_3FT6Y121H01_04823_B11P_N_UFLEX98_M5358A8BH101511/dpll_52094/txpa_54208.png","plot")</f>
        <v>plot</v>
      </c>
    </row>
    <row r="853" spans="1:29" x14ac:dyDescent="0.35">
      <c r="A853" t="s">
        <v>46</v>
      </c>
      <c r="B853">
        <v>52094</v>
      </c>
      <c r="C853" t="s">
        <v>53</v>
      </c>
      <c r="D853">
        <v>54209</v>
      </c>
      <c r="E853" t="s">
        <v>229</v>
      </c>
      <c r="F853">
        <v>8664</v>
      </c>
      <c r="G853">
        <v>0.49824815227863312</v>
      </c>
      <c r="H853">
        <v>0</v>
      </c>
      <c r="I853">
        <v>0</v>
      </c>
      <c r="J853">
        <v>0.40911079672278933</v>
      </c>
      <c r="K853">
        <v>0</v>
      </c>
      <c r="L853">
        <v>0</v>
      </c>
      <c r="M853">
        <v>0.28362441702885272</v>
      </c>
      <c r="N853">
        <v>0</v>
      </c>
      <c r="O853">
        <v>0</v>
      </c>
      <c r="P853">
        <v>0.2482512212490719</v>
      </c>
      <c r="Q853">
        <v>1.0533359723475111</v>
      </c>
      <c r="R853">
        <v>4.0092704583556733</v>
      </c>
      <c r="S853">
        <v>0.25173173820312927</v>
      </c>
      <c r="T853">
        <v>0.1791089535219689</v>
      </c>
      <c r="U853">
        <v>4.3202803672668511</v>
      </c>
      <c r="V853">
        <v>0.13734266001971471</v>
      </c>
      <c r="W853">
        <v>8.5599771798245623</v>
      </c>
      <c r="X853">
        <v>0.29035323799004809</v>
      </c>
      <c r="Z853" t="s">
        <v>392</v>
      </c>
      <c r="AA853">
        <v>9937</v>
      </c>
      <c r="AB853" t="s">
        <v>1244</v>
      </c>
      <c r="AC853" t="str">
        <f>HYPERLINK("plots/20251231000436_3FT6Y121H01_04823_B11P_N_UFLEX98_M5358A8BH101511/dpll_52094/txpa_54209.png","plot")</f>
        <v>plot</v>
      </c>
    </row>
    <row r="854" spans="1:29" x14ac:dyDescent="0.35">
      <c r="A854" t="s">
        <v>46</v>
      </c>
      <c r="B854">
        <v>52094</v>
      </c>
      <c r="C854" t="s">
        <v>53</v>
      </c>
      <c r="D854">
        <v>54210</v>
      </c>
      <c r="E854" t="s">
        <v>230</v>
      </c>
      <c r="F854">
        <v>8712</v>
      </c>
      <c r="G854">
        <v>0.44930995948824709</v>
      </c>
      <c r="H854">
        <v>0</v>
      </c>
      <c r="I854">
        <v>0</v>
      </c>
      <c r="J854">
        <v>0.35185749480090928</v>
      </c>
      <c r="K854">
        <v>2.5963831545223552E-252</v>
      </c>
      <c r="L854">
        <v>4.4547081534444472E-252</v>
      </c>
      <c r="M854">
        <v>0.2437871412472461</v>
      </c>
      <c r="N854">
        <v>3.183328656048193E-255</v>
      </c>
      <c r="O854">
        <v>5.5845938706450989E-255</v>
      </c>
      <c r="P854">
        <v>0.20187943969533029</v>
      </c>
      <c r="Q854">
        <v>0.99284511404040388</v>
      </c>
      <c r="R854">
        <v>3.8482984799719961</v>
      </c>
      <c r="S854">
        <v>0.27803692017186638</v>
      </c>
      <c r="T854">
        <v>0.20112362349662191</v>
      </c>
      <c r="U854">
        <v>4.3178804982782371</v>
      </c>
      <c r="V854">
        <v>0.14085027158546581</v>
      </c>
      <c r="W854">
        <v>8.1352850356978887</v>
      </c>
      <c r="X854">
        <v>0.31123838010216959</v>
      </c>
      <c r="Z854" t="s">
        <v>392</v>
      </c>
      <c r="AA854">
        <v>9937</v>
      </c>
      <c r="AB854" t="s">
        <v>1245</v>
      </c>
      <c r="AC854" t="str">
        <f>HYPERLINK("plots/20251231000436_3FT6Y121H01_04823_B11P_N_UFLEX98_M5358A8BH101511/dpll_52094/txpa_54210.png","plot")</f>
        <v>plot</v>
      </c>
    </row>
    <row r="855" spans="1:29" x14ac:dyDescent="0.35">
      <c r="A855" t="s">
        <v>46</v>
      </c>
      <c r="B855">
        <v>52094</v>
      </c>
      <c r="C855" t="s">
        <v>53</v>
      </c>
      <c r="D855">
        <v>54211</v>
      </c>
      <c r="E855" t="s">
        <v>231</v>
      </c>
      <c r="F855">
        <v>8707</v>
      </c>
      <c r="G855">
        <v>0.4424108658231895</v>
      </c>
      <c r="H855">
        <v>0</v>
      </c>
      <c r="I855">
        <v>0</v>
      </c>
      <c r="J855">
        <v>0.36800151428361327</v>
      </c>
      <c r="K855">
        <v>1.991870541238327E-277</v>
      </c>
      <c r="L855">
        <v>3.7264884295491949E-277</v>
      </c>
      <c r="M855">
        <v>0.25510246108378049</v>
      </c>
      <c r="N855">
        <v>4.2048849266118467E-279</v>
      </c>
      <c r="O855">
        <v>7.9399503083508618E-279</v>
      </c>
      <c r="P855">
        <v>0.1957273741984242</v>
      </c>
      <c r="Q855">
        <v>1.0238321645606401</v>
      </c>
      <c r="R855">
        <v>4.6266240804482939</v>
      </c>
      <c r="S855">
        <v>0.29181843475913177</v>
      </c>
      <c r="T855">
        <v>0.20248119890839469</v>
      </c>
      <c r="U855">
        <v>4.3180852182152289</v>
      </c>
      <c r="V855">
        <v>0.14061544856133229</v>
      </c>
      <c r="W855">
        <v>9.0476186161708956</v>
      </c>
      <c r="X855">
        <v>0.32541384082720681</v>
      </c>
      <c r="Z855" t="s">
        <v>392</v>
      </c>
      <c r="AA855">
        <v>9937</v>
      </c>
      <c r="AB855" t="s">
        <v>1246</v>
      </c>
      <c r="AC855" t="str">
        <f>HYPERLINK("plots/20251231000436_3FT6Y121H01_04823_B11P_N_UFLEX98_M5358A8BH101511/dpll_52094/txpa_54211.png","plot")</f>
        <v>plot</v>
      </c>
    </row>
    <row r="856" spans="1:29" x14ac:dyDescent="0.35">
      <c r="A856" t="s">
        <v>46</v>
      </c>
      <c r="B856">
        <v>52094</v>
      </c>
      <c r="C856" t="s">
        <v>53</v>
      </c>
      <c r="D856">
        <v>54212</v>
      </c>
      <c r="E856" t="s">
        <v>232</v>
      </c>
      <c r="F856">
        <v>8689</v>
      </c>
      <c r="G856">
        <v>0.49764194745922352</v>
      </c>
      <c r="H856">
        <v>0</v>
      </c>
      <c r="I856">
        <v>0</v>
      </c>
      <c r="J856">
        <v>0.42998884022995781</v>
      </c>
      <c r="K856">
        <v>0</v>
      </c>
      <c r="L856">
        <v>0</v>
      </c>
      <c r="M856">
        <v>0.30094487232533063</v>
      </c>
      <c r="N856">
        <v>0</v>
      </c>
      <c r="O856">
        <v>0</v>
      </c>
      <c r="P856">
        <v>0.24764750787100859</v>
      </c>
      <c r="Q856">
        <v>1.163972931733112</v>
      </c>
      <c r="R856">
        <v>4.2124847970078907</v>
      </c>
      <c r="S856">
        <v>0.28325233459073501</v>
      </c>
      <c r="T856">
        <v>0.19848088035488601</v>
      </c>
      <c r="U856">
        <v>4.3188411839106919</v>
      </c>
      <c r="V856">
        <v>0.1396245893030722</v>
      </c>
      <c r="W856">
        <v>9.2394990315341232</v>
      </c>
      <c r="X856">
        <v>0.3265786644049844</v>
      </c>
      <c r="Z856" t="s">
        <v>392</v>
      </c>
      <c r="AA856">
        <v>9937</v>
      </c>
      <c r="AB856" t="s">
        <v>1247</v>
      </c>
      <c r="AC856" t="str">
        <f>HYPERLINK("plots/20251231000436_3FT6Y121H01_04823_B11P_N_UFLEX98_M5358A8BH101511/dpll_52094/txpa_54212.png","plot")</f>
        <v>plot</v>
      </c>
    </row>
    <row r="857" spans="1:29" x14ac:dyDescent="0.35">
      <c r="A857" t="s">
        <v>46</v>
      </c>
      <c r="B857">
        <v>52094</v>
      </c>
      <c r="C857" t="s">
        <v>53</v>
      </c>
      <c r="D857">
        <v>54213</v>
      </c>
      <c r="E857" t="s">
        <v>233</v>
      </c>
      <c r="F857">
        <v>8631</v>
      </c>
      <c r="G857">
        <v>0.46595058933713318</v>
      </c>
      <c r="H857">
        <v>0</v>
      </c>
      <c r="I857">
        <v>0</v>
      </c>
      <c r="J857">
        <v>0.43817416135932757</v>
      </c>
      <c r="K857">
        <v>0</v>
      </c>
      <c r="L857">
        <v>0</v>
      </c>
      <c r="M857">
        <v>0.30903541154072589</v>
      </c>
      <c r="N857">
        <v>0</v>
      </c>
      <c r="O857">
        <v>0</v>
      </c>
      <c r="P857">
        <v>0.21710995170362171</v>
      </c>
      <c r="Q857">
        <v>1.0892817606879011</v>
      </c>
      <c r="R857">
        <v>4.6672540335597983</v>
      </c>
      <c r="S857">
        <v>0.27938897303886512</v>
      </c>
      <c r="T857">
        <v>0.1903800119673259</v>
      </c>
      <c r="U857">
        <v>4.3215850406673617</v>
      </c>
      <c r="V857">
        <v>0.13507770371643951</v>
      </c>
      <c r="W857">
        <v>9.3746777956204372</v>
      </c>
      <c r="X857">
        <v>0.31577957470392259</v>
      </c>
      <c r="Z857" t="s">
        <v>392</v>
      </c>
      <c r="AA857">
        <v>9937</v>
      </c>
      <c r="AB857" t="s">
        <v>1248</v>
      </c>
      <c r="AC857" t="str">
        <f>HYPERLINK("plots/20251231000436_3FT6Y121H01_04823_B11P_N_UFLEX98_M5358A8BH101511/dpll_52094/txpa_54213.png","plot")</f>
        <v>plot</v>
      </c>
    </row>
    <row r="858" spans="1:29" x14ac:dyDescent="0.35">
      <c r="A858" t="s">
        <v>46</v>
      </c>
      <c r="B858">
        <v>52094</v>
      </c>
      <c r="C858" t="s">
        <v>53</v>
      </c>
      <c r="D858">
        <v>54214</v>
      </c>
      <c r="E858" t="s">
        <v>234</v>
      </c>
      <c r="F858">
        <v>8684</v>
      </c>
      <c r="G858">
        <v>0.52058360220265054</v>
      </c>
      <c r="H858">
        <v>0</v>
      </c>
      <c r="I858">
        <v>0</v>
      </c>
      <c r="J858">
        <v>0.44409379802483512</v>
      </c>
      <c r="K858">
        <v>0</v>
      </c>
      <c r="L858">
        <v>0</v>
      </c>
      <c r="M858">
        <v>0.31293274378905311</v>
      </c>
      <c r="N858">
        <v>0</v>
      </c>
      <c r="O858">
        <v>0</v>
      </c>
      <c r="P858">
        <v>0.27100728688228748</v>
      </c>
      <c r="Q858">
        <v>1.201478190987773</v>
      </c>
      <c r="R858">
        <v>4.0171089069216039</v>
      </c>
      <c r="S858">
        <v>0.2743774325121871</v>
      </c>
      <c r="T858">
        <v>0.1918695888458381</v>
      </c>
      <c r="U858">
        <v>4.3190957869645326</v>
      </c>
      <c r="V858">
        <v>0.13924717508215881</v>
      </c>
      <c r="W858">
        <v>9.206408299746661</v>
      </c>
      <c r="X858">
        <v>0.32137478650882112</v>
      </c>
      <c r="Z858" t="s">
        <v>392</v>
      </c>
      <c r="AA858">
        <v>9937</v>
      </c>
      <c r="AB858" t="s">
        <v>1249</v>
      </c>
      <c r="AC858" t="str">
        <f>HYPERLINK("plots/20251231000436_3FT6Y121H01_04823_B11P_N_UFLEX98_M5358A8BH101511/dpll_52094/txpa_54214.png","plot")</f>
        <v>plot</v>
      </c>
    </row>
    <row r="859" spans="1:29" x14ac:dyDescent="0.35">
      <c r="A859" t="s">
        <v>46</v>
      </c>
      <c r="B859">
        <v>52094</v>
      </c>
      <c r="C859" t="s">
        <v>53</v>
      </c>
      <c r="D859">
        <v>54215</v>
      </c>
      <c r="E859" t="s">
        <v>235</v>
      </c>
      <c r="F859">
        <v>8633</v>
      </c>
      <c r="G859">
        <v>0.48976433209700432</v>
      </c>
      <c r="H859">
        <v>0</v>
      </c>
      <c r="I859">
        <v>0</v>
      </c>
      <c r="J859">
        <v>0.43735280960354311</v>
      </c>
      <c r="K859">
        <v>0</v>
      </c>
      <c r="L859">
        <v>0</v>
      </c>
      <c r="M859">
        <v>0.30742818723555321</v>
      </c>
      <c r="N859">
        <v>0</v>
      </c>
      <c r="O859">
        <v>0</v>
      </c>
      <c r="P859">
        <v>0.23986910099442471</v>
      </c>
      <c r="Q859">
        <v>1.067702290495335</v>
      </c>
      <c r="R859">
        <v>4.7294879051088392</v>
      </c>
      <c r="S859">
        <v>0.25638045342722798</v>
      </c>
      <c r="T859">
        <v>0.1754948405142184</v>
      </c>
      <c r="U859">
        <v>4.3217469167149316</v>
      </c>
      <c r="V859">
        <v>0.1348971740706667</v>
      </c>
      <c r="W859">
        <v>9.3438269870265245</v>
      </c>
      <c r="X859">
        <v>0.29408025921346959</v>
      </c>
      <c r="Z859" t="s">
        <v>392</v>
      </c>
      <c r="AA859">
        <v>9937</v>
      </c>
      <c r="AB859" t="s">
        <v>1250</v>
      </c>
      <c r="AC859" t="str">
        <f>HYPERLINK("plots/20251231000436_3FT6Y121H01_04823_B11P_N_UFLEX98_M5358A8BH101511/dpll_52094/txpa_54215.png","plot")</f>
        <v>plot</v>
      </c>
    </row>
    <row r="860" spans="1:29" x14ac:dyDescent="0.35">
      <c r="A860" t="s">
        <v>46</v>
      </c>
      <c r="B860">
        <v>52094</v>
      </c>
      <c r="C860" t="s">
        <v>53</v>
      </c>
      <c r="D860">
        <v>54216</v>
      </c>
      <c r="E860" t="s">
        <v>236</v>
      </c>
      <c r="F860">
        <v>8648</v>
      </c>
      <c r="G860">
        <v>0.5070587846889939</v>
      </c>
      <c r="H860">
        <v>0</v>
      </c>
      <c r="I860">
        <v>0</v>
      </c>
      <c r="J860">
        <v>0.45487676235918562</v>
      </c>
      <c r="K860">
        <v>0</v>
      </c>
      <c r="L860">
        <v>0</v>
      </c>
      <c r="M860">
        <v>0.32290067284195512</v>
      </c>
      <c r="N860">
        <v>0</v>
      </c>
      <c r="O860">
        <v>0</v>
      </c>
      <c r="P860">
        <v>0.2571086111302795</v>
      </c>
      <c r="Q860">
        <v>1.078661457497244</v>
      </c>
      <c r="R860">
        <v>4.6185269996431364</v>
      </c>
      <c r="S860">
        <v>0.24936915638677931</v>
      </c>
      <c r="T860">
        <v>0.16964807780112329</v>
      </c>
      <c r="U860">
        <v>4.32112847953284</v>
      </c>
      <c r="V860">
        <v>0.13601234713173599</v>
      </c>
      <c r="W860">
        <v>9.2795617434088804</v>
      </c>
      <c r="X860">
        <v>0.28933780663069542</v>
      </c>
      <c r="Z860" t="s">
        <v>392</v>
      </c>
      <c r="AA860">
        <v>9937</v>
      </c>
      <c r="AB860" t="s">
        <v>1251</v>
      </c>
      <c r="AC860" t="str">
        <f>HYPERLINK("plots/20251231000436_3FT6Y121H01_04823_B11P_N_UFLEX98_M5358A8BH101511/dpll_52094/txpa_54216.png","plot")</f>
        <v>plot</v>
      </c>
    </row>
    <row r="861" spans="1:29" x14ac:dyDescent="0.35">
      <c r="A861" t="s">
        <v>46</v>
      </c>
      <c r="B861">
        <v>52094</v>
      </c>
      <c r="C861" t="s">
        <v>53</v>
      </c>
      <c r="D861">
        <v>54217</v>
      </c>
      <c r="E861" t="s">
        <v>237</v>
      </c>
      <c r="F861">
        <v>8630</v>
      </c>
      <c r="G861">
        <v>0.47308531331609349</v>
      </c>
      <c r="H861">
        <v>0</v>
      </c>
      <c r="I861">
        <v>0</v>
      </c>
      <c r="J861">
        <v>0.42656622191276211</v>
      </c>
      <c r="K861">
        <v>0</v>
      </c>
      <c r="L861">
        <v>0</v>
      </c>
      <c r="M861">
        <v>0.29904312510408732</v>
      </c>
      <c r="N861">
        <v>0</v>
      </c>
      <c r="O861">
        <v>0</v>
      </c>
      <c r="P861">
        <v>0.22380971367538641</v>
      </c>
      <c r="Q861">
        <v>1.0329889158712899</v>
      </c>
      <c r="R861">
        <v>4.9138331061692204</v>
      </c>
      <c r="S861">
        <v>0.25858147856130981</v>
      </c>
      <c r="T861">
        <v>0.1785007794831871</v>
      </c>
      <c r="U861">
        <v>4.3221016181923524</v>
      </c>
      <c r="V861">
        <v>0.1344256918584795</v>
      </c>
      <c r="W861">
        <v>9.3785161710312863</v>
      </c>
      <c r="X861">
        <v>0.29352052534625811</v>
      </c>
      <c r="Z861" t="s">
        <v>392</v>
      </c>
      <c r="AA861">
        <v>9937</v>
      </c>
      <c r="AB861" t="s">
        <v>1252</v>
      </c>
      <c r="AC861" t="str">
        <f>HYPERLINK("plots/20251231000436_3FT6Y121H01_04823_B11P_N_UFLEX98_M5358A8BH101511/dpll_52094/txpa_54217.png","plot")</f>
        <v>plot</v>
      </c>
    </row>
    <row r="862" spans="1:29" x14ac:dyDescent="0.35">
      <c r="A862" t="s">
        <v>46</v>
      </c>
      <c r="B862">
        <v>52094</v>
      </c>
      <c r="C862" t="s">
        <v>53</v>
      </c>
      <c r="D862">
        <v>54218</v>
      </c>
      <c r="E862" t="s">
        <v>238</v>
      </c>
      <c r="F862">
        <v>8709</v>
      </c>
      <c r="G862">
        <v>0.47117825327039081</v>
      </c>
      <c r="H862">
        <v>0</v>
      </c>
      <c r="I862">
        <v>0</v>
      </c>
      <c r="J862">
        <v>0.36494567837448988</v>
      </c>
      <c r="K862">
        <v>1.353140084904113E-272</v>
      </c>
      <c r="L862">
        <v>2.4946982656232199E-272</v>
      </c>
      <c r="M862">
        <v>0.25295752128172039</v>
      </c>
      <c r="N862">
        <v>1.5801428918009061E-274</v>
      </c>
      <c r="O862">
        <v>2.929186274746104E-274</v>
      </c>
      <c r="P862">
        <v>0.22200894635493651</v>
      </c>
      <c r="Q862">
        <v>1.0568782838013639</v>
      </c>
      <c r="R862">
        <v>4.4529248764712532</v>
      </c>
      <c r="S862">
        <v>0.27833713491294559</v>
      </c>
      <c r="T862">
        <v>0.19956552771367489</v>
      </c>
      <c r="U862">
        <v>4.3180132020897926</v>
      </c>
      <c r="V862">
        <v>0.14069188539863789</v>
      </c>
      <c r="W862">
        <v>9.0165392589275459</v>
      </c>
      <c r="X862">
        <v>0.31557950171261601</v>
      </c>
      <c r="Z862" t="s">
        <v>392</v>
      </c>
      <c r="AA862">
        <v>9937</v>
      </c>
      <c r="AB862" t="s">
        <v>1253</v>
      </c>
      <c r="AC862" t="str">
        <f>HYPERLINK("plots/20251231000436_3FT6Y121H01_04823_B11P_N_UFLEX98_M5358A8BH101511/dpll_52094/txpa_54218.png","plot")</f>
        <v>plot</v>
      </c>
    </row>
    <row r="863" spans="1:29" x14ac:dyDescent="0.35">
      <c r="A863" t="s">
        <v>46</v>
      </c>
      <c r="B863">
        <v>52094</v>
      </c>
      <c r="C863" t="s">
        <v>53</v>
      </c>
      <c r="D863">
        <v>54219</v>
      </c>
      <c r="E863" t="s">
        <v>239</v>
      </c>
      <c r="F863">
        <v>8697</v>
      </c>
      <c r="G863">
        <v>0.46472699090904113</v>
      </c>
      <c r="H863">
        <v>0</v>
      </c>
      <c r="I863">
        <v>0</v>
      </c>
      <c r="J863">
        <v>0.392998013243329</v>
      </c>
      <c r="K863">
        <v>0</v>
      </c>
      <c r="L863">
        <v>0</v>
      </c>
      <c r="M863">
        <v>0.27378039303030338</v>
      </c>
      <c r="N863">
        <v>0</v>
      </c>
      <c r="O863">
        <v>0</v>
      </c>
      <c r="P863">
        <v>0.215971176079372</v>
      </c>
      <c r="Q863">
        <v>1.1203910131511201</v>
      </c>
      <c r="R863">
        <v>5.0696880365411516</v>
      </c>
      <c r="S863">
        <v>0.29942498597586081</v>
      </c>
      <c r="T863">
        <v>0.20448324934743781</v>
      </c>
      <c r="U863">
        <v>4.3182997149591822</v>
      </c>
      <c r="V863">
        <v>0.14027338353653551</v>
      </c>
      <c r="W863">
        <v>9.9078722292744619</v>
      </c>
      <c r="X863">
        <v>0.33817927809877318</v>
      </c>
      <c r="Z863" t="s">
        <v>392</v>
      </c>
      <c r="AA863">
        <v>9937</v>
      </c>
      <c r="AB863" t="s">
        <v>1254</v>
      </c>
      <c r="AC863" t="str">
        <f>HYPERLINK("plots/20251231000436_3FT6Y121H01_04823_B11P_N_UFLEX98_M5358A8BH101511/dpll_52094/txpa_54219.png","plot")</f>
        <v>plot</v>
      </c>
    </row>
    <row r="864" spans="1:29" x14ac:dyDescent="0.35">
      <c r="A864" t="s">
        <v>46</v>
      </c>
      <c r="B864">
        <v>52094</v>
      </c>
      <c r="C864" t="s">
        <v>53</v>
      </c>
      <c r="D864">
        <v>54220</v>
      </c>
      <c r="E864" t="s">
        <v>240</v>
      </c>
      <c r="F864">
        <v>8666</v>
      </c>
      <c r="G864">
        <v>0.4984220785798254</v>
      </c>
      <c r="H864">
        <v>0</v>
      </c>
      <c r="I864">
        <v>0</v>
      </c>
      <c r="J864">
        <v>0.45126478437514889</v>
      </c>
      <c r="K864">
        <v>0</v>
      </c>
      <c r="L864">
        <v>0</v>
      </c>
      <c r="M864">
        <v>0.31989243184200927</v>
      </c>
      <c r="N864">
        <v>0</v>
      </c>
      <c r="O864">
        <v>0</v>
      </c>
      <c r="P864">
        <v>0.24842456841583371</v>
      </c>
      <c r="Q864">
        <v>1.2246356344504961</v>
      </c>
      <c r="R864">
        <v>4.7688046633844028</v>
      </c>
      <c r="S864">
        <v>0.29420011587466027</v>
      </c>
      <c r="T864">
        <v>0.2003572403007704</v>
      </c>
      <c r="U864">
        <v>4.3196454698822988</v>
      </c>
      <c r="V864">
        <v>0.13812490439511721</v>
      </c>
      <c r="W864">
        <v>10.058796433994919</v>
      </c>
      <c r="X864">
        <v>0.33937637836851448</v>
      </c>
      <c r="Z864" t="s">
        <v>392</v>
      </c>
      <c r="AA864">
        <v>9937</v>
      </c>
      <c r="AB864" t="s">
        <v>1255</v>
      </c>
      <c r="AC864" t="str">
        <f>HYPERLINK("plots/20251231000436_3FT6Y121H01_04823_B11P_N_UFLEX98_M5358A8BH101511/dpll_52094/txpa_54220.png","plot")</f>
        <v>plot</v>
      </c>
    </row>
    <row r="865" spans="1:29" x14ac:dyDescent="0.35">
      <c r="A865" t="s">
        <v>46</v>
      </c>
      <c r="B865">
        <v>52094</v>
      </c>
      <c r="C865" t="s">
        <v>53</v>
      </c>
      <c r="D865">
        <v>54221</v>
      </c>
      <c r="E865" t="s">
        <v>241</v>
      </c>
      <c r="F865">
        <v>8588</v>
      </c>
      <c r="G865">
        <v>0.42963022762708009</v>
      </c>
      <c r="H865">
        <v>0</v>
      </c>
      <c r="I865">
        <v>0</v>
      </c>
      <c r="J865">
        <v>0.44931639698459708</v>
      </c>
      <c r="K865">
        <v>0</v>
      </c>
      <c r="L865">
        <v>0</v>
      </c>
      <c r="M865">
        <v>0.32069665084230098</v>
      </c>
      <c r="N865">
        <v>0</v>
      </c>
      <c r="O865">
        <v>0</v>
      </c>
      <c r="P865">
        <v>0.18458213249089669</v>
      </c>
      <c r="Q865">
        <v>1.0507803124527599</v>
      </c>
      <c r="R865">
        <v>5.5989250408305464</v>
      </c>
      <c r="S865">
        <v>0.29108277117734421</v>
      </c>
      <c r="T865">
        <v>0.19409067422134829</v>
      </c>
      <c r="U865">
        <v>4.3237109162785279</v>
      </c>
      <c r="V865">
        <v>0.13180581713521181</v>
      </c>
      <c r="W865">
        <v>10.142195348393111</v>
      </c>
      <c r="X865">
        <v>0.32236781494026201</v>
      </c>
      <c r="Z865" t="s">
        <v>392</v>
      </c>
      <c r="AA865">
        <v>9937</v>
      </c>
      <c r="AB865" t="s">
        <v>1256</v>
      </c>
      <c r="AC865" t="str">
        <f>HYPERLINK("plots/20251231000436_3FT6Y121H01_04823_B11P_N_UFLEX98_M5358A8BH101511/dpll_52094/txpa_54221.png","plot")</f>
        <v>plot</v>
      </c>
    </row>
    <row r="866" spans="1:29" x14ac:dyDescent="0.35">
      <c r="A866" t="s">
        <v>46</v>
      </c>
      <c r="B866">
        <v>52094</v>
      </c>
      <c r="C866" t="s">
        <v>53</v>
      </c>
      <c r="D866">
        <v>54222</v>
      </c>
      <c r="E866" t="s">
        <v>242</v>
      </c>
      <c r="F866">
        <v>8649</v>
      </c>
      <c r="G866">
        <v>0.50279869787178544</v>
      </c>
      <c r="H866">
        <v>0</v>
      </c>
      <c r="I866">
        <v>0</v>
      </c>
      <c r="J866">
        <v>0.46036595241803341</v>
      </c>
      <c r="K866">
        <v>0</v>
      </c>
      <c r="L866">
        <v>0</v>
      </c>
      <c r="M866">
        <v>0.32857521756639568</v>
      </c>
      <c r="N866">
        <v>0</v>
      </c>
      <c r="O866">
        <v>0</v>
      </c>
      <c r="P866">
        <v>0.25280653058156299</v>
      </c>
      <c r="Q866">
        <v>1.2147132663108611</v>
      </c>
      <c r="R866">
        <v>4.7767666371740001</v>
      </c>
      <c r="S866">
        <v>0.28479316159282558</v>
      </c>
      <c r="T866">
        <v>0.19358001162301411</v>
      </c>
      <c r="U866">
        <v>4.3207326255058396</v>
      </c>
      <c r="V866">
        <v>0.1363824540873913</v>
      </c>
      <c r="W866">
        <v>10.0252178775581</v>
      </c>
      <c r="X866">
        <v>0.32948688406156351</v>
      </c>
      <c r="Z866" t="s">
        <v>392</v>
      </c>
      <c r="AA866">
        <v>9937</v>
      </c>
      <c r="AB866" t="s">
        <v>1257</v>
      </c>
      <c r="AC866" t="str">
        <f>HYPERLINK("plots/20251231000436_3FT6Y121H01_04823_B11P_N_UFLEX98_M5358A8BH101511/dpll_52094/txpa_54222.png","plot")</f>
        <v>plot</v>
      </c>
    </row>
    <row r="867" spans="1:29" x14ac:dyDescent="0.35">
      <c r="A867" t="s">
        <v>46</v>
      </c>
      <c r="B867">
        <v>52094</v>
      </c>
      <c r="C867" t="s">
        <v>53</v>
      </c>
      <c r="D867">
        <v>54223</v>
      </c>
      <c r="E867" t="s">
        <v>243</v>
      </c>
      <c r="F867">
        <v>8586</v>
      </c>
      <c r="G867">
        <v>0.44927983587054882</v>
      </c>
      <c r="H867">
        <v>0</v>
      </c>
      <c r="I867">
        <v>0</v>
      </c>
      <c r="J867">
        <v>0.44990709276296148</v>
      </c>
      <c r="K867">
        <v>0</v>
      </c>
      <c r="L867">
        <v>0</v>
      </c>
      <c r="M867">
        <v>0.32074412623193421</v>
      </c>
      <c r="N867">
        <v>0</v>
      </c>
      <c r="O867">
        <v>0</v>
      </c>
      <c r="P867">
        <v>0.20185237091986721</v>
      </c>
      <c r="Q867">
        <v>1.0196705646557991</v>
      </c>
      <c r="R867">
        <v>5.7345986582002402</v>
      </c>
      <c r="S867">
        <v>0.26640977078914352</v>
      </c>
      <c r="T867">
        <v>0.17804323785761339</v>
      </c>
      <c r="U867">
        <v>4.3240570690659208</v>
      </c>
      <c r="V867">
        <v>0.13139864060854139</v>
      </c>
      <c r="W867">
        <v>10.143712371418591</v>
      </c>
      <c r="X867">
        <v>0.29821798212844902</v>
      </c>
      <c r="Z867" t="s">
        <v>392</v>
      </c>
      <c r="AA867">
        <v>9937</v>
      </c>
      <c r="AB867" t="s">
        <v>1258</v>
      </c>
      <c r="AC867" t="str">
        <f>HYPERLINK("plots/20251231000436_3FT6Y121H01_04823_B11P_N_UFLEX98_M5358A8BH101511/dpll_52094/txpa_54223.png","plot")</f>
        <v>plot</v>
      </c>
    </row>
    <row r="868" spans="1:29" x14ac:dyDescent="0.35">
      <c r="A868" t="s">
        <v>46</v>
      </c>
      <c r="B868">
        <v>52094</v>
      </c>
      <c r="C868" t="s">
        <v>53</v>
      </c>
      <c r="D868">
        <v>54224</v>
      </c>
      <c r="E868" t="s">
        <v>244</v>
      </c>
      <c r="F868">
        <v>8619</v>
      </c>
      <c r="G868">
        <v>0.4766924609766755</v>
      </c>
      <c r="H868">
        <v>0</v>
      </c>
      <c r="I868">
        <v>0</v>
      </c>
      <c r="J868">
        <v>0.46525258429670552</v>
      </c>
      <c r="K868">
        <v>0</v>
      </c>
      <c r="L868">
        <v>0</v>
      </c>
      <c r="M868">
        <v>0.33465391258588623</v>
      </c>
      <c r="N868">
        <v>0</v>
      </c>
      <c r="O868">
        <v>0</v>
      </c>
      <c r="P868">
        <v>0.2272357023519993</v>
      </c>
      <c r="Q868">
        <v>1.0855126547230229</v>
      </c>
      <c r="R868">
        <v>5.3898703938543084</v>
      </c>
      <c r="S868">
        <v>0.26702907729692499</v>
      </c>
      <c r="T868">
        <v>0.1775462262573429</v>
      </c>
      <c r="U868">
        <v>4.3227228927949888</v>
      </c>
      <c r="V868">
        <v>0.13340239258029191</v>
      </c>
      <c r="W868">
        <v>10.082240796844181</v>
      </c>
      <c r="X868">
        <v>0.30378073322061838</v>
      </c>
      <c r="Z868" t="s">
        <v>392</v>
      </c>
      <c r="AA868">
        <v>9937</v>
      </c>
      <c r="AB868" t="s">
        <v>1259</v>
      </c>
      <c r="AC868" t="str">
        <f>HYPERLINK("plots/20251231000436_3FT6Y121H01_04823_B11P_N_UFLEX98_M5358A8BH101511/dpll_52094/txpa_54224.png","plot")</f>
        <v>plot</v>
      </c>
    </row>
    <row r="869" spans="1:29" x14ac:dyDescent="0.35">
      <c r="A869" t="s">
        <v>46</v>
      </c>
      <c r="B869">
        <v>52094</v>
      </c>
      <c r="C869" t="s">
        <v>53</v>
      </c>
      <c r="D869">
        <v>54225</v>
      </c>
      <c r="E869" t="s">
        <v>245</v>
      </c>
      <c r="F869">
        <v>8594</v>
      </c>
      <c r="G869">
        <v>0.44018136046194373</v>
      </c>
      <c r="H869">
        <v>0</v>
      </c>
      <c r="I869">
        <v>0</v>
      </c>
      <c r="J869">
        <v>0.44044838902886557</v>
      </c>
      <c r="K869">
        <v>0</v>
      </c>
      <c r="L869">
        <v>0</v>
      </c>
      <c r="M869">
        <v>0.31251733731264769</v>
      </c>
      <c r="N869">
        <v>0</v>
      </c>
      <c r="O869">
        <v>0</v>
      </c>
      <c r="P869">
        <v>0.19375963009812761</v>
      </c>
      <c r="Q869">
        <v>1.014474858657139</v>
      </c>
      <c r="R869">
        <v>5.7696948201958094</v>
      </c>
      <c r="S869">
        <v>0.27239491497825968</v>
      </c>
      <c r="T869">
        <v>0.1838683394394586</v>
      </c>
      <c r="U869">
        <v>4.3239333585059336</v>
      </c>
      <c r="V869">
        <v>0.13163832707463219</v>
      </c>
      <c r="W869">
        <v>10.156216502909009</v>
      </c>
      <c r="X869">
        <v>0.30338352608287089</v>
      </c>
      <c r="Z869" t="s">
        <v>392</v>
      </c>
      <c r="AA869">
        <v>9937</v>
      </c>
      <c r="AB869" t="s">
        <v>1260</v>
      </c>
      <c r="AC869" t="str">
        <f>HYPERLINK("plots/20251231000436_3FT6Y121H01_04823_B11P_N_UFLEX98_M5358A8BH101511/dpll_52094/txpa_54225.png","plot")</f>
        <v>plot</v>
      </c>
    </row>
    <row r="870" spans="1:29" x14ac:dyDescent="0.35">
      <c r="A870" t="s">
        <v>46</v>
      </c>
      <c r="B870">
        <v>52094</v>
      </c>
      <c r="C870" t="s">
        <v>53</v>
      </c>
      <c r="D870">
        <v>54226</v>
      </c>
      <c r="E870" t="s">
        <v>246</v>
      </c>
      <c r="F870">
        <v>8701</v>
      </c>
      <c r="G870">
        <v>0.48891944723223169</v>
      </c>
      <c r="H870">
        <v>0</v>
      </c>
      <c r="I870">
        <v>0</v>
      </c>
      <c r="J870">
        <v>0.38342703284259999</v>
      </c>
      <c r="K870">
        <v>9.4397121274357947E-303</v>
      </c>
      <c r="L870">
        <v>1.937625120894716E-302</v>
      </c>
      <c r="M870">
        <v>0.26602088442441318</v>
      </c>
      <c r="N870">
        <v>4.1504552145553248E-303</v>
      </c>
      <c r="O870">
        <v>8.541471936786256E-303</v>
      </c>
      <c r="P870">
        <v>0.23904222588187099</v>
      </c>
      <c r="Q870">
        <v>1.1285831363302099</v>
      </c>
      <c r="R870">
        <v>5.0104007956430099</v>
      </c>
      <c r="S870">
        <v>0.28254434153282348</v>
      </c>
      <c r="T870">
        <v>0.2002504142245882</v>
      </c>
      <c r="U870">
        <v>4.3183426736007364</v>
      </c>
      <c r="V870">
        <v>0.14032499924239211</v>
      </c>
      <c r="W870">
        <v>9.8840095139639139</v>
      </c>
      <c r="X870">
        <v>0.32391517385335239</v>
      </c>
      <c r="Z870" t="s">
        <v>392</v>
      </c>
      <c r="AA870">
        <v>9937</v>
      </c>
      <c r="AB870" t="s">
        <v>1261</v>
      </c>
      <c r="AC870" t="str">
        <f>HYPERLINK("plots/20251231000436_3FT6Y121H01_04823_B11P_N_UFLEX98_M5358A8BH101511/dpll_52094/txpa_54226.png","plot")</f>
        <v>plot</v>
      </c>
    </row>
    <row r="871" spans="1:29" x14ac:dyDescent="0.35">
      <c r="A871" t="s">
        <v>46</v>
      </c>
      <c r="B871">
        <v>52094</v>
      </c>
      <c r="C871" t="s">
        <v>53</v>
      </c>
      <c r="D871">
        <v>54227</v>
      </c>
      <c r="E871" t="s">
        <v>247</v>
      </c>
      <c r="F871">
        <v>8690</v>
      </c>
      <c r="G871">
        <v>0.47516605689185559</v>
      </c>
      <c r="H871">
        <v>0</v>
      </c>
      <c r="I871">
        <v>0</v>
      </c>
      <c r="J871">
        <v>0.40794735927119952</v>
      </c>
      <c r="K871">
        <v>0</v>
      </c>
      <c r="L871">
        <v>0</v>
      </c>
      <c r="M871">
        <v>0.28524368417492862</v>
      </c>
      <c r="N871">
        <v>0</v>
      </c>
      <c r="O871">
        <v>0</v>
      </c>
      <c r="P871">
        <v>0.22578278162215409</v>
      </c>
      <c r="Q871">
        <v>1.179159575185406</v>
      </c>
      <c r="R871">
        <v>5.2138965186262336</v>
      </c>
      <c r="S871">
        <v>0.30590259892571281</v>
      </c>
      <c r="T871">
        <v>0.20739390757613041</v>
      </c>
      <c r="U871">
        <v>4.3184111386651329</v>
      </c>
      <c r="V871">
        <v>0.14010368916573621</v>
      </c>
      <c r="W871">
        <v>10.305992362370541</v>
      </c>
      <c r="X871">
        <v>0.34767762596345791</v>
      </c>
      <c r="Z871" t="s">
        <v>392</v>
      </c>
      <c r="AA871">
        <v>9937</v>
      </c>
      <c r="AB871" t="s">
        <v>1262</v>
      </c>
      <c r="AC871" t="str">
        <f>HYPERLINK("plots/20251231000436_3FT6Y121H01_04823_B11P_N_UFLEX98_M5358A8BH101511/dpll_52094/txpa_54227.png","plot")</f>
        <v>plot</v>
      </c>
    </row>
    <row r="872" spans="1:29" x14ac:dyDescent="0.35">
      <c r="A872" t="s">
        <v>46</v>
      </c>
      <c r="B872">
        <v>52094</v>
      </c>
      <c r="C872" t="s">
        <v>53</v>
      </c>
      <c r="D872">
        <v>54228</v>
      </c>
      <c r="E872" t="s">
        <v>248</v>
      </c>
      <c r="F872">
        <v>8649</v>
      </c>
      <c r="G872">
        <v>0.48649431662465498</v>
      </c>
      <c r="H872">
        <v>0</v>
      </c>
      <c r="I872">
        <v>0</v>
      </c>
      <c r="J872">
        <v>0.45915586716544549</v>
      </c>
      <c r="K872">
        <v>0</v>
      </c>
      <c r="L872">
        <v>0</v>
      </c>
      <c r="M872">
        <v>0.3277207073741904</v>
      </c>
      <c r="N872">
        <v>0</v>
      </c>
      <c r="O872">
        <v>0</v>
      </c>
      <c r="P872">
        <v>0.2366767201080901</v>
      </c>
      <c r="Q872">
        <v>1.2328305067912191</v>
      </c>
      <c r="R872">
        <v>5.1077803349081377</v>
      </c>
      <c r="S872">
        <v>0.30264531863618671</v>
      </c>
      <c r="T872">
        <v>0.2027841328886742</v>
      </c>
      <c r="U872">
        <v>4.3205257990519126</v>
      </c>
      <c r="V872">
        <v>0.13670336759660801</v>
      </c>
      <c r="W872">
        <v>10.43425634535784</v>
      </c>
      <c r="X872">
        <v>0.34642148159814973</v>
      </c>
      <c r="Z872" t="s">
        <v>392</v>
      </c>
      <c r="AA872">
        <v>9937</v>
      </c>
      <c r="AB872" t="s">
        <v>1263</v>
      </c>
      <c r="AC872" t="str">
        <f>HYPERLINK("plots/20251231000436_3FT6Y121H01_04823_B11P_N_UFLEX98_M5358A8BH101511/dpll_52094/txpa_54228.png","plot")</f>
        <v>plot</v>
      </c>
    </row>
    <row r="873" spans="1:29" x14ac:dyDescent="0.35">
      <c r="A873" t="s">
        <v>46</v>
      </c>
      <c r="B873">
        <v>52094</v>
      </c>
      <c r="C873" t="s">
        <v>53</v>
      </c>
      <c r="D873">
        <v>54229</v>
      </c>
      <c r="E873" t="s">
        <v>249</v>
      </c>
      <c r="F873">
        <v>8591</v>
      </c>
      <c r="G873">
        <v>0.42913336127352542</v>
      </c>
      <c r="H873">
        <v>0</v>
      </c>
      <c r="I873">
        <v>0</v>
      </c>
      <c r="J873">
        <v>0.45262235046109911</v>
      </c>
      <c r="K873">
        <v>0</v>
      </c>
      <c r="L873">
        <v>0</v>
      </c>
      <c r="M873">
        <v>0.32425005205980068</v>
      </c>
      <c r="N873">
        <v>0</v>
      </c>
      <c r="O873">
        <v>0</v>
      </c>
      <c r="P873">
        <v>0.1841554417579141</v>
      </c>
      <c r="Q873">
        <v>1.104930849205114</v>
      </c>
      <c r="R873">
        <v>5.7031520708767678</v>
      </c>
      <c r="S873">
        <v>0.30682834753263688</v>
      </c>
      <c r="T873">
        <v>0.20365583097756049</v>
      </c>
      <c r="U873">
        <v>4.3236335572110347</v>
      </c>
      <c r="V873">
        <v>0.13193931575047679</v>
      </c>
      <c r="W873">
        <v>10.48046816889768</v>
      </c>
      <c r="X873">
        <v>0.33971681848057222</v>
      </c>
      <c r="Z873" t="s">
        <v>392</v>
      </c>
      <c r="AA873">
        <v>9937</v>
      </c>
      <c r="AB873" t="s">
        <v>1264</v>
      </c>
      <c r="AC873" t="str">
        <f>HYPERLINK("plots/20251231000436_3FT6Y121H01_04823_B11P_N_UFLEX98_M5358A8BH101511/dpll_52094/txpa_54229.png","plot")</f>
        <v>plot</v>
      </c>
    </row>
    <row r="874" spans="1:29" x14ac:dyDescent="0.35">
      <c r="A874" t="s">
        <v>46</v>
      </c>
      <c r="B874">
        <v>52094</v>
      </c>
      <c r="C874" t="s">
        <v>53</v>
      </c>
      <c r="D874">
        <v>54230</v>
      </c>
      <c r="E874" t="s">
        <v>250</v>
      </c>
      <c r="F874">
        <v>8622</v>
      </c>
      <c r="G874">
        <v>0.48129163582525353</v>
      </c>
      <c r="H874">
        <v>0</v>
      </c>
      <c r="I874">
        <v>0</v>
      </c>
      <c r="J874">
        <v>0.46458832168715281</v>
      </c>
      <c r="K874">
        <v>0</v>
      </c>
      <c r="L874">
        <v>0</v>
      </c>
      <c r="M874">
        <v>0.33357559327530351</v>
      </c>
      <c r="N874">
        <v>0</v>
      </c>
      <c r="O874">
        <v>0</v>
      </c>
      <c r="P874">
        <v>0.23164163871534851</v>
      </c>
      <c r="Q874">
        <v>1.1885327641745229</v>
      </c>
      <c r="R874">
        <v>5.2640660404300856</v>
      </c>
      <c r="S874">
        <v>0.29076112184854103</v>
      </c>
      <c r="T874">
        <v>0.19506458286963191</v>
      </c>
      <c r="U874">
        <v>4.3220663746230574</v>
      </c>
      <c r="V874">
        <v>0.13433116080298671</v>
      </c>
      <c r="W874">
        <v>10.40098353560659</v>
      </c>
      <c r="X874">
        <v>0.33172607620780298</v>
      </c>
      <c r="Z874" t="s">
        <v>392</v>
      </c>
      <c r="AA874">
        <v>9937</v>
      </c>
      <c r="AB874" t="s">
        <v>1265</v>
      </c>
      <c r="AC874" t="str">
        <f>HYPERLINK("plots/20251231000436_3FT6Y121H01_04823_B11P_N_UFLEX98_M5358A8BH101511/dpll_52094/txpa_54230.png","plot")</f>
        <v>plot</v>
      </c>
    </row>
    <row r="875" spans="1:29" x14ac:dyDescent="0.35">
      <c r="A875" t="s">
        <v>46</v>
      </c>
      <c r="B875">
        <v>52094</v>
      </c>
      <c r="C875" t="s">
        <v>53</v>
      </c>
      <c r="D875">
        <v>54231</v>
      </c>
      <c r="E875" t="s">
        <v>251</v>
      </c>
      <c r="F875">
        <v>8579</v>
      </c>
      <c r="G875">
        <v>0.44069047234283359</v>
      </c>
      <c r="H875">
        <v>0</v>
      </c>
      <c r="I875">
        <v>0</v>
      </c>
      <c r="J875">
        <v>0.45589716452742141</v>
      </c>
      <c r="K875">
        <v>0</v>
      </c>
      <c r="L875">
        <v>0</v>
      </c>
      <c r="M875">
        <v>0.3271086186338899</v>
      </c>
      <c r="N875">
        <v>0</v>
      </c>
      <c r="O875">
        <v>0</v>
      </c>
      <c r="P875">
        <v>0.19420809241374981</v>
      </c>
      <c r="Q875">
        <v>1.0435693557375221</v>
      </c>
      <c r="R875">
        <v>5.9889758031744824</v>
      </c>
      <c r="S875">
        <v>0.27821022070644302</v>
      </c>
      <c r="T875">
        <v>0.18448995261915629</v>
      </c>
      <c r="U875">
        <v>4.3244008094183464</v>
      </c>
      <c r="V875">
        <v>0.13088783573264859</v>
      </c>
      <c r="W875">
        <v>10.50178796981</v>
      </c>
      <c r="X875">
        <v>0.30994664732197469</v>
      </c>
      <c r="Z875" t="s">
        <v>392</v>
      </c>
      <c r="AA875">
        <v>9937</v>
      </c>
      <c r="AB875" t="s">
        <v>1266</v>
      </c>
      <c r="AC875" t="str">
        <f>HYPERLINK("plots/20251231000436_3FT6Y121H01_04823_B11P_N_UFLEX98_M5358A8BH101511/dpll_52094/txpa_54231.png","plot")</f>
        <v>plot</v>
      </c>
    </row>
    <row r="876" spans="1:29" x14ac:dyDescent="0.35">
      <c r="A876" t="s">
        <v>46</v>
      </c>
      <c r="B876">
        <v>52094</v>
      </c>
      <c r="C876" t="s">
        <v>53</v>
      </c>
      <c r="D876">
        <v>54232</v>
      </c>
      <c r="E876" t="s">
        <v>252</v>
      </c>
      <c r="F876">
        <v>8617</v>
      </c>
      <c r="G876">
        <v>0.47219522704791839</v>
      </c>
      <c r="H876">
        <v>0</v>
      </c>
      <c r="I876">
        <v>0</v>
      </c>
      <c r="J876">
        <v>0.46939533023992569</v>
      </c>
      <c r="K876">
        <v>0</v>
      </c>
      <c r="L876">
        <v>0</v>
      </c>
      <c r="M876">
        <v>0.339371074119865</v>
      </c>
      <c r="N876">
        <v>0</v>
      </c>
      <c r="O876">
        <v>0</v>
      </c>
      <c r="P876">
        <v>0.22296833244683531</v>
      </c>
      <c r="Q876">
        <v>1.130463167302413</v>
      </c>
      <c r="R876">
        <v>5.5559735899817451</v>
      </c>
      <c r="S876">
        <v>0.28130911455568519</v>
      </c>
      <c r="T876">
        <v>0.1857610558012999</v>
      </c>
      <c r="U876">
        <v>4.322805310781014</v>
      </c>
      <c r="V876">
        <v>0.13330757306399149</v>
      </c>
      <c r="W876">
        <v>10.44274577323894</v>
      </c>
      <c r="X876">
        <v>0.31914617649454741</v>
      </c>
      <c r="Z876" t="s">
        <v>392</v>
      </c>
      <c r="AA876">
        <v>9937</v>
      </c>
      <c r="AB876" t="s">
        <v>1267</v>
      </c>
      <c r="AC876" t="str">
        <f>HYPERLINK("plots/20251231000436_3FT6Y121H01_04823_B11P_N_UFLEX98_M5358A8BH101511/dpll_52094/txpa_54232.png","plot")</f>
        <v>plot</v>
      </c>
    </row>
    <row r="877" spans="1:29" x14ac:dyDescent="0.35">
      <c r="A877" t="s">
        <v>46</v>
      </c>
      <c r="B877">
        <v>52094</v>
      </c>
      <c r="C877" t="s">
        <v>53</v>
      </c>
      <c r="D877">
        <v>54233</v>
      </c>
      <c r="E877" t="s">
        <v>253</v>
      </c>
      <c r="F877">
        <v>8598</v>
      </c>
      <c r="G877">
        <v>0.44271273331033661</v>
      </c>
      <c r="H877">
        <v>0</v>
      </c>
      <c r="I877">
        <v>0</v>
      </c>
      <c r="J877">
        <v>0.44590012885673053</v>
      </c>
      <c r="K877">
        <v>0</v>
      </c>
      <c r="L877">
        <v>0</v>
      </c>
      <c r="M877">
        <v>0.31773455672803652</v>
      </c>
      <c r="N877">
        <v>0</v>
      </c>
      <c r="O877">
        <v>0</v>
      </c>
      <c r="P877">
        <v>0.19599456423510919</v>
      </c>
      <c r="Q877">
        <v>1.0791933108685561</v>
      </c>
      <c r="R877">
        <v>5.8330951955942041</v>
      </c>
      <c r="S877">
        <v>0.28842689235228353</v>
      </c>
      <c r="T877">
        <v>0.1935113885665381</v>
      </c>
      <c r="U877">
        <v>4.3237284004419623</v>
      </c>
      <c r="V877">
        <v>0.13196363922250531</v>
      </c>
      <c r="W877">
        <v>10.499233963363571</v>
      </c>
      <c r="X877">
        <v>0.32168552203572681</v>
      </c>
      <c r="Z877" t="s">
        <v>392</v>
      </c>
      <c r="AA877">
        <v>9937</v>
      </c>
      <c r="AB877" t="s">
        <v>1268</v>
      </c>
      <c r="AC877" t="str">
        <f>HYPERLINK("plots/20251231000436_3FT6Y121H01_04823_B11P_N_UFLEX98_M5358A8BH101511/dpll_52094/txpa_54233.png","plot")</f>
        <v>plot</v>
      </c>
    </row>
    <row r="878" spans="1:29" x14ac:dyDescent="0.35">
      <c r="A878" t="s">
        <v>46</v>
      </c>
      <c r="B878">
        <v>52094</v>
      </c>
      <c r="C878" t="s">
        <v>53</v>
      </c>
      <c r="D878">
        <v>54234</v>
      </c>
      <c r="E878" t="s">
        <v>254</v>
      </c>
      <c r="F878">
        <v>8695</v>
      </c>
      <c r="G878">
        <v>0.49385461158636512</v>
      </c>
      <c r="H878">
        <v>0</v>
      </c>
      <c r="I878">
        <v>0</v>
      </c>
      <c r="J878">
        <v>0.39539544626034662</v>
      </c>
      <c r="K878">
        <v>0</v>
      </c>
      <c r="L878">
        <v>0</v>
      </c>
      <c r="M878">
        <v>0.27484671137236388</v>
      </c>
      <c r="N878">
        <v>0</v>
      </c>
      <c r="O878">
        <v>0</v>
      </c>
      <c r="P878">
        <v>0.24389237738511951</v>
      </c>
      <c r="Q878">
        <v>1.166840468656607</v>
      </c>
      <c r="R878">
        <v>5.2468715155165988</v>
      </c>
      <c r="S878">
        <v>0.28754018257507519</v>
      </c>
      <c r="T878">
        <v>0.20215148129922039</v>
      </c>
      <c r="U878">
        <v>4.3186223273145483</v>
      </c>
      <c r="V878">
        <v>0.13996496559623661</v>
      </c>
      <c r="W878">
        <v>10.286014815871191</v>
      </c>
      <c r="X878">
        <v>0.33069810875555178</v>
      </c>
      <c r="Z878" t="s">
        <v>392</v>
      </c>
      <c r="AA878">
        <v>9937</v>
      </c>
      <c r="AB878" t="s">
        <v>1269</v>
      </c>
      <c r="AC878" t="str">
        <f>HYPERLINK("plots/20251231000436_3FT6Y121H01_04823_B11P_N_UFLEX98_M5358A8BH101511/dpll_52094/txpa_54234.png","plot")</f>
        <v>plot</v>
      </c>
    </row>
    <row r="879" spans="1:29" x14ac:dyDescent="0.35">
      <c r="A879" t="s">
        <v>46</v>
      </c>
      <c r="B879">
        <v>52094</v>
      </c>
      <c r="C879" t="s">
        <v>53</v>
      </c>
      <c r="D879">
        <v>54235</v>
      </c>
      <c r="E879" t="s">
        <v>255</v>
      </c>
      <c r="F879">
        <v>8680</v>
      </c>
      <c r="G879">
        <v>0.48082316195284952</v>
      </c>
      <c r="H879">
        <v>0</v>
      </c>
      <c r="I879">
        <v>0</v>
      </c>
      <c r="J879">
        <v>0.42233620826174167</v>
      </c>
      <c r="K879">
        <v>0</v>
      </c>
      <c r="L879">
        <v>0</v>
      </c>
      <c r="M879">
        <v>0.296640405302173</v>
      </c>
      <c r="N879">
        <v>0</v>
      </c>
      <c r="O879">
        <v>0</v>
      </c>
      <c r="P879">
        <v>0.2311909130703361</v>
      </c>
      <c r="Q879">
        <v>1.230357552646044</v>
      </c>
      <c r="R879">
        <v>5.3590728811650123</v>
      </c>
      <c r="S879">
        <v>0.31330434298410648</v>
      </c>
      <c r="T879">
        <v>0.21118942854471531</v>
      </c>
      <c r="U879">
        <v>4.3187067346774191</v>
      </c>
      <c r="V879">
        <v>0.13964848228231849</v>
      </c>
      <c r="W879">
        <v>10.67262632983871</v>
      </c>
      <c r="X879">
        <v>0.3573404496442637</v>
      </c>
      <c r="Z879" t="s">
        <v>392</v>
      </c>
      <c r="AA879">
        <v>9937</v>
      </c>
      <c r="AB879" t="s">
        <v>1270</v>
      </c>
      <c r="AC879" t="str">
        <f>HYPERLINK("plots/20251231000436_3FT6Y121H01_04823_B11P_N_UFLEX98_M5358A8BH101511/dpll_52094/txpa_54235.png","plot")</f>
        <v>plot</v>
      </c>
    </row>
    <row r="880" spans="1:29" x14ac:dyDescent="0.35">
      <c r="A880" t="s">
        <v>46</v>
      </c>
      <c r="B880">
        <v>52094</v>
      </c>
      <c r="C880" t="s">
        <v>53</v>
      </c>
      <c r="D880">
        <v>54236</v>
      </c>
      <c r="E880" t="s">
        <v>256</v>
      </c>
      <c r="F880">
        <v>8634</v>
      </c>
      <c r="G880">
        <v>0.47298465469513712</v>
      </c>
      <c r="H880">
        <v>0</v>
      </c>
      <c r="I880">
        <v>0</v>
      </c>
      <c r="J880">
        <v>0.46457086498253197</v>
      </c>
      <c r="K880">
        <v>0</v>
      </c>
      <c r="L880">
        <v>0</v>
      </c>
      <c r="M880">
        <v>0.33353431362278552</v>
      </c>
      <c r="N880">
        <v>0</v>
      </c>
      <c r="O880">
        <v>0</v>
      </c>
      <c r="P880">
        <v>0.2237144835770781</v>
      </c>
      <c r="Q880">
        <v>1.2407923349711001</v>
      </c>
      <c r="R880">
        <v>5.4147903432511937</v>
      </c>
      <c r="S880">
        <v>0.31275972713365291</v>
      </c>
      <c r="T880">
        <v>0.20707560106642711</v>
      </c>
      <c r="U880">
        <v>4.3213569090803787</v>
      </c>
      <c r="V880">
        <v>0.1353234883795911</v>
      </c>
      <c r="W880">
        <v>10.776696872712529</v>
      </c>
      <c r="X880">
        <v>0.35499745172741992</v>
      </c>
      <c r="Z880" t="s">
        <v>392</v>
      </c>
      <c r="AA880">
        <v>9937</v>
      </c>
      <c r="AB880" t="s">
        <v>1271</v>
      </c>
      <c r="AC880" t="str">
        <f>HYPERLINK("plots/20251231000436_3FT6Y121H01_04823_B11P_N_UFLEX98_M5358A8BH101511/dpll_52094/txpa_54236.png","plot")</f>
        <v>plot</v>
      </c>
    </row>
    <row r="881" spans="1:29" x14ac:dyDescent="0.35">
      <c r="A881" t="s">
        <v>46</v>
      </c>
      <c r="B881">
        <v>52094</v>
      </c>
      <c r="C881" t="s">
        <v>53</v>
      </c>
      <c r="D881">
        <v>54237</v>
      </c>
      <c r="E881" t="s">
        <v>257</v>
      </c>
      <c r="F881">
        <v>8598</v>
      </c>
      <c r="G881">
        <v>0.43499834069984311</v>
      </c>
      <c r="H881">
        <v>0</v>
      </c>
      <c r="I881">
        <v>0</v>
      </c>
      <c r="J881">
        <v>0.4523783787697761</v>
      </c>
      <c r="K881">
        <v>0</v>
      </c>
      <c r="L881">
        <v>0</v>
      </c>
      <c r="M881">
        <v>0.3243307055631342</v>
      </c>
      <c r="N881">
        <v>0</v>
      </c>
      <c r="O881">
        <v>0</v>
      </c>
      <c r="P881">
        <v>0.18922355641161681</v>
      </c>
      <c r="Q881">
        <v>1.1821990390813959</v>
      </c>
      <c r="R881">
        <v>5.6719500931206763</v>
      </c>
      <c r="S881">
        <v>0.32432679377363388</v>
      </c>
      <c r="T881">
        <v>0.21578219674758281</v>
      </c>
      <c r="U881">
        <v>4.3232577094673177</v>
      </c>
      <c r="V881">
        <v>0.13254230622991731</v>
      </c>
      <c r="W881">
        <v>10.78290120295418</v>
      </c>
      <c r="X881">
        <v>0.36021145922200248</v>
      </c>
      <c r="Z881" t="s">
        <v>392</v>
      </c>
      <c r="AA881">
        <v>9937</v>
      </c>
      <c r="AB881" t="s">
        <v>1272</v>
      </c>
      <c r="AC881" t="str">
        <f>HYPERLINK("plots/20251231000436_3FT6Y121H01_04823_B11P_N_UFLEX98_M5358A8BH101511/dpll_52094/txpa_54237.png","plot")</f>
        <v>plot</v>
      </c>
    </row>
    <row r="882" spans="1:29" x14ac:dyDescent="0.35">
      <c r="A882" t="s">
        <v>46</v>
      </c>
      <c r="B882">
        <v>52094</v>
      </c>
      <c r="C882" t="s">
        <v>53</v>
      </c>
      <c r="D882">
        <v>54238</v>
      </c>
      <c r="E882" t="s">
        <v>258</v>
      </c>
      <c r="F882">
        <v>8613</v>
      </c>
      <c r="G882">
        <v>0.47204032563264858</v>
      </c>
      <c r="H882">
        <v>0</v>
      </c>
      <c r="I882">
        <v>0</v>
      </c>
      <c r="J882">
        <v>0.46963255952725069</v>
      </c>
      <c r="K882">
        <v>0</v>
      </c>
      <c r="L882">
        <v>0</v>
      </c>
      <c r="M882">
        <v>0.33900364872323668</v>
      </c>
      <c r="N882">
        <v>0</v>
      </c>
      <c r="O882">
        <v>0</v>
      </c>
      <c r="P882">
        <v>0.2228220690233769</v>
      </c>
      <c r="Q882">
        <v>1.2099206826543349</v>
      </c>
      <c r="R882">
        <v>5.5103537219993246</v>
      </c>
      <c r="S882">
        <v>0.3017382608052942</v>
      </c>
      <c r="T882">
        <v>0.2004625501183008</v>
      </c>
      <c r="U882">
        <v>4.3225561964472314</v>
      </c>
      <c r="V882">
        <v>0.13354190477897801</v>
      </c>
      <c r="W882">
        <v>10.74030386601649</v>
      </c>
      <c r="X882">
        <v>0.34229090994840611</v>
      </c>
      <c r="Z882" t="s">
        <v>392</v>
      </c>
      <c r="AA882">
        <v>9937</v>
      </c>
      <c r="AB882" t="s">
        <v>1273</v>
      </c>
      <c r="AC882" t="str">
        <f>HYPERLINK("plots/20251231000436_3FT6Y121H01_04823_B11P_N_UFLEX98_M5358A8BH101511/dpll_52094/txpa_54238.png","plot")</f>
        <v>plot</v>
      </c>
    </row>
    <row r="883" spans="1:29" x14ac:dyDescent="0.35">
      <c r="A883" t="s">
        <v>46</v>
      </c>
      <c r="B883">
        <v>52094</v>
      </c>
      <c r="C883" t="s">
        <v>53</v>
      </c>
      <c r="D883">
        <v>54239</v>
      </c>
      <c r="E883" t="s">
        <v>259</v>
      </c>
      <c r="F883">
        <v>8576</v>
      </c>
      <c r="G883">
        <v>0.43747511985291149</v>
      </c>
      <c r="H883">
        <v>0</v>
      </c>
      <c r="I883">
        <v>0</v>
      </c>
      <c r="J883">
        <v>0.45945089946802531</v>
      </c>
      <c r="K883">
        <v>0</v>
      </c>
      <c r="L883">
        <v>0</v>
      </c>
      <c r="M883">
        <v>0.33088602410379531</v>
      </c>
      <c r="N883">
        <v>0</v>
      </c>
      <c r="O883">
        <v>0</v>
      </c>
      <c r="P883">
        <v>0.19138448049031931</v>
      </c>
      <c r="Q883">
        <v>1.0848542557130509</v>
      </c>
      <c r="R883">
        <v>6.1335679104952634</v>
      </c>
      <c r="S883">
        <v>0.29153187436488709</v>
      </c>
      <c r="T883">
        <v>0.19310598132467979</v>
      </c>
      <c r="U883">
        <v>4.3244864851912306</v>
      </c>
      <c r="V883">
        <v>0.13074415793650659</v>
      </c>
      <c r="W883">
        <v>10.825005477728549</v>
      </c>
      <c r="X883">
        <v>0.32422039496720989</v>
      </c>
      <c r="Z883" t="s">
        <v>392</v>
      </c>
      <c r="AA883">
        <v>9937</v>
      </c>
      <c r="AB883" t="s">
        <v>1274</v>
      </c>
      <c r="AC883" t="str">
        <f>HYPERLINK("plots/20251231000436_3FT6Y121H01_04823_B11P_N_UFLEX98_M5358A8BH101511/dpll_52094/txpa_54239.png","plot")</f>
        <v>plot</v>
      </c>
    </row>
    <row r="884" spans="1:29" x14ac:dyDescent="0.35">
      <c r="A884" t="s">
        <v>46</v>
      </c>
      <c r="B884">
        <v>52094</v>
      </c>
      <c r="C884" t="s">
        <v>53</v>
      </c>
      <c r="D884">
        <v>54240</v>
      </c>
      <c r="E884" t="s">
        <v>260</v>
      </c>
      <c r="F884">
        <v>8624</v>
      </c>
      <c r="G884">
        <v>0.47569662273565871</v>
      </c>
      <c r="H884">
        <v>0</v>
      </c>
      <c r="I884">
        <v>0</v>
      </c>
      <c r="J884">
        <v>0.47174295793217591</v>
      </c>
      <c r="K884">
        <v>0</v>
      </c>
      <c r="L884">
        <v>0</v>
      </c>
      <c r="M884">
        <v>0.34187786525783709</v>
      </c>
      <c r="N884">
        <v>0</v>
      </c>
      <c r="O884">
        <v>0</v>
      </c>
      <c r="P884">
        <v>0.22628727688211159</v>
      </c>
      <c r="Q884">
        <v>1.206745201534787</v>
      </c>
      <c r="R884">
        <v>5.5518576361700482</v>
      </c>
      <c r="S884">
        <v>0.29872347269006572</v>
      </c>
      <c r="T884">
        <v>0.19692151002990771</v>
      </c>
      <c r="U884">
        <v>4.3224375184369208</v>
      </c>
      <c r="V884">
        <v>0.13388106192803101</v>
      </c>
      <c r="W884">
        <v>10.76793837047774</v>
      </c>
      <c r="X884">
        <v>0.33962891754186592</v>
      </c>
      <c r="Z884" t="s">
        <v>392</v>
      </c>
      <c r="AA884">
        <v>9937</v>
      </c>
      <c r="AB884" t="s">
        <v>1275</v>
      </c>
      <c r="AC884" t="str">
        <f>HYPERLINK("plots/20251231000436_3FT6Y121H01_04823_B11P_N_UFLEX98_M5358A8BH101511/dpll_52094/txpa_54240.png","plot")</f>
        <v>plot</v>
      </c>
    </row>
    <row r="885" spans="1:29" x14ac:dyDescent="0.35">
      <c r="A885" t="s">
        <v>46</v>
      </c>
      <c r="B885">
        <v>52094</v>
      </c>
      <c r="C885" t="s">
        <v>53</v>
      </c>
      <c r="D885">
        <v>54241</v>
      </c>
      <c r="E885" t="s">
        <v>261</v>
      </c>
      <c r="F885">
        <v>8608</v>
      </c>
      <c r="G885">
        <v>0.45083182775887221</v>
      </c>
      <c r="H885">
        <v>0</v>
      </c>
      <c r="I885">
        <v>0</v>
      </c>
      <c r="J885">
        <v>0.4476933746448461</v>
      </c>
      <c r="K885">
        <v>0</v>
      </c>
      <c r="L885">
        <v>0</v>
      </c>
      <c r="M885">
        <v>0.31947540591043477</v>
      </c>
      <c r="N885">
        <v>0</v>
      </c>
      <c r="O885">
        <v>0</v>
      </c>
      <c r="P885">
        <v>0.20324933692040539</v>
      </c>
      <c r="Q885">
        <v>1.1685114364957769</v>
      </c>
      <c r="R885">
        <v>5.7545450518183934</v>
      </c>
      <c r="S885">
        <v>0.30719094754524717</v>
      </c>
      <c r="T885">
        <v>0.20625700929638249</v>
      </c>
      <c r="U885">
        <v>4.3232059752555756</v>
      </c>
      <c r="V885">
        <v>0.1327865311804991</v>
      </c>
      <c r="W885">
        <v>10.80626067623141</v>
      </c>
      <c r="X885">
        <v>0.34416953449880461</v>
      </c>
      <c r="Z885" t="s">
        <v>392</v>
      </c>
      <c r="AA885">
        <v>9937</v>
      </c>
      <c r="AB885" t="s">
        <v>1276</v>
      </c>
      <c r="AC885" t="str">
        <f>HYPERLINK("plots/20251231000436_3FT6Y121H01_04823_B11P_N_UFLEX98_M5358A8BH101511/dpll_52094/txpa_54241.png","plot")</f>
        <v>plot</v>
      </c>
    </row>
    <row r="886" spans="1:29" x14ac:dyDescent="0.35">
      <c r="A886" t="s">
        <v>46</v>
      </c>
      <c r="B886">
        <v>52094</v>
      </c>
      <c r="C886" t="s">
        <v>53</v>
      </c>
      <c r="D886">
        <v>54242</v>
      </c>
      <c r="E886" t="s">
        <v>262</v>
      </c>
      <c r="F886">
        <v>8693</v>
      </c>
      <c r="G886">
        <v>0.50004924985275023</v>
      </c>
      <c r="H886">
        <v>0</v>
      </c>
      <c r="I886">
        <v>0</v>
      </c>
      <c r="J886">
        <v>0.40851286686179961</v>
      </c>
      <c r="K886">
        <v>0</v>
      </c>
      <c r="L886">
        <v>0</v>
      </c>
      <c r="M886">
        <v>0.28491321138985087</v>
      </c>
      <c r="N886">
        <v>0</v>
      </c>
      <c r="O886">
        <v>0</v>
      </c>
      <c r="P886">
        <v>0.25004925227829822</v>
      </c>
      <c r="Q886">
        <v>1.220559498165438</v>
      </c>
      <c r="R886">
        <v>5.3848121284572636</v>
      </c>
      <c r="S886">
        <v>0.29562833117739462</v>
      </c>
      <c r="T886">
        <v>0.20606200167956859</v>
      </c>
      <c r="U886">
        <v>4.318706926492581</v>
      </c>
      <c r="V886">
        <v>0.1398648187902358</v>
      </c>
      <c r="W886">
        <v>10.656050887380649</v>
      </c>
      <c r="X886">
        <v>0.34139303895342349</v>
      </c>
      <c r="Z886" t="s">
        <v>392</v>
      </c>
      <c r="AA886">
        <v>9937</v>
      </c>
      <c r="AB886" t="s">
        <v>1277</v>
      </c>
      <c r="AC886" t="str">
        <f>HYPERLINK("plots/20251231000436_3FT6Y121H01_04823_B11P_N_UFLEX98_M5358A8BH101511/dpll_52094/txpa_54242.png","plot")</f>
        <v>plot</v>
      </c>
    </row>
    <row r="887" spans="1:29" x14ac:dyDescent="0.35">
      <c r="A887" t="s">
        <v>46</v>
      </c>
      <c r="B887">
        <v>52094</v>
      </c>
      <c r="C887" t="s">
        <v>53</v>
      </c>
      <c r="D887">
        <v>54243</v>
      </c>
      <c r="E887" t="s">
        <v>263</v>
      </c>
      <c r="F887">
        <v>8663</v>
      </c>
      <c r="G887">
        <v>0.4815677166481418</v>
      </c>
      <c r="H887">
        <v>0</v>
      </c>
      <c r="I887">
        <v>0</v>
      </c>
      <c r="J887">
        <v>0.45071656690998668</v>
      </c>
      <c r="K887">
        <v>0</v>
      </c>
      <c r="L887">
        <v>0</v>
      </c>
      <c r="M887">
        <v>0.32088398822084602</v>
      </c>
      <c r="N887">
        <v>0</v>
      </c>
      <c r="O887">
        <v>0</v>
      </c>
      <c r="P887">
        <v>0.23190746571770501</v>
      </c>
      <c r="Q887">
        <v>1.3972158074403651</v>
      </c>
      <c r="R887">
        <v>5.6487882518445449</v>
      </c>
      <c r="S887">
        <v>0.35159345816636922</v>
      </c>
      <c r="T887">
        <v>0.23574839774148659</v>
      </c>
      <c r="U887">
        <v>4.3196008329677937</v>
      </c>
      <c r="V887">
        <v>0.13827795752303321</v>
      </c>
      <c r="W887">
        <v>11.68420281749971</v>
      </c>
      <c r="X887">
        <v>0.40119829754475472</v>
      </c>
      <c r="Z887" t="s">
        <v>392</v>
      </c>
      <c r="AA887">
        <v>9937</v>
      </c>
      <c r="AB887" t="s">
        <v>1278</v>
      </c>
      <c r="AC887" t="str">
        <f>HYPERLINK("plots/20251231000436_3FT6Y121H01_04823_B11P_N_UFLEX98_M5358A8BH101511/dpll_52094/txpa_54243.png","plot")</f>
        <v>plot</v>
      </c>
    </row>
    <row r="888" spans="1:29" x14ac:dyDescent="0.35">
      <c r="A888" t="s">
        <v>46</v>
      </c>
      <c r="B888">
        <v>52094</v>
      </c>
      <c r="C888" t="s">
        <v>53</v>
      </c>
      <c r="D888">
        <v>54244</v>
      </c>
      <c r="E888" t="s">
        <v>264</v>
      </c>
      <c r="F888">
        <v>8643</v>
      </c>
      <c r="G888">
        <v>0.47623317559601758</v>
      </c>
      <c r="H888">
        <v>0</v>
      </c>
      <c r="I888">
        <v>0</v>
      </c>
      <c r="J888">
        <v>0.46613883970175579</v>
      </c>
      <c r="K888">
        <v>0</v>
      </c>
      <c r="L888">
        <v>0</v>
      </c>
      <c r="M888">
        <v>0.33643833015176888</v>
      </c>
      <c r="N888">
        <v>0</v>
      </c>
      <c r="O888">
        <v>0</v>
      </c>
      <c r="P888">
        <v>0.2267980375382673</v>
      </c>
      <c r="Q888">
        <v>1.4441394003830379</v>
      </c>
      <c r="R888">
        <v>5.4547190908042849</v>
      </c>
      <c r="S888">
        <v>0.36237354120658349</v>
      </c>
      <c r="T888">
        <v>0.2410125305607097</v>
      </c>
      <c r="U888">
        <v>4.3210058723822753</v>
      </c>
      <c r="V888">
        <v>0.1359082000952348</v>
      </c>
      <c r="W888">
        <v>11.69485392039801</v>
      </c>
      <c r="X888">
        <v>0.41213085658518678</v>
      </c>
      <c r="Z888" t="s">
        <v>392</v>
      </c>
      <c r="AA888">
        <v>9937</v>
      </c>
      <c r="AB888" t="s">
        <v>1279</v>
      </c>
      <c r="AC888" t="str">
        <f>HYPERLINK("plots/20251231000436_3FT6Y121H01_04823_B11P_N_UFLEX98_M5358A8BH101511/dpll_52094/txpa_54244.png","plot")</f>
        <v>plot</v>
      </c>
    </row>
    <row r="889" spans="1:29" x14ac:dyDescent="0.35">
      <c r="A889" t="s">
        <v>46</v>
      </c>
      <c r="B889">
        <v>52094</v>
      </c>
      <c r="C889" t="s">
        <v>53</v>
      </c>
      <c r="D889">
        <v>54245</v>
      </c>
      <c r="E889" t="s">
        <v>265</v>
      </c>
      <c r="F889">
        <v>8662</v>
      </c>
      <c r="G889">
        <v>0.47675549096633663</v>
      </c>
      <c r="H889">
        <v>0</v>
      </c>
      <c r="I889">
        <v>0</v>
      </c>
      <c r="J889">
        <v>0.43711701081046078</v>
      </c>
      <c r="K889">
        <v>0</v>
      </c>
      <c r="L889">
        <v>0</v>
      </c>
      <c r="M889">
        <v>0.3116928510435496</v>
      </c>
      <c r="N889">
        <v>0</v>
      </c>
      <c r="O889">
        <v>0</v>
      </c>
      <c r="P889">
        <v>0.22729579816655271</v>
      </c>
      <c r="Q889">
        <v>1.5674407915415141</v>
      </c>
      <c r="R889">
        <v>4.7954858476528903</v>
      </c>
      <c r="S889">
        <v>0.39657421369243412</v>
      </c>
      <c r="T889">
        <v>0.27153327241775899</v>
      </c>
      <c r="U889">
        <v>4.320277351766336</v>
      </c>
      <c r="V889">
        <v>0.1372294946849385</v>
      </c>
      <c r="W889">
        <v>11.56726479958439</v>
      </c>
      <c r="X889">
        <v>0.45117279579898989</v>
      </c>
      <c r="Z889" t="s">
        <v>392</v>
      </c>
      <c r="AA889">
        <v>9937</v>
      </c>
      <c r="AB889" t="s">
        <v>1280</v>
      </c>
      <c r="AC889" t="str">
        <f>HYPERLINK("plots/20251231000436_3FT6Y121H01_04823_B11P_N_UFLEX98_M5358A8BH101511/dpll_52094/txpa_54245.png","plot")</f>
        <v>plot</v>
      </c>
    </row>
    <row r="890" spans="1:29" x14ac:dyDescent="0.35">
      <c r="A890" t="s">
        <v>46</v>
      </c>
      <c r="B890">
        <v>52094</v>
      </c>
      <c r="C890" t="s">
        <v>53</v>
      </c>
      <c r="D890">
        <v>54246</v>
      </c>
      <c r="E890" t="s">
        <v>266</v>
      </c>
      <c r="F890">
        <v>8630</v>
      </c>
      <c r="G890">
        <v>0.47970436957858831</v>
      </c>
      <c r="H890">
        <v>0</v>
      </c>
      <c r="I890">
        <v>0</v>
      </c>
      <c r="J890">
        <v>0.47144341308474991</v>
      </c>
      <c r="K890">
        <v>0</v>
      </c>
      <c r="L890">
        <v>0</v>
      </c>
      <c r="M890">
        <v>0.34139596124987542</v>
      </c>
      <c r="N890">
        <v>0</v>
      </c>
      <c r="O890">
        <v>0</v>
      </c>
      <c r="P890">
        <v>0.23011628219279079</v>
      </c>
      <c r="Q890">
        <v>1.4293837858133021</v>
      </c>
      <c r="R890">
        <v>5.4683574394558994</v>
      </c>
      <c r="S890">
        <v>0.35241755583972051</v>
      </c>
      <c r="T890">
        <v>0.2336738533014896</v>
      </c>
      <c r="U890">
        <v>4.3218328098493624</v>
      </c>
      <c r="V890">
        <v>0.13480157107968591</v>
      </c>
      <c r="W890">
        <v>11.645915182850519</v>
      </c>
      <c r="X890">
        <v>0.40167067932429118</v>
      </c>
      <c r="Z890" t="s">
        <v>392</v>
      </c>
      <c r="AA890">
        <v>9937</v>
      </c>
      <c r="AB890" t="s">
        <v>1281</v>
      </c>
      <c r="AC890" t="str">
        <f>HYPERLINK("plots/20251231000436_3FT6Y121H01_04823_B11P_N_UFLEX98_M5358A8BH101511/dpll_52094/txpa_54246.png","plot")</f>
        <v>plot</v>
      </c>
    </row>
    <row r="891" spans="1:29" x14ac:dyDescent="0.35">
      <c r="A891" t="s">
        <v>46</v>
      </c>
      <c r="B891">
        <v>52094</v>
      </c>
      <c r="C891" t="s">
        <v>53</v>
      </c>
      <c r="D891">
        <v>54247</v>
      </c>
      <c r="E891" t="s">
        <v>267</v>
      </c>
      <c r="F891">
        <v>8607</v>
      </c>
      <c r="G891">
        <v>0.45022185742189941</v>
      </c>
      <c r="H891">
        <v>0</v>
      </c>
      <c r="I891">
        <v>0</v>
      </c>
      <c r="J891">
        <v>0.45209107765276763</v>
      </c>
      <c r="K891">
        <v>0</v>
      </c>
      <c r="L891">
        <v>0</v>
      </c>
      <c r="M891">
        <v>0.32433568305623178</v>
      </c>
      <c r="N891">
        <v>0</v>
      </c>
      <c r="O891">
        <v>0</v>
      </c>
      <c r="P891">
        <v>0.2026997209004251</v>
      </c>
      <c r="Q891">
        <v>1.338227583468272</v>
      </c>
      <c r="R891">
        <v>5.8947203423684309</v>
      </c>
      <c r="S891">
        <v>0.35220632870913121</v>
      </c>
      <c r="T891">
        <v>0.2367352267535579</v>
      </c>
      <c r="U891">
        <v>4.3232038149180889</v>
      </c>
      <c r="V891">
        <v>0.13271133747482969</v>
      </c>
      <c r="W891">
        <v>11.680150936447079</v>
      </c>
      <c r="X891">
        <v>0.39446768192188858</v>
      </c>
      <c r="Z891" t="s">
        <v>392</v>
      </c>
      <c r="AA891">
        <v>9937</v>
      </c>
      <c r="AB891" t="s">
        <v>1282</v>
      </c>
      <c r="AC891" t="str">
        <f>HYPERLINK("plots/20251231000436_3FT6Y121H01_04823_B11P_N_UFLEX98_M5358A8BH101511/dpll_52094/txpa_54247.png","plot")</f>
        <v>plot</v>
      </c>
    </row>
    <row r="892" spans="1:29" x14ac:dyDescent="0.35">
      <c r="A892" t="s">
        <v>46</v>
      </c>
      <c r="B892">
        <v>52094</v>
      </c>
      <c r="C892" t="s">
        <v>53</v>
      </c>
      <c r="D892">
        <v>54248</v>
      </c>
      <c r="E892" t="s">
        <v>268</v>
      </c>
      <c r="F892">
        <v>8658</v>
      </c>
      <c r="G892">
        <v>0.49866110164800009</v>
      </c>
      <c r="H892">
        <v>0</v>
      </c>
      <c r="I892">
        <v>0</v>
      </c>
      <c r="J892">
        <v>0.46383933270582511</v>
      </c>
      <c r="K892">
        <v>0</v>
      </c>
      <c r="L892">
        <v>0</v>
      </c>
      <c r="M892">
        <v>0.33439192205847479</v>
      </c>
      <c r="N892">
        <v>0</v>
      </c>
      <c r="O892">
        <v>0</v>
      </c>
      <c r="P892">
        <v>0.24866289429679711</v>
      </c>
      <c r="Q892">
        <v>1.512412428379236</v>
      </c>
      <c r="R892">
        <v>5.1023362144339197</v>
      </c>
      <c r="S892">
        <v>0.35948932639316261</v>
      </c>
      <c r="T892">
        <v>0.2420767995658796</v>
      </c>
      <c r="U892">
        <v>4.3206235947100939</v>
      </c>
      <c r="V892">
        <v>0.13675049847095319</v>
      </c>
      <c r="W892">
        <v>11.636901037422041</v>
      </c>
      <c r="X892">
        <v>0.414756941720551</v>
      </c>
      <c r="Z892" t="s">
        <v>392</v>
      </c>
      <c r="AA892">
        <v>9937</v>
      </c>
      <c r="AB892" t="s">
        <v>1283</v>
      </c>
      <c r="AC892" t="str">
        <f>HYPERLINK("plots/20251231000436_3FT6Y121H01_04823_B11P_N_UFLEX98_M5358A8BH101511/dpll_52094/txpa_54248.png","plot")</f>
        <v>plot</v>
      </c>
    </row>
    <row r="893" spans="1:29" x14ac:dyDescent="0.35">
      <c r="A893" t="s">
        <v>46</v>
      </c>
      <c r="B893">
        <v>52094</v>
      </c>
      <c r="C893" t="s">
        <v>53</v>
      </c>
      <c r="D893">
        <v>54249</v>
      </c>
      <c r="E893" t="s">
        <v>269</v>
      </c>
      <c r="F893">
        <v>8665</v>
      </c>
      <c r="G893">
        <v>0.49553476133333968</v>
      </c>
      <c r="H893">
        <v>0</v>
      </c>
      <c r="I893">
        <v>0</v>
      </c>
      <c r="J893">
        <v>0.43836128375378208</v>
      </c>
      <c r="K893">
        <v>0</v>
      </c>
      <c r="L893">
        <v>0</v>
      </c>
      <c r="M893">
        <v>0.31174537331185609</v>
      </c>
      <c r="N893">
        <v>0</v>
      </c>
      <c r="O893">
        <v>0</v>
      </c>
      <c r="P893">
        <v>0.2455546996896899</v>
      </c>
      <c r="Q893">
        <v>1.563407871920502</v>
      </c>
      <c r="R893">
        <v>4.8562571446732354</v>
      </c>
      <c r="S893">
        <v>0.37649653481062012</v>
      </c>
      <c r="T893">
        <v>0.25967440063240288</v>
      </c>
      <c r="U893">
        <v>4.3202331826889786</v>
      </c>
      <c r="V893">
        <v>0.1373959708838747</v>
      </c>
      <c r="W893">
        <v>11.61054371102135</v>
      </c>
      <c r="X893">
        <v>0.43348309586199307</v>
      </c>
      <c r="Z893" t="s">
        <v>392</v>
      </c>
      <c r="AA893">
        <v>9937</v>
      </c>
      <c r="AB893" t="s">
        <v>1284</v>
      </c>
      <c r="AC893" t="str">
        <f>HYPERLINK("plots/20251231000436_3FT6Y121H01_04823_B11P_N_UFLEX98_M5358A8BH101511/dpll_52094/txpa_54249.png","plot")</f>
        <v>plot</v>
      </c>
    </row>
    <row r="894" spans="1:29" x14ac:dyDescent="0.35">
      <c r="A894" t="s">
        <v>46</v>
      </c>
      <c r="B894">
        <v>52094</v>
      </c>
      <c r="C894" t="s">
        <v>53</v>
      </c>
      <c r="D894">
        <v>54250</v>
      </c>
      <c r="E894" t="s">
        <v>270</v>
      </c>
      <c r="F894">
        <v>8686</v>
      </c>
      <c r="G894">
        <v>0.50788264965387653</v>
      </c>
      <c r="H894">
        <v>0</v>
      </c>
      <c r="I894">
        <v>0</v>
      </c>
      <c r="J894">
        <v>0.43751281566379308</v>
      </c>
      <c r="K894">
        <v>0</v>
      </c>
      <c r="L894">
        <v>0</v>
      </c>
      <c r="M894">
        <v>0.30892550363259658</v>
      </c>
      <c r="N894">
        <v>0</v>
      </c>
      <c r="O894">
        <v>0</v>
      </c>
      <c r="P894">
        <v>0.2579447858194423</v>
      </c>
      <c r="Q894">
        <v>1.407984948772697</v>
      </c>
      <c r="R894">
        <v>5.6048060998496494</v>
      </c>
      <c r="S894">
        <v>0.33285863798773108</v>
      </c>
      <c r="T894">
        <v>0.22912103646578461</v>
      </c>
      <c r="U894">
        <v>4.3190438771586459</v>
      </c>
      <c r="V894">
        <v>0.13939015042240571</v>
      </c>
      <c r="W894">
        <v>11.6859548719779</v>
      </c>
      <c r="X894">
        <v>0.38642634068255849</v>
      </c>
      <c r="Z894" t="s">
        <v>392</v>
      </c>
      <c r="AA894">
        <v>9937</v>
      </c>
      <c r="AB894" t="s">
        <v>1285</v>
      </c>
      <c r="AC894" t="str">
        <f>HYPERLINK("plots/20251231000436_3FT6Y121H01_04823_B11P_N_UFLEX98_M5358A8BH101511/dpll_52094/txpa_54250.png","plot")</f>
        <v>plot</v>
      </c>
    </row>
    <row r="895" spans="1:29" x14ac:dyDescent="0.35">
      <c r="A895" t="s">
        <v>46</v>
      </c>
      <c r="B895">
        <v>52094</v>
      </c>
      <c r="C895" t="s">
        <v>53</v>
      </c>
      <c r="D895">
        <v>54251</v>
      </c>
      <c r="E895" t="s">
        <v>271</v>
      </c>
      <c r="F895">
        <v>8664</v>
      </c>
      <c r="G895">
        <v>0.48173935977654597</v>
      </c>
      <c r="H895">
        <v>0</v>
      </c>
      <c r="I895">
        <v>0</v>
      </c>
      <c r="J895">
        <v>0.45281687059574088</v>
      </c>
      <c r="K895">
        <v>0</v>
      </c>
      <c r="L895">
        <v>0</v>
      </c>
      <c r="M895">
        <v>0.32314564125575579</v>
      </c>
      <c r="N895">
        <v>0</v>
      </c>
      <c r="O895">
        <v>0</v>
      </c>
      <c r="P895">
        <v>0.23207281075791639</v>
      </c>
      <c r="Q895">
        <v>1.4650681275908051</v>
      </c>
      <c r="R895">
        <v>5.6150722437360896</v>
      </c>
      <c r="S895">
        <v>0.36821139984676932</v>
      </c>
      <c r="T895">
        <v>0.2478421184497295</v>
      </c>
      <c r="U895">
        <v>4.3196888148661117</v>
      </c>
      <c r="V895">
        <v>0.13817089897334989</v>
      </c>
      <c r="W895">
        <v>11.943710647506929</v>
      </c>
      <c r="X895">
        <v>0.42020602248552152</v>
      </c>
      <c r="Z895" t="s">
        <v>392</v>
      </c>
      <c r="AA895">
        <v>9937</v>
      </c>
      <c r="AB895" t="s">
        <v>1286</v>
      </c>
      <c r="AC895" t="str">
        <f>HYPERLINK("plots/20251231000436_3FT6Y121H01_04823_B11P_N_UFLEX98_M5358A8BH101511/dpll_52094/txpa_54251.png","plot")</f>
        <v>plot</v>
      </c>
    </row>
    <row r="896" spans="1:29" x14ac:dyDescent="0.35">
      <c r="A896" t="s">
        <v>46</v>
      </c>
      <c r="B896">
        <v>52094</v>
      </c>
      <c r="C896" t="s">
        <v>53</v>
      </c>
      <c r="D896">
        <v>54252</v>
      </c>
      <c r="E896" t="s">
        <v>272</v>
      </c>
      <c r="F896">
        <v>8652</v>
      </c>
      <c r="G896">
        <v>0.47915181187130901</v>
      </c>
      <c r="H896">
        <v>0</v>
      </c>
      <c r="I896">
        <v>0</v>
      </c>
      <c r="J896">
        <v>0.46063262410947542</v>
      </c>
      <c r="K896">
        <v>0</v>
      </c>
      <c r="L896">
        <v>0</v>
      </c>
      <c r="M896">
        <v>0.33172633707931198</v>
      </c>
      <c r="N896">
        <v>0</v>
      </c>
      <c r="O896">
        <v>0</v>
      </c>
      <c r="P896">
        <v>0.22958645881955819</v>
      </c>
      <c r="Q896">
        <v>1.527943759504391</v>
      </c>
      <c r="R896">
        <v>5.3253622196564177</v>
      </c>
      <c r="S896">
        <v>0.38201389309238082</v>
      </c>
      <c r="T896">
        <v>0.2562908486083888</v>
      </c>
      <c r="U896">
        <v>4.3206748425797503</v>
      </c>
      <c r="V896">
        <v>0.13649227388247831</v>
      </c>
      <c r="W896">
        <v>11.927110382223759</v>
      </c>
      <c r="X896">
        <v>0.43525353120298782</v>
      </c>
      <c r="Z896" t="s">
        <v>392</v>
      </c>
      <c r="AA896">
        <v>9937</v>
      </c>
      <c r="AB896" t="s">
        <v>1287</v>
      </c>
      <c r="AC896" t="str">
        <f>HYPERLINK("plots/20251231000436_3FT6Y121H01_04823_B11P_N_UFLEX98_M5358A8BH101511/dpll_52094/txpa_54252.png","plot")</f>
        <v>plot</v>
      </c>
    </row>
    <row r="897" spans="1:29" x14ac:dyDescent="0.35">
      <c r="A897" t="s">
        <v>46</v>
      </c>
      <c r="B897">
        <v>52094</v>
      </c>
      <c r="C897" t="s">
        <v>53</v>
      </c>
      <c r="D897">
        <v>54253</v>
      </c>
      <c r="E897" t="s">
        <v>273</v>
      </c>
      <c r="F897">
        <v>8671</v>
      </c>
      <c r="G897">
        <v>0.48072988751676238</v>
      </c>
      <c r="H897">
        <v>0</v>
      </c>
      <c r="I897">
        <v>0</v>
      </c>
      <c r="J897">
        <v>0.42908894420704879</v>
      </c>
      <c r="K897">
        <v>0</v>
      </c>
      <c r="L897">
        <v>0</v>
      </c>
      <c r="M897">
        <v>0.30506337283878282</v>
      </c>
      <c r="N897">
        <v>0</v>
      </c>
      <c r="O897">
        <v>0</v>
      </c>
      <c r="P897">
        <v>0.231101224751879</v>
      </c>
      <c r="Q897">
        <v>1.653710664515162</v>
      </c>
      <c r="R897">
        <v>4.6172081918287464</v>
      </c>
      <c r="S897">
        <v>0.41612942920617579</v>
      </c>
      <c r="T897">
        <v>0.28810237452525378</v>
      </c>
      <c r="U897">
        <v>4.3198447332487602</v>
      </c>
      <c r="V897">
        <v>0.13796231938168621</v>
      </c>
      <c r="W897">
        <v>11.760981496251871</v>
      </c>
      <c r="X897">
        <v>0.47459033604351492</v>
      </c>
      <c r="Z897" t="s">
        <v>392</v>
      </c>
      <c r="AA897">
        <v>9937</v>
      </c>
      <c r="AB897" t="s">
        <v>1288</v>
      </c>
      <c r="AC897" t="str">
        <f>HYPERLINK("plots/20251231000436_3FT6Y121H01_04823_B11P_N_UFLEX98_M5358A8BH101511/dpll_52094/txpa_54253.png","plot")</f>
        <v>plot</v>
      </c>
    </row>
    <row r="898" spans="1:29" x14ac:dyDescent="0.35">
      <c r="A898" t="s">
        <v>46</v>
      </c>
      <c r="B898">
        <v>52094</v>
      </c>
      <c r="C898" t="s">
        <v>53</v>
      </c>
      <c r="D898">
        <v>54254</v>
      </c>
      <c r="E898" t="s">
        <v>274</v>
      </c>
      <c r="F898">
        <v>8641</v>
      </c>
      <c r="G898">
        <v>0.48527996567726173</v>
      </c>
      <c r="H898">
        <v>0</v>
      </c>
      <c r="I898">
        <v>0</v>
      </c>
      <c r="J898">
        <v>0.46813652184955312</v>
      </c>
      <c r="K898">
        <v>0</v>
      </c>
      <c r="L898">
        <v>0</v>
      </c>
      <c r="M898">
        <v>0.33845590369093642</v>
      </c>
      <c r="N898">
        <v>0</v>
      </c>
      <c r="O898">
        <v>0</v>
      </c>
      <c r="P898">
        <v>0.2354966450877243</v>
      </c>
      <c r="Q898">
        <v>1.5221132756488269</v>
      </c>
      <c r="R898">
        <v>5.2956013703547784</v>
      </c>
      <c r="S898">
        <v>0.37159656954344722</v>
      </c>
      <c r="T898">
        <v>0.24793156338233199</v>
      </c>
      <c r="U898">
        <v>4.3213820695521354</v>
      </c>
      <c r="V898">
        <v>0.1355041255872336</v>
      </c>
      <c r="W898">
        <v>11.87323438757088</v>
      </c>
      <c r="X898">
        <v>0.42501781043786951</v>
      </c>
      <c r="Z898" t="s">
        <v>392</v>
      </c>
      <c r="AA898">
        <v>9937</v>
      </c>
      <c r="AB898" t="s">
        <v>1289</v>
      </c>
      <c r="AC898" t="str">
        <f>HYPERLINK("plots/20251231000436_3FT6Y121H01_04823_B11P_N_UFLEX98_M5358A8BH101511/dpll_52094/txpa_54254.png","plot")</f>
        <v>plot</v>
      </c>
    </row>
    <row r="899" spans="1:29" x14ac:dyDescent="0.35">
      <c r="A899" t="s">
        <v>46</v>
      </c>
      <c r="B899">
        <v>52094</v>
      </c>
      <c r="C899" t="s">
        <v>53</v>
      </c>
      <c r="D899">
        <v>54255</v>
      </c>
      <c r="E899" t="s">
        <v>275</v>
      </c>
      <c r="F899">
        <v>8623</v>
      </c>
      <c r="G899">
        <v>0.45963738592430209</v>
      </c>
      <c r="H899">
        <v>0</v>
      </c>
      <c r="I899">
        <v>0</v>
      </c>
      <c r="J899">
        <v>0.44753663092171447</v>
      </c>
      <c r="K899">
        <v>0</v>
      </c>
      <c r="L899">
        <v>0</v>
      </c>
      <c r="M899">
        <v>0.32032635802948889</v>
      </c>
      <c r="N899">
        <v>0</v>
      </c>
      <c r="O899">
        <v>0</v>
      </c>
      <c r="P899">
        <v>0.21126652653932579</v>
      </c>
      <c r="Q899">
        <v>1.450588786258544</v>
      </c>
      <c r="R899">
        <v>5.6180287547348211</v>
      </c>
      <c r="S899">
        <v>0.37483364363983529</v>
      </c>
      <c r="T899">
        <v>0.253780480990562</v>
      </c>
      <c r="U899">
        <v>4.3225030985735824</v>
      </c>
      <c r="V899">
        <v>0.13374256322255601</v>
      </c>
      <c r="W899">
        <v>11.888203278093471</v>
      </c>
      <c r="X899">
        <v>0.42208373034317331</v>
      </c>
      <c r="Z899" t="s">
        <v>392</v>
      </c>
      <c r="AA899">
        <v>9937</v>
      </c>
      <c r="AB899" t="s">
        <v>1290</v>
      </c>
      <c r="AC899" t="str">
        <f>HYPERLINK("plots/20251231000436_3FT6Y121H01_04823_B11P_N_UFLEX98_M5358A8BH101511/dpll_52094/txpa_54255.png","plot")</f>
        <v>plot</v>
      </c>
    </row>
    <row r="900" spans="1:29" x14ac:dyDescent="0.35">
      <c r="A900" t="s">
        <v>46</v>
      </c>
      <c r="B900">
        <v>52094</v>
      </c>
      <c r="C900" t="s">
        <v>53</v>
      </c>
      <c r="D900">
        <v>54256</v>
      </c>
      <c r="E900" t="s">
        <v>276</v>
      </c>
      <c r="F900">
        <v>8668</v>
      </c>
      <c r="G900">
        <v>0.5060376561114065</v>
      </c>
      <c r="H900">
        <v>0</v>
      </c>
      <c r="I900">
        <v>0</v>
      </c>
      <c r="J900">
        <v>0.4589494911572275</v>
      </c>
      <c r="K900">
        <v>0</v>
      </c>
      <c r="L900">
        <v>0</v>
      </c>
      <c r="M900">
        <v>0.32999592623470392</v>
      </c>
      <c r="N900">
        <v>0</v>
      </c>
      <c r="O900">
        <v>0</v>
      </c>
      <c r="P900">
        <v>0.25607410940272612</v>
      </c>
      <c r="Q900">
        <v>1.61457458286636</v>
      </c>
      <c r="R900">
        <v>4.8759061565232713</v>
      </c>
      <c r="S900">
        <v>0.37881968635871238</v>
      </c>
      <c r="T900">
        <v>0.25769331256253808</v>
      </c>
      <c r="U900">
        <v>4.3200680248038763</v>
      </c>
      <c r="V900">
        <v>0.1376630795263257</v>
      </c>
      <c r="W900">
        <v>11.850978185625291</v>
      </c>
      <c r="X900">
        <v>0.43923076972236758</v>
      </c>
      <c r="Z900" t="s">
        <v>392</v>
      </c>
      <c r="AA900">
        <v>9937</v>
      </c>
      <c r="AB900" t="s">
        <v>1291</v>
      </c>
      <c r="AC900" t="str">
        <f>HYPERLINK("plots/20251231000436_3FT6Y121H01_04823_B11P_N_UFLEX98_M5358A8BH101511/dpll_52094/txpa_54256.png","plot")</f>
        <v>plot</v>
      </c>
    </row>
    <row r="901" spans="1:29" x14ac:dyDescent="0.35">
      <c r="A901" t="s">
        <v>46</v>
      </c>
      <c r="B901">
        <v>52094</v>
      </c>
      <c r="C901" t="s">
        <v>53</v>
      </c>
      <c r="D901">
        <v>54257</v>
      </c>
      <c r="E901" t="s">
        <v>277</v>
      </c>
      <c r="F901">
        <v>8682</v>
      </c>
      <c r="G901">
        <v>0.50861493954178361</v>
      </c>
      <c r="H901">
        <v>0</v>
      </c>
      <c r="I901">
        <v>0</v>
      </c>
      <c r="J901">
        <v>0.43362857584069597</v>
      </c>
      <c r="K901">
        <v>0</v>
      </c>
      <c r="L901">
        <v>0</v>
      </c>
      <c r="M901">
        <v>0.30792663218684402</v>
      </c>
      <c r="N901">
        <v>0</v>
      </c>
      <c r="O901">
        <v>0</v>
      </c>
      <c r="P901">
        <v>0.25868915672509218</v>
      </c>
      <c r="Q901">
        <v>1.6931329805880839</v>
      </c>
      <c r="R901">
        <v>4.4909540857141677</v>
      </c>
      <c r="S901">
        <v>0.39815041252083277</v>
      </c>
      <c r="T901">
        <v>0.27773149029210931</v>
      </c>
      <c r="U901">
        <v>4.3192930818935729</v>
      </c>
      <c r="V901">
        <v>0.13892168729581461</v>
      </c>
      <c r="W901">
        <v>11.804091655494121</v>
      </c>
      <c r="X901">
        <v>0.46245769086412208</v>
      </c>
      <c r="Z901" t="s">
        <v>392</v>
      </c>
      <c r="AA901">
        <v>9937</v>
      </c>
      <c r="AB901" t="s">
        <v>1292</v>
      </c>
      <c r="AC901" t="str">
        <f>HYPERLINK("plots/20251231000436_3FT6Y121H01_04823_B11P_N_UFLEX98_M5358A8BH101511/dpll_52094/txpa_54257.png","plot")</f>
        <v>plot</v>
      </c>
    </row>
    <row r="902" spans="1:29" x14ac:dyDescent="0.35">
      <c r="A902" t="s">
        <v>46</v>
      </c>
      <c r="B902">
        <v>52094</v>
      </c>
      <c r="C902" t="s">
        <v>53</v>
      </c>
      <c r="D902">
        <v>54258</v>
      </c>
      <c r="E902" t="s">
        <v>278</v>
      </c>
      <c r="F902">
        <v>8686</v>
      </c>
      <c r="G902">
        <v>0.50971163672297448</v>
      </c>
      <c r="H902">
        <v>0</v>
      </c>
      <c r="I902">
        <v>0</v>
      </c>
      <c r="J902">
        <v>0.44026895508879532</v>
      </c>
      <c r="K902">
        <v>0</v>
      </c>
      <c r="L902">
        <v>0</v>
      </c>
      <c r="M902">
        <v>0.31130909309734289</v>
      </c>
      <c r="N902">
        <v>0</v>
      </c>
      <c r="O902">
        <v>0</v>
      </c>
      <c r="P902">
        <v>0.25980595261081352</v>
      </c>
      <c r="Q902">
        <v>1.48356731807807</v>
      </c>
      <c r="R902">
        <v>5.5436024593311561</v>
      </c>
      <c r="S902">
        <v>0.34902986449422679</v>
      </c>
      <c r="T902">
        <v>0.24082901177577951</v>
      </c>
      <c r="U902">
        <v>4.3190438771586459</v>
      </c>
      <c r="V902">
        <v>0.13939015042240571</v>
      </c>
      <c r="W902">
        <v>11.951194800828921</v>
      </c>
      <c r="X902">
        <v>0.40570914362125682</v>
      </c>
      <c r="Z902" t="s">
        <v>392</v>
      </c>
      <c r="AA902">
        <v>9937</v>
      </c>
      <c r="AB902" t="s">
        <v>1293</v>
      </c>
      <c r="AC902" t="str">
        <f>HYPERLINK("plots/20251231000436_3FT6Y121H01_04823_B11P_N_UFLEX98_M5358A8BH101511/dpll_52094/txpa_54258.png","plot")</f>
        <v>plot</v>
      </c>
    </row>
    <row r="903" spans="1:29" x14ac:dyDescent="0.35">
      <c r="A903" t="s">
        <v>46</v>
      </c>
      <c r="B903">
        <v>52094</v>
      </c>
      <c r="C903" t="s">
        <v>53</v>
      </c>
      <c r="D903">
        <v>55146</v>
      </c>
      <c r="E903" t="s">
        <v>279</v>
      </c>
      <c r="F903">
        <v>8705</v>
      </c>
      <c r="G903">
        <v>-4.5137280758809333E-3</v>
      </c>
      <c r="H903">
        <v>0.67370020089859317</v>
      </c>
      <c r="I903">
        <v>0.67503162422052709</v>
      </c>
      <c r="J903">
        <v>-4.6107173093401822E-3</v>
      </c>
      <c r="K903">
        <v>0.66710605906634579</v>
      </c>
      <c r="L903">
        <v>0.66974806326066794</v>
      </c>
      <c r="M903">
        <v>-3.2015883692610141E-3</v>
      </c>
      <c r="N903">
        <v>0.65417781636908168</v>
      </c>
      <c r="O903">
        <v>0.65676861960222654</v>
      </c>
      <c r="P903">
        <v>2.037374114299579E-5</v>
      </c>
      <c r="Q903">
        <v>-0.16582274679247391</v>
      </c>
      <c r="R903">
        <v>-9.9007717506231749</v>
      </c>
      <c r="S903">
        <v>5.180860139749166</v>
      </c>
      <c r="T903">
        <v>3.8980475273249251</v>
      </c>
      <c r="U903">
        <v>4.3176266520390589</v>
      </c>
      <c r="V903">
        <v>0.1410335787372318</v>
      </c>
      <c r="W903">
        <v>-10.616732461688679</v>
      </c>
      <c r="X903">
        <v>5.1812105255401679</v>
      </c>
      <c r="Z903" t="s">
        <v>392</v>
      </c>
      <c r="AA903">
        <v>9937</v>
      </c>
      <c r="AB903" t="s">
        <v>1294</v>
      </c>
      <c r="AC903" t="str">
        <f>HYPERLINK("plots/20251231000436_3FT6Y121H01_04823_B11P_N_UFLEX98_M5358A8BH101511/dpll_52094/txpa_55146.png","plot")</f>
        <v>plot</v>
      </c>
    </row>
    <row r="904" spans="1:29" x14ac:dyDescent="0.35">
      <c r="A904" t="s">
        <v>46</v>
      </c>
      <c r="B904">
        <v>52094</v>
      </c>
      <c r="C904" t="s">
        <v>53</v>
      </c>
      <c r="D904">
        <v>55147</v>
      </c>
      <c r="E904" t="s">
        <v>280</v>
      </c>
      <c r="F904">
        <v>8716</v>
      </c>
      <c r="G904">
        <v>0.2144498575337804</v>
      </c>
      <c r="H904">
        <v>3.2663667562194111E-91</v>
      </c>
      <c r="I904">
        <v>3.549942005151643E-91</v>
      </c>
      <c r="J904">
        <v>0.15184723932779931</v>
      </c>
      <c r="K904">
        <v>4.0495773510042238E-46</v>
      </c>
      <c r="L904">
        <v>4.3637315982128414E-46</v>
      </c>
      <c r="M904">
        <v>0.1021800224941285</v>
      </c>
      <c r="N904">
        <v>2.2170215331371881E-46</v>
      </c>
      <c r="O904">
        <v>2.3864754082814318E-46</v>
      </c>
      <c r="P904">
        <v>4.5988741396258699E-2</v>
      </c>
      <c r="Q904">
        <v>1.7005483344686261</v>
      </c>
      <c r="R904">
        <v>-28.734572244411499</v>
      </c>
      <c r="S904">
        <v>1.092353086617067</v>
      </c>
      <c r="T904">
        <v>0.84867798818046392</v>
      </c>
      <c r="U904">
        <v>4.3177108791877004</v>
      </c>
      <c r="V904">
        <v>0.14104184712444839</v>
      </c>
      <c r="W904">
        <v>-21.392096200091789</v>
      </c>
      <c r="X904">
        <v>1.1184361742002</v>
      </c>
      <c r="Z904" t="s">
        <v>392</v>
      </c>
      <c r="AA904">
        <v>9937</v>
      </c>
      <c r="AB904" t="s">
        <v>1295</v>
      </c>
      <c r="AC904" t="str">
        <f>HYPERLINK("plots/20251231000436_3FT6Y121H01_04823_B11P_N_UFLEX98_M5358A8BH101511/dpll_52094/txpa_55147.png","plot")</f>
        <v>plot</v>
      </c>
    </row>
    <row r="905" spans="1:29" x14ac:dyDescent="0.35">
      <c r="A905" t="s">
        <v>46</v>
      </c>
      <c r="B905">
        <v>52094</v>
      </c>
      <c r="C905" t="s">
        <v>53</v>
      </c>
      <c r="D905">
        <v>55148</v>
      </c>
      <c r="E905" t="s">
        <v>281</v>
      </c>
      <c r="F905">
        <v>8716</v>
      </c>
      <c r="G905">
        <v>0.16322346198077919</v>
      </c>
      <c r="H905">
        <v>4.1798588840295747E-53</v>
      </c>
      <c r="I905">
        <v>4.3425992913995786E-53</v>
      </c>
      <c r="J905">
        <v>0.13180120508427301</v>
      </c>
      <c r="K905">
        <v>4.4610710671779071E-35</v>
      </c>
      <c r="L905">
        <v>4.6490504235543649E-35</v>
      </c>
      <c r="M905">
        <v>8.7957552187206495E-2</v>
      </c>
      <c r="N905">
        <v>8.1851000102643027E-35</v>
      </c>
      <c r="O905">
        <v>8.5300014495457373E-35</v>
      </c>
      <c r="P905">
        <v>2.6641898540990892E-2</v>
      </c>
      <c r="Q905">
        <v>1.388021746669563</v>
      </c>
      <c r="R905">
        <v>-28.033526592702341</v>
      </c>
      <c r="S905">
        <v>1.1832406498248349</v>
      </c>
      <c r="T905">
        <v>0.92080272992586931</v>
      </c>
      <c r="U905">
        <v>4.3177108791877004</v>
      </c>
      <c r="V905">
        <v>0.14104184712444839</v>
      </c>
      <c r="W905">
        <v>-22.040449996558049</v>
      </c>
      <c r="X905">
        <v>1.1993934488549911</v>
      </c>
      <c r="Z905" t="s">
        <v>392</v>
      </c>
      <c r="AA905">
        <v>9937</v>
      </c>
      <c r="AB905" t="s">
        <v>1296</v>
      </c>
      <c r="AC905" t="str">
        <f>HYPERLINK("plots/20251231000436_3FT6Y121H01_04823_B11P_N_UFLEX98_M5358A8BH101511/dpll_52094/txpa_55148.png","plot")</f>
        <v>plot</v>
      </c>
    </row>
    <row r="906" spans="1:29" x14ac:dyDescent="0.35">
      <c r="A906" t="s">
        <v>46</v>
      </c>
      <c r="B906">
        <v>52094</v>
      </c>
      <c r="C906" t="s">
        <v>53</v>
      </c>
      <c r="D906">
        <v>55149</v>
      </c>
      <c r="E906" t="s">
        <v>282</v>
      </c>
      <c r="F906">
        <v>8716</v>
      </c>
      <c r="G906">
        <v>0.1360286013947124</v>
      </c>
      <c r="H906">
        <v>2.846759001967858E-37</v>
      </c>
      <c r="I906">
        <v>2.9040378551261638E-37</v>
      </c>
      <c r="J906">
        <v>0.1187986403050829</v>
      </c>
      <c r="K906">
        <v>9.0827693453369592E-29</v>
      </c>
      <c r="L906">
        <v>9.2748520807368335E-29</v>
      </c>
      <c r="M906">
        <v>7.8867060463412755E-2</v>
      </c>
      <c r="N906">
        <v>2.5404549018167351E-28</v>
      </c>
      <c r="O906">
        <v>2.5915706946098278E-28</v>
      </c>
      <c r="P906">
        <v>1.850378039740155E-2</v>
      </c>
      <c r="Q906">
        <v>1.1693128348377499</v>
      </c>
      <c r="R906">
        <v>-26.757737306665849</v>
      </c>
      <c r="S906">
        <v>1.2010687609785651</v>
      </c>
      <c r="T906">
        <v>0.93450763168491369</v>
      </c>
      <c r="U906">
        <v>4.3177108791877004</v>
      </c>
      <c r="V906">
        <v>0.14104184712444839</v>
      </c>
      <c r="W906">
        <v>-21.708982558513078</v>
      </c>
      <c r="X906">
        <v>1.212407099689935</v>
      </c>
      <c r="Z906" t="s">
        <v>392</v>
      </c>
      <c r="AA906">
        <v>9937</v>
      </c>
      <c r="AB906" t="s">
        <v>1297</v>
      </c>
      <c r="AC906" t="str">
        <f>HYPERLINK("plots/20251231000436_3FT6Y121H01_04823_B11P_N_UFLEX98_M5358A8BH101511/dpll_52094/txpa_55149.png","plot")</f>
        <v>plot</v>
      </c>
    </row>
    <row r="907" spans="1:29" x14ac:dyDescent="0.35">
      <c r="A907" t="s">
        <v>46</v>
      </c>
      <c r="B907">
        <v>52094</v>
      </c>
      <c r="C907" t="s">
        <v>53</v>
      </c>
      <c r="D907">
        <v>55150</v>
      </c>
      <c r="E907" t="s">
        <v>283</v>
      </c>
      <c r="F907">
        <v>8716</v>
      </c>
      <c r="G907">
        <v>0.17928626054705821</v>
      </c>
      <c r="H907">
        <v>7.1624497443798545E-64</v>
      </c>
      <c r="I907">
        <v>7.5417695127738027E-64</v>
      </c>
      <c r="J907">
        <v>0.13919301175278789</v>
      </c>
      <c r="K907">
        <v>5.8170831999761177E-39</v>
      </c>
      <c r="L907">
        <v>6.1829374892827912E-39</v>
      </c>
      <c r="M907">
        <v>9.3110638764310666E-2</v>
      </c>
      <c r="N907">
        <v>8.2922958854659958E-39</v>
      </c>
      <c r="O907">
        <v>8.8138239285770646E-39</v>
      </c>
      <c r="P907">
        <v>3.2143563220947628E-2</v>
      </c>
      <c r="Q907">
        <v>1.50215462848142</v>
      </c>
      <c r="R907">
        <v>-28.184620595475959</v>
      </c>
      <c r="S907">
        <v>1.162508600287965</v>
      </c>
      <c r="T907">
        <v>0.8962403810873304</v>
      </c>
      <c r="U907">
        <v>4.3177108791877004</v>
      </c>
      <c r="V907">
        <v>0.14104184712444839</v>
      </c>
      <c r="W907">
        <v>-21.69875121385957</v>
      </c>
      <c r="X907">
        <v>1.181722809216323</v>
      </c>
      <c r="Z907" t="s">
        <v>392</v>
      </c>
      <c r="AA907">
        <v>9937</v>
      </c>
      <c r="AB907" t="s">
        <v>1298</v>
      </c>
      <c r="AC907" t="str">
        <f>HYPERLINK("plots/20251231000436_3FT6Y121H01_04823_B11P_N_UFLEX98_M5358A8BH101511/dpll_52094/txpa_55150.png","plot")</f>
        <v>plot</v>
      </c>
    </row>
    <row r="908" spans="1:29" x14ac:dyDescent="0.35">
      <c r="A908" t="s">
        <v>46</v>
      </c>
      <c r="B908">
        <v>52094</v>
      </c>
      <c r="C908" t="s">
        <v>53</v>
      </c>
      <c r="D908">
        <v>55151</v>
      </c>
      <c r="E908" t="s">
        <v>284</v>
      </c>
      <c r="F908">
        <v>8716</v>
      </c>
      <c r="G908">
        <v>0.1330001122924096</v>
      </c>
      <c r="H908">
        <v>1.08170783506584E-35</v>
      </c>
      <c r="I908">
        <v>1.0990498444456531E-35</v>
      </c>
      <c r="J908">
        <v>0.1124926734984764</v>
      </c>
      <c r="K908">
        <v>6.0087910901610781E-26</v>
      </c>
      <c r="L908">
        <v>6.0868273380852478E-26</v>
      </c>
      <c r="M908">
        <v>7.4572126433772132E-2</v>
      </c>
      <c r="N908">
        <v>1.706618339527993E-25</v>
      </c>
      <c r="O908">
        <v>1.7287822140673169E-25</v>
      </c>
      <c r="P908">
        <v>1.7689029869793559E-2</v>
      </c>
      <c r="Q908">
        <v>1.164826440644676</v>
      </c>
      <c r="R908">
        <v>-26.857399737082851</v>
      </c>
      <c r="S908">
        <v>1.224212420914867</v>
      </c>
      <c r="T908">
        <v>0.94891048027275093</v>
      </c>
      <c r="U908">
        <v>4.3177108791877004</v>
      </c>
      <c r="V908">
        <v>0.14104184712444839</v>
      </c>
      <c r="W908">
        <v>-21.82801594194585</v>
      </c>
      <c r="X908">
        <v>1.235256647052454</v>
      </c>
      <c r="Z908" t="s">
        <v>392</v>
      </c>
      <c r="AA908">
        <v>9937</v>
      </c>
      <c r="AB908" t="s">
        <v>1299</v>
      </c>
      <c r="AC908" t="str">
        <f>HYPERLINK("plots/20251231000436_3FT6Y121H01_04823_B11P_N_UFLEX98_M5358A8BH101511/dpll_52094/txpa_55151.png","plot")</f>
        <v>plot</v>
      </c>
    </row>
    <row r="909" spans="1:29" x14ac:dyDescent="0.35">
      <c r="A909" t="s">
        <v>46</v>
      </c>
      <c r="B909">
        <v>52094</v>
      </c>
      <c r="C909" t="s">
        <v>53</v>
      </c>
      <c r="D909">
        <v>55152</v>
      </c>
      <c r="E909" t="s">
        <v>285</v>
      </c>
      <c r="F909">
        <v>8716</v>
      </c>
      <c r="G909">
        <v>0.17889292219627381</v>
      </c>
      <c r="H909">
        <v>1.3534089205516699E-63</v>
      </c>
      <c r="I909">
        <v>1.4191899125536641E-63</v>
      </c>
      <c r="J909">
        <v>0.14282261459354281</v>
      </c>
      <c r="K909">
        <v>5.9905304610569112E-41</v>
      </c>
      <c r="L909">
        <v>6.4008407666087546E-41</v>
      </c>
      <c r="M909">
        <v>9.5636641770512884E-2</v>
      </c>
      <c r="N909">
        <v>7.5745441109524009E-41</v>
      </c>
      <c r="O909">
        <v>8.0933485021135243E-41</v>
      </c>
      <c r="P909">
        <v>3.2002677611922048E-2</v>
      </c>
      <c r="Q909">
        <v>1.4167136760361809</v>
      </c>
      <c r="R909">
        <v>-27.653332711192238</v>
      </c>
      <c r="S909">
        <v>1.0988769859699601</v>
      </c>
      <c r="T909">
        <v>0.85250080518122828</v>
      </c>
      <c r="U909">
        <v>4.3177108791877004</v>
      </c>
      <c r="V909">
        <v>0.14104184712444839</v>
      </c>
      <c r="W909">
        <v>-21.536372659476822</v>
      </c>
      <c r="X909">
        <v>1.1169581851616279</v>
      </c>
      <c r="Z909" t="s">
        <v>392</v>
      </c>
      <c r="AA909">
        <v>9937</v>
      </c>
      <c r="AB909" t="s">
        <v>1300</v>
      </c>
      <c r="AC909" t="str">
        <f>HYPERLINK("plots/20251231000436_3FT6Y121H01_04823_B11P_N_UFLEX98_M5358A8BH101511/dpll_52094/txpa_55152.png","plot")</f>
        <v>plot</v>
      </c>
    </row>
    <row r="910" spans="1:29" x14ac:dyDescent="0.35">
      <c r="A910" t="s">
        <v>46</v>
      </c>
      <c r="B910">
        <v>52094</v>
      </c>
      <c r="C910" t="s">
        <v>53</v>
      </c>
      <c r="D910">
        <v>55153</v>
      </c>
      <c r="E910" t="s">
        <v>286</v>
      </c>
      <c r="F910">
        <v>8716</v>
      </c>
      <c r="G910">
        <v>0.13021628448699621</v>
      </c>
      <c r="H910">
        <v>2.8454030122005341E-34</v>
      </c>
      <c r="I910">
        <v>2.8852386543713412E-34</v>
      </c>
      <c r="J910">
        <v>0.11871712623761919</v>
      </c>
      <c r="K910">
        <v>9.900812663366802E-29</v>
      </c>
      <c r="L910">
        <v>1.010002418576855E-28</v>
      </c>
      <c r="M910">
        <v>7.9140554327572457E-2</v>
      </c>
      <c r="N910">
        <v>1.663477102462587E-28</v>
      </c>
      <c r="O910">
        <v>1.698656376532793E-28</v>
      </c>
      <c r="P910">
        <v>1.695628074559832E-2</v>
      </c>
      <c r="Q910">
        <v>1.113167473309165</v>
      </c>
      <c r="R910">
        <v>-26.65655768824945</v>
      </c>
      <c r="S910">
        <v>1.1953764533489131</v>
      </c>
      <c r="T910">
        <v>0.92755970891429029</v>
      </c>
      <c r="U910">
        <v>4.3177108791877004</v>
      </c>
      <c r="V910">
        <v>0.14104184712444839</v>
      </c>
      <c r="W910">
        <v>-21.850222378384579</v>
      </c>
      <c r="X910">
        <v>1.2057109232759491</v>
      </c>
      <c r="Z910" t="s">
        <v>392</v>
      </c>
      <c r="AA910">
        <v>9937</v>
      </c>
      <c r="AB910" t="s">
        <v>1301</v>
      </c>
      <c r="AC910" t="str">
        <f>HYPERLINK("plots/20251231000436_3FT6Y121H01_04823_B11P_N_UFLEX98_M5358A8BH101511/dpll_52094/txpa_55153.png","plot")</f>
        <v>plot</v>
      </c>
    </row>
    <row r="911" spans="1:29" x14ac:dyDescent="0.35">
      <c r="A911" t="s">
        <v>46</v>
      </c>
      <c r="B911">
        <v>52094</v>
      </c>
      <c r="C911" t="s">
        <v>53</v>
      </c>
      <c r="D911">
        <v>55154</v>
      </c>
      <c r="E911" t="s">
        <v>287</v>
      </c>
      <c r="F911">
        <v>8716</v>
      </c>
      <c r="G911">
        <v>0.19922468228054749</v>
      </c>
      <c r="H911">
        <v>9.932023944772071E-79</v>
      </c>
      <c r="I911">
        <v>1.07025210201901E-78</v>
      </c>
      <c r="J911">
        <v>0.14404143110978709</v>
      </c>
      <c r="K911">
        <v>1.2540998018991721E-41</v>
      </c>
      <c r="L911">
        <v>1.3428270318117849E-41</v>
      </c>
      <c r="M911">
        <v>9.7126470479837718E-2</v>
      </c>
      <c r="N911">
        <v>4.4734049354969603E-42</v>
      </c>
      <c r="O911">
        <v>4.7898971537422557E-42</v>
      </c>
      <c r="P911">
        <v>3.9690474029785122E-2</v>
      </c>
      <c r="Q911">
        <v>1.6625646057445229</v>
      </c>
      <c r="R911">
        <v>-28.708901531330469</v>
      </c>
      <c r="S911">
        <v>1.153357855871032</v>
      </c>
      <c r="T911">
        <v>0.88898587804177942</v>
      </c>
      <c r="U911">
        <v>4.3177108791877004</v>
      </c>
      <c r="V911">
        <v>0.14104184712444839</v>
      </c>
      <c r="W911">
        <v>-21.53042824575493</v>
      </c>
      <c r="X911">
        <v>1.177018732185644</v>
      </c>
      <c r="Z911" t="s">
        <v>392</v>
      </c>
      <c r="AA911">
        <v>9937</v>
      </c>
      <c r="AB911" t="s">
        <v>1302</v>
      </c>
      <c r="AC911" t="str">
        <f>HYPERLINK("plots/20251231000436_3FT6Y121H01_04823_B11P_N_UFLEX98_M5358A8BH101511/dpll_52094/txpa_55154.png","plot")</f>
        <v>plot</v>
      </c>
    </row>
    <row r="912" spans="1:29" x14ac:dyDescent="0.35">
      <c r="A912" t="s">
        <v>46</v>
      </c>
      <c r="B912">
        <v>52094</v>
      </c>
      <c r="C912" t="s">
        <v>53</v>
      </c>
      <c r="D912">
        <v>55155</v>
      </c>
      <c r="E912" t="s">
        <v>288</v>
      </c>
      <c r="F912">
        <v>8716</v>
      </c>
      <c r="G912">
        <v>0.34471838258690501</v>
      </c>
      <c r="H912">
        <v>1.041051220713963E-241</v>
      </c>
      <c r="I912">
        <v>1.255203255414933E-241</v>
      </c>
      <c r="J912">
        <v>0.21046473482445921</v>
      </c>
      <c r="K912">
        <v>7.5477896643765684E-88</v>
      </c>
      <c r="L912">
        <v>8.4944047943150274E-88</v>
      </c>
      <c r="M912">
        <v>0.14161048540583041</v>
      </c>
      <c r="N912">
        <v>1.808448972525044E-87</v>
      </c>
      <c r="O912">
        <v>2.0307500090148331E-87</v>
      </c>
      <c r="P912">
        <v>0.1188307632933318</v>
      </c>
      <c r="Q912">
        <v>1.004314775355861</v>
      </c>
      <c r="R912">
        <v>-12.44553268379401</v>
      </c>
      <c r="S912">
        <v>0.38570755345687852</v>
      </c>
      <c r="T912">
        <v>0.30639800352759877</v>
      </c>
      <c r="U912">
        <v>4.3177108791877004</v>
      </c>
      <c r="V912">
        <v>0.14104184712444839</v>
      </c>
      <c r="W912">
        <v>-8.10919185211106</v>
      </c>
      <c r="X912">
        <v>0.410916325226304</v>
      </c>
      <c r="Z912" t="s">
        <v>392</v>
      </c>
      <c r="AA912">
        <v>9937</v>
      </c>
      <c r="AB912" t="s">
        <v>1303</v>
      </c>
      <c r="AC912" t="str">
        <f>HYPERLINK("plots/20251231000436_3FT6Y121H01_04823_B11P_N_UFLEX98_M5358A8BH101511/dpll_52094/txpa_55155.png","plot")</f>
        <v>plot</v>
      </c>
    </row>
    <row r="913" spans="1:29" x14ac:dyDescent="0.35">
      <c r="A913" t="s">
        <v>46</v>
      </c>
      <c r="B913">
        <v>52094</v>
      </c>
      <c r="C913" t="s">
        <v>53</v>
      </c>
      <c r="D913">
        <v>55156</v>
      </c>
      <c r="E913" t="s">
        <v>289</v>
      </c>
      <c r="F913">
        <v>8716</v>
      </c>
      <c r="G913">
        <v>0.3580467408584545</v>
      </c>
      <c r="H913">
        <v>6.0160934889438388E-262</v>
      </c>
      <c r="I913">
        <v>7.4394131680354298E-262</v>
      </c>
      <c r="J913">
        <v>0.27380319311055928</v>
      </c>
      <c r="K913">
        <v>1.0923730603257519E-149</v>
      </c>
      <c r="L913">
        <v>1.4003366411761219E-149</v>
      </c>
      <c r="M913">
        <v>0.18454644309769641</v>
      </c>
      <c r="N913">
        <v>3.5420835622684551E-147</v>
      </c>
      <c r="O913">
        <v>4.5292216042121229E-147</v>
      </c>
      <c r="P913">
        <v>0.12819746863936129</v>
      </c>
      <c r="Q913">
        <v>0.86709990370781476</v>
      </c>
      <c r="R913">
        <v>-12.394639230376701</v>
      </c>
      <c r="S913">
        <v>0.31890516111863898</v>
      </c>
      <c r="T913">
        <v>0.25567682939558978</v>
      </c>
      <c r="U913">
        <v>4.3177108791877004</v>
      </c>
      <c r="V913">
        <v>0.14104184712444839</v>
      </c>
      <c r="W913">
        <v>-8.6507525427948586</v>
      </c>
      <c r="X913">
        <v>0.34156817561629188</v>
      </c>
      <c r="Z913" t="s">
        <v>392</v>
      </c>
      <c r="AA913">
        <v>9937</v>
      </c>
      <c r="AB913" t="s">
        <v>1304</v>
      </c>
      <c r="AC913" t="str">
        <f>HYPERLINK("plots/20251231000436_3FT6Y121H01_04823_B11P_N_UFLEX98_M5358A8BH101511/dpll_52094/txpa_55156.png","plot")</f>
        <v>plot</v>
      </c>
    </row>
    <row r="914" spans="1:29" x14ac:dyDescent="0.35">
      <c r="A914" t="s">
        <v>46</v>
      </c>
      <c r="B914">
        <v>52094</v>
      </c>
      <c r="C914" t="s">
        <v>53</v>
      </c>
      <c r="D914">
        <v>55157</v>
      </c>
      <c r="E914" t="s">
        <v>290</v>
      </c>
      <c r="F914">
        <v>8716</v>
      </c>
      <c r="G914">
        <v>0.20177697389161581</v>
      </c>
      <c r="H914">
        <v>9.4142240223328257E-81</v>
      </c>
      <c r="I914">
        <v>1.0176996970837401E-80</v>
      </c>
      <c r="J914">
        <v>0.16767888371450509</v>
      </c>
      <c r="K914">
        <v>5.5120350279150906E-56</v>
      </c>
      <c r="L914">
        <v>5.9713712802413476E-56</v>
      </c>
      <c r="M914">
        <v>0.1109765934557075</v>
      </c>
      <c r="N914">
        <v>1.959561426762124E-54</v>
      </c>
      <c r="O914">
        <v>2.1228582123256341E-54</v>
      </c>
      <c r="P914">
        <v>4.0713947192857793E-2</v>
      </c>
      <c r="Q914">
        <v>0.69768363507972697</v>
      </c>
      <c r="R914">
        <v>-11.42400515372336</v>
      </c>
      <c r="S914">
        <v>0.47762172058488689</v>
      </c>
      <c r="T914">
        <v>0.37643253283472022</v>
      </c>
      <c r="U914">
        <v>4.3177108791877004</v>
      </c>
      <c r="V914">
        <v>0.14104184712444839</v>
      </c>
      <c r="W914">
        <v>-8.4116089323083987</v>
      </c>
      <c r="X914">
        <v>0.48767997012880709</v>
      </c>
      <c r="Z914" t="s">
        <v>392</v>
      </c>
      <c r="AA914">
        <v>9937</v>
      </c>
      <c r="AB914" t="s">
        <v>1305</v>
      </c>
      <c r="AC914" t="str">
        <f>HYPERLINK("plots/20251231000436_3FT6Y121H01_04823_B11P_N_UFLEX98_M5358A8BH101511/dpll_52094/txpa_55157.png","plot")</f>
        <v>plot</v>
      </c>
    </row>
    <row r="915" spans="1:29" x14ac:dyDescent="0.35">
      <c r="A915" t="s">
        <v>46</v>
      </c>
      <c r="B915">
        <v>52094</v>
      </c>
      <c r="C915" t="s">
        <v>53</v>
      </c>
      <c r="D915">
        <v>55158</v>
      </c>
      <c r="E915" t="s">
        <v>291</v>
      </c>
      <c r="F915">
        <v>8716</v>
      </c>
      <c r="G915">
        <v>0.31969994415265268</v>
      </c>
      <c r="H915">
        <v>2.5893220089427792E-206</v>
      </c>
      <c r="I915">
        <v>3.0006543052205459E-206</v>
      </c>
      <c r="J915">
        <v>0.25253937454922398</v>
      </c>
      <c r="K915">
        <v>6.7630883569445927E-127</v>
      </c>
      <c r="L915">
        <v>8.1737444504670051E-127</v>
      </c>
      <c r="M915">
        <v>0.1701242466443153</v>
      </c>
      <c r="N915">
        <v>2.2259306305817129E-125</v>
      </c>
      <c r="O915">
        <v>2.6870162612022099E-125</v>
      </c>
      <c r="P915">
        <v>0.1022080542912093</v>
      </c>
      <c r="Q915">
        <v>0.95269008997390847</v>
      </c>
      <c r="R915">
        <v>-12.51349452579567</v>
      </c>
      <c r="S915">
        <v>0.39821719747667922</v>
      </c>
      <c r="T915">
        <v>0.32038103174244448</v>
      </c>
      <c r="U915">
        <v>4.3177108791877004</v>
      </c>
      <c r="V915">
        <v>0.14104184712444839</v>
      </c>
      <c r="W915">
        <v>-8.4000541598210194</v>
      </c>
      <c r="X915">
        <v>0.42029775883513287</v>
      </c>
      <c r="Z915" t="s">
        <v>392</v>
      </c>
      <c r="AA915">
        <v>9937</v>
      </c>
      <c r="AB915" t="s">
        <v>1306</v>
      </c>
      <c r="AC915" t="str">
        <f>HYPERLINK("plots/20251231000436_3FT6Y121H01_04823_B11P_N_UFLEX98_M5358A8BH101511/dpll_52094/txpa_55158.png","plot")</f>
        <v>plot</v>
      </c>
    </row>
    <row r="916" spans="1:29" x14ac:dyDescent="0.35">
      <c r="A916" t="s">
        <v>46</v>
      </c>
      <c r="B916">
        <v>52094</v>
      </c>
      <c r="C916" t="s">
        <v>53</v>
      </c>
      <c r="D916">
        <v>55159</v>
      </c>
      <c r="E916" t="s">
        <v>292</v>
      </c>
      <c r="F916">
        <v>8716</v>
      </c>
      <c r="G916">
        <v>0.2192427814761625</v>
      </c>
      <c r="H916">
        <v>2.3830386313248659E-95</v>
      </c>
      <c r="I916">
        <v>2.6151527837266381E-95</v>
      </c>
      <c r="J916">
        <v>0.18539070529197971</v>
      </c>
      <c r="K916">
        <v>3.0432697944658081E-68</v>
      </c>
      <c r="L916">
        <v>3.3288841117457711E-68</v>
      </c>
      <c r="M916">
        <v>0.122308130402349</v>
      </c>
      <c r="N916">
        <v>1.0004902682882099E-65</v>
      </c>
      <c r="O916">
        <v>1.094387413208463E-65</v>
      </c>
      <c r="P916">
        <v>4.8067397229404348E-2</v>
      </c>
      <c r="Q916">
        <v>0.74053468303917513</v>
      </c>
      <c r="R916">
        <v>-11.725107379953229</v>
      </c>
      <c r="S916">
        <v>0.46477875994046031</v>
      </c>
      <c r="T916">
        <v>0.35681520750267309</v>
      </c>
      <c r="U916">
        <v>4.3177108791877004</v>
      </c>
      <c r="V916">
        <v>0.14104184712444839</v>
      </c>
      <c r="W916">
        <v>-8.5276927225791628</v>
      </c>
      <c r="X916">
        <v>0.47639597916212062</v>
      </c>
      <c r="Z916" t="s">
        <v>392</v>
      </c>
      <c r="AA916">
        <v>9937</v>
      </c>
      <c r="AB916" t="s">
        <v>1307</v>
      </c>
      <c r="AC916" t="str">
        <f>HYPERLINK("plots/20251231000436_3FT6Y121H01_04823_B11P_N_UFLEX98_M5358A8BH101511/dpll_52094/txpa_55159.png","plot")</f>
        <v>plot</v>
      </c>
    </row>
    <row r="917" spans="1:29" x14ac:dyDescent="0.35">
      <c r="A917" t="s">
        <v>46</v>
      </c>
      <c r="B917">
        <v>52094</v>
      </c>
      <c r="C917" t="s">
        <v>53</v>
      </c>
      <c r="D917">
        <v>55160</v>
      </c>
      <c r="E917" t="s">
        <v>293</v>
      </c>
      <c r="F917">
        <v>8716</v>
      </c>
      <c r="G917">
        <v>0.34010570233309162</v>
      </c>
      <c r="H917">
        <v>6.2307789344791538E-235</v>
      </c>
      <c r="I917">
        <v>7.3981379854354359E-235</v>
      </c>
      <c r="J917">
        <v>0.2685248826494066</v>
      </c>
      <c r="K917">
        <v>7.8229068963036681E-144</v>
      </c>
      <c r="L917">
        <v>9.8908074723839394E-144</v>
      </c>
      <c r="M917">
        <v>0.18005518064056089</v>
      </c>
      <c r="N917">
        <v>3.357983140738938E-140</v>
      </c>
      <c r="O917">
        <v>4.1933434787060129E-140</v>
      </c>
      <c r="P917">
        <v>0.1156718887594855</v>
      </c>
      <c r="Q917">
        <v>0.84593224905556075</v>
      </c>
      <c r="R917">
        <v>-11.96386362675335</v>
      </c>
      <c r="S917">
        <v>0.32987655875896349</v>
      </c>
      <c r="T917">
        <v>0.26531729355512262</v>
      </c>
      <c r="U917">
        <v>4.3177108791877004</v>
      </c>
      <c r="V917">
        <v>0.14104184712444839</v>
      </c>
      <c r="W917">
        <v>-8.3113727519504366</v>
      </c>
      <c r="X917">
        <v>0.35080813444310899</v>
      </c>
      <c r="Z917" t="s">
        <v>392</v>
      </c>
      <c r="AA917">
        <v>9937</v>
      </c>
      <c r="AB917" t="s">
        <v>1308</v>
      </c>
      <c r="AC917" t="str">
        <f>HYPERLINK("plots/20251231000436_3FT6Y121H01_04823_B11P_N_UFLEX98_M5358A8BH101511/dpll_52094/txpa_55160.png","plot")</f>
        <v>plot</v>
      </c>
    </row>
    <row r="918" spans="1:29" x14ac:dyDescent="0.35">
      <c r="A918" t="s">
        <v>46</v>
      </c>
      <c r="B918">
        <v>52094</v>
      </c>
      <c r="C918" t="s">
        <v>53</v>
      </c>
      <c r="D918">
        <v>55161</v>
      </c>
      <c r="E918" t="s">
        <v>294</v>
      </c>
      <c r="F918">
        <v>8716</v>
      </c>
      <c r="G918">
        <v>0.24664869826438129</v>
      </c>
      <c r="H918">
        <v>5.9464812994067079E-121</v>
      </c>
      <c r="I918">
        <v>6.6479956313102553E-121</v>
      </c>
      <c r="J918">
        <v>0.20391653510110491</v>
      </c>
      <c r="K918">
        <v>1.804202414256828E-82</v>
      </c>
      <c r="L918">
        <v>2.0059882105881841E-82</v>
      </c>
      <c r="M918">
        <v>0.13501275366651991</v>
      </c>
      <c r="N918">
        <v>1.113482241947499E-79</v>
      </c>
      <c r="O918">
        <v>1.235307432532565E-79</v>
      </c>
      <c r="P918">
        <v>6.0835580355513813E-2</v>
      </c>
      <c r="Q918">
        <v>0.67964597600789023</v>
      </c>
      <c r="R918">
        <v>-11.46779303158109</v>
      </c>
      <c r="S918">
        <v>0.37661517017050927</v>
      </c>
      <c r="T918">
        <v>0.29683949813760219</v>
      </c>
      <c r="U918">
        <v>4.3177108791877004</v>
      </c>
      <c r="V918">
        <v>0.14104184712444839</v>
      </c>
      <c r="W918">
        <v>-8.5332782069756767</v>
      </c>
      <c r="X918">
        <v>0.38864394793643381</v>
      </c>
      <c r="Z918" t="s">
        <v>392</v>
      </c>
      <c r="AA918">
        <v>9937</v>
      </c>
      <c r="AB918" t="s">
        <v>1309</v>
      </c>
      <c r="AC918" t="str">
        <f>HYPERLINK("plots/20251231000436_3FT6Y121H01_04823_B11P_N_UFLEX98_M5358A8BH101511/dpll_52094/txpa_55161.png","plot")</f>
        <v>plot</v>
      </c>
    </row>
    <row r="919" spans="1:29" x14ac:dyDescent="0.35">
      <c r="A919" t="s">
        <v>46</v>
      </c>
      <c r="B919">
        <v>52094</v>
      </c>
      <c r="C919" t="s">
        <v>53</v>
      </c>
      <c r="D919">
        <v>55162</v>
      </c>
      <c r="E919" t="s">
        <v>295</v>
      </c>
      <c r="F919">
        <v>8716</v>
      </c>
      <c r="G919">
        <v>0.30964719986221961</v>
      </c>
      <c r="H919">
        <v>5.1831293783675142E-193</v>
      </c>
      <c r="I919">
        <v>5.965599534239113E-193</v>
      </c>
      <c r="J919">
        <v>0.20853499378605039</v>
      </c>
      <c r="K919">
        <v>3.0339665067958681E-86</v>
      </c>
      <c r="L919">
        <v>3.3956313884006738E-86</v>
      </c>
      <c r="M919">
        <v>0.14022117115079991</v>
      </c>
      <c r="N919">
        <v>8.4407892205971783E-86</v>
      </c>
      <c r="O919">
        <v>9.4365603855408365E-86</v>
      </c>
      <c r="P919">
        <v>9.588138838251338E-2</v>
      </c>
      <c r="Q919">
        <v>0.99685152547181166</v>
      </c>
      <c r="R919">
        <v>-12.4286563544131</v>
      </c>
      <c r="S919">
        <v>0.43171694721974468</v>
      </c>
      <c r="T919">
        <v>0.34696928707168018</v>
      </c>
      <c r="U919">
        <v>4.3177108791877004</v>
      </c>
      <c r="V919">
        <v>0.14104184712444839</v>
      </c>
      <c r="W919">
        <v>-8.124539677948599</v>
      </c>
      <c r="X919">
        <v>0.45405797476589088</v>
      </c>
      <c r="Z919" t="s">
        <v>392</v>
      </c>
      <c r="AA919">
        <v>9937</v>
      </c>
      <c r="AB919" t="s">
        <v>1310</v>
      </c>
      <c r="AC919" t="str">
        <f>HYPERLINK("plots/20251231000436_3FT6Y121H01_04823_B11P_N_UFLEX98_M5358A8BH101511/dpll_52094/txpa_55162.png","plot")</f>
        <v>plot</v>
      </c>
    </row>
    <row r="920" spans="1:29" x14ac:dyDescent="0.35">
      <c r="A920" t="s">
        <v>46</v>
      </c>
      <c r="B920">
        <v>52094</v>
      </c>
      <c r="C920" t="s">
        <v>53</v>
      </c>
      <c r="D920">
        <v>55163</v>
      </c>
      <c r="E920" t="s">
        <v>296</v>
      </c>
      <c r="F920">
        <v>8716</v>
      </c>
      <c r="G920">
        <v>0.3527090081438467</v>
      </c>
      <c r="H920">
        <v>1.005406796250445E-253</v>
      </c>
      <c r="I920">
        <v>1.22533953293023E-253</v>
      </c>
      <c r="J920">
        <v>0.2188515246247168</v>
      </c>
      <c r="K920">
        <v>5.2310707334948331E-95</v>
      </c>
      <c r="L920">
        <v>5.9800515487753779E-95</v>
      </c>
      <c r="M920">
        <v>0.14721528098941961</v>
      </c>
      <c r="N920">
        <v>2.1855593327709311E-94</v>
      </c>
      <c r="O920">
        <v>2.5069651170019501E-94</v>
      </c>
      <c r="P920">
        <v>0.1244036444258161</v>
      </c>
      <c r="Q920">
        <v>0.91167444073726045</v>
      </c>
      <c r="R920">
        <v>-6.1222221320031984</v>
      </c>
      <c r="S920">
        <v>0.34111300101327241</v>
      </c>
      <c r="T920">
        <v>0.27099497279608548</v>
      </c>
      <c r="U920">
        <v>4.3177108791877004</v>
      </c>
      <c r="V920">
        <v>0.14104184712444839</v>
      </c>
      <c r="W920">
        <v>-2.1858754809545662</v>
      </c>
      <c r="X920">
        <v>0.36456184596592628</v>
      </c>
      <c r="Z920" t="s">
        <v>392</v>
      </c>
      <c r="AA920">
        <v>9937</v>
      </c>
      <c r="AB920" t="s">
        <v>1311</v>
      </c>
      <c r="AC920" t="str">
        <f>HYPERLINK("plots/20251231000436_3FT6Y121H01_04823_B11P_N_UFLEX98_M5358A8BH101511/dpll_52094/txpa_55163.png","plot")</f>
        <v>plot</v>
      </c>
    </row>
    <row r="921" spans="1:29" x14ac:dyDescent="0.35">
      <c r="A921" t="s">
        <v>46</v>
      </c>
      <c r="B921">
        <v>52094</v>
      </c>
      <c r="C921" t="s">
        <v>53</v>
      </c>
      <c r="D921">
        <v>55164</v>
      </c>
      <c r="E921" t="s">
        <v>297</v>
      </c>
      <c r="F921">
        <v>8716</v>
      </c>
      <c r="G921">
        <v>0.37834167181154332</v>
      </c>
      <c r="H921">
        <v>1.0879099083993439E-294</v>
      </c>
      <c r="I921">
        <v>1.41066578915209E-294</v>
      </c>
      <c r="J921">
        <v>0.28803144911186168</v>
      </c>
      <c r="K921">
        <v>3.9192026887809299E-166</v>
      </c>
      <c r="L921">
        <v>5.2428384253612972E-166</v>
      </c>
      <c r="M921">
        <v>0.1942175387215796</v>
      </c>
      <c r="N921">
        <v>8.1898825108170174E-163</v>
      </c>
      <c r="O921">
        <v>1.084143716183872E-162</v>
      </c>
      <c r="P921">
        <v>0.1431424206291535</v>
      </c>
      <c r="Q921">
        <v>0.80351404004383176</v>
      </c>
      <c r="R921">
        <v>-6.1507943889179746</v>
      </c>
      <c r="S921">
        <v>0.27725965876183839</v>
      </c>
      <c r="T921">
        <v>0.22258610782202229</v>
      </c>
      <c r="U921">
        <v>4.3177108791877004</v>
      </c>
      <c r="V921">
        <v>0.14104184712444839</v>
      </c>
      <c r="W921">
        <v>-2.6814530766406608</v>
      </c>
      <c r="X921">
        <v>0.29954169165552741</v>
      </c>
      <c r="Z921" t="s">
        <v>392</v>
      </c>
      <c r="AA921">
        <v>9937</v>
      </c>
      <c r="AB921" t="s">
        <v>1312</v>
      </c>
      <c r="AC921" t="str">
        <f>HYPERLINK("plots/20251231000436_3FT6Y121H01_04823_B11P_N_UFLEX98_M5358A8BH101511/dpll_52094/txpa_55164.png","plot")</f>
        <v>plot</v>
      </c>
    </row>
    <row r="922" spans="1:29" x14ac:dyDescent="0.35">
      <c r="A922" t="s">
        <v>46</v>
      </c>
      <c r="B922">
        <v>52094</v>
      </c>
      <c r="C922" t="s">
        <v>53</v>
      </c>
      <c r="D922">
        <v>55165</v>
      </c>
      <c r="E922" t="s">
        <v>298</v>
      </c>
      <c r="F922">
        <v>8716</v>
      </c>
      <c r="G922">
        <v>0.2174127363739414</v>
      </c>
      <c r="H922">
        <v>9.3006148262441916E-94</v>
      </c>
      <c r="I922">
        <v>1.015158604285426E-93</v>
      </c>
      <c r="J922">
        <v>0.18048689776978569</v>
      </c>
      <c r="K922">
        <v>1.0173983944744609E-64</v>
      </c>
      <c r="L922">
        <v>1.1092924430076381E-64</v>
      </c>
      <c r="M922">
        <v>0.1197836207276391</v>
      </c>
      <c r="N922">
        <v>4.0100695059922601E-63</v>
      </c>
      <c r="O922">
        <v>4.3722693323399482E-63</v>
      </c>
      <c r="P922">
        <v>4.7268297937604932E-2</v>
      </c>
      <c r="Q922">
        <v>0.6585475681835935</v>
      </c>
      <c r="R922">
        <v>-5.3232470759053712</v>
      </c>
      <c r="S922">
        <v>0.41697550989753229</v>
      </c>
      <c r="T922">
        <v>0.32805376882253218</v>
      </c>
      <c r="U922">
        <v>4.3177108791877004</v>
      </c>
      <c r="V922">
        <v>0.14104184712444839</v>
      </c>
      <c r="W922">
        <v>-2.4798290762964661</v>
      </c>
      <c r="X922">
        <v>0.42721860266812062</v>
      </c>
      <c r="Z922" t="s">
        <v>392</v>
      </c>
      <c r="AA922">
        <v>9937</v>
      </c>
      <c r="AB922" t="s">
        <v>1313</v>
      </c>
      <c r="AC922" t="str">
        <f>HYPERLINK("plots/20251231000436_3FT6Y121H01_04823_B11P_N_UFLEX98_M5358A8BH101511/dpll_52094/txpa_55165.png","plot")</f>
        <v>plot</v>
      </c>
    </row>
    <row r="923" spans="1:29" x14ac:dyDescent="0.35">
      <c r="A923" t="s">
        <v>46</v>
      </c>
      <c r="B923">
        <v>52094</v>
      </c>
      <c r="C923" t="s">
        <v>53</v>
      </c>
      <c r="D923">
        <v>55166</v>
      </c>
      <c r="E923" t="s">
        <v>299</v>
      </c>
      <c r="F923">
        <v>8716</v>
      </c>
      <c r="G923">
        <v>0.3345857938591954</v>
      </c>
      <c r="H923">
        <v>5.6721767227904194E-227</v>
      </c>
      <c r="I923">
        <v>6.6801245027984734E-227</v>
      </c>
      <c r="J923">
        <v>0.26725931685301751</v>
      </c>
      <c r="K923">
        <v>1.8952739412693041E-142</v>
      </c>
      <c r="L923">
        <v>2.378474970850339E-142</v>
      </c>
      <c r="M923">
        <v>0.18029834923788041</v>
      </c>
      <c r="N923">
        <v>1.356595480395917E-140</v>
      </c>
      <c r="O923">
        <v>1.6982565643474809E-140</v>
      </c>
      <c r="P923">
        <v>0.111947653452388</v>
      </c>
      <c r="Q923">
        <v>0.87570967382527309</v>
      </c>
      <c r="R923">
        <v>-6.2496420265526638</v>
      </c>
      <c r="S923">
        <v>0.3478524006758727</v>
      </c>
      <c r="T923">
        <v>0.27917192588246609</v>
      </c>
      <c r="U923">
        <v>4.3177108791877004</v>
      </c>
      <c r="V923">
        <v>0.14104184712444839</v>
      </c>
      <c r="W923">
        <v>-2.4685808408673702</v>
      </c>
      <c r="X923">
        <v>0.3691480995545271</v>
      </c>
      <c r="Z923" t="s">
        <v>392</v>
      </c>
      <c r="AA923">
        <v>9937</v>
      </c>
      <c r="AB923" t="s">
        <v>1314</v>
      </c>
      <c r="AC923" t="str">
        <f>HYPERLINK("plots/20251231000436_3FT6Y121H01_04823_B11P_N_UFLEX98_M5358A8BH101511/dpll_52094/txpa_55166.png","plot")</f>
        <v>plot</v>
      </c>
    </row>
    <row r="924" spans="1:29" x14ac:dyDescent="0.35">
      <c r="A924" t="s">
        <v>46</v>
      </c>
      <c r="B924">
        <v>52094</v>
      </c>
      <c r="C924" t="s">
        <v>53</v>
      </c>
      <c r="D924">
        <v>55167</v>
      </c>
      <c r="E924" t="s">
        <v>300</v>
      </c>
      <c r="F924">
        <v>8716</v>
      </c>
      <c r="G924">
        <v>0.2323366793301862</v>
      </c>
      <c r="H924">
        <v>3.6463010334177649E-107</v>
      </c>
      <c r="I924">
        <v>4.0232309552618222E-107</v>
      </c>
      <c r="J924">
        <v>0.19539360792703259</v>
      </c>
      <c r="K924">
        <v>9.5939243959223628E-76</v>
      </c>
      <c r="L924">
        <v>1.057417319289704E-75</v>
      </c>
      <c r="M924">
        <v>0.1293626641236493</v>
      </c>
      <c r="N924">
        <v>2.5810859294076769E-73</v>
      </c>
      <c r="O924">
        <v>2.8417167561556829E-73</v>
      </c>
      <c r="P924">
        <v>5.3980332562177782E-2</v>
      </c>
      <c r="Q924">
        <v>0.6908691358687008</v>
      </c>
      <c r="R924">
        <v>-5.5628292679040419</v>
      </c>
      <c r="S924">
        <v>0.40789761685327341</v>
      </c>
      <c r="T924">
        <v>0.31188321327868629</v>
      </c>
      <c r="U924">
        <v>4.3177108791877004</v>
      </c>
      <c r="V924">
        <v>0.14104184712444839</v>
      </c>
      <c r="W924">
        <v>-2.579856083868747</v>
      </c>
      <c r="X924">
        <v>0.4193976574215979</v>
      </c>
      <c r="Z924" t="s">
        <v>392</v>
      </c>
      <c r="AA924">
        <v>9937</v>
      </c>
      <c r="AB924" t="s">
        <v>1315</v>
      </c>
      <c r="AC924" t="str">
        <f>HYPERLINK("plots/20251231000436_3FT6Y121H01_04823_B11P_N_UFLEX98_M5358A8BH101511/dpll_52094/txpa_55167.png","plot")</f>
        <v>plot</v>
      </c>
    </row>
    <row r="925" spans="1:29" x14ac:dyDescent="0.35">
      <c r="A925" t="s">
        <v>46</v>
      </c>
      <c r="B925">
        <v>52094</v>
      </c>
      <c r="C925" t="s">
        <v>53</v>
      </c>
      <c r="D925">
        <v>55168</v>
      </c>
      <c r="E925" t="s">
        <v>301</v>
      </c>
      <c r="F925">
        <v>8716</v>
      </c>
      <c r="G925">
        <v>0.36168751766614082</v>
      </c>
      <c r="H925">
        <v>1.1991752517273081E-267</v>
      </c>
      <c r="I925">
        <v>1.499338724107879E-267</v>
      </c>
      <c r="J925">
        <v>0.28599882446326941</v>
      </c>
      <c r="K925">
        <v>1.005290440543451E-163</v>
      </c>
      <c r="L925">
        <v>1.3307630635914619E-163</v>
      </c>
      <c r="M925">
        <v>0.19233139964431209</v>
      </c>
      <c r="N925">
        <v>1.047728208874642E-159</v>
      </c>
      <c r="O925">
        <v>1.374380858730772E-159</v>
      </c>
      <c r="P925">
        <v>0.1308178604354949</v>
      </c>
      <c r="Q925">
        <v>0.79207976864237528</v>
      </c>
      <c r="R925">
        <v>-5.8129289261057213</v>
      </c>
      <c r="S925">
        <v>0.28794786875484618</v>
      </c>
      <c r="T925">
        <v>0.23141593097926069</v>
      </c>
      <c r="U925">
        <v>4.3177108791877004</v>
      </c>
      <c r="V925">
        <v>0.14104184712444839</v>
      </c>
      <c r="W925">
        <v>-2.392957491854061</v>
      </c>
      <c r="X925">
        <v>0.3088754468500825</v>
      </c>
      <c r="Z925" t="s">
        <v>392</v>
      </c>
      <c r="AA925">
        <v>9937</v>
      </c>
      <c r="AB925" t="s">
        <v>1316</v>
      </c>
      <c r="AC925" t="str">
        <f>HYPERLINK("plots/20251231000436_3FT6Y121H01_04823_B11P_N_UFLEX98_M5358A8BH101511/dpll_52094/txpa_55168.png","plot")</f>
        <v>plot</v>
      </c>
    </row>
    <row r="926" spans="1:29" x14ac:dyDescent="0.35">
      <c r="A926" t="s">
        <v>46</v>
      </c>
      <c r="B926">
        <v>52094</v>
      </c>
      <c r="C926" t="s">
        <v>53</v>
      </c>
      <c r="D926">
        <v>55169</v>
      </c>
      <c r="E926" t="s">
        <v>302</v>
      </c>
      <c r="F926">
        <v>8716</v>
      </c>
      <c r="G926">
        <v>0.26799764760590239</v>
      </c>
      <c r="H926">
        <v>2.9579078150126601E-143</v>
      </c>
      <c r="I926">
        <v>3.3399983568183041E-143</v>
      </c>
      <c r="J926">
        <v>0.21906475835412581</v>
      </c>
      <c r="K926">
        <v>3.4086243427218192E-95</v>
      </c>
      <c r="L926">
        <v>3.9143205928877972E-95</v>
      </c>
      <c r="M926">
        <v>0.14574430796244961</v>
      </c>
      <c r="N926">
        <v>1.508247361619645E-92</v>
      </c>
      <c r="O926">
        <v>1.7126123456688911E-92</v>
      </c>
      <c r="P926">
        <v>7.1822739122297474E-2</v>
      </c>
      <c r="Q926">
        <v>0.64627645508111486</v>
      </c>
      <c r="R926">
        <v>-5.3715488811813223</v>
      </c>
      <c r="S926">
        <v>0.32766185558733057</v>
      </c>
      <c r="T926">
        <v>0.25740711357488189</v>
      </c>
      <c r="U926">
        <v>4.3177108791877004</v>
      </c>
      <c r="V926">
        <v>0.14104184712444839</v>
      </c>
      <c r="W926">
        <v>-2.5811140001147321</v>
      </c>
      <c r="X926">
        <v>0.34012248164104197</v>
      </c>
      <c r="Z926" t="s">
        <v>392</v>
      </c>
      <c r="AA926">
        <v>9937</v>
      </c>
      <c r="AB926" t="s">
        <v>1317</v>
      </c>
      <c r="AC926" t="str">
        <f>HYPERLINK("plots/20251231000436_3FT6Y121H01_04823_B11P_N_UFLEX98_M5358A8BH101511/dpll_52094/txpa_55169.png","plot")</f>
        <v>plot</v>
      </c>
    </row>
    <row r="927" spans="1:29" x14ac:dyDescent="0.35">
      <c r="A927" t="s">
        <v>46</v>
      </c>
      <c r="B927">
        <v>52094</v>
      </c>
      <c r="C927" t="s">
        <v>53</v>
      </c>
      <c r="D927">
        <v>55170</v>
      </c>
      <c r="E927" t="s">
        <v>303</v>
      </c>
      <c r="F927">
        <v>8716</v>
      </c>
      <c r="G927">
        <v>0.31985957122691938</v>
      </c>
      <c r="H927">
        <v>1.5768360783499999E-206</v>
      </c>
      <c r="I927">
        <v>1.8315140703859109E-206</v>
      </c>
      <c r="J927">
        <v>0.21879797895803249</v>
      </c>
      <c r="K927">
        <v>5.8246417485764683E-95</v>
      </c>
      <c r="L927">
        <v>6.6511111858744801E-95</v>
      </c>
      <c r="M927">
        <v>0.14746190236021189</v>
      </c>
      <c r="N927">
        <v>1.069107002867342E-94</v>
      </c>
      <c r="O927">
        <v>1.229109411459733E-94</v>
      </c>
      <c r="P927">
        <v>0.10231014530546879</v>
      </c>
      <c r="Q927">
        <v>0.91360317188615969</v>
      </c>
      <c r="R927">
        <v>-6.1329344339074794</v>
      </c>
      <c r="S927">
        <v>0.38166688322970288</v>
      </c>
      <c r="T927">
        <v>0.30626669508917259</v>
      </c>
      <c r="U927">
        <v>4.3177108791877004</v>
      </c>
      <c r="V927">
        <v>0.14104184712444839</v>
      </c>
      <c r="W927">
        <v>-2.188260079394218</v>
      </c>
      <c r="X927">
        <v>0.40285265939459342</v>
      </c>
      <c r="Z927" t="s">
        <v>392</v>
      </c>
      <c r="AA927">
        <v>9937</v>
      </c>
      <c r="AB927" t="s">
        <v>1318</v>
      </c>
      <c r="AC927" t="str">
        <f>HYPERLINK("plots/20251231000436_3FT6Y121H01_04823_B11P_N_UFLEX98_M5358A8BH101511/dpll_52094/txpa_55170.png","plot")</f>
        <v>plot</v>
      </c>
    </row>
    <row r="928" spans="1:29" x14ac:dyDescent="0.35">
      <c r="A928" t="s">
        <v>46</v>
      </c>
      <c r="B928">
        <v>52094</v>
      </c>
      <c r="C928" t="s">
        <v>53</v>
      </c>
      <c r="D928">
        <v>55171</v>
      </c>
      <c r="E928" t="s">
        <v>304</v>
      </c>
      <c r="F928">
        <v>8716</v>
      </c>
      <c r="G928">
        <v>0.37131829126096172</v>
      </c>
      <c r="H928">
        <v>4.3281568364745867E-283</v>
      </c>
      <c r="I928">
        <v>5.5413523133651904E-283</v>
      </c>
      <c r="J928">
        <v>0.23454880720714891</v>
      </c>
      <c r="K928">
        <v>3.0960398442617349E-109</v>
      </c>
      <c r="L928">
        <v>3.637757128715411E-109</v>
      </c>
      <c r="M928">
        <v>0.15812449768470241</v>
      </c>
      <c r="N928">
        <v>1.3431214400179361E-108</v>
      </c>
      <c r="O928">
        <v>1.574479930841835E-108</v>
      </c>
      <c r="P928">
        <v>0.13787727342496039</v>
      </c>
      <c r="Q928">
        <v>0.91765560278910852</v>
      </c>
      <c r="R928">
        <v>-3.3492616587028299</v>
      </c>
      <c r="S928">
        <v>0.32362420464795583</v>
      </c>
      <c r="T928">
        <v>0.25636600096473539</v>
      </c>
      <c r="U928">
        <v>4.3177108791877004</v>
      </c>
      <c r="V928">
        <v>0.14104184712444839</v>
      </c>
      <c r="W928">
        <v>0.61290992080725104</v>
      </c>
      <c r="X928">
        <v>0.34856306378538582</v>
      </c>
      <c r="Z928" t="s">
        <v>392</v>
      </c>
      <c r="AA928">
        <v>9937</v>
      </c>
      <c r="AB928" t="s">
        <v>1319</v>
      </c>
      <c r="AC928" t="str">
        <f>HYPERLINK("plots/20251231000436_3FT6Y121H01_04823_B11P_N_UFLEX98_M5358A8BH101511/dpll_52094/txpa_55171.png","plot")</f>
        <v>plot</v>
      </c>
    </row>
    <row r="929" spans="1:29" x14ac:dyDescent="0.35">
      <c r="A929" t="s">
        <v>46</v>
      </c>
      <c r="B929">
        <v>52094</v>
      </c>
      <c r="C929" t="s">
        <v>53</v>
      </c>
      <c r="D929">
        <v>55172</v>
      </c>
      <c r="E929" t="s">
        <v>305</v>
      </c>
      <c r="F929">
        <v>8716</v>
      </c>
      <c r="G929">
        <v>0.40046187910734321</v>
      </c>
      <c r="H929">
        <v>0</v>
      </c>
      <c r="I929">
        <v>0</v>
      </c>
      <c r="J929">
        <v>0.30419249338754822</v>
      </c>
      <c r="K929">
        <v>5.2120015312444179E-186</v>
      </c>
      <c r="L929">
        <v>7.4541178458135962E-186</v>
      </c>
      <c r="M929">
        <v>0.2054604727130516</v>
      </c>
      <c r="N929">
        <v>5.723151522345539E-182</v>
      </c>
      <c r="O929">
        <v>8.1278370359361016E-182</v>
      </c>
      <c r="P929">
        <v>0.1603697166181843</v>
      </c>
      <c r="Q929">
        <v>0.82153410849555142</v>
      </c>
      <c r="R929">
        <v>-3.398592828003395</v>
      </c>
      <c r="S929">
        <v>0.26511331321734971</v>
      </c>
      <c r="T929">
        <v>0.2119121101237682</v>
      </c>
      <c r="U929">
        <v>4.3177108791877004</v>
      </c>
      <c r="V929">
        <v>0.14104184712444839</v>
      </c>
      <c r="W929">
        <v>0.14855392987161539</v>
      </c>
      <c r="X929">
        <v>0.28934261707065162</v>
      </c>
      <c r="Z929" t="s">
        <v>392</v>
      </c>
      <c r="AA929">
        <v>9937</v>
      </c>
      <c r="AB929" t="s">
        <v>1320</v>
      </c>
      <c r="AC929" t="str">
        <f>HYPERLINK("plots/20251231000436_3FT6Y121H01_04823_B11P_N_UFLEX98_M5358A8BH101511/dpll_52094/txpa_55172.png","plot")</f>
        <v>plot</v>
      </c>
    </row>
    <row r="930" spans="1:29" x14ac:dyDescent="0.35">
      <c r="A930" t="s">
        <v>46</v>
      </c>
      <c r="B930">
        <v>52094</v>
      </c>
      <c r="C930" t="s">
        <v>53</v>
      </c>
      <c r="D930">
        <v>55173</v>
      </c>
      <c r="E930" t="s">
        <v>306</v>
      </c>
      <c r="F930">
        <v>8716</v>
      </c>
      <c r="G930">
        <v>0.24419656682260649</v>
      </c>
      <c r="H930">
        <v>1.5924601506475141E-118</v>
      </c>
      <c r="I930">
        <v>1.766689926429517E-118</v>
      </c>
      <c r="J930">
        <v>0.20133282568861921</v>
      </c>
      <c r="K930">
        <v>2.1274830178084089E-80</v>
      </c>
      <c r="L930">
        <v>2.3576697049811229E-80</v>
      </c>
      <c r="M930">
        <v>0.13430443559628061</v>
      </c>
      <c r="N930">
        <v>7.0433534442360307E-79</v>
      </c>
      <c r="O930">
        <v>7.7968999917634659E-79</v>
      </c>
      <c r="P930">
        <v>5.9631963247947707E-2</v>
      </c>
      <c r="Q930">
        <v>0.69757657732202394</v>
      </c>
      <c r="R930">
        <v>-2.6813715133887071</v>
      </c>
      <c r="S930">
        <v>0.39068284108484802</v>
      </c>
      <c r="T930">
        <v>0.30645819126305462</v>
      </c>
      <c r="U930">
        <v>4.3177108791877004</v>
      </c>
      <c r="V930">
        <v>0.14104184712444839</v>
      </c>
      <c r="W930">
        <v>0.33056246358111518</v>
      </c>
      <c r="X930">
        <v>0.40290283461569382</v>
      </c>
      <c r="Z930" t="s">
        <v>392</v>
      </c>
      <c r="AA930">
        <v>9937</v>
      </c>
      <c r="AB930" t="s">
        <v>1321</v>
      </c>
      <c r="AC930" t="str">
        <f>HYPERLINK("plots/20251231000436_3FT6Y121H01_04823_B11P_N_UFLEX98_M5358A8BH101511/dpll_52094/txpa_55173.png","plot")</f>
        <v>plot</v>
      </c>
    </row>
    <row r="931" spans="1:29" x14ac:dyDescent="0.35">
      <c r="A931" t="s">
        <v>46</v>
      </c>
      <c r="B931">
        <v>52094</v>
      </c>
      <c r="C931" t="s">
        <v>53</v>
      </c>
      <c r="D931">
        <v>55174</v>
      </c>
      <c r="E931" t="s">
        <v>307</v>
      </c>
      <c r="F931">
        <v>8716</v>
      </c>
      <c r="G931">
        <v>0.35745238772223542</v>
      </c>
      <c r="H931">
        <v>5.0445438858516424E-261</v>
      </c>
      <c r="I931">
        <v>6.2304110843526992E-261</v>
      </c>
      <c r="J931">
        <v>0.28479509145070431</v>
      </c>
      <c r="K931">
        <v>2.627356392622389E-162</v>
      </c>
      <c r="L931">
        <v>3.450957748858941E-162</v>
      </c>
      <c r="M931">
        <v>0.19267425636215121</v>
      </c>
      <c r="N931">
        <v>2.835689411870745E-160</v>
      </c>
      <c r="O931">
        <v>3.7294280981023798E-160</v>
      </c>
      <c r="P931">
        <v>0.12777220948832729</v>
      </c>
      <c r="Q931">
        <v>0.89285900148062969</v>
      </c>
      <c r="R931">
        <v>-3.5114489711933849</v>
      </c>
      <c r="S931">
        <v>0.3290051611083748</v>
      </c>
      <c r="T931">
        <v>0.26411422550555519</v>
      </c>
      <c r="U931">
        <v>4.3177108791877004</v>
      </c>
      <c r="V931">
        <v>0.14104184712444839</v>
      </c>
      <c r="W931">
        <v>0.34365805308019731</v>
      </c>
      <c r="X931">
        <v>0.35230001845273751</v>
      </c>
      <c r="Z931" t="s">
        <v>392</v>
      </c>
      <c r="AA931">
        <v>9937</v>
      </c>
      <c r="AB931" t="s">
        <v>1322</v>
      </c>
      <c r="AC931" t="str">
        <f>HYPERLINK("plots/20251231000436_3FT6Y121H01_04823_B11P_N_UFLEX98_M5358A8BH101511/dpll_52094/txpa_55174.png","plot")</f>
        <v>plot</v>
      </c>
    </row>
    <row r="932" spans="1:29" x14ac:dyDescent="0.35">
      <c r="A932" t="s">
        <v>46</v>
      </c>
      <c r="B932">
        <v>52094</v>
      </c>
      <c r="C932" t="s">
        <v>53</v>
      </c>
      <c r="D932">
        <v>55175</v>
      </c>
      <c r="E932" t="s">
        <v>308</v>
      </c>
      <c r="F932">
        <v>8716</v>
      </c>
      <c r="G932">
        <v>0.25674311177204262</v>
      </c>
      <c r="H932">
        <v>3.0977753399677499E-131</v>
      </c>
      <c r="I932">
        <v>3.4824215019149651E-131</v>
      </c>
      <c r="J932">
        <v>0.21365109644592351</v>
      </c>
      <c r="K932">
        <v>1.562402844622033E-90</v>
      </c>
      <c r="L932">
        <v>1.760307204940824E-90</v>
      </c>
      <c r="M932">
        <v>0.14234803163580709</v>
      </c>
      <c r="N932">
        <v>2.2426565851597231E-88</v>
      </c>
      <c r="O932">
        <v>2.5267264192799542E-88</v>
      </c>
      <c r="P932">
        <v>6.5917025442391544E-2</v>
      </c>
      <c r="Q932">
        <v>0.72369885818247726</v>
      </c>
      <c r="R932">
        <v>-2.8832209836179912</v>
      </c>
      <c r="S932">
        <v>0.38421550503590779</v>
      </c>
      <c r="T932">
        <v>0.29354445758061593</v>
      </c>
      <c r="U932">
        <v>4.3177108791877004</v>
      </c>
      <c r="V932">
        <v>0.14104184712444839</v>
      </c>
      <c r="W932">
        <v>0.2415014496122074</v>
      </c>
      <c r="X932">
        <v>0.39756402037589411</v>
      </c>
      <c r="Z932" t="s">
        <v>392</v>
      </c>
      <c r="AA932">
        <v>9937</v>
      </c>
      <c r="AB932" t="s">
        <v>1323</v>
      </c>
      <c r="AC932" t="str">
        <f>HYPERLINK("plots/20251231000436_3FT6Y121H01_04823_B11P_N_UFLEX98_M5358A8BH101511/dpll_52094/txpa_55175.png","plot")</f>
        <v>plot</v>
      </c>
    </row>
    <row r="933" spans="1:29" x14ac:dyDescent="0.35">
      <c r="A933" t="s">
        <v>46</v>
      </c>
      <c r="B933">
        <v>52094</v>
      </c>
      <c r="C933" t="s">
        <v>53</v>
      </c>
      <c r="D933">
        <v>55176</v>
      </c>
      <c r="E933" t="s">
        <v>309</v>
      </c>
      <c r="F933">
        <v>8716</v>
      </c>
      <c r="G933">
        <v>0.38867163066388072</v>
      </c>
      <c r="H933">
        <v>0</v>
      </c>
      <c r="I933">
        <v>0</v>
      </c>
      <c r="J933">
        <v>0.30402688510024029</v>
      </c>
      <c r="K933">
        <v>8.4578463366117211E-186</v>
      </c>
      <c r="L933">
        <v>1.2079234063837021E-185</v>
      </c>
      <c r="M933">
        <v>0.20513492276293621</v>
      </c>
      <c r="N933">
        <v>2.1217270645504171E-181</v>
      </c>
      <c r="O933">
        <v>3.0006014553056111E-181</v>
      </c>
      <c r="P933">
        <v>0.1510656364829201</v>
      </c>
      <c r="Q933">
        <v>0.81472184184898333</v>
      </c>
      <c r="R933">
        <v>-3.1071428729477759</v>
      </c>
      <c r="S933">
        <v>0.27238716883114811</v>
      </c>
      <c r="T933">
        <v>0.21872034885799829</v>
      </c>
      <c r="U933">
        <v>4.3177108791877004</v>
      </c>
      <c r="V933">
        <v>0.14104184712444839</v>
      </c>
      <c r="W933">
        <v>0.4105904871154199</v>
      </c>
      <c r="X933">
        <v>0.29564769950083181</v>
      </c>
      <c r="Z933" t="s">
        <v>392</v>
      </c>
      <c r="AA933">
        <v>9937</v>
      </c>
      <c r="AB933" t="s">
        <v>1324</v>
      </c>
      <c r="AC933" t="str">
        <f>HYPERLINK("plots/20251231000436_3FT6Y121H01_04823_B11P_N_UFLEX98_M5358A8BH101511/dpll_52094/txpa_55176.png","plot")</f>
        <v>plot</v>
      </c>
    </row>
    <row r="934" spans="1:29" x14ac:dyDescent="0.35">
      <c r="A934" t="s">
        <v>46</v>
      </c>
      <c r="B934">
        <v>52094</v>
      </c>
      <c r="C934" t="s">
        <v>53</v>
      </c>
      <c r="D934">
        <v>55177</v>
      </c>
      <c r="E934" t="s">
        <v>310</v>
      </c>
      <c r="F934">
        <v>8716</v>
      </c>
      <c r="G934">
        <v>0.29675736219883692</v>
      </c>
      <c r="H934">
        <v>1.051205131052833E-176</v>
      </c>
      <c r="I934">
        <v>1.1949798238649909E-176</v>
      </c>
      <c r="J934">
        <v>0.23977333401261139</v>
      </c>
      <c r="K934">
        <v>3.2557350057129982E-114</v>
      </c>
      <c r="L934">
        <v>3.8793364227884609E-114</v>
      </c>
      <c r="M934">
        <v>0.1604249786019295</v>
      </c>
      <c r="N934">
        <v>1.0062512866562549E-111</v>
      </c>
      <c r="O934">
        <v>1.1919845848942091E-111</v>
      </c>
      <c r="P934">
        <v>8.8064932019211686E-2</v>
      </c>
      <c r="Q934">
        <v>0.68036863275496762</v>
      </c>
      <c r="R934">
        <v>-2.6968765830411279</v>
      </c>
      <c r="S934">
        <v>0.30877903890496361</v>
      </c>
      <c r="T934">
        <v>0.24177131494107479</v>
      </c>
      <c r="U934">
        <v>4.3177108791877004</v>
      </c>
      <c r="V934">
        <v>0.14104184712444839</v>
      </c>
      <c r="W934">
        <v>0.24075846446305649</v>
      </c>
      <c r="X934">
        <v>0.32336332948329549</v>
      </c>
      <c r="Z934" t="s">
        <v>392</v>
      </c>
      <c r="AA934">
        <v>9937</v>
      </c>
      <c r="AB934" t="s">
        <v>1325</v>
      </c>
      <c r="AC934" t="str">
        <f>HYPERLINK("plots/20251231000436_3FT6Y121H01_04823_B11P_N_UFLEX98_M5358A8BH101511/dpll_52094/txpa_55177.png","plot")</f>
        <v>plot</v>
      </c>
    </row>
    <row r="935" spans="1:29" x14ac:dyDescent="0.35">
      <c r="A935" t="s">
        <v>46</v>
      </c>
      <c r="B935">
        <v>52094</v>
      </c>
      <c r="C935" t="s">
        <v>53</v>
      </c>
      <c r="D935">
        <v>55178</v>
      </c>
      <c r="E935" t="s">
        <v>311</v>
      </c>
      <c r="F935">
        <v>8716</v>
      </c>
      <c r="G935">
        <v>0.34094406259416549</v>
      </c>
      <c r="H935">
        <v>3.7271005082301919E-236</v>
      </c>
      <c r="I935">
        <v>4.4462116651122527E-236</v>
      </c>
      <c r="J935">
        <v>0.23410811573354609</v>
      </c>
      <c r="K935">
        <v>8.0377061702941697E-109</v>
      </c>
      <c r="L935">
        <v>9.4113557236469849E-109</v>
      </c>
      <c r="M935">
        <v>0.1582633625255099</v>
      </c>
      <c r="N935">
        <v>8.7148517603227233E-109</v>
      </c>
      <c r="O935">
        <v>1.0227846857600981E-108</v>
      </c>
      <c r="P935">
        <v>0.1162428538182142</v>
      </c>
      <c r="Q935">
        <v>0.92456216714983686</v>
      </c>
      <c r="R935">
        <v>-3.3766414049610849</v>
      </c>
      <c r="S935">
        <v>0.3595361202671073</v>
      </c>
      <c r="T935">
        <v>0.28758591628541003</v>
      </c>
      <c r="U935">
        <v>4.3177108791877004</v>
      </c>
      <c r="V935">
        <v>0.14104184712444839</v>
      </c>
      <c r="W935">
        <v>0.61535072262712254</v>
      </c>
      <c r="X935">
        <v>0.38247316830801292</v>
      </c>
      <c r="Z935" t="s">
        <v>392</v>
      </c>
      <c r="AA935">
        <v>9937</v>
      </c>
      <c r="AB935" t="s">
        <v>1326</v>
      </c>
      <c r="AC935" t="str">
        <f>HYPERLINK("plots/20251231000436_3FT6Y121H01_04823_B11P_N_UFLEX98_M5358A8BH101511/dpll_52094/txpa_55178.png","plot")</f>
        <v>plot</v>
      </c>
    </row>
    <row r="936" spans="1:29" x14ac:dyDescent="0.35">
      <c r="A936" t="s">
        <v>46</v>
      </c>
      <c r="B936">
        <v>52094</v>
      </c>
      <c r="C936" t="s">
        <v>53</v>
      </c>
      <c r="D936">
        <v>55179</v>
      </c>
      <c r="E936" t="s">
        <v>312</v>
      </c>
      <c r="F936">
        <v>8716</v>
      </c>
      <c r="G936">
        <v>0.40832147465430069</v>
      </c>
      <c r="H936">
        <v>0</v>
      </c>
      <c r="I936">
        <v>0</v>
      </c>
      <c r="J936">
        <v>0.27002558137110783</v>
      </c>
      <c r="K936">
        <v>1.7462260643972909E-145</v>
      </c>
      <c r="L936">
        <v>2.218888758519865E-145</v>
      </c>
      <c r="M936">
        <v>0.18314988455005429</v>
      </c>
      <c r="N936">
        <v>5.1192188967766517E-145</v>
      </c>
      <c r="O936">
        <v>6.5048721319943925E-145</v>
      </c>
      <c r="P936">
        <v>0.16672642666386281</v>
      </c>
      <c r="Q936">
        <v>0.96857906105182578</v>
      </c>
      <c r="R936">
        <v>-0.43341561474563273</v>
      </c>
      <c r="S936">
        <v>0.30538642731938581</v>
      </c>
      <c r="T936">
        <v>0.23905167058679291</v>
      </c>
      <c r="U936">
        <v>4.3177108791877004</v>
      </c>
      <c r="V936">
        <v>0.14104184712444839</v>
      </c>
      <c r="W936">
        <v>3.748628734511243</v>
      </c>
      <c r="X936">
        <v>0.33456525883795951</v>
      </c>
      <c r="Z936" t="s">
        <v>392</v>
      </c>
      <c r="AA936">
        <v>9937</v>
      </c>
      <c r="AB936" t="s">
        <v>1327</v>
      </c>
      <c r="AC936" t="str">
        <f>HYPERLINK("plots/20251231000436_3FT6Y121H01_04823_B11P_N_UFLEX98_M5358A8BH101511/dpll_52094/txpa_55179.png","plot")</f>
        <v>plot</v>
      </c>
    </row>
    <row r="937" spans="1:29" x14ac:dyDescent="0.35">
      <c r="A937" t="s">
        <v>46</v>
      </c>
      <c r="B937">
        <v>52094</v>
      </c>
      <c r="C937" t="s">
        <v>53</v>
      </c>
      <c r="D937">
        <v>55180</v>
      </c>
      <c r="E937" t="s">
        <v>313</v>
      </c>
      <c r="F937">
        <v>8716</v>
      </c>
      <c r="G937">
        <v>0.44012592607333673</v>
      </c>
      <c r="H937">
        <v>0</v>
      </c>
      <c r="I937">
        <v>0</v>
      </c>
      <c r="J937">
        <v>0.33440563182899502</v>
      </c>
      <c r="K937">
        <v>1.0251297449690891E-226</v>
      </c>
      <c r="L937">
        <v>1.626731707979117E-226</v>
      </c>
      <c r="M937">
        <v>0.22681079529417639</v>
      </c>
      <c r="N937">
        <v>2.6726734941749202E-221</v>
      </c>
      <c r="O937">
        <v>4.2016913536331299E-221</v>
      </c>
      <c r="P937">
        <v>0.1937108308019122</v>
      </c>
      <c r="Q937">
        <v>0.88887435704029438</v>
      </c>
      <c r="R937">
        <v>-0.50747562985698558</v>
      </c>
      <c r="S937">
        <v>0.2557595802674133</v>
      </c>
      <c r="T937">
        <v>0.20200462734443639</v>
      </c>
      <c r="U937">
        <v>4.3177108791877004</v>
      </c>
      <c r="V937">
        <v>0.14104184712444839</v>
      </c>
      <c r="W937">
        <v>3.330426851766866</v>
      </c>
      <c r="X937">
        <v>0.28484684439523289</v>
      </c>
      <c r="Z937" t="s">
        <v>392</v>
      </c>
      <c r="AA937">
        <v>9937</v>
      </c>
      <c r="AB937" t="s">
        <v>1328</v>
      </c>
      <c r="AC937" t="str">
        <f>HYPERLINK("plots/20251231000436_3FT6Y121H01_04823_B11P_N_UFLEX98_M5358A8BH101511/dpll_52094/txpa_55180.png","plot")</f>
        <v>plot</v>
      </c>
    </row>
    <row r="938" spans="1:29" x14ac:dyDescent="0.35">
      <c r="A938" t="s">
        <v>46</v>
      </c>
      <c r="B938">
        <v>52094</v>
      </c>
      <c r="C938" t="s">
        <v>53</v>
      </c>
      <c r="D938">
        <v>55181</v>
      </c>
      <c r="E938" t="s">
        <v>314</v>
      </c>
      <c r="F938">
        <v>8716</v>
      </c>
      <c r="G938">
        <v>0.29725625621721757</v>
      </c>
      <c r="H938">
        <v>2.546527485151302E-177</v>
      </c>
      <c r="I938">
        <v>2.9013245729701349E-177</v>
      </c>
      <c r="J938">
        <v>0.23930213243310081</v>
      </c>
      <c r="K938">
        <v>9.2609017501507951E-114</v>
      </c>
      <c r="L938">
        <v>1.1021777435038619E-113</v>
      </c>
      <c r="M938">
        <v>0.16136915027943871</v>
      </c>
      <c r="N938">
        <v>5.0666763104317731E-113</v>
      </c>
      <c r="O938">
        <v>6.0442467985621377E-113</v>
      </c>
      <c r="P938">
        <v>8.8361281860276128E-2</v>
      </c>
      <c r="Q938">
        <v>0.79335540212032962</v>
      </c>
      <c r="R938">
        <v>5.9570615540489591E-2</v>
      </c>
      <c r="S938">
        <v>0.35939433922043468</v>
      </c>
      <c r="T938">
        <v>0.27956835191557239</v>
      </c>
      <c r="U938">
        <v>4.3177108791877004</v>
      </c>
      <c r="V938">
        <v>0.14104184712444839</v>
      </c>
      <c r="W938">
        <v>3.48504986633777</v>
      </c>
      <c r="X938">
        <v>0.37643046698214289</v>
      </c>
      <c r="Z938" t="s">
        <v>392</v>
      </c>
      <c r="AA938">
        <v>9937</v>
      </c>
      <c r="AB938" t="s">
        <v>1329</v>
      </c>
      <c r="AC938" t="str">
        <f>HYPERLINK("plots/20251231000436_3FT6Y121H01_04823_B11P_N_UFLEX98_M5358A8BH101511/dpll_52094/txpa_55181.png","plot")</f>
        <v>plot</v>
      </c>
    </row>
    <row r="939" spans="1:29" x14ac:dyDescent="0.35">
      <c r="A939" t="s">
        <v>46</v>
      </c>
      <c r="B939">
        <v>52094</v>
      </c>
      <c r="C939" t="s">
        <v>53</v>
      </c>
      <c r="D939">
        <v>55182</v>
      </c>
      <c r="E939" t="s">
        <v>315</v>
      </c>
      <c r="F939">
        <v>8716</v>
      </c>
      <c r="G939">
        <v>0.401632615692046</v>
      </c>
      <c r="H939">
        <v>0</v>
      </c>
      <c r="I939">
        <v>0</v>
      </c>
      <c r="J939">
        <v>0.31546935227579281</v>
      </c>
      <c r="K939">
        <v>1.1858349267895551E-200</v>
      </c>
      <c r="L939">
        <v>1.770893395824166E-200</v>
      </c>
      <c r="M939">
        <v>0.2149196087983449</v>
      </c>
      <c r="N939">
        <v>6.4317688181372918E-199</v>
      </c>
      <c r="O939">
        <v>9.5348151777649325E-199</v>
      </c>
      <c r="P939">
        <v>0.16130875798763469</v>
      </c>
      <c r="Q939">
        <v>0.96107664553822103</v>
      </c>
      <c r="R939">
        <v>-0.64938677644803633</v>
      </c>
      <c r="S939">
        <v>0.30906738392424538</v>
      </c>
      <c r="T939">
        <v>0.24765425394635909</v>
      </c>
      <c r="U939">
        <v>4.3177108791877004</v>
      </c>
      <c r="V939">
        <v>0.14104184712444839</v>
      </c>
      <c r="W939">
        <v>3.5002643117255618</v>
      </c>
      <c r="X939">
        <v>0.33750253345663228</v>
      </c>
      <c r="Z939" t="s">
        <v>392</v>
      </c>
      <c r="AA939">
        <v>9937</v>
      </c>
      <c r="AB939" t="s">
        <v>1330</v>
      </c>
      <c r="AC939" t="str">
        <f>HYPERLINK("plots/20251231000436_3FT6Y121H01_04823_B11P_N_UFLEX98_M5358A8BH101511/dpll_52094/txpa_55182.png","plot")</f>
        <v>plot</v>
      </c>
    </row>
    <row r="940" spans="1:29" x14ac:dyDescent="0.35">
      <c r="A940" t="s">
        <v>46</v>
      </c>
      <c r="B940">
        <v>52094</v>
      </c>
      <c r="C940" t="s">
        <v>53</v>
      </c>
      <c r="D940">
        <v>55183</v>
      </c>
      <c r="E940" t="s">
        <v>316</v>
      </c>
      <c r="F940">
        <v>8716</v>
      </c>
      <c r="G940">
        <v>0.30821641924124799</v>
      </c>
      <c r="H940">
        <v>3.6801609925592862E-191</v>
      </c>
      <c r="I940">
        <v>4.2213611385238867E-191</v>
      </c>
      <c r="J940">
        <v>0.2472951798290394</v>
      </c>
      <c r="K940">
        <v>1.347855550045797E-121</v>
      </c>
      <c r="L940">
        <v>1.617426660054956E-121</v>
      </c>
      <c r="M940">
        <v>0.16645890225367721</v>
      </c>
      <c r="N940">
        <v>3.8805794736053847E-120</v>
      </c>
      <c r="O940">
        <v>4.6511910002787962E-120</v>
      </c>
      <c r="P940">
        <v>9.4997361089896745E-2</v>
      </c>
      <c r="Q940">
        <v>0.81463547033757522</v>
      </c>
      <c r="R940">
        <v>-0.1058396323668651</v>
      </c>
      <c r="S940">
        <v>0.3546137245305061</v>
      </c>
      <c r="T940">
        <v>0.27044969891692822</v>
      </c>
      <c r="U940">
        <v>4.3177108791877004</v>
      </c>
      <c r="V940">
        <v>0.14104184712444839</v>
      </c>
      <c r="W940">
        <v>3.4115208004818731</v>
      </c>
      <c r="X940">
        <v>0.37278251350903002</v>
      </c>
      <c r="Z940" t="s">
        <v>392</v>
      </c>
      <c r="AA940">
        <v>9937</v>
      </c>
      <c r="AB940" t="s">
        <v>1331</v>
      </c>
      <c r="AC940" t="str">
        <f>HYPERLINK("plots/20251231000436_3FT6Y121H01_04823_B11P_N_UFLEX98_M5358A8BH101511/dpll_52094/txpa_55183.png","plot")</f>
        <v>plot</v>
      </c>
    </row>
    <row r="941" spans="1:29" x14ac:dyDescent="0.35">
      <c r="A941" t="s">
        <v>46</v>
      </c>
      <c r="B941">
        <v>52094</v>
      </c>
      <c r="C941" t="s">
        <v>53</v>
      </c>
      <c r="D941">
        <v>55184</v>
      </c>
      <c r="E941" t="s">
        <v>317</v>
      </c>
      <c r="F941">
        <v>8716</v>
      </c>
      <c r="G941">
        <v>0.43785307833724307</v>
      </c>
      <c r="H941">
        <v>0</v>
      </c>
      <c r="I941">
        <v>0</v>
      </c>
      <c r="J941">
        <v>0.3352015113609757</v>
      </c>
      <c r="K941">
        <v>7.4821493926168569E-228</v>
      </c>
      <c r="L941">
        <v>1.192908723917216E-227</v>
      </c>
      <c r="M941">
        <v>0.22773465226547601</v>
      </c>
      <c r="N941">
        <v>4.3381046687593576E-223</v>
      </c>
      <c r="O941">
        <v>6.8731845845656089E-223</v>
      </c>
      <c r="P941">
        <v>0.19171531820939991</v>
      </c>
      <c r="Q941">
        <v>0.8909450335397644</v>
      </c>
      <c r="R941">
        <v>-0.28998926003434139</v>
      </c>
      <c r="S941">
        <v>0.25800477872012989</v>
      </c>
      <c r="T941">
        <v>0.20587611697755909</v>
      </c>
      <c r="U941">
        <v>4.3177108791877004</v>
      </c>
      <c r="V941">
        <v>0.14104184712444839</v>
      </c>
      <c r="W941">
        <v>3.5568538040385498</v>
      </c>
      <c r="X941">
        <v>0.28699246261782768</v>
      </c>
      <c r="Z941" t="s">
        <v>392</v>
      </c>
      <c r="AA941">
        <v>9937</v>
      </c>
      <c r="AB941" t="s">
        <v>1332</v>
      </c>
      <c r="AC941" t="str">
        <f>HYPERLINK("plots/20251231000436_3FT6Y121H01_04823_B11P_N_UFLEX98_M5358A8BH101511/dpll_52094/txpa_55184.png","plot")</f>
        <v>plot</v>
      </c>
    </row>
    <row r="942" spans="1:29" x14ac:dyDescent="0.35">
      <c r="A942" t="s">
        <v>46</v>
      </c>
      <c r="B942">
        <v>52094</v>
      </c>
      <c r="C942" t="s">
        <v>53</v>
      </c>
      <c r="D942">
        <v>55185</v>
      </c>
      <c r="E942" t="s">
        <v>318</v>
      </c>
      <c r="F942">
        <v>8716</v>
      </c>
      <c r="G942">
        <v>0.35429555802904722</v>
      </c>
      <c r="H942">
        <v>3.7564650261806328E-256</v>
      </c>
      <c r="I942">
        <v>4.5892235380086291E-256</v>
      </c>
      <c r="J942">
        <v>0.27894140651562788</v>
      </c>
      <c r="K942">
        <v>1.6282026162776439E-155</v>
      </c>
      <c r="L942">
        <v>2.1139532047445978E-155</v>
      </c>
      <c r="M942">
        <v>0.18842519690486109</v>
      </c>
      <c r="N942">
        <v>2.2561179875018079E-153</v>
      </c>
      <c r="O942">
        <v>2.9291980016988899E-153</v>
      </c>
      <c r="P942">
        <v>0.1255253424391139</v>
      </c>
      <c r="Q942">
        <v>0.77405663651198586</v>
      </c>
      <c r="R942">
        <v>7.000976776344725E-2</v>
      </c>
      <c r="S942">
        <v>0.28814010959457481</v>
      </c>
      <c r="T942">
        <v>0.22375235111854069</v>
      </c>
      <c r="U942">
        <v>4.3177108791877004</v>
      </c>
      <c r="V942">
        <v>0.14104184712444839</v>
      </c>
      <c r="W942">
        <v>3.4121625283386878</v>
      </c>
      <c r="X942">
        <v>0.30814492397231102</v>
      </c>
      <c r="Z942" t="s">
        <v>392</v>
      </c>
      <c r="AA942">
        <v>9937</v>
      </c>
      <c r="AB942" t="s">
        <v>1333</v>
      </c>
      <c r="AC942" t="str">
        <f>HYPERLINK("plots/20251231000436_3FT6Y121H01_04823_B11P_N_UFLEX98_M5358A8BH101511/dpll_52094/txpa_55185.png","plot")</f>
        <v>plot</v>
      </c>
    </row>
    <row r="943" spans="1:29" x14ac:dyDescent="0.35">
      <c r="A943" t="s">
        <v>46</v>
      </c>
      <c r="B943">
        <v>52094</v>
      </c>
      <c r="C943" t="s">
        <v>53</v>
      </c>
      <c r="D943">
        <v>55186</v>
      </c>
      <c r="E943" t="s">
        <v>319</v>
      </c>
      <c r="F943">
        <v>8716</v>
      </c>
      <c r="G943">
        <v>0.38351385977884273</v>
      </c>
      <c r="H943">
        <v>2.0361695929709041E-303</v>
      </c>
      <c r="I943">
        <v>2.660664906278991E-303</v>
      </c>
      <c r="J943">
        <v>0.26696387881244987</v>
      </c>
      <c r="K943">
        <v>3.9787357239100473E-142</v>
      </c>
      <c r="L943">
        <v>4.9807876840059101E-142</v>
      </c>
      <c r="M943">
        <v>0.18153922592363911</v>
      </c>
      <c r="N943">
        <v>1.633681057874462E-142</v>
      </c>
      <c r="O943">
        <v>2.0578293076828618E-142</v>
      </c>
      <c r="P943">
        <v>0.1470828806424658</v>
      </c>
      <c r="Q943">
        <v>0.98128235060783242</v>
      </c>
      <c r="R943">
        <v>-0.48267272389042581</v>
      </c>
      <c r="S943">
        <v>0.33326477440910701</v>
      </c>
      <c r="T943">
        <v>0.26456152862225379</v>
      </c>
      <c r="U943">
        <v>4.3177108791877004</v>
      </c>
      <c r="V943">
        <v>0.14104184712444839</v>
      </c>
      <c r="W943">
        <v>3.7542207568838921</v>
      </c>
      <c r="X943">
        <v>0.36087841873605342</v>
      </c>
      <c r="Z943" t="s">
        <v>392</v>
      </c>
      <c r="AA943">
        <v>9937</v>
      </c>
      <c r="AB943" t="s">
        <v>1334</v>
      </c>
      <c r="AC943" t="str">
        <f>HYPERLINK("plots/20251231000436_3FT6Y121H01_04823_B11P_N_UFLEX98_M5358A8BH101511/dpll_52094/txpa_55186.png","plot")</f>
        <v>plot</v>
      </c>
    </row>
    <row r="944" spans="1:29" x14ac:dyDescent="0.35">
      <c r="A944" t="s">
        <v>46</v>
      </c>
      <c r="B944">
        <v>52094</v>
      </c>
      <c r="C944" t="s">
        <v>53</v>
      </c>
      <c r="D944">
        <v>55187</v>
      </c>
      <c r="E944" t="s">
        <v>320</v>
      </c>
      <c r="F944">
        <v>8711</v>
      </c>
      <c r="G944">
        <v>0.43117011190749932</v>
      </c>
      <c r="H944">
        <v>0</v>
      </c>
      <c r="I944">
        <v>0</v>
      </c>
      <c r="J944">
        <v>0.30018710252866232</v>
      </c>
      <c r="K944">
        <v>7.352018297145841E-181</v>
      </c>
      <c r="L944">
        <v>1.031112939599707E-180</v>
      </c>
      <c r="M944">
        <v>0.20449046570746479</v>
      </c>
      <c r="N944">
        <v>3.5495496624539749E-180</v>
      </c>
      <c r="O944">
        <v>4.9920157527438706E-180</v>
      </c>
      <c r="P944">
        <v>0.18590766540232551</v>
      </c>
      <c r="Q944">
        <v>1.007457313366626</v>
      </c>
      <c r="R944">
        <v>1.126890974903648</v>
      </c>
      <c r="S944">
        <v>0.29674034974485852</v>
      </c>
      <c r="T944">
        <v>0.2290287103535544</v>
      </c>
      <c r="U944">
        <v>4.317935650671564</v>
      </c>
      <c r="V944">
        <v>0.14076241056092331</v>
      </c>
      <c r="W944">
        <v>5.4770268248191938</v>
      </c>
      <c r="X944">
        <v>0.32890062657483388</v>
      </c>
      <c r="Z944" t="s">
        <v>392</v>
      </c>
      <c r="AA944">
        <v>9937</v>
      </c>
      <c r="AB944" t="s">
        <v>1335</v>
      </c>
      <c r="AC944" t="str">
        <f>HYPERLINK("plots/20251231000436_3FT6Y121H01_04823_B11P_N_UFLEX98_M5358A8BH101511/dpll_52094/txpa_55187.png","plot")</f>
        <v>plot</v>
      </c>
    </row>
    <row r="945" spans="1:29" x14ac:dyDescent="0.35">
      <c r="A945" t="s">
        <v>46</v>
      </c>
      <c r="B945">
        <v>52094</v>
      </c>
      <c r="C945" t="s">
        <v>53</v>
      </c>
      <c r="D945">
        <v>55188</v>
      </c>
      <c r="E945" t="s">
        <v>321</v>
      </c>
      <c r="F945">
        <v>8716</v>
      </c>
      <c r="G945">
        <v>0.46614772145687822</v>
      </c>
      <c r="H945">
        <v>0</v>
      </c>
      <c r="I945">
        <v>0</v>
      </c>
      <c r="J945">
        <v>0.35575221260797091</v>
      </c>
      <c r="K945">
        <v>2.1559129743016719E-258</v>
      </c>
      <c r="L945">
        <v>3.7953051318435682E-258</v>
      </c>
      <c r="M945">
        <v>0.2421693988724202</v>
      </c>
      <c r="N945">
        <v>5.4620463955581568E-252</v>
      </c>
      <c r="O945">
        <v>9.4032513499082693E-252</v>
      </c>
      <c r="P945">
        <v>0.21729369821943931</v>
      </c>
      <c r="Q945">
        <v>0.95085251190505737</v>
      </c>
      <c r="R945">
        <v>0.98474620254536216</v>
      </c>
      <c r="S945">
        <v>0.25451423621126829</v>
      </c>
      <c r="T945">
        <v>0.1977898417894477</v>
      </c>
      <c r="U945">
        <v>4.3177108791877004</v>
      </c>
      <c r="V945">
        <v>0.14104184712444839</v>
      </c>
      <c r="W945">
        <v>5.090252437700781</v>
      </c>
      <c r="X945">
        <v>0.2876984879446996</v>
      </c>
      <c r="Z945" t="s">
        <v>392</v>
      </c>
      <c r="AA945">
        <v>9937</v>
      </c>
      <c r="AB945" t="s">
        <v>1336</v>
      </c>
      <c r="AC945" t="str">
        <f>HYPERLINK("plots/20251231000436_3FT6Y121H01_04823_B11P_N_UFLEX98_M5358A8BH101511/dpll_52094/txpa_55188.png","plot")</f>
        <v>plot</v>
      </c>
    </row>
    <row r="946" spans="1:29" x14ac:dyDescent="0.35">
      <c r="A946" t="s">
        <v>46</v>
      </c>
      <c r="B946">
        <v>52094</v>
      </c>
      <c r="C946" t="s">
        <v>53</v>
      </c>
      <c r="D946">
        <v>55189</v>
      </c>
      <c r="E946" t="s">
        <v>322</v>
      </c>
      <c r="F946">
        <v>8716</v>
      </c>
      <c r="G946">
        <v>0.33928007325702181</v>
      </c>
      <c r="H946">
        <v>9.895382699507384E-234</v>
      </c>
      <c r="I946">
        <v>1.172186688936973E-233</v>
      </c>
      <c r="J946">
        <v>0.2661761469805628</v>
      </c>
      <c r="K946">
        <v>2.8608319940936647E-141</v>
      </c>
      <c r="L946">
        <v>3.5681225608991098E-141</v>
      </c>
      <c r="M946">
        <v>0.18066761590023089</v>
      </c>
      <c r="N946">
        <v>3.6152559012548108E-141</v>
      </c>
      <c r="O946">
        <v>4.5369671830103689E-141</v>
      </c>
      <c r="P946">
        <v>0.11511096810929</v>
      </c>
      <c r="Q946">
        <v>0.87561470166912148</v>
      </c>
      <c r="R946">
        <v>1.4453053277509109</v>
      </c>
      <c r="S946">
        <v>0.34239086529753998</v>
      </c>
      <c r="T946">
        <v>0.26423246833832142</v>
      </c>
      <c r="U946">
        <v>4.3177108791877004</v>
      </c>
      <c r="V946">
        <v>0.14104184712444839</v>
      </c>
      <c r="W946">
        <v>5.225956451124369</v>
      </c>
      <c r="X946">
        <v>0.36400108531920627</v>
      </c>
      <c r="Z946" t="s">
        <v>392</v>
      </c>
      <c r="AA946">
        <v>9937</v>
      </c>
      <c r="AB946" t="s">
        <v>1337</v>
      </c>
      <c r="AC946" t="str">
        <f>HYPERLINK("plots/20251231000436_3FT6Y121H01_04823_B11P_N_UFLEX98_M5358A8BH101511/dpll_52094/txpa_55189.png","plot")</f>
        <v>plot</v>
      </c>
    </row>
    <row r="947" spans="1:29" x14ac:dyDescent="0.35">
      <c r="A947" t="s">
        <v>46</v>
      </c>
      <c r="B947">
        <v>52094</v>
      </c>
      <c r="C947" t="s">
        <v>53</v>
      </c>
      <c r="D947">
        <v>55190</v>
      </c>
      <c r="E947" t="s">
        <v>323</v>
      </c>
      <c r="F947">
        <v>8716</v>
      </c>
      <c r="G947">
        <v>0.43306482371429222</v>
      </c>
      <c r="H947">
        <v>0</v>
      </c>
      <c r="I947">
        <v>0</v>
      </c>
      <c r="J947">
        <v>0.33542401116777909</v>
      </c>
      <c r="K947">
        <v>3.5943958196552591E-228</v>
      </c>
      <c r="L947">
        <v>5.7578473319596095E-228</v>
      </c>
      <c r="M947">
        <v>0.22985292388384129</v>
      </c>
      <c r="N947">
        <v>3.2055791788925579E-227</v>
      </c>
      <c r="O947">
        <v>5.135003613581444E-227</v>
      </c>
      <c r="P947">
        <v>0.18754514153869101</v>
      </c>
      <c r="Q947">
        <v>1.0238746798258329</v>
      </c>
      <c r="R947">
        <v>0.82141088637208703</v>
      </c>
      <c r="S947">
        <v>0.30054989881545829</v>
      </c>
      <c r="T947">
        <v>0.23959990543984749</v>
      </c>
      <c r="U947">
        <v>4.3177108791877004</v>
      </c>
      <c r="V947">
        <v>0.14104184712444839</v>
      </c>
      <c r="W947">
        <v>5.2422057303809089</v>
      </c>
      <c r="X947">
        <v>0.33345856823010023</v>
      </c>
      <c r="Z947" t="s">
        <v>392</v>
      </c>
      <c r="AA947">
        <v>9937</v>
      </c>
      <c r="AB947" t="s">
        <v>1338</v>
      </c>
      <c r="AC947" t="str">
        <f>HYPERLINK("plots/20251231000436_3FT6Y121H01_04823_B11P_N_UFLEX98_M5358A8BH101511/dpll_52094/txpa_55190.png","plot")</f>
        <v>plot</v>
      </c>
    </row>
    <row r="948" spans="1:29" x14ac:dyDescent="0.35">
      <c r="A948" t="s">
        <v>46</v>
      </c>
      <c r="B948">
        <v>52094</v>
      </c>
      <c r="C948" t="s">
        <v>53</v>
      </c>
      <c r="D948">
        <v>55191</v>
      </c>
      <c r="E948" t="s">
        <v>324</v>
      </c>
      <c r="F948">
        <v>8716</v>
      </c>
      <c r="G948">
        <v>0.34895834628870342</v>
      </c>
      <c r="H948">
        <v>4.8501926617866464E-248</v>
      </c>
      <c r="I948">
        <v>5.8828891854684921E-248</v>
      </c>
      <c r="J948">
        <v>0.27085129451802098</v>
      </c>
      <c r="K948">
        <v>2.133100458723812E-146</v>
      </c>
      <c r="L948">
        <v>2.7172912878717901E-146</v>
      </c>
      <c r="M948">
        <v>0.1834092361224274</v>
      </c>
      <c r="N948">
        <v>2.008991088533537E-145</v>
      </c>
      <c r="O948">
        <v>2.5559811339686401E-145</v>
      </c>
      <c r="P948">
        <v>0.1217719274445466</v>
      </c>
      <c r="Q948">
        <v>0.89174703546688816</v>
      </c>
      <c r="R948">
        <v>1.3120436666202919</v>
      </c>
      <c r="S948">
        <v>0.33774957688558083</v>
      </c>
      <c r="T948">
        <v>0.25743904082023278</v>
      </c>
      <c r="U948">
        <v>4.3177108791877004</v>
      </c>
      <c r="V948">
        <v>0.14104184712444839</v>
      </c>
      <c r="W948">
        <v>5.1623495431390554</v>
      </c>
      <c r="X948">
        <v>0.36042596598605131</v>
      </c>
      <c r="Z948" t="s">
        <v>392</v>
      </c>
      <c r="AA948">
        <v>9937</v>
      </c>
      <c r="AB948" t="s">
        <v>1339</v>
      </c>
      <c r="AC948" t="str">
        <f>HYPERLINK("plots/20251231000436_3FT6Y121H01_04823_B11P_N_UFLEX98_M5358A8BH101511/dpll_52094/txpa_55191.png","plot")</f>
        <v>plot</v>
      </c>
    </row>
    <row r="949" spans="1:29" x14ac:dyDescent="0.35">
      <c r="A949" t="s">
        <v>46</v>
      </c>
      <c r="B949">
        <v>52094</v>
      </c>
      <c r="C949" t="s">
        <v>53</v>
      </c>
      <c r="D949">
        <v>55192</v>
      </c>
      <c r="E949" t="s">
        <v>325</v>
      </c>
      <c r="F949">
        <v>8716</v>
      </c>
      <c r="G949">
        <v>0.47051451342210082</v>
      </c>
      <c r="H949">
        <v>0</v>
      </c>
      <c r="I949">
        <v>0</v>
      </c>
      <c r="J949">
        <v>0.35558992155532221</v>
      </c>
      <c r="K949">
        <v>3.8362895173484489E-258</v>
      </c>
      <c r="L949">
        <v>6.7300996030991816E-258</v>
      </c>
      <c r="M949">
        <v>0.24280467015527979</v>
      </c>
      <c r="N949">
        <v>2.658871085076215E-253</v>
      </c>
      <c r="O949">
        <v>4.6245202062903643E-253</v>
      </c>
      <c r="P949">
        <v>0.22138390734083629</v>
      </c>
      <c r="Q949">
        <v>0.95810987753506949</v>
      </c>
      <c r="R949">
        <v>1.1556713740508009</v>
      </c>
      <c r="S949">
        <v>0.25341192797521123</v>
      </c>
      <c r="T949">
        <v>0.20015071981603691</v>
      </c>
      <c r="U949">
        <v>4.3177108791877004</v>
      </c>
      <c r="V949">
        <v>0.14104184712444839</v>
      </c>
      <c r="W949">
        <v>5.2925128157411656</v>
      </c>
      <c r="X949">
        <v>0.28720386517492252</v>
      </c>
      <c r="Z949" t="s">
        <v>392</v>
      </c>
      <c r="AA949">
        <v>9937</v>
      </c>
      <c r="AB949" t="s">
        <v>1340</v>
      </c>
      <c r="AC949" t="str">
        <f>HYPERLINK("plots/20251231000436_3FT6Y121H01_04823_B11P_N_UFLEX98_M5358A8BH101511/dpll_52094/txpa_55192.png","plot")</f>
        <v>plot</v>
      </c>
    </row>
    <row r="950" spans="1:29" x14ac:dyDescent="0.35">
      <c r="A950" t="s">
        <v>46</v>
      </c>
      <c r="B950">
        <v>52094</v>
      </c>
      <c r="C950" t="s">
        <v>53</v>
      </c>
      <c r="D950">
        <v>55193</v>
      </c>
      <c r="E950" t="s">
        <v>326</v>
      </c>
      <c r="F950">
        <v>8716</v>
      </c>
      <c r="G950">
        <v>0.39767895437552042</v>
      </c>
      <c r="H950">
        <v>0</v>
      </c>
      <c r="I950">
        <v>0</v>
      </c>
      <c r="J950">
        <v>0.3061044291683242</v>
      </c>
      <c r="K950">
        <v>1.903922209269942E-188</v>
      </c>
      <c r="L950">
        <v>2.7384072626946399E-188</v>
      </c>
      <c r="M950">
        <v>0.2081583989133482</v>
      </c>
      <c r="N950">
        <v>9.9449372792468108E-187</v>
      </c>
      <c r="O950">
        <v>1.438540142818298E-186</v>
      </c>
      <c r="P950">
        <v>0.15814855075320719</v>
      </c>
      <c r="Q950">
        <v>0.85477583959528014</v>
      </c>
      <c r="R950">
        <v>1.4736232431746139</v>
      </c>
      <c r="S950">
        <v>0.27813806814264869</v>
      </c>
      <c r="T950">
        <v>0.21462765068016709</v>
      </c>
      <c r="U950">
        <v>4.3177108791877004</v>
      </c>
      <c r="V950">
        <v>0.14104184712444839</v>
      </c>
      <c r="W950">
        <v>5.1642981850619556</v>
      </c>
      <c r="X950">
        <v>0.30315701137160989</v>
      </c>
      <c r="Z950" t="s">
        <v>392</v>
      </c>
      <c r="AA950">
        <v>9937</v>
      </c>
      <c r="AB950" t="s">
        <v>1341</v>
      </c>
      <c r="AC950" t="str">
        <f>HYPERLINK("plots/20251231000436_3FT6Y121H01_04823_B11P_N_UFLEX98_M5358A8BH101511/dpll_52094/txpa_55193.png","plot")</f>
        <v>plot</v>
      </c>
    </row>
    <row r="951" spans="1:29" x14ac:dyDescent="0.35">
      <c r="A951" t="s">
        <v>46</v>
      </c>
      <c r="B951">
        <v>52094</v>
      </c>
      <c r="C951" t="s">
        <v>53</v>
      </c>
      <c r="D951">
        <v>55194</v>
      </c>
      <c r="E951" t="s">
        <v>327</v>
      </c>
      <c r="F951">
        <v>8713</v>
      </c>
      <c r="G951">
        <v>0.41423024766311872</v>
      </c>
      <c r="H951">
        <v>0</v>
      </c>
      <c r="I951">
        <v>0</v>
      </c>
      <c r="J951">
        <v>0.29386070706748191</v>
      </c>
      <c r="K951">
        <v>4.2793758475844827E-173</v>
      </c>
      <c r="L951">
        <v>5.8877708405029377E-173</v>
      </c>
      <c r="M951">
        <v>0.2005936095088941</v>
      </c>
      <c r="N951">
        <v>1.715909366412411E-173</v>
      </c>
      <c r="O951">
        <v>2.3608305258374291E-173</v>
      </c>
      <c r="P951">
        <v>0.17158669807904861</v>
      </c>
      <c r="Q951">
        <v>1.028978975278481</v>
      </c>
      <c r="R951">
        <v>1.039739067104207</v>
      </c>
      <c r="S951">
        <v>0.31858405130796069</v>
      </c>
      <c r="T951">
        <v>0.2509359753535611</v>
      </c>
      <c r="U951">
        <v>4.3178311674509349</v>
      </c>
      <c r="V951">
        <v>0.1409161372342049</v>
      </c>
      <c r="W951">
        <v>5.4826965572133588</v>
      </c>
      <c r="X951">
        <v>0.35004624435195281</v>
      </c>
      <c r="Z951" t="s">
        <v>392</v>
      </c>
      <c r="AA951">
        <v>9937</v>
      </c>
      <c r="AB951" t="s">
        <v>1342</v>
      </c>
      <c r="AC951" t="str">
        <f>HYPERLINK("plots/20251231000436_3FT6Y121H01_04823_B11P_N_UFLEX98_M5358A8BH101511/dpll_52094/txpa_55194.png","plot")</f>
        <v>plot</v>
      </c>
    </row>
    <row r="952" spans="1:29" x14ac:dyDescent="0.35">
      <c r="A952" t="s">
        <v>46</v>
      </c>
      <c r="B952">
        <v>52094</v>
      </c>
      <c r="C952" t="s">
        <v>53</v>
      </c>
      <c r="D952">
        <v>55195</v>
      </c>
      <c r="E952" t="s">
        <v>328</v>
      </c>
      <c r="F952">
        <v>8695</v>
      </c>
      <c r="G952">
        <v>0.44724883478263311</v>
      </c>
      <c r="H952">
        <v>0</v>
      </c>
      <c r="I952">
        <v>0</v>
      </c>
      <c r="J952">
        <v>0.34307486979313873</v>
      </c>
      <c r="K952">
        <v>1.039810543092657E-238</v>
      </c>
      <c r="L952">
        <v>1.7200128722609371E-238</v>
      </c>
      <c r="M952">
        <v>0.23526548764179309</v>
      </c>
      <c r="N952">
        <v>2.2265294098975939E-237</v>
      </c>
      <c r="O952">
        <v>3.7011488879281318E-237</v>
      </c>
      <c r="P952">
        <v>0.20003152021442311</v>
      </c>
      <c r="Q952">
        <v>1.046873873547866</v>
      </c>
      <c r="R952">
        <v>3.0012489137613829</v>
      </c>
      <c r="S952">
        <v>0.29252319142476452</v>
      </c>
      <c r="T952">
        <v>0.21881701142093929</v>
      </c>
      <c r="U952">
        <v>4.3186906124209319</v>
      </c>
      <c r="V952">
        <v>0.1397345166008899</v>
      </c>
      <c r="W952">
        <v>7.5223732838412882</v>
      </c>
      <c r="X952">
        <v>0.32707612247532752</v>
      </c>
      <c r="Z952" t="s">
        <v>392</v>
      </c>
      <c r="AA952">
        <v>9937</v>
      </c>
      <c r="AB952" t="s">
        <v>1343</v>
      </c>
      <c r="AC952" t="str">
        <f>HYPERLINK("plots/20251231000436_3FT6Y121H01_04823_B11P_N_UFLEX98_M5358A8BH101511/dpll_52094/txpa_55195.png","plot")</f>
        <v>plot</v>
      </c>
    </row>
    <row r="953" spans="1:29" x14ac:dyDescent="0.35">
      <c r="A953" t="s">
        <v>46</v>
      </c>
      <c r="B953">
        <v>52094</v>
      </c>
      <c r="C953" t="s">
        <v>53</v>
      </c>
      <c r="D953">
        <v>55196</v>
      </c>
      <c r="E953" t="s">
        <v>329</v>
      </c>
      <c r="F953">
        <v>8714</v>
      </c>
      <c r="G953">
        <v>0.49098602209138492</v>
      </c>
      <c r="H953">
        <v>0</v>
      </c>
      <c r="I953">
        <v>0</v>
      </c>
      <c r="J953">
        <v>0.38304152878443759</v>
      </c>
      <c r="K953">
        <v>1.5184287925746599E-302</v>
      </c>
      <c r="L953">
        <v>3.0917405535556341E-302</v>
      </c>
      <c r="M953">
        <v>0.26224118376984301</v>
      </c>
      <c r="N953">
        <v>4.7114386405316409E-295</v>
      </c>
      <c r="O953">
        <v>9.404328310037567E-295</v>
      </c>
      <c r="P953">
        <v>0.24106727388912191</v>
      </c>
      <c r="Q953">
        <v>1.0401155399125519</v>
      </c>
      <c r="R953">
        <v>2.6905892137928391</v>
      </c>
      <c r="S953">
        <v>0.26009797646397181</v>
      </c>
      <c r="T953">
        <v>0.19566166522468911</v>
      </c>
      <c r="U953">
        <v>4.3177957435161796</v>
      </c>
      <c r="V953">
        <v>0.14094439094507771</v>
      </c>
      <c r="W953">
        <v>7.1815956647922894</v>
      </c>
      <c r="X953">
        <v>0.29857968392061368</v>
      </c>
      <c r="Z953" t="s">
        <v>392</v>
      </c>
      <c r="AA953">
        <v>9937</v>
      </c>
      <c r="AB953" t="s">
        <v>1344</v>
      </c>
      <c r="AC953" t="str">
        <f>HYPERLINK("plots/20251231000436_3FT6Y121H01_04823_B11P_N_UFLEX98_M5358A8BH101511/dpll_52094/txpa_55196.png","plot")</f>
        <v>plot</v>
      </c>
    </row>
    <row r="954" spans="1:29" x14ac:dyDescent="0.35">
      <c r="A954" t="s">
        <v>46</v>
      </c>
      <c r="B954">
        <v>52094</v>
      </c>
      <c r="C954" t="s">
        <v>53</v>
      </c>
      <c r="D954">
        <v>55197</v>
      </c>
      <c r="E954" t="s">
        <v>330</v>
      </c>
      <c r="F954">
        <v>8716</v>
      </c>
      <c r="G954">
        <v>0.40029255679237102</v>
      </c>
      <c r="H954">
        <v>0</v>
      </c>
      <c r="I954">
        <v>0</v>
      </c>
      <c r="J954">
        <v>0.30334540763137641</v>
      </c>
      <c r="K954">
        <v>6.1803412391843582E-185</v>
      </c>
      <c r="L954">
        <v>8.7894334032720036E-185</v>
      </c>
      <c r="M954">
        <v>0.20728803357820749</v>
      </c>
      <c r="N954">
        <v>3.4464107336365578E-185</v>
      </c>
      <c r="O954">
        <v>4.9429426929384298E-185</v>
      </c>
      <c r="P954">
        <v>0.16023413102337361</v>
      </c>
      <c r="Q954">
        <v>1.0063088677042751</v>
      </c>
      <c r="R954">
        <v>2.941960229308187</v>
      </c>
      <c r="S954">
        <v>0.32490467968695053</v>
      </c>
      <c r="T954">
        <v>0.2475625194024762</v>
      </c>
      <c r="U954">
        <v>4.3177108791877004</v>
      </c>
      <c r="V954">
        <v>0.14104184712444839</v>
      </c>
      <c r="W954">
        <v>7.2869109752179897</v>
      </c>
      <c r="X954">
        <v>0.35456982417073019</v>
      </c>
      <c r="Z954" t="s">
        <v>392</v>
      </c>
      <c r="AA954">
        <v>9937</v>
      </c>
      <c r="AB954" t="s">
        <v>1345</v>
      </c>
      <c r="AC954" t="str">
        <f>HYPERLINK("plots/20251231000436_3FT6Y121H01_04823_B11P_N_UFLEX98_M5358A8BH101511/dpll_52094/txpa_55197.png","plot")</f>
        <v>plot</v>
      </c>
    </row>
    <row r="955" spans="1:29" x14ac:dyDescent="0.35">
      <c r="A955" t="s">
        <v>46</v>
      </c>
      <c r="B955">
        <v>52094</v>
      </c>
      <c r="C955" t="s">
        <v>53</v>
      </c>
      <c r="D955">
        <v>55198</v>
      </c>
      <c r="E955" t="s">
        <v>331</v>
      </c>
      <c r="F955">
        <v>8713</v>
      </c>
      <c r="G955">
        <v>0.46923331300454552</v>
      </c>
      <c r="H955">
        <v>0</v>
      </c>
      <c r="I955">
        <v>0</v>
      </c>
      <c r="J955">
        <v>0.36035402821503382</v>
      </c>
      <c r="K955">
        <v>1.8455048878840841E-265</v>
      </c>
      <c r="L955">
        <v>3.3536594199183887E-265</v>
      </c>
      <c r="M955">
        <v>0.2487704668323085</v>
      </c>
      <c r="N955">
        <v>1.0471838294606429E-265</v>
      </c>
      <c r="O955">
        <v>1.9029469589123511E-265</v>
      </c>
      <c r="P955">
        <v>0.2201799020332218</v>
      </c>
      <c r="Q955">
        <v>1.111564187456876</v>
      </c>
      <c r="R955">
        <v>2.5053267601498019</v>
      </c>
      <c r="S955">
        <v>0.29473733671148272</v>
      </c>
      <c r="T955">
        <v>0.23086809492092361</v>
      </c>
      <c r="U955">
        <v>4.3178365214047973</v>
      </c>
      <c r="V955">
        <v>0.1409019999433192</v>
      </c>
      <c r="W955">
        <v>7.304879204636749</v>
      </c>
      <c r="X955">
        <v>0.33378196461623999</v>
      </c>
      <c r="Z955" t="s">
        <v>392</v>
      </c>
      <c r="AA955">
        <v>9937</v>
      </c>
      <c r="AB955" t="s">
        <v>1346</v>
      </c>
      <c r="AC955" t="str">
        <f>HYPERLINK("plots/20251231000436_3FT6Y121H01_04823_B11P_N_UFLEX98_M5358A8BH101511/dpll_52094/txpa_55198.png","plot")</f>
        <v>plot</v>
      </c>
    </row>
    <row r="956" spans="1:29" x14ac:dyDescent="0.35">
      <c r="A956" t="s">
        <v>46</v>
      </c>
      <c r="B956">
        <v>52094</v>
      </c>
      <c r="C956" t="s">
        <v>53</v>
      </c>
      <c r="D956">
        <v>55199</v>
      </c>
      <c r="E956" t="s">
        <v>332</v>
      </c>
      <c r="F956">
        <v>8716</v>
      </c>
      <c r="G956">
        <v>0.40827883987211872</v>
      </c>
      <c r="H956">
        <v>0</v>
      </c>
      <c r="I956">
        <v>0</v>
      </c>
      <c r="J956">
        <v>0.3024326324083389</v>
      </c>
      <c r="K956">
        <v>8.7959932559214888E-184</v>
      </c>
      <c r="L956">
        <v>1.2404919557029751E-183</v>
      </c>
      <c r="M956">
        <v>0.2061880925211784</v>
      </c>
      <c r="N956">
        <v>2.9906966562915131E-183</v>
      </c>
      <c r="O956">
        <v>4.2592224852241492E-183</v>
      </c>
      <c r="P956">
        <v>0.16669161108732319</v>
      </c>
      <c r="Q956">
        <v>1.014328604759194</v>
      </c>
      <c r="R956">
        <v>2.8597968843003758</v>
      </c>
      <c r="S956">
        <v>0.31985102725396591</v>
      </c>
      <c r="T956">
        <v>0.2434406328766309</v>
      </c>
      <c r="U956">
        <v>4.3177108791877004</v>
      </c>
      <c r="V956">
        <v>0.14104184712444839</v>
      </c>
      <c r="W956">
        <v>7.2393745361404314</v>
      </c>
      <c r="X956">
        <v>0.35040459126221563</v>
      </c>
      <c r="Z956" t="s">
        <v>392</v>
      </c>
      <c r="AA956">
        <v>9937</v>
      </c>
      <c r="AB956" t="s">
        <v>1347</v>
      </c>
      <c r="AC956" t="str">
        <f>HYPERLINK("plots/20251231000436_3FT6Y121H01_04823_B11P_N_UFLEX98_M5358A8BH101511/dpll_52094/txpa_55199.png","plot")</f>
        <v>plot</v>
      </c>
    </row>
    <row r="957" spans="1:29" x14ac:dyDescent="0.35">
      <c r="A957" t="s">
        <v>46</v>
      </c>
      <c r="B957">
        <v>52094</v>
      </c>
      <c r="C957" t="s">
        <v>53</v>
      </c>
      <c r="D957">
        <v>55200</v>
      </c>
      <c r="E957" t="s">
        <v>333</v>
      </c>
      <c r="F957">
        <v>8712</v>
      </c>
      <c r="G957">
        <v>0.50355947510229726</v>
      </c>
      <c r="H957">
        <v>0</v>
      </c>
      <c r="I957">
        <v>0</v>
      </c>
      <c r="J957">
        <v>0.38154609363270858</v>
      </c>
      <c r="K957">
        <v>6.0919817651971998E-300</v>
      </c>
      <c r="L957">
        <v>1.2232216851306849E-299</v>
      </c>
      <c r="M957">
        <v>0.26234483490360361</v>
      </c>
      <c r="N957">
        <v>3.2283072009244272E-295</v>
      </c>
      <c r="O957">
        <v>6.4693745093623888E-295</v>
      </c>
      <c r="P957">
        <v>0.25357214496530112</v>
      </c>
      <c r="Q957">
        <v>1.051848130303088</v>
      </c>
      <c r="R957">
        <v>2.8058756833646501</v>
      </c>
      <c r="S957">
        <v>0.25417272692083048</v>
      </c>
      <c r="T957">
        <v>0.19551688528249059</v>
      </c>
      <c r="U957">
        <v>4.3178804982782371</v>
      </c>
      <c r="V957">
        <v>0.14085027158546581</v>
      </c>
      <c r="W957">
        <v>7.3476302123507811</v>
      </c>
      <c r="X957">
        <v>0.29421171111864641</v>
      </c>
      <c r="Z957" t="s">
        <v>392</v>
      </c>
      <c r="AA957">
        <v>9937</v>
      </c>
      <c r="AB957" t="s">
        <v>1348</v>
      </c>
      <c r="AC957" t="str">
        <f>HYPERLINK("plots/20251231000436_3FT6Y121H01_04823_B11P_N_UFLEX98_M5358A8BH101511/dpll_52094/txpa_55200.png","plot")</f>
        <v>plot</v>
      </c>
    </row>
    <row r="958" spans="1:29" x14ac:dyDescent="0.35">
      <c r="A958" t="s">
        <v>46</v>
      </c>
      <c r="B958">
        <v>52094</v>
      </c>
      <c r="C958" t="s">
        <v>53</v>
      </c>
      <c r="D958">
        <v>55201</v>
      </c>
      <c r="E958" t="s">
        <v>334</v>
      </c>
      <c r="F958">
        <v>8716</v>
      </c>
      <c r="G958">
        <v>0.45471024115269443</v>
      </c>
      <c r="H958">
        <v>0</v>
      </c>
      <c r="I958">
        <v>0</v>
      </c>
      <c r="J958">
        <v>0.3393330951511021</v>
      </c>
      <c r="K958">
        <v>8.2874670048564363E-234</v>
      </c>
      <c r="L958">
        <v>1.3488750470183671E-233</v>
      </c>
      <c r="M958">
        <v>0.23222107217007229</v>
      </c>
      <c r="N958">
        <v>6.9657219855090666E-232</v>
      </c>
      <c r="O958">
        <v>1.1283134334354939E-231</v>
      </c>
      <c r="P958">
        <v>0.20676140340914151</v>
      </c>
      <c r="Q958">
        <v>0.98346016887269982</v>
      </c>
      <c r="R958">
        <v>2.9980668584081842</v>
      </c>
      <c r="S958">
        <v>0.27167334511194469</v>
      </c>
      <c r="T958">
        <v>0.2070869886021941</v>
      </c>
      <c r="U958">
        <v>4.3177108791877004</v>
      </c>
      <c r="V958">
        <v>0.14104184712444839</v>
      </c>
      <c r="W958">
        <v>7.2443635287976136</v>
      </c>
      <c r="X958">
        <v>0.30504929565584238</v>
      </c>
      <c r="Z958" t="s">
        <v>392</v>
      </c>
      <c r="AA958">
        <v>9937</v>
      </c>
      <c r="AB958" t="s">
        <v>1349</v>
      </c>
      <c r="AC958" t="str">
        <f>HYPERLINK("plots/20251231000436_3FT6Y121H01_04823_B11P_N_UFLEX98_M5358A8BH101511/dpll_52094/txpa_55201.png","plot")</f>
        <v>plot</v>
      </c>
    </row>
    <row r="959" spans="1:29" x14ac:dyDescent="0.35">
      <c r="A959" t="s">
        <v>46</v>
      </c>
      <c r="B959">
        <v>52094</v>
      </c>
      <c r="C959" t="s">
        <v>53</v>
      </c>
      <c r="D959">
        <v>55202</v>
      </c>
      <c r="E959" t="s">
        <v>335</v>
      </c>
      <c r="F959">
        <v>8708</v>
      </c>
      <c r="G959">
        <v>0.45312183273942319</v>
      </c>
      <c r="H959">
        <v>0</v>
      </c>
      <c r="I959">
        <v>0</v>
      </c>
      <c r="J959">
        <v>0.33143337012444513</v>
      </c>
      <c r="K959">
        <v>2.6828223106506169E-222</v>
      </c>
      <c r="L959">
        <v>4.2307648880244571E-222</v>
      </c>
      <c r="M959">
        <v>0.22787520827768509</v>
      </c>
      <c r="N959">
        <v>3.6759790257143093E-223</v>
      </c>
      <c r="O959">
        <v>5.8332437121663667E-223</v>
      </c>
      <c r="P959">
        <v>0.20531939530513379</v>
      </c>
      <c r="Q959">
        <v>1.1061256714701799</v>
      </c>
      <c r="R959">
        <v>2.7521005264920242</v>
      </c>
      <c r="S959">
        <v>0.30602747957300969</v>
      </c>
      <c r="T959">
        <v>0.23621026532476791</v>
      </c>
      <c r="U959">
        <v>4.3180583019062926</v>
      </c>
      <c r="V959">
        <v>0.14063699335750021</v>
      </c>
      <c r="W959">
        <v>7.5284156651355083</v>
      </c>
      <c r="X959">
        <v>0.3433120575334791</v>
      </c>
      <c r="Z959" t="s">
        <v>392</v>
      </c>
      <c r="AA959">
        <v>9937</v>
      </c>
      <c r="AB959" t="s">
        <v>1350</v>
      </c>
      <c r="AC959" t="str">
        <f>HYPERLINK("plots/20251231000436_3FT6Y121H01_04823_B11P_N_UFLEX98_M5358A8BH101511/dpll_52094/txpa_55202.png","plot")</f>
        <v>plot</v>
      </c>
    </row>
    <row r="960" spans="1:29" x14ac:dyDescent="0.35">
      <c r="A960" t="s">
        <v>46</v>
      </c>
      <c r="B960">
        <v>52094</v>
      </c>
      <c r="C960" t="s">
        <v>53</v>
      </c>
      <c r="D960">
        <v>55203</v>
      </c>
      <c r="E960" t="s">
        <v>336</v>
      </c>
      <c r="F960">
        <v>8682</v>
      </c>
      <c r="G960">
        <v>0.44551688939960499</v>
      </c>
      <c r="H960">
        <v>0</v>
      </c>
      <c r="I960">
        <v>0</v>
      </c>
      <c r="J960">
        <v>0.36464027554934281</v>
      </c>
      <c r="K960">
        <v>2.8498137366071092E-271</v>
      </c>
      <c r="L960">
        <v>5.2349839292021894E-271</v>
      </c>
      <c r="M960">
        <v>0.25124868645146958</v>
      </c>
      <c r="N960">
        <v>5.0128148671519128E-270</v>
      </c>
      <c r="O960">
        <v>9.208322962485578E-270</v>
      </c>
      <c r="P960">
        <v>0.19848529874029991</v>
      </c>
      <c r="Q960">
        <v>1.0632370166735969</v>
      </c>
      <c r="R960">
        <v>3.8086474607940128</v>
      </c>
      <c r="S960">
        <v>0.29653038888081729</v>
      </c>
      <c r="T960">
        <v>0.21645528716239101</v>
      </c>
      <c r="U960">
        <v>4.3193437153881602</v>
      </c>
      <c r="V960">
        <v>0.1387945962798052</v>
      </c>
      <c r="W960">
        <v>8.4011335867311701</v>
      </c>
      <c r="X960">
        <v>0.33123671849529462</v>
      </c>
      <c r="Z960" t="s">
        <v>392</v>
      </c>
      <c r="AA960">
        <v>9937</v>
      </c>
      <c r="AB960" t="s">
        <v>1351</v>
      </c>
      <c r="AC960" t="str">
        <f>HYPERLINK("plots/20251231000436_3FT6Y121H01_04823_B11P_N_UFLEX98_M5358A8BH101511/dpll_52094/txpa_55203.png","plot")</f>
        <v>plot</v>
      </c>
    </row>
    <row r="961" spans="1:29" x14ac:dyDescent="0.35">
      <c r="A961" t="s">
        <v>46</v>
      </c>
      <c r="B961">
        <v>52094</v>
      </c>
      <c r="C961" t="s">
        <v>53</v>
      </c>
      <c r="D961">
        <v>55204</v>
      </c>
      <c r="E961" t="s">
        <v>337</v>
      </c>
      <c r="F961">
        <v>8705</v>
      </c>
      <c r="G961">
        <v>0.49368491005519732</v>
      </c>
      <c r="H961">
        <v>0</v>
      </c>
      <c r="I961">
        <v>0</v>
      </c>
      <c r="J961">
        <v>0.39472465158054459</v>
      </c>
      <c r="K961">
        <v>0</v>
      </c>
      <c r="L961">
        <v>0</v>
      </c>
      <c r="M961">
        <v>0.27116456191081079</v>
      </c>
      <c r="N961">
        <v>0</v>
      </c>
      <c r="O961">
        <v>0</v>
      </c>
      <c r="P961">
        <v>0.2437247904162082</v>
      </c>
      <c r="Q961">
        <v>1.0701311682320229</v>
      </c>
      <c r="R961">
        <v>3.4696439499141012</v>
      </c>
      <c r="S961">
        <v>0.26480607208736179</v>
      </c>
      <c r="T961">
        <v>0.19551462149182691</v>
      </c>
      <c r="U961">
        <v>4.3181835758759339</v>
      </c>
      <c r="V961">
        <v>0.1404836534583761</v>
      </c>
      <c r="W961">
        <v>8.0906667846065474</v>
      </c>
      <c r="X961">
        <v>0.30451798937120861</v>
      </c>
      <c r="Z961" t="s">
        <v>392</v>
      </c>
      <c r="AA961">
        <v>9937</v>
      </c>
      <c r="AB961" t="s">
        <v>1352</v>
      </c>
      <c r="AC961" t="str">
        <f>HYPERLINK("plots/20251231000436_3FT6Y121H01_04823_B11P_N_UFLEX98_M5358A8BH101511/dpll_52094/txpa_55204.png","plot")</f>
        <v>plot</v>
      </c>
    </row>
    <row r="962" spans="1:29" x14ac:dyDescent="0.35">
      <c r="A962" t="s">
        <v>46</v>
      </c>
      <c r="B962">
        <v>52094</v>
      </c>
      <c r="C962" t="s">
        <v>53</v>
      </c>
      <c r="D962">
        <v>55205</v>
      </c>
      <c r="E962" t="s">
        <v>338</v>
      </c>
      <c r="F962">
        <v>8716</v>
      </c>
      <c r="G962">
        <v>0.43077738943493271</v>
      </c>
      <c r="H962">
        <v>0</v>
      </c>
      <c r="I962">
        <v>0</v>
      </c>
      <c r="J962">
        <v>0.32385415652657151</v>
      </c>
      <c r="K962">
        <v>5.8142893387334601E-212</v>
      </c>
      <c r="L962">
        <v>8.8924425180629389E-212</v>
      </c>
      <c r="M962">
        <v>0.22176132455513081</v>
      </c>
      <c r="N962">
        <v>1.1884652692938309E-211</v>
      </c>
      <c r="O962">
        <v>1.823152470595982E-211</v>
      </c>
      <c r="P962">
        <v>0.18556915924837569</v>
      </c>
      <c r="Q962">
        <v>1.0844585911295359</v>
      </c>
      <c r="R962">
        <v>3.4931135018398711</v>
      </c>
      <c r="S962">
        <v>0.32041309057787459</v>
      </c>
      <c r="T962">
        <v>0.2413055270004443</v>
      </c>
      <c r="U962">
        <v>4.3177108791877004</v>
      </c>
      <c r="V962">
        <v>0.14104184712444839</v>
      </c>
      <c r="W962">
        <v>8.1754921587884368</v>
      </c>
      <c r="X962">
        <v>0.35506516027575752</v>
      </c>
      <c r="Z962" t="s">
        <v>392</v>
      </c>
      <c r="AA962">
        <v>9937</v>
      </c>
      <c r="AB962" t="s">
        <v>1353</v>
      </c>
      <c r="AC962" t="str">
        <f>HYPERLINK("plots/20251231000436_3FT6Y121H01_04823_B11P_N_UFLEX98_M5358A8BH101511/dpll_52094/txpa_55205.png","plot")</f>
        <v>plot</v>
      </c>
    </row>
    <row r="963" spans="1:29" x14ac:dyDescent="0.35">
      <c r="A963" t="s">
        <v>46</v>
      </c>
      <c r="B963">
        <v>52094</v>
      </c>
      <c r="C963" t="s">
        <v>53</v>
      </c>
      <c r="D963">
        <v>55206</v>
      </c>
      <c r="E963" t="s">
        <v>339</v>
      </c>
      <c r="F963">
        <v>8710</v>
      </c>
      <c r="G963">
        <v>0.48295613508452612</v>
      </c>
      <c r="H963">
        <v>0</v>
      </c>
      <c r="I963">
        <v>0</v>
      </c>
      <c r="J963">
        <v>0.37387745142826201</v>
      </c>
      <c r="K963">
        <v>4.3580448551801553E-287</v>
      </c>
      <c r="L963">
        <v>8.3694270514255251E-287</v>
      </c>
      <c r="M963">
        <v>0.25925346111474712</v>
      </c>
      <c r="N963">
        <v>2.7488638073469949E-288</v>
      </c>
      <c r="O963">
        <v>5.3602844243266397E-288</v>
      </c>
      <c r="P963">
        <v>0.233246628415783</v>
      </c>
      <c r="Q963">
        <v>1.1584786467537449</v>
      </c>
      <c r="R963">
        <v>3.193045370041129</v>
      </c>
      <c r="S963">
        <v>0.29554243821438442</v>
      </c>
      <c r="T963">
        <v>0.22748913126557271</v>
      </c>
      <c r="U963">
        <v>4.3179794463834673</v>
      </c>
      <c r="V963">
        <v>0.1407137675084803</v>
      </c>
      <c r="W963">
        <v>8.1953323557979321</v>
      </c>
      <c r="X963">
        <v>0.33753354211830211</v>
      </c>
      <c r="Z963" t="s">
        <v>392</v>
      </c>
      <c r="AA963">
        <v>9937</v>
      </c>
      <c r="AB963" t="s">
        <v>1354</v>
      </c>
      <c r="AC963" t="str">
        <f>HYPERLINK("plots/20251231000436_3FT6Y121H01_04823_B11P_N_UFLEX98_M5358A8BH101511/dpll_52094/txpa_55206.png","plot")</f>
        <v>plot</v>
      </c>
    </row>
    <row r="964" spans="1:29" x14ac:dyDescent="0.35">
      <c r="A964" t="s">
        <v>46</v>
      </c>
      <c r="B964">
        <v>52094</v>
      </c>
      <c r="C964" t="s">
        <v>53</v>
      </c>
      <c r="D964">
        <v>55207</v>
      </c>
      <c r="E964" t="s">
        <v>340</v>
      </c>
      <c r="F964">
        <v>8716</v>
      </c>
      <c r="G964">
        <v>0.43797320658739169</v>
      </c>
      <c r="H964">
        <v>0</v>
      </c>
      <c r="I964">
        <v>0</v>
      </c>
      <c r="J964">
        <v>0.3193508927269727</v>
      </c>
      <c r="K964">
        <v>7.6512837544155348E-206</v>
      </c>
      <c r="L964">
        <v>1.1579704070115449E-205</v>
      </c>
      <c r="M964">
        <v>0.21825361196356879</v>
      </c>
      <c r="N964">
        <v>4.4880559344189059E-205</v>
      </c>
      <c r="O964">
        <v>6.7822484612530111E-205</v>
      </c>
      <c r="P964">
        <v>0.1918205296884421</v>
      </c>
      <c r="Q964">
        <v>1.087294669153406</v>
      </c>
      <c r="R964">
        <v>3.4427193343549449</v>
      </c>
      <c r="S964">
        <v>0.31475794033378768</v>
      </c>
      <c r="T964">
        <v>0.2381988998289708</v>
      </c>
      <c r="U964">
        <v>4.3177108791877004</v>
      </c>
      <c r="V964">
        <v>0.14104184712444839</v>
      </c>
      <c r="W964">
        <v>8.1373433562413968</v>
      </c>
      <c r="X964">
        <v>0.35014481753545929</v>
      </c>
      <c r="Z964" t="s">
        <v>392</v>
      </c>
      <c r="AA964">
        <v>9937</v>
      </c>
      <c r="AB964" t="s">
        <v>1355</v>
      </c>
      <c r="AC964" t="str">
        <f>HYPERLINK("plots/20251231000436_3FT6Y121H01_04823_B11P_N_UFLEX98_M5358A8BH101511/dpll_52094/txpa_55207.png","plot")</f>
        <v>plot</v>
      </c>
    </row>
    <row r="965" spans="1:29" x14ac:dyDescent="0.35">
      <c r="A965" t="s">
        <v>46</v>
      </c>
      <c r="B965">
        <v>52094</v>
      </c>
      <c r="C965" t="s">
        <v>53</v>
      </c>
      <c r="D965">
        <v>55208</v>
      </c>
      <c r="E965" t="s">
        <v>341</v>
      </c>
      <c r="F965">
        <v>8706</v>
      </c>
      <c r="G965">
        <v>0.51246275334266711</v>
      </c>
      <c r="H965">
        <v>0</v>
      </c>
      <c r="I965">
        <v>0</v>
      </c>
      <c r="J965">
        <v>0.39475533685421771</v>
      </c>
      <c r="K965">
        <v>0</v>
      </c>
      <c r="L965">
        <v>0</v>
      </c>
      <c r="M965">
        <v>0.2725871232973574</v>
      </c>
      <c r="N965">
        <v>0</v>
      </c>
      <c r="O965">
        <v>0</v>
      </c>
      <c r="P965">
        <v>0.26261807356354733</v>
      </c>
      <c r="Q965">
        <v>1.0982424005035569</v>
      </c>
      <c r="R965">
        <v>3.4894603935998552</v>
      </c>
      <c r="S965">
        <v>0.25868819445289681</v>
      </c>
      <c r="T965">
        <v>0.19476347798743801</v>
      </c>
      <c r="U965">
        <v>4.3181261202618888</v>
      </c>
      <c r="V965">
        <v>0.14057866276440401</v>
      </c>
      <c r="W965">
        <v>8.2318095895933823</v>
      </c>
      <c r="X965">
        <v>0.30126959871115527</v>
      </c>
      <c r="Z965" t="s">
        <v>392</v>
      </c>
      <c r="AA965">
        <v>9937</v>
      </c>
      <c r="AB965" t="s">
        <v>1356</v>
      </c>
      <c r="AC965" t="str">
        <f>HYPERLINK("plots/20251231000436_3FT6Y121H01_04823_B11P_N_UFLEX98_M5358A8BH101511/dpll_52094/txpa_55208.png","plot")</f>
        <v>plot</v>
      </c>
    </row>
    <row r="966" spans="1:29" x14ac:dyDescent="0.35">
      <c r="A966" t="s">
        <v>46</v>
      </c>
      <c r="B966">
        <v>52094</v>
      </c>
      <c r="C966" t="s">
        <v>53</v>
      </c>
      <c r="D966">
        <v>55209</v>
      </c>
      <c r="E966" t="s">
        <v>342</v>
      </c>
      <c r="F966">
        <v>8713</v>
      </c>
      <c r="G966">
        <v>0.47830021298119979</v>
      </c>
      <c r="H966">
        <v>0</v>
      </c>
      <c r="I966">
        <v>0</v>
      </c>
      <c r="J966">
        <v>0.35500871640288301</v>
      </c>
      <c r="K966">
        <v>3.6885231588440497E-257</v>
      </c>
      <c r="L966">
        <v>6.4374569415970178E-257</v>
      </c>
      <c r="M966">
        <v>0.24349000780321781</v>
      </c>
      <c r="N966">
        <v>1.231928393250658E-254</v>
      </c>
      <c r="O966">
        <v>2.1537506737175291E-254</v>
      </c>
      <c r="P966">
        <v>0.22877109373786109</v>
      </c>
      <c r="Q966">
        <v>1.053134893447411</v>
      </c>
      <c r="R966">
        <v>3.5961783464101882</v>
      </c>
      <c r="S966">
        <v>0.27243746165275079</v>
      </c>
      <c r="T966">
        <v>0.20538005427950051</v>
      </c>
      <c r="U966">
        <v>4.3178365779869159</v>
      </c>
      <c r="V966">
        <v>0.14090184218852489</v>
      </c>
      <c r="W966">
        <v>8.1434427108917706</v>
      </c>
      <c r="X966">
        <v>0.31024164851373082</v>
      </c>
      <c r="Z966" t="s">
        <v>392</v>
      </c>
      <c r="AA966">
        <v>9937</v>
      </c>
      <c r="AB966" t="s">
        <v>1357</v>
      </c>
      <c r="AC966" t="str">
        <f>HYPERLINK("plots/20251231000436_3FT6Y121H01_04823_B11P_N_UFLEX98_M5358A8BH101511/dpll_52094/txpa_55209.png","plot")</f>
        <v>plot</v>
      </c>
    </row>
    <row r="967" spans="1:29" x14ac:dyDescent="0.35">
      <c r="A967" t="s">
        <v>46</v>
      </c>
      <c r="B967">
        <v>52094</v>
      </c>
      <c r="C967" t="s">
        <v>53</v>
      </c>
      <c r="D967">
        <v>55210</v>
      </c>
      <c r="E967" t="s">
        <v>343</v>
      </c>
      <c r="F967">
        <v>8692</v>
      </c>
      <c r="G967">
        <v>0.45951843844382789</v>
      </c>
      <c r="H967">
        <v>0</v>
      </c>
      <c r="I967">
        <v>0</v>
      </c>
      <c r="J967">
        <v>0.34775015367633028</v>
      </c>
      <c r="K967">
        <v>1.487148412415231E-245</v>
      </c>
      <c r="L967">
        <v>2.517476611333963E-245</v>
      </c>
      <c r="M967">
        <v>0.2403058273610062</v>
      </c>
      <c r="N967">
        <v>1.753300219903542E-247</v>
      </c>
      <c r="O967">
        <v>2.9729873294016579E-247</v>
      </c>
      <c r="P967">
        <v>0.2111571952698541</v>
      </c>
      <c r="Q967">
        <v>1.116862087616773</v>
      </c>
      <c r="R967">
        <v>3.587631225029416</v>
      </c>
      <c r="S967">
        <v>0.30126672617587269</v>
      </c>
      <c r="T967">
        <v>0.22919474841590501</v>
      </c>
      <c r="U967">
        <v>4.3188295276115971</v>
      </c>
      <c r="V967">
        <v>0.13956750382129829</v>
      </c>
      <c r="W967">
        <v>8.4111681872986654</v>
      </c>
      <c r="X967">
        <v>0.33921958433093818</v>
      </c>
      <c r="Z967" t="s">
        <v>392</v>
      </c>
      <c r="AA967">
        <v>9937</v>
      </c>
      <c r="AB967" t="s">
        <v>1358</v>
      </c>
      <c r="AC967" t="str">
        <f>HYPERLINK("plots/20251231000436_3FT6Y121H01_04823_B11P_N_UFLEX98_M5358A8BH101511/dpll_52094/txpa_55210.png","plot")</f>
        <v>plot</v>
      </c>
    </row>
    <row r="968" spans="1:29" x14ac:dyDescent="0.35">
      <c r="A968" t="s">
        <v>46</v>
      </c>
      <c r="B968">
        <v>52094</v>
      </c>
      <c r="C968" t="s">
        <v>53</v>
      </c>
      <c r="D968">
        <v>55211</v>
      </c>
      <c r="E968" t="s">
        <v>344</v>
      </c>
      <c r="F968">
        <v>8660</v>
      </c>
      <c r="G968">
        <v>0.44167176863990798</v>
      </c>
      <c r="H968">
        <v>0</v>
      </c>
      <c r="I968">
        <v>0</v>
      </c>
      <c r="J968">
        <v>0.38710562764747852</v>
      </c>
      <c r="K968">
        <v>1.347983874517214E-307</v>
      </c>
      <c r="L968">
        <v>2.8240819189265592E-307</v>
      </c>
      <c r="M968">
        <v>0.26872377933599673</v>
      </c>
      <c r="N968">
        <v>8.3166016659680246E-308</v>
      </c>
      <c r="O968">
        <v>1.742362415142888E-307</v>
      </c>
      <c r="P968">
        <v>0.19507395121350449</v>
      </c>
      <c r="Q968">
        <v>1.086444295966742</v>
      </c>
      <c r="R968">
        <v>4.5300809229835641</v>
      </c>
      <c r="S968">
        <v>0.30347303331125619</v>
      </c>
      <c r="T968">
        <v>0.21636301687803189</v>
      </c>
      <c r="U968">
        <v>4.3201747226327942</v>
      </c>
      <c r="V968">
        <v>0.13751794281065871</v>
      </c>
      <c r="W968">
        <v>9.2237101079676673</v>
      </c>
      <c r="X968">
        <v>0.33827288762377339</v>
      </c>
      <c r="Z968" t="s">
        <v>392</v>
      </c>
      <c r="AA968">
        <v>9937</v>
      </c>
      <c r="AB968" t="s">
        <v>1359</v>
      </c>
      <c r="AC968" t="str">
        <f>HYPERLINK("plots/20251231000436_3FT6Y121H01_04823_B11P_N_UFLEX98_M5358A8BH101511/dpll_52094/txpa_55211.png","plot")</f>
        <v>plot</v>
      </c>
    </row>
    <row r="969" spans="1:29" x14ac:dyDescent="0.35">
      <c r="A969" t="s">
        <v>46</v>
      </c>
      <c r="B969">
        <v>52094</v>
      </c>
      <c r="C969" t="s">
        <v>53</v>
      </c>
      <c r="D969">
        <v>55212</v>
      </c>
      <c r="E969" t="s">
        <v>345</v>
      </c>
      <c r="F969">
        <v>8702</v>
      </c>
      <c r="G969">
        <v>0.50039096576466358</v>
      </c>
      <c r="H969">
        <v>0</v>
      </c>
      <c r="I969">
        <v>0</v>
      </c>
      <c r="J969">
        <v>0.41065384066920402</v>
      </c>
      <c r="K969">
        <v>0</v>
      </c>
      <c r="L969">
        <v>0</v>
      </c>
      <c r="M969">
        <v>0.28388533518664821</v>
      </c>
      <c r="N969">
        <v>0</v>
      </c>
      <c r="O969">
        <v>0</v>
      </c>
      <c r="P969">
        <v>0.25039111861889268</v>
      </c>
      <c r="Q969">
        <v>1.135003741342014</v>
      </c>
      <c r="R969">
        <v>4.0497423891297633</v>
      </c>
      <c r="S969">
        <v>0.27567128194156998</v>
      </c>
      <c r="T969">
        <v>0.19836340628276011</v>
      </c>
      <c r="U969">
        <v>4.3182472168467019</v>
      </c>
      <c r="V969">
        <v>0.14038195503541431</v>
      </c>
      <c r="W969">
        <v>8.9509691362905084</v>
      </c>
      <c r="X969">
        <v>0.31841910642534932</v>
      </c>
      <c r="Z969" t="s">
        <v>392</v>
      </c>
      <c r="AA969">
        <v>9937</v>
      </c>
      <c r="AB969" t="s">
        <v>1360</v>
      </c>
      <c r="AC969" t="str">
        <f>HYPERLINK("plots/20251231000436_3FT6Y121H01_04823_B11P_N_UFLEX98_M5358A8BH101511/dpll_52094/txpa_55212.png","plot")</f>
        <v>plot</v>
      </c>
    </row>
    <row r="970" spans="1:29" x14ac:dyDescent="0.35">
      <c r="A970" t="s">
        <v>46</v>
      </c>
      <c r="B970">
        <v>52094</v>
      </c>
      <c r="C970" t="s">
        <v>53</v>
      </c>
      <c r="D970">
        <v>55213</v>
      </c>
      <c r="E970" t="s">
        <v>346</v>
      </c>
      <c r="F970">
        <v>8711</v>
      </c>
      <c r="G970">
        <v>0.45832731482137079</v>
      </c>
      <c r="H970">
        <v>0</v>
      </c>
      <c r="I970">
        <v>0</v>
      </c>
      <c r="J970">
        <v>0.34975786682575127</v>
      </c>
      <c r="K970">
        <v>4.1931985296236198E-249</v>
      </c>
      <c r="L970">
        <v>7.1221160955416253E-249</v>
      </c>
      <c r="M970">
        <v>0.24034645882620381</v>
      </c>
      <c r="N970">
        <v>4.2052863221254581E-248</v>
      </c>
      <c r="O970">
        <v>7.1426471199919841E-248</v>
      </c>
      <c r="P970">
        <v>0.21006392751136799</v>
      </c>
      <c r="Q970">
        <v>1.1663324220991891</v>
      </c>
      <c r="R970">
        <v>3.976066379451813</v>
      </c>
      <c r="S970">
        <v>0.31848715562606622</v>
      </c>
      <c r="T970">
        <v>0.23567934041509081</v>
      </c>
      <c r="U970">
        <v>4.3179117282745949</v>
      </c>
      <c r="V970">
        <v>0.14082322000817279</v>
      </c>
      <c r="W970">
        <v>9.0121868239008158</v>
      </c>
      <c r="X970">
        <v>0.35836111435765677</v>
      </c>
      <c r="Z970" t="s">
        <v>392</v>
      </c>
      <c r="AA970">
        <v>9937</v>
      </c>
      <c r="AB970" t="s">
        <v>1361</v>
      </c>
      <c r="AC970" t="str">
        <f>HYPERLINK("plots/20251231000436_3FT6Y121H01_04823_B11P_N_UFLEX98_M5358A8BH101511/dpll_52094/txpa_55213.png","plot")</f>
        <v>plot</v>
      </c>
    </row>
    <row r="971" spans="1:29" x14ac:dyDescent="0.35">
      <c r="A971" t="s">
        <v>46</v>
      </c>
      <c r="B971">
        <v>52094</v>
      </c>
      <c r="C971" t="s">
        <v>53</v>
      </c>
      <c r="D971">
        <v>55214</v>
      </c>
      <c r="E971" t="s">
        <v>347</v>
      </c>
      <c r="F971">
        <v>8699</v>
      </c>
      <c r="G971">
        <v>0.49285415244905789</v>
      </c>
      <c r="H971">
        <v>0</v>
      </c>
      <c r="I971">
        <v>0</v>
      </c>
      <c r="J971">
        <v>0.39035774185375421</v>
      </c>
      <c r="K971">
        <v>0</v>
      </c>
      <c r="L971">
        <v>0</v>
      </c>
      <c r="M971">
        <v>0.27201627152944913</v>
      </c>
      <c r="N971">
        <v>0</v>
      </c>
      <c r="O971">
        <v>0</v>
      </c>
      <c r="P971">
        <v>0.2429052155862792</v>
      </c>
      <c r="Q971">
        <v>1.2013211042795779</v>
      </c>
      <c r="R971">
        <v>3.8468775863404221</v>
      </c>
      <c r="S971">
        <v>0.29727962092411458</v>
      </c>
      <c r="T971">
        <v>0.22366502391536441</v>
      </c>
      <c r="U971">
        <v>4.3183936835268426</v>
      </c>
      <c r="V971">
        <v>0.1401762018735718</v>
      </c>
      <c r="W971">
        <v>9.0346550549488445</v>
      </c>
      <c r="X971">
        <v>0.34167639410501283</v>
      </c>
      <c r="Z971" t="s">
        <v>392</v>
      </c>
      <c r="AA971">
        <v>9937</v>
      </c>
      <c r="AB971" t="s">
        <v>1362</v>
      </c>
      <c r="AC971" t="str">
        <f>HYPERLINK("plots/20251231000436_3FT6Y121H01_04823_B11P_N_UFLEX98_M5358A8BH101511/dpll_52094/txpa_55214.png","plot")</f>
        <v>plot</v>
      </c>
    </row>
    <row r="972" spans="1:29" x14ac:dyDescent="0.35">
      <c r="A972" t="s">
        <v>46</v>
      </c>
      <c r="B972">
        <v>52094</v>
      </c>
      <c r="C972" t="s">
        <v>53</v>
      </c>
      <c r="D972">
        <v>55215</v>
      </c>
      <c r="E972" t="s">
        <v>348</v>
      </c>
      <c r="F972">
        <v>8712</v>
      </c>
      <c r="G972">
        <v>0.46531017999343421</v>
      </c>
      <c r="H972">
        <v>0</v>
      </c>
      <c r="I972">
        <v>0</v>
      </c>
      <c r="J972">
        <v>0.34108183645625301</v>
      </c>
      <c r="K972">
        <v>3.0027638708823151E-236</v>
      </c>
      <c r="L972">
        <v>4.9189055978589123E-236</v>
      </c>
      <c r="M972">
        <v>0.23375521567190549</v>
      </c>
      <c r="N972">
        <v>7.9986587468382241E-235</v>
      </c>
      <c r="O972">
        <v>1.3124012895297671E-234</v>
      </c>
      <c r="P972">
        <v>0.21651356360552221</v>
      </c>
      <c r="Q972">
        <v>1.1651841145082169</v>
      </c>
      <c r="R972">
        <v>3.9548467937779428</v>
      </c>
      <c r="S972">
        <v>0.31216976797185852</v>
      </c>
      <c r="T972">
        <v>0.2335623476525712</v>
      </c>
      <c r="U972">
        <v>4.317881636822773</v>
      </c>
      <c r="V972">
        <v>0.14084713777390129</v>
      </c>
      <c r="W972">
        <v>8.9859738853305782</v>
      </c>
      <c r="X972">
        <v>0.35269558794182349</v>
      </c>
      <c r="Z972" t="s">
        <v>392</v>
      </c>
      <c r="AA972">
        <v>9937</v>
      </c>
      <c r="AB972" t="s">
        <v>1363</v>
      </c>
      <c r="AC972" t="str">
        <f>HYPERLINK("plots/20251231000436_3FT6Y121H01_04823_B11P_N_UFLEX98_M5358A8BH101511/dpll_52094/txpa_55215.png","plot")</f>
        <v>plot</v>
      </c>
    </row>
    <row r="973" spans="1:29" x14ac:dyDescent="0.35">
      <c r="A973" t="s">
        <v>46</v>
      </c>
      <c r="B973">
        <v>52094</v>
      </c>
      <c r="C973" t="s">
        <v>53</v>
      </c>
      <c r="D973">
        <v>55216</v>
      </c>
      <c r="E973" t="s">
        <v>349</v>
      </c>
      <c r="F973">
        <v>8694</v>
      </c>
      <c r="G973">
        <v>0.51331960576036118</v>
      </c>
      <c r="H973">
        <v>0</v>
      </c>
      <c r="I973">
        <v>0</v>
      </c>
      <c r="J973">
        <v>0.41040134364673458</v>
      </c>
      <c r="K973">
        <v>0</v>
      </c>
      <c r="L973">
        <v>0</v>
      </c>
      <c r="M973">
        <v>0.28522285579875872</v>
      </c>
      <c r="N973">
        <v>0</v>
      </c>
      <c r="O973">
        <v>0</v>
      </c>
      <c r="P973">
        <v>0.26349701765797262</v>
      </c>
      <c r="Q973">
        <v>1.143286882909887</v>
      </c>
      <c r="R973">
        <v>4.1242215838932612</v>
      </c>
      <c r="S973">
        <v>0.26740194757169361</v>
      </c>
      <c r="T973">
        <v>0.1957389675002327</v>
      </c>
      <c r="U973">
        <v>4.318666563031976</v>
      </c>
      <c r="V973">
        <v>0.13990554271328109</v>
      </c>
      <c r="W973">
        <v>9.0616964170692444</v>
      </c>
      <c r="X973">
        <v>0.31160347283745748</v>
      </c>
      <c r="Z973" t="s">
        <v>392</v>
      </c>
      <c r="AA973">
        <v>9937</v>
      </c>
      <c r="AB973" t="s">
        <v>1364</v>
      </c>
      <c r="AC973" t="str">
        <f>HYPERLINK("plots/20251231000436_3FT6Y121H01_04823_B11P_N_UFLEX98_M5358A8BH101511/dpll_52094/txpa_55216.png","plot")</f>
        <v>plot</v>
      </c>
    </row>
    <row r="974" spans="1:29" x14ac:dyDescent="0.35">
      <c r="A974" t="s">
        <v>46</v>
      </c>
      <c r="B974">
        <v>52094</v>
      </c>
      <c r="C974" t="s">
        <v>53</v>
      </c>
      <c r="D974">
        <v>55217</v>
      </c>
      <c r="E974" t="s">
        <v>350</v>
      </c>
      <c r="F974">
        <v>8706</v>
      </c>
      <c r="G974">
        <v>0.4973176373897214</v>
      </c>
      <c r="H974">
        <v>0</v>
      </c>
      <c r="I974">
        <v>0</v>
      </c>
      <c r="J974">
        <v>0.37447001332213298</v>
      </c>
      <c r="K974">
        <v>6.2361415379045498E-288</v>
      </c>
      <c r="L974">
        <v>1.206764793785346E-287</v>
      </c>
      <c r="M974">
        <v>0.25769356910955221</v>
      </c>
      <c r="N974">
        <v>1.003855384839479E-284</v>
      </c>
      <c r="O974">
        <v>1.938874971861394E-284</v>
      </c>
      <c r="P974">
        <v>0.24732483245889439</v>
      </c>
      <c r="Q974">
        <v>1.1302891848400229</v>
      </c>
      <c r="R974">
        <v>4.1122022269563434</v>
      </c>
      <c r="S974">
        <v>0.27709953518613267</v>
      </c>
      <c r="T974">
        <v>0.20470985869763719</v>
      </c>
      <c r="U974">
        <v>4.3181435731679301</v>
      </c>
      <c r="V974">
        <v>0.1405404166459373</v>
      </c>
      <c r="W974">
        <v>8.9929532062945086</v>
      </c>
      <c r="X974">
        <v>0.31941620611241328</v>
      </c>
      <c r="Z974" t="s">
        <v>392</v>
      </c>
      <c r="AA974">
        <v>9937</v>
      </c>
      <c r="AB974" t="s">
        <v>1365</v>
      </c>
      <c r="AC974" t="str">
        <f>HYPERLINK("plots/20251231000436_3FT6Y121H01_04823_B11P_N_UFLEX98_M5358A8BH101511/dpll_52094/txpa_55217.png","plot")</f>
        <v>plot</v>
      </c>
    </row>
    <row r="975" spans="1:29" x14ac:dyDescent="0.35">
      <c r="A975" t="s">
        <v>46</v>
      </c>
      <c r="B975">
        <v>52094</v>
      </c>
      <c r="C975" t="s">
        <v>53</v>
      </c>
      <c r="D975">
        <v>55218</v>
      </c>
      <c r="E975" t="s">
        <v>351</v>
      </c>
      <c r="F975">
        <v>8679</v>
      </c>
      <c r="G975">
        <v>0.46725986359404748</v>
      </c>
      <c r="H975">
        <v>0</v>
      </c>
      <c r="I975">
        <v>0</v>
      </c>
      <c r="J975">
        <v>0.36731609295802542</v>
      </c>
      <c r="K975">
        <v>1.92129673306115E-275</v>
      </c>
      <c r="L975">
        <v>3.5746695180257002E-275</v>
      </c>
      <c r="M975">
        <v>0.25566236770602901</v>
      </c>
      <c r="N975">
        <v>2.001635987933087E-279</v>
      </c>
      <c r="O975">
        <v>3.7866770368734147E-279</v>
      </c>
      <c r="P975">
        <v>0.21833178012592791</v>
      </c>
      <c r="Q975">
        <v>1.153078529603438</v>
      </c>
      <c r="R975">
        <v>4.2590967482118103</v>
      </c>
      <c r="S975">
        <v>0.30252398975528572</v>
      </c>
      <c r="T975">
        <v>0.22515287614406829</v>
      </c>
      <c r="U975">
        <v>4.3194621307754346</v>
      </c>
      <c r="V975">
        <v>0.13866702724594709</v>
      </c>
      <c r="W975">
        <v>9.2397757906440816</v>
      </c>
      <c r="X975">
        <v>0.34219496331521287</v>
      </c>
      <c r="Z975" t="s">
        <v>392</v>
      </c>
      <c r="AA975">
        <v>9937</v>
      </c>
      <c r="AB975" t="s">
        <v>1366</v>
      </c>
      <c r="AC975" t="str">
        <f>HYPERLINK("plots/20251231000436_3FT6Y121H01_04823_B11P_N_UFLEX98_M5358A8BH101511/dpll_52094/txpa_55218.png","plot")</f>
        <v>plot</v>
      </c>
    </row>
    <row r="976" spans="1:29" x14ac:dyDescent="0.35">
      <c r="A976" t="s">
        <v>46</v>
      </c>
      <c r="B976">
        <v>52094</v>
      </c>
      <c r="C976" t="s">
        <v>53</v>
      </c>
      <c r="D976">
        <v>55219</v>
      </c>
      <c r="E976" t="s">
        <v>352</v>
      </c>
      <c r="F976">
        <v>8642</v>
      </c>
      <c r="G976">
        <v>0.4334260361365615</v>
      </c>
      <c r="H976">
        <v>0</v>
      </c>
      <c r="I976">
        <v>0</v>
      </c>
      <c r="J976">
        <v>0.40354419284439558</v>
      </c>
      <c r="K976">
        <v>0</v>
      </c>
      <c r="L976">
        <v>0</v>
      </c>
      <c r="M976">
        <v>0.28256976321902633</v>
      </c>
      <c r="N976">
        <v>0</v>
      </c>
      <c r="O976">
        <v>0</v>
      </c>
      <c r="P976">
        <v>0.1878581288010519</v>
      </c>
      <c r="Q976">
        <v>1.134159980907959</v>
      </c>
      <c r="R976">
        <v>5.0989721156547132</v>
      </c>
      <c r="S976">
        <v>0.3210804648614235</v>
      </c>
      <c r="T976">
        <v>0.22440779381983769</v>
      </c>
      <c r="U976">
        <v>4.3209589199259426</v>
      </c>
      <c r="V976">
        <v>0.1361644504580341</v>
      </c>
      <c r="W976">
        <v>9.9996308017819953</v>
      </c>
      <c r="X976">
        <v>0.35630593839814712</v>
      </c>
      <c r="Z976" t="s">
        <v>392</v>
      </c>
      <c r="AA976">
        <v>9937</v>
      </c>
      <c r="AB976" t="s">
        <v>1367</v>
      </c>
      <c r="AC976" t="str">
        <f>HYPERLINK("plots/20251231000436_3FT6Y121H01_04823_B11P_N_UFLEX98_M5358A8BH101511/dpll_52094/txpa_55219.png","plot")</f>
        <v>plot</v>
      </c>
    </row>
    <row r="977" spans="1:29" x14ac:dyDescent="0.35">
      <c r="A977" t="s">
        <v>46</v>
      </c>
      <c r="B977">
        <v>52094</v>
      </c>
      <c r="C977" t="s">
        <v>53</v>
      </c>
      <c r="D977">
        <v>55220</v>
      </c>
      <c r="E977" t="s">
        <v>353</v>
      </c>
      <c r="F977">
        <v>8686</v>
      </c>
      <c r="G977">
        <v>0.49635165114134211</v>
      </c>
      <c r="H977">
        <v>0</v>
      </c>
      <c r="I977">
        <v>0</v>
      </c>
      <c r="J977">
        <v>0.42757768772744942</v>
      </c>
      <c r="K977">
        <v>0</v>
      </c>
      <c r="L977">
        <v>0</v>
      </c>
      <c r="M977">
        <v>0.29839461918780241</v>
      </c>
      <c r="N977">
        <v>0</v>
      </c>
      <c r="O977">
        <v>0</v>
      </c>
      <c r="P977">
        <v>0.24636496159073651</v>
      </c>
      <c r="Q977">
        <v>1.187833609831936</v>
      </c>
      <c r="R977">
        <v>4.6555447845474669</v>
      </c>
      <c r="S977">
        <v>0.28983688885080072</v>
      </c>
      <c r="T977">
        <v>0.2031630720890438</v>
      </c>
      <c r="U977">
        <v>4.3188800200322364</v>
      </c>
      <c r="V977">
        <v>0.13951855864740029</v>
      </c>
      <c r="W977">
        <v>9.7856556291733821</v>
      </c>
      <c r="X977">
        <v>0.33388593102412811</v>
      </c>
      <c r="Z977" t="s">
        <v>392</v>
      </c>
      <c r="AA977">
        <v>9937</v>
      </c>
      <c r="AB977" t="s">
        <v>1368</v>
      </c>
      <c r="AC977" t="str">
        <f>HYPERLINK("plots/20251231000436_3FT6Y121H01_04823_B11P_N_UFLEX98_M5358A8BH101511/dpll_52094/txpa_55220.png","plot")</f>
        <v>plot</v>
      </c>
    </row>
    <row r="978" spans="1:29" x14ac:dyDescent="0.35">
      <c r="A978" t="s">
        <v>46</v>
      </c>
      <c r="B978">
        <v>52094</v>
      </c>
      <c r="C978" t="s">
        <v>53</v>
      </c>
      <c r="D978">
        <v>55221</v>
      </c>
      <c r="E978" t="s">
        <v>354</v>
      </c>
      <c r="F978">
        <v>8699</v>
      </c>
      <c r="G978">
        <v>0.47920661356486599</v>
      </c>
      <c r="H978">
        <v>0</v>
      </c>
      <c r="I978">
        <v>0</v>
      </c>
      <c r="J978">
        <v>0.38349112104830502</v>
      </c>
      <c r="K978">
        <v>8.6133461756351223E-303</v>
      </c>
      <c r="L978">
        <v>1.7715888482949321E-302</v>
      </c>
      <c r="M978">
        <v>0.26585791360687833</v>
      </c>
      <c r="N978">
        <v>1.136683880026462E-302</v>
      </c>
      <c r="O978">
        <v>2.3284797057511761E-302</v>
      </c>
      <c r="P978">
        <v>0.22963897848430689</v>
      </c>
      <c r="Q978">
        <v>1.2508480712207579</v>
      </c>
      <c r="R978">
        <v>4.4120591268929452</v>
      </c>
      <c r="S978">
        <v>0.32125052491913147</v>
      </c>
      <c r="T978">
        <v>0.23091747803077439</v>
      </c>
      <c r="U978">
        <v>4.3183774797103123</v>
      </c>
      <c r="V978">
        <v>0.1402296659485322</v>
      </c>
      <c r="W978">
        <v>9.8136932681917468</v>
      </c>
      <c r="X978">
        <v>0.36603419530208431</v>
      </c>
      <c r="Z978" t="s">
        <v>392</v>
      </c>
      <c r="AA978">
        <v>9937</v>
      </c>
      <c r="AB978" t="s">
        <v>1369</v>
      </c>
      <c r="AC978" t="str">
        <f>HYPERLINK("plots/20251231000436_3FT6Y121H01_04823_B11P_N_UFLEX98_M5358A8BH101511/dpll_52094/txpa_55221.png","plot")</f>
        <v>plot</v>
      </c>
    </row>
    <row r="979" spans="1:29" x14ac:dyDescent="0.35">
      <c r="A979" t="s">
        <v>46</v>
      </c>
      <c r="B979">
        <v>52094</v>
      </c>
      <c r="C979" t="s">
        <v>53</v>
      </c>
      <c r="D979">
        <v>55222</v>
      </c>
      <c r="E979" t="s">
        <v>355</v>
      </c>
      <c r="F979">
        <v>8689</v>
      </c>
      <c r="G979">
        <v>0.4986073587804985</v>
      </c>
      <c r="H979">
        <v>0</v>
      </c>
      <c r="I979">
        <v>0</v>
      </c>
      <c r="J979">
        <v>0.41315424742373519</v>
      </c>
      <c r="K979">
        <v>0</v>
      </c>
      <c r="L979">
        <v>0</v>
      </c>
      <c r="M979">
        <v>0.28996225639963841</v>
      </c>
      <c r="N979">
        <v>0</v>
      </c>
      <c r="O979">
        <v>0</v>
      </c>
      <c r="P979">
        <v>0.24860929823006481</v>
      </c>
      <c r="Q979">
        <v>1.261635528785072</v>
      </c>
      <c r="R979">
        <v>4.3882443142354184</v>
      </c>
      <c r="S979">
        <v>0.30628254935753008</v>
      </c>
      <c r="T979">
        <v>0.22224845885122649</v>
      </c>
      <c r="U979">
        <v>4.3188326990447701</v>
      </c>
      <c r="V979">
        <v>0.13964941178505411</v>
      </c>
      <c r="W979">
        <v>9.8370370902290247</v>
      </c>
      <c r="X979">
        <v>0.3533575194575565</v>
      </c>
      <c r="Z979" t="s">
        <v>392</v>
      </c>
      <c r="AA979">
        <v>9937</v>
      </c>
      <c r="AB979" t="s">
        <v>1370</v>
      </c>
      <c r="AC979" t="str">
        <f>HYPERLINK("plots/20251231000436_3FT6Y121H01_04823_B11P_N_UFLEX98_M5358A8BH101511/dpll_52094/txpa_55222.png","plot")</f>
        <v>plot</v>
      </c>
    </row>
    <row r="980" spans="1:29" x14ac:dyDescent="0.35">
      <c r="A980" t="s">
        <v>46</v>
      </c>
      <c r="B980">
        <v>52094</v>
      </c>
      <c r="C980" t="s">
        <v>53</v>
      </c>
      <c r="D980">
        <v>55223</v>
      </c>
      <c r="E980" t="s">
        <v>356</v>
      </c>
      <c r="F980">
        <v>8703</v>
      </c>
      <c r="G980">
        <v>0.49004866795383578</v>
      </c>
      <c r="H980">
        <v>0</v>
      </c>
      <c r="I980">
        <v>0</v>
      </c>
      <c r="J980">
        <v>0.37191810720117269</v>
      </c>
      <c r="K980">
        <v>1.195265217398146E-283</v>
      </c>
      <c r="L980">
        <v>2.2739191940745208E-283</v>
      </c>
      <c r="M980">
        <v>0.25677183167309248</v>
      </c>
      <c r="N980">
        <v>1.3056098796647209E-282</v>
      </c>
      <c r="O980">
        <v>2.4979026754340139E-282</v>
      </c>
      <c r="P980">
        <v>0.2401476969633288</v>
      </c>
      <c r="Q980">
        <v>1.257475188107998</v>
      </c>
      <c r="R980">
        <v>4.3727893873490231</v>
      </c>
      <c r="S980">
        <v>0.31414198362309009</v>
      </c>
      <c r="T980">
        <v>0.23015647570634881</v>
      </c>
      <c r="U980">
        <v>4.3182008480983569</v>
      </c>
      <c r="V980">
        <v>0.1404514187317204</v>
      </c>
      <c r="W980">
        <v>9.802819811099619</v>
      </c>
      <c r="X980">
        <v>0.36040129427786322</v>
      </c>
      <c r="Z980" t="s">
        <v>392</v>
      </c>
      <c r="AA980">
        <v>9937</v>
      </c>
      <c r="AB980" t="s">
        <v>1371</v>
      </c>
      <c r="AC980" t="str">
        <f>HYPERLINK("plots/20251231000436_3FT6Y121H01_04823_B11P_N_UFLEX98_M5358A8BH101511/dpll_52094/txpa_55223.png","plot")</f>
        <v>plot</v>
      </c>
    </row>
    <row r="981" spans="1:29" x14ac:dyDescent="0.35">
      <c r="A981" t="s">
        <v>46</v>
      </c>
      <c r="B981">
        <v>52094</v>
      </c>
      <c r="C981" t="s">
        <v>53</v>
      </c>
      <c r="D981">
        <v>55224</v>
      </c>
      <c r="E981" t="s">
        <v>357</v>
      </c>
      <c r="F981">
        <v>8689</v>
      </c>
      <c r="G981">
        <v>0.51259523254173311</v>
      </c>
      <c r="H981">
        <v>0</v>
      </c>
      <c r="I981">
        <v>0</v>
      </c>
      <c r="J981">
        <v>0.4291312106340755</v>
      </c>
      <c r="K981">
        <v>0</v>
      </c>
      <c r="L981">
        <v>0</v>
      </c>
      <c r="M981">
        <v>0.30104765504852399</v>
      </c>
      <c r="N981">
        <v>0</v>
      </c>
      <c r="O981">
        <v>0</v>
      </c>
      <c r="P981">
        <v>0.26275387242451342</v>
      </c>
      <c r="Q981">
        <v>1.2270507395567081</v>
      </c>
      <c r="R981">
        <v>4.5490034455045798</v>
      </c>
      <c r="S981">
        <v>0.28673161630863359</v>
      </c>
      <c r="T981">
        <v>0.2028705770248847</v>
      </c>
      <c r="U981">
        <v>4.3189275196225108</v>
      </c>
      <c r="V981">
        <v>0.13951033013085101</v>
      </c>
      <c r="W981">
        <v>9.8485466525491994</v>
      </c>
      <c r="X981">
        <v>0.33395990226835381</v>
      </c>
      <c r="Z981" t="s">
        <v>392</v>
      </c>
      <c r="AA981">
        <v>9937</v>
      </c>
      <c r="AB981" t="s">
        <v>1372</v>
      </c>
      <c r="AC981" t="str">
        <f>HYPERLINK("plots/20251231000436_3FT6Y121H01_04823_B11P_N_UFLEX98_M5358A8BH101511/dpll_52094/txpa_55224.png","plot")</f>
        <v>plot</v>
      </c>
    </row>
    <row r="982" spans="1:29" x14ac:dyDescent="0.35">
      <c r="A982" t="s">
        <v>46</v>
      </c>
      <c r="B982">
        <v>52094</v>
      </c>
      <c r="C982" t="s">
        <v>53</v>
      </c>
      <c r="D982">
        <v>55225</v>
      </c>
      <c r="E982" t="s">
        <v>358</v>
      </c>
      <c r="F982">
        <v>8695</v>
      </c>
      <c r="G982">
        <v>0.50921429198517842</v>
      </c>
      <c r="H982">
        <v>0</v>
      </c>
      <c r="I982">
        <v>0</v>
      </c>
      <c r="J982">
        <v>0.40007368570903562</v>
      </c>
      <c r="K982">
        <v>0</v>
      </c>
      <c r="L982">
        <v>0</v>
      </c>
      <c r="M982">
        <v>0.27727944058275639</v>
      </c>
      <c r="N982">
        <v>0</v>
      </c>
      <c r="O982">
        <v>0</v>
      </c>
      <c r="P982">
        <v>0.25929919516196648</v>
      </c>
      <c r="Q982">
        <v>1.2183871882639401</v>
      </c>
      <c r="R982">
        <v>4.54749807505309</v>
      </c>
      <c r="S982">
        <v>0.28812518858540598</v>
      </c>
      <c r="T982">
        <v>0.20645771679220709</v>
      </c>
      <c r="U982">
        <v>4.3186353373202993</v>
      </c>
      <c r="V982">
        <v>0.1399265269133958</v>
      </c>
      <c r="W982">
        <v>9.8092680408280604</v>
      </c>
      <c r="X982">
        <v>0.33479949477638199</v>
      </c>
      <c r="Z982" t="s">
        <v>392</v>
      </c>
      <c r="AA982">
        <v>9937</v>
      </c>
      <c r="AB982" t="s">
        <v>1373</v>
      </c>
      <c r="AC982" t="str">
        <f>HYPERLINK("plots/20251231000436_3FT6Y121H01_04823_B11P_N_UFLEX98_M5358A8BH101511/dpll_52094/txpa_55225.png","plot")</f>
        <v>plot</v>
      </c>
    </row>
    <row r="983" spans="1:29" x14ac:dyDescent="0.35">
      <c r="A983" t="s">
        <v>46</v>
      </c>
      <c r="B983">
        <v>52094</v>
      </c>
      <c r="C983" t="s">
        <v>53</v>
      </c>
      <c r="D983">
        <v>55226</v>
      </c>
      <c r="E983" t="s">
        <v>359</v>
      </c>
      <c r="F983">
        <v>8663</v>
      </c>
      <c r="G983">
        <v>0.46430531532361158</v>
      </c>
      <c r="H983">
        <v>0</v>
      </c>
      <c r="I983">
        <v>0</v>
      </c>
      <c r="J983">
        <v>0.3870739527829361</v>
      </c>
      <c r="K983">
        <v>1.197112634156605E-307</v>
      </c>
      <c r="L983">
        <v>2.5131929835088972E-307</v>
      </c>
      <c r="M983">
        <v>0.27113804935665031</v>
      </c>
      <c r="N983">
        <v>0</v>
      </c>
      <c r="O983">
        <v>0</v>
      </c>
      <c r="P983">
        <v>0.21557942583775841</v>
      </c>
      <c r="Q983">
        <v>1.1955816246857851</v>
      </c>
      <c r="R983">
        <v>4.8659698651782497</v>
      </c>
      <c r="S983">
        <v>0.31243208738487122</v>
      </c>
      <c r="T983">
        <v>0.22641257007081131</v>
      </c>
      <c r="U983">
        <v>4.320409253376428</v>
      </c>
      <c r="V983">
        <v>0.13700317558136149</v>
      </c>
      <c r="W983">
        <v>10.03137177963754</v>
      </c>
      <c r="X983">
        <v>0.35278183092629839</v>
      </c>
      <c r="Z983" t="s">
        <v>392</v>
      </c>
      <c r="AA983">
        <v>9937</v>
      </c>
      <c r="AB983" t="s">
        <v>1374</v>
      </c>
      <c r="AC983" t="str">
        <f>HYPERLINK("plots/20251231000436_3FT6Y121H01_04823_B11P_N_UFLEX98_M5358A8BH101511/dpll_52094/txpa_55226.png","plot")</f>
        <v>plot</v>
      </c>
    </row>
    <row r="984" spans="1:29" x14ac:dyDescent="0.35">
      <c r="A984" t="s">
        <v>46</v>
      </c>
      <c r="B984">
        <v>52094</v>
      </c>
      <c r="C984" t="s">
        <v>53</v>
      </c>
      <c r="D984">
        <v>55227</v>
      </c>
      <c r="E984" t="s">
        <v>360</v>
      </c>
      <c r="F984">
        <v>8640</v>
      </c>
      <c r="G984">
        <v>0.43164364558281421</v>
      </c>
      <c r="H984">
        <v>0</v>
      </c>
      <c r="I984">
        <v>0</v>
      </c>
      <c r="J984">
        <v>0.40673095267638099</v>
      </c>
      <c r="K984">
        <v>0</v>
      </c>
      <c r="L984">
        <v>0</v>
      </c>
      <c r="M984">
        <v>0.28569554432835198</v>
      </c>
      <c r="N984">
        <v>0</v>
      </c>
      <c r="O984">
        <v>0</v>
      </c>
      <c r="P984">
        <v>0.18631623677202211</v>
      </c>
      <c r="Q984">
        <v>1.1820396888771461</v>
      </c>
      <c r="R984">
        <v>5.2342531911152168</v>
      </c>
      <c r="S984">
        <v>0.33583175979423752</v>
      </c>
      <c r="T984">
        <v>0.23386125661436311</v>
      </c>
      <c r="U984">
        <v>4.3210732927083324</v>
      </c>
      <c r="V984">
        <v>0.13596037927936391</v>
      </c>
      <c r="W984">
        <v>10.34193332164352</v>
      </c>
      <c r="X984">
        <v>0.37232232205342303</v>
      </c>
      <c r="Z984" t="s">
        <v>392</v>
      </c>
      <c r="AA984">
        <v>9937</v>
      </c>
      <c r="AB984" t="s">
        <v>1375</v>
      </c>
      <c r="AC984" t="str">
        <f>HYPERLINK("plots/20251231000436_3FT6Y121H01_04823_B11P_N_UFLEX98_M5358A8BH101511/dpll_52094/txpa_55227.png","plot")</f>
        <v>plot</v>
      </c>
    </row>
    <row r="985" spans="1:29" x14ac:dyDescent="0.35">
      <c r="A985" t="s">
        <v>46</v>
      </c>
      <c r="B985">
        <v>52094</v>
      </c>
      <c r="C985" t="s">
        <v>53</v>
      </c>
      <c r="D985">
        <v>55228</v>
      </c>
      <c r="E985" t="s">
        <v>361</v>
      </c>
      <c r="F985">
        <v>8679</v>
      </c>
      <c r="G985">
        <v>0.49504710402139918</v>
      </c>
      <c r="H985">
        <v>0</v>
      </c>
      <c r="I985">
        <v>0</v>
      </c>
      <c r="J985">
        <v>0.43666910471132558</v>
      </c>
      <c r="K985">
        <v>0</v>
      </c>
      <c r="L985">
        <v>0</v>
      </c>
      <c r="M985">
        <v>0.30656259247421902</v>
      </c>
      <c r="N985">
        <v>0</v>
      </c>
      <c r="O985">
        <v>0</v>
      </c>
      <c r="P985">
        <v>0.24507163519997399</v>
      </c>
      <c r="Q985">
        <v>1.228231520994483</v>
      </c>
      <c r="R985">
        <v>4.8613788832146847</v>
      </c>
      <c r="S985">
        <v>0.30002173546107541</v>
      </c>
      <c r="T985">
        <v>0.20775422628973919</v>
      </c>
      <c r="U985">
        <v>4.3191086879824869</v>
      </c>
      <c r="V985">
        <v>0.1391845898387693</v>
      </c>
      <c r="W985">
        <v>10.1662443163959</v>
      </c>
      <c r="X985">
        <v>0.34532249373440482</v>
      </c>
      <c r="Z985" t="s">
        <v>392</v>
      </c>
      <c r="AA985">
        <v>9937</v>
      </c>
      <c r="AB985" t="s">
        <v>1376</v>
      </c>
      <c r="AC985" t="str">
        <f>HYPERLINK("plots/20251231000436_3FT6Y121H01_04823_B11P_N_UFLEX98_M5358A8BH101511/dpll_52094/txpa_55228.png","plot")</f>
        <v>plot</v>
      </c>
    </row>
    <row r="986" spans="1:29" x14ac:dyDescent="0.35">
      <c r="A986" t="s">
        <v>46</v>
      </c>
      <c r="B986">
        <v>52094</v>
      </c>
      <c r="C986" t="s">
        <v>53</v>
      </c>
      <c r="D986">
        <v>55229</v>
      </c>
      <c r="E986" t="s">
        <v>362</v>
      </c>
      <c r="F986">
        <v>8688</v>
      </c>
      <c r="G986">
        <v>0.48521861177182751</v>
      </c>
      <c r="H986">
        <v>0</v>
      </c>
      <c r="I986">
        <v>0</v>
      </c>
      <c r="J986">
        <v>0.40069846595943071</v>
      </c>
      <c r="K986">
        <v>0</v>
      </c>
      <c r="L986">
        <v>0</v>
      </c>
      <c r="M986">
        <v>0.27921661381686591</v>
      </c>
      <c r="N986">
        <v>0</v>
      </c>
      <c r="O986">
        <v>0</v>
      </c>
      <c r="P986">
        <v>0.2354371012097794</v>
      </c>
      <c r="Q986">
        <v>1.2909925307904679</v>
      </c>
      <c r="R986">
        <v>4.6007525019462507</v>
      </c>
      <c r="S986">
        <v>0.32506166251623198</v>
      </c>
      <c r="T986">
        <v>0.22984803922500621</v>
      </c>
      <c r="U986">
        <v>4.3187431489410679</v>
      </c>
      <c r="V986">
        <v>0.13973263832033719</v>
      </c>
      <c r="W986">
        <v>10.176217649631679</v>
      </c>
      <c r="X986">
        <v>0.37177838607730679</v>
      </c>
      <c r="Z986" t="s">
        <v>392</v>
      </c>
      <c r="AA986">
        <v>9937</v>
      </c>
      <c r="AB986" t="s">
        <v>1377</v>
      </c>
      <c r="AC986" t="str">
        <f>HYPERLINK("plots/20251231000436_3FT6Y121H01_04823_B11P_N_UFLEX98_M5358A8BH101511/dpll_52094/txpa_55229.png","plot")</f>
        <v>plot</v>
      </c>
    </row>
    <row r="987" spans="1:29" x14ac:dyDescent="0.35">
      <c r="A987" t="s">
        <v>46</v>
      </c>
      <c r="B987">
        <v>52094</v>
      </c>
      <c r="C987" t="s">
        <v>53</v>
      </c>
      <c r="D987">
        <v>55230</v>
      </c>
      <c r="E987" t="s">
        <v>363</v>
      </c>
      <c r="F987">
        <v>8684</v>
      </c>
      <c r="G987">
        <v>0.50057717823917625</v>
      </c>
      <c r="H987">
        <v>0</v>
      </c>
      <c r="I987">
        <v>0</v>
      </c>
      <c r="J987">
        <v>0.42554133666913951</v>
      </c>
      <c r="K987">
        <v>0</v>
      </c>
      <c r="L987">
        <v>0</v>
      </c>
      <c r="M987">
        <v>0.29986663650548961</v>
      </c>
      <c r="N987">
        <v>0</v>
      </c>
      <c r="O987">
        <v>0</v>
      </c>
      <c r="P987">
        <v>0.250577511373896</v>
      </c>
      <c r="Q987">
        <v>1.303109200359678</v>
      </c>
      <c r="R987">
        <v>4.5708494401149338</v>
      </c>
      <c r="S987">
        <v>0.31406347572074911</v>
      </c>
      <c r="T987">
        <v>0.2234566683939577</v>
      </c>
      <c r="U987">
        <v>4.3190252237448181</v>
      </c>
      <c r="V987">
        <v>0.1393700043987938</v>
      </c>
      <c r="W987">
        <v>10.199010945762319</v>
      </c>
      <c r="X987">
        <v>0.3628098580624094</v>
      </c>
      <c r="Z987" t="s">
        <v>392</v>
      </c>
      <c r="AA987">
        <v>9937</v>
      </c>
      <c r="AB987" t="s">
        <v>1378</v>
      </c>
      <c r="AC987" t="str">
        <f>HYPERLINK("plots/20251231000436_3FT6Y121H01_04823_B11P_N_UFLEX98_M5358A8BH101511/dpll_52094/txpa_55230.png","plot")</f>
        <v>plot</v>
      </c>
    </row>
    <row r="988" spans="1:29" x14ac:dyDescent="0.35">
      <c r="A988" t="s">
        <v>46</v>
      </c>
      <c r="B988">
        <v>52094</v>
      </c>
      <c r="C988" t="s">
        <v>53</v>
      </c>
      <c r="D988">
        <v>55231</v>
      </c>
      <c r="E988" t="s">
        <v>364</v>
      </c>
      <c r="F988">
        <v>8692</v>
      </c>
      <c r="G988">
        <v>0.49399956648890569</v>
      </c>
      <c r="H988">
        <v>0</v>
      </c>
      <c r="I988">
        <v>0</v>
      </c>
      <c r="J988">
        <v>0.3880706084313108</v>
      </c>
      <c r="K988">
        <v>0</v>
      </c>
      <c r="L988">
        <v>0</v>
      </c>
      <c r="M988">
        <v>0.26933502152491751</v>
      </c>
      <c r="N988">
        <v>0</v>
      </c>
      <c r="O988">
        <v>0</v>
      </c>
      <c r="P988">
        <v>0.24403557169122669</v>
      </c>
      <c r="Q988">
        <v>1.2882493883624311</v>
      </c>
      <c r="R988">
        <v>4.6105052057007354</v>
      </c>
      <c r="S988">
        <v>0.31711066799315812</v>
      </c>
      <c r="T988">
        <v>0.22926235337388889</v>
      </c>
      <c r="U988">
        <v>4.3186835613207544</v>
      </c>
      <c r="V988">
        <v>0.13986587899159381</v>
      </c>
      <c r="W988">
        <v>10.174046662103081</v>
      </c>
      <c r="X988">
        <v>0.3647414801278801</v>
      </c>
      <c r="Z988" t="s">
        <v>392</v>
      </c>
      <c r="AA988">
        <v>9937</v>
      </c>
      <c r="AB988" t="s">
        <v>1379</v>
      </c>
      <c r="AC988" t="str">
        <f>HYPERLINK("plots/20251231000436_3FT6Y121H01_04823_B11P_N_UFLEX98_M5358A8BH101511/dpll_52094/txpa_55231.png","plot")</f>
        <v>plot</v>
      </c>
    </row>
    <row r="989" spans="1:29" x14ac:dyDescent="0.35">
      <c r="A989" t="s">
        <v>46</v>
      </c>
      <c r="B989">
        <v>52094</v>
      </c>
      <c r="C989" t="s">
        <v>53</v>
      </c>
      <c r="D989">
        <v>55232</v>
      </c>
      <c r="E989" t="s">
        <v>365</v>
      </c>
      <c r="F989">
        <v>8687</v>
      </c>
      <c r="G989">
        <v>0.51058437265539081</v>
      </c>
      <c r="H989">
        <v>0</v>
      </c>
      <c r="I989">
        <v>0</v>
      </c>
      <c r="J989">
        <v>0.43618109605966271</v>
      </c>
      <c r="K989">
        <v>0</v>
      </c>
      <c r="L989">
        <v>0</v>
      </c>
      <c r="M989">
        <v>0.30738124627124741</v>
      </c>
      <c r="N989">
        <v>0</v>
      </c>
      <c r="O989">
        <v>0</v>
      </c>
      <c r="P989">
        <v>0.26069640159989899</v>
      </c>
      <c r="Q989">
        <v>1.2789791425773189</v>
      </c>
      <c r="R989">
        <v>4.6748764157788338</v>
      </c>
      <c r="S989">
        <v>0.30016064705871792</v>
      </c>
      <c r="T989">
        <v>0.20965978342899411</v>
      </c>
      <c r="U989">
        <v>4.3190242121560951</v>
      </c>
      <c r="V989">
        <v>0.1393706730459667</v>
      </c>
      <c r="W989">
        <v>10.19881829941292</v>
      </c>
      <c r="X989">
        <v>0.34911406117997712</v>
      </c>
      <c r="Z989" t="s">
        <v>392</v>
      </c>
      <c r="AA989">
        <v>9937</v>
      </c>
      <c r="AB989" t="s">
        <v>1380</v>
      </c>
      <c r="AC989" t="str">
        <f>HYPERLINK("plots/20251231000436_3FT6Y121H01_04823_B11P_N_UFLEX98_M5358A8BH101511/dpll_52094/txpa_55232.png","plot")</f>
        <v>plot</v>
      </c>
    </row>
    <row r="990" spans="1:29" x14ac:dyDescent="0.35">
      <c r="A990" t="s">
        <v>46</v>
      </c>
      <c r="B990">
        <v>52094</v>
      </c>
      <c r="C990" t="s">
        <v>53</v>
      </c>
      <c r="D990">
        <v>55233</v>
      </c>
      <c r="E990" t="s">
        <v>366</v>
      </c>
      <c r="F990">
        <v>8686</v>
      </c>
      <c r="G990">
        <v>0.50892248317358535</v>
      </c>
      <c r="H990">
        <v>0</v>
      </c>
      <c r="I990">
        <v>0</v>
      </c>
      <c r="J990">
        <v>0.41293985547799822</v>
      </c>
      <c r="K990">
        <v>0</v>
      </c>
      <c r="L990">
        <v>0</v>
      </c>
      <c r="M990">
        <v>0.28757472004870083</v>
      </c>
      <c r="N990">
        <v>0</v>
      </c>
      <c r="O990">
        <v>0</v>
      </c>
      <c r="P990">
        <v>0.25900209387956818</v>
      </c>
      <c r="Q990">
        <v>1.259861530369911</v>
      </c>
      <c r="R990">
        <v>4.7368400476307588</v>
      </c>
      <c r="S990">
        <v>0.29687521054525551</v>
      </c>
      <c r="T990">
        <v>0.2089791859933936</v>
      </c>
      <c r="U990">
        <v>4.3190662432650244</v>
      </c>
      <c r="V990">
        <v>0.13932186141308481</v>
      </c>
      <c r="W990">
        <v>10.17826545463965</v>
      </c>
      <c r="X990">
        <v>0.34489781712788731</v>
      </c>
      <c r="Z990" t="s">
        <v>392</v>
      </c>
      <c r="AA990">
        <v>9937</v>
      </c>
      <c r="AB990" t="s">
        <v>1381</v>
      </c>
      <c r="AC990" t="str">
        <f>HYPERLINK("plots/20251231000436_3FT6Y121H01_04823_B11P_N_UFLEX98_M5358A8BH101511/dpll_52094/txpa_55233.png","plot")</f>
        <v>plot</v>
      </c>
    </row>
    <row r="991" spans="1:29" x14ac:dyDescent="0.35">
      <c r="A991" t="s">
        <v>46</v>
      </c>
      <c r="B991">
        <v>52094</v>
      </c>
      <c r="C991" t="s">
        <v>53</v>
      </c>
      <c r="D991">
        <v>55234</v>
      </c>
      <c r="E991" t="s">
        <v>367</v>
      </c>
      <c r="F991">
        <v>8663</v>
      </c>
      <c r="G991">
        <v>0.46842755046844758</v>
      </c>
      <c r="H991">
        <v>0</v>
      </c>
      <c r="I991">
        <v>0</v>
      </c>
      <c r="J991">
        <v>0.39574821675203542</v>
      </c>
      <c r="K991">
        <v>0</v>
      </c>
      <c r="L991">
        <v>0</v>
      </c>
      <c r="M991">
        <v>0.27774376905596537</v>
      </c>
      <c r="N991">
        <v>0</v>
      </c>
      <c r="O991">
        <v>0</v>
      </c>
      <c r="P991">
        <v>0.21942437003786999</v>
      </c>
      <c r="Q991">
        <v>1.2538730768915529</v>
      </c>
      <c r="R991">
        <v>4.9667739120118419</v>
      </c>
      <c r="S991">
        <v>0.32398448083273368</v>
      </c>
      <c r="T991">
        <v>0.2324335990639963</v>
      </c>
      <c r="U991">
        <v>4.320409253376428</v>
      </c>
      <c r="V991">
        <v>0.13700317558136149</v>
      </c>
      <c r="W991">
        <v>10.384018755973679</v>
      </c>
      <c r="X991">
        <v>0.36672606711181599</v>
      </c>
      <c r="Z991" t="s">
        <v>392</v>
      </c>
      <c r="AA991">
        <v>9937</v>
      </c>
      <c r="AB991" t="s">
        <v>1382</v>
      </c>
      <c r="AC991" t="str">
        <f>HYPERLINK("plots/20251231000436_3FT6Y121H01_04823_B11P_N_UFLEX98_M5358A8BH101511/dpll_52094/txpa_55234.png","plot")</f>
        <v>plot</v>
      </c>
    </row>
    <row r="992" spans="1:29" x14ac:dyDescent="0.35">
      <c r="A992" t="s">
        <v>46</v>
      </c>
      <c r="B992">
        <v>52094</v>
      </c>
      <c r="C992" t="s">
        <v>53</v>
      </c>
      <c r="D992">
        <v>55235</v>
      </c>
      <c r="E992" t="s">
        <v>368</v>
      </c>
      <c r="F992">
        <v>8658</v>
      </c>
      <c r="G992">
        <v>0.44779571520861311</v>
      </c>
      <c r="H992">
        <v>0</v>
      </c>
      <c r="I992">
        <v>0</v>
      </c>
      <c r="J992">
        <v>0.40954582793991889</v>
      </c>
      <c r="K992">
        <v>0</v>
      </c>
      <c r="L992">
        <v>0</v>
      </c>
      <c r="M992">
        <v>0.28842746945237391</v>
      </c>
      <c r="N992">
        <v>0</v>
      </c>
      <c r="O992">
        <v>0</v>
      </c>
      <c r="P992">
        <v>0.20052100255919331</v>
      </c>
      <c r="Q992">
        <v>1.3005635893800469</v>
      </c>
      <c r="R992">
        <v>5.0237909889948078</v>
      </c>
      <c r="S992">
        <v>0.3569997705635708</v>
      </c>
      <c r="T992">
        <v>0.24853689404628129</v>
      </c>
      <c r="U992">
        <v>4.3201604818664823</v>
      </c>
      <c r="V992">
        <v>0.13747946446598719</v>
      </c>
      <c r="W992">
        <v>10.64243441198891</v>
      </c>
      <c r="X992">
        <v>0.39929097063520058</v>
      </c>
      <c r="Z992" t="s">
        <v>392</v>
      </c>
      <c r="AA992">
        <v>9937</v>
      </c>
      <c r="AB992" t="s">
        <v>1383</v>
      </c>
      <c r="AC992" t="str">
        <f>HYPERLINK("plots/20251231000436_3FT6Y121H01_04823_B11P_N_UFLEX98_M5358A8BH101511/dpll_52094/txpa_55235.png","plot")</f>
        <v>plot</v>
      </c>
    </row>
    <row r="993" spans="1:29" x14ac:dyDescent="0.35">
      <c r="A993" t="s">
        <v>46</v>
      </c>
      <c r="B993">
        <v>52094</v>
      </c>
      <c r="C993" t="s">
        <v>53</v>
      </c>
      <c r="D993">
        <v>55236</v>
      </c>
      <c r="E993" t="s">
        <v>369</v>
      </c>
      <c r="F993">
        <v>8675</v>
      </c>
      <c r="G993">
        <v>0.49360140365485922</v>
      </c>
      <c r="H993">
        <v>0</v>
      </c>
      <c r="I993">
        <v>0</v>
      </c>
      <c r="J993">
        <v>0.44465323027056292</v>
      </c>
      <c r="K993">
        <v>0</v>
      </c>
      <c r="L993">
        <v>0</v>
      </c>
      <c r="M993">
        <v>0.31402668029567388</v>
      </c>
      <c r="N993">
        <v>0</v>
      </c>
      <c r="O993">
        <v>0</v>
      </c>
      <c r="P993">
        <v>0.24364234569004731</v>
      </c>
      <c r="Q993">
        <v>1.2767827180650939</v>
      </c>
      <c r="R993">
        <v>4.9971341364091231</v>
      </c>
      <c r="S993">
        <v>0.31230673363928158</v>
      </c>
      <c r="T993">
        <v>0.214134905773923</v>
      </c>
      <c r="U993">
        <v>4.3192763417867441</v>
      </c>
      <c r="V993">
        <v>0.13883602412933399</v>
      </c>
      <c r="W993">
        <v>10.511911524149861</v>
      </c>
      <c r="X993">
        <v>0.35912263405383221</v>
      </c>
      <c r="Z993" t="s">
        <v>392</v>
      </c>
      <c r="AA993">
        <v>9937</v>
      </c>
      <c r="AB993" t="s">
        <v>1384</v>
      </c>
      <c r="AC993" t="str">
        <f>HYPERLINK("plots/20251231000436_3FT6Y121H01_04823_B11P_N_UFLEX98_M5358A8BH101511/dpll_52094/txpa_55236.png","plot")</f>
        <v>plot</v>
      </c>
    </row>
    <row r="994" spans="1:29" x14ac:dyDescent="0.35">
      <c r="A994" t="s">
        <v>46</v>
      </c>
      <c r="B994">
        <v>52094</v>
      </c>
      <c r="C994" t="s">
        <v>53</v>
      </c>
      <c r="D994">
        <v>55237</v>
      </c>
      <c r="E994" t="s">
        <v>370</v>
      </c>
      <c r="F994">
        <v>8682</v>
      </c>
      <c r="G994">
        <v>0.48613790471736579</v>
      </c>
      <c r="H994">
        <v>0</v>
      </c>
      <c r="I994">
        <v>0</v>
      </c>
      <c r="J994">
        <v>0.41462265149048422</v>
      </c>
      <c r="K994">
        <v>0</v>
      </c>
      <c r="L994">
        <v>0</v>
      </c>
      <c r="M994">
        <v>0.29041051490743353</v>
      </c>
      <c r="N994">
        <v>0</v>
      </c>
      <c r="O994">
        <v>0</v>
      </c>
      <c r="P994">
        <v>0.2363300624029907</v>
      </c>
      <c r="Q994">
        <v>1.3331844432982409</v>
      </c>
      <c r="R994">
        <v>4.7448858392593936</v>
      </c>
      <c r="S994">
        <v>0.33376090567760602</v>
      </c>
      <c r="T994">
        <v>0.23238788542886971</v>
      </c>
      <c r="U994">
        <v>4.3190513592490207</v>
      </c>
      <c r="V994">
        <v>0.13927619007409409</v>
      </c>
      <c r="W994">
        <v>10.50297792121631</v>
      </c>
      <c r="X994">
        <v>0.38195098165937819</v>
      </c>
      <c r="Z994" t="s">
        <v>392</v>
      </c>
      <c r="AA994">
        <v>9937</v>
      </c>
      <c r="AB994" t="s">
        <v>1385</v>
      </c>
      <c r="AC994" t="str">
        <f>HYPERLINK("plots/20251231000436_3FT6Y121H01_04823_B11P_N_UFLEX98_M5358A8BH101511/dpll_52094/txpa_55237.png","plot")</f>
        <v>plot</v>
      </c>
    </row>
    <row r="995" spans="1:29" x14ac:dyDescent="0.35">
      <c r="A995" t="s">
        <v>46</v>
      </c>
      <c r="B995">
        <v>52094</v>
      </c>
      <c r="C995" t="s">
        <v>53</v>
      </c>
      <c r="D995">
        <v>55238</v>
      </c>
      <c r="E995" t="s">
        <v>371</v>
      </c>
      <c r="F995">
        <v>8682</v>
      </c>
      <c r="G995">
        <v>0.50333011569910613</v>
      </c>
      <c r="H995">
        <v>0</v>
      </c>
      <c r="I995">
        <v>0</v>
      </c>
      <c r="J995">
        <v>0.43663719179716098</v>
      </c>
      <c r="K995">
        <v>0</v>
      </c>
      <c r="L995">
        <v>0</v>
      </c>
      <c r="M995">
        <v>0.30905957822774083</v>
      </c>
      <c r="N995">
        <v>0</v>
      </c>
      <c r="O995">
        <v>0</v>
      </c>
      <c r="P995">
        <v>0.25334120536967558</v>
      </c>
      <c r="Q995">
        <v>1.355462068846256</v>
      </c>
      <c r="R995">
        <v>4.6707681812518826</v>
      </c>
      <c r="S995">
        <v>0.32401283066559788</v>
      </c>
      <c r="T995">
        <v>0.22674973941977239</v>
      </c>
      <c r="U995">
        <v>4.3190681356830227</v>
      </c>
      <c r="V995">
        <v>0.1392488688355856</v>
      </c>
      <c r="W995">
        <v>10.52510121193273</v>
      </c>
      <c r="X995">
        <v>0.37499556245352428</v>
      </c>
      <c r="Z995" t="s">
        <v>392</v>
      </c>
      <c r="AA995">
        <v>9937</v>
      </c>
      <c r="AB995" t="s">
        <v>1386</v>
      </c>
      <c r="AC995" t="str">
        <f>HYPERLINK("plots/20251231000436_3FT6Y121H01_04823_B11P_N_UFLEX98_M5358A8BH101511/dpll_52094/txpa_55238.png","plot")</f>
        <v>plot</v>
      </c>
    </row>
    <row r="996" spans="1:29" x14ac:dyDescent="0.35">
      <c r="A996" t="s">
        <v>46</v>
      </c>
      <c r="B996">
        <v>52094</v>
      </c>
      <c r="C996" t="s">
        <v>53</v>
      </c>
      <c r="D996">
        <v>55239</v>
      </c>
      <c r="E996" t="s">
        <v>372</v>
      </c>
      <c r="F996">
        <v>8686</v>
      </c>
      <c r="G996">
        <v>0.49691348044721539</v>
      </c>
      <c r="H996">
        <v>0</v>
      </c>
      <c r="I996">
        <v>0</v>
      </c>
      <c r="J996">
        <v>0.403833948166956</v>
      </c>
      <c r="K996">
        <v>0</v>
      </c>
      <c r="L996">
        <v>0</v>
      </c>
      <c r="M996">
        <v>0.28182280241729718</v>
      </c>
      <c r="N996">
        <v>0</v>
      </c>
      <c r="O996">
        <v>0</v>
      </c>
      <c r="P996">
        <v>0.24692300705016509</v>
      </c>
      <c r="Q996">
        <v>1.3318021265107549</v>
      </c>
      <c r="R996">
        <v>4.7575297885357148</v>
      </c>
      <c r="S996">
        <v>0.32406114111839063</v>
      </c>
      <c r="T996">
        <v>0.2309376089375961</v>
      </c>
      <c r="U996">
        <v>4.3190108610407547</v>
      </c>
      <c r="V996">
        <v>0.1393392096324898</v>
      </c>
      <c r="W996">
        <v>10.50959763769284</v>
      </c>
      <c r="X996">
        <v>0.37344983180545882</v>
      </c>
      <c r="Z996" t="s">
        <v>392</v>
      </c>
      <c r="AA996">
        <v>9937</v>
      </c>
      <c r="AB996" t="s">
        <v>1387</v>
      </c>
      <c r="AC996" t="str">
        <f>HYPERLINK("plots/20251231000436_3FT6Y121H01_04823_B11P_N_UFLEX98_M5358A8BH101511/dpll_52094/txpa_55239.png","plot")</f>
        <v>plot</v>
      </c>
    </row>
    <row r="997" spans="1:29" x14ac:dyDescent="0.35">
      <c r="A997" t="s">
        <v>46</v>
      </c>
      <c r="B997">
        <v>52094</v>
      </c>
      <c r="C997" t="s">
        <v>53</v>
      </c>
      <c r="D997">
        <v>55240</v>
      </c>
      <c r="E997" t="s">
        <v>373</v>
      </c>
      <c r="F997">
        <v>8687</v>
      </c>
      <c r="G997">
        <v>0.50924186318145104</v>
      </c>
      <c r="H997">
        <v>0</v>
      </c>
      <c r="I997">
        <v>0</v>
      </c>
      <c r="J997">
        <v>0.44036809552305778</v>
      </c>
      <c r="K997">
        <v>0</v>
      </c>
      <c r="L997">
        <v>0</v>
      </c>
      <c r="M997">
        <v>0.31136167563598011</v>
      </c>
      <c r="N997">
        <v>0</v>
      </c>
      <c r="O997">
        <v>0</v>
      </c>
      <c r="P997">
        <v>0.25932727521651572</v>
      </c>
      <c r="Q997">
        <v>1.3373752017221769</v>
      </c>
      <c r="R997">
        <v>4.7366330548769682</v>
      </c>
      <c r="S997">
        <v>0.31498418051988558</v>
      </c>
      <c r="T997">
        <v>0.21850222418101589</v>
      </c>
      <c r="U997">
        <v>4.3190242121560951</v>
      </c>
      <c r="V997">
        <v>0.1393706730459667</v>
      </c>
      <c r="W997">
        <v>10.512788931852191</v>
      </c>
      <c r="X997">
        <v>0.36601641666798967</v>
      </c>
      <c r="Z997" t="s">
        <v>392</v>
      </c>
      <c r="AA997">
        <v>9937</v>
      </c>
      <c r="AB997" t="s">
        <v>1388</v>
      </c>
      <c r="AC997" t="str">
        <f>HYPERLINK("plots/20251231000436_3FT6Y121H01_04823_B11P_N_UFLEX98_M5358A8BH101511/dpll_52094/txpa_55240.png","plot")</f>
        <v>plot</v>
      </c>
    </row>
    <row r="998" spans="1:29" x14ac:dyDescent="0.35">
      <c r="A998" t="s">
        <v>46</v>
      </c>
      <c r="B998">
        <v>52094</v>
      </c>
      <c r="C998" t="s">
        <v>53</v>
      </c>
      <c r="D998">
        <v>55241</v>
      </c>
      <c r="E998" t="s">
        <v>374</v>
      </c>
      <c r="F998">
        <v>8678</v>
      </c>
      <c r="G998">
        <v>0.50565743126712825</v>
      </c>
      <c r="H998">
        <v>0</v>
      </c>
      <c r="I998">
        <v>0</v>
      </c>
      <c r="J998">
        <v>0.42385130579725377</v>
      </c>
      <c r="K998">
        <v>0</v>
      </c>
      <c r="L998">
        <v>0</v>
      </c>
      <c r="M998">
        <v>0.29683298257862162</v>
      </c>
      <c r="N998">
        <v>0</v>
      </c>
      <c r="O998">
        <v>0</v>
      </c>
      <c r="P998">
        <v>0.25568943779567049</v>
      </c>
      <c r="Q998">
        <v>1.3005077171108499</v>
      </c>
      <c r="R998">
        <v>4.89484482679216</v>
      </c>
      <c r="S998">
        <v>0.30756527958438329</v>
      </c>
      <c r="T998">
        <v>0.21337876598052791</v>
      </c>
      <c r="U998">
        <v>4.3194987340401019</v>
      </c>
      <c r="V998">
        <v>0.1386208957903208</v>
      </c>
      <c r="W998">
        <v>10.51238626446186</v>
      </c>
      <c r="X998">
        <v>0.35652110219437128</v>
      </c>
      <c r="Z998" t="s">
        <v>392</v>
      </c>
      <c r="AA998">
        <v>9937</v>
      </c>
      <c r="AB998" t="s">
        <v>1389</v>
      </c>
      <c r="AC998" t="str">
        <f>HYPERLINK("plots/20251231000436_3FT6Y121H01_04823_B11P_N_UFLEX98_M5358A8BH101511/dpll_52094/txpa_55241.png","plot")</f>
        <v>plot</v>
      </c>
    </row>
    <row r="999" spans="1:29" x14ac:dyDescent="0.35">
      <c r="A999" t="s">
        <v>46</v>
      </c>
      <c r="B999">
        <v>52094</v>
      </c>
      <c r="C999" t="s">
        <v>53</v>
      </c>
      <c r="D999">
        <v>55242</v>
      </c>
      <c r="E999" t="s">
        <v>375</v>
      </c>
      <c r="F999">
        <v>8665</v>
      </c>
      <c r="G999">
        <v>0.47250586182332188</v>
      </c>
      <c r="H999">
        <v>0</v>
      </c>
      <c r="I999">
        <v>0</v>
      </c>
      <c r="J999">
        <v>0.40093607199952619</v>
      </c>
      <c r="K999">
        <v>0</v>
      </c>
      <c r="L999">
        <v>0</v>
      </c>
      <c r="M999">
        <v>0.28147539512763559</v>
      </c>
      <c r="N999">
        <v>0</v>
      </c>
      <c r="O999">
        <v>0</v>
      </c>
      <c r="P999">
        <v>0.22326178945740019</v>
      </c>
      <c r="Q999">
        <v>1.3215887917343929</v>
      </c>
      <c r="R999">
        <v>4.9913284576081889</v>
      </c>
      <c r="S999">
        <v>0.33818048846004728</v>
      </c>
      <c r="T999">
        <v>0.24136422206786451</v>
      </c>
      <c r="U999">
        <v>4.3202940760530879</v>
      </c>
      <c r="V999">
        <v>0.13719779373745611</v>
      </c>
      <c r="W999">
        <v>10.70098068551644</v>
      </c>
      <c r="X999">
        <v>0.3837392953273186</v>
      </c>
      <c r="Z999" t="s">
        <v>392</v>
      </c>
      <c r="AA999">
        <v>9937</v>
      </c>
      <c r="AB999" t="s">
        <v>1390</v>
      </c>
      <c r="AC999" t="str">
        <f>HYPERLINK("plots/20251231000436_3FT6Y121H01_04823_B11P_N_UFLEX98_M5358A8BH101511/dpll_52094/txpa_55242.png","plot")</f>
        <v>plot</v>
      </c>
    </row>
    <row r="1000" spans="1:29" x14ac:dyDescent="0.35">
      <c r="A1000" t="s">
        <v>46</v>
      </c>
      <c r="B1000">
        <v>52094</v>
      </c>
      <c r="C1000" t="s">
        <v>53</v>
      </c>
      <c r="D1000">
        <v>55243</v>
      </c>
      <c r="E1000" t="s">
        <v>376</v>
      </c>
      <c r="F1000">
        <v>8693</v>
      </c>
      <c r="G1000">
        <v>0.46641379983611098</v>
      </c>
      <c r="H1000">
        <v>0</v>
      </c>
      <c r="I1000">
        <v>0</v>
      </c>
      <c r="J1000">
        <v>0.39844222431369269</v>
      </c>
      <c r="K1000">
        <v>0</v>
      </c>
      <c r="L1000">
        <v>0</v>
      </c>
      <c r="M1000">
        <v>0.28050866687434262</v>
      </c>
      <c r="N1000">
        <v>0</v>
      </c>
      <c r="O1000">
        <v>0</v>
      </c>
      <c r="P1000">
        <v>0.2175418326775598</v>
      </c>
      <c r="Q1000">
        <v>1.582492103227088</v>
      </c>
      <c r="R1000">
        <v>4.5979719379876931</v>
      </c>
      <c r="S1000">
        <v>0.41981604428892783</v>
      </c>
      <c r="T1000">
        <v>0.29680191159656327</v>
      </c>
      <c r="U1000">
        <v>4.3186593275048892</v>
      </c>
      <c r="V1000">
        <v>0.1398889109172011</v>
      </c>
      <c r="W1000">
        <v>11.43221622029219</v>
      </c>
      <c r="X1000">
        <v>0.47462810262752692</v>
      </c>
      <c r="Z1000" t="s">
        <v>392</v>
      </c>
      <c r="AA1000">
        <v>9937</v>
      </c>
      <c r="AB1000" t="s">
        <v>1391</v>
      </c>
      <c r="AC1000" t="str">
        <f>HYPERLINK("plots/20251231000436_3FT6Y121H01_04823_B11P_N_UFLEX98_M5358A8BH101511/dpll_52094/txpa_55243.png","plot")</f>
        <v>plot</v>
      </c>
    </row>
    <row r="1001" spans="1:29" x14ac:dyDescent="0.35">
      <c r="A1001" t="s">
        <v>46</v>
      </c>
      <c r="B1001">
        <v>52094</v>
      </c>
      <c r="C1001" t="s">
        <v>53</v>
      </c>
      <c r="D1001">
        <v>55244</v>
      </c>
      <c r="E1001" t="s">
        <v>377</v>
      </c>
      <c r="F1001">
        <v>8672</v>
      </c>
      <c r="G1001">
        <v>0.49169669185572351</v>
      </c>
      <c r="H1001">
        <v>0</v>
      </c>
      <c r="I1001">
        <v>0</v>
      </c>
      <c r="J1001">
        <v>0.45480717500741491</v>
      </c>
      <c r="K1001">
        <v>0</v>
      </c>
      <c r="L1001">
        <v>0</v>
      </c>
      <c r="M1001">
        <v>0.32468634535707303</v>
      </c>
      <c r="N1001">
        <v>0</v>
      </c>
      <c r="O1001">
        <v>0</v>
      </c>
      <c r="P1001">
        <v>0.2417656367818623</v>
      </c>
      <c r="Q1001">
        <v>1.4560876844911119</v>
      </c>
      <c r="R1001">
        <v>5.1489751029824946</v>
      </c>
      <c r="S1001">
        <v>0.35709608160000389</v>
      </c>
      <c r="T1001">
        <v>0.24298702441099779</v>
      </c>
      <c r="U1001">
        <v>4.319463021909594</v>
      </c>
      <c r="V1001">
        <v>0.13848991621723819</v>
      </c>
      <c r="W1001">
        <v>11.43849201279982</v>
      </c>
      <c r="X1001">
        <v>0.41011758828203948</v>
      </c>
      <c r="Z1001" t="s">
        <v>392</v>
      </c>
      <c r="AA1001">
        <v>9937</v>
      </c>
      <c r="AB1001" t="s">
        <v>1392</v>
      </c>
      <c r="AC1001" t="str">
        <f>HYPERLINK("plots/20251231000436_3FT6Y121H01_04823_B11P_N_UFLEX98_M5358A8BH101511/dpll_52094/txpa_55244.png","plot")</f>
        <v>plot</v>
      </c>
    </row>
    <row r="1002" spans="1:29" x14ac:dyDescent="0.35">
      <c r="A1002" t="s">
        <v>46</v>
      </c>
      <c r="B1002">
        <v>52094</v>
      </c>
      <c r="C1002" t="s">
        <v>53</v>
      </c>
      <c r="D1002">
        <v>55245</v>
      </c>
      <c r="E1002" t="s">
        <v>378</v>
      </c>
      <c r="F1002">
        <v>8680</v>
      </c>
      <c r="G1002">
        <v>0.47882388025316641</v>
      </c>
      <c r="H1002">
        <v>0</v>
      </c>
      <c r="I1002">
        <v>0</v>
      </c>
      <c r="J1002">
        <v>0.42089411993820608</v>
      </c>
      <c r="K1002">
        <v>0</v>
      </c>
      <c r="L1002">
        <v>0</v>
      </c>
      <c r="M1002">
        <v>0.29735854983617549</v>
      </c>
      <c r="N1002">
        <v>0</v>
      </c>
      <c r="O1002">
        <v>0</v>
      </c>
      <c r="P1002">
        <v>0.22927230830069861</v>
      </c>
      <c r="Q1002">
        <v>1.49453929387355</v>
      </c>
      <c r="R1002">
        <v>4.9135667851279896</v>
      </c>
      <c r="S1002">
        <v>0.38024624302664212</v>
      </c>
      <c r="T1002">
        <v>0.26479316457062962</v>
      </c>
      <c r="U1002">
        <v>4.3193468811059912</v>
      </c>
      <c r="V1002">
        <v>0.1387739443890727</v>
      </c>
      <c r="W1002">
        <v>11.369000422811061</v>
      </c>
      <c r="X1002">
        <v>0.43315114681755851</v>
      </c>
      <c r="Z1002" t="s">
        <v>392</v>
      </c>
      <c r="AA1002">
        <v>9937</v>
      </c>
      <c r="AB1002" t="s">
        <v>1393</v>
      </c>
      <c r="AC1002" t="str">
        <f>HYPERLINK("plots/20251231000436_3FT6Y121H01_04823_B11P_N_UFLEX98_M5358A8BH101511/dpll_52094/txpa_55245.png","plot")</f>
        <v>plot</v>
      </c>
    </row>
    <row r="1003" spans="1:29" x14ac:dyDescent="0.35">
      <c r="A1003" t="s">
        <v>46</v>
      </c>
      <c r="B1003">
        <v>52094</v>
      </c>
      <c r="C1003" t="s">
        <v>53</v>
      </c>
      <c r="D1003">
        <v>55246</v>
      </c>
      <c r="E1003" t="s">
        <v>379</v>
      </c>
      <c r="F1003">
        <v>8685</v>
      </c>
      <c r="G1003">
        <v>0.50268979268383951</v>
      </c>
      <c r="H1003">
        <v>0</v>
      </c>
      <c r="I1003">
        <v>0</v>
      </c>
      <c r="J1003">
        <v>0.44743549531972909</v>
      </c>
      <c r="K1003">
        <v>0</v>
      </c>
      <c r="L1003">
        <v>0</v>
      </c>
      <c r="M1003">
        <v>0.31883208924128609</v>
      </c>
      <c r="N1003">
        <v>0</v>
      </c>
      <c r="O1003">
        <v>0</v>
      </c>
      <c r="P1003">
        <v>0.25269702766852148</v>
      </c>
      <c r="Q1003">
        <v>1.52906340946974</v>
      </c>
      <c r="R1003">
        <v>4.7829171215246298</v>
      </c>
      <c r="S1003">
        <v>0.3662628089378076</v>
      </c>
      <c r="T1003">
        <v>0.2515021246356936</v>
      </c>
      <c r="U1003">
        <v>4.3190527332181912</v>
      </c>
      <c r="V1003">
        <v>0.13929773089521541</v>
      </c>
      <c r="W1003">
        <v>11.38702261945884</v>
      </c>
      <c r="X1003">
        <v>0.4237107385786863</v>
      </c>
      <c r="Z1003" t="s">
        <v>392</v>
      </c>
      <c r="AA1003">
        <v>9937</v>
      </c>
      <c r="AB1003" t="s">
        <v>1394</v>
      </c>
      <c r="AC1003" t="str">
        <f>HYPERLINK("plots/20251231000436_3FT6Y121H01_04823_B11P_N_UFLEX98_M5358A8BH101511/dpll_52094/txpa_55246.png","plot")</f>
        <v>plot</v>
      </c>
    </row>
    <row r="1004" spans="1:29" x14ac:dyDescent="0.35">
      <c r="A1004" t="s">
        <v>46</v>
      </c>
      <c r="B1004">
        <v>52094</v>
      </c>
      <c r="C1004" t="s">
        <v>53</v>
      </c>
      <c r="D1004">
        <v>55247</v>
      </c>
      <c r="E1004" t="s">
        <v>380</v>
      </c>
      <c r="F1004">
        <v>8682</v>
      </c>
      <c r="G1004">
        <v>0.50406675551131919</v>
      </c>
      <c r="H1004">
        <v>0</v>
      </c>
      <c r="I1004">
        <v>0</v>
      </c>
      <c r="J1004">
        <v>0.43243373413217268</v>
      </c>
      <c r="K1004">
        <v>0</v>
      </c>
      <c r="L1004">
        <v>0</v>
      </c>
      <c r="M1004">
        <v>0.30531646859611861</v>
      </c>
      <c r="N1004">
        <v>0</v>
      </c>
      <c r="O1004">
        <v>0</v>
      </c>
      <c r="P1004">
        <v>0.25408329401170798</v>
      </c>
      <c r="Q1004">
        <v>1.510427280624687</v>
      </c>
      <c r="R1004">
        <v>4.8812428882784866</v>
      </c>
      <c r="S1004">
        <v>0.35949790455029618</v>
      </c>
      <c r="T1004">
        <v>0.25083686868818872</v>
      </c>
      <c r="U1004">
        <v>4.3192503981801416</v>
      </c>
      <c r="V1004">
        <v>0.13891989406437641</v>
      </c>
      <c r="W1004">
        <v>11.405156521538821</v>
      </c>
      <c r="X1004">
        <v>0.41627105045536722</v>
      </c>
      <c r="Z1004" t="s">
        <v>392</v>
      </c>
      <c r="AA1004">
        <v>9937</v>
      </c>
      <c r="AB1004" t="s">
        <v>1395</v>
      </c>
      <c r="AC1004" t="str">
        <f>HYPERLINK("plots/20251231000436_3FT6Y121H01_04823_B11P_N_UFLEX98_M5358A8BH101511/dpll_52094/txpa_55247.png","plot")</f>
        <v>plot</v>
      </c>
    </row>
    <row r="1005" spans="1:29" x14ac:dyDescent="0.35">
      <c r="A1005" t="s">
        <v>46</v>
      </c>
      <c r="B1005">
        <v>52094</v>
      </c>
      <c r="C1005" t="s">
        <v>53</v>
      </c>
      <c r="D1005">
        <v>55248</v>
      </c>
      <c r="E1005" t="s">
        <v>381</v>
      </c>
      <c r="F1005">
        <v>8689</v>
      </c>
      <c r="G1005">
        <v>0.50611002250918347</v>
      </c>
      <c r="H1005">
        <v>0</v>
      </c>
      <c r="I1005">
        <v>0</v>
      </c>
      <c r="J1005">
        <v>0.43754698152356097</v>
      </c>
      <c r="K1005">
        <v>0</v>
      </c>
      <c r="L1005">
        <v>0</v>
      </c>
      <c r="M1005">
        <v>0.31024559019114373</v>
      </c>
      <c r="N1005">
        <v>0</v>
      </c>
      <c r="O1005">
        <v>0</v>
      </c>
      <c r="P1005">
        <v>0.25614735488424623</v>
      </c>
      <c r="Q1005">
        <v>1.522384760175254</v>
      </c>
      <c r="R1005">
        <v>4.7646368645502308</v>
      </c>
      <c r="S1005">
        <v>0.36191311373061302</v>
      </c>
      <c r="T1005">
        <v>0.25199615281944449</v>
      </c>
      <c r="U1005">
        <v>4.3189275196225108</v>
      </c>
      <c r="V1005">
        <v>0.13951033013085101</v>
      </c>
      <c r="W1005">
        <v>11.33970630072505</v>
      </c>
      <c r="X1005">
        <v>0.41964867525296312</v>
      </c>
      <c r="Z1005" t="s">
        <v>392</v>
      </c>
      <c r="AA1005">
        <v>9937</v>
      </c>
      <c r="AB1005" t="s">
        <v>1396</v>
      </c>
      <c r="AC1005" t="str">
        <f>HYPERLINK("plots/20251231000436_3FT6Y121H01_04823_B11P_N_UFLEX98_M5358A8BH101511/dpll_52094/txpa_55248.png","plot")</f>
        <v>plot</v>
      </c>
    </row>
    <row r="1006" spans="1:29" x14ac:dyDescent="0.35">
      <c r="A1006" t="s">
        <v>46</v>
      </c>
      <c r="B1006">
        <v>52094</v>
      </c>
      <c r="C1006" t="s">
        <v>53</v>
      </c>
      <c r="D1006">
        <v>55249</v>
      </c>
      <c r="E1006" t="s">
        <v>382</v>
      </c>
      <c r="F1006">
        <v>8673</v>
      </c>
      <c r="G1006">
        <v>0.5014299874270739</v>
      </c>
      <c r="H1006">
        <v>0</v>
      </c>
      <c r="I1006">
        <v>0</v>
      </c>
      <c r="J1006">
        <v>0.43455482687770941</v>
      </c>
      <c r="K1006">
        <v>0</v>
      </c>
      <c r="L1006">
        <v>0</v>
      </c>
      <c r="M1006">
        <v>0.30770541128453349</v>
      </c>
      <c r="N1006">
        <v>0</v>
      </c>
      <c r="O1006">
        <v>0</v>
      </c>
      <c r="P1006">
        <v>0.25143203229111549</v>
      </c>
      <c r="Q1006">
        <v>1.47609268963859</v>
      </c>
      <c r="R1006">
        <v>5.0254065123934781</v>
      </c>
      <c r="S1006">
        <v>0.35209213170955439</v>
      </c>
      <c r="T1006">
        <v>0.24359559582049539</v>
      </c>
      <c r="U1006">
        <v>4.3197514881817138</v>
      </c>
      <c r="V1006">
        <v>0.13824913173131601</v>
      </c>
      <c r="W1006">
        <v>11.401760105153921</v>
      </c>
      <c r="X1006">
        <v>0.40697313246977851</v>
      </c>
      <c r="Z1006" t="s">
        <v>392</v>
      </c>
      <c r="AA1006">
        <v>9937</v>
      </c>
      <c r="AB1006" t="s">
        <v>1397</v>
      </c>
      <c r="AC1006" t="str">
        <f>HYPERLINK("plots/20251231000436_3FT6Y121H01_04823_B11P_N_UFLEX98_M5358A8BH101511/dpll_52094/txpa_55249.png","plot")</f>
        <v>plot</v>
      </c>
    </row>
    <row r="1007" spans="1:29" x14ac:dyDescent="0.35">
      <c r="A1007" t="s">
        <v>46</v>
      </c>
      <c r="B1007">
        <v>52094</v>
      </c>
      <c r="C1007" t="s">
        <v>53</v>
      </c>
      <c r="D1007">
        <v>55250</v>
      </c>
      <c r="E1007" t="s">
        <v>383</v>
      </c>
      <c r="F1007">
        <v>8688</v>
      </c>
      <c r="G1007">
        <v>0.49176240486789091</v>
      </c>
      <c r="H1007">
        <v>0</v>
      </c>
      <c r="I1007">
        <v>0</v>
      </c>
      <c r="J1007">
        <v>0.39770999873764418</v>
      </c>
      <c r="K1007">
        <v>0</v>
      </c>
      <c r="L1007">
        <v>0</v>
      </c>
      <c r="M1007">
        <v>0.27869866799906318</v>
      </c>
      <c r="N1007">
        <v>0</v>
      </c>
      <c r="O1007">
        <v>0</v>
      </c>
      <c r="P1007">
        <v>0.2418302628414514</v>
      </c>
      <c r="Q1007">
        <v>1.6049956492413</v>
      </c>
      <c r="R1007">
        <v>4.6112077104038143</v>
      </c>
      <c r="S1007">
        <v>0.39627326551399078</v>
      </c>
      <c r="T1007">
        <v>0.28467751433460092</v>
      </c>
      <c r="U1007">
        <v>4.3189741023250452</v>
      </c>
      <c r="V1007">
        <v>0.13944983699266891</v>
      </c>
      <c r="W1007">
        <v>11.543142353821359</v>
      </c>
      <c r="X1007">
        <v>0.45513113537170252</v>
      </c>
      <c r="Z1007" t="s">
        <v>392</v>
      </c>
      <c r="AA1007">
        <v>9937</v>
      </c>
      <c r="AB1007" t="s">
        <v>1398</v>
      </c>
      <c r="AC1007" t="str">
        <f>HYPERLINK("plots/20251231000436_3FT6Y121H01_04823_B11P_N_UFLEX98_M5358A8BH101511/dpll_52094/txpa_55250.png","plot")</f>
        <v>plot</v>
      </c>
    </row>
    <row r="1008" spans="1:29" x14ac:dyDescent="0.35">
      <c r="A1008" t="s">
        <v>46</v>
      </c>
      <c r="B1008">
        <v>52094</v>
      </c>
      <c r="C1008" t="s">
        <v>53</v>
      </c>
      <c r="D1008">
        <v>55251</v>
      </c>
      <c r="E1008" t="s">
        <v>384</v>
      </c>
      <c r="F1008">
        <v>8698</v>
      </c>
      <c r="G1008">
        <v>0.46681965455483032</v>
      </c>
      <c r="H1008">
        <v>0</v>
      </c>
      <c r="I1008">
        <v>0</v>
      </c>
      <c r="J1008">
        <v>0.3934219282581809</v>
      </c>
      <c r="K1008">
        <v>0</v>
      </c>
      <c r="L1008">
        <v>0</v>
      </c>
      <c r="M1008">
        <v>0.27664966550119202</v>
      </c>
      <c r="N1008">
        <v>0</v>
      </c>
      <c r="O1008">
        <v>0</v>
      </c>
      <c r="P1008">
        <v>0.21792058987869109</v>
      </c>
      <c r="Q1008">
        <v>1.6472778895855891</v>
      </c>
      <c r="R1008">
        <v>4.5102163822080383</v>
      </c>
      <c r="S1008">
        <v>0.43706333472819697</v>
      </c>
      <c r="T1008">
        <v>0.31096554484233691</v>
      </c>
      <c r="U1008">
        <v>4.3185052894918368</v>
      </c>
      <c r="V1008">
        <v>0.14006388849653009</v>
      </c>
      <c r="W1008">
        <v>11.623994661646361</v>
      </c>
      <c r="X1008">
        <v>0.4942468561434909</v>
      </c>
      <c r="Z1008" t="s">
        <v>392</v>
      </c>
      <c r="AA1008">
        <v>9937</v>
      </c>
      <c r="AB1008" t="s">
        <v>1399</v>
      </c>
      <c r="AC1008" t="str">
        <f>HYPERLINK("plots/20251231000436_3FT6Y121H01_04823_B11P_N_UFLEX98_M5358A8BH101511/dpll_52094/txpa_55251.png","plot")</f>
        <v>plot</v>
      </c>
    </row>
    <row r="1009" spans="1:29" x14ac:dyDescent="0.35">
      <c r="A1009" t="s">
        <v>46</v>
      </c>
      <c r="B1009">
        <v>52094</v>
      </c>
      <c r="C1009" t="s">
        <v>53</v>
      </c>
      <c r="D1009">
        <v>55252</v>
      </c>
      <c r="E1009" t="s">
        <v>385</v>
      </c>
      <c r="F1009">
        <v>8677</v>
      </c>
      <c r="G1009">
        <v>0.49604438482682878</v>
      </c>
      <c r="H1009">
        <v>0</v>
      </c>
      <c r="I1009">
        <v>0</v>
      </c>
      <c r="J1009">
        <v>0.45469230955065132</v>
      </c>
      <c r="K1009">
        <v>0</v>
      </c>
      <c r="L1009">
        <v>0</v>
      </c>
      <c r="M1009">
        <v>0.32488459493449068</v>
      </c>
      <c r="N1009">
        <v>0</v>
      </c>
      <c r="O1009">
        <v>0</v>
      </c>
      <c r="P1009">
        <v>0.24606003171822699</v>
      </c>
      <c r="Q1009">
        <v>1.533420657558703</v>
      </c>
      <c r="R1009">
        <v>5.0489557395956819</v>
      </c>
      <c r="S1009">
        <v>0.37295990763130782</v>
      </c>
      <c r="T1009">
        <v>0.25465541431685118</v>
      </c>
      <c r="U1009">
        <v>4.3192183185432764</v>
      </c>
      <c r="V1009">
        <v>0.13895622923369139</v>
      </c>
      <c r="W1009">
        <v>11.67213433375591</v>
      </c>
      <c r="X1009">
        <v>0.4295550134647555</v>
      </c>
      <c r="Z1009" t="s">
        <v>392</v>
      </c>
      <c r="AA1009">
        <v>9937</v>
      </c>
      <c r="AB1009" t="s">
        <v>1400</v>
      </c>
      <c r="AC1009" t="str">
        <f>HYPERLINK("plots/20251231000436_3FT6Y121H01_04823_B11P_N_UFLEX98_M5358A8BH101511/dpll_52094/txpa_55252.png","plot")</f>
        <v>plot</v>
      </c>
    </row>
    <row r="1010" spans="1:29" x14ac:dyDescent="0.35">
      <c r="A1010" t="s">
        <v>46</v>
      </c>
      <c r="B1010">
        <v>52094</v>
      </c>
      <c r="C1010" t="s">
        <v>53</v>
      </c>
      <c r="D1010">
        <v>55253</v>
      </c>
      <c r="E1010" t="s">
        <v>386</v>
      </c>
      <c r="F1010">
        <v>8690</v>
      </c>
      <c r="G1010">
        <v>0.48326722797922089</v>
      </c>
      <c r="H1010">
        <v>0</v>
      </c>
      <c r="I1010">
        <v>0</v>
      </c>
      <c r="J1010">
        <v>0.41439544012339918</v>
      </c>
      <c r="K1010">
        <v>0</v>
      </c>
      <c r="L1010">
        <v>0</v>
      </c>
      <c r="M1010">
        <v>0.29256745819055252</v>
      </c>
      <c r="N1010">
        <v>0</v>
      </c>
      <c r="O1010">
        <v>0</v>
      </c>
      <c r="P1010">
        <v>0.2335472136387203</v>
      </c>
      <c r="Q1010">
        <v>1.584670943998514</v>
      </c>
      <c r="R1010">
        <v>4.7395611552541856</v>
      </c>
      <c r="S1010">
        <v>0.40100612711130912</v>
      </c>
      <c r="T1010">
        <v>0.28259699996876508</v>
      </c>
      <c r="U1010">
        <v>4.3188383036823934</v>
      </c>
      <c r="V1010">
        <v>0.13969521954014361</v>
      </c>
      <c r="W1010">
        <v>11.5834987269275</v>
      </c>
      <c r="X1010">
        <v>0.4580715235883473</v>
      </c>
      <c r="Z1010" t="s">
        <v>392</v>
      </c>
      <c r="AA1010">
        <v>9937</v>
      </c>
      <c r="AB1010" t="s">
        <v>1401</v>
      </c>
      <c r="AC1010" t="str">
        <f>HYPERLINK("plots/20251231000436_3FT6Y121H01_04823_B11P_N_UFLEX98_M5358A8BH101511/dpll_52094/txpa_55253.png","plot")</f>
        <v>plot</v>
      </c>
    </row>
    <row r="1011" spans="1:29" x14ac:dyDescent="0.35">
      <c r="A1011" t="s">
        <v>46</v>
      </c>
      <c r="B1011">
        <v>52094</v>
      </c>
      <c r="C1011" t="s">
        <v>53</v>
      </c>
      <c r="D1011">
        <v>55254</v>
      </c>
      <c r="E1011" t="s">
        <v>387</v>
      </c>
      <c r="F1011">
        <v>8686</v>
      </c>
      <c r="G1011">
        <v>0.50101485540098656</v>
      </c>
      <c r="H1011">
        <v>0</v>
      </c>
      <c r="I1011">
        <v>0</v>
      </c>
      <c r="J1011">
        <v>0.4449048940621857</v>
      </c>
      <c r="K1011">
        <v>0</v>
      </c>
      <c r="L1011">
        <v>0</v>
      </c>
      <c r="M1011">
        <v>0.31694667131574938</v>
      </c>
      <c r="N1011">
        <v>0</v>
      </c>
      <c r="O1011">
        <v>0</v>
      </c>
      <c r="P1011">
        <v>0.25101588533247149</v>
      </c>
      <c r="Q1011">
        <v>1.583159551432475</v>
      </c>
      <c r="R1011">
        <v>4.7641875322304914</v>
      </c>
      <c r="S1011">
        <v>0.38092855287885402</v>
      </c>
      <c r="T1011">
        <v>0.26216967193512841</v>
      </c>
      <c r="U1011">
        <v>4.3190727901220347</v>
      </c>
      <c r="V1011">
        <v>0.1393022535741289</v>
      </c>
      <c r="W1011">
        <v>11.601968873244299</v>
      </c>
      <c r="X1011">
        <v>0.44018194451628351</v>
      </c>
      <c r="Z1011" t="s">
        <v>392</v>
      </c>
      <c r="AA1011">
        <v>9937</v>
      </c>
      <c r="AB1011" t="s">
        <v>1402</v>
      </c>
      <c r="AC1011" t="str">
        <f>HYPERLINK("plots/20251231000436_3FT6Y121H01_04823_B11P_N_UFLEX98_M5358A8BH101511/dpll_52094/txpa_55254.png","plot")</f>
        <v>plot</v>
      </c>
    </row>
    <row r="1012" spans="1:29" x14ac:dyDescent="0.35">
      <c r="A1012" t="s">
        <v>46</v>
      </c>
      <c r="B1012">
        <v>52094</v>
      </c>
      <c r="C1012" t="s">
        <v>53</v>
      </c>
      <c r="D1012">
        <v>55255</v>
      </c>
      <c r="E1012" t="s">
        <v>388</v>
      </c>
      <c r="F1012">
        <v>8683</v>
      </c>
      <c r="G1012">
        <v>0.50360625382870927</v>
      </c>
      <c r="H1012">
        <v>0</v>
      </c>
      <c r="I1012">
        <v>0</v>
      </c>
      <c r="J1012">
        <v>0.43364141543928619</v>
      </c>
      <c r="K1012">
        <v>0</v>
      </c>
      <c r="L1012">
        <v>0</v>
      </c>
      <c r="M1012">
        <v>0.30656019546112301</v>
      </c>
      <c r="N1012">
        <v>0</v>
      </c>
      <c r="O1012">
        <v>0</v>
      </c>
      <c r="P1012">
        <v>0.25361925889538628</v>
      </c>
      <c r="Q1012">
        <v>1.5696634601887269</v>
      </c>
      <c r="R1012">
        <v>4.8474859068523344</v>
      </c>
      <c r="S1012">
        <v>0.37406692460457919</v>
      </c>
      <c r="T1012">
        <v>0.26119581575807482</v>
      </c>
      <c r="U1012">
        <v>4.3192704392491068</v>
      </c>
      <c r="V1012">
        <v>0.13892444565647319</v>
      </c>
      <c r="W1012">
        <v>11.62728689001497</v>
      </c>
      <c r="X1012">
        <v>0.43300619167471749</v>
      </c>
      <c r="Z1012" t="s">
        <v>392</v>
      </c>
      <c r="AA1012">
        <v>9937</v>
      </c>
      <c r="AB1012" t="s">
        <v>1403</v>
      </c>
      <c r="AC1012" t="str">
        <f>HYPERLINK("plots/20251231000436_3FT6Y121H01_04823_B11P_N_UFLEX98_M5358A8BH101511/dpll_52094/txpa_55255.png","plot")</f>
        <v>plot</v>
      </c>
    </row>
    <row r="1013" spans="1:29" x14ac:dyDescent="0.35">
      <c r="A1013" t="s">
        <v>46</v>
      </c>
      <c r="B1013">
        <v>52094</v>
      </c>
      <c r="C1013" t="s">
        <v>53</v>
      </c>
      <c r="D1013">
        <v>55256</v>
      </c>
      <c r="E1013" t="s">
        <v>389</v>
      </c>
      <c r="F1013">
        <v>8693</v>
      </c>
      <c r="G1013">
        <v>0.50890081981732849</v>
      </c>
      <c r="H1013">
        <v>0</v>
      </c>
      <c r="I1013">
        <v>0</v>
      </c>
      <c r="J1013">
        <v>0.43526237791149652</v>
      </c>
      <c r="K1013">
        <v>0</v>
      </c>
      <c r="L1013">
        <v>0</v>
      </c>
      <c r="M1013">
        <v>0.30858292541711402</v>
      </c>
      <c r="N1013">
        <v>0</v>
      </c>
      <c r="O1013">
        <v>0</v>
      </c>
      <c r="P1013">
        <v>0.25898004441074901</v>
      </c>
      <c r="Q1013">
        <v>1.5934048358339481</v>
      </c>
      <c r="R1013">
        <v>4.658540204172299</v>
      </c>
      <c r="S1013">
        <v>0.37695667514516162</v>
      </c>
      <c r="T1013">
        <v>0.26382398376973992</v>
      </c>
      <c r="U1013">
        <v>4.318706926492581</v>
      </c>
      <c r="V1013">
        <v>0.1398648187902358</v>
      </c>
      <c r="W1013">
        <v>11.53998870539515</v>
      </c>
      <c r="X1013">
        <v>0.43792674317836122</v>
      </c>
      <c r="Z1013" t="s">
        <v>392</v>
      </c>
      <c r="AA1013">
        <v>9937</v>
      </c>
      <c r="AB1013" t="s">
        <v>1404</v>
      </c>
      <c r="AC1013" t="str">
        <f>HYPERLINK("plots/20251231000436_3FT6Y121H01_04823_B11P_N_UFLEX98_M5358A8BH101511/dpll_52094/txpa_55256.png","plot")</f>
        <v>plot</v>
      </c>
    </row>
    <row r="1014" spans="1:29" x14ac:dyDescent="0.35">
      <c r="A1014" t="s">
        <v>46</v>
      </c>
      <c r="B1014">
        <v>52094</v>
      </c>
      <c r="C1014" t="s">
        <v>53</v>
      </c>
      <c r="D1014">
        <v>55257</v>
      </c>
      <c r="E1014" t="s">
        <v>390</v>
      </c>
      <c r="F1014">
        <v>8679</v>
      </c>
      <c r="G1014">
        <v>0.5034085295987919</v>
      </c>
      <c r="H1014">
        <v>0</v>
      </c>
      <c r="I1014">
        <v>0</v>
      </c>
      <c r="J1014">
        <v>0.43207263114518429</v>
      </c>
      <c r="K1014">
        <v>0</v>
      </c>
      <c r="L1014">
        <v>0</v>
      </c>
      <c r="M1014">
        <v>0.30622497367905421</v>
      </c>
      <c r="N1014">
        <v>0</v>
      </c>
      <c r="O1014">
        <v>0</v>
      </c>
      <c r="P1014">
        <v>0.25342014767281767</v>
      </c>
      <c r="Q1014">
        <v>1.555210368836369</v>
      </c>
      <c r="R1014">
        <v>4.9026822050292473</v>
      </c>
      <c r="S1014">
        <v>0.36990992712351473</v>
      </c>
      <c r="T1014">
        <v>0.258032043205845</v>
      </c>
      <c r="U1014">
        <v>4.3194849662403501</v>
      </c>
      <c r="V1014">
        <v>0.13858438588659211</v>
      </c>
      <c r="W1014">
        <v>11.620390012559049</v>
      </c>
      <c r="X1014">
        <v>0.42813711174385682</v>
      </c>
      <c r="Z1014" t="s">
        <v>392</v>
      </c>
      <c r="AA1014">
        <v>9937</v>
      </c>
      <c r="AB1014" t="s">
        <v>1405</v>
      </c>
      <c r="AC1014" t="str">
        <f>HYPERLINK("plots/20251231000436_3FT6Y121H01_04823_B11P_N_UFLEX98_M5358A8BH101511/dpll_52094/txpa_55257.png","plot")</f>
        <v>plot</v>
      </c>
    </row>
    <row r="1015" spans="1:29" x14ac:dyDescent="0.35">
      <c r="A1015" t="s">
        <v>46</v>
      </c>
      <c r="B1015">
        <v>52094</v>
      </c>
      <c r="C1015" t="s">
        <v>53</v>
      </c>
      <c r="D1015">
        <v>55258</v>
      </c>
      <c r="E1015" t="s">
        <v>391</v>
      </c>
      <c r="F1015">
        <v>8696</v>
      </c>
      <c r="G1015">
        <v>0.49546623570539883</v>
      </c>
      <c r="H1015">
        <v>0</v>
      </c>
      <c r="I1015">
        <v>0</v>
      </c>
      <c r="J1015">
        <v>0.39334905283788801</v>
      </c>
      <c r="K1015">
        <v>0</v>
      </c>
      <c r="L1015">
        <v>0</v>
      </c>
      <c r="M1015">
        <v>0.27537977550327358</v>
      </c>
      <c r="N1015">
        <v>0</v>
      </c>
      <c r="O1015">
        <v>0</v>
      </c>
      <c r="P1015">
        <v>0.24548679072407781</v>
      </c>
      <c r="Q1015">
        <v>1.698229748230994</v>
      </c>
      <c r="R1015">
        <v>4.4145824059781864</v>
      </c>
      <c r="S1015">
        <v>0.41687076665361111</v>
      </c>
      <c r="T1015">
        <v>0.30115402965771809</v>
      </c>
      <c r="U1015">
        <v>4.3185737304507814</v>
      </c>
      <c r="V1015">
        <v>0.14002662122440329</v>
      </c>
      <c r="W1015">
        <v>11.748512784958599</v>
      </c>
      <c r="X1015">
        <v>0.47994667763586613</v>
      </c>
      <c r="Z1015" t="s">
        <v>392</v>
      </c>
      <c r="AA1015">
        <v>9937</v>
      </c>
      <c r="AB1015" t="s">
        <v>1406</v>
      </c>
      <c r="AC1015" t="str">
        <f>HYPERLINK("plots/20251231000436_3FT6Y121H01_04823_B11P_N_UFLEX98_M5358A8BH101511/dpll_52094/txpa_55258.png","plot")</f>
        <v>plot</v>
      </c>
    </row>
  </sheetData>
  <autoFilter ref="A1:AC1015" xr:uid="{351A2223-4908-4C97-A4A0-6A0A4C963F33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1015"/>
  <sheetViews>
    <sheetView workbookViewId="0">
      <selection activeCell="H36" sqref="H36"/>
    </sheetView>
  </sheetViews>
  <sheetFormatPr defaultRowHeight="14.5" x14ac:dyDescent="0.35"/>
  <sheetData>
    <row r="1" spans="1:29" x14ac:dyDescent="0.3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</row>
    <row r="2" spans="1:29" x14ac:dyDescent="0.35">
      <c r="A2" t="s">
        <v>47</v>
      </c>
      <c r="B2">
        <v>52046</v>
      </c>
      <c r="C2" t="s">
        <v>51</v>
      </c>
      <c r="D2">
        <v>53179</v>
      </c>
      <c r="E2" t="s">
        <v>54</v>
      </c>
      <c r="F2">
        <v>7128</v>
      </c>
      <c r="G2">
        <v>0.1035317964795469</v>
      </c>
      <c r="H2">
        <v>1.9020207199265579E-18</v>
      </c>
      <c r="I2">
        <v>1.9286490100055291E-18</v>
      </c>
      <c r="J2">
        <v>0.101925891869632</v>
      </c>
      <c r="K2">
        <v>6.3362935192905573E-18</v>
      </c>
      <c r="L2">
        <v>6.4250016285606241E-18</v>
      </c>
      <c r="M2">
        <v>6.7782999817399936E-2</v>
      </c>
      <c r="N2">
        <v>9.6611492073753782E-18</v>
      </c>
      <c r="O2">
        <v>9.7964052962786335E-18</v>
      </c>
      <c r="P2">
        <v>1.0718832882282319E-2</v>
      </c>
      <c r="Q2">
        <v>0.61610000738430515</v>
      </c>
      <c r="R2">
        <v>-21.964334698276211</v>
      </c>
      <c r="S2">
        <v>0.68165615315895212</v>
      </c>
      <c r="T2">
        <v>0.52103229789294025</v>
      </c>
      <c r="U2">
        <v>4.4222676449214369</v>
      </c>
      <c r="V2">
        <v>0.1151750715282467</v>
      </c>
      <c r="W2">
        <v>-19.23977556958474</v>
      </c>
      <c r="X2">
        <v>0.68538714512752552</v>
      </c>
      <c r="Z2" t="s">
        <v>392</v>
      </c>
      <c r="AA2">
        <v>140</v>
      </c>
      <c r="AB2" t="s">
        <v>1407</v>
      </c>
      <c r="AC2" t="str">
        <f>HYPERLINK("plots/20251231112652_3FT6Y119H04_05543_B21P_N_UFLEX98_M5358A8BA201511/dpll_52046/txpa_53179.png","plot")</f>
        <v>plot</v>
      </c>
    </row>
    <row r="3" spans="1:29" x14ac:dyDescent="0.35">
      <c r="A3" t="s">
        <v>47</v>
      </c>
      <c r="B3">
        <v>52046</v>
      </c>
      <c r="C3" t="s">
        <v>51</v>
      </c>
      <c r="D3">
        <v>53180</v>
      </c>
      <c r="E3" t="s">
        <v>55</v>
      </c>
      <c r="F3">
        <v>7127</v>
      </c>
      <c r="G3">
        <v>8.7150744063234822E-2</v>
      </c>
      <c r="H3">
        <v>1.7045256591806361E-13</v>
      </c>
      <c r="I3">
        <v>1.7163743976257841E-13</v>
      </c>
      <c r="J3">
        <v>8.2596488326742004E-2</v>
      </c>
      <c r="K3">
        <v>2.8763621311808152E-12</v>
      </c>
      <c r="L3">
        <v>2.8963567040887252E-12</v>
      </c>
      <c r="M3">
        <v>5.5216206011342119E-2</v>
      </c>
      <c r="N3">
        <v>2.8022393085388409E-12</v>
      </c>
      <c r="O3">
        <v>2.821718628459171E-12</v>
      </c>
      <c r="P3">
        <v>7.5952521907754599E-3</v>
      </c>
      <c r="Q3">
        <v>0.5240015530744635</v>
      </c>
      <c r="R3">
        <v>-21.4117685943251</v>
      </c>
      <c r="S3">
        <v>0.68980246293089831</v>
      </c>
      <c r="T3">
        <v>0.52723666362149224</v>
      </c>
      <c r="U3">
        <v>4.4223215157850424</v>
      </c>
      <c r="V3">
        <v>0.1151726393751701</v>
      </c>
      <c r="W3">
        <v>-19.09446525185913</v>
      </c>
      <c r="X3">
        <v>0.69248567585934895</v>
      </c>
      <c r="Z3" t="s">
        <v>392</v>
      </c>
      <c r="AA3">
        <v>140</v>
      </c>
      <c r="AB3" t="s">
        <v>1408</v>
      </c>
      <c r="AC3" t="str">
        <f>HYPERLINK("plots/20251231112652_3FT6Y119H04_05543_B21P_N_UFLEX98_M5358A8BA201511/dpll_52046/txpa_53180.png","plot")</f>
        <v>plot</v>
      </c>
    </row>
    <row r="4" spans="1:29" x14ac:dyDescent="0.35">
      <c r="A4" t="s">
        <v>47</v>
      </c>
      <c r="B4">
        <v>52046</v>
      </c>
      <c r="C4" t="s">
        <v>51</v>
      </c>
      <c r="D4">
        <v>53181</v>
      </c>
      <c r="E4" t="s">
        <v>56</v>
      </c>
      <c r="F4">
        <v>7134</v>
      </c>
      <c r="G4">
        <v>0.1153665113394675</v>
      </c>
      <c r="H4">
        <v>1.4394645082820239E-22</v>
      </c>
      <c r="I4">
        <v>1.4758513765399121E-22</v>
      </c>
      <c r="J4">
        <v>0.1121406876066464</v>
      </c>
      <c r="K4">
        <v>2.097735273673186E-21</v>
      </c>
      <c r="L4">
        <v>2.1883781558689409E-21</v>
      </c>
      <c r="M4">
        <v>7.484736271152409E-2</v>
      </c>
      <c r="N4">
        <v>2.6414110348780109E-21</v>
      </c>
      <c r="O4">
        <v>2.7612276179034061E-21</v>
      </c>
      <c r="P4">
        <v>1.330943193863947E-2</v>
      </c>
      <c r="Q4">
        <v>0.63826651092822373</v>
      </c>
      <c r="R4">
        <v>-21.708015011629051</v>
      </c>
      <c r="S4">
        <v>0.63299006874099861</v>
      </c>
      <c r="T4">
        <v>0.48413123890640791</v>
      </c>
      <c r="U4">
        <v>4.4223099181384917</v>
      </c>
      <c r="V4">
        <v>0.1151899394763785</v>
      </c>
      <c r="W4">
        <v>-18.885402689935521</v>
      </c>
      <c r="X4">
        <v>0.63728962512597975</v>
      </c>
      <c r="Z4" t="s">
        <v>392</v>
      </c>
      <c r="AA4">
        <v>140</v>
      </c>
      <c r="AB4" t="s">
        <v>1409</v>
      </c>
      <c r="AC4" t="str">
        <f>HYPERLINK("plots/20251231112652_3FT6Y119H04_05543_B21P_N_UFLEX98_M5358A8BA201511/dpll_52046/txpa_53181.png","plot")</f>
        <v>plot</v>
      </c>
    </row>
    <row r="5" spans="1:29" x14ac:dyDescent="0.35">
      <c r="A5" t="s">
        <v>47</v>
      </c>
      <c r="B5">
        <v>52046</v>
      </c>
      <c r="C5" t="s">
        <v>51</v>
      </c>
      <c r="D5">
        <v>53182</v>
      </c>
      <c r="E5" t="s">
        <v>57</v>
      </c>
      <c r="F5">
        <v>7134</v>
      </c>
      <c r="G5">
        <v>0.1073031600554939</v>
      </c>
      <c r="H5">
        <v>1.010561896989091E-19</v>
      </c>
      <c r="I5">
        <v>1.0277931429758661E-19</v>
      </c>
      <c r="J5">
        <v>0.1046008318121523</v>
      </c>
      <c r="K5">
        <v>8.1711758662614441E-19</v>
      </c>
      <c r="L5">
        <v>8.3105038399088309E-19</v>
      </c>
      <c r="M5">
        <v>6.9773000281601105E-2</v>
      </c>
      <c r="N5">
        <v>1.0133926883248029E-18</v>
      </c>
      <c r="O5">
        <v>1.03170701401742E-18</v>
      </c>
      <c r="P5">
        <v>1.151396815789494E-2</v>
      </c>
      <c r="Q5">
        <v>0.6018877567559453</v>
      </c>
      <c r="R5">
        <v>-21.527538165946851</v>
      </c>
      <c r="S5">
        <v>0.64197508864058561</v>
      </c>
      <c r="T5">
        <v>0.49093197677463019</v>
      </c>
      <c r="U5">
        <v>4.4222383671152228</v>
      </c>
      <c r="V5">
        <v>0.11512253675591989</v>
      </c>
      <c r="W5">
        <v>-18.865847035323799</v>
      </c>
      <c r="X5">
        <v>0.64574841378613057</v>
      </c>
      <c r="Z5" t="s">
        <v>392</v>
      </c>
      <c r="AA5">
        <v>140</v>
      </c>
      <c r="AB5" t="s">
        <v>1410</v>
      </c>
      <c r="AC5" t="str">
        <f>HYPERLINK("plots/20251231112652_3FT6Y119H04_05543_B21P_N_UFLEX98_M5358A8BA201511/dpll_52046/txpa_53182.png","plot")</f>
        <v>plot</v>
      </c>
    </row>
    <row r="6" spans="1:29" x14ac:dyDescent="0.35">
      <c r="A6" t="s">
        <v>47</v>
      </c>
      <c r="B6">
        <v>52046</v>
      </c>
      <c r="C6" t="s">
        <v>51</v>
      </c>
      <c r="D6">
        <v>53183</v>
      </c>
      <c r="E6" t="s">
        <v>58</v>
      </c>
      <c r="F6">
        <v>7133</v>
      </c>
      <c r="G6">
        <v>0.12012522133465819</v>
      </c>
      <c r="H6">
        <v>2.4223540691469132E-24</v>
      </c>
      <c r="I6">
        <v>2.5063949246071118E-24</v>
      </c>
      <c r="J6">
        <v>0.11006741741383951</v>
      </c>
      <c r="K6">
        <v>1.134369911885452E-20</v>
      </c>
      <c r="L6">
        <v>1.170143530673294E-20</v>
      </c>
      <c r="M6">
        <v>7.3210627690095356E-2</v>
      </c>
      <c r="N6">
        <v>1.892954784501712E-20</v>
      </c>
      <c r="O6">
        <v>1.9526512222632111E-20</v>
      </c>
      <c r="P6">
        <v>1.443006880070063E-2</v>
      </c>
      <c r="Q6">
        <v>0.62068723906928502</v>
      </c>
      <c r="R6">
        <v>-21.309916582602749</v>
      </c>
      <c r="S6">
        <v>0.59064569896374053</v>
      </c>
      <c r="T6">
        <v>0.45238478671771121</v>
      </c>
      <c r="U6">
        <v>4.4222334826861056</v>
      </c>
      <c r="V6">
        <v>0.11515297226983209</v>
      </c>
      <c r="W6">
        <v>-18.565092691714561</v>
      </c>
      <c r="X6">
        <v>0.59499561902711351</v>
      </c>
      <c r="Z6" t="s">
        <v>392</v>
      </c>
      <c r="AA6">
        <v>140</v>
      </c>
      <c r="AB6" t="s">
        <v>1411</v>
      </c>
      <c r="AC6" t="str">
        <f>HYPERLINK("plots/20251231112652_3FT6Y119H04_05543_B21P_N_UFLEX98_M5358A8BA201511/dpll_52046/txpa_53183.png","plot")</f>
        <v>plot</v>
      </c>
    </row>
    <row r="7" spans="1:29" x14ac:dyDescent="0.35">
      <c r="A7" t="s">
        <v>47</v>
      </c>
      <c r="B7">
        <v>52046</v>
      </c>
      <c r="C7" t="s">
        <v>51</v>
      </c>
      <c r="D7">
        <v>53184</v>
      </c>
      <c r="E7" t="s">
        <v>59</v>
      </c>
      <c r="F7">
        <v>7130</v>
      </c>
      <c r="G7">
        <v>8.965710951267139E-2</v>
      </c>
      <c r="H7">
        <v>3.3367742888423491E-14</v>
      </c>
      <c r="I7">
        <v>3.3666558496379521E-14</v>
      </c>
      <c r="J7">
        <v>9.7842496406246829E-2</v>
      </c>
      <c r="K7">
        <v>1.2299051895052071E-16</v>
      </c>
      <c r="L7">
        <v>1.2409192658291341E-16</v>
      </c>
      <c r="M7">
        <v>6.5475129101973922E-2</v>
      </c>
      <c r="N7">
        <v>1.1590782836309771E-16</v>
      </c>
      <c r="O7">
        <v>1.16945808915603E-16</v>
      </c>
      <c r="P7">
        <v>8.0383972861671499E-3</v>
      </c>
      <c r="Q7">
        <v>0.48927548050390091</v>
      </c>
      <c r="R7">
        <v>-20.91569608317014</v>
      </c>
      <c r="S7">
        <v>0.62586963661961947</v>
      </c>
      <c r="T7">
        <v>0.48281087627626479</v>
      </c>
      <c r="U7">
        <v>4.4223081342215984</v>
      </c>
      <c r="V7">
        <v>0.11515908108745521</v>
      </c>
      <c r="W7">
        <v>-18.751969145862549</v>
      </c>
      <c r="X7">
        <v>0.62844447071416099</v>
      </c>
      <c r="Z7" t="s">
        <v>392</v>
      </c>
      <c r="AA7">
        <v>140</v>
      </c>
      <c r="AB7" t="s">
        <v>1412</v>
      </c>
      <c r="AC7" t="str">
        <f>HYPERLINK("plots/20251231112652_3FT6Y119H04_05543_B21P_N_UFLEX98_M5358A8BA201511/dpll_52046/txpa_53184.png","plot")</f>
        <v>plot</v>
      </c>
    </row>
    <row r="8" spans="1:29" x14ac:dyDescent="0.35">
      <c r="A8" t="s">
        <v>47</v>
      </c>
      <c r="B8">
        <v>52046</v>
      </c>
      <c r="C8" t="s">
        <v>51</v>
      </c>
      <c r="D8">
        <v>53185</v>
      </c>
      <c r="E8" t="s">
        <v>60</v>
      </c>
      <c r="F8">
        <v>7130</v>
      </c>
      <c r="G8">
        <v>0.11390999364859181</v>
      </c>
      <c r="H8">
        <v>5.0019232909971361E-22</v>
      </c>
      <c r="I8">
        <v>5.1128530414023154E-22</v>
      </c>
      <c r="J8">
        <v>0.1097985911061329</v>
      </c>
      <c r="K8">
        <v>1.4335987824342989E-20</v>
      </c>
      <c r="L8">
        <v>1.475806259277543E-20</v>
      </c>
      <c r="M8">
        <v>7.3602023415248991E-2</v>
      </c>
      <c r="N8">
        <v>1.2094307656826211E-20</v>
      </c>
      <c r="O8">
        <v>1.253949689572779E-20</v>
      </c>
      <c r="P8">
        <v>1.297548665302223E-2</v>
      </c>
      <c r="Q8">
        <v>0.62415253073851862</v>
      </c>
      <c r="R8">
        <v>-21.470469979329518</v>
      </c>
      <c r="S8">
        <v>0.62692433271059256</v>
      </c>
      <c r="T8">
        <v>0.48049557430534018</v>
      </c>
      <c r="U8">
        <v>4.4222665813464239</v>
      </c>
      <c r="V8">
        <v>0.115173537560885</v>
      </c>
      <c r="W8">
        <v>-18.71030110098177</v>
      </c>
      <c r="X8">
        <v>0.63107592793393918</v>
      </c>
      <c r="Z8" t="s">
        <v>392</v>
      </c>
      <c r="AA8">
        <v>140</v>
      </c>
      <c r="AB8" t="s">
        <v>1413</v>
      </c>
      <c r="AC8" t="str">
        <f>HYPERLINK("plots/20251231112652_3FT6Y119H04_05543_B21P_N_UFLEX98_M5358A8BA201511/dpll_52046/txpa_53185.png","plot")</f>
        <v>plot</v>
      </c>
    </row>
    <row r="9" spans="1:29" x14ac:dyDescent="0.35">
      <c r="A9" t="s">
        <v>47</v>
      </c>
      <c r="B9">
        <v>52046</v>
      </c>
      <c r="C9" t="s">
        <v>51</v>
      </c>
      <c r="D9">
        <v>53186</v>
      </c>
      <c r="E9" t="s">
        <v>61</v>
      </c>
      <c r="F9">
        <v>7129</v>
      </c>
      <c r="G9">
        <v>0.13809642709816289</v>
      </c>
      <c r="H9">
        <v>1.079692304906343E-31</v>
      </c>
      <c r="I9">
        <v>1.1560802504488191E-31</v>
      </c>
      <c r="J9">
        <v>0.13617590197735879</v>
      </c>
      <c r="K9">
        <v>7.4151175660253464E-31</v>
      </c>
      <c r="L9">
        <v>8.1638753658520097E-31</v>
      </c>
      <c r="M9">
        <v>9.1118393137758061E-2</v>
      </c>
      <c r="N9">
        <v>9.1068381891839294E-31</v>
      </c>
      <c r="O9">
        <v>1.0059187280863299E-30</v>
      </c>
      <c r="P9">
        <v>1.9070623177278229E-2</v>
      </c>
      <c r="Q9">
        <v>0.83506174552704648</v>
      </c>
      <c r="R9">
        <v>-22.926349328792011</v>
      </c>
      <c r="S9">
        <v>0.68958398525572062</v>
      </c>
      <c r="T9">
        <v>0.5215011697891766</v>
      </c>
      <c r="U9">
        <v>4.4222674316173372</v>
      </c>
      <c r="V9">
        <v>0.1151496472323234</v>
      </c>
      <c r="W9">
        <v>-19.233482968158231</v>
      </c>
      <c r="X9">
        <v>0.69630378884673372</v>
      </c>
      <c r="Z9" t="s">
        <v>392</v>
      </c>
      <c r="AA9">
        <v>140</v>
      </c>
      <c r="AB9" t="s">
        <v>1414</v>
      </c>
      <c r="AC9" t="str">
        <f>HYPERLINK("plots/20251231112652_3FT6Y119H04_05543_B21P_N_UFLEX98_M5358A8BA201511/dpll_52046/txpa_53186.png","plot")</f>
        <v>plot</v>
      </c>
    </row>
    <row r="10" spans="1:29" x14ac:dyDescent="0.35">
      <c r="A10" t="s">
        <v>47</v>
      </c>
      <c r="B10">
        <v>52046</v>
      </c>
      <c r="C10" t="s">
        <v>51</v>
      </c>
      <c r="D10">
        <v>53187</v>
      </c>
      <c r="E10" t="s">
        <v>62</v>
      </c>
      <c r="F10">
        <v>7139</v>
      </c>
      <c r="G10">
        <v>0.25006406963835448</v>
      </c>
      <c r="H10">
        <v>3.1823200884849519E-102</v>
      </c>
      <c r="I10">
        <v>5.1878980220638933E-102</v>
      </c>
      <c r="J10">
        <v>0.23538395171878659</v>
      </c>
      <c r="K10">
        <v>1.842645926562627E-90</v>
      </c>
      <c r="L10">
        <v>3.1830374268049459E-90</v>
      </c>
      <c r="M10">
        <v>0.15748411137751131</v>
      </c>
      <c r="N10">
        <v>1.4331773484486999E-88</v>
      </c>
      <c r="O10">
        <v>2.4631217480118331E-88</v>
      </c>
      <c r="P10">
        <v>6.2532038924095826E-2</v>
      </c>
      <c r="Q10">
        <v>0.56988152765676403</v>
      </c>
      <c r="R10">
        <v>-11.003172070147309</v>
      </c>
      <c r="S10">
        <v>0.25407826095575681</v>
      </c>
      <c r="T10">
        <v>0.1982150354698933</v>
      </c>
      <c r="U10">
        <v>4.4222873134892842</v>
      </c>
      <c r="V10">
        <v>0.1151559613407446</v>
      </c>
      <c r="W10">
        <v>-8.4829922201989074</v>
      </c>
      <c r="X10">
        <v>0.26243376452504658</v>
      </c>
      <c r="Z10" t="s">
        <v>392</v>
      </c>
      <c r="AA10">
        <v>140</v>
      </c>
      <c r="AB10" t="s">
        <v>1415</v>
      </c>
      <c r="AC10" t="str">
        <f>HYPERLINK("plots/20251231112652_3FT6Y119H04_05543_B21P_N_UFLEX98_M5358A8BA201511/dpll_52046/txpa_53187.png","plot")</f>
        <v>plot</v>
      </c>
    </row>
    <row r="11" spans="1:29" x14ac:dyDescent="0.35">
      <c r="A11" t="s">
        <v>47</v>
      </c>
      <c r="B11">
        <v>52046</v>
      </c>
      <c r="C11" t="s">
        <v>51</v>
      </c>
      <c r="D11">
        <v>53188</v>
      </c>
      <c r="E11" t="s">
        <v>63</v>
      </c>
      <c r="F11">
        <v>7139</v>
      </c>
      <c r="G11">
        <v>0.1956448283270511</v>
      </c>
      <c r="H11">
        <v>1.571376612638759E-62</v>
      </c>
      <c r="I11">
        <v>1.931364709352366E-62</v>
      </c>
      <c r="J11">
        <v>0.18573656272587061</v>
      </c>
      <c r="K11">
        <v>1.9778102425385179E-56</v>
      </c>
      <c r="L11">
        <v>2.567861185574978E-56</v>
      </c>
      <c r="M11">
        <v>0.12388325742969911</v>
      </c>
      <c r="N11">
        <v>1.6205166584760569E-55</v>
      </c>
      <c r="O11">
        <v>2.0905901929958301E-55</v>
      </c>
      <c r="P11">
        <v>3.8276898851121288E-2</v>
      </c>
      <c r="Q11">
        <v>0.55283457790462709</v>
      </c>
      <c r="R11">
        <v>-10.86856330054435</v>
      </c>
      <c r="S11">
        <v>0.3190860785759348</v>
      </c>
      <c r="T11">
        <v>0.25669073425076683</v>
      </c>
      <c r="U11">
        <v>4.4222873134892842</v>
      </c>
      <c r="V11">
        <v>0.1151559613407446</v>
      </c>
      <c r="W11">
        <v>-8.4237699602185181</v>
      </c>
      <c r="X11">
        <v>0.3253967806120116</v>
      </c>
      <c r="Z11" t="s">
        <v>392</v>
      </c>
      <c r="AA11">
        <v>140</v>
      </c>
      <c r="AB11" t="s">
        <v>1416</v>
      </c>
      <c r="AC11" t="str">
        <f>HYPERLINK("plots/20251231112652_3FT6Y119H04_05543_B21P_N_UFLEX98_M5358A8BA201511/dpll_52046/txpa_53188.png","plot")</f>
        <v>plot</v>
      </c>
    </row>
    <row r="12" spans="1:29" x14ac:dyDescent="0.35">
      <c r="A12" t="s">
        <v>47</v>
      </c>
      <c r="B12">
        <v>52046</v>
      </c>
      <c r="C12" t="s">
        <v>51</v>
      </c>
      <c r="D12">
        <v>53189</v>
      </c>
      <c r="E12" t="s">
        <v>64</v>
      </c>
      <c r="F12">
        <v>7139</v>
      </c>
      <c r="G12">
        <v>0.24740272575708161</v>
      </c>
      <c r="H12">
        <v>4.9486611030998412E-100</v>
      </c>
      <c r="I12">
        <v>7.8774605314650529E-100</v>
      </c>
      <c r="J12">
        <v>0.2365846760911377</v>
      </c>
      <c r="K12">
        <v>2.1536848719661189E-91</v>
      </c>
      <c r="L12">
        <v>3.7522963233224138E-91</v>
      </c>
      <c r="M12">
        <v>0.15842638580113241</v>
      </c>
      <c r="N12">
        <v>1.3028795987896139E-89</v>
      </c>
      <c r="O12">
        <v>2.2583246379019981E-89</v>
      </c>
      <c r="P12">
        <v>6.1208108712033728E-2</v>
      </c>
      <c r="Q12">
        <v>0.54482090761123692</v>
      </c>
      <c r="R12">
        <v>-10.57513903259305</v>
      </c>
      <c r="S12">
        <v>0.24569140064454009</v>
      </c>
      <c r="T12">
        <v>0.19469672206155039</v>
      </c>
      <c r="U12">
        <v>4.4222873134892842</v>
      </c>
      <c r="V12">
        <v>0.1151559613407446</v>
      </c>
      <c r="W12">
        <v>-8.1657844447401597</v>
      </c>
      <c r="X12">
        <v>0.25359209435756652</v>
      </c>
      <c r="Z12" t="s">
        <v>392</v>
      </c>
      <c r="AA12">
        <v>140</v>
      </c>
      <c r="AB12" t="s">
        <v>1417</v>
      </c>
      <c r="AC12" t="str">
        <f>HYPERLINK("plots/20251231112652_3FT6Y119H04_05543_B21P_N_UFLEX98_M5358A8BA201511/dpll_52046/txpa_53189.png","plot")</f>
        <v>plot</v>
      </c>
    </row>
    <row r="13" spans="1:29" x14ac:dyDescent="0.35">
      <c r="A13" t="s">
        <v>47</v>
      </c>
      <c r="B13">
        <v>52046</v>
      </c>
      <c r="C13" t="s">
        <v>51</v>
      </c>
      <c r="D13">
        <v>53190</v>
      </c>
      <c r="E13" t="s">
        <v>65</v>
      </c>
      <c r="F13">
        <v>7139</v>
      </c>
      <c r="G13">
        <v>0.20012055787067271</v>
      </c>
      <c r="H13">
        <v>2.135254255476153E-65</v>
      </c>
      <c r="I13">
        <v>2.6829588786280291E-65</v>
      </c>
      <c r="J13">
        <v>0.18746667574246309</v>
      </c>
      <c r="K13">
        <v>1.8006144708673599E-57</v>
      </c>
      <c r="L13">
        <v>2.3559007399477461E-57</v>
      </c>
      <c r="M13">
        <v>0.12560684080072551</v>
      </c>
      <c r="N13">
        <v>5.0750702136201393E-57</v>
      </c>
      <c r="O13">
        <v>6.6573366062235715E-57</v>
      </c>
      <c r="P13">
        <v>4.0048237682469283E-2</v>
      </c>
      <c r="Q13">
        <v>0.51999130895659806</v>
      </c>
      <c r="R13">
        <v>-10.633085256578889</v>
      </c>
      <c r="S13">
        <v>0.29314675511689592</v>
      </c>
      <c r="T13">
        <v>0.23494680129204479</v>
      </c>
      <c r="U13">
        <v>4.4222873134892842</v>
      </c>
      <c r="V13">
        <v>0.1151559613407446</v>
      </c>
      <c r="W13">
        <v>-8.3335342878554428</v>
      </c>
      <c r="X13">
        <v>0.29922012865078312</v>
      </c>
      <c r="Z13" t="s">
        <v>392</v>
      </c>
      <c r="AA13">
        <v>140</v>
      </c>
      <c r="AB13" t="s">
        <v>1418</v>
      </c>
      <c r="AC13" t="str">
        <f>HYPERLINK("plots/20251231112652_3FT6Y119H04_05543_B21P_N_UFLEX98_M5358A8BA201511/dpll_52046/txpa_53190.png","plot")</f>
        <v>plot</v>
      </c>
    </row>
    <row r="14" spans="1:29" x14ac:dyDescent="0.35">
      <c r="A14" t="s">
        <v>47</v>
      </c>
      <c r="B14">
        <v>52046</v>
      </c>
      <c r="C14" t="s">
        <v>51</v>
      </c>
      <c r="D14">
        <v>53191</v>
      </c>
      <c r="E14" t="s">
        <v>66</v>
      </c>
      <c r="F14">
        <v>7139</v>
      </c>
      <c r="G14">
        <v>0.26393435108417179</v>
      </c>
      <c r="H14">
        <v>4.4515571064084901E-114</v>
      </c>
      <c r="I14">
        <v>8.0749175418572603E-114</v>
      </c>
      <c r="J14">
        <v>0.24354033673828079</v>
      </c>
      <c r="K14">
        <v>6.7366837563378757E-97</v>
      </c>
      <c r="L14">
        <v>1.2263909028593549E-96</v>
      </c>
      <c r="M14">
        <v>0.16320880476914021</v>
      </c>
      <c r="N14">
        <v>5.5002226311688221E-95</v>
      </c>
      <c r="O14">
        <v>1.0049055401811151E-94</v>
      </c>
      <c r="P14">
        <v>6.9661341682222891E-2</v>
      </c>
      <c r="Q14">
        <v>0.5688789526955097</v>
      </c>
      <c r="R14">
        <v>-10.50200603562093</v>
      </c>
      <c r="S14">
        <v>0.23938695942145741</v>
      </c>
      <c r="T14">
        <v>0.1887153216085429</v>
      </c>
      <c r="U14">
        <v>4.4222873134892842</v>
      </c>
      <c r="V14">
        <v>0.1151559613407446</v>
      </c>
      <c r="W14">
        <v>-7.9862598602045107</v>
      </c>
      <c r="X14">
        <v>0.2482049131349163</v>
      </c>
      <c r="Z14" t="s">
        <v>392</v>
      </c>
      <c r="AA14">
        <v>140</v>
      </c>
      <c r="AB14" t="s">
        <v>1419</v>
      </c>
      <c r="AC14" t="str">
        <f>HYPERLINK("plots/20251231112652_3FT6Y119H04_05543_B21P_N_UFLEX98_M5358A8BA201511/dpll_52046/txpa_53191.png","plot")</f>
        <v>plot</v>
      </c>
    </row>
    <row r="15" spans="1:29" x14ac:dyDescent="0.35">
      <c r="A15" t="s">
        <v>47</v>
      </c>
      <c r="B15">
        <v>52046</v>
      </c>
      <c r="C15" t="s">
        <v>51</v>
      </c>
      <c r="D15">
        <v>53192</v>
      </c>
      <c r="E15" t="s">
        <v>67</v>
      </c>
      <c r="F15">
        <v>7139</v>
      </c>
      <c r="G15">
        <v>0.21674372373989789</v>
      </c>
      <c r="H15">
        <v>1.1669290796216749E-76</v>
      </c>
      <c r="I15">
        <v>1.556929061495235E-76</v>
      </c>
      <c r="J15">
        <v>0.2153893466865682</v>
      </c>
      <c r="K15">
        <v>1.05005297956152E-75</v>
      </c>
      <c r="L15">
        <v>1.5774129204079719E-75</v>
      </c>
      <c r="M15">
        <v>0.14483449974884879</v>
      </c>
      <c r="N15">
        <v>3.3032002823546762E-75</v>
      </c>
      <c r="O15">
        <v>4.9621408686039136E-75</v>
      </c>
      <c r="P15">
        <v>4.6977841780637172E-2</v>
      </c>
      <c r="Q15">
        <v>0.551283582043957</v>
      </c>
      <c r="R15">
        <v>-10.54994108956514</v>
      </c>
      <c r="S15">
        <v>0.28591440300126553</v>
      </c>
      <c r="T15">
        <v>0.22522878092722001</v>
      </c>
      <c r="U15">
        <v>4.4222873134892842</v>
      </c>
      <c r="V15">
        <v>0.1151559613407446</v>
      </c>
      <c r="W15">
        <v>-8.1120066985572201</v>
      </c>
      <c r="X15">
        <v>0.29289702034382448</v>
      </c>
      <c r="Z15" t="s">
        <v>392</v>
      </c>
      <c r="AA15">
        <v>140</v>
      </c>
      <c r="AB15" t="s">
        <v>1420</v>
      </c>
      <c r="AC15" t="str">
        <f>HYPERLINK("plots/20251231112652_3FT6Y119H04_05543_B21P_N_UFLEX98_M5358A8BA201511/dpll_52046/txpa_53192.png","plot")</f>
        <v>plot</v>
      </c>
    </row>
    <row r="16" spans="1:29" x14ac:dyDescent="0.35">
      <c r="A16" t="s">
        <v>47</v>
      </c>
      <c r="B16">
        <v>52046</v>
      </c>
      <c r="C16" t="s">
        <v>51</v>
      </c>
      <c r="D16">
        <v>53193</v>
      </c>
      <c r="E16" t="s">
        <v>68</v>
      </c>
      <c r="F16">
        <v>7139</v>
      </c>
      <c r="G16">
        <v>0.23468917517076429</v>
      </c>
      <c r="H16">
        <v>6.3455131737364534E-90</v>
      </c>
      <c r="I16">
        <v>9.3932122017062235E-90</v>
      </c>
      <c r="J16">
        <v>0.22373740276612691</v>
      </c>
      <c r="K16">
        <v>1.0855553826049689E-81</v>
      </c>
      <c r="L16">
        <v>1.7065940433510681E-81</v>
      </c>
      <c r="M16">
        <v>0.1508735446479583</v>
      </c>
      <c r="N16">
        <v>1.8893611579469389E-81</v>
      </c>
      <c r="O16">
        <v>3.012283355594648E-81</v>
      </c>
      <c r="P16">
        <v>5.507900894233371E-2</v>
      </c>
      <c r="Q16">
        <v>0.57593657440448309</v>
      </c>
      <c r="R16">
        <v>-10.51063374470213</v>
      </c>
      <c r="S16">
        <v>0.27468525974466601</v>
      </c>
      <c r="T16">
        <v>0.21878735982794881</v>
      </c>
      <c r="U16">
        <v>4.4222873134892842</v>
      </c>
      <c r="V16">
        <v>0.1151559613407446</v>
      </c>
      <c r="W16">
        <v>-7.9636767383387026</v>
      </c>
      <c r="X16">
        <v>0.28259731131010202</v>
      </c>
      <c r="Z16" t="s">
        <v>392</v>
      </c>
      <c r="AA16">
        <v>140</v>
      </c>
      <c r="AB16" t="s">
        <v>1421</v>
      </c>
      <c r="AC16" t="str">
        <f>HYPERLINK("plots/20251231112652_3FT6Y119H04_05543_B21P_N_UFLEX98_M5358A8BA201511/dpll_52046/txpa_53193.png","plot")</f>
        <v>plot</v>
      </c>
    </row>
    <row r="17" spans="1:29" x14ac:dyDescent="0.35">
      <c r="A17" t="s">
        <v>47</v>
      </c>
      <c r="B17">
        <v>52046</v>
      </c>
      <c r="C17" t="s">
        <v>51</v>
      </c>
      <c r="D17">
        <v>53194</v>
      </c>
      <c r="E17" t="s">
        <v>69</v>
      </c>
      <c r="F17">
        <v>7139</v>
      </c>
      <c r="G17">
        <v>0.28642784889594941</v>
      </c>
      <c r="H17">
        <v>7.1205054058897655E-135</v>
      </c>
      <c r="I17">
        <v>1.5264677550892649E-134</v>
      </c>
      <c r="J17">
        <v>0.25864161062372137</v>
      </c>
      <c r="K17">
        <v>1.810801255958228E-109</v>
      </c>
      <c r="L17">
        <v>3.628759829133682E-109</v>
      </c>
      <c r="M17">
        <v>0.1739274548159894</v>
      </c>
      <c r="N17">
        <v>1.312930309408811E-107</v>
      </c>
      <c r="O17">
        <v>2.6310500666808989E-107</v>
      </c>
      <c r="P17">
        <v>8.2040912623160822E-2</v>
      </c>
      <c r="Q17">
        <v>0.66594377725337606</v>
      </c>
      <c r="R17">
        <v>-11.43900430063956</v>
      </c>
      <c r="S17">
        <v>0.25650154923435059</v>
      </c>
      <c r="T17">
        <v>0.20150588376949069</v>
      </c>
      <c r="U17">
        <v>4.4222873134892842</v>
      </c>
      <c r="V17">
        <v>0.1151559613407446</v>
      </c>
      <c r="W17">
        <v>-8.494009582994817</v>
      </c>
      <c r="X17">
        <v>0.26773721956190588</v>
      </c>
      <c r="Z17" t="s">
        <v>392</v>
      </c>
      <c r="AA17">
        <v>140</v>
      </c>
      <c r="AB17" t="s">
        <v>1422</v>
      </c>
      <c r="AC17" t="str">
        <f>HYPERLINK("plots/20251231112652_3FT6Y119H04_05543_B21P_N_UFLEX98_M5358A8BA201511/dpll_52046/txpa_53194.png","plot")</f>
        <v>plot</v>
      </c>
    </row>
    <row r="18" spans="1:29" x14ac:dyDescent="0.35">
      <c r="A18" t="s">
        <v>47</v>
      </c>
      <c r="B18">
        <v>52046</v>
      </c>
      <c r="C18" t="s">
        <v>51</v>
      </c>
      <c r="D18">
        <v>53195</v>
      </c>
      <c r="E18" t="s">
        <v>70</v>
      </c>
      <c r="F18">
        <v>7139</v>
      </c>
      <c r="G18">
        <v>0.26133490917823399</v>
      </c>
      <c r="H18">
        <v>8.4266006856707262E-112</v>
      </c>
      <c r="I18">
        <v>1.4808618882617189E-111</v>
      </c>
      <c r="J18">
        <v>0.25109710740581398</v>
      </c>
      <c r="K18">
        <v>4.4142419137158001E-103</v>
      </c>
      <c r="L18">
        <v>8.429456309807572E-103</v>
      </c>
      <c r="M18">
        <v>0.1683383278568098</v>
      </c>
      <c r="N18">
        <v>6.1264477854063554E-101</v>
      </c>
      <c r="O18">
        <v>1.172116614038122E-100</v>
      </c>
      <c r="P18">
        <v>6.8295934755195839E-2</v>
      </c>
      <c r="Q18">
        <v>0.56823900353638823</v>
      </c>
      <c r="R18">
        <v>-5.0011823941079419</v>
      </c>
      <c r="S18">
        <v>0.2416732678822664</v>
      </c>
      <c r="T18">
        <v>0.1881951059053604</v>
      </c>
      <c r="U18">
        <v>4.4222873134892842</v>
      </c>
      <c r="V18">
        <v>0.1151559613407446</v>
      </c>
      <c r="W18">
        <v>-2.4882662577391801</v>
      </c>
      <c r="X18">
        <v>0.25039176330978141</v>
      </c>
      <c r="Z18" t="s">
        <v>392</v>
      </c>
      <c r="AA18">
        <v>140</v>
      </c>
      <c r="AB18" t="s">
        <v>1423</v>
      </c>
      <c r="AC18" t="str">
        <f>HYPERLINK("plots/20251231112652_3FT6Y119H04_05543_B21P_N_UFLEX98_M5358A8BA201511/dpll_52046/txpa_53195.png","plot")</f>
        <v>plot</v>
      </c>
    </row>
    <row r="19" spans="1:29" x14ac:dyDescent="0.35">
      <c r="A19" t="s">
        <v>47</v>
      </c>
      <c r="B19">
        <v>52046</v>
      </c>
      <c r="C19" t="s">
        <v>51</v>
      </c>
      <c r="D19">
        <v>53196</v>
      </c>
      <c r="E19" t="s">
        <v>71</v>
      </c>
      <c r="F19">
        <v>7139</v>
      </c>
      <c r="G19">
        <v>0.20067069389958739</v>
      </c>
      <c r="H19">
        <v>9.3811981841566929E-66</v>
      </c>
      <c r="I19">
        <v>1.1802152554261649E-65</v>
      </c>
      <c r="J19">
        <v>0.1935554295161083</v>
      </c>
      <c r="K19">
        <v>3.2418095448459407E-61</v>
      </c>
      <c r="L19">
        <v>4.3139040399918442E-61</v>
      </c>
      <c r="M19">
        <v>0.12917633809443879</v>
      </c>
      <c r="N19">
        <v>3.2849635972595408E-60</v>
      </c>
      <c r="O19">
        <v>4.3770737025245401E-60</v>
      </c>
      <c r="P19">
        <v>4.0268727390141888E-2</v>
      </c>
      <c r="Q19">
        <v>0.54927000198467957</v>
      </c>
      <c r="R19">
        <v>-4.870300271472491</v>
      </c>
      <c r="S19">
        <v>0.3087683363552875</v>
      </c>
      <c r="T19">
        <v>0.24895510927656331</v>
      </c>
      <c r="U19">
        <v>4.4222873134892842</v>
      </c>
      <c r="V19">
        <v>0.1151559613407446</v>
      </c>
      <c r="W19">
        <v>-2.441270510015408</v>
      </c>
      <c r="X19">
        <v>0.31520155676458012</v>
      </c>
      <c r="Z19" t="s">
        <v>392</v>
      </c>
      <c r="AA19">
        <v>140</v>
      </c>
      <c r="AB19" t="s">
        <v>1424</v>
      </c>
      <c r="AC19" t="str">
        <f>HYPERLINK("plots/20251231112652_3FT6Y119H04_05543_B21P_N_UFLEX98_M5358A8BA201511/dpll_52046/txpa_53196.png","plot")</f>
        <v>plot</v>
      </c>
    </row>
    <row r="20" spans="1:29" x14ac:dyDescent="0.35">
      <c r="A20" t="s">
        <v>47</v>
      </c>
      <c r="B20">
        <v>52046</v>
      </c>
      <c r="C20" t="s">
        <v>51</v>
      </c>
      <c r="D20">
        <v>53197</v>
      </c>
      <c r="E20" t="s">
        <v>72</v>
      </c>
      <c r="F20">
        <v>7139</v>
      </c>
      <c r="G20">
        <v>0.26355615517780462</v>
      </c>
      <c r="H20">
        <v>9.581193373403292E-114</v>
      </c>
      <c r="I20">
        <v>1.7225762554310171E-113</v>
      </c>
      <c r="J20">
        <v>0.25639804953787709</v>
      </c>
      <c r="K20">
        <v>1.5123165392652411E-107</v>
      </c>
      <c r="L20">
        <v>2.9892572530505932E-107</v>
      </c>
      <c r="M20">
        <v>0.17196372112351929</v>
      </c>
      <c r="N20">
        <v>2.994944828127551E-105</v>
      </c>
      <c r="O20">
        <v>5.9430020659908731E-105</v>
      </c>
      <c r="P20">
        <v>6.9461846932107024E-2</v>
      </c>
      <c r="Q20">
        <v>0.55366241168643326</v>
      </c>
      <c r="R20">
        <v>-4.6308895146547639</v>
      </c>
      <c r="S20">
        <v>0.23334310634779951</v>
      </c>
      <c r="T20">
        <v>0.18491255393937719</v>
      </c>
      <c r="U20">
        <v>4.4222873134892842</v>
      </c>
      <c r="V20">
        <v>0.1151559613407446</v>
      </c>
      <c r="W20">
        <v>-2.1824352554979689</v>
      </c>
      <c r="X20">
        <v>0.2419124957752293</v>
      </c>
      <c r="Z20" t="s">
        <v>392</v>
      </c>
      <c r="AA20">
        <v>140</v>
      </c>
      <c r="AB20" t="s">
        <v>1425</v>
      </c>
      <c r="AC20" t="str">
        <f>HYPERLINK("plots/20251231112652_3FT6Y119H04_05543_B21P_N_UFLEX98_M5358A8BA201511/dpll_52046/txpa_53197.png","plot")</f>
        <v>plot</v>
      </c>
    </row>
    <row r="21" spans="1:29" x14ac:dyDescent="0.35">
      <c r="A21" t="s">
        <v>47</v>
      </c>
      <c r="B21">
        <v>52046</v>
      </c>
      <c r="C21" t="s">
        <v>51</v>
      </c>
      <c r="D21">
        <v>53198</v>
      </c>
      <c r="E21" t="s">
        <v>73</v>
      </c>
      <c r="F21">
        <v>7139</v>
      </c>
      <c r="G21">
        <v>0.20634033985975131</v>
      </c>
      <c r="H21">
        <v>1.6959441771227781E-69</v>
      </c>
      <c r="I21">
        <v>2.168584357632405E-69</v>
      </c>
      <c r="J21">
        <v>0.19623713385865041</v>
      </c>
      <c r="K21">
        <v>6.6204753155462221E-63</v>
      </c>
      <c r="L21">
        <v>8.9988766353403077E-63</v>
      </c>
      <c r="M21">
        <v>0.13150534979876391</v>
      </c>
      <c r="N21">
        <v>2.469666942098166E-62</v>
      </c>
      <c r="O21">
        <v>3.3479174856785312E-62</v>
      </c>
      <c r="P21">
        <v>4.2576335853437688E-2</v>
      </c>
      <c r="Q21">
        <v>0.51706852506049905</v>
      </c>
      <c r="R21">
        <v>-4.6664008623729094</v>
      </c>
      <c r="S21">
        <v>0.28233976282097428</v>
      </c>
      <c r="T21">
        <v>0.2268951166422466</v>
      </c>
      <c r="U21">
        <v>4.4222873134892842</v>
      </c>
      <c r="V21">
        <v>0.1151559613407446</v>
      </c>
      <c r="W21">
        <v>-2.379775283793248</v>
      </c>
      <c r="X21">
        <v>0.28856947275968498</v>
      </c>
      <c r="Z21" t="s">
        <v>392</v>
      </c>
      <c r="AA21">
        <v>140</v>
      </c>
      <c r="AB21" t="s">
        <v>1426</v>
      </c>
      <c r="AC21" t="str">
        <f>HYPERLINK("plots/20251231112652_3FT6Y119H04_05543_B21P_N_UFLEX98_M5358A8BA201511/dpll_52046/txpa_53198.png","plot")</f>
        <v>plot</v>
      </c>
    </row>
    <row r="22" spans="1:29" x14ac:dyDescent="0.35">
      <c r="A22" t="s">
        <v>47</v>
      </c>
      <c r="B22">
        <v>52046</v>
      </c>
      <c r="C22" t="s">
        <v>51</v>
      </c>
      <c r="D22">
        <v>53199</v>
      </c>
      <c r="E22" t="s">
        <v>74</v>
      </c>
      <c r="F22">
        <v>7139</v>
      </c>
      <c r="G22">
        <v>0.27788854147389369</v>
      </c>
      <c r="H22">
        <v>9.5493743574325584E-127</v>
      </c>
      <c r="I22">
        <v>1.8802069123177889E-126</v>
      </c>
      <c r="J22">
        <v>0.26290138715705519</v>
      </c>
      <c r="K22">
        <v>3.6015384625634603E-113</v>
      </c>
      <c r="L22">
        <v>7.3332530141352387E-113</v>
      </c>
      <c r="M22">
        <v>0.17653242807409769</v>
      </c>
      <c r="N22">
        <v>8.2225104445074951E-111</v>
      </c>
      <c r="O22">
        <v>1.6675251181461199E-110</v>
      </c>
      <c r="P22">
        <v>7.722204148248793E-2</v>
      </c>
      <c r="Q22">
        <v>0.57054061340724183</v>
      </c>
      <c r="R22">
        <v>-4.5582803989777769</v>
      </c>
      <c r="S22">
        <v>0.2271017797151314</v>
      </c>
      <c r="T22">
        <v>0.17893319378741829</v>
      </c>
      <c r="U22">
        <v>4.4222873134892842</v>
      </c>
      <c r="V22">
        <v>0.1151559613407446</v>
      </c>
      <c r="W22">
        <v>-2.035185882476537</v>
      </c>
      <c r="X22">
        <v>0.23642987390691439</v>
      </c>
      <c r="Z22" t="s">
        <v>392</v>
      </c>
      <c r="AA22">
        <v>140</v>
      </c>
      <c r="AB22" t="s">
        <v>1427</v>
      </c>
      <c r="AC22" t="str">
        <f>HYPERLINK("plots/20251231112652_3FT6Y119H04_05543_B21P_N_UFLEX98_M5358A8BA201511/dpll_52046/txpa_53199.png","plot")</f>
        <v>plot</v>
      </c>
    </row>
    <row r="23" spans="1:29" x14ac:dyDescent="0.35">
      <c r="A23" t="s">
        <v>47</v>
      </c>
      <c r="B23">
        <v>52046</v>
      </c>
      <c r="C23" t="s">
        <v>51</v>
      </c>
      <c r="D23">
        <v>53200</v>
      </c>
      <c r="E23" t="s">
        <v>75</v>
      </c>
      <c r="F23">
        <v>7139</v>
      </c>
      <c r="G23">
        <v>0.2268389176379588</v>
      </c>
      <c r="H23">
        <v>5.5992429678224891E-84</v>
      </c>
      <c r="I23">
        <v>7.8746634804049984E-84</v>
      </c>
      <c r="J23">
        <v>0.23044360730035099</v>
      </c>
      <c r="K23">
        <v>1.111215311411348E-86</v>
      </c>
      <c r="L23">
        <v>1.8471677471657489E-86</v>
      </c>
      <c r="M23">
        <v>0.15533543241233</v>
      </c>
      <c r="N23">
        <v>3.106758382026392E-86</v>
      </c>
      <c r="O23">
        <v>5.1984372926976258E-86</v>
      </c>
      <c r="P23">
        <v>5.1455894555160669E-2</v>
      </c>
      <c r="Q23">
        <v>0.5588389343247705</v>
      </c>
      <c r="R23">
        <v>-4.6149551299405154</v>
      </c>
      <c r="S23">
        <v>0.27628280733399307</v>
      </c>
      <c r="T23">
        <v>0.217164909026341</v>
      </c>
      <c r="U23">
        <v>4.4222873134892842</v>
      </c>
      <c r="V23">
        <v>0.1151559613407446</v>
      </c>
      <c r="W23">
        <v>-2.143608800392212</v>
      </c>
      <c r="X23">
        <v>0.28369750388033682</v>
      </c>
      <c r="Z23" t="s">
        <v>392</v>
      </c>
      <c r="AA23">
        <v>140</v>
      </c>
      <c r="AB23" t="s">
        <v>1428</v>
      </c>
      <c r="AC23" t="str">
        <f>HYPERLINK("plots/20251231112652_3FT6Y119H04_05543_B21P_N_UFLEX98_M5358A8BA201511/dpll_52046/txpa_53200.png","plot")</f>
        <v>plot</v>
      </c>
    </row>
    <row r="24" spans="1:29" x14ac:dyDescent="0.35">
      <c r="A24" t="s">
        <v>47</v>
      </c>
      <c r="B24">
        <v>52046</v>
      </c>
      <c r="C24" t="s">
        <v>51</v>
      </c>
      <c r="D24">
        <v>53201</v>
      </c>
      <c r="E24" t="s">
        <v>76</v>
      </c>
      <c r="F24">
        <v>7139</v>
      </c>
      <c r="G24">
        <v>0.24349176288766131</v>
      </c>
      <c r="H24">
        <v>7.3706662469607998E-97</v>
      </c>
      <c r="I24">
        <v>1.144541435592381E-96</v>
      </c>
      <c r="J24">
        <v>0.2357409924226519</v>
      </c>
      <c r="K24">
        <v>9.7449988332607296E-91</v>
      </c>
      <c r="L24">
        <v>1.6920254823504069E-90</v>
      </c>
      <c r="M24">
        <v>0.15911157789097011</v>
      </c>
      <c r="N24">
        <v>2.201147885622258E-90</v>
      </c>
      <c r="O24">
        <v>3.841590285750377E-90</v>
      </c>
      <c r="P24">
        <v>5.9288238594141049E-2</v>
      </c>
      <c r="Q24">
        <v>0.57382242122936966</v>
      </c>
      <c r="R24">
        <v>-4.5210028560692797</v>
      </c>
      <c r="S24">
        <v>0.26319493822294532</v>
      </c>
      <c r="T24">
        <v>0.20991884546370601</v>
      </c>
      <c r="U24">
        <v>4.4222873134892842</v>
      </c>
      <c r="V24">
        <v>0.1151559613407446</v>
      </c>
      <c r="W24">
        <v>-1.983395242470934</v>
      </c>
      <c r="X24">
        <v>0.27138114148866871</v>
      </c>
      <c r="Z24" t="s">
        <v>392</v>
      </c>
      <c r="AA24">
        <v>140</v>
      </c>
      <c r="AB24" t="s">
        <v>1429</v>
      </c>
      <c r="AC24" t="str">
        <f>HYPERLINK("plots/20251231112652_3FT6Y119H04_05543_B21P_N_UFLEX98_M5358A8BA201511/dpll_52046/txpa_53201.png","plot")</f>
        <v>plot</v>
      </c>
    </row>
    <row r="25" spans="1:29" x14ac:dyDescent="0.35">
      <c r="A25" t="s">
        <v>47</v>
      </c>
      <c r="B25">
        <v>52046</v>
      </c>
      <c r="C25" t="s">
        <v>51</v>
      </c>
      <c r="D25">
        <v>53202</v>
      </c>
      <c r="E25" t="s">
        <v>77</v>
      </c>
      <c r="F25">
        <v>7139</v>
      </c>
      <c r="G25">
        <v>0.29322556565511942</v>
      </c>
      <c r="H25">
        <v>1.4984507166213009E-141</v>
      </c>
      <c r="I25">
        <v>3.4532477878499982E-141</v>
      </c>
      <c r="J25">
        <v>0.26845242334888902</v>
      </c>
      <c r="K25">
        <v>4.2566952659237691E-118</v>
      </c>
      <c r="L25">
        <v>9.0110417529158707E-118</v>
      </c>
      <c r="M25">
        <v>0.18083143913581731</v>
      </c>
      <c r="N25">
        <v>3.542395739971266E-116</v>
      </c>
      <c r="O25">
        <v>7.5620826954333974E-116</v>
      </c>
      <c r="P25">
        <v>8.5981232353764758E-2</v>
      </c>
      <c r="Q25">
        <v>0.65264531800984427</v>
      </c>
      <c r="R25">
        <v>-5.3818786618010623</v>
      </c>
      <c r="S25">
        <v>0.24502418692667721</v>
      </c>
      <c r="T25">
        <v>0.1928440066601145</v>
      </c>
      <c r="U25">
        <v>4.4222873134892842</v>
      </c>
      <c r="V25">
        <v>0.1151559613407446</v>
      </c>
      <c r="W25">
        <v>-2.4956935517579488</v>
      </c>
      <c r="X25">
        <v>0.25630779786219321</v>
      </c>
      <c r="Z25" t="s">
        <v>392</v>
      </c>
      <c r="AA25">
        <v>140</v>
      </c>
      <c r="AB25" t="s">
        <v>1430</v>
      </c>
      <c r="AC25" t="str">
        <f>HYPERLINK("plots/20251231112652_3FT6Y119H04_05543_B21P_N_UFLEX98_M5358A8BA201511/dpll_52046/txpa_53202.png","plot")</f>
        <v>plot</v>
      </c>
    </row>
    <row r="26" spans="1:29" x14ac:dyDescent="0.35">
      <c r="A26" t="s">
        <v>47</v>
      </c>
      <c r="B26">
        <v>52046</v>
      </c>
      <c r="C26" t="s">
        <v>51</v>
      </c>
      <c r="D26">
        <v>53203</v>
      </c>
      <c r="E26" t="s">
        <v>78</v>
      </c>
      <c r="F26">
        <v>7139</v>
      </c>
      <c r="G26">
        <v>0.27180076119629271</v>
      </c>
      <c r="H26">
        <v>3.9770254435666883E-121</v>
      </c>
      <c r="I26">
        <v>7.5660484048341869E-121</v>
      </c>
      <c r="J26">
        <v>0.26550526316184392</v>
      </c>
      <c r="K26">
        <v>1.819092838160705E-115</v>
      </c>
      <c r="L26">
        <v>3.795391230236533E-115</v>
      </c>
      <c r="M26">
        <v>0.17852811097691421</v>
      </c>
      <c r="N26">
        <v>2.7394715462069169E-113</v>
      </c>
      <c r="O26">
        <v>5.7156875470243079E-113</v>
      </c>
      <c r="P26">
        <v>7.3875653786884099E-2</v>
      </c>
      <c r="Q26">
        <v>0.57237704932643008</v>
      </c>
      <c r="R26">
        <v>-1.996666170395401</v>
      </c>
      <c r="S26">
        <v>0.23335773428197459</v>
      </c>
      <c r="T26">
        <v>0.18150596110356371</v>
      </c>
      <c r="U26">
        <v>4.4222873134892842</v>
      </c>
      <c r="V26">
        <v>0.1151559613407446</v>
      </c>
      <c r="W26">
        <v>0.53454959337330155</v>
      </c>
      <c r="X26">
        <v>0.24250347598166669</v>
      </c>
      <c r="Z26" t="s">
        <v>392</v>
      </c>
      <c r="AA26">
        <v>140</v>
      </c>
      <c r="AB26" t="s">
        <v>1431</v>
      </c>
      <c r="AC26" t="str">
        <f>HYPERLINK("plots/20251231112652_3FT6Y119H04_05543_B21P_N_UFLEX98_M5358A8BA201511/dpll_52046/txpa_53203.png","plot")</f>
        <v>plot</v>
      </c>
    </row>
    <row r="27" spans="1:29" x14ac:dyDescent="0.35">
      <c r="A27" t="s">
        <v>47</v>
      </c>
      <c r="B27">
        <v>52046</v>
      </c>
      <c r="C27" t="s">
        <v>51</v>
      </c>
      <c r="D27">
        <v>53204</v>
      </c>
      <c r="E27" t="s">
        <v>79</v>
      </c>
      <c r="F27">
        <v>7139</v>
      </c>
      <c r="G27">
        <v>0.21122333201342899</v>
      </c>
      <c r="H27">
        <v>8.228825696283216E-73</v>
      </c>
      <c r="I27">
        <v>1.0724973336801E-72</v>
      </c>
      <c r="J27">
        <v>0.20643116535441861</v>
      </c>
      <c r="K27">
        <v>1.474128026886241E-69</v>
      </c>
      <c r="L27">
        <v>2.0964457493164781E-69</v>
      </c>
      <c r="M27">
        <v>0.13783167275467009</v>
      </c>
      <c r="N27">
        <v>2.696729582712177E-68</v>
      </c>
      <c r="O27">
        <v>3.8137849328732877E-68</v>
      </c>
      <c r="P27">
        <v>4.4615295986855243E-2</v>
      </c>
      <c r="Q27">
        <v>0.55914940504504385</v>
      </c>
      <c r="R27">
        <v>-1.89064161909326</v>
      </c>
      <c r="S27">
        <v>0.29794158639590901</v>
      </c>
      <c r="T27">
        <v>0.24022801225330759</v>
      </c>
      <c r="U27">
        <v>4.4222873134892842</v>
      </c>
      <c r="V27">
        <v>0.1151559613407446</v>
      </c>
      <c r="W27">
        <v>0.58207770118251845</v>
      </c>
      <c r="X27">
        <v>0.30484031596932548</v>
      </c>
      <c r="Z27" t="s">
        <v>392</v>
      </c>
      <c r="AA27">
        <v>140</v>
      </c>
      <c r="AB27" t="s">
        <v>1432</v>
      </c>
      <c r="AC27" t="str">
        <f>HYPERLINK("plots/20251231112652_3FT6Y119H04_05543_B21P_N_UFLEX98_M5358A8BA201511/dpll_52046/txpa_53204.png","plot")</f>
        <v>plot</v>
      </c>
    </row>
    <row r="28" spans="1:29" x14ac:dyDescent="0.35">
      <c r="A28" t="s">
        <v>47</v>
      </c>
      <c r="B28">
        <v>52046</v>
      </c>
      <c r="C28" t="s">
        <v>51</v>
      </c>
      <c r="D28">
        <v>53205</v>
      </c>
      <c r="E28" t="s">
        <v>80</v>
      </c>
      <c r="F28">
        <v>7139</v>
      </c>
      <c r="G28">
        <v>0.27844500312268877</v>
      </c>
      <c r="H28">
        <v>2.8780207551243098E-127</v>
      </c>
      <c r="I28">
        <v>5.7334244512692538E-127</v>
      </c>
      <c r="J28">
        <v>0.27405592488250979</v>
      </c>
      <c r="K28">
        <v>3.4249913725362827E-123</v>
      </c>
      <c r="L28">
        <v>7.7348357500039877E-123</v>
      </c>
      <c r="M28">
        <v>0.1841371663257251</v>
      </c>
      <c r="N28">
        <v>2.1515974678680909E-120</v>
      </c>
      <c r="O28">
        <v>4.8055502916701418E-120</v>
      </c>
      <c r="P28">
        <v>7.7531619763994156E-2</v>
      </c>
      <c r="Q28">
        <v>0.56437513184410026</v>
      </c>
      <c r="R28">
        <v>-1.6684541984833821</v>
      </c>
      <c r="S28">
        <v>0.22416106995367341</v>
      </c>
      <c r="T28">
        <v>0.17727051568741181</v>
      </c>
      <c r="U28">
        <v>4.4222873134892842</v>
      </c>
      <c r="V28">
        <v>0.1151559613407446</v>
      </c>
      <c r="W28">
        <v>0.82737478711962464</v>
      </c>
      <c r="X28">
        <v>0.23340753159675259</v>
      </c>
      <c r="Z28" t="s">
        <v>392</v>
      </c>
      <c r="AA28">
        <v>140</v>
      </c>
      <c r="AB28" t="s">
        <v>1433</v>
      </c>
      <c r="AC28" t="str">
        <f>HYPERLINK("plots/20251231112652_3FT6Y119H04_05543_B21P_N_UFLEX98_M5358A8BA201511/dpll_52046/txpa_53205.png","plot")</f>
        <v>plot</v>
      </c>
    </row>
    <row r="29" spans="1:29" x14ac:dyDescent="0.35">
      <c r="A29" t="s">
        <v>47</v>
      </c>
      <c r="B29">
        <v>52046</v>
      </c>
      <c r="C29" t="s">
        <v>51</v>
      </c>
      <c r="D29">
        <v>53206</v>
      </c>
      <c r="E29" t="s">
        <v>81</v>
      </c>
      <c r="F29">
        <v>7139</v>
      </c>
      <c r="G29">
        <v>0.2171889231799202</v>
      </c>
      <c r="H29">
        <v>5.6490019536840514E-77</v>
      </c>
      <c r="I29">
        <v>7.5468879855541879E-77</v>
      </c>
      <c r="J29">
        <v>0.2097671876927609</v>
      </c>
      <c r="K29">
        <v>8.1737511658431016E-72</v>
      </c>
      <c r="L29">
        <v>1.192544414699986E-71</v>
      </c>
      <c r="M29">
        <v>0.140692199316936</v>
      </c>
      <c r="N29">
        <v>4.4137641467715649E-71</v>
      </c>
      <c r="O29">
        <v>6.46756769483579E-71</v>
      </c>
      <c r="P29">
        <v>4.7171028352053293E-2</v>
      </c>
      <c r="Q29">
        <v>0.5275836902174188</v>
      </c>
      <c r="R29">
        <v>-1.697863697078406</v>
      </c>
      <c r="S29">
        <v>0.27303427693497379</v>
      </c>
      <c r="T29">
        <v>0.2194822921414894</v>
      </c>
      <c r="U29">
        <v>4.4222873134892842</v>
      </c>
      <c r="V29">
        <v>0.1151559613407446</v>
      </c>
      <c r="W29">
        <v>0.63526296297394591</v>
      </c>
      <c r="X29">
        <v>0.27973068858744338</v>
      </c>
      <c r="Z29" t="s">
        <v>392</v>
      </c>
      <c r="AA29">
        <v>140</v>
      </c>
      <c r="AB29" t="s">
        <v>1434</v>
      </c>
      <c r="AC29" t="str">
        <f>HYPERLINK("plots/20251231112652_3FT6Y119H04_05543_B21P_N_UFLEX98_M5358A8BA201511/dpll_52046/txpa_53206.png","plot")</f>
        <v>plot</v>
      </c>
    </row>
    <row r="30" spans="1:29" x14ac:dyDescent="0.35">
      <c r="A30" t="s">
        <v>47</v>
      </c>
      <c r="B30">
        <v>52046</v>
      </c>
      <c r="C30" t="s">
        <v>51</v>
      </c>
      <c r="D30">
        <v>53207</v>
      </c>
      <c r="E30" t="s">
        <v>82</v>
      </c>
      <c r="F30">
        <v>7139</v>
      </c>
      <c r="G30">
        <v>0.29416519489970122</v>
      </c>
      <c r="H30">
        <v>1.730379803927067E-142</v>
      </c>
      <c r="I30">
        <v>4.0522058225913308E-142</v>
      </c>
      <c r="J30">
        <v>0.28241104802787032</v>
      </c>
      <c r="K30">
        <v>5.1454349102093565E-131</v>
      </c>
      <c r="L30">
        <v>1.2633101692378421E-130</v>
      </c>
      <c r="M30">
        <v>0.1901634453035887</v>
      </c>
      <c r="N30">
        <v>2.8531893272010249E-128</v>
      </c>
      <c r="O30">
        <v>7.0221698489850481E-128</v>
      </c>
      <c r="P30">
        <v>8.653316189037917E-2</v>
      </c>
      <c r="Q30">
        <v>0.58442731493817013</v>
      </c>
      <c r="R30">
        <v>-1.6215387418972269</v>
      </c>
      <c r="S30">
        <v>0.21864604107450239</v>
      </c>
      <c r="T30">
        <v>0.17226469729976759</v>
      </c>
      <c r="U30">
        <v>4.4222873134892842</v>
      </c>
      <c r="V30">
        <v>0.1151559613407446</v>
      </c>
      <c r="W30">
        <v>0.96296675861044956</v>
      </c>
      <c r="X30">
        <v>0.22878399774127539</v>
      </c>
      <c r="Z30" t="s">
        <v>392</v>
      </c>
      <c r="AA30">
        <v>140</v>
      </c>
      <c r="AB30" t="s">
        <v>1435</v>
      </c>
      <c r="AC30" t="str">
        <f>HYPERLINK("plots/20251231112652_3FT6Y119H04_05543_B21P_N_UFLEX98_M5358A8BA201511/dpll_52046/txpa_53207.png","plot")</f>
        <v>plot</v>
      </c>
    </row>
    <row r="31" spans="1:29" x14ac:dyDescent="0.35">
      <c r="A31" t="s">
        <v>47</v>
      </c>
      <c r="B31">
        <v>52046</v>
      </c>
      <c r="C31" t="s">
        <v>51</v>
      </c>
      <c r="D31">
        <v>53208</v>
      </c>
      <c r="E31" t="s">
        <v>83</v>
      </c>
      <c r="F31">
        <v>7139</v>
      </c>
      <c r="G31">
        <v>0.23881663829725991</v>
      </c>
      <c r="H31">
        <v>3.8566238615709214E-93</v>
      </c>
      <c r="I31">
        <v>5.8542164605283153E-93</v>
      </c>
      <c r="J31">
        <v>0.2457424774150819</v>
      </c>
      <c r="K31">
        <v>1.1179200223296081E-98</v>
      </c>
      <c r="L31">
        <v>2.072341686731669E-98</v>
      </c>
      <c r="M31">
        <v>0.16587417269256161</v>
      </c>
      <c r="N31">
        <v>4.5840334885194683E-98</v>
      </c>
      <c r="O31">
        <v>8.5760331316581927E-98</v>
      </c>
      <c r="P31">
        <v>5.7033386727604253E-2</v>
      </c>
      <c r="Q31">
        <v>0.56783975245381058</v>
      </c>
      <c r="R31">
        <v>-1.6504491839155759</v>
      </c>
      <c r="S31">
        <v>0.26586757614583201</v>
      </c>
      <c r="T31">
        <v>0.20900046151498641</v>
      </c>
      <c r="U31">
        <v>4.4222873134892842</v>
      </c>
      <c r="V31">
        <v>0.1151559613407446</v>
      </c>
      <c r="W31">
        <v>0.86070134945580612</v>
      </c>
      <c r="X31">
        <v>0.27380894835273811</v>
      </c>
      <c r="Z31" t="s">
        <v>392</v>
      </c>
      <c r="AA31">
        <v>140</v>
      </c>
      <c r="AB31" t="s">
        <v>1436</v>
      </c>
      <c r="AC31" t="str">
        <f>HYPERLINK("plots/20251231112652_3FT6Y119H04_05543_B21P_N_UFLEX98_M5358A8BA201511/dpll_52046/txpa_53208.png","plot")</f>
        <v>plot</v>
      </c>
    </row>
    <row r="32" spans="1:29" x14ac:dyDescent="0.35">
      <c r="A32" t="s">
        <v>47</v>
      </c>
      <c r="B32">
        <v>52046</v>
      </c>
      <c r="C32" t="s">
        <v>51</v>
      </c>
      <c r="D32">
        <v>53209</v>
      </c>
      <c r="E32" t="s">
        <v>84</v>
      </c>
      <c r="F32">
        <v>7139</v>
      </c>
      <c r="G32">
        <v>0.25759697675037108</v>
      </c>
      <c r="H32">
        <v>1.4290429665530949E-108</v>
      </c>
      <c r="I32">
        <v>2.439477387348213E-108</v>
      </c>
      <c r="J32">
        <v>0.25203325726915882</v>
      </c>
      <c r="K32">
        <v>7.3109861708000365E-104</v>
      </c>
      <c r="L32">
        <v>1.4067058780249031E-103</v>
      </c>
      <c r="M32">
        <v>0.1703185175041006</v>
      </c>
      <c r="N32">
        <v>2.760873114948388E-103</v>
      </c>
      <c r="O32">
        <v>5.3940757968355785E-103</v>
      </c>
      <c r="P32">
        <v>6.6356202430931252E-2</v>
      </c>
      <c r="Q32">
        <v>0.58349275206362938</v>
      </c>
      <c r="R32">
        <v>-1.5625267945297019</v>
      </c>
      <c r="S32">
        <v>0.25202366236249668</v>
      </c>
      <c r="T32">
        <v>0.2005833989295002</v>
      </c>
      <c r="U32">
        <v>4.4222873134892842</v>
      </c>
      <c r="V32">
        <v>0.1151559613407446</v>
      </c>
      <c r="W32">
        <v>1.017845800434235</v>
      </c>
      <c r="X32">
        <v>0.26084416691100459</v>
      </c>
      <c r="Z32" t="s">
        <v>392</v>
      </c>
      <c r="AA32">
        <v>140</v>
      </c>
      <c r="AB32" t="s">
        <v>1437</v>
      </c>
      <c r="AC32" t="str">
        <f>HYPERLINK("plots/20251231112652_3FT6Y119H04_05543_B21P_N_UFLEX98_M5358A8BA201511/dpll_52046/txpa_53209.png","plot")</f>
        <v>plot</v>
      </c>
    </row>
    <row r="33" spans="1:29" x14ac:dyDescent="0.35">
      <c r="A33" t="s">
        <v>47</v>
      </c>
      <c r="B33">
        <v>52046</v>
      </c>
      <c r="C33" t="s">
        <v>51</v>
      </c>
      <c r="D33">
        <v>53210</v>
      </c>
      <c r="E33" t="s">
        <v>85</v>
      </c>
      <c r="F33">
        <v>7139</v>
      </c>
      <c r="G33">
        <v>0.30212567895225062</v>
      </c>
      <c r="H33">
        <v>1.4199270849566949E-150</v>
      </c>
      <c r="I33">
        <v>3.635873899358809E-150</v>
      </c>
      <c r="J33">
        <v>0.28054615825207768</v>
      </c>
      <c r="K33">
        <v>3.0292544953531568E-129</v>
      </c>
      <c r="L33">
        <v>7.3661008592040795E-129</v>
      </c>
      <c r="M33">
        <v>0.18922804623664111</v>
      </c>
      <c r="N33">
        <v>4.9515854322709928E-127</v>
      </c>
      <c r="O33">
        <v>1.212779620367823E-126</v>
      </c>
      <c r="P33">
        <v>9.1279925882358379E-2</v>
      </c>
      <c r="Q33">
        <v>0.65082411614034896</v>
      </c>
      <c r="R33">
        <v>-2.3473707014199641</v>
      </c>
      <c r="S33">
        <v>0.23645421762217961</v>
      </c>
      <c r="T33">
        <v>0.18599733357001491</v>
      </c>
      <c r="U33">
        <v>4.4222873134892842</v>
      </c>
      <c r="V33">
        <v>0.1151559613407446</v>
      </c>
      <c r="W33">
        <v>0.53076053070037821</v>
      </c>
      <c r="X33">
        <v>0.24806324645356331</v>
      </c>
      <c r="Z33" t="s">
        <v>392</v>
      </c>
      <c r="AA33">
        <v>140</v>
      </c>
      <c r="AB33" t="s">
        <v>1438</v>
      </c>
      <c r="AC33" t="str">
        <f>HYPERLINK("plots/20251231112652_3FT6Y119H04_05543_B21P_N_UFLEX98_M5358A8BA201511/dpll_52046/txpa_53210.png","plot")</f>
        <v>plot</v>
      </c>
    </row>
    <row r="34" spans="1:29" x14ac:dyDescent="0.35">
      <c r="A34" t="s">
        <v>47</v>
      </c>
      <c r="B34">
        <v>52046</v>
      </c>
      <c r="C34" t="s">
        <v>51</v>
      </c>
      <c r="D34">
        <v>53211</v>
      </c>
      <c r="E34" t="s">
        <v>86</v>
      </c>
      <c r="F34">
        <v>7139</v>
      </c>
      <c r="G34">
        <v>0.29242759477470598</v>
      </c>
      <c r="H34">
        <v>9.3114194608297868E-141</v>
      </c>
      <c r="I34">
        <v>2.1169908819016601E-140</v>
      </c>
      <c r="J34">
        <v>0.29443904367541718</v>
      </c>
      <c r="K34">
        <v>9.2096559437241326E-143</v>
      </c>
      <c r="L34">
        <v>2.451073786597447E-142</v>
      </c>
      <c r="M34">
        <v>0.1987242948101979</v>
      </c>
      <c r="N34">
        <v>6.7394492104012907E-140</v>
      </c>
      <c r="O34">
        <v>1.793648687492627E-139</v>
      </c>
      <c r="P34">
        <v>8.5513898185719681E-2</v>
      </c>
      <c r="Q34">
        <v>0.58236753869898494</v>
      </c>
      <c r="R34">
        <v>1.398895004538165</v>
      </c>
      <c r="S34">
        <v>0.2192922926134849</v>
      </c>
      <c r="T34">
        <v>0.16990399996619479</v>
      </c>
      <c r="U34">
        <v>4.4222873134892842</v>
      </c>
      <c r="V34">
        <v>0.1151559613407446</v>
      </c>
      <c r="W34">
        <v>3.9742915827146659</v>
      </c>
      <c r="X34">
        <v>0.2293323030071498</v>
      </c>
      <c r="Z34" t="s">
        <v>392</v>
      </c>
      <c r="AA34">
        <v>140</v>
      </c>
      <c r="AB34" t="s">
        <v>1439</v>
      </c>
      <c r="AC34" t="str">
        <f>HYPERLINK("plots/20251231112652_3FT6Y119H04_05543_B21P_N_UFLEX98_M5358A8BA201511/dpll_52046/txpa_53211.png","plot")</f>
        <v>plot</v>
      </c>
    </row>
    <row r="35" spans="1:29" x14ac:dyDescent="0.35">
      <c r="A35" t="s">
        <v>47</v>
      </c>
      <c r="B35">
        <v>52046</v>
      </c>
      <c r="C35" t="s">
        <v>51</v>
      </c>
      <c r="D35">
        <v>53212</v>
      </c>
      <c r="E35" t="s">
        <v>87</v>
      </c>
      <c r="F35">
        <v>7139</v>
      </c>
      <c r="G35">
        <v>0.22921703265684951</v>
      </c>
      <c r="H35">
        <v>9.3456886609017797E-86</v>
      </c>
      <c r="I35">
        <v>1.3235374723679329E-85</v>
      </c>
      <c r="J35">
        <v>0.22821472450434321</v>
      </c>
      <c r="K35">
        <v>5.2757111699962193E-85</v>
      </c>
      <c r="L35">
        <v>8.6144462582546953E-85</v>
      </c>
      <c r="M35">
        <v>0.15246956409658929</v>
      </c>
      <c r="N35">
        <v>3.7367888145367471E-83</v>
      </c>
      <c r="O35">
        <v>6.0722818236222139E-83</v>
      </c>
      <c r="P35">
        <v>5.2540448060011229E-2</v>
      </c>
      <c r="Q35">
        <v>0.57115096674963883</v>
      </c>
      <c r="R35">
        <v>1.5036563585737079</v>
      </c>
      <c r="S35">
        <v>0.27928034707721627</v>
      </c>
      <c r="T35">
        <v>0.224816149557027</v>
      </c>
      <c r="U35">
        <v>4.4222873134892842</v>
      </c>
      <c r="V35">
        <v>0.1151559613407446</v>
      </c>
      <c r="W35">
        <v>4.0294500329177758</v>
      </c>
      <c r="X35">
        <v>0.28693957811247722</v>
      </c>
      <c r="Z35" t="s">
        <v>392</v>
      </c>
      <c r="AA35">
        <v>140</v>
      </c>
      <c r="AB35" t="s">
        <v>1440</v>
      </c>
      <c r="AC35" t="str">
        <f>HYPERLINK("plots/20251231112652_3FT6Y119H04_05543_B21P_N_UFLEX98_M5358A8BA201511/dpll_52046/txpa_53212.png","plot")</f>
        <v>plot</v>
      </c>
    </row>
    <row r="36" spans="1:29" x14ac:dyDescent="0.35">
      <c r="A36" t="s">
        <v>47</v>
      </c>
      <c r="B36">
        <v>52046</v>
      </c>
      <c r="C36" t="s">
        <v>51</v>
      </c>
      <c r="D36">
        <v>53213</v>
      </c>
      <c r="E36" t="s">
        <v>88</v>
      </c>
      <c r="F36">
        <v>7139</v>
      </c>
      <c r="G36">
        <v>0.30315072541998273</v>
      </c>
      <c r="H36">
        <v>1.236837474103219E-151</v>
      </c>
      <c r="I36">
        <v>3.1993704049506727E-151</v>
      </c>
      <c r="J36">
        <v>0.30546346589296042</v>
      </c>
      <c r="K36">
        <v>4.8414850837561657E-154</v>
      </c>
      <c r="L36">
        <v>1.4396674120025671E-153</v>
      </c>
      <c r="M36">
        <v>0.20592814461107109</v>
      </c>
      <c r="N36">
        <v>4.4736736202184988E-150</v>
      </c>
      <c r="O36">
        <v>1.32640498564373E-149</v>
      </c>
      <c r="P36">
        <v>9.190036232266173E-2</v>
      </c>
      <c r="Q36">
        <v>0.58012639712029601</v>
      </c>
      <c r="R36">
        <v>1.679079333562143</v>
      </c>
      <c r="S36">
        <v>0.20998427483875631</v>
      </c>
      <c r="T36">
        <v>0.16509457871501251</v>
      </c>
      <c r="U36">
        <v>4.4222873134892842</v>
      </c>
      <c r="V36">
        <v>0.1151559613407446</v>
      </c>
      <c r="W36">
        <v>4.2445649397674741</v>
      </c>
      <c r="X36">
        <v>0.220368969485325</v>
      </c>
      <c r="Z36" t="s">
        <v>392</v>
      </c>
      <c r="AA36">
        <v>140</v>
      </c>
      <c r="AB36" t="s">
        <v>1441</v>
      </c>
      <c r="AC36" t="str">
        <f>HYPERLINK("plots/20251231112652_3FT6Y119H04_05543_B21P_N_UFLEX98_M5358A8BA201511/dpll_52046/txpa_53213.png","plot")</f>
        <v>plot</v>
      </c>
    </row>
    <row r="37" spans="1:29" x14ac:dyDescent="0.35">
      <c r="A37" t="s">
        <v>47</v>
      </c>
      <c r="B37">
        <v>52046</v>
      </c>
      <c r="C37" t="s">
        <v>51</v>
      </c>
      <c r="D37">
        <v>53214</v>
      </c>
      <c r="E37" t="s">
        <v>89</v>
      </c>
      <c r="F37">
        <v>7139</v>
      </c>
      <c r="G37">
        <v>0.23682047844883999</v>
      </c>
      <c r="H37">
        <v>1.4108516687247331E-91</v>
      </c>
      <c r="I37">
        <v>2.1162775030871E-91</v>
      </c>
      <c r="J37">
        <v>0.23313936027521259</v>
      </c>
      <c r="K37">
        <v>9.8636065959353388E-89</v>
      </c>
      <c r="L37">
        <v>1.669732402049822E-88</v>
      </c>
      <c r="M37">
        <v>0.15655710898436939</v>
      </c>
      <c r="N37">
        <v>1.4380243692548891E-87</v>
      </c>
      <c r="O37">
        <v>2.454809276808851E-87</v>
      </c>
      <c r="P37">
        <v>5.6083939012737477E-2</v>
      </c>
      <c r="Q37">
        <v>0.54330112567457234</v>
      </c>
      <c r="R37">
        <v>1.673867498358762</v>
      </c>
      <c r="S37">
        <v>0.25665164052871958</v>
      </c>
      <c r="T37">
        <v>0.20619747623442511</v>
      </c>
      <c r="U37">
        <v>4.4222873134892842</v>
      </c>
      <c r="V37">
        <v>0.1151559613407446</v>
      </c>
      <c r="W37">
        <v>4.0765011738338703</v>
      </c>
      <c r="X37">
        <v>0.26418476913127159</v>
      </c>
      <c r="Z37" t="s">
        <v>392</v>
      </c>
      <c r="AA37">
        <v>140</v>
      </c>
      <c r="AB37" t="s">
        <v>1442</v>
      </c>
      <c r="AC37" t="str">
        <f>HYPERLINK("plots/20251231112652_3FT6Y119H04_05543_B21P_N_UFLEX98_M5358A8BA201511/dpll_52046/txpa_53214.png","plot")</f>
        <v>plot</v>
      </c>
    </row>
    <row r="38" spans="1:29" x14ac:dyDescent="0.35">
      <c r="A38" t="s">
        <v>47</v>
      </c>
      <c r="B38">
        <v>52046</v>
      </c>
      <c r="C38" t="s">
        <v>51</v>
      </c>
      <c r="D38">
        <v>53215</v>
      </c>
      <c r="E38" t="s">
        <v>90</v>
      </c>
      <c r="F38">
        <v>7139</v>
      </c>
      <c r="G38">
        <v>0.31906047258610709</v>
      </c>
      <c r="H38">
        <v>1.2111729822294759E-168</v>
      </c>
      <c r="I38">
        <v>3.7329161215218501E-168</v>
      </c>
      <c r="J38">
        <v>0.31199196901443849</v>
      </c>
      <c r="K38">
        <v>5.8924693324742751E-161</v>
      </c>
      <c r="L38">
        <v>1.9150525330541391E-160</v>
      </c>
      <c r="M38">
        <v>0.21089186959437689</v>
      </c>
      <c r="N38">
        <v>2.675970084270897E-157</v>
      </c>
      <c r="O38">
        <v>8.6415084886964628E-157</v>
      </c>
      <c r="P38">
        <v>0.10179958516687</v>
      </c>
      <c r="Q38">
        <v>0.60194245368470023</v>
      </c>
      <c r="R38">
        <v>1.706590508351294</v>
      </c>
      <c r="S38">
        <v>0.20588495027837761</v>
      </c>
      <c r="T38">
        <v>0.1622550070778439</v>
      </c>
      <c r="U38">
        <v>4.4222873134892842</v>
      </c>
      <c r="V38">
        <v>0.1151559613407446</v>
      </c>
      <c r="W38">
        <v>4.368552984731755</v>
      </c>
      <c r="X38">
        <v>0.21725430719770891</v>
      </c>
      <c r="Z38" t="s">
        <v>392</v>
      </c>
      <c r="AA38">
        <v>140</v>
      </c>
      <c r="AB38" t="s">
        <v>1443</v>
      </c>
      <c r="AC38" t="str">
        <f>HYPERLINK("plots/20251231112652_3FT6Y119H04_05543_B21P_N_UFLEX98_M5358A8BA201511/dpll_52046/txpa_53215.png","plot")</f>
        <v>plot</v>
      </c>
    </row>
    <row r="39" spans="1:29" x14ac:dyDescent="0.35">
      <c r="A39" t="s">
        <v>47</v>
      </c>
      <c r="B39">
        <v>52046</v>
      </c>
      <c r="C39" t="s">
        <v>51</v>
      </c>
      <c r="D39">
        <v>53216</v>
      </c>
      <c r="E39" t="s">
        <v>91</v>
      </c>
      <c r="F39">
        <v>7139</v>
      </c>
      <c r="G39">
        <v>0.26291343491248098</v>
      </c>
      <c r="H39">
        <v>3.5149695242493693E-113</v>
      </c>
      <c r="I39">
        <v>6.2971362148213082E-113</v>
      </c>
      <c r="J39">
        <v>0.27365852789628692</v>
      </c>
      <c r="K39">
        <v>7.9425944467463361E-123</v>
      </c>
      <c r="L39">
        <v>1.7778787569538159E-122</v>
      </c>
      <c r="M39">
        <v>0.1851907068876662</v>
      </c>
      <c r="N39">
        <v>9.3680134332646028E-122</v>
      </c>
      <c r="O39">
        <v>2.1062451488537268E-121</v>
      </c>
      <c r="P39">
        <v>6.9123474257479403E-2</v>
      </c>
      <c r="Q39">
        <v>0.586586312998294</v>
      </c>
      <c r="R39">
        <v>1.6811713577679139</v>
      </c>
      <c r="S39">
        <v>0.24786841601903381</v>
      </c>
      <c r="T39">
        <v>0.19471011352346851</v>
      </c>
      <c r="U39">
        <v>4.4222873134892842</v>
      </c>
      <c r="V39">
        <v>0.1151559613407446</v>
      </c>
      <c r="W39">
        <v>4.275224568006724</v>
      </c>
      <c r="X39">
        <v>0.25692453033116092</v>
      </c>
      <c r="Z39" t="s">
        <v>392</v>
      </c>
      <c r="AA39">
        <v>140</v>
      </c>
      <c r="AB39" t="s">
        <v>1444</v>
      </c>
      <c r="AC39" t="str">
        <f>HYPERLINK("plots/20251231112652_3FT6Y119H04_05543_B21P_N_UFLEX98_M5358A8BA201511/dpll_52046/txpa_53216.png","plot")</f>
        <v>plot</v>
      </c>
    </row>
    <row r="40" spans="1:29" x14ac:dyDescent="0.35">
      <c r="A40" t="s">
        <v>47</v>
      </c>
      <c r="B40">
        <v>52046</v>
      </c>
      <c r="C40" t="s">
        <v>51</v>
      </c>
      <c r="D40">
        <v>53217</v>
      </c>
      <c r="E40" t="s">
        <v>92</v>
      </c>
      <c r="F40">
        <v>7139</v>
      </c>
      <c r="G40">
        <v>0.28124785018676152</v>
      </c>
      <c r="H40">
        <v>6.5612675427525362E-130</v>
      </c>
      <c r="I40">
        <v>1.3522612374697301E-129</v>
      </c>
      <c r="J40">
        <v>0.27890712373521592</v>
      </c>
      <c r="K40">
        <v>1.060716508185428E-127</v>
      </c>
      <c r="L40">
        <v>2.483987388683658E-127</v>
      </c>
      <c r="M40">
        <v>0.1889148265512251</v>
      </c>
      <c r="N40">
        <v>1.2761710421115671E-126</v>
      </c>
      <c r="O40">
        <v>3.0957833413902598E-126</v>
      </c>
      <c r="P40">
        <v>7.9100353234675014E-2</v>
      </c>
      <c r="Q40">
        <v>0.59664877057325605</v>
      </c>
      <c r="R40">
        <v>1.7815029842923349</v>
      </c>
      <c r="S40">
        <v>0.23441840026822239</v>
      </c>
      <c r="T40">
        <v>0.18600022374743119</v>
      </c>
      <c r="U40">
        <v>4.4222873134892842</v>
      </c>
      <c r="V40">
        <v>0.1151559613407446</v>
      </c>
      <c r="W40">
        <v>4.4200552730074243</v>
      </c>
      <c r="X40">
        <v>0.24429577937222149</v>
      </c>
      <c r="Z40" t="s">
        <v>392</v>
      </c>
      <c r="AA40">
        <v>140</v>
      </c>
      <c r="AB40" t="s">
        <v>1445</v>
      </c>
      <c r="AC40" t="str">
        <f>HYPERLINK("plots/20251231112652_3FT6Y119H04_05543_B21P_N_UFLEX98_M5358A8BA201511/dpll_52046/txpa_53217.png","plot")</f>
        <v>plot</v>
      </c>
    </row>
    <row r="41" spans="1:29" x14ac:dyDescent="0.35">
      <c r="A41" t="s">
        <v>47</v>
      </c>
      <c r="B41">
        <v>52046</v>
      </c>
      <c r="C41" t="s">
        <v>51</v>
      </c>
      <c r="D41">
        <v>53218</v>
      </c>
      <c r="E41" t="s">
        <v>93</v>
      </c>
      <c r="F41">
        <v>7139</v>
      </c>
      <c r="G41">
        <v>0.32136536058189441</v>
      </c>
      <c r="H41">
        <v>3.3968217622747532E-171</v>
      </c>
      <c r="I41">
        <v>1.086554342885363E-170</v>
      </c>
      <c r="J41">
        <v>0.30497855750166042</v>
      </c>
      <c r="K41">
        <v>1.554324739860181E-153</v>
      </c>
      <c r="L41">
        <v>4.5551597867578699E-153</v>
      </c>
      <c r="M41">
        <v>0.2065063696417912</v>
      </c>
      <c r="N41">
        <v>6.5789166955119645E-151</v>
      </c>
      <c r="O41">
        <v>1.979531611053155E-150</v>
      </c>
      <c r="P41">
        <v>0.103275694981931</v>
      </c>
      <c r="Q41">
        <v>0.65137506376496612</v>
      </c>
      <c r="R41">
        <v>1.096530577068171</v>
      </c>
      <c r="S41">
        <v>0.22101285881096161</v>
      </c>
      <c r="T41">
        <v>0.17382084348586299</v>
      </c>
      <c r="U41">
        <v>4.4222873134892842</v>
      </c>
      <c r="V41">
        <v>0.1151559613407446</v>
      </c>
      <c r="W41">
        <v>3.9770982578792551</v>
      </c>
      <c r="X41">
        <v>0.23340947986871949</v>
      </c>
      <c r="Z41" t="s">
        <v>392</v>
      </c>
      <c r="AA41">
        <v>140</v>
      </c>
      <c r="AB41" t="s">
        <v>1446</v>
      </c>
      <c r="AC41" t="str">
        <f>HYPERLINK("plots/20251231112652_3FT6Y119H04_05543_B21P_N_UFLEX98_M5358A8BA201511/dpll_52046/txpa_53218.png","plot")</f>
        <v>plot</v>
      </c>
    </row>
    <row r="42" spans="1:29" x14ac:dyDescent="0.35">
      <c r="A42" t="s">
        <v>47</v>
      </c>
      <c r="B42">
        <v>52046</v>
      </c>
      <c r="C42" t="s">
        <v>51</v>
      </c>
      <c r="D42">
        <v>53219</v>
      </c>
      <c r="E42" t="s">
        <v>94</v>
      </c>
      <c r="F42">
        <v>7139</v>
      </c>
      <c r="G42">
        <v>0.30510079210220931</v>
      </c>
      <c r="H42">
        <v>1.158616455452817E-153</v>
      </c>
      <c r="I42">
        <v>3.0674597541231229E-153</v>
      </c>
      <c r="J42">
        <v>0.31234143460941571</v>
      </c>
      <c r="K42">
        <v>2.4840967294247538E-161</v>
      </c>
      <c r="L42">
        <v>8.0992735808254045E-161</v>
      </c>
      <c r="M42">
        <v>0.21133605797182409</v>
      </c>
      <c r="N42">
        <v>5.919761185832483E-158</v>
      </c>
      <c r="O42">
        <v>1.9177756685093089E-157</v>
      </c>
      <c r="P42">
        <v>9.3086493341395515E-2</v>
      </c>
      <c r="Q42">
        <v>0.59098840318902079</v>
      </c>
      <c r="R42">
        <v>3.2625595194180241</v>
      </c>
      <c r="S42">
        <v>0.21240980721788361</v>
      </c>
      <c r="T42">
        <v>0.1639992733577848</v>
      </c>
      <c r="U42">
        <v>4.4222873134892842</v>
      </c>
      <c r="V42">
        <v>0.1151559613407446</v>
      </c>
      <c r="W42">
        <v>5.8760800372601203</v>
      </c>
      <c r="X42">
        <v>0.2230601803474323</v>
      </c>
      <c r="Z42" t="s">
        <v>392</v>
      </c>
      <c r="AA42">
        <v>140</v>
      </c>
      <c r="AB42" t="s">
        <v>1447</v>
      </c>
      <c r="AC42" t="str">
        <f>HYPERLINK("plots/20251231112652_3FT6Y119H04_05543_B21P_N_UFLEX98_M5358A8BA201511/dpll_52046/txpa_53219.png","plot")</f>
        <v>plot</v>
      </c>
    </row>
    <row r="43" spans="1:29" x14ac:dyDescent="0.35">
      <c r="A43" t="s">
        <v>47</v>
      </c>
      <c r="B43">
        <v>52046</v>
      </c>
      <c r="C43" t="s">
        <v>51</v>
      </c>
      <c r="D43">
        <v>53220</v>
      </c>
      <c r="E43" t="s">
        <v>95</v>
      </c>
      <c r="F43">
        <v>7139</v>
      </c>
      <c r="G43">
        <v>0.24144547471697769</v>
      </c>
      <c r="H43">
        <v>3.1996120026256503E-95</v>
      </c>
      <c r="I43">
        <v>4.893524239309818E-95</v>
      </c>
      <c r="J43">
        <v>0.24263421594625709</v>
      </c>
      <c r="K43">
        <v>3.594708385409608E-96</v>
      </c>
      <c r="L43">
        <v>6.4858261615753417E-96</v>
      </c>
      <c r="M43">
        <v>0.16225559172512441</v>
      </c>
      <c r="N43">
        <v>6.4329131245617449E-94</v>
      </c>
      <c r="O43">
        <v>1.160671513933383E-93</v>
      </c>
      <c r="P43">
        <v>5.8295917261306743E-2</v>
      </c>
      <c r="Q43">
        <v>0.58093516830988357</v>
      </c>
      <c r="R43">
        <v>3.3728098336349821</v>
      </c>
      <c r="S43">
        <v>0.26885729880761988</v>
      </c>
      <c r="T43">
        <v>0.21618149913379359</v>
      </c>
      <c r="U43">
        <v>4.4222873134892842</v>
      </c>
      <c r="V43">
        <v>0.1151559613407446</v>
      </c>
      <c r="W43">
        <v>5.9418720584115423</v>
      </c>
      <c r="X43">
        <v>0.27707352089240811</v>
      </c>
      <c r="Z43" t="s">
        <v>392</v>
      </c>
      <c r="AA43">
        <v>140</v>
      </c>
      <c r="AB43" t="s">
        <v>1448</v>
      </c>
      <c r="AC43" t="str">
        <f>HYPERLINK("plots/20251231112652_3FT6Y119H04_05543_B21P_N_UFLEX98_M5358A8BA201511/dpll_52046/txpa_53220.png","plot")</f>
        <v>plot</v>
      </c>
    </row>
    <row r="44" spans="1:29" x14ac:dyDescent="0.35">
      <c r="A44" t="s">
        <v>47</v>
      </c>
      <c r="B44">
        <v>52046</v>
      </c>
      <c r="C44" t="s">
        <v>51</v>
      </c>
      <c r="D44">
        <v>53221</v>
      </c>
      <c r="E44" t="s">
        <v>96</v>
      </c>
      <c r="F44">
        <v>7139</v>
      </c>
      <c r="G44">
        <v>0.31864835251391471</v>
      </c>
      <c r="H44">
        <v>3.44479817368749E-168</v>
      </c>
      <c r="I44">
        <v>1.0552946671054729E-167</v>
      </c>
      <c r="J44">
        <v>0.32476839369330462</v>
      </c>
      <c r="K44">
        <v>5.2686928507627121E-175</v>
      </c>
      <c r="L44">
        <v>2.0009193073683111E-174</v>
      </c>
      <c r="M44">
        <v>0.21949955802136911</v>
      </c>
      <c r="N44">
        <v>3.1249833586249409E-170</v>
      </c>
      <c r="O44">
        <v>1.173604861350256E-169</v>
      </c>
      <c r="P44">
        <v>0.101536772559832</v>
      </c>
      <c r="Q44">
        <v>0.59296533002388752</v>
      </c>
      <c r="R44">
        <v>3.5114987216764861</v>
      </c>
      <c r="S44">
        <v>0.20310648185463279</v>
      </c>
      <c r="T44">
        <v>0.1588220326025401</v>
      </c>
      <c r="U44">
        <v>4.4222873134892842</v>
      </c>
      <c r="V44">
        <v>0.1151559613407446</v>
      </c>
      <c r="W44">
        <v>6.1337617779801104</v>
      </c>
      <c r="X44">
        <v>0.21429105809561941</v>
      </c>
      <c r="Z44" t="s">
        <v>392</v>
      </c>
      <c r="AA44">
        <v>140</v>
      </c>
      <c r="AB44" t="s">
        <v>1449</v>
      </c>
      <c r="AC44" t="str">
        <f>HYPERLINK("plots/20251231112652_3FT6Y119H04_05543_B21P_N_UFLEX98_M5358A8BA201511/dpll_52046/txpa_53221.png","plot")</f>
        <v>plot</v>
      </c>
    </row>
    <row r="45" spans="1:29" x14ac:dyDescent="0.35">
      <c r="A45" t="s">
        <v>47</v>
      </c>
      <c r="B45">
        <v>52046</v>
      </c>
      <c r="C45" t="s">
        <v>51</v>
      </c>
      <c r="D45">
        <v>53222</v>
      </c>
      <c r="E45" t="s">
        <v>97</v>
      </c>
      <c r="F45">
        <v>7139</v>
      </c>
      <c r="G45">
        <v>0.25041063725789059</v>
      </c>
      <c r="H45">
        <v>1.6420317237680179E-102</v>
      </c>
      <c r="I45">
        <v>2.685516399839952E-102</v>
      </c>
      <c r="J45">
        <v>0.2485886902213213</v>
      </c>
      <c r="K45">
        <v>5.2608367114456828E-101</v>
      </c>
      <c r="L45">
        <v>9.9338704383722948E-101</v>
      </c>
      <c r="M45">
        <v>0.1671129385918185</v>
      </c>
      <c r="N45">
        <v>1.6525545430065841E-99</v>
      </c>
      <c r="O45">
        <v>3.114665997413896E-99</v>
      </c>
      <c r="P45">
        <v>6.2705487251902864E-2</v>
      </c>
      <c r="Q45">
        <v>0.55574518976697385</v>
      </c>
      <c r="R45">
        <v>3.5305241070058089</v>
      </c>
      <c r="S45">
        <v>0.24740984788134271</v>
      </c>
      <c r="T45">
        <v>0.1984877128809622</v>
      </c>
      <c r="U45">
        <v>4.4222873134892842</v>
      </c>
      <c r="V45">
        <v>0.1151559613407446</v>
      </c>
      <c r="W45">
        <v>5.9881890092449934</v>
      </c>
      <c r="X45">
        <v>0.25556970058824369</v>
      </c>
      <c r="Z45" t="s">
        <v>392</v>
      </c>
      <c r="AA45">
        <v>140</v>
      </c>
      <c r="AB45" t="s">
        <v>1450</v>
      </c>
      <c r="AC45" t="str">
        <f>HYPERLINK("plots/20251231112652_3FT6Y119H04_05543_B21P_N_UFLEX98_M5358A8BA201511/dpll_52046/txpa_53222.png","plot")</f>
        <v>plot</v>
      </c>
    </row>
    <row r="46" spans="1:29" x14ac:dyDescent="0.35">
      <c r="A46" t="s">
        <v>47</v>
      </c>
      <c r="B46">
        <v>52046</v>
      </c>
      <c r="C46" t="s">
        <v>51</v>
      </c>
      <c r="D46">
        <v>53223</v>
      </c>
      <c r="E46" t="s">
        <v>98</v>
      </c>
      <c r="F46">
        <v>7139</v>
      </c>
      <c r="G46">
        <v>0.33338721513188901</v>
      </c>
      <c r="H46">
        <v>7.1010331854624901E-185</v>
      </c>
      <c r="I46">
        <v>2.7800956177833838E-184</v>
      </c>
      <c r="J46">
        <v>0.32844340806567002</v>
      </c>
      <c r="K46">
        <v>3.5663543917541669E-179</v>
      </c>
      <c r="L46">
        <v>1.4016602144336151E-178</v>
      </c>
      <c r="M46">
        <v>0.22258185712001749</v>
      </c>
      <c r="N46">
        <v>5.4731416281990921E-175</v>
      </c>
      <c r="O46">
        <v>2.1427666451713822E-174</v>
      </c>
      <c r="P46">
        <v>0.1111470352133964</v>
      </c>
      <c r="Q46">
        <v>0.61393854435162643</v>
      </c>
      <c r="R46">
        <v>3.5383830182049669</v>
      </c>
      <c r="S46">
        <v>0.19991571180350859</v>
      </c>
      <c r="T46">
        <v>0.15745842370892829</v>
      </c>
      <c r="U46">
        <v>4.4222873134892842</v>
      </c>
      <c r="V46">
        <v>0.1151559613407446</v>
      </c>
      <c r="W46">
        <v>6.2533956541532429</v>
      </c>
      <c r="X46">
        <v>0.21206177102796309</v>
      </c>
      <c r="Z46" t="s">
        <v>392</v>
      </c>
      <c r="AA46">
        <v>140</v>
      </c>
      <c r="AB46" t="s">
        <v>1451</v>
      </c>
      <c r="AC46" t="str">
        <f>HYPERLINK("plots/20251231112652_3FT6Y119H04_05543_B21P_N_UFLEX98_M5358A8BA201511/dpll_52046/txpa_53223.png","plot")</f>
        <v>plot</v>
      </c>
    </row>
    <row r="47" spans="1:29" x14ac:dyDescent="0.35">
      <c r="A47" t="s">
        <v>47</v>
      </c>
      <c r="B47">
        <v>52046</v>
      </c>
      <c r="C47" t="s">
        <v>51</v>
      </c>
      <c r="D47">
        <v>53224</v>
      </c>
      <c r="E47" t="s">
        <v>99</v>
      </c>
      <c r="F47">
        <v>7139</v>
      </c>
      <c r="G47">
        <v>0.27815442332353862</v>
      </c>
      <c r="H47">
        <v>5.3857367360179334E-127</v>
      </c>
      <c r="I47">
        <v>1.0645491326164099E-126</v>
      </c>
      <c r="J47">
        <v>0.2899193820305091</v>
      </c>
      <c r="K47">
        <v>2.7934063300676257E-138</v>
      </c>
      <c r="L47">
        <v>7.0812850467214333E-138</v>
      </c>
      <c r="M47">
        <v>0.196528300601261</v>
      </c>
      <c r="N47">
        <v>7.2131076399412606E-137</v>
      </c>
      <c r="O47">
        <v>1.8754079863847279E-136</v>
      </c>
      <c r="P47">
        <v>7.7369883214450333E-2</v>
      </c>
      <c r="Q47">
        <v>0.59758577594649509</v>
      </c>
      <c r="R47">
        <v>3.5223762732553952</v>
      </c>
      <c r="S47">
        <v>0.23762060674141541</v>
      </c>
      <c r="T47">
        <v>0.1865779549142986</v>
      </c>
      <c r="U47">
        <v>4.4222873134892842</v>
      </c>
      <c r="V47">
        <v>0.1151559613407446</v>
      </c>
      <c r="W47">
        <v>6.16507226894523</v>
      </c>
      <c r="X47">
        <v>0.24740057587590411</v>
      </c>
      <c r="Z47" t="s">
        <v>392</v>
      </c>
      <c r="AA47">
        <v>140</v>
      </c>
      <c r="AB47" t="s">
        <v>1452</v>
      </c>
      <c r="AC47" t="str">
        <f>HYPERLINK("plots/20251231112652_3FT6Y119H04_05543_B21P_N_UFLEX98_M5358A8BA201511/dpll_52046/txpa_53224.png","plot")</f>
        <v>plot</v>
      </c>
    </row>
    <row r="48" spans="1:29" x14ac:dyDescent="0.35">
      <c r="A48" t="s">
        <v>47</v>
      </c>
      <c r="B48">
        <v>52046</v>
      </c>
      <c r="C48" t="s">
        <v>51</v>
      </c>
      <c r="D48">
        <v>53225</v>
      </c>
      <c r="E48" t="s">
        <v>100</v>
      </c>
      <c r="F48">
        <v>7139</v>
      </c>
      <c r="G48">
        <v>0.29687082225506017</v>
      </c>
      <c r="H48">
        <v>3.3017323467976483E-145</v>
      </c>
      <c r="I48">
        <v>7.9713252372686057E-145</v>
      </c>
      <c r="J48">
        <v>0.29546938536250528</v>
      </c>
      <c r="K48">
        <v>8.5311064135841489E-144</v>
      </c>
      <c r="L48">
        <v>2.3006760381314702E-143</v>
      </c>
      <c r="M48">
        <v>0.2004626422061439</v>
      </c>
      <c r="N48">
        <v>2.5378022117607991E-142</v>
      </c>
      <c r="O48">
        <v>6.9175576417350806E-142</v>
      </c>
      <c r="P48">
        <v>8.8132285106395536E-2</v>
      </c>
      <c r="Q48">
        <v>0.60728128435709683</v>
      </c>
      <c r="R48">
        <v>3.614051553699678</v>
      </c>
      <c r="S48">
        <v>0.22492840697090949</v>
      </c>
      <c r="T48">
        <v>0.17786234396193421</v>
      </c>
      <c r="U48">
        <v>4.4222873134892842</v>
      </c>
      <c r="V48">
        <v>0.1151559613407446</v>
      </c>
      <c r="W48">
        <v>6.2996238732315453</v>
      </c>
      <c r="X48">
        <v>0.23556393846041421</v>
      </c>
      <c r="Z48" t="s">
        <v>392</v>
      </c>
      <c r="AA48">
        <v>140</v>
      </c>
      <c r="AB48" t="s">
        <v>1453</v>
      </c>
      <c r="AC48" t="str">
        <f>HYPERLINK("plots/20251231112652_3FT6Y119H04_05543_B21P_N_UFLEX98_M5358A8BA201511/dpll_52046/txpa_53225.png","plot")</f>
        <v>plot</v>
      </c>
    </row>
    <row r="49" spans="1:29" x14ac:dyDescent="0.35">
      <c r="A49" t="s">
        <v>47</v>
      </c>
      <c r="B49">
        <v>52046</v>
      </c>
      <c r="C49" t="s">
        <v>51</v>
      </c>
      <c r="D49">
        <v>53226</v>
      </c>
      <c r="E49" t="s">
        <v>101</v>
      </c>
      <c r="F49">
        <v>7139</v>
      </c>
      <c r="G49">
        <v>0.33295742563488862</v>
      </c>
      <c r="H49">
        <v>2.244595820807802E-184</v>
      </c>
      <c r="I49">
        <v>8.6212884935572398E-184</v>
      </c>
      <c r="J49">
        <v>0.3192286325691443</v>
      </c>
      <c r="K49">
        <v>7.9025756740836522E-169</v>
      </c>
      <c r="L49">
        <v>2.7536810080827568E-168</v>
      </c>
      <c r="M49">
        <v>0.21662833486164401</v>
      </c>
      <c r="N49">
        <v>7.3387759137038018E-166</v>
      </c>
      <c r="O49">
        <v>2.6202530903153709E-165</v>
      </c>
      <c r="P49">
        <v>0.1108606472854123</v>
      </c>
      <c r="Q49">
        <v>0.65350474380068868</v>
      </c>
      <c r="R49">
        <v>2.9951783383862991</v>
      </c>
      <c r="S49">
        <v>0.2131085929595411</v>
      </c>
      <c r="T49">
        <v>0.1674615937734715</v>
      </c>
      <c r="U49">
        <v>4.4222873134892842</v>
      </c>
      <c r="V49">
        <v>0.1151559613407446</v>
      </c>
      <c r="W49">
        <v>5.885164076201149</v>
      </c>
      <c r="X49">
        <v>0.22601978877512011</v>
      </c>
      <c r="Z49" t="s">
        <v>392</v>
      </c>
      <c r="AA49">
        <v>140</v>
      </c>
      <c r="AB49" t="s">
        <v>1454</v>
      </c>
      <c r="AC49" t="str">
        <f>HYPERLINK("plots/20251231112652_3FT6Y119H04_05543_B21P_N_UFLEX98_M5358A8BA201511/dpll_52046/txpa_53226.png","plot")</f>
        <v>plot</v>
      </c>
    </row>
    <row r="50" spans="1:29" x14ac:dyDescent="0.35">
      <c r="A50" t="s">
        <v>47</v>
      </c>
      <c r="B50">
        <v>52046</v>
      </c>
      <c r="C50" t="s">
        <v>51</v>
      </c>
      <c r="D50">
        <v>53227</v>
      </c>
      <c r="E50" t="s">
        <v>102</v>
      </c>
      <c r="F50">
        <v>7139</v>
      </c>
      <c r="G50">
        <v>0.31919191062865121</v>
      </c>
      <c r="H50">
        <v>8.6750860641036626E-169</v>
      </c>
      <c r="I50">
        <v>2.6900725593275579E-168</v>
      </c>
      <c r="J50">
        <v>0.333969389137447</v>
      </c>
      <c r="K50">
        <v>1.489391210389507E-185</v>
      </c>
      <c r="L50">
        <v>6.2665671673649808E-185</v>
      </c>
      <c r="M50">
        <v>0.22671133094153009</v>
      </c>
      <c r="N50">
        <v>1.8256834045189131E-181</v>
      </c>
      <c r="O50">
        <v>7.6182838361406469E-181</v>
      </c>
      <c r="P50">
        <v>0.1018834758107688</v>
      </c>
      <c r="Q50">
        <v>0.60761086677396037</v>
      </c>
      <c r="R50">
        <v>5.4599837904810906</v>
      </c>
      <c r="S50">
        <v>0.20772846194394801</v>
      </c>
      <c r="T50">
        <v>0.15891237522242929</v>
      </c>
      <c r="U50">
        <v>4.4222873134892842</v>
      </c>
      <c r="V50">
        <v>0.1151559613407446</v>
      </c>
      <c r="W50">
        <v>8.1470136181538031</v>
      </c>
      <c r="X50">
        <v>0.21920985825308659</v>
      </c>
      <c r="Z50" t="s">
        <v>392</v>
      </c>
      <c r="AA50">
        <v>140</v>
      </c>
      <c r="AB50" t="s">
        <v>1455</v>
      </c>
      <c r="AC50" t="str">
        <f>HYPERLINK("plots/20251231112652_3FT6Y119H04_05543_B21P_N_UFLEX98_M5358A8BA201511/dpll_52046/txpa_53227.png","plot")</f>
        <v>plot</v>
      </c>
    </row>
    <row r="51" spans="1:29" x14ac:dyDescent="0.35">
      <c r="A51" t="s">
        <v>47</v>
      </c>
      <c r="B51">
        <v>52046</v>
      </c>
      <c r="C51" t="s">
        <v>51</v>
      </c>
      <c r="D51">
        <v>53228</v>
      </c>
      <c r="E51" t="s">
        <v>103</v>
      </c>
      <c r="F51">
        <v>7139</v>
      </c>
      <c r="G51">
        <v>0.25801117820014158</v>
      </c>
      <c r="H51">
        <v>6.3067652275326928E-109</v>
      </c>
      <c r="I51">
        <v>1.0839084645285E-108</v>
      </c>
      <c r="J51">
        <v>0.26027092308788008</v>
      </c>
      <c r="K51">
        <v>7.0841568393195006E-111</v>
      </c>
      <c r="L51">
        <v>1.4252648879107091E-110</v>
      </c>
      <c r="M51">
        <v>0.1744078382590149</v>
      </c>
      <c r="N51">
        <v>3.2658128650807661E-108</v>
      </c>
      <c r="O51">
        <v>6.5705044547458273E-108</v>
      </c>
      <c r="P51">
        <v>6.6569768076225208E-2</v>
      </c>
      <c r="Q51">
        <v>0.59860272030496708</v>
      </c>
      <c r="R51">
        <v>5.5836828344623246</v>
      </c>
      <c r="S51">
        <v>0.25810540640757818</v>
      </c>
      <c r="T51">
        <v>0.20666325283159559</v>
      </c>
      <c r="U51">
        <v>4.4222873134892842</v>
      </c>
      <c r="V51">
        <v>0.1151559613407446</v>
      </c>
      <c r="W51">
        <v>8.2308760502871543</v>
      </c>
      <c r="X51">
        <v>0.2671693226579186</v>
      </c>
      <c r="Z51" t="s">
        <v>392</v>
      </c>
      <c r="AA51">
        <v>140</v>
      </c>
      <c r="AB51" t="s">
        <v>1456</v>
      </c>
      <c r="AC51" t="str">
        <f>HYPERLINK("plots/20251231112652_3FT6Y119H04_05543_B21P_N_UFLEX98_M5358A8BA201511/dpll_52046/txpa_53228.png","plot")</f>
        <v>plot</v>
      </c>
    </row>
    <row r="52" spans="1:29" x14ac:dyDescent="0.35">
      <c r="A52" t="s">
        <v>47</v>
      </c>
      <c r="B52">
        <v>52046</v>
      </c>
      <c r="C52" t="s">
        <v>51</v>
      </c>
      <c r="D52">
        <v>53229</v>
      </c>
      <c r="E52" t="s">
        <v>104</v>
      </c>
      <c r="F52">
        <v>7139</v>
      </c>
      <c r="G52">
        <v>0.3369936247975302</v>
      </c>
      <c r="H52">
        <v>4.2221825272817622E-189</v>
      </c>
      <c r="I52">
        <v>1.7913360178509231E-188</v>
      </c>
      <c r="J52">
        <v>0.34849698505757731</v>
      </c>
      <c r="K52">
        <v>5.7937770785035204E-203</v>
      </c>
      <c r="L52">
        <v>2.9083613651497869E-202</v>
      </c>
      <c r="M52">
        <v>0.23660442200765541</v>
      </c>
      <c r="N52">
        <v>1.8351162713413631E-197</v>
      </c>
      <c r="O52">
        <v>8.9461918227891467E-197</v>
      </c>
      <c r="P52">
        <v>0.1135647031541786</v>
      </c>
      <c r="Q52">
        <v>0.6155889657292507</v>
      </c>
      <c r="R52">
        <v>5.6630919003654157</v>
      </c>
      <c r="S52">
        <v>0.19803806218588549</v>
      </c>
      <c r="T52">
        <v>0.1532083639751157</v>
      </c>
      <c r="U52">
        <v>4.4222873134892842</v>
      </c>
      <c r="V52">
        <v>0.1151559613407446</v>
      </c>
      <c r="W52">
        <v>8.3854031738338701</v>
      </c>
      <c r="X52">
        <v>0.21035632107846949</v>
      </c>
      <c r="Z52" t="s">
        <v>392</v>
      </c>
      <c r="AA52">
        <v>140</v>
      </c>
      <c r="AB52" t="s">
        <v>1457</v>
      </c>
      <c r="AC52" t="str">
        <f>HYPERLINK("plots/20251231112652_3FT6Y119H04_05543_B21P_N_UFLEX98_M5358A8BA201511/dpll_52046/txpa_53229.png","plot")</f>
        <v>plot</v>
      </c>
    </row>
    <row r="53" spans="1:29" x14ac:dyDescent="0.35">
      <c r="A53" t="s">
        <v>47</v>
      </c>
      <c r="B53">
        <v>52046</v>
      </c>
      <c r="C53" t="s">
        <v>51</v>
      </c>
      <c r="D53">
        <v>53230</v>
      </c>
      <c r="E53" t="s">
        <v>105</v>
      </c>
      <c r="F53">
        <v>7139</v>
      </c>
      <c r="G53">
        <v>0.27025104844448361</v>
      </c>
      <c r="H53">
        <v>1.01647188665506E-119</v>
      </c>
      <c r="I53">
        <v>1.8981629706597261E-119</v>
      </c>
      <c r="J53">
        <v>0.26909584219957422</v>
      </c>
      <c r="K53">
        <v>1.122741013052983E-118</v>
      </c>
      <c r="L53">
        <v>2.386707310766719E-118</v>
      </c>
      <c r="M53">
        <v>0.18140364313331511</v>
      </c>
      <c r="N53">
        <v>6.5978102434396242E-117</v>
      </c>
      <c r="O53">
        <v>1.4144142889741599E-116</v>
      </c>
      <c r="P53">
        <v>7.3035629185342593E-2</v>
      </c>
      <c r="Q53">
        <v>0.57957356858657239</v>
      </c>
      <c r="R53">
        <v>5.7134151770748911</v>
      </c>
      <c r="S53">
        <v>0.237754480905912</v>
      </c>
      <c r="T53">
        <v>0.18993116250590811</v>
      </c>
      <c r="U53">
        <v>4.4222873134892842</v>
      </c>
      <c r="V53">
        <v>0.1151559613407446</v>
      </c>
      <c r="W53">
        <v>8.2764560166690018</v>
      </c>
      <c r="X53">
        <v>0.24696056441750719</v>
      </c>
      <c r="Z53" t="s">
        <v>392</v>
      </c>
      <c r="AA53">
        <v>140</v>
      </c>
      <c r="AB53" t="s">
        <v>1458</v>
      </c>
      <c r="AC53" t="str">
        <f>HYPERLINK("plots/20251231112652_3FT6Y119H04_05543_B21P_N_UFLEX98_M5358A8BA201511/dpll_52046/txpa_53230.png","plot")</f>
        <v>plot</v>
      </c>
    </row>
    <row r="54" spans="1:29" x14ac:dyDescent="0.35">
      <c r="A54" t="s">
        <v>47</v>
      </c>
      <c r="B54">
        <v>52046</v>
      </c>
      <c r="C54" t="s">
        <v>51</v>
      </c>
      <c r="D54">
        <v>53231</v>
      </c>
      <c r="E54" t="s">
        <v>106</v>
      </c>
      <c r="F54">
        <v>7139</v>
      </c>
      <c r="G54">
        <v>0.35156561358397942</v>
      </c>
      <c r="H54">
        <v>9.2256560660655014E-207</v>
      </c>
      <c r="I54">
        <v>5.6354308740906135E-206</v>
      </c>
      <c r="J54">
        <v>0.34779212836265427</v>
      </c>
      <c r="K54">
        <v>4.2594190772536676E-202</v>
      </c>
      <c r="L54">
        <v>2.0966266720073881E-201</v>
      </c>
      <c r="M54">
        <v>0.23665848695844019</v>
      </c>
      <c r="N54">
        <v>1.4930456628337911E-197</v>
      </c>
      <c r="O54">
        <v>7.3137599135916133E-197</v>
      </c>
      <c r="P54">
        <v>0.1235983806546799</v>
      </c>
      <c r="Q54">
        <v>0.63712225765899055</v>
      </c>
      <c r="R54">
        <v>5.6863836419053051</v>
      </c>
      <c r="S54">
        <v>0.19535475142822001</v>
      </c>
      <c r="T54">
        <v>0.15290586415527699</v>
      </c>
      <c r="U54">
        <v>4.4222873134892842</v>
      </c>
      <c r="V54">
        <v>0.1151559613407446</v>
      </c>
      <c r="W54">
        <v>8.50392131909231</v>
      </c>
      <c r="X54">
        <v>0.20869056368842209</v>
      </c>
      <c r="Z54" t="s">
        <v>392</v>
      </c>
      <c r="AA54">
        <v>140</v>
      </c>
      <c r="AB54" t="s">
        <v>1459</v>
      </c>
      <c r="AC54" t="str">
        <f>HYPERLINK("plots/20251231112652_3FT6Y119H04_05543_B21P_N_UFLEX98_M5358A8BA201511/dpll_52046/txpa_53231.png","plot")</f>
        <v>plot</v>
      </c>
    </row>
    <row r="55" spans="1:29" x14ac:dyDescent="0.35">
      <c r="A55" t="s">
        <v>47</v>
      </c>
      <c r="B55">
        <v>52046</v>
      </c>
      <c r="C55" t="s">
        <v>51</v>
      </c>
      <c r="D55">
        <v>53232</v>
      </c>
      <c r="E55" t="s">
        <v>107</v>
      </c>
      <c r="F55">
        <v>7139</v>
      </c>
      <c r="G55">
        <v>0.29970425974716031</v>
      </c>
      <c r="H55">
        <v>4.3559917466117018E-148</v>
      </c>
      <c r="I55">
        <v>1.074689934565515E-147</v>
      </c>
      <c r="J55">
        <v>0.31145634257691163</v>
      </c>
      <c r="K55">
        <v>2.2093754359576851E-160</v>
      </c>
      <c r="L55">
        <v>7.1120847367018803E-160</v>
      </c>
      <c r="M55">
        <v>0.2118326615935934</v>
      </c>
      <c r="N55">
        <v>1.0902137674293771E-158</v>
      </c>
      <c r="O55">
        <v>3.5775946931177621E-158</v>
      </c>
      <c r="P55">
        <v>8.9822643310593295E-2</v>
      </c>
      <c r="Q55">
        <v>0.61926242511095619</v>
      </c>
      <c r="R55">
        <v>5.683785998328104</v>
      </c>
      <c r="S55">
        <v>0.2269869205885981</v>
      </c>
      <c r="T55">
        <v>0.17779735561470519</v>
      </c>
      <c r="U55">
        <v>4.4222873134892842</v>
      </c>
      <c r="V55">
        <v>0.1151559613407446</v>
      </c>
      <c r="W55">
        <v>8.4223423646168936</v>
      </c>
      <c r="X55">
        <v>0.23794042816079369</v>
      </c>
      <c r="Z55" t="s">
        <v>392</v>
      </c>
      <c r="AA55">
        <v>140</v>
      </c>
      <c r="AB55" t="s">
        <v>1460</v>
      </c>
      <c r="AC55" t="str">
        <f>HYPERLINK("plots/20251231112652_3FT6Y119H04_05543_B21P_N_UFLEX98_M5358A8BA201511/dpll_52046/txpa_53232.png","plot")</f>
        <v>plot</v>
      </c>
    </row>
    <row r="56" spans="1:29" x14ac:dyDescent="0.35">
      <c r="A56" t="s">
        <v>47</v>
      </c>
      <c r="B56">
        <v>52046</v>
      </c>
      <c r="C56" t="s">
        <v>51</v>
      </c>
      <c r="D56">
        <v>53233</v>
      </c>
      <c r="E56" t="s">
        <v>108</v>
      </c>
      <c r="F56">
        <v>7139</v>
      </c>
      <c r="G56">
        <v>0.31756399352309961</v>
      </c>
      <c r="H56">
        <v>5.3478325808150412E-167</v>
      </c>
      <c r="I56">
        <v>1.6138994752816821E-166</v>
      </c>
      <c r="J56">
        <v>0.31605917118131771</v>
      </c>
      <c r="K56">
        <v>2.3593891718151782E-165</v>
      </c>
      <c r="L56">
        <v>8.1099004075274241E-165</v>
      </c>
      <c r="M56">
        <v>0.21511988570784921</v>
      </c>
      <c r="N56">
        <v>1.3742282207951149E-163</v>
      </c>
      <c r="O56">
        <v>4.7236183589364301E-163</v>
      </c>
      <c r="P56">
        <v>0.10084688998233921</v>
      </c>
      <c r="Q56">
        <v>0.62805366501865656</v>
      </c>
      <c r="R56">
        <v>5.764958504417633</v>
      </c>
      <c r="S56">
        <v>0.21594260243277391</v>
      </c>
      <c r="T56">
        <v>0.16965221810500991</v>
      </c>
      <c r="U56">
        <v>4.4222873134892842</v>
      </c>
      <c r="V56">
        <v>0.1151559613407446</v>
      </c>
      <c r="W56">
        <v>8.5423922594200867</v>
      </c>
      <c r="X56">
        <v>0.22774661184483599</v>
      </c>
      <c r="Z56" t="s">
        <v>392</v>
      </c>
      <c r="AA56">
        <v>140</v>
      </c>
      <c r="AB56" t="s">
        <v>1461</v>
      </c>
      <c r="AC56" t="str">
        <f>HYPERLINK("plots/20251231112652_3FT6Y119H04_05543_B21P_N_UFLEX98_M5358A8BA201511/dpll_52046/txpa_53233.png","plot")</f>
        <v>plot</v>
      </c>
    </row>
    <row r="57" spans="1:29" x14ac:dyDescent="0.35">
      <c r="A57" t="s">
        <v>47</v>
      </c>
      <c r="B57">
        <v>52046</v>
      </c>
      <c r="C57" t="s">
        <v>51</v>
      </c>
      <c r="D57">
        <v>53234</v>
      </c>
      <c r="E57" t="s">
        <v>109</v>
      </c>
      <c r="F57">
        <v>7139</v>
      </c>
      <c r="G57">
        <v>0.34757098828934929</v>
      </c>
      <c r="H57">
        <v>7.9562587476892074E-202</v>
      </c>
      <c r="I57">
        <v>4.3774877068747943E-201</v>
      </c>
      <c r="J57">
        <v>0.33578474546663217</v>
      </c>
      <c r="K57">
        <v>1.117817942567208E-187</v>
      </c>
      <c r="L57">
        <v>4.8646669260220975E-187</v>
      </c>
      <c r="M57">
        <v>0.228697740331019</v>
      </c>
      <c r="N57">
        <v>1.2703053273146081E-184</v>
      </c>
      <c r="O57">
        <v>5.4580067876992043E-184</v>
      </c>
      <c r="P57">
        <v>0.12080559190043499</v>
      </c>
      <c r="Q57">
        <v>0.66284489308175754</v>
      </c>
      <c r="R57">
        <v>5.2356237584461471</v>
      </c>
      <c r="S57">
        <v>0.20590498470640389</v>
      </c>
      <c r="T57">
        <v>0.16094180007442929</v>
      </c>
      <c r="U57">
        <v>4.4222873134892842</v>
      </c>
      <c r="V57">
        <v>0.1151559613407446</v>
      </c>
      <c r="W57">
        <v>8.166914319932765</v>
      </c>
      <c r="X57">
        <v>0.21961136991988661</v>
      </c>
      <c r="Z57" t="s">
        <v>392</v>
      </c>
      <c r="AA57">
        <v>140</v>
      </c>
      <c r="AB57" t="s">
        <v>1462</v>
      </c>
      <c r="AC57" t="str">
        <f>HYPERLINK("plots/20251231112652_3FT6Y119H04_05543_B21P_N_UFLEX98_M5358A8BA201511/dpll_52046/txpa_53234.png","plot")</f>
        <v>plot</v>
      </c>
    </row>
    <row r="58" spans="1:29" x14ac:dyDescent="0.35">
      <c r="A58" t="s">
        <v>47</v>
      </c>
      <c r="B58">
        <v>52046</v>
      </c>
      <c r="C58" t="s">
        <v>51</v>
      </c>
      <c r="D58">
        <v>53235</v>
      </c>
      <c r="E58" t="s">
        <v>110</v>
      </c>
      <c r="F58">
        <v>7139</v>
      </c>
      <c r="G58">
        <v>0.32462800042378248</v>
      </c>
      <c r="H58">
        <v>7.5829316957396561E-175</v>
      </c>
      <c r="I58">
        <v>2.563030913160004E-174</v>
      </c>
      <c r="J58">
        <v>0.34350388295863588</v>
      </c>
      <c r="K58">
        <v>7.1180034279449742E-197</v>
      </c>
      <c r="L58">
        <v>3.2659074551747528E-196</v>
      </c>
      <c r="M58">
        <v>0.23361311734108081</v>
      </c>
      <c r="N58">
        <v>1.487072041608996E-192</v>
      </c>
      <c r="O58">
        <v>6.7618432744014447E-192</v>
      </c>
      <c r="P58">
        <v>0.1053833386591433</v>
      </c>
      <c r="Q58">
        <v>0.61760038314817978</v>
      </c>
      <c r="R58">
        <v>6.4076868235655766</v>
      </c>
      <c r="S58">
        <v>0.2072030182099433</v>
      </c>
      <c r="T58">
        <v>0.1573988154680914</v>
      </c>
      <c r="U58">
        <v>4.4222873134892842</v>
      </c>
      <c r="V58">
        <v>0.1151559613407446</v>
      </c>
      <c r="W58">
        <v>9.1388931627678929</v>
      </c>
      <c r="X58">
        <v>0.21908266000775489</v>
      </c>
      <c r="Z58" t="s">
        <v>392</v>
      </c>
      <c r="AA58">
        <v>140</v>
      </c>
      <c r="AB58" t="s">
        <v>1463</v>
      </c>
      <c r="AC58" t="str">
        <f>HYPERLINK("plots/20251231112652_3FT6Y119H04_05543_B21P_N_UFLEX98_M5358A8BA201511/dpll_52046/txpa_53235.png","plot")</f>
        <v>plot</v>
      </c>
    </row>
    <row r="59" spans="1:29" x14ac:dyDescent="0.35">
      <c r="A59" t="s">
        <v>47</v>
      </c>
      <c r="B59">
        <v>52046</v>
      </c>
      <c r="C59" t="s">
        <v>51</v>
      </c>
      <c r="D59">
        <v>53236</v>
      </c>
      <c r="E59" t="s">
        <v>111</v>
      </c>
      <c r="F59">
        <v>7139</v>
      </c>
      <c r="G59">
        <v>0.2660009705778062</v>
      </c>
      <c r="H59">
        <v>6.6023092490210242E-116</v>
      </c>
      <c r="I59">
        <v>1.2084371080338121E-115</v>
      </c>
      <c r="J59">
        <v>0.26871613205319073</v>
      </c>
      <c r="K59">
        <v>2.4662899559318689E-118</v>
      </c>
      <c r="L59">
        <v>5.231836852123253E-118</v>
      </c>
      <c r="M59">
        <v>0.18029492460770369</v>
      </c>
      <c r="N59">
        <v>1.659575389971836E-115</v>
      </c>
      <c r="O59">
        <v>3.5058530113155018E-115</v>
      </c>
      <c r="P59">
        <v>7.0756516348334922E-2</v>
      </c>
      <c r="Q59">
        <v>0.6093479133956603</v>
      </c>
      <c r="R59">
        <v>6.5383530988379093</v>
      </c>
      <c r="S59">
        <v>0.2542745387813784</v>
      </c>
      <c r="T59">
        <v>0.20300736006389891</v>
      </c>
      <c r="U59">
        <v>4.4222873134892842</v>
      </c>
      <c r="V59">
        <v>0.1151559613407446</v>
      </c>
      <c r="W59">
        <v>9.2330646457487049</v>
      </c>
      <c r="X59">
        <v>0.26379619820796518</v>
      </c>
      <c r="Z59" t="s">
        <v>392</v>
      </c>
      <c r="AA59">
        <v>140</v>
      </c>
      <c r="AB59" t="s">
        <v>1464</v>
      </c>
      <c r="AC59" t="str">
        <f>HYPERLINK("plots/20251231112652_3FT6Y119H04_05543_B21P_N_UFLEX98_M5358A8BA201511/dpll_52046/txpa_53236.png","plot")</f>
        <v>plot</v>
      </c>
    </row>
    <row r="60" spans="1:29" x14ac:dyDescent="0.35">
      <c r="A60" t="s">
        <v>47</v>
      </c>
      <c r="B60">
        <v>52046</v>
      </c>
      <c r="C60" t="s">
        <v>51</v>
      </c>
      <c r="D60">
        <v>53237</v>
      </c>
      <c r="E60" t="s">
        <v>112</v>
      </c>
      <c r="F60">
        <v>7139</v>
      </c>
      <c r="G60">
        <v>0.34499725856966268</v>
      </c>
      <c r="H60">
        <v>1.1035207850420221E-198</v>
      </c>
      <c r="I60">
        <v>5.7977724146767358E-198</v>
      </c>
      <c r="J60">
        <v>0.35939882074279211</v>
      </c>
      <c r="K60">
        <v>1.1909186445578461E-216</v>
      </c>
      <c r="L60">
        <v>8.159402064740917E-216</v>
      </c>
      <c r="M60">
        <v>0.24456289021417091</v>
      </c>
      <c r="N60">
        <v>7.9286638927680411E-211</v>
      </c>
      <c r="O60">
        <v>4.9627562884362918E-210</v>
      </c>
      <c r="P60">
        <v>0.1190231084205827</v>
      </c>
      <c r="Q60">
        <v>0.62977756311838129</v>
      </c>
      <c r="R60">
        <v>6.5822723463453698</v>
      </c>
      <c r="S60">
        <v>0.1972921495132243</v>
      </c>
      <c r="T60">
        <v>0.1515151198445269</v>
      </c>
      <c r="U60">
        <v>4.4222873134892842</v>
      </c>
      <c r="V60">
        <v>0.1151559613407446</v>
      </c>
      <c r="W60">
        <v>9.3673296740439849</v>
      </c>
      <c r="X60">
        <v>0.21021222317070881</v>
      </c>
      <c r="Z60" t="s">
        <v>392</v>
      </c>
      <c r="AA60">
        <v>140</v>
      </c>
      <c r="AB60" t="s">
        <v>1465</v>
      </c>
      <c r="AC60" t="str">
        <f>HYPERLINK("plots/20251231112652_3FT6Y119H04_05543_B21P_N_UFLEX98_M5358A8BA201511/dpll_52046/txpa_53237.png","plot")</f>
        <v>plot</v>
      </c>
    </row>
    <row r="61" spans="1:29" x14ac:dyDescent="0.35">
      <c r="A61" t="s">
        <v>47</v>
      </c>
      <c r="B61">
        <v>52046</v>
      </c>
      <c r="C61" t="s">
        <v>51</v>
      </c>
      <c r="D61">
        <v>53238</v>
      </c>
      <c r="E61" t="s">
        <v>113</v>
      </c>
      <c r="F61">
        <v>7139</v>
      </c>
      <c r="G61">
        <v>0.27989725612529143</v>
      </c>
      <c r="H61">
        <v>1.2415940167222341E-128</v>
      </c>
      <c r="I61">
        <v>2.5129268122881152E-128</v>
      </c>
      <c r="J61">
        <v>0.27908274660450338</v>
      </c>
      <c r="K61">
        <v>7.2549725465426018E-128</v>
      </c>
      <c r="L61">
        <v>1.7108237586498131E-127</v>
      </c>
      <c r="M61">
        <v>0.1883771471725135</v>
      </c>
      <c r="N61">
        <v>6.5042357540320775E-126</v>
      </c>
      <c r="O61">
        <v>1.5591714077041429E-125</v>
      </c>
      <c r="P61">
        <v>7.8342473986466987E-2</v>
      </c>
      <c r="Q61">
        <v>0.59344333676328342</v>
      </c>
      <c r="R61">
        <v>6.6540670070480878</v>
      </c>
      <c r="S61">
        <v>0.23438046407473739</v>
      </c>
      <c r="T61">
        <v>0.18670428217774299</v>
      </c>
      <c r="U61">
        <v>4.4222873134892842</v>
      </c>
      <c r="V61">
        <v>0.1151559613407446</v>
      </c>
      <c r="W61">
        <v>9.2784439464911053</v>
      </c>
      <c r="X61">
        <v>0.2441557980677185</v>
      </c>
      <c r="Z61" t="s">
        <v>392</v>
      </c>
      <c r="AA61">
        <v>140</v>
      </c>
      <c r="AB61" t="s">
        <v>1466</v>
      </c>
      <c r="AC61" t="str">
        <f>HYPERLINK("plots/20251231112652_3FT6Y119H04_05543_B21P_N_UFLEX98_M5358A8BA201511/dpll_52046/txpa_53238.png","plot")</f>
        <v>plot</v>
      </c>
    </row>
    <row r="62" spans="1:29" x14ac:dyDescent="0.35">
      <c r="A62" t="s">
        <v>47</v>
      </c>
      <c r="B62">
        <v>52046</v>
      </c>
      <c r="C62" t="s">
        <v>51</v>
      </c>
      <c r="D62">
        <v>53239</v>
      </c>
      <c r="E62" t="s">
        <v>114</v>
      </c>
      <c r="F62">
        <v>7139</v>
      </c>
      <c r="G62">
        <v>0.35843896232562478</v>
      </c>
      <c r="H62">
        <v>2.0080639358369281E-215</v>
      </c>
      <c r="I62">
        <v>1.4339273457314399E-214</v>
      </c>
      <c r="J62">
        <v>0.35554464978246991</v>
      </c>
      <c r="K62">
        <v>9.4770309382144318E-212</v>
      </c>
      <c r="L62">
        <v>5.6197130826604873E-211</v>
      </c>
      <c r="M62">
        <v>0.2423941519318977</v>
      </c>
      <c r="N62">
        <v>3.8438194173535343E-207</v>
      </c>
      <c r="O62">
        <v>2.1533883365726431E-206</v>
      </c>
      <c r="P62">
        <v>0.12847848971307069</v>
      </c>
      <c r="Q62">
        <v>0.64928148194254809</v>
      </c>
      <c r="R62">
        <v>6.6154274146865379</v>
      </c>
      <c r="S62">
        <v>0.194721033773192</v>
      </c>
      <c r="T62">
        <v>0.15170492703822341</v>
      </c>
      <c r="U62">
        <v>4.4222873134892842</v>
      </c>
      <c r="V62">
        <v>0.1151559613407446</v>
      </c>
      <c r="W62">
        <v>9.4867366751645896</v>
      </c>
      <c r="X62">
        <v>0.20859516149897139</v>
      </c>
      <c r="Z62" t="s">
        <v>392</v>
      </c>
      <c r="AA62">
        <v>140</v>
      </c>
      <c r="AB62" t="s">
        <v>1467</v>
      </c>
      <c r="AC62" t="str">
        <f>HYPERLINK("plots/20251231112652_3FT6Y119H04_05543_B21P_N_UFLEX98_M5358A8BA201511/dpll_52046/txpa_53239.png","plot")</f>
        <v>plot</v>
      </c>
    </row>
    <row r="63" spans="1:29" x14ac:dyDescent="0.35">
      <c r="A63" t="s">
        <v>47</v>
      </c>
      <c r="B63">
        <v>52046</v>
      </c>
      <c r="C63" t="s">
        <v>51</v>
      </c>
      <c r="D63">
        <v>53240</v>
      </c>
      <c r="E63" t="s">
        <v>115</v>
      </c>
      <c r="F63">
        <v>7139</v>
      </c>
      <c r="G63">
        <v>0.30981266473385799</v>
      </c>
      <c r="H63">
        <v>1.253613659807936E-158</v>
      </c>
      <c r="I63">
        <v>3.4355790568790448E-158</v>
      </c>
      <c r="J63">
        <v>0.32148954672702729</v>
      </c>
      <c r="K63">
        <v>2.471299034883773E-171</v>
      </c>
      <c r="L63">
        <v>8.9496329334719484E-171</v>
      </c>
      <c r="M63">
        <v>0.21908821184959831</v>
      </c>
      <c r="N63">
        <v>1.3276022283317961E-169</v>
      </c>
      <c r="O63">
        <v>4.9310939909466732E-169</v>
      </c>
      <c r="P63">
        <v>9.5983887229493928E-2</v>
      </c>
      <c r="Q63">
        <v>0.63206194926342341</v>
      </c>
      <c r="R63">
        <v>6.6126136537374398</v>
      </c>
      <c r="S63">
        <v>0.22335957298738121</v>
      </c>
      <c r="T63">
        <v>0.17452197442610001</v>
      </c>
      <c r="U63">
        <v>4.4222873134892842</v>
      </c>
      <c r="V63">
        <v>0.1151559613407446</v>
      </c>
      <c r="W63">
        <v>9.4077731933043847</v>
      </c>
      <c r="X63">
        <v>0.23493455781370459</v>
      </c>
      <c r="Z63" t="s">
        <v>392</v>
      </c>
      <c r="AA63">
        <v>140</v>
      </c>
      <c r="AB63" t="s">
        <v>1468</v>
      </c>
      <c r="AC63" t="str">
        <f>HYPERLINK("plots/20251231112652_3FT6Y119H04_05543_B21P_N_UFLEX98_M5358A8BA201511/dpll_52046/txpa_53240.png","plot")</f>
        <v>plot</v>
      </c>
    </row>
    <row r="64" spans="1:29" x14ac:dyDescent="0.35">
      <c r="A64" t="s">
        <v>47</v>
      </c>
      <c r="B64">
        <v>52046</v>
      </c>
      <c r="C64" t="s">
        <v>51</v>
      </c>
      <c r="D64">
        <v>53241</v>
      </c>
      <c r="E64" t="s">
        <v>116</v>
      </c>
      <c r="F64">
        <v>7139</v>
      </c>
      <c r="G64">
        <v>0.32719143418379998</v>
      </c>
      <c r="H64">
        <v>9.531570694323193E-178</v>
      </c>
      <c r="I64">
        <v>3.3099358506999031E-177</v>
      </c>
      <c r="J64">
        <v>0.3255828316463204</v>
      </c>
      <c r="K64">
        <v>6.3486756089594172E-176</v>
      </c>
      <c r="L64">
        <v>2.429266817918811E-175</v>
      </c>
      <c r="M64">
        <v>0.22203370316150589</v>
      </c>
      <c r="N64">
        <v>3.8700045800693901E-174</v>
      </c>
      <c r="O64">
        <v>1.503519020762591E-173</v>
      </c>
      <c r="P64">
        <v>0.1070542346032519</v>
      </c>
      <c r="Q64">
        <v>0.64044370809015883</v>
      </c>
      <c r="R64">
        <v>6.6880241825334821</v>
      </c>
      <c r="S64">
        <v>0.21298429715438311</v>
      </c>
      <c r="T64">
        <v>0.16659766209422261</v>
      </c>
      <c r="U64">
        <v>4.4222873134892842</v>
      </c>
      <c r="V64">
        <v>0.1151559613407446</v>
      </c>
      <c r="W64">
        <v>9.5202502678246255</v>
      </c>
      <c r="X64">
        <v>0.22540599534254249</v>
      </c>
      <c r="Z64" t="s">
        <v>392</v>
      </c>
      <c r="AA64">
        <v>140</v>
      </c>
      <c r="AB64" t="s">
        <v>1469</v>
      </c>
      <c r="AC64" t="str">
        <f>HYPERLINK("plots/20251231112652_3FT6Y119H04_05543_B21P_N_UFLEX98_M5358A8BA201511/dpll_52046/txpa_53241.png","plot")</f>
        <v>plot</v>
      </c>
    </row>
    <row r="65" spans="1:29" x14ac:dyDescent="0.35">
      <c r="A65" t="s">
        <v>47</v>
      </c>
      <c r="B65">
        <v>52046</v>
      </c>
      <c r="C65" t="s">
        <v>51</v>
      </c>
      <c r="D65">
        <v>53242</v>
      </c>
      <c r="E65" t="s">
        <v>117</v>
      </c>
      <c r="F65">
        <v>7139</v>
      </c>
      <c r="G65">
        <v>0.3539239266932982</v>
      </c>
      <c r="H65">
        <v>1.0403852233645149E-209</v>
      </c>
      <c r="I65">
        <v>6.8503286785170042E-209</v>
      </c>
      <c r="J65">
        <v>0.34284462331534121</v>
      </c>
      <c r="K65">
        <v>4.4467942045558313E-196</v>
      </c>
      <c r="L65">
        <v>2.0040219215198279E-195</v>
      </c>
      <c r="M65">
        <v>0.23392152169915331</v>
      </c>
      <c r="N65">
        <v>4.6701488774352074E-193</v>
      </c>
      <c r="O65">
        <v>2.1331220548285138E-192</v>
      </c>
      <c r="P65">
        <v>0.1252621458860031</v>
      </c>
      <c r="Q65">
        <v>0.67045725719760907</v>
      </c>
      <c r="R65">
        <v>6.1994111684054101</v>
      </c>
      <c r="S65">
        <v>0.20401219987319691</v>
      </c>
      <c r="T65">
        <v>0.15884954180355959</v>
      </c>
      <c r="U65">
        <v>4.4222873134892842</v>
      </c>
      <c r="V65">
        <v>0.1151559613407446</v>
      </c>
      <c r="W65">
        <v>9.1643657911472189</v>
      </c>
      <c r="X65">
        <v>0.21814617257390281</v>
      </c>
      <c r="Z65" t="s">
        <v>392</v>
      </c>
      <c r="AA65">
        <v>140</v>
      </c>
      <c r="AB65" t="s">
        <v>1470</v>
      </c>
      <c r="AC65" t="str">
        <f>HYPERLINK("plots/20251231112652_3FT6Y119H04_05543_B21P_N_UFLEX98_M5358A8BA201511/dpll_52046/txpa_53242.png","plot")</f>
        <v>plot</v>
      </c>
    </row>
    <row r="66" spans="1:29" x14ac:dyDescent="0.35">
      <c r="A66" t="s">
        <v>47</v>
      </c>
      <c r="B66">
        <v>52046</v>
      </c>
      <c r="C66" t="s">
        <v>51</v>
      </c>
      <c r="D66">
        <v>53243</v>
      </c>
      <c r="E66" t="s">
        <v>118</v>
      </c>
      <c r="F66">
        <v>7139</v>
      </c>
      <c r="G66">
        <v>0.33073808440865898</v>
      </c>
      <c r="H66">
        <v>8.3044084216374139E-182</v>
      </c>
      <c r="I66">
        <v>3.0620618689237588E-181</v>
      </c>
      <c r="J66">
        <v>0.35335212353352091</v>
      </c>
      <c r="K66">
        <v>5.4231054678822096E-209</v>
      </c>
      <c r="L66">
        <v>3.0214444749629449E-208</v>
      </c>
      <c r="M66">
        <v>0.24085731134020871</v>
      </c>
      <c r="N66">
        <v>1.5030586297366309E-204</v>
      </c>
      <c r="O66">
        <v>8.1069226093241695E-204</v>
      </c>
      <c r="P66">
        <v>0.1093876804783092</v>
      </c>
      <c r="Q66">
        <v>0.63245228528403341</v>
      </c>
      <c r="R66">
        <v>7.2983381944336134</v>
      </c>
      <c r="S66">
        <v>0.20779922078793081</v>
      </c>
      <c r="T66">
        <v>0.15673550739881381</v>
      </c>
      <c r="U66">
        <v>4.4222873134892842</v>
      </c>
      <c r="V66">
        <v>0.1151559613407446</v>
      </c>
      <c r="W66">
        <v>10.0952239120325</v>
      </c>
      <c r="X66">
        <v>0.22020642419892711</v>
      </c>
      <c r="Z66" t="s">
        <v>392</v>
      </c>
      <c r="AA66">
        <v>140</v>
      </c>
      <c r="AB66" t="s">
        <v>1471</v>
      </c>
      <c r="AC66" t="str">
        <f>HYPERLINK("plots/20251231112652_3FT6Y119H04_05543_B21P_N_UFLEX98_M5358A8BA201511/dpll_52046/txpa_53243.png","plot")</f>
        <v>plot</v>
      </c>
    </row>
    <row r="67" spans="1:29" x14ac:dyDescent="0.35">
      <c r="A67" t="s">
        <v>47</v>
      </c>
      <c r="B67">
        <v>52046</v>
      </c>
      <c r="C67" t="s">
        <v>51</v>
      </c>
      <c r="D67">
        <v>53244</v>
      </c>
      <c r="E67" t="s">
        <v>119</v>
      </c>
      <c r="F67">
        <v>7139</v>
      </c>
      <c r="G67">
        <v>0.27533077294864289</v>
      </c>
      <c r="H67">
        <v>2.2836037713118529E-124</v>
      </c>
      <c r="I67">
        <v>4.4190347788362957E-124</v>
      </c>
      <c r="J67">
        <v>0.27857077653729989</v>
      </c>
      <c r="K67">
        <v>2.193787001346567E-127</v>
      </c>
      <c r="L67">
        <v>5.1255760814871414E-127</v>
      </c>
      <c r="M67">
        <v>0.18716367162365499</v>
      </c>
      <c r="N67">
        <v>2.5391315476964528E-124</v>
      </c>
      <c r="O67">
        <v>5.8917148498036684E-124</v>
      </c>
      <c r="P67">
        <v>7.5807034532497167E-2</v>
      </c>
      <c r="Q67">
        <v>0.62543835829626349</v>
      </c>
      <c r="R67">
        <v>7.4330826109901231</v>
      </c>
      <c r="S67">
        <v>0.25145894809404218</v>
      </c>
      <c r="T67">
        <v>0.20012932217155219</v>
      </c>
      <c r="U67">
        <v>4.4222873134892842</v>
      </c>
      <c r="V67">
        <v>0.1151559613407446</v>
      </c>
      <c r="W67">
        <v>10.19895072825325</v>
      </c>
      <c r="X67">
        <v>0.26158701636455889</v>
      </c>
      <c r="Z67" t="s">
        <v>392</v>
      </c>
      <c r="AA67">
        <v>140</v>
      </c>
      <c r="AB67" t="s">
        <v>1472</v>
      </c>
      <c r="AC67" t="str">
        <f>HYPERLINK("plots/20251231112652_3FT6Y119H04_05543_B21P_N_UFLEX98_M5358A8BA201511/dpll_52046/txpa_53244.png","plot")</f>
        <v>plot</v>
      </c>
    </row>
    <row r="68" spans="1:29" x14ac:dyDescent="0.35">
      <c r="A68" t="s">
        <v>47</v>
      </c>
      <c r="B68">
        <v>52046</v>
      </c>
      <c r="C68" t="s">
        <v>51</v>
      </c>
      <c r="D68">
        <v>53245</v>
      </c>
      <c r="E68" t="s">
        <v>120</v>
      </c>
      <c r="F68">
        <v>7139</v>
      </c>
      <c r="G68">
        <v>0.35297656584654657</v>
      </c>
      <c r="H68">
        <v>1.601018644322829E-208</v>
      </c>
      <c r="I68">
        <v>1.034033697670923E-207</v>
      </c>
      <c r="J68">
        <v>0.36981822546671661</v>
      </c>
      <c r="K68">
        <v>3.03629158825471E-230</v>
      </c>
      <c r="L68">
        <v>2.7007014653423481E-229</v>
      </c>
      <c r="M68">
        <v>0.25245131621740602</v>
      </c>
      <c r="N68">
        <v>1.6524175878321081E-224</v>
      </c>
      <c r="O68">
        <v>1.4444408914325501E-223</v>
      </c>
      <c r="P68">
        <v>0.12459245603682149</v>
      </c>
      <c r="Q68">
        <v>0.64753108708644136</v>
      </c>
      <c r="R68">
        <v>7.4489761616912364</v>
      </c>
      <c r="S68">
        <v>0.19764047918211011</v>
      </c>
      <c r="T68">
        <v>0.15066225747090811</v>
      </c>
      <c r="U68">
        <v>4.4222873134892842</v>
      </c>
      <c r="V68">
        <v>0.1151559613407446</v>
      </c>
      <c r="W68">
        <v>10.312544673203529</v>
      </c>
      <c r="X68">
        <v>0.21125216812232769</v>
      </c>
      <c r="Z68" t="s">
        <v>392</v>
      </c>
      <c r="AA68">
        <v>140</v>
      </c>
      <c r="AB68" t="s">
        <v>1473</v>
      </c>
      <c r="AC68" t="str">
        <f>HYPERLINK("plots/20251231112652_3FT6Y119H04_05543_B21P_N_UFLEX98_M5358A8BA201511/dpll_52046/txpa_53245.png","plot")</f>
        <v>plot</v>
      </c>
    </row>
    <row r="69" spans="1:29" x14ac:dyDescent="0.35">
      <c r="A69" t="s">
        <v>47</v>
      </c>
      <c r="B69">
        <v>52046</v>
      </c>
      <c r="C69" t="s">
        <v>51</v>
      </c>
      <c r="D69">
        <v>53246</v>
      </c>
      <c r="E69" t="s">
        <v>121</v>
      </c>
      <c r="F69">
        <v>7139</v>
      </c>
      <c r="G69">
        <v>0.29067409455855647</v>
      </c>
      <c r="H69">
        <v>5.0516098522482211E-139</v>
      </c>
      <c r="I69">
        <v>1.1208604792515751E-138</v>
      </c>
      <c r="J69">
        <v>0.2899221277272595</v>
      </c>
      <c r="K69">
        <v>2.776107210474466E-138</v>
      </c>
      <c r="L69">
        <v>7.0550694521832296E-138</v>
      </c>
      <c r="M69">
        <v>0.1960468425069363</v>
      </c>
      <c r="N69">
        <v>3.2927946236853911E-136</v>
      </c>
      <c r="O69">
        <v>8.4528955656126242E-136</v>
      </c>
      <c r="P69">
        <v>8.4491429247436661E-2</v>
      </c>
      <c r="Q69">
        <v>0.61216267610770791</v>
      </c>
      <c r="R69">
        <v>7.5369190522130536</v>
      </c>
      <c r="S69">
        <v>0.23203191900332051</v>
      </c>
      <c r="T69">
        <v>0.18422881654190251</v>
      </c>
      <c r="U69">
        <v>4.4222873134892842</v>
      </c>
      <c r="V69">
        <v>0.1151559613407446</v>
      </c>
      <c r="W69">
        <v>10.244078288555819</v>
      </c>
      <c r="X69">
        <v>0.2425196561501797</v>
      </c>
      <c r="Z69" t="s">
        <v>392</v>
      </c>
      <c r="AA69">
        <v>140</v>
      </c>
      <c r="AB69" t="s">
        <v>1474</v>
      </c>
      <c r="AC69" t="str">
        <f>HYPERLINK("plots/20251231112652_3FT6Y119H04_05543_B21P_N_UFLEX98_M5358A8BA201511/dpll_52046/txpa_53246.png","plot")</f>
        <v>plot</v>
      </c>
    </row>
    <row r="70" spans="1:29" x14ac:dyDescent="0.35">
      <c r="A70" t="s">
        <v>47</v>
      </c>
      <c r="B70">
        <v>52046</v>
      </c>
      <c r="C70" t="s">
        <v>51</v>
      </c>
      <c r="D70">
        <v>53247</v>
      </c>
      <c r="E70" t="s">
        <v>122</v>
      </c>
      <c r="F70">
        <v>7139</v>
      </c>
      <c r="G70">
        <v>0.36616689708534128</v>
      </c>
      <c r="H70">
        <v>2.01255616952855E-225</v>
      </c>
      <c r="I70">
        <v>2.0007176038254409E-224</v>
      </c>
      <c r="J70">
        <v>0.36397666110971111</v>
      </c>
      <c r="K70">
        <v>1.465028291816424E-222</v>
      </c>
      <c r="L70">
        <v>1.1254080968953439E-221</v>
      </c>
      <c r="M70">
        <v>0.24874736338170189</v>
      </c>
      <c r="N70">
        <v>4.9693172902091638E-218</v>
      </c>
      <c r="O70">
        <v>3.8173391911152207E-217</v>
      </c>
      <c r="P70">
        <v>0.13407819652110689</v>
      </c>
      <c r="Q70">
        <v>0.66671017679714473</v>
      </c>
      <c r="R70">
        <v>7.4850286878638119</v>
      </c>
      <c r="S70">
        <v>0.19509823843960281</v>
      </c>
      <c r="T70">
        <v>0.15113821760286139</v>
      </c>
      <c r="U70">
        <v>4.4222873134892842</v>
      </c>
      <c r="V70">
        <v>0.1151559613407446</v>
      </c>
      <c r="W70">
        <v>10.433412644488021</v>
      </c>
      <c r="X70">
        <v>0.20967392726065881</v>
      </c>
      <c r="Z70" t="s">
        <v>392</v>
      </c>
      <c r="AA70">
        <v>140</v>
      </c>
      <c r="AB70" t="s">
        <v>1475</v>
      </c>
      <c r="AC70" t="str">
        <f>HYPERLINK("plots/20251231112652_3FT6Y119H04_05543_B21P_N_UFLEX98_M5358A8BA201511/dpll_52046/txpa_53247.png","plot")</f>
        <v>plot</v>
      </c>
    </row>
    <row r="71" spans="1:29" x14ac:dyDescent="0.35">
      <c r="A71" t="s">
        <v>47</v>
      </c>
      <c r="B71">
        <v>52046</v>
      </c>
      <c r="C71" t="s">
        <v>51</v>
      </c>
      <c r="D71">
        <v>53248</v>
      </c>
      <c r="E71" t="s">
        <v>123</v>
      </c>
      <c r="F71">
        <v>7139</v>
      </c>
      <c r="G71">
        <v>0.32100791683153518</v>
      </c>
      <c r="H71">
        <v>8.4788231131251874E-171</v>
      </c>
      <c r="I71">
        <v>2.7036247285248242E-170</v>
      </c>
      <c r="J71">
        <v>0.33234870998550903</v>
      </c>
      <c r="K71">
        <v>1.1419806897542969E-183</v>
      </c>
      <c r="L71">
        <v>4.6881312526755346E-183</v>
      </c>
      <c r="M71">
        <v>0.2269422237709553</v>
      </c>
      <c r="N71">
        <v>7.8648679112137704E-182</v>
      </c>
      <c r="O71">
        <v>3.3091186979131799E-181</v>
      </c>
      <c r="P71">
        <v>0.1030460826685218</v>
      </c>
      <c r="Q71">
        <v>0.6493484612953101</v>
      </c>
      <c r="R71">
        <v>7.4853311469089991</v>
      </c>
      <c r="S71">
        <v>0.22059879915962771</v>
      </c>
      <c r="T71">
        <v>0.17191801099660059</v>
      </c>
      <c r="U71">
        <v>4.4222873134892842</v>
      </c>
      <c r="V71">
        <v>0.1151559613407446</v>
      </c>
      <c r="W71">
        <v>10.35693660932904</v>
      </c>
      <c r="X71">
        <v>0.23294237426810041</v>
      </c>
      <c r="Z71" t="s">
        <v>392</v>
      </c>
      <c r="AA71">
        <v>140</v>
      </c>
      <c r="AB71" t="s">
        <v>1476</v>
      </c>
      <c r="AC71" t="str">
        <f>HYPERLINK("plots/20251231112652_3FT6Y119H04_05543_B21P_N_UFLEX98_M5358A8BA201511/dpll_52046/txpa_53248.png","plot")</f>
        <v>plot</v>
      </c>
    </row>
    <row r="72" spans="1:29" x14ac:dyDescent="0.35">
      <c r="A72" t="s">
        <v>47</v>
      </c>
      <c r="B72">
        <v>52046</v>
      </c>
      <c r="C72" t="s">
        <v>51</v>
      </c>
      <c r="D72">
        <v>53249</v>
      </c>
      <c r="E72" t="s">
        <v>124</v>
      </c>
      <c r="F72">
        <v>7139</v>
      </c>
      <c r="G72">
        <v>0.33765386312811912</v>
      </c>
      <c r="H72">
        <v>7.0103345479094516E-190</v>
      </c>
      <c r="I72">
        <v>3.0378116374274292E-189</v>
      </c>
      <c r="J72">
        <v>0.33571975270298288</v>
      </c>
      <c r="K72">
        <v>1.332555452426787E-187</v>
      </c>
      <c r="L72">
        <v>5.7744069605160757E-187</v>
      </c>
      <c r="M72">
        <v>0.22945115967457899</v>
      </c>
      <c r="N72">
        <v>7.9242132714419014E-186</v>
      </c>
      <c r="O72">
        <v>3.4634276970871071E-185</v>
      </c>
      <c r="P72">
        <v>0.1140101312853426</v>
      </c>
      <c r="Q72">
        <v>0.65745446694509591</v>
      </c>
      <c r="R72">
        <v>7.5544790598402756</v>
      </c>
      <c r="S72">
        <v>0.21103978779585489</v>
      </c>
      <c r="T72">
        <v>0.1642886495924975</v>
      </c>
      <c r="U72">
        <v>4.4222873134892842</v>
      </c>
      <c r="V72">
        <v>0.1151559613407446</v>
      </c>
      <c r="W72">
        <v>10.461931608208429</v>
      </c>
      <c r="X72">
        <v>0.22422311558183489</v>
      </c>
      <c r="Z72" t="s">
        <v>392</v>
      </c>
      <c r="AA72">
        <v>140</v>
      </c>
      <c r="AB72" t="s">
        <v>1477</v>
      </c>
      <c r="AC72" t="str">
        <f>HYPERLINK("plots/20251231112652_3FT6Y119H04_05543_B21P_N_UFLEX98_M5358A8BA201511/dpll_52046/txpa_53249.png","plot")</f>
        <v>plot</v>
      </c>
    </row>
    <row r="73" spans="1:29" x14ac:dyDescent="0.35">
      <c r="A73" t="s">
        <v>47</v>
      </c>
      <c r="B73">
        <v>52046</v>
      </c>
      <c r="C73" t="s">
        <v>51</v>
      </c>
      <c r="D73">
        <v>53250</v>
      </c>
      <c r="E73" t="s">
        <v>125</v>
      </c>
      <c r="F73">
        <v>7139</v>
      </c>
      <c r="G73">
        <v>0.36065654424786509</v>
      </c>
      <c r="H73">
        <v>2.896150959245162E-218</v>
      </c>
      <c r="I73">
        <v>2.3307119624401539E-217</v>
      </c>
      <c r="J73">
        <v>0.35022727140961712</v>
      </c>
      <c r="K73">
        <v>4.233100673838306E-205</v>
      </c>
      <c r="L73">
        <v>2.1788650168893619E-204</v>
      </c>
      <c r="M73">
        <v>0.23940033475880729</v>
      </c>
      <c r="N73">
        <v>4.1581529580849514E-202</v>
      </c>
      <c r="O73">
        <v>2.1733851028340929E-201</v>
      </c>
      <c r="P73">
        <v>0.13007314290881231</v>
      </c>
      <c r="Q73">
        <v>0.68233973633177525</v>
      </c>
      <c r="R73">
        <v>7.1087962281476802</v>
      </c>
      <c r="S73">
        <v>0.20319088496987561</v>
      </c>
      <c r="T73">
        <v>0.15754074673241539</v>
      </c>
      <c r="U73">
        <v>4.4222873134892842</v>
      </c>
      <c r="V73">
        <v>0.1151559613407446</v>
      </c>
      <c r="W73">
        <v>10.12629858761731</v>
      </c>
      <c r="X73">
        <v>0.2178679121493326</v>
      </c>
      <c r="Z73" t="s">
        <v>392</v>
      </c>
      <c r="AA73">
        <v>140</v>
      </c>
      <c r="AB73" t="s">
        <v>1478</v>
      </c>
      <c r="AC73" t="str">
        <f>HYPERLINK("plots/20251231112652_3FT6Y119H04_05543_B21P_N_UFLEX98_M5358A8BA201511/dpll_52046/txpa_53250.png","plot")</f>
        <v>plot</v>
      </c>
    </row>
    <row r="74" spans="1:29" x14ac:dyDescent="0.35">
      <c r="A74" t="s">
        <v>47</v>
      </c>
      <c r="B74">
        <v>52046</v>
      </c>
      <c r="C74" t="s">
        <v>51</v>
      </c>
      <c r="D74">
        <v>53251</v>
      </c>
      <c r="E74" t="s">
        <v>126</v>
      </c>
      <c r="F74">
        <v>7139</v>
      </c>
      <c r="G74">
        <v>0.33461609710939721</v>
      </c>
      <c r="H74">
        <v>2.6168101419742459E-186</v>
      </c>
      <c r="I74">
        <v>1.0529545571277319E-185</v>
      </c>
      <c r="J74">
        <v>0.36162248006231262</v>
      </c>
      <c r="K74">
        <v>1.6491149777950019E-219</v>
      </c>
      <c r="L74">
        <v>1.1944304196315229E-218</v>
      </c>
      <c r="M74">
        <v>0.24708967908952961</v>
      </c>
      <c r="N74">
        <v>3.6669030448298631E-215</v>
      </c>
      <c r="O74">
        <v>2.6370494237287101E-214</v>
      </c>
      <c r="P74">
        <v>0.1119679324447255</v>
      </c>
      <c r="Q74">
        <v>0.64452719727050212</v>
      </c>
      <c r="R74">
        <v>8.1995420666696077</v>
      </c>
      <c r="S74">
        <v>0.20900888536210391</v>
      </c>
      <c r="T74">
        <v>0.15644277990706851</v>
      </c>
      <c r="U74">
        <v>4.4222873134892842</v>
      </c>
      <c r="V74">
        <v>0.1151559613407446</v>
      </c>
      <c r="W74">
        <v>11.049826514357751</v>
      </c>
      <c r="X74">
        <v>0.2218098580824551</v>
      </c>
      <c r="Z74" t="s">
        <v>392</v>
      </c>
      <c r="AA74">
        <v>140</v>
      </c>
      <c r="AB74" t="s">
        <v>1479</v>
      </c>
      <c r="AC74" t="str">
        <f>HYPERLINK("plots/20251231112652_3FT6Y119H04_05543_B21P_N_UFLEX98_M5358A8BA201511/dpll_52046/txpa_53251.png","plot")</f>
        <v>plot</v>
      </c>
    </row>
    <row r="75" spans="1:29" x14ac:dyDescent="0.35">
      <c r="A75" t="s">
        <v>47</v>
      </c>
      <c r="B75">
        <v>52046</v>
      </c>
      <c r="C75" t="s">
        <v>51</v>
      </c>
      <c r="D75">
        <v>53252</v>
      </c>
      <c r="E75" t="s">
        <v>127</v>
      </c>
      <c r="F75">
        <v>7139</v>
      </c>
      <c r="G75">
        <v>0.28377366051441749</v>
      </c>
      <c r="H75">
        <v>2.5676136408119959E-132</v>
      </c>
      <c r="I75">
        <v>5.4015772443638257E-132</v>
      </c>
      <c r="J75">
        <v>0.28816693515196118</v>
      </c>
      <c r="K75">
        <v>1.4518304257489559E-136</v>
      </c>
      <c r="L75">
        <v>3.6260001273631563E-136</v>
      </c>
      <c r="M75">
        <v>0.19399496002574881</v>
      </c>
      <c r="N75">
        <v>2.0518741613090849E-133</v>
      </c>
      <c r="O75">
        <v>5.1372849372034869E-133</v>
      </c>
      <c r="P75">
        <v>8.0527490401751875E-2</v>
      </c>
      <c r="Q75">
        <v>0.63890264934562846</v>
      </c>
      <c r="R75">
        <v>8.3361237068894631</v>
      </c>
      <c r="S75">
        <v>0.24859248021932881</v>
      </c>
      <c r="T75">
        <v>0.19703967688902929</v>
      </c>
      <c r="U75">
        <v>4.4222873134892842</v>
      </c>
      <c r="V75">
        <v>0.1151559613407446</v>
      </c>
      <c r="W75">
        <v>11.16153478764533</v>
      </c>
      <c r="X75">
        <v>0.25926806827375198</v>
      </c>
      <c r="Z75" t="s">
        <v>392</v>
      </c>
      <c r="AA75">
        <v>140</v>
      </c>
      <c r="AB75" t="s">
        <v>1480</v>
      </c>
      <c r="AC75" t="str">
        <f>HYPERLINK("plots/20251231112652_3FT6Y119H04_05543_B21P_N_UFLEX98_M5358A8BA201511/dpll_52046/txpa_53252.png","plot")</f>
        <v>plot</v>
      </c>
    </row>
    <row r="76" spans="1:29" x14ac:dyDescent="0.35">
      <c r="A76" t="s">
        <v>47</v>
      </c>
      <c r="B76">
        <v>52046</v>
      </c>
      <c r="C76" t="s">
        <v>51</v>
      </c>
      <c r="D76">
        <v>53253</v>
      </c>
      <c r="E76" t="s">
        <v>128</v>
      </c>
      <c r="F76">
        <v>7139</v>
      </c>
      <c r="G76">
        <v>0.35820775420262879</v>
      </c>
      <c r="H76">
        <v>3.9598145697985249E-215</v>
      </c>
      <c r="I76">
        <v>2.8078685131298631E-214</v>
      </c>
      <c r="J76">
        <v>0.37907601625352638</v>
      </c>
      <c r="K76">
        <v>9.4242486995848028E-243</v>
      </c>
      <c r="L76">
        <v>1.085930475156704E-241</v>
      </c>
      <c r="M76">
        <v>0.25973639452834801</v>
      </c>
      <c r="N76">
        <v>1.5753597595406019E-237</v>
      </c>
      <c r="O76">
        <v>1.8152440865615569E-236</v>
      </c>
      <c r="P76">
        <v>0.128312795170891</v>
      </c>
      <c r="Q76">
        <v>0.66220400190816164</v>
      </c>
      <c r="R76">
        <v>8.3254242695578178</v>
      </c>
      <c r="S76">
        <v>0.1987436034352868</v>
      </c>
      <c r="T76">
        <v>0.1502276968988038</v>
      </c>
      <c r="U76">
        <v>4.4222873134892842</v>
      </c>
      <c r="V76">
        <v>0.1151559613407446</v>
      </c>
      <c r="W76">
        <v>11.253880626138111</v>
      </c>
      <c r="X76">
        <v>0.21288410858991669</v>
      </c>
      <c r="Z76" t="s">
        <v>392</v>
      </c>
      <c r="AA76">
        <v>140</v>
      </c>
      <c r="AB76" t="s">
        <v>1481</v>
      </c>
      <c r="AC76" t="str">
        <f>HYPERLINK("plots/20251231112652_3FT6Y119H04_05543_B21P_N_UFLEX98_M5358A8BA201511/dpll_52046/txpa_53253.png","plot")</f>
        <v>plot</v>
      </c>
    </row>
    <row r="77" spans="1:29" x14ac:dyDescent="0.35">
      <c r="A77" t="s">
        <v>47</v>
      </c>
      <c r="B77">
        <v>52046</v>
      </c>
      <c r="C77" t="s">
        <v>51</v>
      </c>
      <c r="D77">
        <v>53254</v>
      </c>
      <c r="E77" t="s">
        <v>129</v>
      </c>
      <c r="F77">
        <v>7139</v>
      </c>
      <c r="G77">
        <v>0.30039171618040722</v>
      </c>
      <c r="H77">
        <v>8.6197526133035991E-149</v>
      </c>
      <c r="I77">
        <v>2.14226204654163E-148</v>
      </c>
      <c r="J77">
        <v>0.3009132497986054</v>
      </c>
      <c r="K77">
        <v>2.5143998069653011E-149</v>
      </c>
      <c r="L77">
        <v>7.1019537723198194E-149</v>
      </c>
      <c r="M77">
        <v>0.20385268011775651</v>
      </c>
      <c r="N77">
        <v>4.1554711943716509E-147</v>
      </c>
      <c r="O77">
        <v>1.190295986184422E-146</v>
      </c>
      <c r="P77">
        <v>9.0235183149810286E-2</v>
      </c>
      <c r="Q77">
        <v>0.62957471823503774</v>
      </c>
      <c r="R77">
        <v>8.4225016016767533</v>
      </c>
      <c r="S77">
        <v>0.2301865280898869</v>
      </c>
      <c r="T77">
        <v>0.18202697469538939</v>
      </c>
      <c r="U77">
        <v>4.4222873134892842</v>
      </c>
      <c r="V77">
        <v>0.1151559613407446</v>
      </c>
      <c r="W77">
        <v>11.206661891021151</v>
      </c>
      <c r="X77">
        <v>0.2413491385050148</v>
      </c>
      <c r="Z77" t="s">
        <v>392</v>
      </c>
      <c r="AA77">
        <v>140</v>
      </c>
      <c r="AB77" t="s">
        <v>1482</v>
      </c>
      <c r="AC77" t="str">
        <f>HYPERLINK("plots/20251231112652_3FT6Y119H04_05543_B21P_N_UFLEX98_M5358A8BA201511/dpll_52046/txpa_53254.png","plot")</f>
        <v>plot</v>
      </c>
    </row>
    <row r="78" spans="1:29" x14ac:dyDescent="0.35">
      <c r="A78" t="s">
        <v>47</v>
      </c>
      <c r="B78">
        <v>52046</v>
      </c>
      <c r="C78" t="s">
        <v>51</v>
      </c>
      <c r="D78">
        <v>53255</v>
      </c>
      <c r="E78" t="s">
        <v>130</v>
      </c>
      <c r="F78">
        <v>7139</v>
      </c>
      <c r="G78">
        <v>0.3720518221995347</v>
      </c>
      <c r="H78">
        <v>3.1766157712412169E-233</v>
      </c>
      <c r="I78">
        <v>4.0773270785298657E-232</v>
      </c>
      <c r="J78">
        <v>0.37183012808242188</v>
      </c>
      <c r="K78">
        <v>6.2927066640517158E-233</v>
      </c>
      <c r="L78">
        <v>5.9633687451854582E-232</v>
      </c>
      <c r="M78">
        <v>0.25494410021473912</v>
      </c>
      <c r="N78">
        <v>6.3706608160638663E-229</v>
      </c>
      <c r="O78">
        <v>5.9813426550821856E-228</v>
      </c>
      <c r="P78">
        <v>0.13842255840199419</v>
      </c>
      <c r="Q78">
        <v>0.68288049915342797</v>
      </c>
      <c r="R78">
        <v>8.3568431769148379</v>
      </c>
      <c r="S78">
        <v>0.19617535208299669</v>
      </c>
      <c r="T78">
        <v>0.15094632004466069</v>
      </c>
      <c r="U78">
        <v>4.4222873134892842</v>
      </c>
      <c r="V78">
        <v>0.1151559613407446</v>
      </c>
      <c r="W78">
        <v>11.37673694495027</v>
      </c>
      <c r="X78">
        <v>0.21136238466986021</v>
      </c>
      <c r="Z78" t="s">
        <v>392</v>
      </c>
      <c r="AA78">
        <v>140</v>
      </c>
      <c r="AB78" t="s">
        <v>1483</v>
      </c>
      <c r="AC78" t="str">
        <f>HYPERLINK("plots/20251231112652_3FT6Y119H04_05543_B21P_N_UFLEX98_M5358A8BA201511/dpll_52046/txpa_53255.png","plot")</f>
        <v>plot</v>
      </c>
    </row>
    <row r="79" spans="1:29" x14ac:dyDescent="0.35">
      <c r="A79" t="s">
        <v>47</v>
      </c>
      <c r="B79">
        <v>52046</v>
      </c>
      <c r="C79" t="s">
        <v>51</v>
      </c>
      <c r="D79">
        <v>53256</v>
      </c>
      <c r="E79" t="s">
        <v>131</v>
      </c>
      <c r="F79">
        <v>7139</v>
      </c>
      <c r="G79">
        <v>0.33067224900161202</v>
      </c>
      <c r="H79">
        <v>9.8893015506297274E-182</v>
      </c>
      <c r="I79">
        <v>3.6201269936240232E-181</v>
      </c>
      <c r="J79">
        <v>0.34250055814372837</v>
      </c>
      <c r="K79">
        <v>1.1549063982837849E-195</v>
      </c>
      <c r="L79">
        <v>5.181748176370611E-195</v>
      </c>
      <c r="M79">
        <v>0.234410185975758</v>
      </c>
      <c r="N79">
        <v>7.4249210775316772E-194</v>
      </c>
      <c r="O79">
        <v>3.5017999872637771E-193</v>
      </c>
      <c r="P79">
        <v>0.10934413625978411</v>
      </c>
      <c r="Q79">
        <v>0.66499858526744793</v>
      </c>
      <c r="R79">
        <v>8.3623563401029415</v>
      </c>
      <c r="S79">
        <v>0.2185415122860834</v>
      </c>
      <c r="T79">
        <v>0.16971311701359881</v>
      </c>
      <c r="U79">
        <v>4.4222873134892842</v>
      </c>
      <c r="V79">
        <v>0.1151559613407446</v>
      </c>
      <c r="W79">
        <v>11.3031711472195</v>
      </c>
      <c r="X79">
        <v>0.23158445139535969</v>
      </c>
      <c r="Z79" t="s">
        <v>392</v>
      </c>
      <c r="AA79">
        <v>140</v>
      </c>
      <c r="AB79" t="s">
        <v>1484</v>
      </c>
      <c r="AC79" t="str">
        <f>HYPERLINK("plots/20251231112652_3FT6Y119H04_05543_B21P_N_UFLEX98_M5358A8BA201511/dpll_52046/txpa_53256.png","plot")</f>
        <v>plot</v>
      </c>
    </row>
    <row r="80" spans="1:29" x14ac:dyDescent="0.35">
      <c r="A80" t="s">
        <v>47</v>
      </c>
      <c r="B80">
        <v>52046</v>
      </c>
      <c r="C80" t="s">
        <v>51</v>
      </c>
      <c r="D80">
        <v>53257</v>
      </c>
      <c r="E80" t="s">
        <v>132</v>
      </c>
      <c r="F80">
        <v>7139</v>
      </c>
      <c r="G80">
        <v>0.34637090484843419</v>
      </c>
      <c r="H80">
        <v>2.341483264419454E-200</v>
      </c>
      <c r="I80">
        <v>1.2562243545615479E-199</v>
      </c>
      <c r="J80">
        <v>0.34527094800163838</v>
      </c>
      <c r="K80">
        <v>5.1293487225223313E-199</v>
      </c>
      <c r="L80">
        <v>2.430448413382077E-198</v>
      </c>
      <c r="M80">
        <v>0.23647682299994091</v>
      </c>
      <c r="N80">
        <v>2.9812577851159219E-197</v>
      </c>
      <c r="O80">
        <v>1.4464092794772939E-196</v>
      </c>
      <c r="P80">
        <v>0.1199728037255231</v>
      </c>
      <c r="Q80">
        <v>0.67160063596827824</v>
      </c>
      <c r="R80">
        <v>8.4293757794720356</v>
      </c>
      <c r="S80">
        <v>0.20944680871439911</v>
      </c>
      <c r="T80">
        <v>0.1619802045668606</v>
      </c>
      <c r="U80">
        <v>4.4222873134892842</v>
      </c>
      <c r="V80">
        <v>0.1151559613407446</v>
      </c>
      <c r="W80">
        <v>11.39938675164589</v>
      </c>
      <c r="X80">
        <v>0.22328323710048531</v>
      </c>
      <c r="Z80" t="s">
        <v>392</v>
      </c>
      <c r="AA80">
        <v>140</v>
      </c>
      <c r="AB80" t="s">
        <v>1485</v>
      </c>
      <c r="AC80" t="str">
        <f>HYPERLINK("plots/20251231112652_3FT6Y119H04_05543_B21P_N_UFLEX98_M5358A8BA201511/dpll_52046/txpa_53257.png","plot")</f>
        <v>plot</v>
      </c>
    </row>
    <row r="81" spans="1:29" x14ac:dyDescent="0.35">
      <c r="A81" t="s">
        <v>47</v>
      </c>
      <c r="B81">
        <v>52046</v>
      </c>
      <c r="C81" t="s">
        <v>51</v>
      </c>
      <c r="D81">
        <v>53258</v>
      </c>
      <c r="E81" t="s">
        <v>133</v>
      </c>
      <c r="F81">
        <v>7139</v>
      </c>
      <c r="G81">
        <v>0.36539157832845409</v>
      </c>
      <c r="H81">
        <v>2.0867095858989339E-224</v>
      </c>
      <c r="I81">
        <v>2.0151652572395422E-223</v>
      </c>
      <c r="J81">
        <v>0.35604695882498277</v>
      </c>
      <c r="K81">
        <v>2.1969487716846761E-212</v>
      </c>
      <c r="L81">
        <v>1.3181692630108059E-211</v>
      </c>
      <c r="M81">
        <v>0.24384447471982529</v>
      </c>
      <c r="N81">
        <v>1.3309033920882671E-209</v>
      </c>
      <c r="O81">
        <v>8.1297351781777254E-209</v>
      </c>
      <c r="P81">
        <v>0.13351100551335879</v>
      </c>
      <c r="Q81">
        <v>0.69213010383870965</v>
      </c>
      <c r="R81">
        <v>8.0263180908949803</v>
      </c>
      <c r="S81">
        <v>0.20303304931951061</v>
      </c>
      <c r="T81">
        <v>0.15677652324921801</v>
      </c>
      <c r="U81">
        <v>4.4222873134892842</v>
      </c>
      <c r="V81">
        <v>0.1151559613407446</v>
      </c>
      <c r="W81">
        <v>11.08711626838493</v>
      </c>
      <c r="X81">
        <v>0.21813011631256121</v>
      </c>
      <c r="Z81" t="s">
        <v>392</v>
      </c>
      <c r="AA81">
        <v>140</v>
      </c>
      <c r="AB81" t="s">
        <v>1486</v>
      </c>
      <c r="AC81" t="str">
        <f>HYPERLINK("plots/20251231112652_3FT6Y119H04_05543_B21P_N_UFLEX98_M5358A8BA201511/dpll_52046/txpa_53258.png","plot")</f>
        <v>plot</v>
      </c>
    </row>
    <row r="82" spans="1:29" x14ac:dyDescent="0.35">
      <c r="A82" t="s">
        <v>47</v>
      </c>
      <c r="B82">
        <v>52046</v>
      </c>
      <c r="C82" t="s">
        <v>51</v>
      </c>
      <c r="D82">
        <v>53259</v>
      </c>
      <c r="E82" t="s">
        <v>134</v>
      </c>
      <c r="F82">
        <v>7139</v>
      </c>
      <c r="G82">
        <v>0.3360132478542831</v>
      </c>
      <c r="H82">
        <v>6.0244552592742778E-188</v>
      </c>
      <c r="I82">
        <v>2.503605587255786E-187</v>
      </c>
      <c r="J82">
        <v>0.3657796768482956</v>
      </c>
      <c r="K82">
        <v>6.4771119270101204E-225</v>
      </c>
      <c r="L82">
        <v>5.3834356508100507E-224</v>
      </c>
      <c r="M82">
        <v>0.2502851158474344</v>
      </c>
      <c r="N82">
        <v>1.042412949265064E-220</v>
      </c>
      <c r="O82">
        <v>8.524247827054639E-220</v>
      </c>
      <c r="P82">
        <v>0.1129049027335839</v>
      </c>
      <c r="Q82">
        <v>0.65126087121217291</v>
      </c>
      <c r="R82">
        <v>8.6359335266226154</v>
      </c>
      <c r="S82">
        <v>0.2102033731773679</v>
      </c>
      <c r="T82">
        <v>0.15643199746089831</v>
      </c>
      <c r="U82">
        <v>4.4222873134892842</v>
      </c>
      <c r="V82">
        <v>0.1151559613407446</v>
      </c>
      <c r="W82">
        <v>11.515996215156189</v>
      </c>
      <c r="X82">
        <v>0.2231952822900958</v>
      </c>
      <c r="Z82" t="s">
        <v>392</v>
      </c>
      <c r="AA82">
        <v>140</v>
      </c>
      <c r="AB82" t="s">
        <v>1487</v>
      </c>
      <c r="AC82" t="str">
        <f>HYPERLINK("plots/20251231112652_3FT6Y119H04_05543_B21P_N_UFLEX98_M5358A8BA201511/dpll_52046/txpa_53259.png","plot")</f>
        <v>plot</v>
      </c>
    </row>
    <row r="83" spans="1:29" x14ac:dyDescent="0.35">
      <c r="A83" t="s">
        <v>47</v>
      </c>
      <c r="B83">
        <v>52046</v>
      </c>
      <c r="C83" t="s">
        <v>51</v>
      </c>
      <c r="D83">
        <v>53260</v>
      </c>
      <c r="E83" t="s">
        <v>135</v>
      </c>
      <c r="F83">
        <v>7139</v>
      </c>
      <c r="G83">
        <v>0.28853392039268022</v>
      </c>
      <c r="H83">
        <v>6.3624408533766063E-137</v>
      </c>
      <c r="I83">
        <v>1.3844452844042661E-136</v>
      </c>
      <c r="J83">
        <v>0.29376800648710699</v>
      </c>
      <c r="K83">
        <v>4.3138409812572168E-142</v>
      </c>
      <c r="L83">
        <v>1.136164871427226E-141</v>
      </c>
      <c r="M83">
        <v>0.19803534513807561</v>
      </c>
      <c r="N83">
        <v>6.0397611314226434E-139</v>
      </c>
      <c r="O83">
        <v>1.59073189279547E-138</v>
      </c>
      <c r="P83">
        <v>8.3251823217169493E-2</v>
      </c>
      <c r="Q83">
        <v>0.64619634897314626</v>
      </c>
      <c r="R83">
        <v>8.7723270016885593</v>
      </c>
      <c r="S83">
        <v>0.24691567247123261</v>
      </c>
      <c r="T83">
        <v>0.19499538669066371</v>
      </c>
      <c r="U83">
        <v>4.4222873134892842</v>
      </c>
      <c r="V83">
        <v>0.1151559613407446</v>
      </c>
      <c r="W83">
        <v>11.629992917775599</v>
      </c>
      <c r="X83">
        <v>0.2579016071303129</v>
      </c>
      <c r="Z83" t="s">
        <v>392</v>
      </c>
      <c r="AA83">
        <v>140</v>
      </c>
      <c r="AB83" t="s">
        <v>1488</v>
      </c>
      <c r="AC83" t="str">
        <f>HYPERLINK("plots/20251231112652_3FT6Y119H04_05543_B21P_N_UFLEX98_M5358A8BA201511/dpll_52046/txpa_53260.png","plot")</f>
        <v>plot</v>
      </c>
    </row>
    <row r="84" spans="1:29" x14ac:dyDescent="0.35">
      <c r="A84" t="s">
        <v>47</v>
      </c>
      <c r="B84">
        <v>52046</v>
      </c>
      <c r="C84" t="s">
        <v>51</v>
      </c>
      <c r="D84">
        <v>53261</v>
      </c>
      <c r="E84" t="s">
        <v>136</v>
      </c>
      <c r="F84">
        <v>7139</v>
      </c>
      <c r="G84">
        <v>0.36038585640572118</v>
      </c>
      <c r="H84">
        <v>6.4538265737619663E-218</v>
      </c>
      <c r="I84">
        <v>5.112640738902058E-217</v>
      </c>
      <c r="J84">
        <v>0.38392670201458873</v>
      </c>
      <c r="K84">
        <v>1.8021633140400119E-249</v>
      </c>
      <c r="L84">
        <v>2.4365248005820961E-248</v>
      </c>
      <c r="M84">
        <v>0.2636438843666345</v>
      </c>
      <c r="N84">
        <v>1.152431512275924E-244</v>
      </c>
      <c r="O84">
        <v>1.5375862545365611E-243</v>
      </c>
      <c r="P84">
        <v>0.12987796549728511</v>
      </c>
      <c r="Q84">
        <v>0.67086548249438271</v>
      </c>
      <c r="R84">
        <v>8.7442383003420474</v>
      </c>
      <c r="S84">
        <v>0.19994649614650059</v>
      </c>
      <c r="T84">
        <v>0.15020076337121979</v>
      </c>
      <c r="U84">
        <v>4.4222873134892842</v>
      </c>
      <c r="V84">
        <v>0.1151559613407446</v>
      </c>
      <c r="W84">
        <v>11.71099821263482</v>
      </c>
      <c r="X84">
        <v>0.21436512613855371</v>
      </c>
      <c r="Z84" t="s">
        <v>392</v>
      </c>
      <c r="AA84">
        <v>140</v>
      </c>
      <c r="AB84" t="s">
        <v>1489</v>
      </c>
      <c r="AC84" t="str">
        <f>HYPERLINK("plots/20251231112652_3FT6Y119H04_05543_B21P_N_UFLEX98_M5358A8BA201511/dpll_52046/txpa_53261.png","plot")</f>
        <v>plot</v>
      </c>
    </row>
    <row r="85" spans="1:29" x14ac:dyDescent="0.35">
      <c r="A85" t="s">
        <v>47</v>
      </c>
      <c r="B85">
        <v>52046</v>
      </c>
      <c r="C85" t="s">
        <v>51</v>
      </c>
      <c r="D85">
        <v>53262</v>
      </c>
      <c r="E85" t="s">
        <v>137</v>
      </c>
      <c r="F85">
        <v>7139</v>
      </c>
      <c r="G85">
        <v>0.30580964448976122</v>
      </c>
      <c r="H85">
        <v>2.1025594583715231E-154</v>
      </c>
      <c r="I85">
        <v>5.6253173899438642E-154</v>
      </c>
      <c r="J85">
        <v>0.30716836755065807</v>
      </c>
      <c r="K85">
        <v>7.874956641714536E-156</v>
      </c>
      <c r="L85">
        <v>2.441959032017902E-155</v>
      </c>
      <c r="M85">
        <v>0.20833026786345279</v>
      </c>
      <c r="N85">
        <v>1.4965584224042871E-153</v>
      </c>
      <c r="O85">
        <v>4.6407040988316442E-153</v>
      </c>
      <c r="P85">
        <v>9.3519538662954149E-2</v>
      </c>
      <c r="Q85">
        <v>0.63941667777243805</v>
      </c>
      <c r="R85">
        <v>8.8469048105527399</v>
      </c>
      <c r="S85">
        <v>0.22922818285747501</v>
      </c>
      <c r="T85">
        <v>0.18064511002530029</v>
      </c>
      <c r="U85">
        <v>4.4222873134892842</v>
      </c>
      <c r="V85">
        <v>0.1151559613407446</v>
      </c>
      <c r="W85">
        <v>11.674589072699259</v>
      </c>
      <c r="X85">
        <v>0.2407793330031994</v>
      </c>
      <c r="Z85" t="s">
        <v>392</v>
      </c>
      <c r="AA85">
        <v>140</v>
      </c>
      <c r="AB85" t="s">
        <v>1490</v>
      </c>
      <c r="AC85" t="str">
        <f>HYPERLINK("plots/20251231112652_3FT6Y119H04_05543_B21P_N_UFLEX98_M5358A8BA201511/dpll_52046/txpa_53262.png","plot")</f>
        <v>plot</v>
      </c>
    </row>
    <row r="86" spans="1:29" x14ac:dyDescent="0.35">
      <c r="A86" t="s">
        <v>47</v>
      </c>
      <c r="B86">
        <v>52046</v>
      </c>
      <c r="C86" t="s">
        <v>51</v>
      </c>
      <c r="D86">
        <v>53263</v>
      </c>
      <c r="E86" t="s">
        <v>138</v>
      </c>
      <c r="F86">
        <v>7139</v>
      </c>
      <c r="G86">
        <v>0.37404547002436489</v>
      </c>
      <c r="H86">
        <v>6.6335480726824781E-236</v>
      </c>
      <c r="I86">
        <v>9.6091682081429042E-235</v>
      </c>
      <c r="J86">
        <v>0.37579402169653842</v>
      </c>
      <c r="K86">
        <v>2.8537503921037779E-238</v>
      </c>
      <c r="L86">
        <v>2.9229322197911419E-237</v>
      </c>
      <c r="M86">
        <v>0.2581057966901415</v>
      </c>
      <c r="N86">
        <v>1.3926228769817131E-234</v>
      </c>
      <c r="O86">
        <v>1.4709579138119349E-233</v>
      </c>
      <c r="P86">
        <v>0.13991001364574809</v>
      </c>
      <c r="Q86">
        <v>0.69082625089125049</v>
      </c>
      <c r="R86">
        <v>8.7794338511070329</v>
      </c>
      <c r="S86">
        <v>0.19722973190144141</v>
      </c>
      <c r="T86">
        <v>0.15087817654526051</v>
      </c>
      <c r="U86">
        <v>4.4222873134892842</v>
      </c>
      <c r="V86">
        <v>0.1151559613407446</v>
      </c>
      <c r="W86">
        <v>11.834466016248779</v>
      </c>
      <c r="X86">
        <v>0.2126820598458857</v>
      </c>
      <c r="Z86" t="s">
        <v>392</v>
      </c>
      <c r="AA86">
        <v>140</v>
      </c>
      <c r="AB86" t="s">
        <v>1491</v>
      </c>
      <c r="AC86" t="str">
        <f>HYPERLINK("plots/20251231112652_3FT6Y119H04_05543_B21P_N_UFLEX98_M5358A8BA201511/dpll_52046/txpa_53263.png","plot")</f>
        <v>plot</v>
      </c>
    </row>
    <row r="87" spans="1:29" x14ac:dyDescent="0.35">
      <c r="A87" t="s">
        <v>47</v>
      </c>
      <c r="B87">
        <v>52046</v>
      </c>
      <c r="C87" t="s">
        <v>51</v>
      </c>
      <c r="D87">
        <v>53264</v>
      </c>
      <c r="E87" t="s">
        <v>139</v>
      </c>
      <c r="F87">
        <v>7139</v>
      </c>
      <c r="G87">
        <v>0.33552066775779471</v>
      </c>
      <c r="H87">
        <v>2.282101222638526E-187</v>
      </c>
      <c r="I87">
        <v>9.368626071884477E-187</v>
      </c>
      <c r="J87">
        <v>0.34779973412235471</v>
      </c>
      <c r="K87">
        <v>4.1688236192801288E-202</v>
      </c>
      <c r="L87">
        <v>2.0620425121707561E-201</v>
      </c>
      <c r="M87">
        <v>0.2383306244673056</v>
      </c>
      <c r="N87">
        <v>2.5261810869188411E-200</v>
      </c>
      <c r="O87">
        <v>1.2937109202705581E-199</v>
      </c>
      <c r="P87">
        <v>0.1125741184926365</v>
      </c>
      <c r="Q87">
        <v>0.67340898752989597</v>
      </c>
      <c r="R87">
        <v>8.7837111568136237</v>
      </c>
      <c r="S87">
        <v>0.21771165651123769</v>
      </c>
      <c r="T87">
        <v>0.16855318934926999</v>
      </c>
      <c r="U87">
        <v>4.4222873134892842</v>
      </c>
      <c r="V87">
        <v>0.1151559613407446</v>
      </c>
      <c r="W87">
        <v>11.761719179156749</v>
      </c>
      <c r="X87">
        <v>0.23112453802840621</v>
      </c>
      <c r="Z87" t="s">
        <v>392</v>
      </c>
      <c r="AA87">
        <v>140</v>
      </c>
      <c r="AB87" t="s">
        <v>1492</v>
      </c>
      <c r="AC87" t="str">
        <f>HYPERLINK("plots/20251231112652_3FT6Y119H04_05543_B21P_N_UFLEX98_M5358A8BA201511/dpll_52046/txpa_53264.png","plot")</f>
        <v>plot</v>
      </c>
    </row>
    <row r="88" spans="1:29" x14ac:dyDescent="0.35">
      <c r="A88" t="s">
        <v>47</v>
      </c>
      <c r="B88">
        <v>52046</v>
      </c>
      <c r="C88" t="s">
        <v>51</v>
      </c>
      <c r="D88">
        <v>53265</v>
      </c>
      <c r="E88" t="s">
        <v>140</v>
      </c>
      <c r="F88">
        <v>7139</v>
      </c>
      <c r="G88">
        <v>0.35062290833509357</v>
      </c>
      <c r="H88">
        <v>1.368631267993897E-205</v>
      </c>
      <c r="I88">
        <v>7.8978236039811663E-205</v>
      </c>
      <c r="J88">
        <v>0.35058941851715991</v>
      </c>
      <c r="K88">
        <v>1.505992527770828E-205</v>
      </c>
      <c r="L88">
        <v>7.8311611444083051E-205</v>
      </c>
      <c r="M88">
        <v>0.24041034617110141</v>
      </c>
      <c r="N88">
        <v>8.4648068541058888E-204</v>
      </c>
      <c r="O88">
        <v>4.5175337631912479E-203</v>
      </c>
      <c r="P88">
        <v>0.12293642384935941</v>
      </c>
      <c r="Q88">
        <v>0.67931883853219788</v>
      </c>
      <c r="R88">
        <v>8.8493226728521108</v>
      </c>
      <c r="S88">
        <v>0.20893197730301291</v>
      </c>
      <c r="T88">
        <v>0.16078487504810299</v>
      </c>
      <c r="U88">
        <v>4.4222873134892842</v>
      </c>
      <c r="V88">
        <v>0.1151559613407446</v>
      </c>
      <c r="W88">
        <v>11.853465754307329</v>
      </c>
      <c r="X88">
        <v>0.2231103902466362</v>
      </c>
      <c r="Z88" t="s">
        <v>392</v>
      </c>
      <c r="AA88">
        <v>140</v>
      </c>
      <c r="AB88" t="s">
        <v>1493</v>
      </c>
      <c r="AC88" t="str">
        <f>HYPERLINK("plots/20251231112652_3FT6Y119H04_05543_B21P_N_UFLEX98_M5358A8BA201511/dpll_52046/txpa_53265.png","plot")</f>
        <v>plot</v>
      </c>
    </row>
    <row r="89" spans="1:29" x14ac:dyDescent="0.35">
      <c r="A89" t="s">
        <v>47</v>
      </c>
      <c r="B89">
        <v>52046</v>
      </c>
      <c r="C89" t="s">
        <v>51</v>
      </c>
      <c r="D89">
        <v>53266</v>
      </c>
      <c r="E89" t="s">
        <v>141</v>
      </c>
      <c r="F89">
        <v>7139</v>
      </c>
      <c r="G89">
        <v>0.3669815149523753</v>
      </c>
      <c r="H89">
        <v>1.712047845186162E-226</v>
      </c>
      <c r="I89">
        <v>1.808350536477884E-225</v>
      </c>
      <c r="J89">
        <v>0.35853411311061539</v>
      </c>
      <c r="K89">
        <v>1.518255374831266E-215</v>
      </c>
      <c r="L89">
        <v>9.9968243511617126E-215</v>
      </c>
      <c r="M89">
        <v>0.24580510024937641</v>
      </c>
      <c r="N89">
        <v>5.940703465352462E-213</v>
      </c>
      <c r="O89">
        <v>3.9630745485969718E-212</v>
      </c>
      <c r="P89">
        <v>0.13467543231674051</v>
      </c>
      <c r="Q89">
        <v>0.69684432923912709</v>
      </c>
      <c r="R89">
        <v>8.4740820734002984</v>
      </c>
      <c r="S89">
        <v>0.2033935161151762</v>
      </c>
      <c r="T89">
        <v>0.15656293241663069</v>
      </c>
      <c r="U89">
        <v>4.4222873134892842</v>
      </c>
      <c r="V89">
        <v>0.1151559613407446</v>
      </c>
      <c r="W89">
        <v>11.55572791007144</v>
      </c>
      <c r="X89">
        <v>0.21866436147006441</v>
      </c>
      <c r="Z89" t="s">
        <v>392</v>
      </c>
      <c r="AA89">
        <v>140</v>
      </c>
      <c r="AB89" t="s">
        <v>1494</v>
      </c>
      <c r="AC89" t="str">
        <f>HYPERLINK("plots/20251231112652_3FT6Y119H04_05543_B21P_N_UFLEX98_M5358A8BA201511/dpll_52046/txpa_53266.png","plot")</f>
        <v>plot</v>
      </c>
    </row>
    <row r="90" spans="1:29" x14ac:dyDescent="0.35">
      <c r="A90" t="s">
        <v>47</v>
      </c>
      <c r="B90">
        <v>52046</v>
      </c>
      <c r="C90" t="s">
        <v>51</v>
      </c>
      <c r="D90">
        <v>53267</v>
      </c>
      <c r="E90" t="s">
        <v>142</v>
      </c>
      <c r="F90">
        <v>7139</v>
      </c>
      <c r="G90">
        <v>0.33692185026716681</v>
      </c>
      <c r="H90">
        <v>5.1309000721578139E-189</v>
      </c>
      <c r="I90">
        <v>2.167805280486676E-188</v>
      </c>
      <c r="J90">
        <v>0.36999766095864711</v>
      </c>
      <c r="K90">
        <v>1.753024219576595E-230</v>
      </c>
      <c r="L90">
        <v>1.573067751018289E-229</v>
      </c>
      <c r="M90">
        <v>0.25354326678781097</v>
      </c>
      <c r="N90">
        <v>1.9487609111142521E-226</v>
      </c>
      <c r="O90">
        <v>1.7643246105980809E-225</v>
      </c>
      <c r="P90">
        <v>0.11351633318745109</v>
      </c>
      <c r="Q90">
        <v>0.65767059046767518</v>
      </c>
      <c r="R90">
        <v>9.0540740137739206</v>
      </c>
      <c r="S90">
        <v>0.21162677795622281</v>
      </c>
      <c r="T90">
        <v>0.15653607127005439</v>
      </c>
      <c r="U90">
        <v>4.4222873134892842</v>
      </c>
      <c r="V90">
        <v>0.1151559613407446</v>
      </c>
      <c r="W90">
        <v>11.962482322454131</v>
      </c>
      <c r="X90">
        <v>0.22478414217061141</v>
      </c>
      <c r="Z90" t="s">
        <v>392</v>
      </c>
      <c r="AA90">
        <v>140</v>
      </c>
      <c r="AB90" t="s">
        <v>1495</v>
      </c>
      <c r="AC90" t="str">
        <f>HYPERLINK("plots/20251231112652_3FT6Y119H04_05543_B21P_N_UFLEX98_M5358A8BA201511/dpll_52046/txpa_53267.png","plot")</f>
        <v>plot</v>
      </c>
    </row>
    <row r="91" spans="1:29" x14ac:dyDescent="0.35">
      <c r="A91" t="s">
        <v>47</v>
      </c>
      <c r="B91">
        <v>52046</v>
      </c>
      <c r="C91" t="s">
        <v>51</v>
      </c>
      <c r="D91">
        <v>53268</v>
      </c>
      <c r="E91" t="s">
        <v>143</v>
      </c>
      <c r="F91">
        <v>7139</v>
      </c>
      <c r="G91">
        <v>0.29409897663226209</v>
      </c>
      <c r="H91">
        <v>2.015237436339485E-142</v>
      </c>
      <c r="I91">
        <v>4.6975879550534202E-142</v>
      </c>
      <c r="J91">
        <v>0.30084146899276931</v>
      </c>
      <c r="K91">
        <v>2.979495704159599E-149</v>
      </c>
      <c r="L91">
        <v>8.3922462333828718E-149</v>
      </c>
      <c r="M91">
        <v>0.20303639534559309</v>
      </c>
      <c r="N91">
        <v>5.9982830831234154E-146</v>
      </c>
      <c r="O91">
        <v>1.694222575567449E-145</v>
      </c>
      <c r="P91">
        <v>8.649420805614387E-2</v>
      </c>
      <c r="Q91">
        <v>0.65367467357293874</v>
      </c>
      <c r="R91">
        <v>9.1869903353869447</v>
      </c>
      <c r="S91">
        <v>0.2446131521398926</v>
      </c>
      <c r="T91">
        <v>0.1922406248334094</v>
      </c>
      <c r="U91">
        <v>4.4222873134892842</v>
      </c>
      <c r="V91">
        <v>0.1151559613407446</v>
      </c>
      <c r="W91">
        <v>12.0777275514778</v>
      </c>
      <c r="X91">
        <v>0.25594966803815711</v>
      </c>
      <c r="Z91" t="s">
        <v>392</v>
      </c>
      <c r="AA91">
        <v>140</v>
      </c>
      <c r="AB91" t="s">
        <v>1496</v>
      </c>
      <c r="AC91" t="str">
        <f>HYPERLINK("plots/20251231112652_3FT6Y119H04_05543_B21P_N_UFLEX98_M5358A8BA201511/dpll_52046/txpa_53268.png","plot")</f>
        <v>plot</v>
      </c>
    </row>
    <row r="92" spans="1:29" x14ac:dyDescent="0.35">
      <c r="A92" t="s">
        <v>47</v>
      </c>
      <c r="B92">
        <v>52046</v>
      </c>
      <c r="C92" t="s">
        <v>51</v>
      </c>
      <c r="D92">
        <v>53269</v>
      </c>
      <c r="E92" t="s">
        <v>144</v>
      </c>
      <c r="F92">
        <v>7139</v>
      </c>
      <c r="G92">
        <v>0.36230354453186309</v>
      </c>
      <c r="H92">
        <v>2.1733361382047341E-220</v>
      </c>
      <c r="I92">
        <v>1.8675956306267801E-219</v>
      </c>
      <c r="J92">
        <v>0.3894606815913062</v>
      </c>
      <c r="K92">
        <v>2.8207493473625562E-257</v>
      </c>
      <c r="L92">
        <v>4.1452751278632337E-256</v>
      </c>
      <c r="M92">
        <v>0.26817672417214738</v>
      </c>
      <c r="N92">
        <v>4.4681430623282032E-253</v>
      </c>
      <c r="O92">
        <v>6.8646925230315119E-252</v>
      </c>
      <c r="P92">
        <v>0.13126385838035171</v>
      </c>
      <c r="Q92">
        <v>0.67996216063142334</v>
      </c>
      <c r="R92">
        <v>9.1403307615378964</v>
      </c>
      <c r="S92">
        <v>0.20142441603286279</v>
      </c>
      <c r="T92">
        <v>0.1501427267840959</v>
      </c>
      <c r="U92">
        <v>4.4222873134892842</v>
      </c>
      <c r="V92">
        <v>0.1151559613407446</v>
      </c>
      <c r="W92">
        <v>12.147318798151</v>
      </c>
      <c r="X92">
        <v>0.21612180577481219</v>
      </c>
      <c r="Z92" t="s">
        <v>392</v>
      </c>
      <c r="AA92">
        <v>140</v>
      </c>
      <c r="AB92" t="s">
        <v>1497</v>
      </c>
      <c r="AC92" t="str">
        <f>HYPERLINK("plots/20251231112652_3FT6Y119H04_05543_B21P_N_UFLEX98_M5358A8BA201511/dpll_52046/txpa_53269.png","plot")</f>
        <v>plot</v>
      </c>
    </row>
    <row r="93" spans="1:29" x14ac:dyDescent="0.35">
      <c r="A93" t="s">
        <v>47</v>
      </c>
      <c r="B93">
        <v>52046</v>
      </c>
      <c r="C93" t="s">
        <v>51</v>
      </c>
      <c r="D93">
        <v>53270</v>
      </c>
      <c r="E93" t="s">
        <v>145</v>
      </c>
      <c r="F93">
        <v>7139</v>
      </c>
      <c r="G93">
        <v>0.31223350696392049</v>
      </c>
      <c r="H93">
        <v>3.243965738396688E-161</v>
      </c>
      <c r="I93">
        <v>9.1882158065202268E-161</v>
      </c>
      <c r="J93">
        <v>0.31529989514186529</v>
      </c>
      <c r="K93">
        <v>1.5812414188521231E-164</v>
      </c>
      <c r="L93">
        <v>5.3445959957201749E-164</v>
      </c>
      <c r="M93">
        <v>0.21417370186305609</v>
      </c>
      <c r="N93">
        <v>3.6002842133668218E-162</v>
      </c>
      <c r="O93">
        <v>1.220965950620053E-161</v>
      </c>
      <c r="P93">
        <v>9.7489762870988622E-2</v>
      </c>
      <c r="Q93">
        <v>0.65030148903481244</v>
      </c>
      <c r="R93">
        <v>9.2452883236063528</v>
      </c>
      <c r="S93">
        <v>0.22783336045528729</v>
      </c>
      <c r="T93">
        <v>0.17877085185423289</v>
      </c>
      <c r="U93">
        <v>4.4222873134892842</v>
      </c>
      <c r="V93">
        <v>0.1151559613407446</v>
      </c>
      <c r="W93">
        <v>12.121108348508191</v>
      </c>
      <c r="X93">
        <v>0.23984002825095521</v>
      </c>
      <c r="Z93" t="s">
        <v>392</v>
      </c>
      <c r="AA93">
        <v>140</v>
      </c>
      <c r="AB93" t="s">
        <v>1498</v>
      </c>
      <c r="AC93" t="str">
        <f>HYPERLINK("plots/20251231112652_3FT6Y119H04_05543_B21P_N_UFLEX98_M5358A8BA201511/dpll_52046/txpa_53270.png","plot")</f>
        <v>plot</v>
      </c>
    </row>
    <row r="94" spans="1:29" x14ac:dyDescent="0.35">
      <c r="A94" t="s">
        <v>47</v>
      </c>
      <c r="B94">
        <v>52046</v>
      </c>
      <c r="C94" t="s">
        <v>51</v>
      </c>
      <c r="D94">
        <v>53271</v>
      </c>
      <c r="E94" t="s">
        <v>146</v>
      </c>
      <c r="F94">
        <v>7139</v>
      </c>
      <c r="G94">
        <v>0.37627644679720318</v>
      </c>
      <c r="H94">
        <v>6.3091254315724248E-239</v>
      </c>
      <c r="I94">
        <v>1.0154687599388001E-237</v>
      </c>
      <c r="J94">
        <v>0.38068462326049729</v>
      </c>
      <c r="K94">
        <v>5.7399445877793121E-245</v>
      </c>
      <c r="L94">
        <v>6.9289331095335978E-244</v>
      </c>
      <c r="M94">
        <v>0.26211376159583238</v>
      </c>
      <c r="N94">
        <v>7.3872256134015102E-242</v>
      </c>
      <c r="O94">
        <v>8.6099388183783116E-241</v>
      </c>
      <c r="P94">
        <v>0.14158396441432849</v>
      </c>
      <c r="Q94">
        <v>0.70027776657556173</v>
      </c>
      <c r="R94">
        <v>9.1738031433725507</v>
      </c>
      <c r="S94">
        <v>0.1985492361716967</v>
      </c>
      <c r="T94">
        <v>0.15078045611720811</v>
      </c>
      <c r="U94">
        <v>4.4222873134892842</v>
      </c>
      <c r="V94">
        <v>0.1151559613407446</v>
      </c>
      <c r="W94">
        <v>12.270632626418269</v>
      </c>
      <c r="X94">
        <v>0.21431359869043429</v>
      </c>
      <c r="Z94" t="s">
        <v>392</v>
      </c>
      <c r="AA94">
        <v>140</v>
      </c>
      <c r="AB94" t="s">
        <v>1499</v>
      </c>
      <c r="AC94" t="str">
        <f>HYPERLINK("plots/20251231112652_3FT6Y119H04_05543_B21P_N_UFLEX98_M5358A8BA201511/dpll_52046/txpa_53271.png","plot")</f>
        <v>plot</v>
      </c>
    </row>
    <row r="95" spans="1:29" x14ac:dyDescent="0.35">
      <c r="A95" t="s">
        <v>47</v>
      </c>
      <c r="B95">
        <v>52046</v>
      </c>
      <c r="C95" t="s">
        <v>51</v>
      </c>
      <c r="D95">
        <v>53272</v>
      </c>
      <c r="E95" t="s">
        <v>147</v>
      </c>
      <c r="F95">
        <v>7139</v>
      </c>
      <c r="G95">
        <v>0.34091391796226528</v>
      </c>
      <c r="H95">
        <v>9.272492300455667E-194</v>
      </c>
      <c r="I95">
        <v>4.2544376437384818E-193</v>
      </c>
      <c r="J95">
        <v>0.35449886287145072</v>
      </c>
      <c r="K95">
        <v>1.9711057547696312E-210</v>
      </c>
      <c r="L95">
        <v>1.122865862548543E-209</v>
      </c>
      <c r="M95">
        <v>0.24336293371383819</v>
      </c>
      <c r="N95">
        <v>8.7691382502576757E-209</v>
      </c>
      <c r="O95">
        <v>5.0810892490064478E-208</v>
      </c>
      <c r="P95">
        <v>0.11622229946038209</v>
      </c>
      <c r="Q95">
        <v>0.68291851867295217</v>
      </c>
      <c r="R95">
        <v>9.1788407335485136</v>
      </c>
      <c r="S95">
        <v>0.21684613382370571</v>
      </c>
      <c r="T95">
        <v>0.1671561508505969</v>
      </c>
      <c r="U95">
        <v>4.4222873134892842</v>
      </c>
      <c r="V95">
        <v>0.1151559613407446</v>
      </c>
      <c r="W95">
        <v>12.198902634822799</v>
      </c>
      <c r="X95">
        <v>0.23068034008481211</v>
      </c>
      <c r="Z95" t="s">
        <v>392</v>
      </c>
      <c r="AA95">
        <v>140</v>
      </c>
      <c r="AB95" t="s">
        <v>1500</v>
      </c>
      <c r="AC95" t="str">
        <f>HYPERLINK("plots/20251231112652_3FT6Y119H04_05543_B21P_N_UFLEX98_M5358A8BA201511/dpll_52046/txpa_53272.png","plot")</f>
        <v>plot</v>
      </c>
    </row>
    <row r="96" spans="1:29" x14ac:dyDescent="0.35">
      <c r="A96" t="s">
        <v>47</v>
      </c>
      <c r="B96">
        <v>52046</v>
      </c>
      <c r="C96" t="s">
        <v>51</v>
      </c>
      <c r="D96">
        <v>53273</v>
      </c>
      <c r="E96" t="s">
        <v>148</v>
      </c>
      <c r="F96">
        <v>7139</v>
      </c>
      <c r="G96">
        <v>0.3556062002891438</v>
      </c>
      <c r="H96">
        <v>7.9239661899346495E-212</v>
      </c>
      <c r="I96">
        <v>5.4289876463471182E-211</v>
      </c>
      <c r="J96">
        <v>0.35747415712898062</v>
      </c>
      <c r="K96">
        <v>3.4019150197896811E-214</v>
      </c>
      <c r="L96">
        <v>2.169523163563985E-213</v>
      </c>
      <c r="M96">
        <v>0.24562721088113171</v>
      </c>
      <c r="N96">
        <v>1.1993750426339809E-212</v>
      </c>
      <c r="O96">
        <v>7.8971837222782901E-212</v>
      </c>
      <c r="P96">
        <v>0.12645576968408259</v>
      </c>
      <c r="Q96">
        <v>0.68852490567671598</v>
      </c>
      <c r="R96">
        <v>9.2410257001584526</v>
      </c>
      <c r="S96">
        <v>0.20837652230735049</v>
      </c>
      <c r="T96">
        <v>0.15926838420022529</v>
      </c>
      <c r="U96">
        <v>4.4222873134892842</v>
      </c>
      <c r="V96">
        <v>0.1151559613407446</v>
      </c>
      <c r="W96">
        <v>12.285880655553999</v>
      </c>
      <c r="X96">
        <v>0.22296503085654529</v>
      </c>
      <c r="Z96" t="s">
        <v>392</v>
      </c>
      <c r="AA96">
        <v>140</v>
      </c>
      <c r="AB96" t="s">
        <v>1501</v>
      </c>
      <c r="AC96" t="str">
        <f>HYPERLINK("plots/20251231112652_3FT6Y119H04_05543_B21P_N_UFLEX98_M5358A8BA201511/dpll_52046/txpa_53273.png","plot")</f>
        <v>plot</v>
      </c>
    </row>
    <row r="97" spans="1:29" x14ac:dyDescent="0.35">
      <c r="A97" t="s">
        <v>47</v>
      </c>
      <c r="B97">
        <v>52046</v>
      </c>
      <c r="C97" t="s">
        <v>51</v>
      </c>
      <c r="D97">
        <v>53274</v>
      </c>
      <c r="E97" t="s">
        <v>149</v>
      </c>
      <c r="F97">
        <v>7139</v>
      </c>
      <c r="G97">
        <v>0.36834796444252171</v>
      </c>
      <c r="H97">
        <v>2.6995953707614638E-228</v>
      </c>
      <c r="I97">
        <v>3.0415441177245828E-227</v>
      </c>
      <c r="J97">
        <v>0.36105759071087412</v>
      </c>
      <c r="K97">
        <v>8.8229350527929126E-219</v>
      </c>
      <c r="L97">
        <v>6.2562630374349739E-218</v>
      </c>
      <c r="M97">
        <v>0.2477413307022869</v>
      </c>
      <c r="N97">
        <v>2.7494032591435929E-216</v>
      </c>
      <c r="O97">
        <v>2.020213699109857E-215</v>
      </c>
      <c r="P97">
        <v>0.13568022290894921</v>
      </c>
      <c r="Q97">
        <v>0.70136927038731445</v>
      </c>
      <c r="R97">
        <v>8.9032057516711589</v>
      </c>
      <c r="S97">
        <v>0.2038363767469584</v>
      </c>
      <c r="T97">
        <v>0.1563371244190927</v>
      </c>
      <c r="U97">
        <v>4.4222873134892842</v>
      </c>
      <c r="V97">
        <v>0.1151559613407446</v>
      </c>
      <c r="W97">
        <v>12.004862178176211</v>
      </c>
      <c r="X97">
        <v>0.2192678129999846</v>
      </c>
      <c r="Z97" t="s">
        <v>392</v>
      </c>
      <c r="AA97">
        <v>140</v>
      </c>
      <c r="AB97" t="s">
        <v>1502</v>
      </c>
      <c r="AC97" t="str">
        <f>HYPERLINK("plots/20251231112652_3FT6Y119H04_05543_B21P_N_UFLEX98_M5358A8BA201511/dpll_52046/txpa_53274.png","plot")</f>
        <v>plot</v>
      </c>
    </row>
    <row r="98" spans="1:29" x14ac:dyDescent="0.35">
      <c r="A98" t="s">
        <v>47</v>
      </c>
      <c r="B98">
        <v>52046</v>
      </c>
      <c r="C98" t="s">
        <v>51</v>
      </c>
      <c r="D98">
        <v>53275</v>
      </c>
      <c r="E98" t="s">
        <v>150</v>
      </c>
      <c r="F98">
        <v>7139</v>
      </c>
      <c r="G98">
        <v>0.34143967007061049</v>
      </c>
      <c r="H98">
        <v>2.1742241729456189E-194</v>
      </c>
      <c r="I98">
        <v>1.025424795984585E-193</v>
      </c>
      <c r="J98">
        <v>0.39316858569918273</v>
      </c>
      <c r="K98">
        <v>1.3668418421189831E-262</v>
      </c>
      <c r="L98">
        <v>2.2354477869494338E-261</v>
      </c>
      <c r="M98">
        <v>0.27217861754301759</v>
      </c>
      <c r="N98">
        <v>1.2745995591640531E-260</v>
      </c>
      <c r="O98">
        <v>2.1905829711734741E-259</v>
      </c>
      <c r="P98">
        <v>0.1165810482979273</v>
      </c>
      <c r="Q98">
        <v>0.69258547986804997</v>
      </c>
      <c r="R98">
        <v>10.30156620349233</v>
      </c>
      <c r="S98">
        <v>0.21953247121470301</v>
      </c>
      <c r="T98">
        <v>0.15710818140309921</v>
      </c>
      <c r="U98">
        <v>4.4222873134892842</v>
      </c>
      <c r="V98">
        <v>0.1151559613407446</v>
      </c>
      <c r="W98">
        <v>13.364378184619691</v>
      </c>
      <c r="X98">
        <v>0.2335854727376952</v>
      </c>
      <c r="Z98" t="s">
        <v>392</v>
      </c>
      <c r="AA98">
        <v>140</v>
      </c>
      <c r="AB98" t="s">
        <v>1503</v>
      </c>
      <c r="AC98" t="str">
        <f>HYPERLINK("plots/20251231112652_3FT6Y119H04_05543_B21P_N_UFLEX98_M5358A8BA201511/dpll_52046/txpa_53275.png","plot")</f>
        <v>plot</v>
      </c>
    </row>
    <row r="99" spans="1:29" x14ac:dyDescent="0.35">
      <c r="A99" t="s">
        <v>47</v>
      </c>
      <c r="B99">
        <v>52046</v>
      </c>
      <c r="C99" t="s">
        <v>51</v>
      </c>
      <c r="D99">
        <v>53276</v>
      </c>
      <c r="E99" t="s">
        <v>151</v>
      </c>
      <c r="F99">
        <v>7139</v>
      </c>
      <c r="G99">
        <v>0.3322513785142317</v>
      </c>
      <c r="H99">
        <v>1.48074242242989E-183</v>
      </c>
      <c r="I99">
        <v>5.6446346479094296E-183</v>
      </c>
      <c r="J99">
        <v>0.35999309157670661</v>
      </c>
      <c r="K99">
        <v>2.061357352278418E-217</v>
      </c>
      <c r="L99">
        <v>1.421915887898174E-216</v>
      </c>
      <c r="M99">
        <v>0.2464585061786552</v>
      </c>
      <c r="N99">
        <v>4.4788174608178877E-214</v>
      </c>
      <c r="O99">
        <v>3.0894700035845838E-213</v>
      </c>
      <c r="P99">
        <v>0.1103909785246073</v>
      </c>
      <c r="Q99">
        <v>0.70573430737481946</v>
      </c>
      <c r="R99">
        <v>10.32491909344472</v>
      </c>
      <c r="S99">
        <v>0.23069067180672129</v>
      </c>
      <c r="T99">
        <v>0.17417267966243291</v>
      </c>
      <c r="U99">
        <v>4.4222873134892842</v>
      </c>
      <c r="V99">
        <v>0.1151559613407446</v>
      </c>
      <c r="W99">
        <v>13.44587896764253</v>
      </c>
      <c r="X99">
        <v>0.2446024843608309</v>
      </c>
      <c r="Z99" t="s">
        <v>392</v>
      </c>
      <c r="AA99">
        <v>140</v>
      </c>
      <c r="AB99" t="s">
        <v>1504</v>
      </c>
      <c r="AC99" t="str">
        <f>HYPERLINK("plots/20251231112652_3FT6Y119H04_05543_B21P_N_UFLEX98_M5358A8BA201511/dpll_52046/txpa_53276.png","plot")</f>
        <v>plot</v>
      </c>
    </row>
    <row r="100" spans="1:29" x14ac:dyDescent="0.35">
      <c r="A100" t="s">
        <v>47</v>
      </c>
      <c r="B100">
        <v>52046</v>
      </c>
      <c r="C100" t="s">
        <v>51</v>
      </c>
      <c r="D100">
        <v>53277</v>
      </c>
      <c r="E100" t="s">
        <v>152</v>
      </c>
      <c r="F100">
        <v>7139</v>
      </c>
      <c r="G100">
        <v>0.3719176394042909</v>
      </c>
      <c r="H100">
        <v>4.8048306794215322E-233</v>
      </c>
      <c r="I100">
        <v>6.0901228861667927E-232</v>
      </c>
      <c r="J100">
        <v>0.42210770686340959</v>
      </c>
      <c r="K100">
        <v>1.736706436035793E-306</v>
      </c>
      <c r="L100">
        <v>1.174013550760196E-304</v>
      </c>
      <c r="M100">
        <v>0.29643266890406278</v>
      </c>
      <c r="N100">
        <v>0</v>
      </c>
      <c r="O100">
        <v>4.9565291170010336E-307</v>
      </c>
      <c r="P100">
        <v>0.13832273050006019</v>
      </c>
      <c r="Q100">
        <v>0.73587782028654569</v>
      </c>
      <c r="R100">
        <v>10.221960606496591</v>
      </c>
      <c r="S100">
        <v>0.21148874546429491</v>
      </c>
      <c r="T100">
        <v>0.15036727552095719</v>
      </c>
      <c r="U100">
        <v>4.4222873134892842</v>
      </c>
      <c r="V100">
        <v>0.1151559613407446</v>
      </c>
      <c r="W100">
        <v>13.476223755427929</v>
      </c>
      <c r="X100">
        <v>0.2278480739987489</v>
      </c>
      <c r="Z100" t="s">
        <v>392</v>
      </c>
      <c r="AA100">
        <v>140</v>
      </c>
      <c r="AB100" t="s">
        <v>1505</v>
      </c>
      <c r="AC100" t="str">
        <f>HYPERLINK("plots/20251231112652_3FT6Y119H04_05543_B21P_N_UFLEX98_M5358A8BA201511/dpll_52046/txpa_53277.png","plot")</f>
        <v>plot</v>
      </c>
    </row>
    <row r="101" spans="1:29" x14ac:dyDescent="0.35">
      <c r="A101" t="s">
        <v>47</v>
      </c>
      <c r="B101">
        <v>52046</v>
      </c>
      <c r="C101" t="s">
        <v>51</v>
      </c>
      <c r="D101">
        <v>53278</v>
      </c>
      <c r="E101" t="s">
        <v>153</v>
      </c>
      <c r="F101">
        <v>7139</v>
      </c>
      <c r="G101">
        <v>0.35120252209159653</v>
      </c>
      <c r="H101">
        <v>2.609794002201272E-206</v>
      </c>
      <c r="I101">
        <v>1.5658764013207631E-205</v>
      </c>
      <c r="J101">
        <v>0.3730688752007526</v>
      </c>
      <c r="K101">
        <v>1.370959250735081E-234</v>
      </c>
      <c r="L101">
        <v>1.3628947845542861E-233</v>
      </c>
      <c r="M101">
        <v>0.25717690520821662</v>
      </c>
      <c r="N101">
        <v>6.514516484238241E-233</v>
      </c>
      <c r="O101">
        <v>6.6057197150175765E-232</v>
      </c>
      <c r="P101">
        <v>0.12334321152349829</v>
      </c>
      <c r="Q101">
        <v>0.71971026028077212</v>
      </c>
      <c r="R101">
        <v>10.294008165580539</v>
      </c>
      <c r="S101">
        <v>0.2209382319145578</v>
      </c>
      <c r="T101">
        <v>0.16762147068130201</v>
      </c>
      <c r="U101">
        <v>4.4222873134892842</v>
      </c>
      <c r="V101">
        <v>0.1151559613407446</v>
      </c>
      <c r="W101">
        <v>13.476773719008261</v>
      </c>
      <c r="X101">
        <v>0.23598613818557471</v>
      </c>
      <c r="Z101" t="s">
        <v>392</v>
      </c>
      <c r="AA101">
        <v>140</v>
      </c>
      <c r="AB101" t="s">
        <v>1506</v>
      </c>
      <c r="AC101" t="str">
        <f>HYPERLINK("plots/20251231112652_3FT6Y119H04_05543_B21P_N_UFLEX98_M5358A8BA201511/dpll_52046/txpa_53278.png","plot")</f>
        <v>plot</v>
      </c>
    </row>
    <row r="102" spans="1:29" x14ac:dyDescent="0.35">
      <c r="A102" t="s">
        <v>47</v>
      </c>
      <c r="B102">
        <v>52046</v>
      </c>
      <c r="C102" t="s">
        <v>51</v>
      </c>
      <c r="D102">
        <v>53279</v>
      </c>
      <c r="E102" t="s">
        <v>154</v>
      </c>
      <c r="F102">
        <v>7139</v>
      </c>
      <c r="G102">
        <v>0.38877226507126178</v>
      </c>
      <c r="H102">
        <v>2.688875971828402E-256</v>
      </c>
      <c r="I102">
        <v>7.1750532511421051E-255</v>
      </c>
      <c r="J102">
        <v>0.41374855182880638</v>
      </c>
      <c r="K102">
        <v>2.3374106347869831E-293</v>
      </c>
      <c r="L102">
        <v>7.9004479455799996E-292</v>
      </c>
      <c r="M102">
        <v>0.29041175839163619</v>
      </c>
      <c r="N102">
        <v>2.0757453947022001E-296</v>
      </c>
      <c r="O102">
        <v>7.0160194340934336E-295</v>
      </c>
      <c r="P102">
        <v>0.1511438740886395</v>
      </c>
      <c r="Q102">
        <v>0.75907753632641661</v>
      </c>
      <c r="R102">
        <v>10.23314540590596</v>
      </c>
      <c r="S102">
        <v>0.20713997244409579</v>
      </c>
      <c r="T102">
        <v>0.1505202847013028</v>
      </c>
      <c r="U102">
        <v>4.4222873134892842</v>
      </c>
      <c r="V102">
        <v>0.1151559613407446</v>
      </c>
      <c r="W102">
        <v>13.59000436475697</v>
      </c>
      <c r="X102">
        <v>0.22484192233159919</v>
      </c>
      <c r="Z102" t="s">
        <v>392</v>
      </c>
      <c r="AA102">
        <v>140</v>
      </c>
      <c r="AB102" t="s">
        <v>1507</v>
      </c>
      <c r="AC102" t="str">
        <f>HYPERLINK("plots/20251231112652_3FT6Y119H04_05543_B21P_N_UFLEX98_M5358A8BA201511/dpll_52046/txpa_53279.png","plot")</f>
        <v>plot</v>
      </c>
    </row>
    <row r="103" spans="1:29" x14ac:dyDescent="0.35">
      <c r="A103" t="s">
        <v>47</v>
      </c>
      <c r="B103">
        <v>52046</v>
      </c>
      <c r="C103" t="s">
        <v>51</v>
      </c>
      <c r="D103">
        <v>53280</v>
      </c>
      <c r="E103" t="s">
        <v>155</v>
      </c>
      <c r="F103">
        <v>7139</v>
      </c>
      <c r="G103">
        <v>0.37092375841647562</v>
      </c>
      <c r="H103">
        <v>1.02362346027486E-231</v>
      </c>
      <c r="I103">
        <v>1.250547215323744E-230</v>
      </c>
      <c r="J103">
        <v>0.39735542721553829</v>
      </c>
      <c r="K103">
        <v>1.126825664191657E-268</v>
      </c>
      <c r="L103">
        <v>2.197310045173732E-267</v>
      </c>
      <c r="M103">
        <v>0.27724797887575819</v>
      </c>
      <c r="N103">
        <v>2.437505147245403E-270</v>
      </c>
      <c r="O103">
        <v>4.9432604386136777E-269</v>
      </c>
      <c r="P103">
        <v>0.13758443455780389</v>
      </c>
      <c r="Q103">
        <v>0.74502820015941829</v>
      </c>
      <c r="R103">
        <v>10.22645625695119</v>
      </c>
      <c r="S103">
        <v>0.2147842141631435</v>
      </c>
      <c r="T103">
        <v>0.16040217743348029</v>
      </c>
      <c r="U103">
        <v>4.4222873134892842</v>
      </c>
      <c r="V103">
        <v>0.1151559613407446</v>
      </c>
      <c r="W103">
        <v>13.521185014707941</v>
      </c>
      <c r="X103">
        <v>0.231299388805912</v>
      </c>
      <c r="Z103" t="s">
        <v>392</v>
      </c>
      <c r="AA103">
        <v>140</v>
      </c>
      <c r="AB103" t="s">
        <v>1508</v>
      </c>
      <c r="AC103" t="str">
        <f>HYPERLINK("plots/20251231112652_3FT6Y119H04_05543_B21P_N_UFLEX98_M5358A8BA201511/dpll_52046/txpa_53280.png","plot")</f>
        <v>plot</v>
      </c>
    </row>
    <row r="104" spans="1:29" x14ac:dyDescent="0.35">
      <c r="A104" t="s">
        <v>47</v>
      </c>
      <c r="B104">
        <v>52046</v>
      </c>
      <c r="C104" t="s">
        <v>51</v>
      </c>
      <c r="D104">
        <v>53281</v>
      </c>
      <c r="E104" t="s">
        <v>156</v>
      </c>
      <c r="F104">
        <v>7139</v>
      </c>
      <c r="G104">
        <v>0.37940428012170729</v>
      </c>
      <c r="H104">
        <v>3.3356902787369949E-243</v>
      </c>
      <c r="I104">
        <v>5.9340174432268662E-242</v>
      </c>
      <c r="J104">
        <v>0.40187603704414532</v>
      </c>
      <c r="K104">
        <v>2.4177731684921909E-275</v>
      </c>
      <c r="L104">
        <v>5.8371952210740033E-274</v>
      </c>
      <c r="M104">
        <v>0.28087076941302941</v>
      </c>
      <c r="N104">
        <v>2.15094218795527E-277</v>
      </c>
      <c r="O104">
        <v>5.3196472648454718E-276</v>
      </c>
      <c r="P104">
        <v>0.14394760777467089</v>
      </c>
      <c r="Q104">
        <v>0.74627268173381456</v>
      </c>
      <c r="R104">
        <v>10.290341451543689</v>
      </c>
      <c r="S104">
        <v>0.20955667394422911</v>
      </c>
      <c r="T104">
        <v>0.15308947519561161</v>
      </c>
      <c r="U104">
        <v>4.4222873134892842</v>
      </c>
      <c r="V104">
        <v>0.1151559613407446</v>
      </c>
      <c r="W104">
        <v>13.590573664378759</v>
      </c>
      <c r="X104">
        <v>0.2265070601202111</v>
      </c>
      <c r="Z104" t="s">
        <v>392</v>
      </c>
      <c r="AA104">
        <v>140</v>
      </c>
      <c r="AB104" t="s">
        <v>1509</v>
      </c>
      <c r="AC104" t="str">
        <f>HYPERLINK("plots/20251231112652_3FT6Y119H04_05543_B21P_N_UFLEX98_M5358A8BA201511/dpll_52046/txpa_53281.png","plot")</f>
        <v>plot</v>
      </c>
    </row>
    <row r="105" spans="1:29" x14ac:dyDescent="0.35">
      <c r="A105" t="s">
        <v>47</v>
      </c>
      <c r="B105">
        <v>52046</v>
      </c>
      <c r="C105" t="s">
        <v>51</v>
      </c>
      <c r="D105">
        <v>53282</v>
      </c>
      <c r="E105" t="s">
        <v>157</v>
      </c>
      <c r="F105">
        <v>7139</v>
      </c>
      <c r="G105">
        <v>0.3751659795572031</v>
      </c>
      <c r="H105">
        <v>2.027842047372309E-237</v>
      </c>
      <c r="I105">
        <v>3.1155027818720022E-236</v>
      </c>
      <c r="J105">
        <v>0.37995004385467129</v>
      </c>
      <c r="K105">
        <v>5.9170993859467477E-244</v>
      </c>
      <c r="L105">
        <v>6.8964813532758647E-243</v>
      </c>
      <c r="M105">
        <v>0.26269914074304102</v>
      </c>
      <c r="N105">
        <v>6.2577904538361321E-243</v>
      </c>
      <c r="O105">
        <v>7.3783715351044629E-242</v>
      </c>
      <c r="P105">
        <v>0.14074951221711571</v>
      </c>
      <c r="Q105">
        <v>0.72906053440756191</v>
      </c>
      <c r="R105">
        <v>10.18663436186125</v>
      </c>
      <c r="S105">
        <v>0.20742258393673049</v>
      </c>
      <c r="T105">
        <v>0.15575447777714521</v>
      </c>
      <c r="U105">
        <v>4.4222873134892842</v>
      </c>
      <c r="V105">
        <v>0.1151559613407446</v>
      </c>
      <c r="W105">
        <v>13.41074951393753</v>
      </c>
      <c r="X105">
        <v>0.22378272895210299</v>
      </c>
      <c r="Z105" t="s">
        <v>392</v>
      </c>
      <c r="AA105">
        <v>140</v>
      </c>
      <c r="AB105" t="s">
        <v>1510</v>
      </c>
      <c r="AC105" t="str">
        <f>HYPERLINK("plots/20251231112652_3FT6Y119H04_05543_B21P_N_UFLEX98_M5358A8BA201511/dpll_52046/txpa_53282.png","plot")</f>
        <v>plot</v>
      </c>
    </row>
    <row r="106" spans="1:29" x14ac:dyDescent="0.35">
      <c r="A106" t="s">
        <v>47</v>
      </c>
      <c r="B106">
        <v>52046</v>
      </c>
      <c r="C106" t="s">
        <v>51</v>
      </c>
      <c r="D106">
        <v>53283</v>
      </c>
      <c r="E106" t="s">
        <v>158</v>
      </c>
      <c r="F106">
        <v>7139</v>
      </c>
      <c r="G106">
        <v>0.34594847976387882</v>
      </c>
      <c r="H106">
        <v>7.6729325082815459E-200</v>
      </c>
      <c r="I106">
        <v>4.0949229281039411E-199</v>
      </c>
      <c r="J106">
        <v>0.40842182806721328</v>
      </c>
      <c r="K106">
        <v>3.4824789042589087E-285</v>
      </c>
      <c r="L106">
        <v>9.292720023469825E-284</v>
      </c>
      <c r="M106">
        <v>0.2851067249425232</v>
      </c>
      <c r="N106">
        <v>9.2886770144430254E-286</v>
      </c>
      <c r="O106">
        <v>2.478610129643481E-284</v>
      </c>
      <c r="P106">
        <v>0.1196803506509389</v>
      </c>
      <c r="Q106">
        <v>0.71984387797170746</v>
      </c>
      <c r="R106">
        <v>10.637930798266449</v>
      </c>
      <c r="S106">
        <v>0.22480351261945961</v>
      </c>
      <c r="T106">
        <v>0.15772710287731351</v>
      </c>
      <c r="U106">
        <v>4.4222873134892842</v>
      </c>
      <c r="V106">
        <v>0.1151559613407446</v>
      </c>
      <c r="W106">
        <v>13.821287247513659</v>
      </c>
      <c r="X106">
        <v>0.2396146207656692</v>
      </c>
      <c r="Z106" t="s">
        <v>392</v>
      </c>
      <c r="AA106">
        <v>140</v>
      </c>
      <c r="AB106" t="s">
        <v>1511</v>
      </c>
      <c r="AC106" t="str">
        <f>HYPERLINK("plots/20251231112652_3FT6Y119H04_05543_B21P_N_UFLEX98_M5358A8BA201511/dpll_52046/txpa_53283.png","plot")</f>
        <v>plot</v>
      </c>
    </row>
    <row r="107" spans="1:29" x14ac:dyDescent="0.35">
      <c r="A107" t="s">
        <v>47</v>
      </c>
      <c r="B107">
        <v>52046</v>
      </c>
      <c r="C107" t="s">
        <v>51</v>
      </c>
      <c r="D107">
        <v>53284</v>
      </c>
      <c r="E107" t="s">
        <v>159</v>
      </c>
      <c r="F107">
        <v>7139</v>
      </c>
      <c r="G107">
        <v>0.35512272911458459</v>
      </c>
      <c r="H107">
        <v>3.2287392774902462E-211</v>
      </c>
      <c r="I107">
        <v>2.182627751583406E-210</v>
      </c>
      <c r="J107">
        <v>0.40162339598281183</v>
      </c>
      <c r="K107">
        <v>5.7390395730233312E-275</v>
      </c>
      <c r="L107">
        <v>1.3225877561467399E-273</v>
      </c>
      <c r="M107">
        <v>0.27919145411857599</v>
      </c>
      <c r="N107">
        <v>4.1084182112243219E-274</v>
      </c>
      <c r="O107">
        <v>9.2576357026254729E-273</v>
      </c>
      <c r="P107">
        <v>0.12611215273379059</v>
      </c>
      <c r="Q107">
        <v>0.74598385827402658</v>
      </c>
      <c r="R107">
        <v>10.572390008966179</v>
      </c>
      <c r="S107">
        <v>0.22611783399595389</v>
      </c>
      <c r="T107">
        <v>0.16534682818054169</v>
      </c>
      <c r="U107">
        <v>4.4222873134892842</v>
      </c>
      <c r="V107">
        <v>0.1151559613407446</v>
      </c>
      <c r="W107">
        <v>13.871344961479201</v>
      </c>
      <c r="X107">
        <v>0.24190084526103431</v>
      </c>
      <c r="Z107" t="s">
        <v>392</v>
      </c>
      <c r="AA107">
        <v>140</v>
      </c>
      <c r="AB107" t="s">
        <v>1512</v>
      </c>
      <c r="AC107" t="str">
        <f>HYPERLINK("plots/20251231112652_3FT6Y119H04_05543_B21P_N_UFLEX98_M5358A8BA201511/dpll_52046/txpa_53284.png","plot")</f>
        <v>plot</v>
      </c>
    </row>
    <row r="108" spans="1:29" x14ac:dyDescent="0.35">
      <c r="A108" t="s">
        <v>47</v>
      </c>
      <c r="B108">
        <v>52046</v>
      </c>
      <c r="C108" t="s">
        <v>51</v>
      </c>
      <c r="D108">
        <v>53285</v>
      </c>
      <c r="E108" t="s">
        <v>160</v>
      </c>
      <c r="F108">
        <v>7139</v>
      </c>
      <c r="G108">
        <v>0.37746559043666628</v>
      </c>
      <c r="H108">
        <v>1.512053372838497E-240</v>
      </c>
      <c r="I108">
        <v>2.5553702000970602E-239</v>
      </c>
      <c r="J108">
        <v>0.43838212449974129</v>
      </c>
      <c r="K108">
        <v>0</v>
      </c>
      <c r="L108">
        <v>0</v>
      </c>
      <c r="M108">
        <v>0.31176805193433732</v>
      </c>
      <c r="N108">
        <v>0</v>
      </c>
      <c r="O108">
        <v>0</v>
      </c>
      <c r="P108">
        <v>0.14248027196370111</v>
      </c>
      <c r="Q108">
        <v>0.77481538451130882</v>
      </c>
      <c r="R108">
        <v>10.46168094206045</v>
      </c>
      <c r="S108">
        <v>0.2188763983984425</v>
      </c>
      <c r="T108">
        <v>0.1521290776811971</v>
      </c>
      <c r="U108">
        <v>4.4222873134892842</v>
      </c>
      <c r="V108">
        <v>0.1151559613407446</v>
      </c>
      <c r="W108">
        <v>13.88813718728113</v>
      </c>
      <c r="X108">
        <v>0.2363781301542747</v>
      </c>
      <c r="Z108" t="s">
        <v>392</v>
      </c>
      <c r="AA108">
        <v>140</v>
      </c>
      <c r="AB108" t="s">
        <v>1513</v>
      </c>
      <c r="AC108" t="str">
        <f>HYPERLINK("plots/20251231112652_3FT6Y119H04_05543_B21P_N_UFLEX98_M5358A8BA201511/dpll_52046/txpa_53285.png","plot")</f>
        <v>plot</v>
      </c>
    </row>
    <row r="109" spans="1:29" x14ac:dyDescent="0.35">
      <c r="A109" t="s">
        <v>47</v>
      </c>
      <c r="B109">
        <v>52046</v>
      </c>
      <c r="C109" t="s">
        <v>51</v>
      </c>
      <c r="D109">
        <v>53286</v>
      </c>
      <c r="E109" t="s">
        <v>161</v>
      </c>
      <c r="F109">
        <v>7139</v>
      </c>
      <c r="G109">
        <v>0.37336047041492232</v>
      </c>
      <c r="H109">
        <v>5.5562266160758453E-235</v>
      </c>
      <c r="I109">
        <v>7.7178271078094618E-234</v>
      </c>
      <c r="J109">
        <v>0.40924415207884451</v>
      </c>
      <c r="K109">
        <v>1.949116399656986E-286</v>
      </c>
      <c r="L109">
        <v>5.646868655006241E-285</v>
      </c>
      <c r="M109">
        <v>0.28610217859042419</v>
      </c>
      <c r="N109">
        <v>9.6487211267501228E-288</v>
      </c>
      <c r="O109">
        <v>2.7177231173679508E-286</v>
      </c>
      <c r="P109">
        <v>0.13939804086845201</v>
      </c>
      <c r="Q109">
        <v>0.7679621172754667</v>
      </c>
      <c r="R109">
        <v>10.49734908416716</v>
      </c>
      <c r="S109">
        <v>0.21971951590620939</v>
      </c>
      <c r="T109">
        <v>0.16239686110329651</v>
      </c>
      <c r="U109">
        <v>4.4222873134892842</v>
      </c>
      <c r="V109">
        <v>0.1151559613407446</v>
      </c>
      <c r="W109">
        <v>13.893498212634819</v>
      </c>
      <c r="X109">
        <v>0.2368633610029742</v>
      </c>
      <c r="Z109" t="s">
        <v>392</v>
      </c>
      <c r="AA109">
        <v>140</v>
      </c>
      <c r="AB109" t="s">
        <v>1514</v>
      </c>
      <c r="AC109" t="str">
        <f>HYPERLINK("plots/20251231112652_3FT6Y119H04_05543_B21P_N_UFLEX98_M5358A8BA201511/dpll_52046/txpa_53286.png","plot")</f>
        <v>plot</v>
      </c>
    </row>
    <row r="110" spans="1:29" x14ac:dyDescent="0.35">
      <c r="A110" t="s">
        <v>47</v>
      </c>
      <c r="B110">
        <v>52046</v>
      </c>
      <c r="C110" t="s">
        <v>51</v>
      </c>
      <c r="D110">
        <v>53287</v>
      </c>
      <c r="E110" t="s">
        <v>162</v>
      </c>
      <c r="F110">
        <v>7139</v>
      </c>
      <c r="G110">
        <v>0.39564349953920358</v>
      </c>
      <c r="H110">
        <v>3.5489908840206363E-266</v>
      </c>
      <c r="I110">
        <v>1.7993383781984619E-264</v>
      </c>
      <c r="J110">
        <v>0.43126474892653288</v>
      </c>
      <c r="K110">
        <v>0</v>
      </c>
      <c r="L110">
        <v>0</v>
      </c>
      <c r="M110">
        <v>0.30663825805279771</v>
      </c>
      <c r="N110">
        <v>0</v>
      </c>
      <c r="O110">
        <v>0</v>
      </c>
      <c r="P110">
        <v>0.1565337787276278</v>
      </c>
      <c r="Q110">
        <v>0.79849754339827794</v>
      </c>
      <c r="R110">
        <v>10.461178436133199</v>
      </c>
      <c r="S110">
        <v>0.21343193572167651</v>
      </c>
      <c r="T110">
        <v>0.15179903488401841</v>
      </c>
      <c r="U110">
        <v>4.4222873134892842</v>
      </c>
      <c r="V110">
        <v>0.1151559613407446</v>
      </c>
      <c r="W110">
        <v>13.992363992155759</v>
      </c>
      <c r="X110">
        <v>0.2324106230617857</v>
      </c>
      <c r="Z110" t="s">
        <v>392</v>
      </c>
      <c r="AA110">
        <v>140</v>
      </c>
      <c r="AB110" t="s">
        <v>1515</v>
      </c>
      <c r="AC110" t="str">
        <f>HYPERLINK("plots/20251231112652_3FT6Y119H04_05543_B21P_N_UFLEX98_M5358A8BA201511/dpll_52046/txpa_53287.png","plot")</f>
        <v>plot</v>
      </c>
    </row>
    <row r="111" spans="1:29" x14ac:dyDescent="0.35">
      <c r="A111" t="s">
        <v>47</v>
      </c>
      <c r="B111">
        <v>52046</v>
      </c>
      <c r="C111" t="s">
        <v>51</v>
      </c>
      <c r="D111">
        <v>53288</v>
      </c>
      <c r="E111" t="s">
        <v>163</v>
      </c>
      <c r="F111">
        <v>7139</v>
      </c>
      <c r="G111">
        <v>0.38634702553568429</v>
      </c>
      <c r="H111">
        <v>7.2540779129682115E-253</v>
      </c>
      <c r="I111">
        <v>1.634585556388837E-251</v>
      </c>
      <c r="J111">
        <v>0.42181594897397551</v>
      </c>
      <c r="K111">
        <v>5.0614577392873253E-306</v>
      </c>
      <c r="L111">
        <v>3.0190106750807931E-304</v>
      </c>
      <c r="M111">
        <v>0.29821423556839588</v>
      </c>
      <c r="N111">
        <v>0</v>
      </c>
      <c r="O111">
        <v>0</v>
      </c>
      <c r="P111">
        <v>0.14926402414027071</v>
      </c>
      <c r="Q111">
        <v>0.78838072699031769</v>
      </c>
      <c r="R111">
        <v>10.436360678484711</v>
      </c>
      <c r="S111">
        <v>0.2167264070623133</v>
      </c>
      <c r="T111">
        <v>0.15816236121044219</v>
      </c>
      <c r="U111">
        <v>4.4222873134892842</v>
      </c>
      <c r="V111">
        <v>0.1151559613407446</v>
      </c>
      <c r="W111">
        <v>13.92280676565345</v>
      </c>
      <c r="X111">
        <v>0.23498754880591111</v>
      </c>
      <c r="Z111" t="s">
        <v>392</v>
      </c>
      <c r="AA111">
        <v>140</v>
      </c>
      <c r="AB111" t="s">
        <v>1516</v>
      </c>
      <c r="AC111" t="str">
        <f>HYPERLINK("plots/20251231112652_3FT6Y119H04_05543_B21P_N_UFLEX98_M5358A8BA201511/dpll_52046/txpa_53288.png","plot")</f>
        <v>plot</v>
      </c>
    </row>
    <row r="112" spans="1:29" x14ac:dyDescent="0.35">
      <c r="A112" t="s">
        <v>47</v>
      </c>
      <c r="B112">
        <v>52046</v>
      </c>
      <c r="C112" t="s">
        <v>51</v>
      </c>
      <c r="D112">
        <v>53289</v>
      </c>
      <c r="E112" t="s">
        <v>164</v>
      </c>
      <c r="F112">
        <v>7139</v>
      </c>
      <c r="G112">
        <v>0.38939314113023082</v>
      </c>
      <c r="H112">
        <v>3.5199636888775487E-257</v>
      </c>
      <c r="I112">
        <v>9.914564390338429E-256</v>
      </c>
      <c r="J112">
        <v>0.42318858626122319</v>
      </c>
      <c r="K112">
        <v>3.2710905226105638E-308</v>
      </c>
      <c r="L112">
        <v>2.7640714916059261E-306</v>
      </c>
      <c r="M112">
        <v>0.29950248998416201</v>
      </c>
      <c r="N112">
        <v>0</v>
      </c>
      <c r="O112">
        <v>0</v>
      </c>
      <c r="P112">
        <v>0.15162701835926781</v>
      </c>
      <c r="Q112">
        <v>0.78513380125110777</v>
      </c>
      <c r="R112">
        <v>10.51332858408529</v>
      </c>
      <c r="S112">
        <v>0.21384780550276641</v>
      </c>
      <c r="T112">
        <v>0.1523183564328561</v>
      </c>
      <c r="U112">
        <v>4.4222873134892842</v>
      </c>
      <c r="V112">
        <v>0.1151559613407446</v>
      </c>
      <c r="W112">
        <v>13.98541583274968</v>
      </c>
      <c r="X112">
        <v>0.23218908633510391</v>
      </c>
      <c r="Z112" t="s">
        <v>392</v>
      </c>
      <c r="AA112">
        <v>140</v>
      </c>
      <c r="AB112" t="s">
        <v>1517</v>
      </c>
      <c r="AC112" t="str">
        <f>HYPERLINK("plots/20251231112652_3FT6Y119H04_05543_B21P_N_UFLEX98_M5358A8BA201511/dpll_52046/txpa_53289.png","plot")</f>
        <v>plot</v>
      </c>
    </row>
    <row r="113" spans="1:29" x14ac:dyDescent="0.35">
      <c r="A113" t="s">
        <v>47</v>
      </c>
      <c r="B113">
        <v>52046</v>
      </c>
      <c r="C113" t="s">
        <v>51</v>
      </c>
      <c r="D113">
        <v>53290</v>
      </c>
      <c r="E113" t="s">
        <v>165</v>
      </c>
      <c r="F113">
        <v>7139</v>
      </c>
      <c r="G113">
        <v>0.38063810240965079</v>
      </c>
      <c r="H113">
        <v>6.6550485023246628E-245</v>
      </c>
      <c r="I113">
        <v>1.226948942064947E-243</v>
      </c>
      <c r="J113">
        <v>0.39547733360034482</v>
      </c>
      <c r="K113">
        <v>6.1916601239341609E-266</v>
      </c>
      <c r="L113">
        <v>1.082472994080903E-264</v>
      </c>
      <c r="M113">
        <v>0.27547031641984759</v>
      </c>
      <c r="N113">
        <v>6.5303772145862939E-267</v>
      </c>
      <c r="O113">
        <v>1.161719736068509E-265</v>
      </c>
      <c r="P113">
        <v>0.14488536500601981</v>
      </c>
      <c r="Q113">
        <v>0.75360738032071217</v>
      </c>
      <c r="R113">
        <v>10.53194291874491</v>
      </c>
      <c r="S113">
        <v>0.2108147817295111</v>
      </c>
      <c r="T113">
        <v>0.15573639370070949</v>
      </c>
      <c r="U113">
        <v>4.4222873134892842</v>
      </c>
      <c r="V113">
        <v>0.1151559613407446</v>
      </c>
      <c r="W113">
        <v>13.864611276089089</v>
      </c>
      <c r="X113">
        <v>0.22799184265823899</v>
      </c>
      <c r="Z113" t="s">
        <v>392</v>
      </c>
      <c r="AA113">
        <v>140</v>
      </c>
      <c r="AB113" t="s">
        <v>1518</v>
      </c>
      <c r="AC113" t="str">
        <f>HYPERLINK("plots/20251231112652_3FT6Y119H04_05543_B21P_N_UFLEX98_M5358A8BA201511/dpll_52046/txpa_53290.png","plot")</f>
        <v>plot</v>
      </c>
    </row>
    <row r="114" spans="1:29" x14ac:dyDescent="0.35">
      <c r="A114" t="s">
        <v>47</v>
      </c>
      <c r="B114">
        <v>52046</v>
      </c>
      <c r="C114" t="s">
        <v>51</v>
      </c>
      <c r="D114">
        <v>54146</v>
      </c>
      <c r="E114" t="s">
        <v>166</v>
      </c>
      <c r="F114">
        <v>7139</v>
      </c>
      <c r="G114">
        <v>-9.3822496906399815E-3</v>
      </c>
      <c r="H114">
        <v>0.42800547127316252</v>
      </c>
      <c r="I114">
        <v>0.42842798407797311</v>
      </c>
      <c r="J114">
        <v>-4.5610363222207189E-3</v>
      </c>
      <c r="K114">
        <v>0.70000897293163988</v>
      </c>
      <c r="L114">
        <v>0.70000897293163988</v>
      </c>
      <c r="M114">
        <v>-2.9665744838923468E-3</v>
      </c>
      <c r="N114">
        <v>0.70700596100260626</v>
      </c>
      <c r="O114">
        <v>0.70700596100260626</v>
      </c>
      <c r="P114">
        <v>8.8026609257514028E-5</v>
      </c>
      <c r="Q114">
        <v>-0.37204835744454962</v>
      </c>
      <c r="R114">
        <v>-9.7881421745975352</v>
      </c>
      <c r="S114">
        <v>4.5659304863506378</v>
      </c>
      <c r="T114">
        <v>3.465784982699383</v>
      </c>
      <c r="U114">
        <v>4.4222873134892842</v>
      </c>
      <c r="V114">
        <v>0.1151559613407446</v>
      </c>
      <c r="W114">
        <v>-11.43344690572909</v>
      </c>
      <c r="X114">
        <v>4.5664512968050834</v>
      </c>
      <c r="Z114" t="s">
        <v>392</v>
      </c>
      <c r="AA114">
        <v>140</v>
      </c>
      <c r="AB114" t="s">
        <v>1519</v>
      </c>
      <c r="AC114" t="str">
        <f>HYPERLINK("plots/20251231112652_3FT6Y119H04_05543_B21P_N_UFLEX98_M5358A8BA201511/dpll_52046/txpa_54146.png","plot")</f>
        <v>plot</v>
      </c>
    </row>
    <row r="115" spans="1:29" x14ac:dyDescent="0.35">
      <c r="A115" t="s">
        <v>47</v>
      </c>
      <c r="B115">
        <v>52046</v>
      </c>
      <c r="C115" t="s">
        <v>51</v>
      </c>
      <c r="D115">
        <v>54147</v>
      </c>
      <c r="E115" t="s">
        <v>167</v>
      </c>
      <c r="F115">
        <v>7139</v>
      </c>
      <c r="G115">
        <v>0.1240867677056407</v>
      </c>
      <c r="H115">
        <v>6.7489724383373571E-26</v>
      </c>
      <c r="I115">
        <v>7.0189313358708511E-26</v>
      </c>
      <c r="J115">
        <v>0.10825777464624869</v>
      </c>
      <c r="K115">
        <v>4.6283198990125108E-20</v>
      </c>
      <c r="L115">
        <v>4.7501177910917878E-20</v>
      </c>
      <c r="M115">
        <v>7.1767855438643072E-2</v>
      </c>
      <c r="N115">
        <v>9.9006249767447312E-20</v>
      </c>
      <c r="O115">
        <v>1.014064012769612E-19</v>
      </c>
      <c r="P115">
        <v>1.5397525919633641E-2</v>
      </c>
      <c r="Q115">
        <v>0.93171864736028542</v>
      </c>
      <c r="R115">
        <v>-23.509948068040391</v>
      </c>
      <c r="S115">
        <v>0.85791800625011394</v>
      </c>
      <c r="T115">
        <v>0.65583401776414185</v>
      </c>
      <c r="U115">
        <v>4.4222873134892842</v>
      </c>
      <c r="V115">
        <v>0.1151559613407446</v>
      </c>
      <c r="W115">
        <v>-19.389620514077599</v>
      </c>
      <c r="X115">
        <v>0.86466074118710867</v>
      </c>
      <c r="Z115" t="s">
        <v>392</v>
      </c>
      <c r="AA115">
        <v>140</v>
      </c>
      <c r="AB115" t="s">
        <v>1520</v>
      </c>
      <c r="AC115" t="str">
        <f>HYPERLINK("plots/20251231112652_3FT6Y119H04_05543_B21P_N_UFLEX98_M5358A8BA201511/dpll_52046/txpa_54147.png","plot")</f>
        <v>plot</v>
      </c>
    </row>
    <row r="116" spans="1:29" x14ac:dyDescent="0.35">
      <c r="A116" t="s">
        <v>47</v>
      </c>
      <c r="B116">
        <v>52046</v>
      </c>
      <c r="C116" t="s">
        <v>51</v>
      </c>
      <c r="D116">
        <v>54148</v>
      </c>
      <c r="E116" t="s">
        <v>168</v>
      </c>
      <c r="F116">
        <v>7131</v>
      </c>
      <c r="G116">
        <v>0.1313986516993656</v>
      </c>
      <c r="H116">
        <v>7.8000581366110907E-29</v>
      </c>
      <c r="I116">
        <v>8.2302382419600903E-29</v>
      </c>
      <c r="J116">
        <v>0.1259350284200883</v>
      </c>
      <c r="K116">
        <v>1.3286364398825359E-26</v>
      </c>
      <c r="L116">
        <v>1.4136803253314701E-26</v>
      </c>
      <c r="M116">
        <v>8.3594977009656277E-2</v>
      </c>
      <c r="N116">
        <v>3.6278463579854539E-26</v>
      </c>
      <c r="O116">
        <v>3.860058979010756E-26</v>
      </c>
      <c r="P116">
        <v>1.7265605668411201E-2</v>
      </c>
      <c r="Q116">
        <v>0.78877821705573425</v>
      </c>
      <c r="R116">
        <v>-22.38509730153897</v>
      </c>
      <c r="S116">
        <v>0.68523900554271178</v>
      </c>
      <c r="T116">
        <v>0.52164915243036414</v>
      </c>
      <c r="U116">
        <v>4.4222487624456601</v>
      </c>
      <c r="V116">
        <v>0.1151570289929396</v>
      </c>
      <c r="W116">
        <v>-18.89692380732016</v>
      </c>
      <c r="X116">
        <v>0.6912807310862602</v>
      </c>
      <c r="Z116" t="s">
        <v>392</v>
      </c>
      <c r="AA116">
        <v>140</v>
      </c>
      <c r="AB116" t="s">
        <v>1521</v>
      </c>
      <c r="AC116" t="str">
        <f>HYPERLINK("plots/20251231112652_3FT6Y119H04_05543_B21P_N_UFLEX98_M5358A8BA201511/dpll_52046/txpa_54148.png","plot")</f>
        <v>plot</v>
      </c>
    </row>
    <row r="117" spans="1:29" x14ac:dyDescent="0.35">
      <c r="A117" t="s">
        <v>47</v>
      </c>
      <c r="B117">
        <v>52046</v>
      </c>
      <c r="C117" t="s">
        <v>51</v>
      </c>
      <c r="D117">
        <v>54149</v>
      </c>
      <c r="E117" t="s">
        <v>169</v>
      </c>
      <c r="F117">
        <v>7134</v>
      </c>
      <c r="G117">
        <v>0.13797361905720379</v>
      </c>
      <c r="H117">
        <v>1.164531682747138E-31</v>
      </c>
      <c r="I117">
        <v>1.245606673318141E-31</v>
      </c>
      <c r="J117">
        <v>0.13428750132393941</v>
      </c>
      <c r="K117">
        <v>4.5850144632976402E-30</v>
      </c>
      <c r="L117">
        <v>4.9991448019180712E-30</v>
      </c>
      <c r="M117">
        <v>8.9704116099940792E-2</v>
      </c>
      <c r="N117">
        <v>6.7908652969984313E-30</v>
      </c>
      <c r="O117">
        <v>7.4281956970403564E-30</v>
      </c>
      <c r="P117">
        <v>1.903671955574238E-2</v>
      </c>
      <c r="Q117">
        <v>0.81430505279700061</v>
      </c>
      <c r="R117">
        <v>-22.114374746416949</v>
      </c>
      <c r="S117">
        <v>0.67323480900075838</v>
      </c>
      <c r="T117">
        <v>0.51504181135058702</v>
      </c>
      <c r="U117">
        <v>4.4222974421082144</v>
      </c>
      <c r="V117">
        <v>0.1151806576821274</v>
      </c>
      <c r="W117">
        <v>-18.513275594336982</v>
      </c>
      <c r="X117">
        <v>0.67978351351465127</v>
      </c>
      <c r="Z117" t="s">
        <v>392</v>
      </c>
      <c r="AA117">
        <v>140</v>
      </c>
      <c r="AB117" t="s">
        <v>1522</v>
      </c>
      <c r="AC117" t="str">
        <f>HYPERLINK("plots/20251231112652_3FT6Y119H04_05543_B21P_N_UFLEX98_M5358A8BA201511/dpll_52046/txpa_54149.png","plot")</f>
        <v>plot</v>
      </c>
    </row>
    <row r="118" spans="1:29" x14ac:dyDescent="0.35">
      <c r="A118" t="s">
        <v>47</v>
      </c>
      <c r="B118">
        <v>52046</v>
      </c>
      <c r="C118" t="s">
        <v>51</v>
      </c>
      <c r="D118">
        <v>54150</v>
      </c>
      <c r="E118" t="s">
        <v>170</v>
      </c>
      <c r="F118">
        <v>7135</v>
      </c>
      <c r="G118">
        <v>0.1609867577328799</v>
      </c>
      <c r="H118">
        <v>1.242124781438497E-42</v>
      </c>
      <c r="I118">
        <v>1.39790735669105E-42</v>
      </c>
      <c r="J118">
        <v>0.1503792391740584</v>
      </c>
      <c r="K118">
        <v>2.325080117901663E-37</v>
      </c>
      <c r="L118">
        <v>2.69135986250261E-37</v>
      </c>
      <c r="M118">
        <v>9.9935944828070569E-2</v>
      </c>
      <c r="N118">
        <v>1.06868417916216E-36</v>
      </c>
      <c r="O118">
        <v>1.2342206807180291E-36</v>
      </c>
      <c r="P118">
        <v>2.591673616534497E-2</v>
      </c>
      <c r="Q118">
        <v>0.94053573208770691</v>
      </c>
      <c r="R118">
        <v>-23.030935109888031</v>
      </c>
      <c r="S118">
        <v>0.66405782943944214</v>
      </c>
      <c r="T118">
        <v>0.51193503081902092</v>
      </c>
      <c r="U118">
        <v>4.4223027545900493</v>
      </c>
      <c r="V118">
        <v>0.1151736555088148</v>
      </c>
      <c r="W118">
        <v>-18.871601351086191</v>
      </c>
      <c r="X118">
        <v>0.67288104889310585</v>
      </c>
      <c r="Z118" t="s">
        <v>392</v>
      </c>
      <c r="AA118">
        <v>140</v>
      </c>
      <c r="AB118" t="s">
        <v>1523</v>
      </c>
      <c r="AC118" t="str">
        <f>HYPERLINK("plots/20251231112652_3FT6Y119H04_05543_B21P_N_UFLEX98_M5358A8BA201511/dpll_52046/txpa_54150.png","plot")</f>
        <v>plot</v>
      </c>
    </row>
    <row r="119" spans="1:29" x14ac:dyDescent="0.35">
      <c r="A119" t="s">
        <v>47</v>
      </c>
      <c r="B119">
        <v>52046</v>
      </c>
      <c r="C119" t="s">
        <v>51</v>
      </c>
      <c r="D119">
        <v>54151</v>
      </c>
      <c r="E119" t="s">
        <v>171</v>
      </c>
      <c r="F119">
        <v>7133</v>
      </c>
      <c r="G119">
        <v>0.1512975089532049</v>
      </c>
      <c r="H119">
        <v>8.6074100420724928E-38</v>
      </c>
      <c r="I119">
        <v>9.570080902041127E-38</v>
      </c>
      <c r="J119">
        <v>0.14284585297157509</v>
      </c>
      <c r="K119">
        <v>7.8381557697083862E-34</v>
      </c>
      <c r="L119">
        <v>8.8506569604502258E-34</v>
      </c>
      <c r="M119">
        <v>9.484163099891095E-2</v>
      </c>
      <c r="N119">
        <v>3.2618422390883452E-33</v>
      </c>
      <c r="O119">
        <v>3.6831937978124519E-33</v>
      </c>
      <c r="P119">
        <v>2.289093621544511E-2</v>
      </c>
      <c r="Q119">
        <v>0.8480632746445903</v>
      </c>
      <c r="R119">
        <v>-22.34163888888034</v>
      </c>
      <c r="S119">
        <v>0.63807809088089162</v>
      </c>
      <c r="T119">
        <v>0.49082138299468431</v>
      </c>
      <c r="U119">
        <v>4.4223542959484083</v>
      </c>
      <c r="V119">
        <v>0.1151691808320883</v>
      </c>
      <c r="W119">
        <v>-18.591202623019761</v>
      </c>
      <c r="X119">
        <v>0.64555426794769377</v>
      </c>
      <c r="Z119" t="s">
        <v>392</v>
      </c>
      <c r="AA119">
        <v>140</v>
      </c>
      <c r="AB119" t="s">
        <v>1524</v>
      </c>
      <c r="AC119" t="str">
        <f>HYPERLINK("plots/20251231112652_3FT6Y119H04_05543_B21P_N_UFLEX98_M5358A8BA201511/dpll_52046/txpa_54151.png","plot")</f>
        <v>plot</v>
      </c>
    </row>
    <row r="120" spans="1:29" x14ac:dyDescent="0.35">
      <c r="A120" t="s">
        <v>47</v>
      </c>
      <c r="B120">
        <v>52046</v>
      </c>
      <c r="C120" t="s">
        <v>51</v>
      </c>
      <c r="D120">
        <v>54152</v>
      </c>
      <c r="E120" t="s">
        <v>172</v>
      </c>
      <c r="F120">
        <v>7135</v>
      </c>
      <c r="G120">
        <v>0.14925338363872129</v>
      </c>
      <c r="H120">
        <v>8.01998855015301E-37</v>
      </c>
      <c r="I120">
        <v>8.8202477113396438E-37</v>
      </c>
      <c r="J120">
        <v>0.13991034240215161</v>
      </c>
      <c r="K120">
        <v>1.6068260726002119E-32</v>
      </c>
      <c r="L120">
        <v>1.7924330446827441E-32</v>
      </c>
      <c r="M120">
        <v>9.2880980107180933E-2</v>
      </c>
      <c r="N120">
        <v>6.2626639080754452E-32</v>
      </c>
      <c r="O120">
        <v>6.9860739304603968E-32</v>
      </c>
      <c r="P120">
        <v>2.227657252760732E-2</v>
      </c>
      <c r="Q120">
        <v>0.82542488161161942</v>
      </c>
      <c r="R120">
        <v>-22.389382528871408</v>
      </c>
      <c r="S120">
        <v>0.62980874342754678</v>
      </c>
      <c r="T120">
        <v>0.47961052527860831</v>
      </c>
      <c r="U120">
        <v>4.422286288016819</v>
      </c>
      <c r="V120">
        <v>0.11518017668675561</v>
      </c>
      <c r="W120">
        <v>-18.739117393132439</v>
      </c>
      <c r="X120">
        <v>0.63698779476786127</v>
      </c>
      <c r="Z120" t="s">
        <v>392</v>
      </c>
      <c r="AA120">
        <v>140</v>
      </c>
      <c r="AB120" t="s">
        <v>1525</v>
      </c>
      <c r="AC120" t="str">
        <f>HYPERLINK("plots/20251231112652_3FT6Y119H04_05543_B21P_N_UFLEX98_M5358A8BA201511/dpll_52046/txpa_54152.png","plot")</f>
        <v>plot</v>
      </c>
    </row>
    <row r="121" spans="1:29" x14ac:dyDescent="0.35">
      <c r="A121" t="s">
        <v>47</v>
      </c>
      <c r="B121">
        <v>52046</v>
      </c>
      <c r="C121" t="s">
        <v>51</v>
      </c>
      <c r="D121">
        <v>54153</v>
      </c>
      <c r="E121" t="s">
        <v>173</v>
      </c>
      <c r="F121">
        <v>7129</v>
      </c>
      <c r="G121">
        <v>0.13811293462860619</v>
      </c>
      <c r="H121">
        <v>1.0618306484160071E-31</v>
      </c>
      <c r="I121">
        <v>1.138156741536819E-31</v>
      </c>
      <c r="J121">
        <v>0.1218139710071602</v>
      </c>
      <c r="K121">
        <v>5.6146917184742999E-25</v>
      </c>
      <c r="L121">
        <v>5.9428991675709189E-25</v>
      </c>
      <c r="M121">
        <v>8.0953173553581059E-2</v>
      </c>
      <c r="N121">
        <v>1.237999242651337E-24</v>
      </c>
      <c r="O121">
        <v>1.3103666305307469E-24</v>
      </c>
      <c r="P121">
        <v>1.907518271172565E-2</v>
      </c>
      <c r="Q121">
        <v>0.77398928346595075</v>
      </c>
      <c r="R121">
        <v>-22.15109099508982</v>
      </c>
      <c r="S121">
        <v>0.63930682490282453</v>
      </c>
      <c r="T121">
        <v>0.48699222889386851</v>
      </c>
      <c r="U121">
        <v>4.4223118587459673</v>
      </c>
      <c r="V121">
        <v>0.11519174231474839</v>
      </c>
      <c r="W121">
        <v>-18.728269008276051</v>
      </c>
      <c r="X121">
        <v>0.64553819187996753</v>
      </c>
      <c r="Z121" t="s">
        <v>392</v>
      </c>
      <c r="AA121">
        <v>140</v>
      </c>
      <c r="AB121" t="s">
        <v>1526</v>
      </c>
      <c r="AC121" t="str">
        <f>HYPERLINK("plots/20251231112652_3FT6Y119H04_05543_B21P_N_UFLEX98_M5358A8BA201511/dpll_52046/txpa_54153.png","plot")</f>
        <v>plot</v>
      </c>
    </row>
    <row r="122" spans="1:29" x14ac:dyDescent="0.35">
      <c r="A122" t="s">
        <v>47</v>
      </c>
      <c r="B122">
        <v>52046</v>
      </c>
      <c r="C122" t="s">
        <v>51</v>
      </c>
      <c r="D122">
        <v>54154</v>
      </c>
      <c r="E122" t="s">
        <v>174</v>
      </c>
      <c r="F122">
        <v>7139</v>
      </c>
      <c r="G122">
        <v>0.1142849841548093</v>
      </c>
      <c r="H122">
        <v>3.4481078253092722E-22</v>
      </c>
      <c r="I122">
        <v>3.5281345457755819E-22</v>
      </c>
      <c r="J122">
        <v>0.1051357060056729</v>
      </c>
      <c r="K122">
        <v>5.2751831032584195E-19</v>
      </c>
      <c r="L122">
        <v>5.3759152429186305E-19</v>
      </c>
      <c r="M122">
        <v>6.9818382092402501E-2</v>
      </c>
      <c r="N122">
        <v>9.328846441180907E-19</v>
      </c>
      <c r="O122">
        <v>9.5069852174446632E-19</v>
      </c>
      <c r="P122">
        <v>1.306105760326502E-2</v>
      </c>
      <c r="Q122">
        <v>0.8631833289756301</v>
      </c>
      <c r="R122">
        <v>-23.517045281666611</v>
      </c>
      <c r="S122">
        <v>0.86400254253307684</v>
      </c>
      <c r="T122">
        <v>0.66116892723801757</v>
      </c>
      <c r="U122">
        <v>4.4222873134892842</v>
      </c>
      <c r="V122">
        <v>0.1151559613407446</v>
      </c>
      <c r="W122">
        <v>-19.69980059672223</v>
      </c>
      <c r="X122">
        <v>0.86976173463738371</v>
      </c>
      <c r="Z122" t="s">
        <v>392</v>
      </c>
      <c r="AA122">
        <v>140</v>
      </c>
      <c r="AB122" t="s">
        <v>1527</v>
      </c>
      <c r="AC122" t="str">
        <f>HYPERLINK("plots/20251231112652_3FT6Y119H04_05543_B21P_N_UFLEX98_M5358A8BA201511/dpll_52046/txpa_54154.png","plot")</f>
        <v>plot</v>
      </c>
    </row>
    <row r="123" spans="1:29" x14ac:dyDescent="0.35">
      <c r="A123" t="s">
        <v>47</v>
      </c>
      <c r="B123">
        <v>52046</v>
      </c>
      <c r="C123" t="s">
        <v>51</v>
      </c>
      <c r="D123">
        <v>54155</v>
      </c>
      <c r="E123" t="s">
        <v>175</v>
      </c>
      <c r="F123">
        <v>7139</v>
      </c>
      <c r="G123">
        <v>0.14872595293950749</v>
      </c>
      <c r="H123">
        <v>1.364904736041331E-36</v>
      </c>
      <c r="I123">
        <v>1.494614905341155E-36</v>
      </c>
      <c r="J123">
        <v>0.1098890623916981</v>
      </c>
      <c r="K123">
        <v>1.2616155948941251E-20</v>
      </c>
      <c r="L123">
        <v>1.300079484982361E-20</v>
      </c>
      <c r="M123">
        <v>7.2772716762606424E-2</v>
      </c>
      <c r="N123">
        <v>2.9624479271121283E-20</v>
      </c>
      <c r="O123">
        <v>3.0496672061844648E-20</v>
      </c>
      <c r="P123">
        <v>2.211940907776459E-2</v>
      </c>
      <c r="Q123">
        <v>0.7081464721943781</v>
      </c>
      <c r="R123">
        <v>-11.959004243842619</v>
      </c>
      <c r="S123">
        <v>0.54216971520721402</v>
      </c>
      <c r="T123">
        <v>0.4491223828191403</v>
      </c>
      <c r="U123">
        <v>4.4222873134892842</v>
      </c>
      <c r="V123">
        <v>0.1151559613407446</v>
      </c>
      <c r="W123">
        <v>-8.8273770837652332</v>
      </c>
      <c r="X123">
        <v>0.54830570027524972</v>
      </c>
      <c r="Z123" t="s">
        <v>392</v>
      </c>
      <c r="AA123">
        <v>140</v>
      </c>
      <c r="AB123" t="s">
        <v>1528</v>
      </c>
      <c r="AC123" t="str">
        <f>HYPERLINK("plots/20251231112652_3FT6Y119H04_05543_B21P_N_UFLEX98_M5358A8BA201511/dpll_52046/txpa_54155.png","plot")</f>
        <v>plot</v>
      </c>
    </row>
    <row r="124" spans="1:29" x14ac:dyDescent="0.35">
      <c r="A124" t="s">
        <v>47</v>
      </c>
      <c r="B124">
        <v>52046</v>
      </c>
      <c r="C124" t="s">
        <v>51</v>
      </c>
      <c r="D124">
        <v>54156</v>
      </c>
      <c r="E124" t="s">
        <v>176</v>
      </c>
      <c r="F124">
        <v>7139</v>
      </c>
      <c r="G124">
        <v>0.24635518411577839</v>
      </c>
      <c r="H124">
        <v>3.5476906779725158E-99</v>
      </c>
      <c r="I124">
        <v>5.6296687753742277E-99</v>
      </c>
      <c r="J124">
        <v>0.22288963282978921</v>
      </c>
      <c r="K124">
        <v>4.5174656096386252E-81</v>
      </c>
      <c r="L124">
        <v>7.0799229183517247E-81</v>
      </c>
      <c r="M124">
        <v>0.14778688021994801</v>
      </c>
      <c r="N124">
        <v>3.1415450665583332E-78</v>
      </c>
      <c r="O124">
        <v>4.8708359288840212E-78</v>
      </c>
      <c r="P124">
        <v>6.0690876740719081E-2</v>
      </c>
      <c r="Q124">
        <v>0.74734398306806515</v>
      </c>
      <c r="R124">
        <v>-11.569830843709889</v>
      </c>
      <c r="S124">
        <v>0.33854711170497492</v>
      </c>
      <c r="T124">
        <v>0.26558560548960208</v>
      </c>
      <c r="U124">
        <v>4.4222873134892842</v>
      </c>
      <c r="V124">
        <v>0.1151559613407446</v>
      </c>
      <c r="W124">
        <v>-8.2648610285754316</v>
      </c>
      <c r="X124">
        <v>0.34933754339822798</v>
      </c>
      <c r="Z124" t="s">
        <v>392</v>
      </c>
      <c r="AA124">
        <v>140</v>
      </c>
      <c r="AB124" t="s">
        <v>1529</v>
      </c>
      <c r="AC124" t="str">
        <f>HYPERLINK("plots/20251231112652_3FT6Y119H04_05543_B21P_N_UFLEX98_M5358A8BA201511/dpll_52046/txpa_54156.png","plot")</f>
        <v>plot</v>
      </c>
    </row>
    <row r="125" spans="1:29" x14ac:dyDescent="0.35">
      <c r="A125" t="s">
        <v>47</v>
      </c>
      <c r="B125">
        <v>52046</v>
      </c>
      <c r="C125" t="s">
        <v>51</v>
      </c>
      <c r="D125">
        <v>54157</v>
      </c>
      <c r="E125" t="s">
        <v>177</v>
      </c>
      <c r="F125">
        <v>7139</v>
      </c>
      <c r="G125">
        <v>0.1952715287395817</v>
      </c>
      <c r="H125">
        <v>2.7054826809505038E-62</v>
      </c>
      <c r="I125">
        <v>3.309239370909302E-62</v>
      </c>
      <c r="J125">
        <v>0.16392477666082511</v>
      </c>
      <c r="K125">
        <v>3.4989953075992771E-44</v>
      </c>
      <c r="L125">
        <v>4.20376924396406E-44</v>
      </c>
      <c r="M125">
        <v>0.1090830184438909</v>
      </c>
      <c r="N125">
        <v>1.910712233541813E-43</v>
      </c>
      <c r="O125">
        <v>2.295571332714926E-43</v>
      </c>
      <c r="P125">
        <v>3.8130969936293287E-2</v>
      </c>
      <c r="Q125">
        <v>0.67929505956342384</v>
      </c>
      <c r="R125">
        <v>-10.898756303067961</v>
      </c>
      <c r="S125">
        <v>0.39285610516319969</v>
      </c>
      <c r="T125">
        <v>0.3180632801624943</v>
      </c>
      <c r="U125">
        <v>4.4222873134892842</v>
      </c>
      <c r="V125">
        <v>0.1151559613407446</v>
      </c>
      <c r="W125">
        <v>-7.8947183790446838</v>
      </c>
      <c r="X125">
        <v>0.40059539720389442</v>
      </c>
      <c r="Z125" t="s">
        <v>392</v>
      </c>
      <c r="AA125">
        <v>140</v>
      </c>
      <c r="AB125" t="s">
        <v>1530</v>
      </c>
      <c r="AC125" t="str">
        <f>HYPERLINK("plots/20251231112652_3FT6Y119H04_05543_B21P_N_UFLEX98_M5358A8BA201511/dpll_52046/txpa_54157.png","plot")</f>
        <v>plot</v>
      </c>
    </row>
    <row r="126" spans="1:29" x14ac:dyDescent="0.35">
      <c r="A126" t="s">
        <v>47</v>
      </c>
      <c r="B126">
        <v>52046</v>
      </c>
      <c r="C126" t="s">
        <v>51</v>
      </c>
      <c r="D126">
        <v>54158</v>
      </c>
      <c r="E126" t="s">
        <v>178</v>
      </c>
      <c r="F126">
        <v>7139</v>
      </c>
      <c r="G126">
        <v>0.28199007975191182</v>
      </c>
      <c r="H126">
        <v>1.2946397355189871E-130</v>
      </c>
      <c r="I126">
        <v>2.7011619173173921E-130</v>
      </c>
      <c r="J126">
        <v>0.24651816211942781</v>
      </c>
      <c r="K126">
        <v>2.6128870393709052E-99</v>
      </c>
      <c r="L126">
        <v>4.8883163430297E-99</v>
      </c>
      <c r="M126">
        <v>0.1646270105241435</v>
      </c>
      <c r="N126">
        <v>1.2951560567491761E-96</v>
      </c>
      <c r="O126">
        <v>2.4097031954929621E-96</v>
      </c>
      <c r="P126">
        <v>7.9518405078489549E-2</v>
      </c>
      <c r="Q126">
        <v>0.81563214748861534</v>
      </c>
      <c r="R126">
        <v>-11.87259651005126</v>
      </c>
      <c r="S126">
        <v>0.31953914228599728</v>
      </c>
      <c r="T126">
        <v>0.25470656822154192</v>
      </c>
      <c r="U126">
        <v>4.4222873134892842</v>
      </c>
      <c r="V126">
        <v>0.1151559613407446</v>
      </c>
      <c r="W126">
        <v>-8.2656368117383376</v>
      </c>
      <c r="X126">
        <v>0.33307875272456527</v>
      </c>
      <c r="Z126" t="s">
        <v>392</v>
      </c>
      <c r="AA126">
        <v>140</v>
      </c>
      <c r="AB126" t="s">
        <v>1531</v>
      </c>
      <c r="AC126" t="str">
        <f>HYPERLINK("plots/20251231112652_3FT6Y119H04_05543_B21P_N_UFLEX98_M5358A8BA201511/dpll_52046/txpa_54158.png","plot")</f>
        <v>plot</v>
      </c>
    </row>
    <row r="127" spans="1:29" x14ac:dyDescent="0.35">
      <c r="A127" t="s">
        <v>47</v>
      </c>
      <c r="B127">
        <v>52046</v>
      </c>
      <c r="C127" t="s">
        <v>51</v>
      </c>
      <c r="D127">
        <v>54159</v>
      </c>
      <c r="E127" t="s">
        <v>179</v>
      </c>
      <c r="F127">
        <v>7139</v>
      </c>
      <c r="G127">
        <v>0.2200646332459934</v>
      </c>
      <c r="H127">
        <v>5.0090137770141742E-79</v>
      </c>
      <c r="I127">
        <v>6.8176375434796944E-79</v>
      </c>
      <c r="J127">
        <v>0.17813755013695881</v>
      </c>
      <c r="K127">
        <v>5.5746779151558932E-52</v>
      </c>
      <c r="L127">
        <v>6.9614820270542801E-52</v>
      </c>
      <c r="M127">
        <v>0.1181606791302845</v>
      </c>
      <c r="N127">
        <v>1.1401360067123319E-50</v>
      </c>
      <c r="O127">
        <v>1.418525043934117E-50</v>
      </c>
      <c r="P127">
        <v>4.8428442805693583E-2</v>
      </c>
      <c r="Q127">
        <v>0.69465290751447362</v>
      </c>
      <c r="R127">
        <v>-11.07447424529246</v>
      </c>
      <c r="S127">
        <v>0.35456375465219381</v>
      </c>
      <c r="T127">
        <v>0.28678225941587232</v>
      </c>
      <c r="U127">
        <v>4.4222873134892842</v>
      </c>
      <c r="V127">
        <v>0.1151559613407446</v>
      </c>
      <c r="W127">
        <v>-8.0025195051127618</v>
      </c>
      <c r="X127">
        <v>0.36349967817661122</v>
      </c>
      <c r="Z127" t="s">
        <v>392</v>
      </c>
      <c r="AA127">
        <v>140</v>
      </c>
      <c r="AB127" t="s">
        <v>1532</v>
      </c>
      <c r="AC127" t="str">
        <f>HYPERLINK("plots/20251231112652_3FT6Y119H04_05543_B21P_N_UFLEX98_M5358A8BA201511/dpll_52046/txpa_54159.png","plot")</f>
        <v>plot</v>
      </c>
    </row>
    <row r="128" spans="1:29" x14ac:dyDescent="0.35">
      <c r="A128" t="s">
        <v>47</v>
      </c>
      <c r="B128">
        <v>52046</v>
      </c>
      <c r="C128" t="s">
        <v>51</v>
      </c>
      <c r="D128">
        <v>54160</v>
      </c>
      <c r="E128" t="s">
        <v>180</v>
      </c>
      <c r="F128">
        <v>7139</v>
      </c>
      <c r="G128">
        <v>0.28368672777384552</v>
      </c>
      <c r="H128">
        <v>3.1103390887852729E-132</v>
      </c>
      <c r="I128">
        <v>6.5297801988162885E-132</v>
      </c>
      <c r="J128">
        <v>0.2394622420847532</v>
      </c>
      <c r="K128">
        <v>1.195294744655223E-93</v>
      </c>
      <c r="L128">
        <v>2.0969357631148718E-93</v>
      </c>
      <c r="M128">
        <v>0.1591950032649784</v>
      </c>
      <c r="N128">
        <v>1.816401639878934E-90</v>
      </c>
      <c r="O128">
        <v>3.1755711428228268E-90</v>
      </c>
      <c r="P128">
        <v>8.0478159515031927E-2</v>
      </c>
      <c r="Q128">
        <v>0.73199352870364787</v>
      </c>
      <c r="R128">
        <v>-11.35507148514878</v>
      </c>
      <c r="S128">
        <v>0.28490840035223092</v>
      </c>
      <c r="T128">
        <v>0.22657417218143611</v>
      </c>
      <c r="U128">
        <v>4.4222873134892842</v>
      </c>
      <c r="V128">
        <v>0.1151559613407446</v>
      </c>
      <c r="W128">
        <v>-8.1179857896063883</v>
      </c>
      <c r="X128">
        <v>0.29713557329432427</v>
      </c>
      <c r="Z128" t="s">
        <v>392</v>
      </c>
      <c r="AA128">
        <v>140</v>
      </c>
      <c r="AB128" t="s">
        <v>1533</v>
      </c>
      <c r="AC128" t="str">
        <f>HYPERLINK("plots/20251231112652_3FT6Y119H04_05543_B21P_N_UFLEX98_M5358A8BA201511/dpll_52046/txpa_54160.png","plot")</f>
        <v>plot</v>
      </c>
    </row>
    <row r="129" spans="1:29" x14ac:dyDescent="0.35">
      <c r="A129" t="s">
        <v>47</v>
      </c>
      <c r="B129">
        <v>52046</v>
      </c>
      <c r="C129" t="s">
        <v>51</v>
      </c>
      <c r="D129">
        <v>54161</v>
      </c>
      <c r="E129" t="s">
        <v>181</v>
      </c>
      <c r="F129">
        <v>7139</v>
      </c>
      <c r="G129">
        <v>0.20967938648255149</v>
      </c>
      <c r="H129">
        <v>9.3821665066020171E-72</v>
      </c>
      <c r="I129">
        <v>1.210371098943314E-71</v>
      </c>
      <c r="J129">
        <v>0.17821411260386169</v>
      </c>
      <c r="K129">
        <v>5.0392456454231193E-52</v>
      </c>
      <c r="L129">
        <v>6.3083889931593107E-52</v>
      </c>
      <c r="M129">
        <v>0.11852167946244779</v>
      </c>
      <c r="N129">
        <v>5.7307566454068057E-51</v>
      </c>
      <c r="O129">
        <v>7.1563882246828824E-51</v>
      </c>
      <c r="P129">
        <v>4.3965445115699192E-2</v>
      </c>
      <c r="Q129">
        <v>0.62179866900483627</v>
      </c>
      <c r="R129">
        <v>-10.83106575125292</v>
      </c>
      <c r="S129">
        <v>0.33387726847656468</v>
      </c>
      <c r="T129">
        <v>0.26421987795924778</v>
      </c>
      <c r="U129">
        <v>4.4222873134892842</v>
      </c>
      <c r="V129">
        <v>0.1151559613407446</v>
      </c>
      <c r="W129">
        <v>-8.0812933857683138</v>
      </c>
      <c r="X129">
        <v>0.34149195441110231</v>
      </c>
      <c r="Z129" t="s">
        <v>392</v>
      </c>
      <c r="AA129">
        <v>140</v>
      </c>
      <c r="AB129" t="s">
        <v>1534</v>
      </c>
      <c r="AC129" t="str">
        <f>HYPERLINK("plots/20251231112652_3FT6Y119H04_05543_B21P_N_UFLEX98_M5358A8BA201511/dpll_52046/txpa_54161.png","plot")</f>
        <v>plot</v>
      </c>
    </row>
    <row r="130" spans="1:29" x14ac:dyDescent="0.35">
      <c r="A130" t="s">
        <v>47</v>
      </c>
      <c r="B130">
        <v>52046</v>
      </c>
      <c r="C130" t="s">
        <v>51</v>
      </c>
      <c r="D130">
        <v>54162</v>
      </c>
      <c r="E130" t="s">
        <v>182</v>
      </c>
      <c r="F130">
        <v>7139</v>
      </c>
      <c r="G130">
        <v>0.16342064362919481</v>
      </c>
      <c r="H130">
        <v>6.4277759948414577E-44</v>
      </c>
      <c r="I130">
        <v>7.3069112766471279E-44</v>
      </c>
      <c r="J130">
        <v>0.12654856026287781</v>
      </c>
      <c r="K130">
        <v>7.0690409227108503E-27</v>
      </c>
      <c r="L130">
        <v>7.5532218078280326E-27</v>
      </c>
      <c r="M130">
        <v>8.3883528807107324E-2</v>
      </c>
      <c r="N130">
        <v>2.2089046059990959E-26</v>
      </c>
      <c r="O130">
        <v>2.3577150215611411E-26</v>
      </c>
      <c r="P130">
        <v>2.6706306764180291E-2</v>
      </c>
      <c r="Q130">
        <v>0.74290079286039201</v>
      </c>
      <c r="R130">
        <v>-12.278637743183181</v>
      </c>
      <c r="S130">
        <v>0.51641858801651441</v>
      </c>
      <c r="T130">
        <v>0.42652011987066718</v>
      </c>
      <c r="U130">
        <v>4.4222873134892842</v>
      </c>
      <c r="V130">
        <v>0.1151559613407446</v>
      </c>
      <c r="W130">
        <v>-8.9933169917355382</v>
      </c>
      <c r="X130">
        <v>0.52349233905083337</v>
      </c>
      <c r="Z130" t="s">
        <v>392</v>
      </c>
      <c r="AA130">
        <v>140</v>
      </c>
      <c r="AB130" t="s">
        <v>1535</v>
      </c>
      <c r="AC130" t="str">
        <f>HYPERLINK("plots/20251231112652_3FT6Y119H04_05543_B21P_N_UFLEX98_M5358A8BA201511/dpll_52046/txpa_54162.png","plot")</f>
        <v>plot</v>
      </c>
    </row>
    <row r="131" spans="1:29" x14ac:dyDescent="0.35">
      <c r="A131" t="s">
        <v>47</v>
      </c>
      <c r="B131">
        <v>52046</v>
      </c>
      <c r="C131" t="s">
        <v>51</v>
      </c>
      <c r="D131">
        <v>54163</v>
      </c>
      <c r="E131" t="s">
        <v>183</v>
      </c>
      <c r="F131">
        <v>7139</v>
      </c>
      <c r="G131">
        <v>0.14436986441325819</v>
      </c>
      <c r="H131">
        <v>1.4790070368502291E-34</v>
      </c>
      <c r="I131">
        <v>1.6039712677712649E-34</v>
      </c>
      <c r="J131">
        <v>0.1066699949365912</v>
      </c>
      <c r="K131">
        <v>1.6097083837900421E-19</v>
      </c>
      <c r="L131">
        <v>1.6437505550484411E-19</v>
      </c>
      <c r="M131">
        <v>7.0593812788850227E-2</v>
      </c>
      <c r="N131">
        <v>3.7341656301066449E-19</v>
      </c>
      <c r="O131">
        <v>3.8131359002297461E-19</v>
      </c>
      <c r="P131">
        <v>2.084265775070256E-2</v>
      </c>
      <c r="Q131">
        <v>0.67999667071085546</v>
      </c>
      <c r="R131">
        <v>-5.9358736153608076</v>
      </c>
      <c r="S131">
        <v>0.53667638565277809</v>
      </c>
      <c r="T131">
        <v>0.44681845265457149</v>
      </c>
      <c r="U131">
        <v>4.4222873134892842</v>
      </c>
      <c r="V131">
        <v>0.1151559613407446</v>
      </c>
      <c r="W131">
        <v>-2.9287329652612408</v>
      </c>
      <c r="X131">
        <v>0.54239623097563205</v>
      </c>
      <c r="Z131" t="s">
        <v>392</v>
      </c>
      <c r="AA131">
        <v>140</v>
      </c>
      <c r="AB131" t="s">
        <v>1536</v>
      </c>
      <c r="AC131" t="str">
        <f>HYPERLINK("plots/20251231112652_3FT6Y119H04_05543_B21P_N_UFLEX98_M5358A8BA201511/dpll_52046/txpa_54163.png","plot")</f>
        <v>plot</v>
      </c>
    </row>
    <row r="132" spans="1:29" x14ac:dyDescent="0.35">
      <c r="A132" t="s">
        <v>47</v>
      </c>
      <c r="B132">
        <v>52046</v>
      </c>
      <c r="C132" t="s">
        <v>51</v>
      </c>
      <c r="D132">
        <v>54164</v>
      </c>
      <c r="E132" t="s">
        <v>184</v>
      </c>
      <c r="F132">
        <v>7139</v>
      </c>
      <c r="G132">
        <v>0.25820328720342212</v>
      </c>
      <c r="H132">
        <v>4.3134462130864881E-109</v>
      </c>
      <c r="I132">
        <v>7.4384939797103722E-109</v>
      </c>
      <c r="J132">
        <v>0.23548837394629499</v>
      </c>
      <c r="K132">
        <v>1.5295952087627179E-90</v>
      </c>
      <c r="L132">
        <v>2.6467739619204721E-90</v>
      </c>
      <c r="M132">
        <v>0.15631253127361469</v>
      </c>
      <c r="N132">
        <v>2.6755390275053812E-87</v>
      </c>
      <c r="O132">
        <v>4.5443828708382857E-87</v>
      </c>
      <c r="P132">
        <v>6.6668937522652863E-2</v>
      </c>
      <c r="Q132">
        <v>0.75021024654824331</v>
      </c>
      <c r="R132">
        <v>-5.7061922798529752</v>
      </c>
      <c r="S132">
        <v>0.32321766656688261</v>
      </c>
      <c r="T132">
        <v>0.25362359020099517</v>
      </c>
      <c r="U132">
        <v>4.4222873134892842</v>
      </c>
      <c r="V132">
        <v>0.1151559613407446</v>
      </c>
      <c r="W132">
        <v>-2.3885470240930111</v>
      </c>
      <c r="X132">
        <v>0.33458591129739501</v>
      </c>
      <c r="Z132" t="s">
        <v>392</v>
      </c>
      <c r="AA132">
        <v>140</v>
      </c>
      <c r="AB132" t="s">
        <v>1537</v>
      </c>
      <c r="AC132" t="str">
        <f>HYPERLINK("plots/20251231112652_3FT6Y119H04_05543_B21P_N_UFLEX98_M5358A8BA201511/dpll_52046/txpa_54164.png","plot")</f>
        <v>plot</v>
      </c>
    </row>
    <row r="133" spans="1:29" x14ac:dyDescent="0.35">
      <c r="A133" t="s">
        <v>47</v>
      </c>
      <c r="B133">
        <v>52046</v>
      </c>
      <c r="C133" t="s">
        <v>51</v>
      </c>
      <c r="D133">
        <v>54165</v>
      </c>
      <c r="E133" t="s">
        <v>185</v>
      </c>
      <c r="F133">
        <v>7139</v>
      </c>
      <c r="G133">
        <v>0.19971966876359359</v>
      </c>
      <c r="H133">
        <v>3.8821582502554141E-65</v>
      </c>
      <c r="I133">
        <v>4.865894271642757E-65</v>
      </c>
      <c r="J133">
        <v>0.1705680565678265</v>
      </c>
      <c r="K133">
        <v>9.6361978361486586E-48</v>
      </c>
      <c r="L133">
        <v>1.1715952764813839E-47</v>
      </c>
      <c r="M133">
        <v>0.11377049335250521</v>
      </c>
      <c r="N133">
        <v>4.151288428770269E-47</v>
      </c>
      <c r="O133">
        <v>5.0412053494288045E-47</v>
      </c>
      <c r="P133">
        <v>3.9887946091039551E-2</v>
      </c>
      <c r="Q133">
        <v>0.66970198698522987</v>
      </c>
      <c r="R133">
        <v>-5.0072246844184676</v>
      </c>
      <c r="S133">
        <v>0.37833604322361047</v>
      </c>
      <c r="T133">
        <v>0.30670728578856421</v>
      </c>
      <c r="U133">
        <v>4.4222873134892842</v>
      </c>
      <c r="V133">
        <v>0.1151559613407446</v>
      </c>
      <c r="W133">
        <v>-2.0456100835551201</v>
      </c>
      <c r="X133">
        <v>0.38614211910383978</v>
      </c>
      <c r="Z133" t="s">
        <v>392</v>
      </c>
      <c r="AA133">
        <v>140</v>
      </c>
      <c r="AB133" t="s">
        <v>1538</v>
      </c>
      <c r="AC133" t="str">
        <f>HYPERLINK("plots/20251231112652_3FT6Y119H04_05543_B21P_N_UFLEX98_M5358A8BA201511/dpll_52046/txpa_54165.png","plot")</f>
        <v>plot</v>
      </c>
    </row>
    <row r="134" spans="1:29" x14ac:dyDescent="0.35">
      <c r="A134" t="s">
        <v>47</v>
      </c>
      <c r="B134">
        <v>52046</v>
      </c>
      <c r="C134" t="s">
        <v>51</v>
      </c>
      <c r="D134">
        <v>54166</v>
      </c>
      <c r="E134" t="s">
        <v>186</v>
      </c>
      <c r="F134">
        <v>7139</v>
      </c>
      <c r="G134">
        <v>0.2885152064523312</v>
      </c>
      <c r="H134">
        <v>6.6360156870727587E-137</v>
      </c>
      <c r="I134">
        <v>1.4408822070003799E-136</v>
      </c>
      <c r="J134">
        <v>0.25683315947684637</v>
      </c>
      <c r="K134">
        <v>6.4332169507996603E-108</v>
      </c>
      <c r="L134">
        <v>1.2765718176342179E-107</v>
      </c>
      <c r="M134">
        <v>0.17174739741202641</v>
      </c>
      <c r="N134">
        <v>5.436295541774896E-105</v>
      </c>
      <c r="O134">
        <v>1.0766413436249499E-104</v>
      </c>
      <c r="P134">
        <v>8.3241024354231294E-2</v>
      </c>
      <c r="Q134">
        <v>0.79777370897046573</v>
      </c>
      <c r="R134">
        <v>-5.9205900241302167</v>
      </c>
      <c r="S134">
        <v>0.30485589910955152</v>
      </c>
      <c r="T134">
        <v>0.24302652392141799</v>
      </c>
      <c r="U134">
        <v>4.4222873134892842</v>
      </c>
      <c r="V134">
        <v>0.1151559613407446</v>
      </c>
      <c r="W134">
        <v>-2.392605471914834</v>
      </c>
      <c r="X134">
        <v>0.31841787307680081</v>
      </c>
      <c r="Z134" t="s">
        <v>392</v>
      </c>
      <c r="AA134">
        <v>140</v>
      </c>
      <c r="AB134" t="s">
        <v>1539</v>
      </c>
      <c r="AC134" t="str">
        <f>HYPERLINK("plots/20251231112652_3FT6Y119H04_05543_B21P_N_UFLEX98_M5358A8BA201511/dpll_52046/txpa_54166.png","plot")</f>
        <v>plot</v>
      </c>
    </row>
    <row r="135" spans="1:29" x14ac:dyDescent="0.35">
      <c r="A135" t="s">
        <v>47</v>
      </c>
      <c r="B135">
        <v>52046</v>
      </c>
      <c r="C135" t="s">
        <v>51</v>
      </c>
      <c r="D135">
        <v>54167</v>
      </c>
      <c r="E135" t="s">
        <v>187</v>
      </c>
      <c r="F135">
        <v>7139</v>
      </c>
      <c r="G135">
        <v>0.22304520753701729</v>
      </c>
      <c r="H135">
        <v>3.4789715398236872E-81</v>
      </c>
      <c r="I135">
        <v>4.7800503270748221E-81</v>
      </c>
      <c r="J135">
        <v>0.18033212162219059</v>
      </c>
      <c r="K135">
        <v>3.0289150302033431E-53</v>
      </c>
      <c r="L135">
        <v>3.8200495530176492E-53</v>
      </c>
      <c r="M135">
        <v>0.1197452703882599</v>
      </c>
      <c r="N135">
        <v>5.4035120585477283E-52</v>
      </c>
      <c r="O135">
        <v>6.7979667833342378E-52</v>
      </c>
      <c r="P135">
        <v>4.9749164605231107E-2</v>
      </c>
      <c r="Q135">
        <v>0.68093814139680764</v>
      </c>
      <c r="R135">
        <v>-5.1576587709262309</v>
      </c>
      <c r="S135">
        <v>0.34268090162927461</v>
      </c>
      <c r="T135">
        <v>0.27786410986697402</v>
      </c>
      <c r="U135">
        <v>4.4222873134892842</v>
      </c>
      <c r="V135">
        <v>0.1151559613407446</v>
      </c>
      <c r="W135">
        <v>-2.1463546669561562</v>
      </c>
      <c r="X135">
        <v>0.35156140386076379</v>
      </c>
      <c r="Z135" t="s">
        <v>392</v>
      </c>
      <c r="AA135">
        <v>140</v>
      </c>
      <c r="AB135" t="s">
        <v>1540</v>
      </c>
      <c r="AC135" t="str">
        <f>HYPERLINK("plots/20251231112652_3FT6Y119H04_05543_B21P_N_UFLEX98_M5358A8BA201511/dpll_52046/txpa_54167.png","plot")</f>
        <v>plot</v>
      </c>
    </row>
    <row r="136" spans="1:29" x14ac:dyDescent="0.35">
      <c r="A136" t="s">
        <v>47</v>
      </c>
      <c r="B136">
        <v>52046</v>
      </c>
      <c r="C136" t="s">
        <v>51</v>
      </c>
      <c r="D136">
        <v>54168</v>
      </c>
      <c r="E136" t="s">
        <v>188</v>
      </c>
      <c r="F136">
        <v>7139</v>
      </c>
      <c r="G136">
        <v>0.29570825926731492</v>
      </c>
      <c r="H136">
        <v>4.907357673953753E-144</v>
      </c>
      <c r="I136">
        <v>1.168089361828429E-143</v>
      </c>
      <c r="J136">
        <v>0.25324956755355538</v>
      </c>
      <c r="K136">
        <v>6.990213962056099E-105</v>
      </c>
      <c r="L136">
        <v>1.350109896671407E-104</v>
      </c>
      <c r="M136">
        <v>0.1686055079462557</v>
      </c>
      <c r="N136">
        <v>2.9617887705019768E-101</v>
      </c>
      <c r="O136">
        <v>5.6879807069867519E-101</v>
      </c>
      <c r="P136">
        <v>8.7443374598905541E-2</v>
      </c>
      <c r="Q136">
        <v>0.73179322878751296</v>
      </c>
      <c r="R136">
        <v>-5.4876541949973259</v>
      </c>
      <c r="S136">
        <v>0.27221424571770531</v>
      </c>
      <c r="T136">
        <v>0.2167088765690118</v>
      </c>
      <c r="U136">
        <v>4.4222873134892842</v>
      </c>
      <c r="V136">
        <v>0.1151559613407446</v>
      </c>
      <c r="W136">
        <v>-2.2514542832329458</v>
      </c>
      <c r="X136">
        <v>0.28497801506279419</v>
      </c>
      <c r="Z136" t="s">
        <v>392</v>
      </c>
      <c r="AA136">
        <v>140</v>
      </c>
      <c r="AB136" t="s">
        <v>1541</v>
      </c>
      <c r="AC136" t="str">
        <f>HYPERLINK("plots/20251231112652_3FT6Y119H04_05543_B21P_N_UFLEX98_M5358A8BA201511/dpll_52046/txpa_54168.png","plot")</f>
        <v>plot</v>
      </c>
    </row>
    <row r="137" spans="1:29" x14ac:dyDescent="0.35">
      <c r="A137" t="s">
        <v>47</v>
      </c>
      <c r="B137">
        <v>52046</v>
      </c>
      <c r="C137" t="s">
        <v>51</v>
      </c>
      <c r="D137">
        <v>54169</v>
      </c>
      <c r="E137" t="s">
        <v>189</v>
      </c>
      <c r="F137">
        <v>7139</v>
      </c>
      <c r="G137">
        <v>0.21522932870884121</v>
      </c>
      <c r="H137">
        <v>1.35992065562811E-75</v>
      </c>
      <c r="I137">
        <v>1.807286428318353E-75</v>
      </c>
      <c r="J137">
        <v>0.18493831927472601</v>
      </c>
      <c r="K137">
        <v>5.9280881984756857E-56</v>
      </c>
      <c r="L137">
        <v>7.6379687843130174E-56</v>
      </c>
      <c r="M137">
        <v>0.1230863676478319</v>
      </c>
      <c r="N137">
        <v>7.8118488611003838E-55</v>
      </c>
      <c r="O137">
        <v>1.002685410779214E-54</v>
      </c>
      <c r="P137">
        <v>4.6323663936458419E-2</v>
      </c>
      <c r="Q137">
        <v>0.61796660249682167</v>
      </c>
      <c r="R137">
        <v>-4.9544472682587841</v>
      </c>
      <c r="S137">
        <v>0.32286432695377099</v>
      </c>
      <c r="T137">
        <v>0.25529608465872983</v>
      </c>
      <c r="U137">
        <v>4.4222873134892842</v>
      </c>
      <c r="V137">
        <v>0.1151559613407446</v>
      </c>
      <c r="W137">
        <v>-2.2216214018770142</v>
      </c>
      <c r="X137">
        <v>0.33063587854823828</v>
      </c>
      <c r="Z137" t="s">
        <v>392</v>
      </c>
      <c r="AA137">
        <v>140</v>
      </c>
      <c r="AB137" t="s">
        <v>1542</v>
      </c>
      <c r="AC137" t="str">
        <f>HYPERLINK("plots/20251231112652_3FT6Y119H04_05543_B21P_N_UFLEX98_M5358A8BA201511/dpll_52046/txpa_54169.png","plot")</f>
        <v>plot</v>
      </c>
    </row>
    <row r="138" spans="1:29" x14ac:dyDescent="0.35">
      <c r="A138" t="s">
        <v>47</v>
      </c>
      <c r="B138">
        <v>52046</v>
      </c>
      <c r="C138" t="s">
        <v>51</v>
      </c>
      <c r="D138">
        <v>54170</v>
      </c>
      <c r="E138" t="s">
        <v>190</v>
      </c>
      <c r="F138">
        <v>7139</v>
      </c>
      <c r="G138">
        <v>0.16201961284345009</v>
      </c>
      <c r="H138">
        <v>3.4483042190118151E-43</v>
      </c>
      <c r="I138">
        <v>3.8980830301872686E-43</v>
      </c>
      <c r="J138">
        <v>0.1268226933183747</v>
      </c>
      <c r="K138">
        <v>5.4832362289988069E-27</v>
      </c>
      <c r="L138">
        <v>5.8835995092114181E-27</v>
      </c>
      <c r="M138">
        <v>8.4218213323246943E-2</v>
      </c>
      <c r="N138">
        <v>1.3938720365154461E-26</v>
      </c>
      <c r="O138">
        <v>1.4956468201340339E-26</v>
      </c>
      <c r="P138">
        <v>2.6250354945941471E-2</v>
      </c>
      <c r="Q138">
        <v>0.72978425119346513</v>
      </c>
      <c r="R138">
        <v>-6.2929649621534569</v>
      </c>
      <c r="S138">
        <v>0.51180739804499742</v>
      </c>
      <c r="T138">
        <v>0.42628689522358992</v>
      </c>
      <c r="U138">
        <v>4.4222873134892842</v>
      </c>
      <c r="V138">
        <v>0.1151559613407446</v>
      </c>
      <c r="W138">
        <v>-3.0656493265163189</v>
      </c>
      <c r="X138">
        <v>0.51869650558121527</v>
      </c>
      <c r="Z138" t="s">
        <v>392</v>
      </c>
      <c r="AA138">
        <v>140</v>
      </c>
      <c r="AB138" t="s">
        <v>1543</v>
      </c>
      <c r="AC138" t="str">
        <f>HYPERLINK("plots/20251231112652_3FT6Y119H04_05543_B21P_N_UFLEX98_M5358A8BA201511/dpll_52046/txpa_54170.png","plot")</f>
        <v>plot</v>
      </c>
    </row>
    <row r="139" spans="1:29" x14ac:dyDescent="0.35">
      <c r="A139" t="s">
        <v>47</v>
      </c>
      <c r="B139">
        <v>52046</v>
      </c>
      <c r="C139" t="s">
        <v>51</v>
      </c>
      <c r="D139">
        <v>54171</v>
      </c>
      <c r="E139" t="s">
        <v>191</v>
      </c>
      <c r="F139">
        <v>7139</v>
      </c>
      <c r="G139">
        <v>0.14958909553696989</v>
      </c>
      <c r="H139">
        <v>5.3026058996418699E-37</v>
      </c>
      <c r="I139">
        <v>5.8507534083099636E-37</v>
      </c>
      <c r="J139">
        <v>0.11192205632716661</v>
      </c>
      <c r="K139">
        <v>2.4298262220511108E-21</v>
      </c>
      <c r="L139">
        <v>2.5296137465706641E-21</v>
      </c>
      <c r="M139">
        <v>7.4102474092433659E-2</v>
      </c>
      <c r="N139">
        <v>6.0467776389860163E-21</v>
      </c>
      <c r="O139">
        <v>6.2886487445454568E-21</v>
      </c>
      <c r="P139">
        <v>2.2376897503568721E-2</v>
      </c>
      <c r="Q139">
        <v>0.68006985096556838</v>
      </c>
      <c r="R139">
        <v>-2.9521805025554668</v>
      </c>
      <c r="S139">
        <v>0.51760125391375222</v>
      </c>
      <c r="T139">
        <v>0.43192013252747319</v>
      </c>
      <c r="U139">
        <v>4.4222873134892842</v>
      </c>
      <c r="V139">
        <v>0.1151559613407446</v>
      </c>
      <c r="W139">
        <v>5.5283771656114297E-2</v>
      </c>
      <c r="X139">
        <v>0.52352811670983157</v>
      </c>
      <c r="Z139" t="s">
        <v>392</v>
      </c>
      <c r="AA139">
        <v>140</v>
      </c>
      <c r="AB139" t="s">
        <v>1544</v>
      </c>
      <c r="AC139" t="str">
        <f>HYPERLINK("plots/20251231112652_3FT6Y119H04_05543_B21P_N_UFLEX98_M5358A8BA201511/dpll_52046/txpa_54171.png","plot")</f>
        <v>plot</v>
      </c>
    </row>
    <row r="140" spans="1:29" x14ac:dyDescent="0.35">
      <c r="A140" t="s">
        <v>47</v>
      </c>
      <c r="B140">
        <v>52046</v>
      </c>
      <c r="C140" t="s">
        <v>51</v>
      </c>
      <c r="D140">
        <v>54172</v>
      </c>
      <c r="E140" t="s">
        <v>192</v>
      </c>
      <c r="F140">
        <v>7139</v>
      </c>
      <c r="G140">
        <v>0.27299666509782222</v>
      </c>
      <c r="H140">
        <v>3.2137362228269238E-122</v>
      </c>
      <c r="I140">
        <v>6.1369652164717533E-122</v>
      </c>
      <c r="J140">
        <v>0.25213477205624413</v>
      </c>
      <c r="K140">
        <v>6.0131338790806341E-104</v>
      </c>
      <c r="L140">
        <v>1.1591858846744799E-103</v>
      </c>
      <c r="M140">
        <v>0.16774424306454261</v>
      </c>
      <c r="N140">
        <v>3.0277259514984709E-100</v>
      </c>
      <c r="O140">
        <v>5.7817591616185486E-100</v>
      </c>
      <c r="P140">
        <v>7.4527179154532469E-2</v>
      </c>
      <c r="Q140">
        <v>0.7577544077618793</v>
      </c>
      <c r="R140">
        <v>-2.7856965898458408</v>
      </c>
      <c r="S140">
        <v>0.30747440521196229</v>
      </c>
      <c r="T140">
        <v>0.2412002377478471</v>
      </c>
      <c r="U140">
        <v>4.4222873134892842</v>
      </c>
      <c r="V140">
        <v>0.1151559613407446</v>
      </c>
      <c r="W140">
        <v>0.56531111434010362</v>
      </c>
      <c r="X140">
        <v>0.31963737452520952</v>
      </c>
      <c r="Z140" t="s">
        <v>392</v>
      </c>
      <c r="AA140">
        <v>140</v>
      </c>
      <c r="AB140" t="s">
        <v>1545</v>
      </c>
      <c r="AC140" t="str">
        <f>HYPERLINK("plots/20251231112652_3FT6Y119H04_05543_B21P_N_UFLEX98_M5358A8BA201511/dpll_52046/txpa_54172.png","plot")</f>
        <v>plot</v>
      </c>
    </row>
    <row r="141" spans="1:29" x14ac:dyDescent="0.35">
      <c r="A141" t="s">
        <v>47</v>
      </c>
      <c r="B141">
        <v>52046</v>
      </c>
      <c r="C141" t="s">
        <v>51</v>
      </c>
      <c r="D141">
        <v>54173</v>
      </c>
      <c r="E141" t="s">
        <v>193</v>
      </c>
      <c r="F141">
        <v>7139</v>
      </c>
      <c r="G141">
        <v>0.21219735357646391</v>
      </c>
      <c r="H141">
        <v>1.754680388436296E-73</v>
      </c>
      <c r="I141">
        <v>2.2958011791927799E-73</v>
      </c>
      <c r="J141">
        <v>0.1835131961562039</v>
      </c>
      <c r="K141">
        <v>4.1553588523666802E-55</v>
      </c>
      <c r="L141">
        <v>5.2933842667083077E-55</v>
      </c>
      <c r="M141">
        <v>0.12260358005075619</v>
      </c>
      <c r="N141">
        <v>2.0257283709814549E-54</v>
      </c>
      <c r="O141">
        <v>2.593546171938378E-54</v>
      </c>
      <c r="P141">
        <v>4.5027716864854822E-2</v>
      </c>
      <c r="Q141">
        <v>0.67864056473223011</v>
      </c>
      <c r="R141">
        <v>-2.1223173808194158</v>
      </c>
      <c r="S141">
        <v>0.35987463850317719</v>
      </c>
      <c r="T141">
        <v>0.29165287755694408</v>
      </c>
      <c r="U141">
        <v>4.4222873134892842</v>
      </c>
      <c r="V141">
        <v>0.1151559613407446</v>
      </c>
      <c r="W141">
        <v>0.87882617901512805</v>
      </c>
      <c r="X141">
        <v>0.36828690518237378</v>
      </c>
      <c r="Z141" t="s">
        <v>392</v>
      </c>
      <c r="AA141">
        <v>140</v>
      </c>
      <c r="AB141" t="s">
        <v>1546</v>
      </c>
      <c r="AC141" t="str">
        <f>HYPERLINK("plots/20251231112652_3FT6Y119H04_05543_B21P_N_UFLEX98_M5358A8BA201511/dpll_52046/txpa_54173.png","plot")</f>
        <v>plot</v>
      </c>
    </row>
    <row r="142" spans="1:29" x14ac:dyDescent="0.35">
      <c r="A142" t="s">
        <v>47</v>
      </c>
      <c r="B142">
        <v>52046</v>
      </c>
      <c r="C142" t="s">
        <v>51</v>
      </c>
      <c r="D142">
        <v>54174</v>
      </c>
      <c r="E142" t="s">
        <v>194</v>
      </c>
      <c r="F142">
        <v>7139</v>
      </c>
      <c r="G142">
        <v>0.3025565958219566</v>
      </c>
      <c r="H142">
        <v>5.0956425439794012E-151</v>
      </c>
      <c r="I142">
        <v>1.314753572416059E-150</v>
      </c>
      <c r="J142">
        <v>0.27290548221252792</v>
      </c>
      <c r="K142">
        <v>3.8950054397625438E-122</v>
      </c>
      <c r="L142">
        <v>8.6802978371850977E-122</v>
      </c>
      <c r="M142">
        <v>0.18282357657908929</v>
      </c>
      <c r="N142">
        <v>1.0358891029495901E-118</v>
      </c>
      <c r="O142">
        <v>2.303490242085272E-118</v>
      </c>
      <c r="P142">
        <v>9.1540493675370802E-2</v>
      </c>
      <c r="Q142">
        <v>0.79832877291388926</v>
      </c>
      <c r="R142">
        <v>-2.9671017524494401</v>
      </c>
      <c r="S142">
        <v>0.28959025945889039</v>
      </c>
      <c r="T142">
        <v>0.230649280055816</v>
      </c>
      <c r="U142">
        <v>4.4222873134892842</v>
      </c>
      <c r="V142">
        <v>0.1151559613407446</v>
      </c>
      <c r="W142">
        <v>0.56333745200112062</v>
      </c>
      <c r="X142">
        <v>0.30385163827323969</v>
      </c>
      <c r="Z142" t="s">
        <v>392</v>
      </c>
      <c r="AA142">
        <v>140</v>
      </c>
      <c r="AB142" t="s">
        <v>1547</v>
      </c>
      <c r="AC142" t="str">
        <f>HYPERLINK("plots/20251231112652_3FT6Y119H04_05543_B21P_N_UFLEX98_M5358A8BA201511/dpll_52046/txpa_54174.png","plot")</f>
        <v>plot</v>
      </c>
    </row>
    <row r="143" spans="1:29" x14ac:dyDescent="0.35">
      <c r="A143" t="s">
        <v>47</v>
      </c>
      <c r="B143">
        <v>52046</v>
      </c>
      <c r="C143" t="s">
        <v>51</v>
      </c>
      <c r="D143">
        <v>54175</v>
      </c>
      <c r="E143" t="s">
        <v>195</v>
      </c>
      <c r="F143">
        <v>7139</v>
      </c>
      <c r="G143">
        <v>0.23547096440474691</v>
      </c>
      <c r="H143">
        <v>1.577834213260367E-90</v>
      </c>
      <c r="I143">
        <v>2.3528292533029591E-90</v>
      </c>
      <c r="J143">
        <v>0.1940037140147515</v>
      </c>
      <c r="K143">
        <v>1.698366225688026E-61</v>
      </c>
      <c r="L143">
        <v>2.2659780958521819E-61</v>
      </c>
      <c r="M143">
        <v>0.1290532409432994</v>
      </c>
      <c r="N143">
        <v>4.2302048310684908E-60</v>
      </c>
      <c r="O143">
        <v>5.6291702082722448E-60</v>
      </c>
      <c r="P143">
        <v>5.5446575077701572E-2</v>
      </c>
      <c r="Q143">
        <v>0.6863708636655792</v>
      </c>
      <c r="R143">
        <v>-2.2450597430648909</v>
      </c>
      <c r="S143">
        <v>0.32620509995095592</v>
      </c>
      <c r="T143">
        <v>0.26446024741742108</v>
      </c>
      <c r="U143">
        <v>4.4222873134892842</v>
      </c>
      <c r="V143">
        <v>0.1151559613407446</v>
      </c>
      <c r="W143">
        <v>0.79026941967208297</v>
      </c>
      <c r="X143">
        <v>0.33566642427228088</v>
      </c>
      <c r="Z143" t="s">
        <v>392</v>
      </c>
      <c r="AA143">
        <v>140</v>
      </c>
      <c r="AB143" t="s">
        <v>1548</v>
      </c>
      <c r="AC143" t="str">
        <f>HYPERLINK("plots/20251231112652_3FT6Y119H04_05543_B21P_N_UFLEX98_M5358A8BA201511/dpll_52046/txpa_54175.png","plot")</f>
        <v>plot</v>
      </c>
    </row>
    <row r="144" spans="1:29" x14ac:dyDescent="0.35">
      <c r="A144" t="s">
        <v>47</v>
      </c>
      <c r="B144">
        <v>52046</v>
      </c>
      <c r="C144" t="s">
        <v>51</v>
      </c>
      <c r="D144">
        <v>54176</v>
      </c>
      <c r="E144" t="s">
        <v>196</v>
      </c>
      <c r="F144">
        <v>7139</v>
      </c>
      <c r="G144">
        <v>0.31237049843895848</v>
      </c>
      <c r="H144">
        <v>2.311784797710609E-161</v>
      </c>
      <c r="I144">
        <v>6.5662458960183683E-161</v>
      </c>
      <c r="J144">
        <v>0.27224059882168111</v>
      </c>
      <c r="K144">
        <v>1.578986868777905E-121</v>
      </c>
      <c r="L144">
        <v>3.4655685821229339E-121</v>
      </c>
      <c r="M144">
        <v>0.1816894988559051</v>
      </c>
      <c r="N144">
        <v>2.881581545671675E-117</v>
      </c>
      <c r="O144">
        <v>6.2301144718786327E-117</v>
      </c>
      <c r="P144">
        <v>9.75753282950034E-2</v>
      </c>
      <c r="Q144">
        <v>0.73737276654967088</v>
      </c>
      <c r="R144">
        <v>-2.5706528241691311</v>
      </c>
      <c r="S144">
        <v>0.25821327694838619</v>
      </c>
      <c r="T144">
        <v>0.20538866090970631</v>
      </c>
      <c r="U144">
        <v>4.4222873134892842</v>
      </c>
      <c r="V144">
        <v>0.1151559613407446</v>
      </c>
      <c r="W144">
        <v>0.69022140665597431</v>
      </c>
      <c r="X144">
        <v>0.27183383265338967</v>
      </c>
      <c r="Z144" t="s">
        <v>392</v>
      </c>
      <c r="AA144">
        <v>140</v>
      </c>
      <c r="AB144" t="s">
        <v>1549</v>
      </c>
      <c r="AC144" t="str">
        <f>HYPERLINK("plots/20251231112652_3FT6Y119H04_05543_B21P_N_UFLEX98_M5358A8BA201511/dpll_52046/txpa_54176.png","plot")</f>
        <v>plot</v>
      </c>
    </row>
    <row r="145" spans="1:29" x14ac:dyDescent="0.35">
      <c r="A145" t="s">
        <v>47</v>
      </c>
      <c r="B145">
        <v>52046</v>
      </c>
      <c r="C145" t="s">
        <v>51</v>
      </c>
      <c r="D145">
        <v>54177</v>
      </c>
      <c r="E145" t="s">
        <v>197</v>
      </c>
      <c r="F145">
        <v>7139</v>
      </c>
      <c r="G145">
        <v>0.22823658919807979</v>
      </c>
      <c r="H145">
        <v>5.0806895763397788E-85</v>
      </c>
      <c r="I145">
        <v>7.1752356969478216E-85</v>
      </c>
      <c r="J145">
        <v>0.19900511671886981</v>
      </c>
      <c r="K145">
        <v>1.1231612501509191E-64</v>
      </c>
      <c r="L145">
        <v>1.5432052949228068E-64</v>
      </c>
      <c r="M145">
        <v>0.13268000553318049</v>
      </c>
      <c r="N145">
        <v>2.0205593025430821E-63</v>
      </c>
      <c r="O145">
        <v>2.7687123415928168E-63</v>
      </c>
      <c r="P145">
        <v>5.2091940648773059E-2</v>
      </c>
      <c r="Q145">
        <v>0.62773779360488413</v>
      </c>
      <c r="R145">
        <v>-2.0602453939981098</v>
      </c>
      <c r="S145">
        <v>0.30834160025037399</v>
      </c>
      <c r="T145">
        <v>0.24384300213807</v>
      </c>
      <c r="U145">
        <v>4.4222873134892842</v>
      </c>
      <c r="V145">
        <v>0.1151559613407446</v>
      </c>
      <c r="W145">
        <v>0.71579148685852367</v>
      </c>
      <c r="X145">
        <v>0.31672287667141708</v>
      </c>
      <c r="Z145" t="s">
        <v>392</v>
      </c>
      <c r="AA145">
        <v>140</v>
      </c>
      <c r="AB145" t="s">
        <v>1550</v>
      </c>
      <c r="AC145" t="str">
        <f>HYPERLINK("plots/20251231112652_3FT6Y119H04_05543_B21P_N_UFLEX98_M5358A8BA201511/dpll_52046/txpa_54177.png","plot")</f>
        <v>plot</v>
      </c>
    </row>
    <row r="146" spans="1:29" x14ac:dyDescent="0.35">
      <c r="A146" t="s">
        <v>47</v>
      </c>
      <c r="B146">
        <v>52046</v>
      </c>
      <c r="C146" t="s">
        <v>51</v>
      </c>
      <c r="D146">
        <v>54178</v>
      </c>
      <c r="E146" t="s">
        <v>198</v>
      </c>
      <c r="F146">
        <v>7139</v>
      </c>
      <c r="G146">
        <v>0.16781429315869889</v>
      </c>
      <c r="H146">
        <v>3.0032438608902081E-46</v>
      </c>
      <c r="I146">
        <v>3.4448973698446499E-46</v>
      </c>
      <c r="J146">
        <v>0.132289457695245</v>
      </c>
      <c r="K146">
        <v>3.077785973289446E-29</v>
      </c>
      <c r="L146">
        <v>3.3378341999096239E-29</v>
      </c>
      <c r="M146">
        <v>8.7931842057608331E-2</v>
      </c>
      <c r="N146">
        <v>7.8840045336734733E-29</v>
      </c>
      <c r="O146">
        <v>8.550139676090804E-29</v>
      </c>
      <c r="P146">
        <v>2.8161636988353739E-2</v>
      </c>
      <c r="Q146">
        <v>0.72986952642536251</v>
      </c>
      <c r="R146">
        <v>-3.295655648364594</v>
      </c>
      <c r="S146">
        <v>0.49370702712374348</v>
      </c>
      <c r="T146">
        <v>0.41255889145039248</v>
      </c>
      <c r="U146">
        <v>4.4222873134892842</v>
      </c>
      <c r="V146">
        <v>0.1151559613407446</v>
      </c>
      <c r="W146">
        <v>-6.7962901151281688E-2</v>
      </c>
      <c r="X146">
        <v>0.50084426890469447</v>
      </c>
      <c r="Z146" t="s">
        <v>392</v>
      </c>
      <c r="AA146">
        <v>140</v>
      </c>
      <c r="AB146" t="s">
        <v>1551</v>
      </c>
      <c r="AC146" t="str">
        <f>HYPERLINK("plots/20251231112652_3FT6Y119H04_05543_B21P_N_UFLEX98_M5358A8BA201511/dpll_52046/txpa_54178.png","plot")</f>
        <v>plot</v>
      </c>
    </row>
    <row r="147" spans="1:29" x14ac:dyDescent="0.35">
      <c r="A147" t="s">
        <v>47</v>
      </c>
      <c r="B147">
        <v>52046</v>
      </c>
      <c r="C147" t="s">
        <v>51</v>
      </c>
      <c r="D147">
        <v>54179</v>
      </c>
      <c r="E147" t="s">
        <v>199</v>
      </c>
      <c r="F147">
        <v>7139</v>
      </c>
      <c r="G147">
        <v>0.16301209779644391</v>
      </c>
      <c r="H147">
        <v>1.0506938534109611E-43</v>
      </c>
      <c r="I147">
        <v>1.1917265854124329E-43</v>
      </c>
      <c r="J147">
        <v>0.12578925252594031</v>
      </c>
      <c r="K147">
        <v>1.4245393046798799E-26</v>
      </c>
      <c r="L147">
        <v>1.5141329716408781E-26</v>
      </c>
      <c r="M147">
        <v>8.3459356955371461E-2</v>
      </c>
      <c r="N147">
        <v>3.9005677875847057E-26</v>
      </c>
      <c r="O147">
        <v>4.145886516363618E-26</v>
      </c>
      <c r="P147">
        <v>2.657294402799739E-2</v>
      </c>
      <c r="Q147">
        <v>0.68341383783761023</v>
      </c>
      <c r="R147">
        <v>0.44242524856820342</v>
      </c>
      <c r="S147">
        <v>0.47629019862050892</v>
      </c>
      <c r="T147">
        <v>0.39801432058339498</v>
      </c>
      <c r="U147">
        <v>4.4222873134892842</v>
      </c>
      <c r="V147">
        <v>0.1151559613407446</v>
      </c>
      <c r="W147">
        <v>3.4646775935004901</v>
      </c>
      <c r="X147">
        <v>0.48278120798145202</v>
      </c>
      <c r="Z147" t="s">
        <v>392</v>
      </c>
      <c r="AA147">
        <v>140</v>
      </c>
      <c r="AB147" t="s">
        <v>1552</v>
      </c>
      <c r="AC147" t="str">
        <f>HYPERLINK("plots/20251231112652_3FT6Y119H04_05543_B21P_N_UFLEX98_M5358A8BA201511/dpll_52046/txpa_54179.png","plot")</f>
        <v>plot</v>
      </c>
    </row>
    <row r="148" spans="1:29" x14ac:dyDescent="0.35">
      <c r="A148" t="s">
        <v>47</v>
      </c>
      <c r="B148">
        <v>52046</v>
      </c>
      <c r="C148" t="s">
        <v>51</v>
      </c>
      <c r="D148">
        <v>54180</v>
      </c>
      <c r="E148" t="s">
        <v>200</v>
      </c>
      <c r="F148">
        <v>7139</v>
      </c>
      <c r="G148">
        <v>0.29822033057017128</v>
      </c>
      <c r="H148">
        <v>1.41673382179576E-146</v>
      </c>
      <c r="I148">
        <v>3.4532886906271661E-146</v>
      </c>
      <c r="J148">
        <v>0.28033153424984991</v>
      </c>
      <c r="K148">
        <v>4.8322633165452363E-129</v>
      </c>
      <c r="L148">
        <v>1.1638752976192091E-128</v>
      </c>
      <c r="M148">
        <v>0.1871800723862235</v>
      </c>
      <c r="N148">
        <v>2.4227805346656E-124</v>
      </c>
      <c r="O148">
        <v>5.6346317939241227E-124</v>
      </c>
      <c r="P148">
        <v>8.8935365565382271E-2</v>
      </c>
      <c r="Q148">
        <v>0.76526525521041799</v>
      </c>
      <c r="R148">
        <v>0.539115053185518</v>
      </c>
      <c r="S148">
        <v>0.28203652100619048</v>
      </c>
      <c r="T148">
        <v>0.22097139456093981</v>
      </c>
      <c r="U148">
        <v>4.4222873134892842</v>
      </c>
      <c r="V148">
        <v>0.1151559613407446</v>
      </c>
      <c r="W148">
        <v>3.9233378827566892</v>
      </c>
      <c r="X148">
        <v>0.29550250975826797</v>
      </c>
      <c r="Z148" t="s">
        <v>392</v>
      </c>
      <c r="AA148">
        <v>140</v>
      </c>
      <c r="AB148" t="s">
        <v>1553</v>
      </c>
      <c r="AC148" t="str">
        <f>HYPERLINK("plots/20251231112652_3FT6Y119H04_05543_B21P_N_UFLEX98_M5358A8BA201511/dpll_52046/txpa_54180.png","plot")</f>
        <v>plot</v>
      </c>
    </row>
    <row r="149" spans="1:29" x14ac:dyDescent="0.35">
      <c r="A149" t="s">
        <v>47</v>
      </c>
      <c r="B149">
        <v>52046</v>
      </c>
      <c r="C149" t="s">
        <v>51</v>
      </c>
      <c r="D149">
        <v>54181</v>
      </c>
      <c r="E149" t="s">
        <v>201</v>
      </c>
      <c r="F149">
        <v>7139</v>
      </c>
      <c r="G149">
        <v>0.23471599206776439</v>
      </c>
      <c r="H149">
        <v>6.0502243394488482E-90</v>
      </c>
      <c r="I149">
        <v>8.969192222516274E-90</v>
      </c>
      <c r="J149">
        <v>0.20770458910689871</v>
      </c>
      <c r="K149">
        <v>2.0509714372895911E-70</v>
      </c>
      <c r="L149">
        <v>2.937408244931702E-70</v>
      </c>
      <c r="M149">
        <v>0.13921918766725519</v>
      </c>
      <c r="N149">
        <v>1.2175537532872229E-69</v>
      </c>
      <c r="O149">
        <v>1.7512049728131121E-69</v>
      </c>
      <c r="P149">
        <v>5.5091596932354839E-2</v>
      </c>
      <c r="Q149">
        <v>0.69059152796663126</v>
      </c>
      <c r="R149">
        <v>1.1396976218283561</v>
      </c>
      <c r="S149">
        <v>0.32932858425821238</v>
      </c>
      <c r="T149">
        <v>0.26632432332870359</v>
      </c>
      <c r="U149">
        <v>4.4222873134892842</v>
      </c>
      <c r="V149">
        <v>0.1151559613407446</v>
      </c>
      <c r="W149">
        <v>4.1936917747583697</v>
      </c>
      <c r="X149">
        <v>0.33881684241528559</v>
      </c>
      <c r="Z149" t="s">
        <v>392</v>
      </c>
      <c r="AA149">
        <v>140</v>
      </c>
      <c r="AB149" t="s">
        <v>1554</v>
      </c>
      <c r="AC149" t="str">
        <f>HYPERLINK("plots/20251231112652_3FT6Y119H04_05543_B21P_N_UFLEX98_M5358A8BA201511/dpll_52046/txpa_54181.png","plot")</f>
        <v>plot</v>
      </c>
    </row>
    <row r="150" spans="1:29" x14ac:dyDescent="0.35">
      <c r="A150" t="s">
        <v>47</v>
      </c>
      <c r="B150">
        <v>52046</v>
      </c>
      <c r="C150" t="s">
        <v>51</v>
      </c>
      <c r="D150">
        <v>54182</v>
      </c>
      <c r="E150" t="s">
        <v>202</v>
      </c>
      <c r="F150">
        <v>7139</v>
      </c>
      <c r="G150">
        <v>0.32798850068854618</v>
      </c>
      <c r="H150">
        <v>1.17892655357127E-178</v>
      </c>
      <c r="I150">
        <v>4.1364412640874332E-178</v>
      </c>
      <c r="J150">
        <v>0.30237373803486212</v>
      </c>
      <c r="K150">
        <v>7.8732521653028367E-151</v>
      </c>
      <c r="L150">
        <v>2.2680334362548511E-150</v>
      </c>
      <c r="M150">
        <v>0.20329945026830981</v>
      </c>
      <c r="N150">
        <v>2.5459721721444541E-146</v>
      </c>
      <c r="O150">
        <v>7.2314167578556764E-146</v>
      </c>
      <c r="P150">
        <v>0.1075764565839205</v>
      </c>
      <c r="Q150">
        <v>0.79879600949551532</v>
      </c>
      <c r="R150">
        <v>0.39099735890370813</v>
      </c>
      <c r="S150">
        <v>0.26492246336897218</v>
      </c>
      <c r="T150">
        <v>0.21028081764097589</v>
      </c>
      <c r="U150">
        <v>4.4222873134892842</v>
      </c>
      <c r="V150">
        <v>0.1151559613407446</v>
      </c>
      <c r="W150">
        <v>3.9235028177615909</v>
      </c>
      <c r="X150">
        <v>0.2804553275358746</v>
      </c>
      <c r="Z150" t="s">
        <v>392</v>
      </c>
      <c r="AA150">
        <v>140</v>
      </c>
      <c r="AB150" t="s">
        <v>1555</v>
      </c>
      <c r="AC150" t="str">
        <f>HYPERLINK("plots/20251231112652_3FT6Y119H04_05543_B21P_N_UFLEX98_M5358A8BA201511/dpll_52046/txpa_54182.png","plot")</f>
        <v>plot</v>
      </c>
    </row>
    <row r="151" spans="1:29" x14ac:dyDescent="0.35">
      <c r="A151" t="s">
        <v>47</v>
      </c>
      <c r="B151">
        <v>52046</v>
      </c>
      <c r="C151" t="s">
        <v>51</v>
      </c>
      <c r="D151">
        <v>54183</v>
      </c>
      <c r="E151" t="s">
        <v>203</v>
      </c>
      <c r="F151">
        <v>7139</v>
      </c>
      <c r="G151">
        <v>0.26048184183949302</v>
      </c>
      <c r="H151">
        <v>4.6487448041496328E-111</v>
      </c>
      <c r="I151">
        <v>8.1132998819410119E-111</v>
      </c>
      <c r="J151">
        <v>0.22066150298861939</v>
      </c>
      <c r="K151">
        <v>1.8624999820876231E-79</v>
      </c>
      <c r="L151">
        <v>2.8442394304771832E-79</v>
      </c>
      <c r="M151">
        <v>0.14719098495268679</v>
      </c>
      <c r="N151">
        <v>1.264501636314325E-77</v>
      </c>
      <c r="O151">
        <v>1.9368650441430889E-77</v>
      </c>
      <c r="P151">
        <v>6.7850789928094624E-2</v>
      </c>
      <c r="Q151">
        <v>0.69838521931499997</v>
      </c>
      <c r="R151">
        <v>1.0350039970046909</v>
      </c>
      <c r="S151">
        <v>0.29806865596559112</v>
      </c>
      <c r="T151">
        <v>0.2410323265446595</v>
      </c>
      <c r="U151">
        <v>4.4222873134892842</v>
      </c>
      <c r="V151">
        <v>0.1151559613407446</v>
      </c>
      <c r="W151">
        <v>4.1234640923098471</v>
      </c>
      <c r="X151">
        <v>0.30874789869591668</v>
      </c>
      <c r="Z151" t="s">
        <v>392</v>
      </c>
      <c r="AA151">
        <v>140</v>
      </c>
      <c r="AB151" t="s">
        <v>1556</v>
      </c>
      <c r="AC151" t="str">
        <f>HYPERLINK("plots/20251231112652_3FT6Y119H04_05543_B21P_N_UFLEX98_M5358A8BA201511/dpll_52046/txpa_54183.png","plot")</f>
        <v>plot</v>
      </c>
    </row>
    <row r="152" spans="1:29" x14ac:dyDescent="0.35">
      <c r="A152" t="s">
        <v>47</v>
      </c>
      <c r="B152">
        <v>52046</v>
      </c>
      <c r="C152" t="s">
        <v>51</v>
      </c>
      <c r="D152">
        <v>54184</v>
      </c>
      <c r="E152" t="s">
        <v>204</v>
      </c>
      <c r="F152">
        <v>7139</v>
      </c>
      <c r="G152">
        <v>0.34183944283997192</v>
      </c>
      <c r="H152">
        <v>7.2032023865116291E-195</v>
      </c>
      <c r="I152">
        <v>3.4291301501984942E-194</v>
      </c>
      <c r="J152">
        <v>0.30551143770173161</v>
      </c>
      <c r="K152">
        <v>4.3133219649138298E-154</v>
      </c>
      <c r="L152">
        <v>1.290179490390155E-153</v>
      </c>
      <c r="M152">
        <v>0.204944860535243</v>
      </c>
      <c r="N152">
        <v>1.150800336888404E-148</v>
      </c>
      <c r="O152">
        <v>3.3531940850713843E-148</v>
      </c>
      <c r="P152">
        <v>0.1168542046811424</v>
      </c>
      <c r="Q152">
        <v>0.74580866127132017</v>
      </c>
      <c r="R152">
        <v>0.73165008651388819</v>
      </c>
      <c r="S152">
        <v>0.2360899278949051</v>
      </c>
      <c r="T152">
        <v>0.18730174899511901</v>
      </c>
      <c r="U152">
        <v>4.4222873134892842</v>
      </c>
      <c r="V152">
        <v>0.1151559613407446</v>
      </c>
      <c r="W152">
        <v>4.0298302675444742</v>
      </c>
      <c r="X152">
        <v>0.25124167255666391</v>
      </c>
      <c r="Z152" t="s">
        <v>392</v>
      </c>
      <c r="AA152">
        <v>140</v>
      </c>
      <c r="AB152" t="s">
        <v>1557</v>
      </c>
      <c r="AC152" t="str">
        <f>HYPERLINK("plots/20251231112652_3FT6Y119H04_05543_B21P_N_UFLEX98_M5358A8BA201511/dpll_52046/txpa_54184.png","plot")</f>
        <v>plot</v>
      </c>
    </row>
    <row r="153" spans="1:29" x14ac:dyDescent="0.35">
      <c r="A153" t="s">
        <v>47</v>
      </c>
      <c r="B153">
        <v>52046</v>
      </c>
      <c r="C153" t="s">
        <v>51</v>
      </c>
      <c r="D153">
        <v>54185</v>
      </c>
      <c r="E153" t="s">
        <v>205</v>
      </c>
      <c r="F153">
        <v>7139</v>
      </c>
      <c r="G153">
        <v>0.25359877768480882</v>
      </c>
      <c r="H153">
        <v>3.5543715958784964E-105</v>
      </c>
      <c r="I153">
        <v>5.8987443506068658E-105</v>
      </c>
      <c r="J153">
        <v>0.22585612801486529</v>
      </c>
      <c r="K153">
        <v>2.997376463530102E-83</v>
      </c>
      <c r="L153">
        <v>4.8474317926946152E-83</v>
      </c>
      <c r="M153">
        <v>0.15120659011141291</v>
      </c>
      <c r="N153">
        <v>8.1907403341753732E-82</v>
      </c>
      <c r="O153">
        <v>1.314147262476872E-81</v>
      </c>
      <c r="P153">
        <v>6.4312340043229083E-2</v>
      </c>
      <c r="Q153">
        <v>0.64434440946132243</v>
      </c>
      <c r="R153">
        <v>1.2026905566200621</v>
      </c>
      <c r="S153">
        <v>0.28300386442556941</v>
      </c>
      <c r="T153">
        <v>0.22355355058153559</v>
      </c>
      <c r="U153">
        <v>4.4222873134892842</v>
      </c>
      <c r="V153">
        <v>0.1151559613407446</v>
      </c>
      <c r="W153">
        <v>4.0521666640986131</v>
      </c>
      <c r="X153">
        <v>0.29258855497432368</v>
      </c>
      <c r="Z153" t="s">
        <v>392</v>
      </c>
      <c r="AA153">
        <v>140</v>
      </c>
      <c r="AB153" t="s">
        <v>1558</v>
      </c>
      <c r="AC153" t="str">
        <f>HYPERLINK("plots/20251231112652_3FT6Y119H04_05543_B21P_N_UFLEX98_M5358A8BA201511/dpll_52046/txpa_54185.png","plot")</f>
        <v>plot</v>
      </c>
    </row>
    <row r="154" spans="1:29" x14ac:dyDescent="0.35">
      <c r="A154" t="s">
        <v>47</v>
      </c>
      <c r="B154">
        <v>52046</v>
      </c>
      <c r="C154" t="s">
        <v>51</v>
      </c>
      <c r="D154">
        <v>54186</v>
      </c>
      <c r="E154" t="s">
        <v>206</v>
      </c>
      <c r="F154">
        <v>7139</v>
      </c>
      <c r="G154">
        <v>0.1812471181581311</v>
      </c>
      <c r="H154">
        <v>8.8929834077385158E-54</v>
      </c>
      <c r="I154">
        <v>1.0534445298419221E-53</v>
      </c>
      <c r="J154">
        <v>0.1450404542304817</v>
      </c>
      <c r="K154">
        <v>7.2573224448815212E-35</v>
      </c>
      <c r="L154">
        <v>8.2684550102358013E-35</v>
      </c>
      <c r="M154">
        <v>9.651371400990584E-2</v>
      </c>
      <c r="N154">
        <v>2.1799694693881101E-34</v>
      </c>
      <c r="O154">
        <v>2.4809080156672771E-34</v>
      </c>
      <c r="P154">
        <v>3.2850517840627542E-2</v>
      </c>
      <c r="Q154">
        <v>0.72719483771570759</v>
      </c>
      <c r="R154">
        <v>0.14360258088144651</v>
      </c>
      <c r="S154">
        <v>0.45434158117361412</v>
      </c>
      <c r="T154">
        <v>0.38056413808310202</v>
      </c>
      <c r="U154">
        <v>4.4222873134892842</v>
      </c>
      <c r="V154">
        <v>0.1151559613407446</v>
      </c>
      <c r="W154">
        <v>3.3594670861465188</v>
      </c>
      <c r="X154">
        <v>0.46202566678118701</v>
      </c>
      <c r="Z154" t="s">
        <v>392</v>
      </c>
      <c r="AA154">
        <v>140</v>
      </c>
      <c r="AB154" t="s">
        <v>1559</v>
      </c>
      <c r="AC154" t="str">
        <f>HYPERLINK("plots/20251231112652_3FT6Y119H04_05543_B21P_N_UFLEX98_M5358A8BA201511/dpll_52046/txpa_54186.png","plot")</f>
        <v>plot</v>
      </c>
    </row>
    <row r="155" spans="1:29" x14ac:dyDescent="0.35">
      <c r="A155" t="s">
        <v>47</v>
      </c>
      <c r="B155">
        <v>52046</v>
      </c>
      <c r="C155" t="s">
        <v>51</v>
      </c>
      <c r="D155">
        <v>54187</v>
      </c>
      <c r="E155" t="s">
        <v>207</v>
      </c>
      <c r="F155">
        <v>7139</v>
      </c>
      <c r="G155">
        <v>0.1744168942028152</v>
      </c>
      <c r="H155">
        <v>7.135224941231718E-50</v>
      </c>
      <c r="I155">
        <v>8.3546398272620809E-50</v>
      </c>
      <c r="J155">
        <v>0.1367960370037615</v>
      </c>
      <c r="K155">
        <v>3.6299613128637931E-31</v>
      </c>
      <c r="L155">
        <v>4.0183196192618839E-31</v>
      </c>
      <c r="M155">
        <v>9.0812823470292361E-2</v>
      </c>
      <c r="N155">
        <v>1.2229096675980061E-30</v>
      </c>
      <c r="O155">
        <v>1.347859133635194E-30</v>
      </c>
      <c r="P155">
        <v>3.0421252983356031E-2</v>
      </c>
      <c r="Q155">
        <v>0.68844175586596734</v>
      </c>
      <c r="R155">
        <v>2.3130109627287618</v>
      </c>
      <c r="S155">
        <v>0.44753417454012662</v>
      </c>
      <c r="T155">
        <v>0.3738349916831103</v>
      </c>
      <c r="U155">
        <v>4.4222873134892842</v>
      </c>
      <c r="V155">
        <v>0.1151559613407446</v>
      </c>
      <c r="W155">
        <v>5.3574982057711162</v>
      </c>
      <c r="X155">
        <v>0.45453264482321037</v>
      </c>
      <c r="Z155" t="s">
        <v>392</v>
      </c>
      <c r="AA155">
        <v>140</v>
      </c>
      <c r="AB155" t="s">
        <v>1560</v>
      </c>
      <c r="AC155" t="str">
        <f>HYPERLINK("plots/20251231112652_3FT6Y119H04_05543_B21P_N_UFLEX98_M5358A8BA201511/dpll_52046/txpa_54187.png","plot")</f>
        <v>plot</v>
      </c>
    </row>
    <row r="156" spans="1:29" x14ac:dyDescent="0.35">
      <c r="A156" t="s">
        <v>47</v>
      </c>
      <c r="B156">
        <v>52046</v>
      </c>
      <c r="C156" t="s">
        <v>51</v>
      </c>
      <c r="D156">
        <v>54188</v>
      </c>
      <c r="E156" t="s">
        <v>208</v>
      </c>
      <c r="F156">
        <v>7139</v>
      </c>
      <c r="G156">
        <v>0.3141245548065571</v>
      </c>
      <c r="H156">
        <v>2.972777289731615E-163</v>
      </c>
      <c r="I156">
        <v>8.662057964907637E-163</v>
      </c>
      <c r="J156">
        <v>0.29873754731798191</v>
      </c>
      <c r="K156">
        <v>4.2192384238459032E-147</v>
      </c>
      <c r="L156">
        <v>1.1625836309184089E-146</v>
      </c>
      <c r="M156">
        <v>0.20006364540207969</v>
      </c>
      <c r="N156">
        <v>9.1680914924684755E-142</v>
      </c>
      <c r="O156">
        <v>2.479051939563476E-141</v>
      </c>
      <c r="P156">
        <v>9.8674235932417698E-2</v>
      </c>
      <c r="Q156">
        <v>0.7683674930222264</v>
      </c>
      <c r="R156">
        <v>2.3857998645580079</v>
      </c>
      <c r="S156">
        <v>0.26740159643340922</v>
      </c>
      <c r="T156">
        <v>0.2091373242119261</v>
      </c>
      <c r="U156">
        <v>4.4222873134892842</v>
      </c>
      <c r="V156">
        <v>0.1151559613407446</v>
      </c>
      <c r="W156">
        <v>5.7837416810477658</v>
      </c>
      <c r="X156">
        <v>0.28167838511204912</v>
      </c>
      <c r="Z156" t="s">
        <v>392</v>
      </c>
      <c r="AA156">
        <v>140</v>
      </c>
      <c r="AB156" t="s">
        <v>1561</v>
      </c>
      <c r="AC156" t="str">
        <f>HYPERLINK("plots/20251231112652_3FT6Y119H04_05543_B21P_N_UFLEX98_M5358A8BA201511/dpll_52046/txpa_54188.png","plot")</f>
        <v>plot</v>
      </c>
    </row>
    <row r="157" spans="1:29" x14ac:dyDescent="0.35">
      <c r="A157" t="s">
        <v>47</v>
      </c>
      <c r="B157">
        <v>52046</v>
      </c>
      <c r="C157" t="s">
        <v>51</v>
      </c>
      <c r="D157">
        <v>54189</v>
      </c>
      <c r="E157" t="s">
        <v>209</v>
      </c>
      <c r="F157">
        <v>7139</v>
      </c>
      <c r="G157">
        <v>0.25102146475379461</v>
      </c>
      <c r="H157">
        <v>5.1028084529650575E-103</v>
      </c>
      <c r="I157">
        <v>8.3590432492836314E-103</v>
      </c>
      <c r="J157">
        <v>0.22416587805866581</v>
      </c>
      <c r="K157">
        <v>5.2685846803548733E-82</v>
      </c>
      <c r="L157">
        <v>8.3474138529372522E-82</v>
      </c>
      <c r="M157">
        <v>0.1505463015709676</v>
      </c>
      <c r="N157">
        <v>4.066475340785126E-81</v>
      </c>
      <c r="O157">
        <v>6.4327706638940983E-81</v>
      </c>
      <c r="P157">
        <v>6.3011775767140552E-2</v>
      </c>
      <c r="Q157">
        <v>0.69977592729061522</v>
      </c>
      <c r="R157">
        <v>2.9346065644533108</v>
      </c>
      <c r="S157">
        <v>0.31072143324616269</v>
      </c>
      <c r="T157">
        <v>0.25059116507300022</v>
      </c>
      <c r="U157">
        <v>4.4222873134892842</v>
      </c>
      <c r="V157">
        <v>0.1151559613407446</v>
      </c>
      <c r="W157">
        <v>6.0292167699957986</v>
      </c>
      <c r="X157">
        <v>0.32102182858863931</v>
      </c>
      <c r="Z157" t="s">
        <v>392</v>
      </c>
      <c r="AA157">
        <v>140</v>
      </c>
      <c r="AB157" t="s">
        <v>1562</v>
      </c>
      <c r="AC157" t="str">
        <f>HYPERLINK("plots/20251231112652_3FT6Y119H04_05543_B21P_N_UFLEX98_M5358A8BA201511/dpll_52046/txpa_54189.png","plot")</f>
        <v>plot</v>
      </c>
    </row>
    <row r="158" spans="1:29" x14ac:dyDescent="0.35">
      <c r="A158" t="s">
        <v>47</v>
      </c>
      <c r="B158">
        <v>52046</v>
      </c>
      <c r="C158" t="s">
        <v>51</v>
      </c>
      <c r="D158">
        <v>54190</v>
      </c>
      <c r="E158" t="s">
        <v>210</v>
      </c>
      <c r="F158">
        <v>7139</v>
      </c>
      <c r="G158">
        <v>0.34441133123814249</v>
      </c>
      <c r="H158">
        <v>5.6748625492691357E-198</v>
      </c>
      <c r="I158">
        <v>2.9209698603852298E-197</v>
      </c>
      <c r="J158">
        <v>0.32083206638483219</v>
      </c>
      <c r="K158">
        <v>1.329157921963547E-170</v>
      </c>
      <c r="L158">
        <v>4.7290039749860923E-170</v>
      </c>
      <c r="M158">
        <v>0.21627950716067201</v>
      </c>
      <c r="N158">
        <v>2.4688225347293491E-165</v>
      </c>
      <c r="O158">
        <v>8.6622354678739096E-165</v>
      </c>
      <c r="P158">
        <v>0.1186191650852295</v>
      </c>
      <c r="Q158">
        <v>0.79959575566058594</v>
      </c>
      <c r="R158">
        <v>2.2489638912533261</v>
      </c>
      <c r="S158">
        <v>0.2509752272864017</v>
      </c>
      <c r="T158">
        <v>0.19862291451622049</v>
      </c>
      <c r="U158">
        <v>4.4222873134892842</v>
      </c>
      <c r="V158">
        <v>0.1151559613407446</v>
      </c>
      <c r="W158">
        <v>5.7850060574310129</v>
      </c>
      <c r="X158">
        <v>0.26734956017868827</v>
      </c>
      <c r="Z158" t="s">
        <v>392</v>
      </c>
      <c r="AA158">
        <v>140</v>
      </c>
      <c r="AB158" t="s">
        <v>1563</v>
      </c>
      <c r="AC158" t="str">
        <f>HYPERLINK("plots/20251231112652_3FT6Y119H04_05543_B21P_N_UFLEX98_M5358A8BA201511/dpll_52046/txpa_54190.png","plot")</f>
        <v>plot</v>
      </c>
    </row>
    <row r="159" spans="1:29" x14ac:dyDescent="0.35">
      <c r="A159" t="s">
        <v>47</v>
      </c>
      <c r="B159">
        <v>52046</v>
      </c>
      <c r="C159" t="s">
        <v>51</v>
      </c>
      <c r="D159">
        <v>54191</v>
      </c>
      <c r="E159" t="s">
        <v>211</v>
      </c>
      <c r="F159">
        <v>7139</v>
      </c>
      <c r="G159">
        <v>0.27840786187649302</v>
      </c>
      <c r="H159">
        <v>3.1181579397323762E-127</v>
      </c>
      <c r="I159">
        <v>6.1996316684090773E-127</v>
      </c>
      <c r="J159">
        <v>0.23936490629107371</v>
      </c>
      <c r="K159">
        <v>1.426504879841777E-93</v>
      </c>
      <c r="L159">
        <v>2.4982313439716089E-93</v>
      </c>
      <c r="M159">
        <v>0.1600168015022328</v>
      </c>
      <c r="N159">
        <v>2.135629657930102E-91</v>
      </c>
      <c r="O159">
        <v>3.7595980436477832E-91</v>
      </c>
      <c r="P159">
        <v>7.7510937554640391E-2</v>
      </c>
      <c r="Q159">
        <v>0.70700011269849117</v>
      </c>
      <c r="R159">
        <v>2.842773048663918</v>
      </c>
      <c r="S159">
        <v>0.28085011554127548</v>
      </c>
      <c r="T159">
        <v>0.22659970657370909</v>
      </c>
      <c r="U159">
        <v>4.4222873134892842</v>
      </c>
      <c r="V159">
        <v>0.1151559613407446</v>
      </c>
      <c r="W159">
        <v>5.9693306776859503</v>
      </c>
      <c r="X159">
        <v>0.29243167594860142</v>
      </c>
      <c r="Z159" t="s">
        <v>392</v>
      </c>
      <c r="AA159">
        <v>140</v>
      </c>
      <c r="AB159" t="s">
        <v>1564</v>
      </c>
      <c r="AC159" t="str">
        <f>HYPERLINK("plots/20251231112652_3FT6Y119H04_05543_B21P_N_UFLEX98_M5358A8BA201511/dpll_52046/txpa_54191.png","plot")</f>
        <v>plot</v>
      </c>
    </row>
    <row r="160" spans="1:29" x14ac:dyDescent="0.35">
      <c r="A160" t="s">
        <v>47</v>
      </c>
      <c r="B160">
        <v>52046</v>
      </c>
      <c r="C160" t="s">
        <v>51</v>
      </c>
      <c r="D160">
        <v>54192</v>
      </c>
      <c r="E160" t="s">
        <v>212</v>
      </c>
      <c r="F160">
        <v>7139</v>
      </c>
      <c r="G160">
        <v>0.36018708747426009</v>
      </c>
      <c r="H160">
        <v>1.161819905110194E-217</v>
      </c>
      <c r="I160">
        <v>9.0621952598595156E-217</v>
      </c>
      <c r="J160">
        <v>0.32650473456073392</v>
      </c>
      <c r="K160">
        <v>5.7407530035145316E-177</v>
      </c>
      <c r="L160">
        <v>2.213354960290394E-176</v>
      </c>
      <c r="M160">
        <v>0.21980496837410399</v>
      </c>
      <c r="N160">
        <v>1.061697506638548E-170</v>
      </c>
      <c r="O160">
        <v>4.0170196706398778E-170</v>
      </c>
      <c r="P160">
        <v>0.1297347379831903</v>
      </c>
      <c r="Q160">
        <v>0.7505044317092131</v>
      </c>
      <c r="R160">
        <v>2.560292675021989</v>
      </c>
      <c r="S160">
        <v>0.223824154079341</v>
      </c>
      <c r="T160">
        <v>0.17680576959195859</v>
      </c>
      <c r="U160">
        <v>4.4222873134892842</v>
      </c>
      <c r="V160">
        <v>0.1151559613407446</v>
      </c>
      <c r="W160">
        <v>5.8792389020871267</v>
      </c>
      <c r="X160">
        <v>0.2399449128784768</v>
      </c>
      <c r="Z160" t="s">
        <v>392</v>
      </c>
      <c r="AA160">
        <v>140</v>
      </c>
      <c r="AB160" t="s">
        <v>1565</v>
      </c>
      <c r="AC160" t="str">
        <f>HYPERLINK("plots/20251231112652_3FT6Y119H04_05543_B21P_N_UFLEX98_M5358A8BA201511/dpll_52046/txpa_54192.png","plot")</f>
        <v>plot</v>
      </c>
    </row>
    <row r="161" spans="1:29" x14ac:dyDescent="0.35">
      <c r="A161" t="s">
        <v>47</v>
      </c>
      <c r="B161">
        <v>52046</v>
      </c>
      <c r="C161" t="s">
        <v>51</v>
      </c>
      <c r="D161">
        <v>54193</v>
      </c>
      <c r="E161" t="s">
        <v>213</v>
      </c>
      <c r="F161">
        <v>7139</v>
      </c>
      <c r="G161">
        <v>0.27057504237824781</v>
      </c>
      <c r="H161">
        <v>5.1712308241309313E-120</v>
      </c>
      <c r="I161">
        <v>9.6942160700941437E-120</v>
      </c>
      <c r="J161">
        <v>0.24248316045409449</v>
      </c>
      <c r="K161">
        <v>4.7489714701885583E-96</v>
      </c>
      <c r="L161">
        <v>8.5532097171779705E-96</v>
      </c>
      <c r="M161">
        <v>0.16259827170275451</v>
      </c>
      <c r="N161">
        <v>2.6264582965470239E-94</v>
      </c>
      <c r="O161">
        <v>4.7557655583905049E-94</v>
      </c>
      <c r="P161">
        <v>7.3210853557990604E-2</v>
      </c>
      <c r="Q161">
        <v>0.65398060288597448</v>
      </c>
      <c r="R161">
        <v>3.009721142172697</v>
      </c>
      <c r="S161">
        <v>0.26793139657087289</v>
      </c>
      <c r="T161">
        <v>0.2114926651835165</v>
      </c>
      <c r="U161">
        <v>4.4222873134892842</v>
      </c>
      <c r="V161">
        <v>0.1151559613407446</v>
      </c>
      <c r="W161">
        <v>5.9018112655834152</v>
      </c>
      <c r="X161">
        <v>0.27833226731331551</v>
      </c>
      <c r="Z161" t="s">
        <v>392</v>
      </c>
      <c r="AA161">
        <v>140</v>
      </c>
      <c r="AB161" t="s">
        <v>1566</v>
      </c>
      <c r="AC161" t="str">
        <f>HYPERLINK("plots/20251231112652_3FT6Y119H04_05543_B21P_N_UFLEX98_M5358A8BA201511/dpll_52046/txpa_54193.png","plot")</f>
        <v>plot</v>
      </c>
    </row>
    <row r="162" spans="1:29" x14ac:dyDescent="0.35">
      <c r="A162" t="s">
        <v>47</v>
      </c>
      <c r="B162">
        <v>52046</v>
      </c>
      <c r="C162" t="s">
        <v>51</v>
      </c>
      <c r="D162">
        <v>54194</v>
      </c>
      <c r="E162" t="s">
        <v>214</v>
      </c>
      <c r="F162">
        <v>7139</v>
      </c>
      <c r="G162">
        <v>0.1920537427870373</v>
      </c>
      <c r="H162">
        <v>2.7939332738411631E-60</v>
      </c>
      <c r="I162">
        <v>3.3646654865498088E-60</v>
      </c>
      <c r="J162">
        <v>0.15530362372480769</v>
      </c>
      <c r="K162">
        <v>8.7885991586493785E-40</v>
      </c>
      <c r="L162">
        <v>1.0338328940684999E-39</v>
      </c>
      <c r="M162">
        <v>0.10344839090129949</v>
      </c>
      <c r="N162">
        <v>2.9813596196652617E-39</v>
      </c>
      <c r="O162">
        <v>3.511148262881041E-39</v>
      </c>
      <c r="P162">
        <v>3.6884640118509483E-2</v>
      </c>
      <c r="Q162">
        <v>0.72560535188123387</v>
      </c>
      <c r="R162">
        <v>2.05399601903077</v>
      </c>
      <c r="S162">
        <v>0.42694591511076468</v>
      </c>
      <c r="T162">
        <v>0.3575602377664453</v>
      </c>
      <c r="U162">
        <v>4.4222873134892842</v>
      </c>
      <c r="V162">
        <v>0.1151559613407446</v>
      </c>
      <c r="W162">
        <v>5.2628313612550794</v>
      </c>
      <c r="X162">
        <v>0.43507499847335712</v>
      </c>
      <c r="Z162" t="s">
        <v>392</v>
      </c>
      <c r="AA162">
        <v>140</v>
      </c>
      <c r="AB162" t="s">
        <v>1567</v>
      </c>
      <c r="AC162" t="str">
        <f>HYPERLINK("plots/20251231112652_3FT6Y119H04_05543_B21P_N_UFLEX98_M5358A8BA201511/dpll_52046/txpa_54194.png","plot")</f>
        <v>plot</v>
      </c>
    </row>
    <row r="163" spans="1:29" x14ac:dyDescent="0.35">
      <c r="A163" t="s">
        <v>47</v>
      </c>
      <c r="B163">
        <v>52046</v>
      </c>
      <c r="C163" t="s">
        <v>51</v>
      </c>
      <c r="D163">
        <v>54195</v>
      </c>
      <c r="E163" t="s">
        <v>215</v>
      </c>
      <c r="F163">
        <v>7139</v>
      </c>
      <c r="G163">
        <v>0.19245858246346539</v>
      </c>
      <c r="H163">
        <v>1.5660339550393789E-60</v>
      </c>
      <c r="I163">
        <v>1.8949384611097021E-60</v>
      </c>
      <c r="J163">
        <v>0.15304012325189981</v>
      </c>
      <c r="K163">
        <v>1.143424411342051E-38</v>
      </c>
      <c r="L163">
        <v>1.337292218109388E-38</v>
      </c>
      <c r="M163">
        <v>0.10165285097959841</v>
      </c>
      <c r="N163">
        <v>5.8298993252845888E-38</v>
      </c>
      <c r="O163">
        <v>6.8105045113347621E-38</v>
      </c>
      <c r="P163">
        <v>3.7040305963846498E-2</v>
      </c>
      <c r="Q163">
        <v>0.69852166133546101</v>
      </c>
      <c r="R163">
        <v>4.5408610688156976</v>
      </c>
      <c r="S163">
        <v>0.41011216931949879</v>
      </c>
      <c r="T163">
        <v>0.34163442924347492</v>
      </c>
      <c r="U163">
        <v>4.4222873134892842</v>
      </c>
      <c r="V163">
        <v>0.1151559613407446</v>
      </c>
      <c r="W163">
        <v>7.6299245499369652</v>
      </c>
      <c r="X163">
        <v>0.41795451467428768</v>
      </c>
      <c r="Z163" t="s">
        <v>392</v>
      </c>
      <c r="AA163">
        <v>140</v>
      </c>
      <c r="AB163" t="s">
        <v>1568</v>
      </c>
      <c r="AC163" t="str">
        <f>HYPERLINK("plots/20251231112652_3FT6Y119H04_05543_B21P_N_UFLEX98_M5358A8BA201511/dpll_52046/txpa_54195.png","plot")</f>
        <v>plot</v>
      </c>
    </row>
    <row r="164" spans="1:29" x14ac:dyDescent="0.35">
      <c r="A164" t="s">
        <v>47</v>
      </c>
      <c r="B164">
        <v>52046</v>
      </c>
      <c r="C164" t="s">
        <v>51</v>
      </c>
      <c r="D164">
        <v>54196</v>
      </c>
      <c r="E164" t="s">
        <v>216</v>
      </c>
      <c r="F164">
        <v>7139</v>
      </c>
      <c r="G164">
        <v>0.33402822184517278</v>
      </c>
      <c r="H164">
        <v>1.271681629628702E-185</v>
      </c>
      <c r="I164">
        <v>5.0370514548574373E-185</v>
      </c>
      <c r="J164">
        <v>0.32229124349538002</v>
      </c>
      <c r="K164">
        <v>3.1587981478346149E-172</v>
      </c>
      <c r="L164">
        <v>1.1689858839066789E-171</v>
      </c>
      <c r="M164">
        <v>0.2166395077121851</v>
      </c>
      <c r="N164">
        <v>7.0420206219738864E-166</v>
      </c>
      <c r="O164">
        <v>2.5231833606648479E-165</v>
      </c>
      <c r="P164">
        <v>0.111574852989048</v>
      </c>
      <c r="Q164">
        <v>0.77547179337038274</v>
      </c>
      <c r="R164">
        <v>4.5810297705853369</v>
      </c>
      <c r="S164">
        <v>0.25197025265826911</v>
      </c>
      <c r="T164">
        <v>0.195724989728431</v>
      </c>
      <c r="U164">
        <v>4.4222873134892842</v>
      </c>
      <c r="V164">
        <v>0.1151559613407446</v>
      </c>
      <c r="W164">
        <v>8.0103888443759637</v>
      </c>
      <c r="X164">
        <v>0.2673432782562597</v>
      </c>
      <c r="Z164" t="s">
        <v>392</v>
      </c>
      <c r="AA164">
        <v>140</v>
      </c>
      <c r="AB164" t="s">
        <v>1569</v>
      </c>
      <c r="AC164" t="str">
        <f>HYPERLINK("plots/20251231112652_3FT6Y119H04_05543_B21P_N_UFLEX98_M5358A8BA201511/dpll_52046/txpa_54196.png","plot")</f>
        <v>plot</v>
      </c>
    </row>
    <row r="165" spans="1:29" x14ac:dyDescent="0.35">
      <c r="A165" t="s">
        <v>47</v>
      </c>
      <c r="B165">
        <v>52046</v>
      </c>
      <c r="C165" t="s">
        <v>51</v>
      </c>
      <c r="D165">
        <v>54197</v>
      </c>
      <c r="E165" t="s">
        <v>217</v>
      </c>
      <c r="F165">
        <v>7139</v>
      </c>
      <c r="G165">
        <v>0.27441689885018838</v>
      </c>
      <c r="H165">
        <v>1.5933296236971018E-123</v>
      </c>
      <c r="I165">
        <v>3.0657234125784839E-123</v>
      </c>
      <c r="J165">
        <v>0.2481298007873482</v>
      </c>
      <c r="K165">
        <v>1.2540958154908099E-100</v>
      </c>
      <c r="L165">
        <v>2.3549132535327439E-100</v>
      </c>
      <c r="M165">
        <v>0.16704790300189859</v>
      </c>
      <c r="N165">
        <v>1.9664074342216779E-99</v>
      </c>
      <c r="O165">
        <v>3.6993267871999663E-99</v>
      </c>
      <c r="P165">
        <v>7.5304634374554549E-2</v>
      </c>
      <c r="Q165">
        <v>0.71349889053751914</v>
      </c>
      <c r="R165">
        <v>5.066858232882586</v>
      </c>
      <c r="S165">
        <v>0.28789743568245529</v>
      </c>
      <c r="T165">
        <v>0.23033415232725599</v>
      </c>
      <c r="U165">
        <v>4.4222873134892842</v>
      </c>
      <c r="V165">
        <v>0.1151559613407446</v>
      </c>
      <c r="W165">
        <v>8.2221553246953363</v>
      </c>
      <c r="X165">
        <v>0.29941177456515922</v>
      </c>
      <c r="Z165" t="s">
        <v>392</v>
      </c>
      <c r="AA165">
        <v>140</v>
      </c>
      <c r="AB165" t="s">
        <v>1570</v>
      </c>
      <c r="AC165" t="str">
        <f>HYPERLINK("plots/20251231112652_3FT6Y119H04_05543_B21P_N_UFLEX98_M5358A8BA201511/dpll_52046/txpa_54197.png","plot")</f>
        <v>plot</v>
      </c>
    </row>
    <row r="166" spans="1:29" x14ac:dyDescent="0.35">
      <c r="A166" t="s">
        <v>47</v>
      </c>
      <c r="B166">
        <v>52046</v>
      </c>
      <c r="C166" t="s">
        <v>51</v>
      </c>
      <c r="D166">
        <v>54198</v>
      </c>
      <c r="E166" t="s">
        <v>218</v>
      </c>
      <c r="F166">
        <v>7139</v>
      </c>
      <c r="G166">
        <v>0.36495661068975949</v>
      </c>
      <c r="H166">
        <v>7.7279528138541247E-224</v>
      </c>
      <c r="I166">
        <v>7.3925888238189449E-223</v>
      </c>
      <c r="J166">
        <v>0.34420479495892758</v>
      </c>
      <c r="K166">
        <v>1.009893653868664E-197</v>
      </c>
      <c r="L166">
        <v>4.6973952523982798E-197</v>
      </c>
      <c r="M166">
        <v>0.23299113506629221</v>
      </c>
      <c r="N166">
        <v>1.5320939150565511E-191</v>
      </c>
      <c r="O166">
        <v>6.8137860959093979E-191</v>
      </c>
      <c r="P166">
        <v>0.13319332768615669</v>
      </c>
      <c r="Q166">
        <v>0.80491305025394155</v>
      </c>
      <c r="R166">
        <v>4.4514628941990244</v>
      </c>
      <c r="S166">
        <v>0.23644212995395489</v>
      </c>
      <c r="T166">
        <v>0.18544395960978241</v>
      </c>
      <c r="U166">
        <v>4.4222873134892842</v>
      </c>
      <c r="V166">
        <v>0.1151559613407446</v>
      </c>
      <c r="W166">
        <v>8.011019664798992</v>
      </c>
      <c r="X166">
        <v>0.25397686569513211</v>
      </c>
      <c r="Z166" t="s">
        <v>392</v>
      </c>
      <c r="AA166">
        <v>140</v>
      </c>
      <c r="AB166" t="s">
        <v>1571</v>
      </c>
      <c r="AC166" t="str">
        <f>HYPERLINK("plots/20251231112652_3FT6Y119H04_05543_B21P_N_UFLEX98_M5358A8BA201511/dpll_52046/txpa_54198.png","plot")</f>
        <v>plot</v>
      </c>
    </row>
    <row r="167" spans="1:29" x14ac:dyDescent="0.35">
      <c r="A167" t="s">
        <v>47</v>
      </c>
      <c r="B167">
        <v>52046</v>
      </c>
      <c r="C167" t="s">
        <v>51</v>
      </c>
      <c r="D167">
        <v>54199</v>
      </c>
      <c r="E167" t="s">
        <v>219</v>
      </c>
      <c r="F167">
        <v>7139</v>
      </c>
      <c r="G167">
        <v>0.30327322804801998</v>
      </c>
      <c r="H167">
        <v>9.2331592031821286E-152</v>
      </c>
      <c r="I167">
        <v>2.4006213928273539E-151</v>
      </c>
      <c r="J167">
        <v>0.26454333545285957</v>
      </c>
      <c r="K167">
        <v>1.292119241287737E-114</v>
      </c>
      <c r="L167">
        <v>2.668449919889543E-114</v>
      </c>
      <c r="M167">
        <v>0.17726269590417629</v>
      </c>
      <c r="N167">
        <v>1.0163935989720701E-111</v>
      </c>
      <c r="O167">
        <v>2.0778691720920951E-111</v>
      </c>
      <c r="P167">
        <v>9.1974650850666362E-2</v>
      </c>
      <c r="Q167">
        <v>0.72050831741310628</v>
      </c>
      <c r="R167">
        <v>4.991446256406304</v>
      </c>
      <c r="S167">
        <v>0.2606813234119908</v>
      </c>
      <c r="T167">
        <v>0.20904786787195451</v>
      </c>
      <c r="U167">
        <v>4.4222873134892842</v>
      </c>
      <c r="V167">
        <v>0.1151559613407446</v>
      </c>
      <c r="W167">
        <v>8.1777410477657941</v>
      </c>
      <c r="X167">
        <v>0.27358441257653998</v>
      </c>
      <c r="Z167" t="s">
        <v>392</v>
      </c>
      <c r="AA167">
        <v>140</v>
      </c>
      <c r="AB167" t="s">
        <v>1572</v>
      </c>
      <c r="AC167" t="str">
        <f>HYPERLINK("plots/20251231112652_3FT6Y119H04_05543_B21P_N_UFLEX98_M5358A8BA201511/dpll_52046/txpa_54199.png","plot")</f>
        <v>plot</v>
      </c>
    </row>
    <row r="168" spans="1:29" x14ac:dyDescent="0.35">
      <c r="A168" t="s">
        <v>47</v>
      </c>
      <c r="B168">
        <v>52046</v>
      </c>
      <c r="C168" t="s">
        <v>51</v>
      </c>
      <c r="D168">
        <v>54200</v>
      </c>
      <c r="E168" t="s">
        <v>220</v>
      </c>
      <c r="F168">
        <v>7139</v>
      </c>
      <c r="G168">
        <v>0.38256604830160701</v>
      </c>
      <c r="H168">
        <v>1.418798785988741E-247</v>
      </c>
      <c r="I168">
        <v>2.877323937985168E-246</v>
      </c>
      <c r="J168">
        <v>0.35163684148258101</v>
      </c>
      <c r="K168">
        <v>7.5220248487850945E-207</v>
      </c>
      <c r="L168">
        <v>4.0356260299831137E-206</v>
      </c>
      <c r="M168">
        <v>0.23788718827961139</v>
      </c>
      <c r="N168">
        <v>1.3788139493701859E-199</v>
      </c>
      <c r="O168">
        <v>6.8872775599082176E-199</v>
      </c>
      <c r="P168">
        <v>0.1463567813131075</v>
      </c>
      <c r="Q168">
        <v>0.76065520562587019</v>
      </c>
      <c r="R168">
        <v>4.7284100412109051</v>
      </c>
      <c r="S168">
        <v>0.21153177819271049</v>
      </c>
      <c r="T168">
        <v>0.1653615575800699</v>
      </c>
      <c r="U168">
        <v>4.4222873134892842</v>
      </c>
      <c r="V168">
        <v>0.1151559613407446</v>
      </c>
      <c r="W168">
        <v>8.0922459069897741</v>
      </c>
      <c r="X168">
        <v>0.22896433659379939</v>
      </c>
      <c r="Z168" t="s">
        <v>392</v>
      </c>
      <c r="AA168">
        <v>140</v>
      </c>
      <c r="AB168" t="s">
        <v>1573</v>
      </c>
      <c r="AC168" t="str">
        <f>HYPERLINK("plots/20251231112652_3FT6Y119H04_05543_B21P_N_UFLEX98_M5358A8BA201511/dpll_52046/txpa_54200.png","plot")</f>
        <v>plot</v>
      </c>
    </row>
    <row r="169" spans="1:29" x14ac:dyDescent="0.35">
      <c r="A169" t="s">
        <v>47</v>
      </c>
      <c r="B169">
        <v>52046</v>
      </c>
      <c r="C169" t="s">
        <v>51</v>
      </c>
      <c r="D169">
        <v>54201</v>
      </c>
      <c r="E169" t="s">
        <v>221</v>
      </c>
      <c r="F169">
        <v>7139</v>
      </c>
      <c r="G169">
        <v>0.29516075834246208</v>
      </c>
      <c r="H169">
        <v>1.741604766149639E-143</v>
      </c>
      <c r="I169">
        <v>4.1069470531993809E-143</v>
      </c>
      <c r="J169">
        <v>0.26501803104693772</v>
      </c>
      <c r="K169">
        <v>4.9155274362527002E-115</v>
      </c>
      <c r="L169">
        <v>1.0172132286449469E-114</v>
      </c>
      <c r="M169">
        <v>0.1781538433168964</v>
      </c>
      <c r="N169">
        <v>7.9558901404242408E-113</v>
      </c>
      <c r="O169">
        <v>1.6497489984438E-112</v>
      </c>
      <c r="P169">
        <v>8.7119873265297298E-2</v>
      </c>
      <c r="Q169">
        <v>0.67022035115616241</v>
      </c>
      <c r="R169">
        <v>5.1537292384048357</v>
      </c>
      <c r="S169">
        <v>0.2498169351173154</v>
      </c>
      <c r="T169">
        <v>0.19687959679485861</v>
      </c>
      <c r="U169">
        <v>4.4222873134892842</v>
      </c>
      <c r="V169">
        <v>0.1151559613407446</v>
      </c>
      <c r="W169">
        <v>8.1176361945650655</v>
      </c>
      <c r="X169">
        <v>0.26148417994634282</v>
      </c>
      <c r="Z169" t="s">
        <v>392</v>
      </c>
      <c r="AA169">
        <v>140</v>
      </c>
      <c r="AB169" t="s">
        <v>1574</v>
      </c>
      <c r="AC169" t="str">
        <f>HYPERLINK("plots/20251231112652_3FT6Y119H04_05543_B21P_N_UFLEX98_M5358A8BA201511/dpll_52046/txpa_54201.png","plot")</f>
        <v>plot</v>
      </c>
    </row>
    <row r="170" spans="1:29" x14ac:dyDescent="0.35">
      <c r="A170" t="s">
        <v>47</v>
      </c>
      <c r="B170">
        <v>52046</v>
      </c>
      <c r="C170" t="s">
        <v>51</v>
      </c>
      <c r="D170">
        <v>54202</v>
      </c>
      <c r="E170" t="s">
        <v>222</v>
      </c>
      <c r="F170">
        <v>7139</v>
      </c>
      <c r="G170">
        <v>0.20975651607500709</v>
      </c>
      <c r="H170">
        <v>8.311914487259636E-72</v>
      </c>
      <c r="I170">
        <v>1.075035878836897E-71</v>
      </c>
      <c r="J170">
        <v>0.17030033767814531</v>
      </c>
      <c r="K170">
        <v>1.3497106404544529E-47</v>
      </c>
      <c r="L170">
        <v>1.6351333206939251E-47</v>
      </c>
      <c r="M170">
        <v>0.1135474878793543</v>
      </c>
      <c r="N170">
        <v>6.2297963110018573E-47</v>
      </c>
      <c r="O170">
        <v>7.5472084341169463E-47</v>
      </c>
      <c r="P170">
        <v>4.3997796035924693E-2</v>
      </c>
      <c r="Q170">
        <v>0.72869453720317612</v>
      </c>
      <c r="R170">
        <v>4.3256002384941681</v>
      </c>
      <c r="S170">
        <v>0.39112493640420848</v>
      </c>
      <c r="T170">
        <v>0.32685880914495569</v>
      </c>
      <c r="U170">
        <v>4.4222873134892842</v>
      </c>
      <c r="V170">
        <v>0.1151559613407446</v>
      </c>
      <c r="W170">
        <v>7.548096845776719</v>
      </c>
      <c r="X170">
        <v>0.4000520294939206</v>
      </c>
      <c r="Z170" t="s">
        <v>392</v>
      </c>
      <c r="AA170">
        <v>140</v>
      </c>
      <c r="AB170" t="s">
        <v>1575</v>
      </c>
      <c r="AC170" t="str">
        <f>HYPERLINK("plots/20251231112652_3FT6Y119H04_05543_B21P_N_UFLEX98_M5358A8BA201511/dpll_52046/txpa_54202.png","plot")</f>
        <v>plot</v>
      </c>
    </row>
    <row r="171" spans="1:29" x14ac:dyDescent="0.35">
      <c r="A171" t="s">
        <v>47</v>
      </c>
      <c r="B171">
        <v>52046</v>
      </c>
      <c r="C171" t="s">
        <v>51</v>
      </c>
      <c r="D171">
        <v>54203</v>
      </c>
      <c r="E171" t="s">
        <v>223</v>
      </c>
      <c r="F171">
        <v>7139</v>
      </c>
      <c r="G171">
        <v>0.2021972732860009</v>
      </c>
      <c r="H171">
        <v>9.452555346852565E-67</v>
      </c>
      <c r="I171">
        <v>1.195123581260412E-66</v>
      </c>
      <c r="J171">
        <v>0.1615670021079543</v>
      </c>
      <c r="K171">
        <v>5.9140916784103913E-43</v>
      </c>
      <c r="L171">
        <v>7.063473453366474E-43</v>
      </c>
      <c r="M171">
        <v>0.1073164764063342</v>
      </c>
      <c r="N171">
        <v>4.133717662534841E-42</v>
      </c>
      <c r="O171">
        <v>4.9254873205761787E-42</v>
      </c>
      <c r="P171">
        <v>4.088373732429372E-2</v>
      </c>
      <c r="Q171">
        <v>0.70399741796832316</v>
      </c>
      <c r="R171">
        <v>5.5147695344371801</v>
      </c>
      <c r="S171">
        <v>0.39263354859406091</v>
      </c>
      <c r="T171">
        <v>0.32626195109734329</v>
      </c>
      <c r="U171">
        <v>4.4222873134892842</v>
      </c>
      <c r="V171">
        <v>0.1151559613407446</v>
      </c>
      <c r="W171">
        <v>8.628048384647709</v>
      </c>
      <c r="X171">
        <v>0.4009425949719625</v>
      </c>
      <c r="Z171" t="s">
        <v>392</v>
      </c>
      <c r="AA171">
        <v>140</v>
      </c>
      <c r="AB171" t="s">
        <v>1576</v>
      </c>
      <c r="AC171" t="str">
        <f>HYPERLINK("plots/20251231112652_3FT6Y119H04_05543_B21P_N_UFLEX98_M5358A8BA201511/dpll_52046/txpa_54203.png","plot")</f>
        <v>plot</v>
      </c>
    </row>
    <row r="172" spans="1:29" x14ac:dyDescent="0.35">
      <c r="A172" t="s">
        <v>47</v>
      </c>
      <c r="B172">
        <v>52046</v>
      </c>
      <c r="C172" t="s">
        <v>51</v>
      </c>
      <c r="D172">
        <v>54204</v>
      </c>
      <c r="E172" t="s">
        <v>224</v>
      </c>
      <c r="F172">
        <v>7139</v>
      </c>
      <c r="G172">
        <v>0.34299511536382787</v>
      </c>
      <c r="H172">
        <v>2.9280733112863788E-196</v>
      </c>
      <c r="I172">
        <v>1.44832504275336E-195</v>
      </c>
      <c r="J172">
        <v>0.33361784578880138</v>
      </c>
      <c r="K172">
        <v>3.8263243317736963E-185</v>
      </c>
      <c r="L172">
        <v>1.5966637335055669E-184</v>
      </c>
      <c r="M172">
        <v>0.22484181555333349</v>
      </c>
      <c r="N172">
        <v>1.6120414136526011E-178</v>
      </c>
      <c r="O172">
        <v>6.5384399737749516E-178</v>
      </c>
      <c r="P172">
        <v>0.1176456491634456</v>
      </c>
      <c r="Q172">
        <v>0.78043257981095704</v>
      </c>
      <c r="R172">
        <v>5.5339989590183958</v>
      </c>
      <c r="S172">
        <v>0.24610757302367589</v>
      </c>
      <c r="T172">
        <v>0.190160201393793</v>
      </c>
      <c r="U172">
        <v>4.4222873134892842</v>
      </c>
      <c r="V172">
        <v>0.1151559613407446</v>
      </c>
      <c r="W172">
        <v>8.9852960557501049</v>
      </c>
      <c r="X172">
        <v>0.26201966140082811</v>
      </c>
      <c r="Z172" t="s">
        <v>392</v>
      </c>
      <c r="AA172">
        <v>140</v>
      </c>
      <c r="AB172" t="s">
        <v>1577</v>
      </c>
      <c r="AC172" t="str">
        <f>HYPERLINK("plots/20251231112652_3FT6Y119H04_05543_B21P_N_UFLEX98_M5358A8BA201511/dpll_52046/txpa_54204.png","plot")</f>
        <v>plot</v>
      </c>
    </row>
    <row r="173" spans="1:29" x14ac:dyDescent="0.35">
      <c r="A173" t="s">
        <v>47</v>
      </c>
      <c r="B173">
        <v>52046</v>
      </c>
      <c r="C173" t="s">
        <v>51</v>
      </c>
      <c r="D173">
        <v>54205</v>
      </c>
      <c r="E173" t="s">
        <v>225</v>
      </c>
      <c r="F173">
        <v>7139</v>
      </c>
      <c r="G173">
        <v>0.2865591846080065</v>
      </c>
      <c r="H173">
        <v>5.3119906187308757E-135</v>
      </c>
      <c r="I173">
        <v>1.14360052810894E-134</v>
      </c>
      <c r="J173">
        <v>0.26164874605811389</v>
      </c>
      <c r="K173">
        <v>4.4884433999785794E-112</v>
      </c>
      <c r="L173">
        <v>9.0843944263039496E-112</v>
      </c>
      <c r="M173">
        <v>0.17638906122936779</v>
      </c>
      <c r="N173">
        <v>1.218989990416056E-110</v>
      </c>
      <c r="O173">
        <v>2.4671773458720191E-110</v>
      </c>
      <c r="P173">
        <v>8.2116166283205547E-2</v>
      </c>
      <c r="Q173">
        <v>0.72090189282936123</v>
      </c>
      <c r="R173">
        <v>5.9919035372596881</v>
      </c>
      <c r="S173">
        <v>0.2775311272136014</v>
      </c>
      <c r="T173">
        <v>0.220649670800634</v>
      </c>
      <c r="U173">
        <v>4.4222873134892842</v>
      </c>
      <c r="V173">
        <v>0.1151559613407446</v>
      </c>
      <c r="W173">
        <v>9.179938832189384</v>
      </c>
      <c r="X173">
        <v>0.28969984198792298</v>
      </c>
      <c r="Z173" t="s">
        <v>392</v>
      </c>
      <c r="AA173">
        <v>140</v>
      </c>
      <c r="AB173" t="s">
        <v>1578</v>
      </c>
      <c r="AC173" t="str">
        <f>HYPERLINK("plots/20251231112652_3FT6Y119H04_05543_B21P_N_UFLEX98_M5358A8BA201511/dpll_52046/txpa_54205.png","plot")</f>
        <v>plot</v>
      </c>
    </row>
    <row r="174" spans="1:29" x14ac:dyDescent="0.35">
      <c r="A174" t="s">
        <v>47</v>
      </c>
      <c r="B174">
        <v>52046</v>
      </c>
      <c r="C174" t="s">
        <v>51</v>
      </c>
      <c r="D174">
        <v>54206</v>
      </c>
      <c r="E174" t="s">
        <v>226</v>
      </c>
      <c r="F174">
        <v>7139</v>
      </c>
      <c r="G174">
        <v>0.37387924937486178</v>
      </c>
      <c r="H174">
        <v>1.1115606356813721E-235</v>
      </c>
      <c r="I174">
        <v>1.5874964571562129E-234</v>
      </c>
      <c r="J174">
        <v>0.35520835987614718</v>
      </c>
      <c r="K174">
        <v>2.51798817557089E-211</v>
      </c>
      <c r="L174">
        <v>1.450704551152774E-210</v>
      </c>
      <c r="M174">
        <v>0.24108394672900779</v>
      </c>
      <c r="N174">
        <v>6.2424516091831146E-205</v>
      </c>
      <c r="O174">
        <v>3.3849443485089202E-204</v>
      </c>
      <c r="P174">
        <v>0.13978569311311009</v>
      </c>
      <c r="Q174">
        <v>0.8088289292934383</v>
      </c>
      <c r="R174">
        <v>5.4085512796664368</v>
      </c>
      <c r="S174">
        <v>0.2310386567229816</v>
      </c>
      <c r="T174">
        <v>0.1800187668938496</v>
      </c>
      <c r="U174">
        <v>4.4222873134892842</v>
      </c>
      <c r="V174">
        <v>0.1151559613407446</v>
      </c>
      <c r="W174">
        <v>8.9854251924639303</v>
      </c>
      <c r="X174">
        <v>0.24912180354680449</v>
      </c>
      <c r="Z174" t="s">
        <v>392</v>
      </c>
      <c r="AA174">
        <v>140</v>
      </c>
      <c r="AB174" t="s">
        <v>1579</v>
      </c>
      <c r="AC174" t="str">
        <f>HYPERLINK("plots/20251231112652_3FT6Y119H04_05543_B21P_N_UFLEX98_M5358A8BA201511/dpll_52046/txpa_54206.png","plot")</f>
        <v>plot</v>
      </c>
    </row>
    <row r="175" spans="1:29" x14ac:dyDescent="0.35">
      <c r="A175" t="s">
        <v>47</v>
      </c>
      <c r="B175">
        <v>52046</v>
      </c>
      <c r="C175" t="s">
        <v>51</v>
      </c>
      <c r="D175">
        <v>54207</v>
      </c>
      <c r="E175" t="s">
        <v>227</v>
      </c>
      <c r="F175">
        <v>7139</v>
      </c>
      <c r="G175">
        <v>0.31562695515139688</v>
      </c>
      <c r="H175">
        <v>6.9728125543809738E-165</v>
      </c>
      <c r="I175">
        <v>2.0553581192274151E-164</v>
      </c>
      <c r="J175">
        <v>0.27786235988612412</v>
      </c>
      <c r="K175">
        <v>1.010305131079966E-126</v>
      </c>
      <c r="L175">
        <v>2.333597728735958E-126</v>
      </c>
      <c r="M175">
        <v>0.1864124723079536</v>
      </c>
      <c r="N175">
        <v>2.425616661723809E-123</v>
      </c>
      <c r="O175">
        <v>5.5520887020043848E-123</v>
      </c>
      <c r="P175">
        <v>9.9620374818141899E-2</v>
      </c>
      <c r="Q175">
        <v>0.72780488293240997</v>
      </c>
      <c r="R175">
        <v>5.9248480743548662</v>
      </c>
      <c r="S175">
        <v>0.25194730355720552</v>
      </c>
      <c r="T175">
        <v>0.20098588738696671</v>
      </c>
      <c r="U175">
        <v>4.4222873134892842</v>
      </c>
      <c r="V175">
        <v>0.1151559613407446</v>
      </c>
      <c r="W175">
        <v>9.143410374842416</v>
      </c>
      <c r="X175">
        <v>0.2655383819242183</v>
      </c>
      <c r="Z175" t="s">
        <v>392</v>
      </c>
      <c r="AA175">
        <v>140</v>
      </c>
      <c r="AB175" t="s">
        <v>1580</v>
      </c>
      <c r="AC175" t="str">
        <f>HYPERLINK("plots/20251231112652_3FT6Y119H04_05543_B21P_N_UFLEX98_M5358A8BA201511/dpll_52046/txpa_54207.png","plot")</f>
        <v>plot</v>
      </c>
    </row>
    <row r="176" spans="1:29" x14ac:dyDescent="0.35">
      <c r="A176" t="s">
        <v>47</v>
      </c>
      <c r="B176">
        <v>52046</v>
      </c>
      <c r="C176" t="s">
        <v>51</v>
      </c>
      <c r="D176">
        <v>54208</v>
      </c>
      <c r="E176" t="s">
        <v>228</v>
      </c>
      <c r="F176">
        <v>7139</v>
      </c>
      <c r="G176">
        <v>0.39172640586377833</v>
      </c>
      <c r="H176">
        <v>1.625461605434955E-260</v>
      </c>
      <c r="I176">
        <v>5.3168324771324011E-259</v>
      </c>
      <c r="J176">
        <v>0.36306809786570993</v>
      </c>
      <c r="K176">
        <v>2.2209880123858092E-221</v>
      </c>
      <c r="L176">
        <v>1.643855360992124E-220</v>
      </c>
      <c r="M176">
        <v>0.2462648220843183</v>
      </c>
      <c r="N176">
        <v>9.6369727396250081E-214</v>
      </c>
      <c r="O176">
        <v>6.5583156764964821E-213</v>
      </c>
      <c r="P176">
        <v>0.15344957705095361</v>
      </c>
      <c r="Q176">
        <v>0.76588169962574726</v>
      </c>
      <c r="R176">
        <v>5.6727334279814583</v>
      </c>
      <c r="S176">
        <v>0.20713870945061999</v>
      </c>
      <c r="T176">
        <v>0.16071681942004809</v>
      </c>
      <c r="U176">
        <v>4.4222873134892842</v>
      </c>
      <c r="V176">
        <v>0.1151559613407446</v>
      </c>
      <c r="W176">
        <v>9.0596823518700109</v>
      </c>
      <c r="X176">
        <v>0.22514653613715321</v>
      </c>
      <c r="Z176" t="s">
        <v>392</v>
      </c>
      <c r="AA176">
        <v>140</v>
      </c>
      <c r="AB176" t="s">
        <v>1581</v>
      </c>
      <c r="AC176" t="str">
        <f>HYPERLINK("plots/20251231112652_3FT6Y119H04_05543_B21P_N_UFLEX98_M5358A8BA201511/dpll_52046/txpa_54208.png","plot")</f>
        <v>plot</v>
      </c>
    </row>
    <row r="177" spans="1:29" x14ac:dyDescent="0.35">
      <c r="A177" t="s">
        <v>47</v>
      </c>
      <c r="B177">
        <v>52046</v>
      </c>
      <c r="C177" t="s">
        <v>51</v>
      </c>
      <c r="D177">
        <v>54209</v>
      </c>
      <c r="E177" t="s">
        <v>229</v>
      </c>
      <c r="F177">
        <v>7139</v>
      </c>
      <c r="G177">
        <v>0.30744847205782172</v>
      </c>
      <c r="H177">
        <v>3.9923051675586469E-156</v>
      </c>
      <c r="I177">
        <v>1.076648255293742E-155</v>
      </c>
      <c r="J177">
        <v>0.27688456665839561</v>
      </c>
      <c r="K177">
        <v>8.2544539527640523E-126</v>
      </c>
      <c r="L177">
        <v>1.8893942004746609E-125</v>
      </c>
      <c r="M177">
        <v>0.1864330813980816</v>
      </c>
      <c r="N177">
        <v>2.280296557120025E-123</v>
      </c>
      <c r="O177">
        <v>5.2312685722165272E-123</v>
      </c>
      <c r="P177">
        <v>9.4524562970689188E-2</v>
      </c>
      <c r="Q177">
        <v>0.67890313053325846</v>
      </c>
      <c r="R177">
        <v>6.0843011317844473</v>
      </c>
      <c r="S177">
        <v>0.24195233356547599</v>
      </c>
      <c r="T177">
        <v>0.19022849645170581</v>
      </c>
      <c r="U177">
        <v>4.4222873134892842</v>
      </c>
      <c r="V177">
        <v>0.1151559613407446</v>
      </c>
      <c r="W177">
        <v>9.0866058330298358</v>
      </c>
      <c r="X177">
        <v>0.25428567632983767</v>
      </c>
      <c r="Z177" t="s">
        <v>392</v>
      </c>
      <c r="AA177">
        <v>140</v>
      </c>
      <c r="AB177" t="s">
        <v>1582</v>
      </c>
      <c r="AC177" t="str">
        <f>HYPERLINK("plots/20251231112652_3FT6Y119H04_05543_B21P_N_UFLEX98_M5358A8BA201511/dpll_52046/txpa_54209.png","plot")</f>
        <v>plot</v>
      </c>
    </row>
    <row r="178" spans="1:29" x14ac:dyDescent="0.35">
      <c r="A178" t="s">
        <v>47</v>
      </c>
      <c r="B178">
        <v>52046</v>
      </c>
      <c r="C178" t="s">
        <v>51</v>
      </c>
      <c r="D178">
        <v>54210</v>
      </c>
      <c r="E178" t="s">
        <v>230</v>
      </c>
      <c r="F178">
        <v>7139</v>
      </c>
      <c r="G178">
        <v>0.21965017001811399</v>
      </c>
      <c r="H178">
        <v>9.9392291256173273E-79</v>
      </c>
      <c r="I178">
        <v>1.347376782536894E-78</v>
      </c>
      <c r="J178">
        <v>0.17820898375273911</v>
      </c>
      <c r="K178">
        <v>5.0734561214251053E-52</v>
      </c>
      <c r="L178">
        <v>6.3433841024969864E-52</v>
      </c>
      <c r="M178">
        <v>0.1188240645072539</v>
      </c>
      <c r="N178">
        <v>3.1650660991230988E-51</v>
      </c>
      <c r="O178">
        <v>3.9621938574207682E-51</v>
      </c>
      <c r="P178">
        <v>4.8246197188986373E-2</v>
      </c>
      <c r="Q178">
        <v>0.73205837899085069</v>
      </c>
      <c r="R178">
        <v>5.314005534524231</v>
      </c>
      <c r="S178">
        <v>0.37439711068783532</v>
      </c>
      <c r="T178">
        <v>0.31235745461032022</v>
      </c>
      <c r="U178">
        <v>4.4222873134892842</v>
      </c>
      <c r="V178">
        <v>0.1151559613407446</v>
      </c>
      <c r="W178">
        <v>8.5513780166690001</v>
      </c>
      <c r="X178">
        <v>0.38379613538786012</v>
      </c>
      <c r="Z178" t="s">
        <v>392</v>
      </c>
      <c r="AA178">
        <v>140</v>
      </c>
      <c r="AB178" t="s">
        <v>1583</v>
      </c>
      <c r="AC178" t="str">
        <f>HYPERLINK("plots/20251231112652_3FT6Y119H04_05543_B21P_N_UFLEX98_M5358A8BA201511/dpll_52046/txpa_54210.png","plot")</f>
        <v>plot</v>
      </c>
    </row>
    <row r="179" spans="1:29" x14ac:dyDescent="0.35">
      <c r="A179" t="s">
        <v>47</v>
      </c>
      <c r="B179">
        <v>52046</v>
      </c>
      <c r="C179" t="s">
        <v>51</v>
      </c>
      <c r="D179">
        <v>54211</v>
      </c>
      <c r="E179" t="s">
        <v>231</v>
      </c>
      <c r="F179">
        <v>7139</v>
      </c>
      <c r="G179">
        <v>0.2138601495047959</v>
      </c>
      <c r="H179">
        <v>1.232245074632503E-74</v>
      </c>
      <c r="I179">
        <v>1.624832907252741E-74</v>
      </c>
      <c r="J179">
        <v>0.17205358479430441</v>
      </c>
      <c r="K179">
        <v>1.4707113323347531E-48</v>
      </c>
      <c r="L179">
        <v>1.8010885156853139E-48</v>
      </c>
      <c r="M179">
        <v>0.1142994209354788</v>
      </c>
      <c r="N179">
        <v>1.5641488427216681E-47</v>
      </c>
      <c r="O179">
        <v>1.9086003929239129E-47</v>
      </c>
      <c r="P179">
        <v>4.5736163546213647E-2</v>
      </c>
      <c r="Q179">
        <v>0.71389994590413797</v>
      </c>
      <c r="R179">
        <v>6.4367109355965582</v>
      </c>
      <c r="S179">
        <v>0.37548943497624032</v>
      </c>
      <c r="T179">
        <v>0.31104056404406383</v>
      </c>
      <c r="U179">
        <v>4.4222873134892842</v>
      </c>
      <c r="V179">
        <v>0.1151559613407446</v>
      </c>
      <c r="W179">
        <v>9.5937816094691133</v>
      </c>
      <c r="X179">
        <v>0.38440931965145281</v>
      </c>
      <c r="Z179" t="s">
        <v>392</v>
      </c>
      <c r="AA179">
        <v>140</v>
      </c>
      <c r="AB179" t="s">
        <v>1584</v>
      </c>
      <c r="AC179" t="str">
        <f>HYPERLINK("plots/20251231112652_3FT6Y119H04_05543_B21P_N_UFLEX98_M5358A8BA201511/dpll_52046/txpa_54211.png","plot")</f>
        <v>plot</v>
      </c>
    </row>
    <row r="180" spans="1:29" x14ac:dyDescent="0.35">
      <c r="A180" t="s">
        <v>47</v>
      </c>
      <c r="B180">
        <v>52046</v>
      </c>
      <c r="C180" t="s">
        <v>51</v>
      </c>
      <c r="D180">
        <v>54212</v>
      </c>
      <c r="E180" t="s">
        <v>232</v>
      </c>
      <c r="F180">
        <v>7139</v>
      </c>
      <c r="G180">
        <v>0.35288841352682643</v>
      </c>
      <c r="H180">
        <v>2.063756571057488E-208</v>
      </c>
      <c r="I180">
        <v>1.316131549089492E-207</v>
      </c>
      <c r="J180">
        <v>0.34645171576754769</v>
      </c>
      <c r="K180">
        <v>1.8654745011201959E-200</v>
      </c>
      <c r="L180">
        <v>8.9648869390326E-200</v>
      </c>
      <c r="M180">
        <v>0.23423550185422989</v>
      </c>
      <c r="N180">
        <v>1.4314818497740819E-193</v>
      </c>
      <c r="O180">
        <v>6.6583605306005469E-193</v>
      </c>
      <c r="P180">
        <v>0.1245302324014804</v>
      </c>
      <c r="Q180">
        <v>0.78902421079709129</v>
      </c>
      <c r="R180">
        <v>6.4370314516890623</v>
      </c>
      <c r="S180">
        <v>0.24089595795008689</v>
      </c>
      <c r="T180">
        <v>0.1848500964690751</v>
      </c>
      <c r="U180">
        <v>4.4222873134892842</v>
      </c>
      <c r="V180">
        <v>0.1151559613407446</v>
      </c>
      <c r="W180">
        <v>9.9263232091329332</v>
      </c>
      <c r="X180">
        <v>0.25747754256758609</v>
      </c>
      <c r="Z180" t="s">
        <v>392</v>
      </c>
      <c r="AA180">
        <v>140</v>
      </c>
      <c r="AB180" t="s">
        <v>1585</v>
      </c>
      <c r="AC180" t="str">
        <f>HYPERLINK("plots/20251231112652_3FT6Y119H04_05543_B21P_N_UFLEX98_M5358A8BA201511/dpll_52046/txpa_54212.png","plot")</f>
        <v>plot</v>
      </c>
    </row>
    <row r="181" spans="1:29" x14ac:dyDescent="0.35">
      <c r="A181" t="s">
        <v>47</v>
      </c>
      <c r="B181">
        <v>52046</v>
      </c>
      <c r="C181" t="s">
        <v>51</v>
      </c>
      <c r="D181">
        <v>54213</v>
      </c>
      <c r="E181" t="s">
        <v>233</v>
      </c>
      <c r="F181">
        <v>7139</v>
      </c>
      <c r="G181">
        <v>0.30046107437193198</v>
      </c>
      <c r="H181">
        <v>7.3181559702838086E-149</v>
      </c>
      <c r="I181">
        <v>1.8232457380510519E-148</v>
      </c>
      <c r="J181">
        <v>0.27783114451278218</v>
      </c>
      <c r="K181">
        <v>1.0805201442905051E-126</v>
      </c>
      <c r="L181">
        <v>2.490107787069483E-126</v>
      </c>
      <c r="M181">
        <v>0.18762401637551121</v>
      </c>
      <c r="N181">
        <v>6.3385949709045329E-125</v>
      </c>
      <c r="O181">
        <v>1.484373048613671E-124</v>
      </c>
      <c r="P181">
        <v>9.0276857212735678E-2</v>
      </c>
      <c r="Q181">
        <v>0.73206726192598215</v>
      </c>
      <c r="R181">
        <v>6.8648124333110001</v>
      </c>
      <c r="S181">
        <v>0.26759216750797332</v>
      </c>
      <c r="T181">
        <v>0.21103279611617051</v>
      </c>
      <c r="U181">
        <v>4.4222873134892842</v>
      </c>
      <c r="V181">
        <v>0.1151559613407446</v>
      </c>
      <c r="W181">
        <v>10.102224198347111</v>
      </c>
      <c r="X181">
        <v>0.28057514434904252</v>
      </c>
      <c r="Z181" t="s">
        <v>392</v>
      </c>
      <c r="AA181">
        <v>140</v>
      </c>
      <c r="AB181" t="s">
        <v>1586</v>
      </c>
      <c r="AC181" t="str">
        <f>HYPERLINK("plots/20251231112652_3FT6Y119H04_05543_B21P_N_UFLEX98_M5358A8BA201511/dpll_52046/txpa_54213.png","plot")</f>
        <v>plot</v>
      </c>
    </row>
    <row r="182" spans="1:29" x14ac:dyDescent="0.35">
      <c r="A182" t="s">
        <v>47</v>
      </c>
      <c r="B182">
        <v>52046</v>
      </c>
      <c r="C182" t="s">
        <v>51</v>
      </c>
      <c r="D182">
        <v>54214</v>
      </c>
      <c r="E182" t="s">
        <v>234</v>
      </c>
      <c r="F182">
        <v>7139</v>
      </c>
      <c r="G182">
        <v>0.38316212052041532</v>
      </c>
      <c r="H182">
        <v>2.100786884367777E-248</v>
      </c>
      <c r="I182">
        <v>4.3473426545896441E-247</v>
      </c>
      <c r="J182">
        <v>0.36653647866206768</v>
      </c>
      <c r="K182">
        <v>6.5854155567825508E-226</v>
      </c>
      <c r="L182">
        <v>5.5646761454812544E-225</v>
      </c>
      <c r="M182">
        <v>0.24959618769272909</v>
      </c>
      <c r="N182">
        <v>1.6554625545156199E-219</v>
      </c>
      <c r="O182">
        <v>1.291260792522183E-218</v>
      </c>
      <c r="P182">
        <v>0.14681321060170119</v>
      </c>
      <c r="Q182">
        <v>0.81575955092909225</v>
      </c>
      <c r="R182">
        <v>6.3183717674439626</v>
      </c>
      <c r="S182">
        <v>0.22644235679297961</v>
      </c>
      <c r="T182">
        <v>0.17518651893939141</v>
      </c>
      <c r="U182">
        <v>4.4222873134892842</v>
      </c>
      <c r="V182">
        <v>0.1151559613407446</v>
      </c>
      <c r="W182">
        <v>9.9258948803754041</v>
      </c>
      <c r="X182">
        <v>0.2451692645988699</v>
      </c>
      <c r="Z182" t="s">
        <v>392</v>
      </c>
      <c r="AA182">
        <v>140</v>
      </c>
      <c r="AB182" t="s">
        <v>1587</v>
      </c>
      <c r="AC182" t="str">
        <f>HYPERLINK("plots/20251231112652_3FT6Y119H04_05543_B21P_N_UFLEX98_M5358A8BA201511/dpll_52046/txpa_54214.png","plot")</f>
        <v>plot</v>
      </c>
    </row>
    <row r="183" spans="1:29" x14ac:dyDescent="0.35">
      <c r="A183" t="s">
        <v>47</v>
      </c>
      <c r="B183">
        <v>52046</v>
      </c>
      <c r="C183" t="s">
        <v>51</v>
      </c>
      <c r="D183">
        <v>54215</v>
      </c>
      <c r="E183" t="s">
        <v>235</v>
      </c>
      <c r="F183">
        <v>7139</v>
      </c>
      <c r="G183">
        <v>0.32980435112069861</v>
      </c>
      <c r="H183">
        <v>9.8496721210373228E-181</v>
      </c>
      <c r="I183">
        <v>3.5669884038328018E-180</v>
      </c>
      <c r="J183">
        <v>0.29352861763118282</v>
      </c>
      <c r="K183">
        <v>7.4759319968440804E-142</v>
      </c>
      <c r="L183">
        <v>1.9588100890955811E-141</v>
      </c>
      <c r="M183">
        <v>0.19737882059871581</v>
      </c>
      <c r="N183">
        <v>4.8696365638243348E-138</v>
      </c>
      <c r="O183">
        <v>1.2759202779632761E-137</v>
      </c>
      <c r="P183">
        <v>0.10877091001814509</v>
      </c>
      <c r="Q183">
        <v>0.73912848215539373</v>
      </c>
      <c r="R183">
        <v>6.8061985156793021</v>
      </c>
      <c r="S183">
        <v>0.24362072981970789</v>
      </c>
      <c r="T183">
        <v>0.19292093336528571</v>
      </c>
      <c r="U183">
        <v>4.4222873134892842</v>
      </c>
      <c r="V183">
        <v>0.1151559613407446</v>
      </c>
      <c r="W183">
        <v>10.074837025353689</v>
      </c>
      <c r="X183">
        <v>0.25807740446025879</v>
      </c>
      <c r="Z183" t="s">
        <v>392</v>
      </c>
      <c r="AA183">
        <v>140</v>
      </c>
      <c r="AB183" t="s">
        <v>1588</v>
      </c>
      <c r="AC183" t="str">
        <f>HYPERLINK("plots/20251231112652_3FT6Y119H04_05543_B21P_N_UFLEX98_M5358A8BA201511/dpll_52046/txpa_54215.png","plot")</f>
        <v>plot</v>
      </c>
    </row>
    <row r="184" spans="1:29" x14ac:dyDescent="0.35">
      <c r="A184" t="s">
        <v>47</v>
      </c>
      <c r="B184">
        <v>52046</v>
      </c>
      <c r="C184" t="s">
        <v>51</v>
      </c>
      <c r="D184">
        <v>54216</v>
      </c>
      <c r="E184" t="s">
        <v>236</v>
      </c>
      <c r="F184">
        <v>7139</v>
      </c>
      <c r="G184">
        <v>0.40178631509833701</v>
      </c>
      <c r="H184">
        <v>3.2868464919694612E-275</v>
      </c>
      <c r="I184">
        <v>3.3328623428570331E-273</v>
      </c>
      <c r="J184">
        <v>0.37598635673394432</v>
      </c>
      <c r="K184">
        <v>1.563989355442784E-238</v>
      </c>
      <c r="L184">
        <v>1.6182502106316149E-237</v>
      </c>
      <c r="M184">
        <v>0.25602198761037548</v>
      </c>
      <c r="N184">
        <v>7.6140283979340842E-231</v>
      </c>
      <c r="O184">
        <v>7.2836082976463786E-230</v>
      </c>
      <c r="P184">
        <v>0.1614322430003001</v>
      </c>
      <c r="Q184">
        <v>0.77550305313037982</v>
      </c>
      <c r="R184">
        <v>6.5638688154389051</v>
      </c>
      <c r="S184">
        <v>0.2035229820483514</v>
      </c>
      <c r="T184">
        <v>0.15647366095007231</v>
      </c>
      <c r="U184">
        <v>4.4222873134892842</v>
      </c>
      <c r="V184">
        <v>0.1151559613407446</v>
      </c>
      <c r="W184">
        <v>9.9933661288695905</v>
      </c>
      <c r="X184">
        <v>0.22226690220659809</v>
      </c>
      <c r="Z184" t="s">
        <v>392</v>
      </c>
      <c r="AA184">
        <v>140</v>
      </c>
      <c r="AB184" t="s">
        <v>1589</v>
      </c>
      <c r="AC184" t="str">
        <f>HYPERLINK("plots/20251231112652_3FT6Y119H04_05543_B21P_N_UFLEX98_M5358A8BA201511/dpll_52046/txpa_54216.png","plot")</f>
        <v>plot</v>
      </c>
    </row>
    <row r="185" spans="1:29" x14ac:dyDescent="0.35">
      <c r="A185" t="s">
        <v>47</v>
      </c>
      <c r="B185">
        <v>52046</v>
      </c>
      <c r="C185" t="s">
        <v>51</v>
      </c>
      <c r="D185">
        <v>54217</v>
      </c>
      <c r="E185" t="s">
        <v>237</v>
      </c>
      <c r="F185">
        <v>7139</v>
      </c>
      <c r="G185">
        <v>0.32162261107108109</v>
      </c>
      <c r="H185">
        <v>1.7572307623594929E-171</v>
      </c>
      <c r="I185">
        <v>5.6746241816322476E-171</v>
      </c>
      <c r="J185">
        <v>0.29085200087119589</v>
      </c>
      <c r="K185">
        <v>3.373043797393547E-139</v>
      </c>
      <c r="L185">
        <v>8.7924586389641571E-139</v>
      </c>
      <c r="M185">
        <v>0.19620747334937039</v>
      </c>
      <c r="N185">
        <v>1.983234541957366E-136</v>
      </c>
      <c r="O185">
        <v>5.1170479021495399E-136</v>
      </c>
      <c r="P185">
        <v>0.1034411039521799</v>
      </c>
      <c r="Q185">
        <v>0.69193311829077975</v>
      </c>
      <c r="R185">
        <v>6.9612268884067774</v>
      </c>
      <c r="S185">
        <v>0.23456486614537991</v>
      </c>
      <c r="T185">
        <v>0.18380262221311211</v>
      </c>
      <c r="U185">
        <v>4.4222873134892842</v>
      </c>
      <c r="V185">
        <v>0.1151559613407446</v>
      </c>
      <c r="W185">
        <v>10.021153939207171</v>
      </c>
      <c r="X185">
        <v>0.24774447031233121</v>
      </c>
      <c r="Z185" t="s">
        <v>392</v>
      </c>
      <c r="AA185">
        <v>140</v>
      </c>
      <c r="AB185" t="s">
        <v>1590</v>
      </c>
      <c r="AC185" t="str">
        <f>HYPERLINK("plots/20251231112652_3FT6Y119H04_05543_B21P_N_UFLEX98_M5358A8BA201511/dpll_52046/txpa_54217.png","plot")</f>
        <v>plot</v>
      </c>
    </row>
    <row r="186" spans="1:29" x14ac:dyDescent="0.35">
      <c r="A186" t="s">
        <v>47</v>
      </c>
      <c r="B186">
        <v>52046</v>
      </c>
      <c r="C186" t="s">
        <v>51</v>
      </c>
      <c r="D186">
        <v>54218</v>
      </c>
      <c r="E186" t="s">
        <v>238</v>
      </c>
      <c r="F186">
        <v>7139</v>
      </c>
      <c r="G186">
        <v>0.23144241377770419</v>
      </c>
      <c r="H186">
        <v>1.943932778007276E-87</v>
      </c>
      <c r="I186">
        <v>2.7959543785806778E-87</v>
      </c>
      <c r="J186">
        <v>0.18768787246336691</v>
      </c>
      <c r="K186">
        <v>1.3231749227403141E-57</v>
      </c>
      <c r="L186">
        <v>1.7357042324174361E-57</v>
      </c>
      <c r="M186">
        <v>0.1251780649233151</v>
      </c>
      <c r="N186">
        <v>1.1829639496547399E-56</v>
      </c>
      <c r="O186">
        <v>1.537853134551162E-56</v>
      </c>
      <c r="P186">
        <v>5.3565590895250023E-2</v>
      </c>
      <c r="Q186">
        <v>0.73946950553027802</v>
      </c>
      <c r="R186">
        <v>6.2517958164531731</v>
      </c>
      <c r="S186">
        <v>0.3579139171387446</v>
      </c>
      <c r="T186">
        <v>0.29792437253956011</v>
      </c>
      <c r="U186">
        <v>4.4222873134892842</v>
      </c>
      <c r="V186">
        <v>0.1151559613407446</v>
      </c>
      <c r="W186">
        <v>9.521942429471915</v>
      </c>
      <c r="X186">
        <v>0.36792876638978222</v>
      </c>
      <c r="Z186" t="s">
        <v>392</v>
      </c>
      <c r="AA186">
        <v>140</v>
      </c>
      <c r="AB186" t="s">
        <v>1591</v>
      </c>
      <c r="AC186" t="str">
        <f>HYPERLINK("plots/20251231112652_3FT6Y119H04_05543_B21P_N_UFLEX98_M5358A8BA201511/dpll_52046/txpa_54218.png","plot")</f>
        <v>plot</v>
      </c>
    </row>
    <row r="187" spans="1:29" x14ac:dyDescent="0.35">
      <c r="A187" t="s">
        <v>47</v>
      </c>
      <c r="B187">
        <v>52046</v>
      </c>
      <c r="C187" t="s">
        <v>51</v>
      </c>
      <c r="D187">
        <v>54219</v>
      </c>
      <c r="E187" t="s">
        <v>239</v>
      </c>
      <c r="F187">
        <v>7139</v>
      </c>
      <c r="G187">
        <v>0.22571626278548029</v>
      </c>
      <c r="H187">
        <v>3.8032064796903198E-83</v>
      </c>
      <c r="I187">
        <v>5.3046098630068559E-83</v>
      </c>
      <c r="J187">
        <v>0.18318794703543789</v>
      </c>
      <c r="K187">
        <v>6.4661196079550342E-55</v>
      </c>
      <c r="L187">
        <v>8.2060641833121453E-55</v>
      </c>
      <c r="M187">
        <v>0.1217019956697383</v>
      </c>
      <c r="N187">
        <v>1.193672060712343E-53</v>
      </c>
      <c r="O187">
        <v>1.514872928113036E-53</v>
      </c>
      <c r="P187">
        <v>5.0947831285843993E-2</v>
      </c>
      <c r="Q187">
        <v>0.72095233127145164</v>
      </c>
      <c r="R187">
        <v>7.3734820065993354</v>
      </c>
      <c r="S187">
        <v>0.3582983007922092</v>
      </c>
      <c r="T187">
        <v>0.29565869801232431</v>
      </c>
      <c r="U187">
        <v>4.4222873134892842</v>
      </c>
      <c r="V187">
        <v>0.1151559613407446</v>
      </c>
      <c r="W187">
        <v>10.561740354811599</v>
      </c>
      <c r="X187">
        <v>0.36781558299730788</v>
      </c>
      <c r="Z187" t="s">
        <v>392</v>
      </c>
      <c r="AA187">
        <v>140</v>
      </c>
      <c r="AB187" t="s">
        <v>1592</v>
      </c>
      <c r="AC187" t="str">
        <f>HYPERLINK("plots/20251231112652_3FT6Y119H04_05543_B21P_N_UFLEX98_M5358A8BA201511/dpll_52046/txpa_54219.png","plot")</f>
        <v>plot</v>
      </c>
    </row>
    <row r="188" spans="1:29" x14ac:dyDescent="0.35">
      <c r="A188" t="s">
        <v>47</v>
      </c>
      <c r="B188">
        <v>52046</v>
      </c>
      <c r="C188" t="s">
        <v>51</v>
      </c>
      <c r="D188">
        <v>54220</v>
      </c>
      <c r="E188" t="s">
        <v>240</v>
      </c>
      <c r="F188">
        <v>7139</v>
      </c>
      <c r="G188">
        <v>0.36103577820242788</v>
      </c>
      <c r="H188">
        <v>9.4125708214669195E-219</v>
      </c>
      <c r="I188">
        <v>7.6970538814253682E-218</v>
      </c>
      <c r="J188">
        <v>0.35897108681061768</v>
      </c>
      <c r="K188">
        <v>4.1989225398235697E-216</v>
      </c>
      <c r="L188">
        <v>2.8384716369207342E-215</v>
      </c>
      <c r="M188">
        <v>0.243703754625822</v>
      </c>
      <c r="N188">
        <v>2.3078989581772479E-209</v>
      </c>
      <c r="O188">
        <v>1.392981871185553E-208</v>
      </c>
      <c r="P188">
        <v>0.13034683314223269</v>
      </c>
      <c r="Q188">
        <v>0.79389727215560557</v>
      </c>
      <c r="R188">
        <v>7.3560249861158464</v>
      </c>
      <c r="S188">
        <v>0.23612562207228169</v>
      </c>
      <c r="T188">
        <v>0.1795289674218003</v>
      </c>
      <c r="U188">
        <v>4.4222873134892842</v>
      </c>
      <c r="V188">
        <v>0.1151559613407446</v>
      </c>
      <c r="W188">
        <v>10.866866820983329</v>
      </c>
      <c r="X188">
        <v>0.2532214508934747</v>
      </c>
      <c r="Z188" t="s">
        <v>392</v>
      </c>
      <c r="AA188">
        <v>140</v>
      </c>
      <c r="AB188" t="s">
        <v>1593</v>
      </c>
      <c r="AC188" t="str">
        <f>HYPERLINK("plots/20251231112652_3FT6Y119H04_05543_B21P_N_UFLEX98_M5358A8BA201511/dpll_52046/txpa_54220.png","plot")</f>
        <v>plot</v>
      </c>
    </row>
    <row r="189" spans="1:29" x14ac:dyDescent="0.35">
      <c r="A189" t="s">
        <v>47</v>
      </c>
      <c r="B189">
        <v>52046</v>
      </c>
      <c r="C189" t="s">
        <v>51</v>
      </c>
      <c r="D189">
        <v>54221</v>
      </c>
      <c r="E189" t="s">
        <v>241</v>
      </c>
      <c r="F189">
        <v>7139</v>
      </c>
      <c r="G189">
        <v>0.31335306809771718</v>
      </c>
      <c r="H189">
        <v>2.0247479379142441E-162</v>
      </c>
      <c r="I189">
        <v>5.8326545711506926E-162</v>
      </c>
      <c r="J189">
        <v>0.29587091463122012</v>
      </c>
      <c r="K189">
        <v>3.3665588465175969E-144</v>
      </c>
      <c r="L189">
        <v>9.1031751209835831E-144</v>
      </c>
      <c r="M189">
        <v>0.20041239555773779</v>
      </c>
      <c r="N189">
        <v>2.9808183923099058E-142</v>
      </c>
      <c r="O189">
        <v>8.1033508037593702E-142</v>
      </c>
      <c r="P189">
        <v>9.8190145286252584E-2</v>
      </c>
      <c r="Q189">
        <v>0.73931697805517183</v>
      </c>
      <c r="R189">
        <v>7.7498758861479553</v>
      </c>
      <c r="S189">
        <v>0.25799436645645352</v>
      </c>
      <c r="T189">
        <v>0.20093973715370769</v>
      </c>
      <c r="U189">
        <v>4.4222873134892842</v>
      </c>
      <c r="V189">
        <v>0.1151559613407446</v>
      </c>
      <c r="W189">
        <v>11.019347978848581</v>
      </c>
      <c r="X189">
        <v>0.27169594304699168</v>
      </c>
      <c r="Z189" t="s">
        <v>392</v>
      </c>
      <c r="AA189">
        <v>140</v>
      </c>
      <c r="AB189" t="s">
        <v>1594</v>
      </c>
      <c r="AC189" t="str">
        <f>HYPERLINK("plots/20251231112652_3FT6Y119H04_05543_B21P_N_UFLEX98_M5358A8BA201511/dpll_52046/txpa_54221.png","plot")</f>
        <v>plot</v>
      </c>
    </row>
    <row r="190" spans="1:29" x14ac:dyDescent="0.35">
      <c r="A190" t="s">
        <v>47</v>
      </c>
      <c r="B190">
        <v>52046</v>
      </c>
      <c r="C190" t="s">
        <v>51</v>
      </c>
      <c r="D190">
        <v>54222</v>
      </c>
      <c r="E190" t="s">
        <v>242</v>
      </c>
      <c r="F190">
        <v>7139</v>
      </c>
      <c r="G190">
        <v>0.39126481752213638</v>
      </c>
      <c r="H190">
        <v>7.4644451649365781E-260</v>
      </c>
      <c r="I190">
        <v>2.3652960616392782E-258</v>
      </c>
      <c r="J190">
        <v>0.37837026105591037</v>
      </c>
      <c r="K190">
        <v>8.7548530955031637E-242</v>
      </c>
      <c r="L190">
        <v>9.7554077349892397E-241</v>
      </c>
      <c r="M190">
        <v>0.25875856390159752</v>
      </c>
      <c r="N190">
        <v>9.2593719980088051E-236</v>
      </c>
      <c r="O190">
        <v>9.9883012829584334E-235</v>
      </c>
      <c r="P190">
        <v>0.1530881574306307</v>
      </c>
      <c r="Q190">
        <v>0.82041288425960113</v>
      </c>
      <c r="R190">
        <v>7.2387903053250264</v>
      </c>
      <c r="S190">
        <v>0.22219627971030789</v>
      </c>
      <c r="T190">
        <v>0.17026078505772979</v>
      </c>
      <c r="U190">
        <v>4.4222873134892842</v>
      </c>
      <c r="V190">
        <v>0.1151559613407446</v>
      </c>
      <c r="W190">
        <v>10.86689179520941</v>
      </c>
      <c r="X190">
        <v>0.2414616141097386</v>
      </c>
      <c r="Z190" t="s">
        <v>392</v>
      </c>
      <c r="AA190">
        <v>140</v>
      </c>
      <c r="AB190" t="s">
        <v>1595</v>
      </c>
      <c r="AC190" t="str">
        <f>HYPERLINK("plots/20251231112652_3FT6Y119H04_05543_B21P_N_UFLEX98_M5358A8BA201511/dpll_52046/txpa_54222.png","plot")</f>
        <v>plot</v>
      </c>
    </row>
    <row r="191" spans="1:29" x14ac:dyDescent="0.35">
      <c r="A191" t="s">
        <v>47</v>
      </c>
      <c r="B191">
        <v>52046</v>
      </c>
      <c r="C191" t="s">
        <v>51</v>
      </c>
      <c r="D191">
        <v>54223</v>
      </c>
      <c r="E191" t="s">
        <v>243</v>
      </c>
      <c r="F191">
        <v>7139</v>
      </c>
      <c r="G191">
        <v>0.34304738798264262</v>
      </c>
      <c r="H191">
        <v>2.5323716742766209E-196</v>
      </c>
      <c r="I191">
        <v>1.258737685155144E-195</v>
      </c>
      <c r="J191">
        <v>0.31085820518260399</v>
      </c>
      <c r="K191">
        <v>9.6341960089739815E-160</v>
      </c>
      <c r="L191">
        <v>3.0624058787146142E-159</v>
      </c>
      <c r="M191">
        <v>0.20970840032797569</v>
      </c>
      <c r="N191">
        <v>1.457812456546166E-155</v>
      </c>
      <c r="O191">
        <v>4.633924234914773E-155</v>
      </c>
      <c r="P191">
        <v>0.11768151040171369</v>
      </c>
      <c r="Q191">
        <v>0.74772630447727129</v>
      </c>
      <c r="R191">
        <v>7.6974332023743566</v>
      </c>
      <c r="S191">
        <v>0.2357530056879707</v>
      </c>
      <c r="T191">
        <v>0.184717053560502</v>
      </c>
      <c r="U191">
        <v>4.4222873134892842</v>
      </c>
      <c r="V191">
        <v>0.1151559613407446</v>
      </c>
      <c r="W191">
        <v>11.004093752626421</v>
      </c>
      <c r="X191">
        <v>0.25100072009934421</v>
      </c>
      <c r="Z191" t="s">
        <v>392</v>
      </c>
      <c r="AA191">
        <v>140</v>
      </c>
      <c r="AB191" t="s">
        <v>1596</v>
      </c>
      <c r="AC191" t="str">
        <f>HYPERLINK("plots/20251231112652_3FT6Y119H04_05543_B21P_N_UFLEX98_M5358A8BA201511/dpll_52046/txpa_54223.png","plot")</f>
        <v>plot</v>
      </c>
    </row>
    <row r="192" spans="1:29" x14ac:dyDescent="0.35">
      <c r="A192" t="s">
        <v>47</v>
      </c>
      <c r="B192">
        <v>52046</v>
      </c>
      <c r="C192" t="s">
        <v>51</v>
      </c>
      <c r="D192">
        <v>54224</v>
      </c>
      <c r="E192" t="s">
        <v>244</v>
      </c>
      <c r="F192">
        <v>7139</v>
      </c>
      <c r="G192">
        <v>0.40957500743779057</v>
      </c>
      <c r="H192">
        <v>6.0966363678245583E-287</v>
      </c>
      <c r="I192">
        <v>1.03033154616235E-284</v>
      </c>
      <c r="J192">
        <v>0.38886347272522281</v>
      </c>
      <c r="K192">
        <v>1.9951315148277569E-256</v>
      </c>
      <c r="L192">
        <v>2.8900905086219228E-255</v>
      </c>
      <c r="M192">
        <v>0.26624754755747682</v>
      </c>
      <c r="N192">
        <v>1.7680422709308209E-249</v>
      </c>
      <c r="O192">
        <v>2.3903931502984709E-248</v>
      </c>
      <c r="P192">
        <v>0.16775168671766619</v>
      </c>
      <c r="Q192">
        <v>0.78217348059541292</v>
      </c>
      <c r="R192">
        <v>7.467600234506282</v>
      </c>
      <c r="S192">
        <v>0.20060978260763279</v>
      </c>
      <c r="T192">
        <v>0.15240429923613519</v>
      </c>
      <c r="U192">
        <v>4.4222873134892842</v>
      </c>
      <c r="V192">
        <v>0.1151559613407446</v>
      </c>
      <c r="W192">
        <v>10.92659609469113</v>
      </c>
      <c r="X192">
        <v>0.21991561364222609</v>
      </c>
      <c r="Z192" t="s">
        <v>392</v>
      </c>
      <c r="AA192">
        <v>140</v>
      </c>
      <c r="AB192" t="s">
        <v>1597</v>
      </c>
      <c r="AC192" t="str">
        <f>HYPERLINK("plots/20251231112652_3FT6Y119H04_05543_B21P_N_UFLEX98_M5358A8BA201511/dpll_52046/txpa_54224.png","plot")</f>
        <v>plot</v>
      </c>
    </row>
    <row r="193" spans="1:29" x14ac:dyDescent="0.35">
      <c r="A193" t="s">
        <v>47</v>
      </c>
      <c r="B193">
        <v>52046</v>
      </c>
      <c r="C193" t="s">
        <v>51</v>
      </c>
      <c r="D193">
        <v>54225</v>
      </c>
      <c r="E193" t="s">
        <v>245</v>
      </c>
      <c r="F193">
        <v>7139</v>
      </c>
      <c r="G193">
        <v>0.33456578820461308</v>
      </c>
      <c r="H193">
        <v>2.996327543556292E-186</v>
      </c>
      <c r="I193">
        <v>1.20089965579687E-185</v>
      </c>
      <c r="J193">
        <v>0.30560161126888291</v>
      </c>
      <c r="K193">
        <v>3.4712575702286201E-154</v>
      </c>
      <c r="L193">
        <v>1.041377271068586E-153</v>
      </c>
      <c r="M193">
        <v>0.20675062726004501</v>
      </c>
      <c r="N193">
        <v>2.911179452664759E-151</v>
      </c>
      <c r="O193">
        <v>8.838131631742711E-151</v>
      </c>
      <c r="P193">
        <v>0.11193426663697401</v>
      </c>
      <c r="Q193">
        <v>0.70180782657596885</v>
      </c>
      <c r="R193">
        <v>7.8486062125382823</v>
      </c>
      <c r="S193">
        <v>0.22762252704800681</v>
      </c>
      <c r="T193">
        <v>0.17725556638531659</v>
      </c>
      <c r="U193">
        <v>4.4222873134892842</v>
      </c>
      <c r="V193">
        <v>0.1151559613407446</v>
      </c>
      <c r="W193">
        <v>10.952202060512681</v>
      </c>
      <c r="X193">
        <v>0.24155893338498841</v>
      </c>
      <c r="Z193" t="s">
        <v>392</v>
      </c>
      <c r="AA193">
        <v>140</v>
      </c>
      <c r="AB193" t="s">
        <v>1598</v>
      </c>
      <c r="AC193" t="str">
        <f>HYPERLINK("plots/20251231112652_3FT6Y119H04_05543_B21P_N_UFLEX98_M5358A8BA201511/dpll_52046/txpa_54225.png","plot")</f>
        <v>plot</v>
      </c>
    </row>
    <row r="194" spans="1:29" x14ac:dyDescent="0.35">
      <c r="A194" t="s">
        <v>47</v>
      </c>
      <c r="B194">
        <v>52046</v>
      </c>
      <c r="C194" t="s">
        <v>51</v>
      </c>
      <c r="D194">
        <v>54226</v>
      </c>
      <c r="E194" t="s">
        <v>246</v>
      </c>
      <c r="F194">
        <v>7139</v>
      </c>
      <c r="G194">
        <v>0.24375586748300351</v>
      </c>
      <c r="H194">
        <v>4.518788775443932E-97</v>
      </c>
      <c r="I194">
        <v>7.0276868378836604E-97</v>
      </c>
      <c r="J194">
        <v>0.19819153632576489</v>
      </c>
      <c r="K194">
        <v>3.7461594696782539E-64</v>
      </c>
      <c r="L194">
        <v>5.1056528256098783E-64</v>
      </c>
      <c r="M194">
        <v>0.1321932483774704</v>
      </c>
      <c r="N194">
        <v>5.6918427562738173E-63</v>
      </c>
      <c r="O194">
        <v>7.7574308533086695E-63</v>
      </c>
      <c r="P194">
        <v>5.9416922932391571E-2</v>
      </c>
      <c r="Q194">
        <v>0.74478026699332289</v>
      </c>
      <c r="R194">
        <v>7.201819150475596</v>
      </c>
      <c r="S194">
        <v>0.34121465011064311</v>
      </c>
      <c r="T194">
        <v>0.28326429223572791</v>
      </c>
      <c r="U194">
        <v>4.4222873134892842</v>
      </c>
      <c r="V194">
        <v>0.1151559613407446</v>
      </c>
      <c r="W194">
        <v>10.49545147653733</v>
      </c>
      <c r="X194">
        <v>0.3518515821540697</v>
      </c>
      <c r="Z194" t="s">
        <v>392</v>
      </c>
      <c r="AA194">
        <v>140</v>
      </c>
      <c r="AB194" t="s">
        <v>1599</v>
      </c>
      <c r="AC194" t="str">
        <f>HYPERLINK("plots/20251231112652_3FT6Y119H04_05543_B21P_N_UFLEX98_M5358A8BA201511/dpll_52046/txpa_54226.png","plot")</f>
        <v>plot</v>
      </c>
    </row>
    <row r="195" spans="1:29" x14ac:dyDescent="0.35">
      <c r="A195" t="s">
        <v>47</v>
      </c>
      <c r="B195">
        <v>52046</v>
      </c>
      <c r="C195" t="s">
        <v>51</v>
      </c>
      <c r="D195">
        <v>54227</v>
      </c>
      <c r="E195" t="s">
        <v>247</v>
      </c>
      <c r="F195">
        <v>7139</v>
      </c>
      <c r="G195">
        <v>0.2321626586166142</v>
      </c>
      <c r="H195">
        <v>5.5013381046378014E-88</v>
      </c>
      <c r="I195">
        <v>7.9463772622546023E-88</v>
      </c>
      <c r="J195">
        <v>0.1892336759988886</v>
      </c>
      <c r="K195">
        <v>1.52004192535019E-58</v>
      </c>
      <c r="L195">
        <v>2.0069303545639229E-58</v>
      </c>
      <c r="M195">
        <v>0.1257079725534134</v>
      </c>
      <c r="N195">
        <v>4.0531488660431758E-57</v>
      </c>
      <c r="O195">
        <v>5.3236955313054151E-57</v>
      </c>
      <c r="P195">
        <v>5.3899500055934559E-2</v>
      </c>
      <c r="Q195">
        <v>0.72535621996910171</v>
      </c>
      <c r="R195">
        <v>7.8279896344017121</v>
      </c>
      <c r="S195">
        <v>0.34993196306566199</v>
      </c>
      <c r="T195">
        <v>0.28800401815469218</v>
      </c>
      <c r="U195">
        <v>4.4222873134892842</v>
      </c>
      <c r="V195">
        <v>0.1151559613407446</v>
      </c>
      <c r="W195">
        <v>11.03572324373161</v>
      </c>
      <c r="X195">
        <v>0.35978694128829608</v>
      </c>
      <c r="Z195" t="s">
        <v>392</v>
      </c>
      <c r="AA195">
        <v>140</v>
      </c>
      <c r="AB195" t="s">
        <v>1600</v>
      </c>
      <c r="AC195" t="str">
        <f>HYPERLINK("plots/20251231112652_3FT6Y119H04_05543_B21P_N_UFLEX98_M5358A8BA201511/dpll_52046/txpa_54227.png","plot")</f>
        <v>plot</v>
      </c>
    </row>
    <row r="196" spans="1:29" x14ac:dyDescent="0.35">
      <c r="A196" t="s">
        <v>47</v>
      </c>
      <c r="B196">
        <v>52046</v>
      </c>
      <c r="C196" t="s">
        <v>51</v>
      </c>
      <c r="D196">
        <v>54228</v>
      </c>
      <c r="E196" t="s">
        <v>248</v>
      </c>
      <c r="F196">
        <v>7139</v>
      </c>
      <c r="G196">
        <v>0.36426195537114181</v>
      </c>
      <c r="H196">
        <v>6.2273856646020187E-223</v>
      </c>
      <c r="I196">
        <v>5.6888009584742768E-222</v>
      </c>
      <c r="J196">
        <v>0.36530660932709802</v>
      </c>
      <c r="K196">
        <v>2.6952899174705911E-224</v>
      </c>
      <c r="L196">
        <v>2.2040515938025639E-223</v>
      </c>
      <c r="M196">
        <v>0.2486290848723762</v>
      </c>
      <c r="N196">
        <v>7.9617003637143023E-218</v>
      </c>
      <c r="O196">
        <v>6.0700482472227841E-217</v>
      </c>
      <c r="P196">
        <v>0.13268677213080771</v>
      </c>
      <c r="Q196">
        <v>0.796710431994609</v>
      </c>
      <c r="R196">
        <v>7.80216769013375</v>
      </c>
      <c r="S196">
        <v>0.2345474309217053</v>
      </c>
      <c r="T196">
        <v>0.1771106245661313</v>
      </c>
      <c r="U196">
        <v>4.4222873134892842</v>
      </c>
      <c r="V196">
        <v>0.1151559613407446</v>
      </c>
      <c r="W196">
        <v>11.32545012606808</v>
      </c>
      <c r="X196">
        <v>0.2518680700899999</v>
      </c>
      <c r="Z196" t="s">
        <v>392</v>
      </c>
      <c r="AA196">
        <v>140</v>
      </c>
      <c r="AB196" t="s">
        <v>1601</v>
      </c>
      <c r="AC196" t="str">
        <f>HYPERLINK("plots/20251231112652_3FT6Y119H04_05543_B21P_N_UFLEX98_M5358A8BA201511/dpll_52046/txpa_54228.png","plot")</f>
        <v>plot</v>
      </c>
    </row>
    <row r="197" spans="1:29" x14ac:dyDescent="0.35">
      <c r="A197" t="s">
        <v>47</v>
      </c>
      <c r="B197">
        <v>52046</v>
      </c>
      <c r="C197" t="s">
        <v>51</v>
      </c>
      <c r="D197">
        <v>54229</v>
      </c>
      <c r="E197" t="s">
        <v>249</v>
      </c>
      <c r="F197">
        <v>7139</v>
      </c>
      <c r="G197">
        <v>0.31957587235229318</v>
      </c>
      <c r="H197">
        <v>3.2694393552888338E-169</v>
      </c>
      <c r="I197">
        <v>1.020065078850116E-168</v>
      </c>
      <c r="J197">
        <v>0.3062809093575844</v>
      </c>
      <c r="K197">
        <v>6.7427641907152918E-155</v>
      </c>
      <c r="L197">
        <v>2.0656081236813611E-154</v>
      </c>
      <c r="M197">
        <v>0.20784435780630711</v>
      </c>
      <c r="N197">
        <v>7.6034684792659399E-153</v>
      </c>
      <c r="O197">
        <v>2.336338496356261E-152</v>
      </c>
      <c r="P197">
        <v>0.1021287381897292</v>
      </c>
      <c r="Q197">
        <v>0.74396556871979003</v>
      </c>
      <c r="R197">
        <v>8.1722479249850863</v>
      </c>
      <c r="S197">
        <v>0.25400478332202919</v>
      </c>
      <c r="T197">
        <v>0.1959267388300496</v>
      </c>
      <c r="U197">
        <v>4.4222873134892842</v>
      </c>
      <c r="V197">
        <v>0.1151559613407446</v>
      </c>
      <c r="W197">
        <v>11.46227742120745</v>
      </c>
      <c r="X197">
        <v>0.26808053323843628</v>
      </c>
      <c r="Z197" t="s">
        <v>392</v>
      </c>
      <c r="AA197">
        <v>140</v>
      </c>
      <c r="AB197" t="s">
        <v>1602</v>
      </c>
      <c r="AC197" t="str">
        <f>HYPERLINK("plots/20251231112652_3FT6Y119H04_05543_B21P_N_UFLEX98_M5358A8BA201511/dpll_52046/txpa_54229.png","plot")</f>
        <v>plot</v>
      </c>
    </row>
    <row r="198" spans="1:29" x14ac:dyDescent="0.35">
      <c r="A198" t="s">
        <v>47</v>
      </c>
      <c r="B198">
        <v>52046</v>
      </c>
      <c r="C198" t="s">
        <v>51</v>
      </c>
      <c r="D198">
        <v>54230</v>
      </c>
      <c r="E198" t="s">
        <v>250</v>
      </c>
      <c r="F198">
        <v>7139</v>
      </c>
      <c r="G198">
        <v>0.39405386281472582</v>
      </c>
      <c r="H198">
        <v>7.1891073144505404E-264</v>
      </c>
      <c r="I198">
        <v>2.9159019267411402E-262</v>
      </c>
      <c r="J198">
        <v>0.38374000417151422</v>
      </c>
      <c r="K198">
        <v>3.2847353030580009E-249</v>
      </c>
      <c r="L198">
        <v>4.3256124640270314E-248</v>
      </c>
      <c r="M198">
        <v>0.26308296317830898</v>
      </c>
      <c r="N198">
        <v>1.236327209510905E-243</v>
      </c>
      <c r="O198">
        <v>1.547698506721059E-242</v>
      </c>
      <c r="P198">
        <v>0.15527844679920669</v>
      </c>
      <c r="Q198">
        <v>0.82209993915973512</v>
      </c>
      <c r="R198">
        <v>7.6902189121971141</v>
      </c>
      <c r="S198">
        <v>0.22079123092078071</v>
      </c>
      <c r="T198">
        <v>0.16807625024978529</v>
      </c>
      <c r="U198">
        <v>4.4222873134892842</v>
      </c>
      <c r="V198">
        <v>0.1151559613407446</v>
      </c>
      <c r="W198">
        <v>11.32578104356352</v>
      </c>
      <c r="X198">
        <v>0.2402456053491811</v>
      </c>
      <c r="Z198" t="s">
        <v>392</v>
      </c>
      <c r="AA198">
        <v>140</v>
      </c>
      <c r="AB198" t="s">
        <v>1603</v>
      </c>
      <c r="AC198" t="str">
        <f>HYPERLINK("plots/20251231112652_3FT6Y119H04_05543_B21P_N_UFLEX98_M5358A8BA201511/dpll_52046/txpa_54230.png","plot")</f>
        <v>plot</v>
      </c>
    </row>
    <row r="199" spans="1:29" x14ac:dyDescent="0.35">
      <c r="A199" t="s">
        <v>47</v>
      </c>
      <c r="B199">
        <v>52046</v>
      </c>
      <c r="C199" t="s">
        <v>51</v>
      </c>
      <c r="D199">
        <v>54231</v>
      </c>
      <c r="E199" t="s">
        <v>251</v>
      </c>
      <c r="F199">
        <v>7139</v>
      </c>
      <c r="G199">
        <v>0.34911917384141972</v>
      </c>
      <c r="H199">
        <v>9.9158163945639511E-204</v>
      </c>
      <c r="I199">
        <v>5.5859099022710264E-203</v>
      </c>
      <c r="J199">
        <v>0.31985597899430279</v>
      </c>
      <c r="K199">
        <v>1.6029127642205211E-169</v>
      </c>
      <c r="L199">
        <v>5.6435886906930863E-169</v>
      </c>
      <c r="M199">
        <v>0.21612663424084991</v>
      </c>
      <c r="N199">
        <v>4.193068249895265E-165</v>
      </c>
      <c r="O199">
        <v>1.456086029244452E-164</v>
      </c>
      <c r="P199">
        <v>0.12188419754371541</v>
      </c>
      <c r="Q199">
        <v>0.75205642370522496</v>
      </c>
      <c r="R199">
        <v>8.1291397726715555</v>
      </c>
      <c r="S199">
        <v>0.2324388009238883</v>
      </c>
      <c r="T199">
        <v>0.18076637071374929</v>
      </c>
      <c r="U199">
        <v>4.4222873134892842</v>
      </c>
      <c r="V199">
        <v>0.1151559613407446</v>
      </c>
      <c r="W199">
        <v>11.454949354251291</v>
      </c>
      <c r="X199">
        <v>0.2480636611886449</v>
      </c>
      <c r="Z199" t="s">
        <v>392</v>
      </c>
      <c r="AA199">
        <v>140</v>
      </c>
      <c r="AB199" t="s">
        <v>1604</v>
      </c>
      <c r="AC199" t="str">
        <f>HYPERLINK("plots/20251231112652_3FT6Y119H04_05543_B21P_N_UFLEX98_M5358A8BA201511/dpll_52046/txpa_54231.png","plot")</f>
        <v>plot</v>
      </c>
    </row>
    <row r="200" spans="1:29" x14ac:dyDescent="0.35">
      <c r="A200" t="s">
        <v>47</v>
      </c>
      <c r="B200">
        <v>52046</v>
      </c>
      <c r="C200" t="s">
        <v>51</v>
      </c>
      <c r="D200">
        <v>54232</v>
      </c>
      <c r="E200" t="s">
        <v>252</v>
      </c>
      <c r="F200">
        <v>7139</v>
      </c>
      <c r="G200">
        <v>0.41144451966931722</v>
      </c>
      <c r="H200">
        <v>8.3605626538895458E-290</v>
      </c>
      <c r="I200">
        <v>4.2388052655220001E-287</v>
      </c>
      <c r="J200">
        <v>0.39430318298153838</v>
      </c>
      <c r="K200">
        <v>3.131479755148761E-264</v>
      </c>
      <c r="L200">
        <v>5.2922007862014072E-263</v>
      </c>
      <c r="M200">
        <v>0.27083358068119479</v>
      </c>
      <c r="N200">
        <v>4.5015114686059634E-258</v>
      </c>
      <c r="O200">
        <v>7.2452898875657891E-257</v>
      </c>
      <c r="P200">
        <v>0.16928659276591521</v>
      </c>
      <c r="Q200">
        <v>0.78499668405152412</v>
      </c>
      <c r="R200">
        <v>7.9081466198360877</v>
      </c>
      <c r="S200">
        <v>0.20023415352397089</v>
      </c>
      <c r="T200">
        <v>0.15081046305280491</v>
      </c>
      <c r="U200">
        <v>4.4222873134892842</v>
      </c>
      <c r="V200">
        <v>0.1151559613407446</v>
      </c>
      <c r="W200">
        <v>11.3796274968483</v>
      </c>
      <c r="X200">
        <v>0.2197065302362107</v>
      </c>
      <c r="Z200" t="s">
        <v>392</v>
      </c>
      <c r="AA200">
        <v>140</v>
      </c>
      <c r="AB200" t="s">
        <v>1605</v>
      </c>
      <c r="AC200" t="str">
        <f>HYPERLINK("plots/20251231112652_3FT6Y119H04_05543_B21P_N_UFLEX98_M5358A8BA201511/dpll_52046/txpa_54232.png","plot")</f>
        <v>plot</v>
      </c>
    </row>
    <row r="201" spans="1:29" x14ac:dyDescent="0.35">
      <c r="A201" t="s">
        <v>47</v>
      </c>
      <c r="B201">
        <v>52046</v>
      </c>
      <c r="C201" t="s">
        <v>51</v>
      </c>
      <c r="D201">
        <v>54233</v>
      </c>
      <c r="E201" t="s">
        <v>253</v>
      </c>
      <c r="F201">
        <v>7139</v>
      </c>
      <c r="G201">
        <v>0.34037764464489828</v>
      </c>
      <c r="H201">
        <v>4.0591353387634551E-193</v>
      </c>
      <c r="I201">
        <v>1.8457234230969251E-192</v>
      </c>
      <c r="J201">
        <v>0.31324231526442209</v>
      </c>
      <c r="K201">
        <v>2.6655086108661912E-162</v>
      </c>
      <c r="L201">
        <v>8.8327638281644379E-162</v>
      </c>
      <c r="M201">
        <v>0.21224070654090599</v>
      </c>
      <c r="N201">
        <v>2.714485077752574E-159</v>
      </c>
      <c r="O201">
        <v>9.0245503896429853E-159</v>
      </c>
      <c r="P201">
        <v>0.1158569409740087</v>
      </c>
      <c r="Q201">
        <v>0.70676188858079458</v>
      </c>
      <c r="R201">
        <v>8.2772393249389982</v>
      </c>
      <c r="S201">
        <v>0.22481711525334391</v>
      </c>
      <c r="T201">
        <v>0.17415328360955989</v>
      </c>
      <c r="U201">
        <v>4.4222873134892842</v>
      </c>
      <c r="V201">
        <v>0.1151559613407446</v>
      </c>
      <c r="W201">
        <v>11.402743458467571</v>
      </c>
      <c r="X201">
        <v>0.23911042925110479</v>
      </c>
      <c r="Z201" t="s">
        <v>392</v>
      </c>
      <c r="AA201">
        <v>140</v>
      </c>
      <c r="AB201" t="s">
        <v>1606</v>
      </c>
      <c r="AC201" t="str">
        <f>HYPERLINK("plots/20251231112652_3FT6Y119H04_05543_B21P_N_UFLEX98_M5358A8BA201511/dpll_52046/txpa_54233.png","plot")</f>
        <v>plot</v>
      </c>
    </row>
    <row r="202" spans="1:29" x14ac:dyDescent="0.35">
      <c r="A202" t="s">
        <v>47</v>
      </c>
      <c r="B202">
        <v>52046</v>
      </c>
      <c r="C202" t="s">
        <v>51</v>
      </c>
      <c r="D202">
        <v>54234</v>
      </c>
      <c r="E202" t="s">
        <v>254</v>
      </c>
      <c r="F202">
        <v>7139</v>
      </c>
      <c r="G202">
        <v>0.25011561413089528</v>
      </c>
      <c r="H202">
        <v>2.8842528610263612E-102</v>
      </c>
      <c r="I202">
        <v>4.7095529808063289E-102</v>
      </c>
      <c r="J202">
        <v>0.20313785567144671</v>
      </c>
      <c r="K202">
        <v>2.277106779433682E-67</v>
      </c>
      <c r="L202">
        <v>3.1892075612510408E-67</v>
      </c>
      <c r="M202">
        <v>0.13547298712871519</v>
      </c>
      <c r="N202">
        <v>4.8340745836989798E-66</v>
      </c>
      <c r="O202">
        <v>6.7517240053316326E-66</v>
      </c>
      <c r="P202">
        <v>6.2557820432074904E-2</v>
      </c>
      <c r="Q202">
        <v>0.74712684495083093</v>
      </c>
      <c r="R202">
        <v>7.667737023966323</v>
      </c>
      <c r="S202">
        <v>0.33302879655816547</v>
      </c>
      <c r="T202">
        <v>0.2759514332923157</v>
      </c>
      <c r="U202">
        <v>4.4222873134892842</v>
      </c>
      <c r="V202">
        <v>0.1151559613407446</v>
      </c>
      <c r="W202">
        <v>10.97174659195966</v>
      </c>
      <c r="X202">
        <v>0.34398536202047869</v>
      </c>
      <c r="Z202" t="s">
        <v>392</v>
      </c>
      <c r="AA202">
        <v>140</v>
      </c>
      <c r="AB202" t="s">
        <v>1607</v>
      </c>
      <c r="AC202" t="str">
        <f>HYPERLINK("plots/20251231112652_3FT6Y119H04_05543_B21P_N_UFLEX98_M5358A8BA201511/dpll_52046/txpa_54234.png","plot")</f>
        <v>plot</v>
      </c>
    </row>
    <row r="203" spans="1:29" x14ac:dyDescent="0.35">
      <c r="A203" t="s">
        <v>47</v>
      </c>
      <c r="B203">
        <v>52046</v>
      </c>
      <c r="C203" t="s">
        <v>51</v>
      </c>
      <c r="D203">
        <v>54235</v>
      </c>
      <c r="E203" t="s">
        <v>255</v>
      </c>
      <c r="F203">
        <v>7139</v>
      </c>
      <c r="G203">
        <v>0.2383230273977954</v>
      </c>
      <c r="H203">
        <v>9.42184659114202E-93</v>
      </c>
      <c r="I203">
        <v>1.42806464027175E-92</v>
      </c>
      <c r="J203">
        <v>0.19526112527575409</v>
      </c>
      <c r="K203">
        <v>2.746717012743863E-62</v>
      </c>
      <c r="L203">
        <v>3.7036849081413251E-62</v>
      </c>
      <c r="M203">
        <v>0.1296537615839167</v>
      </c>
      <c r="N203">
        <v>1.207195258408204E-60</v>
      </c>
      <c r="O203">
        <v>1.6149023641502891E-60</v>
      </c>
      <c r="P203">
        <v>5.6797865388050352E-2</v>
      </c>
      <c r="Q203">
        <v>0.72804058788771409</v>
      </c>
      <c r="R203">
        <v>8.2715651693843295</v>
      </c>
      <c r="S203">
        <v>0.34162368908579882</v>
      </c>
      <c r="T203">
        <v>0.28039745590229359</v>
      </c>
      <c r="U203">
        <v>4.4222873134892842</v>
      </c>
      <c r="V203">
        <v>0.1151559613407446</v>
      </c>
      <c r="W203">
        <v>11.49116982490545</v>
      </c>
      <c r="X203">
        <v>0.35178394093388438</v>
      </c>
      <c r="Z203" t="s">
        <v>392</v>
      </c>
      <c r="AA203">
        <v>140</v>
      </c>
      <c r="AB203" t="s">
        <v>1608</v>
      </c>
      <c r="AC203" t="str">
        <f>HYPERLINK("plots/20251231112652_3FT6Y119H04_05543_B21P_N_UFLEX98_M5358A8BA201511/dpll_52046/txpa_54235.png","plot")</f>
        <v>plot</v>
      </c>
    </row>
    <row r="204" spans="1:29" x14ac:dyDescent="0.35">
      <c r="A204" t="s">
        <v>47</v>
      </c>
      <c r="B204">
        <v>52046</v>
      </c>
      <c r="C204" t="s">
        <v>51</v>
      </c>
      <c r="D204">
        <v>54236</v>
      </c>
      <c r="E204" t="s">
        <v>256</v>
      </c>
      <c r="F204">
        <v>7139</v>
      </c>
      <c r="G204">
        <v>0.36690178096240311</v>
      </c>
      <c r="H204">
        <v>2.179749442001886E-226</v>
      </c>
      <c r="I204">
        <v>2.2786246744225901E-225</v>
      </c>
      <c r="J204">
        <v>0.37188274316835751</v>
      </c>
      <c r="K204">
        <v>5.3505844794705403E-233</v>
      </c>
      <c r="L204">
        <v>5.1183893039463472E-232</v>
      </c>
      <c r="M204">
        <v>0.25381585582496791</v>
      </c>
      <c r="N204">
        <v>6.4115219705159527E-227</v>
      </c>
      <c r="O204">
        <v>5.9102575255483422E-226</v>
      </c>
      <c r="P204">
        <v>0.1346169168733832</v>
      </c>
      <c r="Q204">
        <v>0.79898919946249425</v>
      </c>
      <c r="R204">
        <v>8.2314206590501531</v>
      </c>
      <c r="S204">
        <v>0.23326592117527151</v>
      </c>
      <c r="T204">
        <v>0.1747438065580697</v>
      </c>
      <c r="U204">
        <v>4.4222873134892842</v>
      </c>
      <c r="V204">
        <v>0.1151559613407446</v>
      </c>
      <c r="W204">
        <v>11.764780459448099</v>
      </c>
      <c r="X204">
        <v>0.25077111679216307</v>
      </c>
      <c r="Z204" t="s">
        <v>392</v>
      </c>
      <c r="AA204">
        <v>140</v>
      </c>
      <c r="AB204" t="s">
        <v>1609</v>
      </c>
      <c r="AC204" t="str">
        <f>HYPERLINK("plots/20251231112652_3FT6Y119H04_05543_B21P_N_UFLEX98_M5358A8BA201511/dpll_52046/txpa_54236.png","plot")</f>
        <v>plot</v>
      </c>
    </row>
    <row r="205" spans="1:29" x14ac:dyDescent="0.35">
      <c r="A205" t="s">
        <v>47</v>
      </c>
      <c r="B205">
        <v>52046</v>
      </c>
      <c r="C205" t="s">
        <v>51</v>
      </c>
      <c r="D205">
        <v>54237</v>
      </c>
      <c r="E205" t="s">
        <v>257</v>
      </c>
      <c r="F205">
        <v>7139</v>
      </c>
      <c r="G205">
        <v>0.32510676330432547</v>
      </c>
      <c r="H205">
        <v>2.1889112276452609E-175</v>
      </c>
      <c r="I205">
        <v>7.423264163318712E-175</v>
      </c>
      <c r="J205">
        <v>0.3178107684995547</v>
      </c>
      <c r="K205">
        <v>2.8679180156558082E-167</v>
      </c>
      <c r="L205">
        <v>9.92514971970986E-167</v>
      </c>
      <c r="M205">
        <v>0.21613259044948821</v>
      </c>
      <c r="N205">
        <v>4.107609760983851E-165</v>
      </c>
      <c r="O205">
        <v>1.436246999185388E-164</v>
      </c>
      <c r="P205">
        <v>0.1056944075462147</v>
      </c>
      <c r="Q205">
        <v>0.74883770275646278</v>
      </c>
      <c r="R205">
        <v>8.5708851715855836</v>
      </c>
      <c r="S205">
        <v>0.25081914166034591</v>
      </c>
      <c r="T205">
        <v>0.19114115711412599</v>
      </c>
      <c r="U205">
        <v>4.4222873134892842</v>
      </c>
      <c r="V205">
        <v>0.1151559613407446</v>
      </c>
      <c r="W205">
        <v>11.882460644347949</v>
      </c>
      <c r="X205">
        <v>0.26524556017431788</v>
      </c>
      <c r="Z205" t="s">
        <v>392</v>
      </c>
      <c r="AA205">
        <v>140</v>
      </c>
      <c r="AB205" t="s">
        <v>1610</v>
      </c>
      <c r="AC205" t="str">
        <f>HYPERLINK("plots/20251231112652_3FT6Y119H04_05543_B21P_N_UFLEX98_M5358A8BA201511/dpll_52046/txpa_54237.png","plot")</f>
        <v>plot</v>
      </c>
    </row>
    <row r="206" spans="1:29" x14ac:dyDescent="0.35">
      <c r="A206" t="s">
        <v>47</v>
      </c>
      <c r="B206">
        <v>52046</v>
      </c>
      <c r="C206" t="s">
        <v>51</v>
      </c>
      <c r="D206">
        <v>54238</v>
      </c>
      <c r="E206" t="s">
        <v>258</v>
      </c>
      <c r="F206">
        <v>7139</v>
      </c>
      <c r="G206">
        <v>0.39647655116671149</v>
      </c>
      <c r="H206">
        <v>2.1690251908520249E-267</v>
      </c>
      <c r="I206">
        <v>1.2937597314846791E-265</v>
      </c>
      <c r="J206">
        <v>0.38956460118349701</v>
      </c>
      <c r="K206">
        <v>2.0060644198789131E-257</v>
      </c>
      <c r="L206">
        <v>2.9913960614076728E-256</v>
      </c>
      <c r="M206">
        <v>0.26791288519635159</v>
      </c>
      <c r="N206">
        <v>1.3919420360062509E-252</v>
      </c>
      <c r="O206">
        <v>2.075631212515204E-251</v>
      </c>
      <c r="P206">
        <v>0.15719365562505</v>
      </c>
      <c r="Q206">
        <v>0.82348937796919275</v>
      </c>
      <c r="R206">
        <v>8.1238420178829678</v>
      </c>
      <c r="S206">
        <v>0.2195636283000485</v>
      </c>
      <c r="T206">
        <v>0.1658552304637308</v>
      </c>
      <c r="U206">
        <v>4.4222873134892842</v>
      </c>
      <c r="V206">
        <v>0.1151559613407446</v>
      </c>
      <c r="W206">
        <v>11.765548646869309</v>
      </c>
      <c r="X206">
        <v>0.23918113365060009</v>
      </c>
      <c r="Z206" t="s">
        <v>392</v>
      </c>
      <c r="AA206">
        <v>140</v>
      </c>
      <c r="AB206" t="s">
        <v>1611</v>
      </c>
      <c r="AC206" t="str">
        <f>HYPERLINK("plots/20251231112652_3FT6Y119H04_05543_B21P_N_UFLEX98_M5358A8BA201511/dpll_52046/txpa_54238.png","plot")</f>
        <v>plot</v>
      </c>
    </row>
    <row r="207" spans="1:29" x14ac:dyDescent="0.35">
      <c r="A207" t="s">
        <v>47</v>
      </c>
      <c r="B207">
        <v>52046</v>
      </c>
      <c r="C207" t="s">
        <v>51</v>
      </c>
      <c r="D207">
        <v>54239</v>
      </c>
      <c r="E207" t="s">
        <v>259</v>
      </c>
      <c r="F207">
        <v>7139</v>
      </c>
      <c r="G207">
        <v>0.35429888432660128</v>
      </c>
      <c r="H207">
        <v>3.5170668189136132E-210</v>
      </c>
      <c r="I207">
        <v>2.361791890316824E-209</v>
      </c>
      <c r="J207">
        <v>0.32967796670376348</v>
      </c>
      <c r="K207">
        <v>1.3756798826421929E-180</v>
      </c>
      <c r="L207">
        <v>5.4489820351530607E-180</v>
      </c>
      <c r="M207">
        <v>0.22332203912222989</v>
      </c>
      <c r="N207">
        <v>3.8482942223438562E-176</v>
      </c>
      <c r="O207">
        <v>1.5242852896315109E-175</v>
      </c>
      <c r="P207">
        <v>0.12552769943507441</v>
      </c>
      <c r="Q207">
        <v>0.75563364150740486</v>
      </c>
      <c r="R207">
        <v>8.5432102919696575</v>
      </c>
      <c r="S207">
        <v>0.22965216020445711</v>
      </c>
      <c r="T207">
        <v>0.17696816012366379</v>
      </c>
      <c r="U207">
        <v>4.4222873134892842</v>
      </c>
      <c r="V207">
        <v>0.1151559613407446</v>
      </c>
      <c r="W207">
        <v>11.88483935845356</v>
      </c>
      <c r="X207">
        <v>0.2455997528035668</v>
      </c>
      <c r="Z207" t="s">
        <v>392</v>
      </c>
      <c r="AA207">
        <v>140</v>
      </c>
      <c r="AB207" t="s">
        <v>1612</v>
      </c>
      <c r="AC207" t="str">
        <f>HYPERLINK("plots/20251231112652_3FT6Y119H04_05543_B21P_N_UFLEX98_M5358A8BA201511/dpll_52046/txpa_54239.png","plot")</f>
        <v>plot</v>
      </c>
    </row>
    <row r="208" spans="1:29" x14ac:dyDescent="0.35">
      <c r="A208" t="s">
        <v>47</v>
      </c>
      <c r="B208">
        <v>52046</v>
      </c>
      <c r="C208" t="s">
        <v>51</v>
      </c>
      <c r="D208">
        <v>54240</v>
      </c>
      <c r="E208" t="s">
        <v>260</v>
      </c>
      <c r="F208">
        <v>7139</v>
      </c>
      <c r="G208">
        <v>0.41202306687600748</v>
      </c>
      <c r="H208">
        <v>1.0778819137797251E-290</v>
      </c>
      <c r="I208">
        <v>1.092972260572642E-287</v>
      </c>
      <c r="J208">
        <v>0.39985616926883888</v>
      </c>
      <c r="K208">
        <v>2.375828806221928E-272</v>
      </c>
      <c r="L208">
        <v>4.818180819018071E-271</v>
      </c>
      <c r="M208">
        <v>0.27572078507525222</v>
      </c>
      <c r="N208">
        <v>2.1580372724467798E-267</v>
      </c>
      <c r="O208">
        <v>3.978635989565519E-266</v>
      </c>
      <c r="P208">
        <v>0.169763007637911</v>
      </c>
      <c r="Q208">
        <v>0.78713818542678182</v>
      </c>
      <c r="R208">
        <v>8.3319218800935602</v>
      </c>
      <c r="S208">
        <v>0.20044097054012061</v>
      </c>
      <c r="T208">
        <v>0.14940552315703959</v>
      </c>
      <c r="U208">
        <v>4.4222873134892842</v>
      </c>
      <c r="V208">
        <v>0.1151559613407446</v>
      </c>
      <c r="W208">
        <v>11.81287309146939</v>
      </c>
      <c r="X208">
        <v>0.21999655295539131</v>
      </c>
      <c r="Z208" t="s">
        <v>392</v>
      </c>
      <c r="AA208">
        <v>140</v>
      </c>
      <c r="AB208" t="s">
        <v>1613</v>
      </c>
      <c r="AC208" t="str">
        <f>HYPERLINK("plots/20251231112652_3FT6Y119H04_05543_B21P_N_UFLEX98_M5358A8BA201511/dpll_52046/txpa_54240.png","plot")</f>
        <v>plot</v>
      </c>
    </row>
    <row r="209" spans="1:29" x14ac:dyDescent="0.35">
      <c r="A209" t="s">
        <v>47</v>
      </c>
      <c r="B209">
        <v>52046</v>
      </c>
      <c r="C209" t="s">
        <v>51</v>
      </c>
      <c r="D209">
        <v>54241</v>
      </c>
      <c r="E209" t="s">
        <v>261</v>
      </c>
      <c r="F209">
        <v>7139</v>
      </c>
      <c r="G209">
        <v>0.34543425991130478</v>
      </c>
      <c r="H209">
        <v>3.246146113570255E-199</v>
      </c>
      <c r="I209">
        <v>1.7143709162292909E-198</v>
      </c>
      <c r="J209">
        <v>0.32190417283385281</v>
      </c>
      <c r="K209">
        <v>8.5351490693641532E-172</v>
      </c>
      <c r="L209">
        <v>3.1357395493968298E-171</v>
      </c>
      <c r="M209">
        <v>0.21853845987407761</v>
      </c>
      <c r="N209">
        <v>9.1871556998309956E-169</v>
      </c>
      <c r="O209">
        <v>3.375281115807474E-168</v>
      </c>
      <c r="P209">
        <v>0.1193248279204709</v>
      </c>
      <c r="Q209">
        <v>0.71190798247849307</v>
      </c>
      <c r="R209">
        <v>8.6831225125556024</v>
      </c>
      <c r="S209">
        <v>0.22270108697845381</v>
      </c>
      <c r="T209">
        <v>0.1711745556615098</v>
      </c>
      <c r="U209">
        <v>4.4222873134892842</v>
      </c>
      <c r="V209">
        <v>0.1151559613407446</v>
      </c>
      <c r="W209">
        <v>11.83138415184199</v>
      </c>
      <c r="X209">
        <v>0.23732575955121091</v>
      </c>
      <c r="Z209" t="s">
        <v>392</v>
      </c>
      <c r="AA209">
        <v>140</v>
      </c>
      <c r="AB209" t="s">
        <v>1614</v>
      </c>
      <c r="AC209" t="str">
        <f>HYPERLINK("plots/20251231112652_3FT6Y119H04_05543_B21P_N_UFLEX98_M5358A8BA201511/dpll_52046/txpa_54241.png","plot")</f>
        <v>plot</v>
      </c>
    </row>
    <row r="210" spans="1:29" x14ac:dyDescent="0.35">
      <c r="A210" t="s">
        <v>47</v>
      </c>
      <c r="B210">
        <v>52046</v>
      </c>
      <c r="C210" t="s">
        <v>51</v>
      </c>
      <c r="D210">
        <v>54242</v>
      </c>
      <c r="E210" t="s">
        <v>262</v>
      </c>
      <c r="F210">
        <v>7139</v>
      </c>
      <c r="G210">
        <v>0.25661490288514732</v>
      </c>
      <c r="H210">
        <v>9.8792386599118541E-108</v>
      </c>
      <c r="I210">
        <v>1.6751752510285321E-107</v>
      </c>
      <c r="J210">
        <v>0.2082842260020846</v>
      </c>
      <c r="K210">
        <v>8.3209506431028129E-71</v>
      </c>
      <c r="L210">
        <v>1.1968005605824469E-70</v>
      </c>
      <c r="M210">
        <v>0.13889295219114639</v>
      </c>
      <c r="N210">
        <v>2.5256822600104218E-69</v>
      </c>
      <c r="O210">
        <v>3.6071011431698142E-69</v>
      </c>
      <c r="P210">
        <v>6.5851208382753587E-2</v>
      </c>
      <c r="Q210">
        <v>0.74873518006802398</v>
      </c>
      <c r="R210">
        <v>8.1191180745098066</v>
      </c>
      <c r="S210">
        <v>0.32472101755576099</v>
      </c>
      <c r="T210">
        <v>0.26859982529454091</v>
      </c>
      <c r="U210">
        <v>4.4222873134892842</v>
      </c>
      <c r="V210">
        <v>0.1151559613407446</v>
      </c>
      <c r="W210">
        <v>11.43024016248774</v>
      </c>
      <c r="X210">
        <v>0.33599498112141502</v>
      </c>
      <c r="Z210" t="s">
        <v>392</v>
      </c>
      <c r="AA210">
        <v>140</v>
      </c>
      <c r="AB210" t="s">
        <v>1615</v>
      </c>
      <c r="AC210" t="str">
        <f>HYPERLINK("plots/20251231112652_3FT6Y119H04_05543_B21P_N_UFLEX98_M5358A8BA201511/dpll_52046/txpa_54242.png","plot")</f>
        <v>plot</v>
      </c>
    </row>
    <row r="211" spans="1:29" x14ac:dyDescent="0.35">
      <c r="A211" t="s">
        <v>47</v>
      </c>
      <c r="B211">
        <v>52046</v>
      </c>
      <c r="C211" t="s">
        <v>51</v>
      </c>
      <c r="D211">
        <v>54243</v>
      </c>
      <c r="E211" t="s">
        <v>263</v>
      </c>
      <c r="F211">
        <v>7139</v>
      </c>
      <c r="G211">
        <v>0.26257907590369622</v>
      </c>
      <c r="H211">
        <v>6.9018529445443819E-113</v>
      </c>
      <c r="I211">
        <v>1.2299611398537789E-112</v>
      </c>
      <c r="J211">
        <v>0.22300588205520341</v>
      </c>
      <c r="K211">
        <v>3.716507007843404E-81</v>
      </c>
      <c r="L211">
        <v>5.8336503188130206E-81</v>
      </c>
      <c r="M211">
        <v>0.1480293868492773</v>
      </c>
      <c r="N211">
        <v>1.721880092463348E-78</v>
      </c>
      <c r="O211">
        <v>2.6737923641008191E-78</v>
      </c>
      <c r="P211">
        <v>6.8947771102439062E-2</v>
      </c>
      <c r="Q211">
        <v>0.73857150655345871</v>
      </c>
      <c r="R211">
        <v>9.681452880537373</v>
      </c>
      <c r="S211">
        <v>0.31251830594924568</v>
      </c>
      <c r="T211">
        <v>0.25294631228831249</v>
      </c>
      <c r="U211">
        <v>4.4222873134892842</v>
      </c>
      <c r="V211">
        <v>0.1151559613407446</v>
      </c>
      <c r="W211">
        <v>12.947628284073399</v>
      </c>
      <c r="X211">
        <v>0.32390589982592127</v>
      </c>
      <c r="Z211" t="s">
        <v>392</v>
      </c>
      <c r="AA211">
        <v>140</v>
      </c>
      <c r="AB211" t="s">
        <v>1616</v>
      </c>
      <c r="AC211" t="str">
        <f>HYPERLINK("plots/20251231112652_3FT6Y119H04_05543_B21P_N_UFLEX98_M5358A8BA201511/dpll_52046/txpa_54243.png","plot")</f>
        <v>plot</v>
      </c>
    </row>
    <row r="212" spans="1:29" x14ac:dyDescent="0.35">
      <c r="A212" t="s">
        <v>47</v>
      </c>
      <c r="B212">
        <v>52046</v>
      </c>
      <c r="C212" t="s">
        <v>51</v>
      </c>
      <c r="D212">
        <v>54244</v>
      </c>
      <c r="E212" t="s">
        <v>264</v>
      </c>
      <c r="F212">
        <v>7139</v>
      </c>
      <c r="G212">
        <v>0.36932489562711529</v>
      </c>
      <c r="H212">
        <v>1.372242153025059E-229</v>
      </c>
      <c r="I212">
        <v>1.599371888698172E-228</v>
      </c>
      <c r="J212">
        <v>0.40017624677399272</v>
      </c>
      <c r="K212">
        <v>7.9985917798977844E-273</v>
      </c>
      <c r="L212">
        <v>1.689702513503407E-271</v>
      </c>
      <c r="M212">
        <v>0.27782349897339381</v>
      </c>
      <c r="N212">
        <v>1.8714778398585361E-271</v>
      </c>
      <c r="O212">
        <v>4.1253881078620783E-270</v>
      </c>
      <c r="P212">
        <v>0.13640087852997959</v>
      </c>
      <c r="Q212">
        <v>0.81283981683674222</v>
      </c>
      <c r="R212">
        <v>9.5390301446353689</v>
      </c>
      <c r="S212">
        <v>0.23550953097661109</v>
      </c>
      <c r="T212">
        <v>0.16859410761660831</v>
      </c>
      <c r="U212">
        <v>4.4222873134892842</v>
      </c>
      <c r="V212">
        <v>0.1151559613407446</v>
      </c>
      <c r="W212">
        <v>13.13364135453145</v>
      </c>
      <c r="X212">
        <v>0.25344446483882682</v>
      </c>
      <c r="Z212" t="s">
        <v>392</v>
      </c>
      <c r="AA212">
        <v>140</v>
      </c>
      <c r="AB212" t="s">
        <v>1617</v>
      </c>
      <c r="AC212" t="str">
        <f>HYPERLINK("plots/20251231112652_3FT6Y119H04_05543_B21P_N_UFLEX98_M5358A8BA201511/dpll_52046/txpa_54244.png","plot")</f>
        <v>plot</v>
      </c>
    </row>
    <row r="213" spans="1:29" x14ac:dyDescent="0.35">
      <c r="A213" t="s">
        <v>47</v>
      </c>
      <c r="B213">
        <v>52046</v>
      </c>
      <c r="C213" t="s">
        <v>51</v>
      </c>
      <c r="D213">
        <v>54245</v>
      </c>
      <c r="E213" t="s">
        <v>265</v>
      </c>
      <c r="F213">
        <v>7139</v>
      </c>
      <c r="G213">
        <v>0.33156231671572223</v>
      </c>
      <c r="H213">
        <v>9.2901254829074039E-183</v>
      </c>
      <c r="I213">
        <v>3.488958236914114E-182</v>
      </c>
      <c r="J213">
        <v>0.35538021712543538</v>
      </c>
      <c r="K213">
        <v>1.5284203983127389E-211</v>
      </c>
      <c r="L213">
        <v>8.9584871901105015E-211</v>
      </c>
      <c r="M213">
        <v>0.24466673998362259</v>
      </c>
      <c r="N213">
        <v>5.2726338336517798E-211</v>
      </c>
      <c r="O213">
        <v>3.3415316920768147E-210</v>
      </c>
      <c r="P213">
        <v>0.1099335698658969</v>
      </c>
      <c r="Q213">
        <v>0.78752532353599281</v>
      </c>
      <c r="R213">
        <v>9.659762060141265</v>
      </c>
      <c r="S213">
        <v>0.25802784726541622</v>
      </c>
      <c r="T213">
        <v>0.18722352973081019</v>
      </c>
      <c r="U213">
        <v>4.4222873134892842</v>
      </c>
      <c r="V213">
        <v>0.1151559613407446</v>
      </c>
      <c r="W213">
        <v>13.142425307466031</v>
      </c>
      <c r="X213">
        <v>0.27351792148841592</v>
      </c>
      <c r="Z213" t="s">
        <v>392</v>
      </c>
      <c r="AA213">
        <v>140</v>
      </c>
      <c r="AB213" t="s">
        <v>1618</v>
      </c>
      <c r="AC213" t="str">
        <f>HYPERLINK("plots/20251231112652_3FT6Y119H04_05543_B21P_N_UFLEX98_M5358A8BA201511/dpll_52046/txpa_54245.png","plot")</f>
        <v>plot</v>
      </c>
    </row>
    <row r="214" spans="1:29" x14ac:dyDescent="0.35">
      <c r="A214" t="s">
        <v>47</v>
      </c>
      <c r="B214">
        <v>52046</v>
      </c>
      <c r="C214" t="s">
        <v>51</v>
      </c>
      <c r="D214">
        <v>54246</v>
      </c>
      <c r="E214" t="s">
        <v>266</v>
      </c>
      <c r="F214">
        <v>7139</v>
      </c>
      <c r="G214">
        <v>0.39787523919386042</v>
      </c>
      <c r="H214">
        <v>1.951436329273164E-269</v>
      </c>
      <c r="I214">
        <v>1.3191709585886591E-267</v>
      </c>
      <c r="J214">
        <v>0.4160208042935814</v>
      </c>
      <c r="K214">
        <v>6.8672986326017629E-297</v>
      </c>
      <c r="L214">
        <v>2.5790521531326621E-295</v>
      </c>
      <c r="M214">
        <v>0.2917844390964367</v>
      </c>
      <c r="N214">
        <v>3.374645875270428E-299</v>
      </c>
      <c r="O214">
        <v>1.26736700649045E-297</v>
      </c>
      <c r="P214">
        <v>0.1583047059635716</v>
      </c>
      <c r="Q214">
        <v>0.83255179747406227</v>
      </c>
      <c r="R214">
        <v>9.4546703243388652</v>
      </c>
      <c r="S214">
        <v>0.22105370871357399</v>
      </c>
      <c r="T214">
        <v>0.1590974949364013</v>
      </c>
      <c r="U214">
        <v>4.4222873134892842</v>
      </c>
      <c r="V214">
        <v>0.1151559613407446</v>
      </c>
      <c r="W214">
        <v>13.13645357613111</v>
      </c>
      <c r="X214">
        <v>0.240963229575031</v>
      </c>
      <c r="Z214" t="s">
        <v>392</v>
      </c>
      <c r="AA214">
        <v>140</v>
      </c>
      <c r="AB214" t="s">
        <v>1619</v>
      </c>
      <c r="AC214" t="str">
        <f>HYPERLINK("plots/20251231112652_3FT6Y119H04_05543_B21P_N_UFLEX98_M5358A8BA201511/dpll_52046/txpa_54246.png","plot")</f>
        <v>plot</v>
      </c>
    </row>
    <row r="215" spans="1:29" x14ac:dyDescent="0.35">
      <c r="A215" t="s">
        <v>47</v>
      </c>
      <c r="B215">
        <v>52046</v>
      </c>
      <c r="C215" t="s">
        <v>51</v>
      </c>
      <c r="D215">
        <v>54247</v>
      </c>
      <c r="E215" t="s">
        <v>267</v>
      </c>
      <c r="F215">
        <v>7139</v>
      </c>
      <c r="G215">
        <v>0.36419702222173062</v>
      </c>
      <c r="H215">
        <v>7.5666197647633143E-223</v>
      </c>
      <c r="I215">
        <v>6.8504932513125011E-222</v>
      </c>
      <c r="J215">
        <v>0.37118892300220308</v>
      </c>
      <c r="K215">
        <v>4.5307337479494571E-232</v>
      </c>
      <c r="L215">
        <v>4.1765127458370451E-231</v>
      </c>
      <c r="M215">
        <v>0.2561538823085317</v>
      </c>
      <c r="N215">
        <v>4.4286892722313193E-231</v>
      </c>
      <c r="O215">
        <v>4.3179720404255364E-230</v>
      </c>
      <c r="P215">
        <v>0.13263947099517581</v>
      </c>
      <c r="Q215">
        <v>0.7846349135734596</v>
      </c>
      <c r="R215">
        <v>9.7299913642730047</v>
      </c>
      <c r="S215">
        <v>0.23103994460536331</v>
      </c>
      <c r="T215">
        <v>0.16898926463837649</v>
      </c>
      <c r="U215">
        <v>4.4222873134892842</v>
      </c>
      <c r="V215">
        <v>0.1151559613407446</v>
      </c>
      <c r="W215">
        <v>13.19987238828968</v>
      </c>
      <c r="X215">
        <v>0.2480948010581305</v>
      </c>
      <c r="Z215" t="s">
        <v>392</v>
      </c>
      <c r="AA215">
        <v>140</v>
      </c>
      <c r="AB215" t="s">
        <v>1620</v>
      </c>
      <c r="AC215" t="str">
        <f>HYPERLINK("plots/20251231112652_3FT6Y119H04_05543_B21P_N_UFLEX98_M5358A8BA201511/dpll_52046/txpa_54247.png","plot")</f>
        <v>plot</v>
      </c>
    </row>
    <row r="216" spans="1:29" x14ac:dyDescent="0.35">
      <c r="A216" t="s">
        <v>47</v>
      </c>
      <c r="B216">
        <v>52046</v>
      </c>
      <c r="C216" t="s">
        <v>51</v>
      </c>
      <c r="D216">
        <v>54248</v>
      </c>
      <c r="E216" t="s">
        <v>268</v>
      </c>
      <c r="F216">
        <v>7139</v>
      </c>
      <c r="G216">
        <v>0.39984691222691282</v>
      </c>
      <c r="H216">
        <v>2.4517794202915288E-272</v>
      </c>
      <c r="I216">
        <v>1.912387947827393E-270</v>
      </c>
      <c r="J216">
        <v>0.41937117492095533</v>
      </c>
      <c r="K216">
        <v>3.7924481543445182E-302</v>
      </c>
      <c r="L216">
        <v>1.6023093452105591E-300</v>
      </c>
      <c r="M216">
        <v>0.2956016573314979</v>
      </c>
      <c r="N216">
        <v>5.0858683314670752E-307</v>
      </c>
      <c r="O216">
        <v>2.1487793700448389E-305</v>
      </c>
      <c r="P216">
        <v>0.1598775532173965</v>
      </c>
      <c r="Q216">
        <v>0.80359914745116656</v>
      </c>
      <c r="R216">
        <v>9.5955732158425029</v>
      </c>
      <c r="S216">
        <v>0.21211580088543391</v>
      </c>
      <c r="T216">
        <v>0.1505111224310646</v>
      </c>
      <c r="U216">
        <v>4.4222873134892842</v>
      </c>
      <c r="V216">
        <v>0.1151559613407446</v>
      </c>
      <c r="W216">
        <v>13.149319530746601</v>
      </c>
      <c r="X216">
        <v>0.23143665619912529</v>
      </c>
      <c r="Z216" t="s">
        <v>392</v>
      </c>
      <c r="AA216">
        <v>140</v>
      </c>
      <c r="AB216" t="s">
        <v>1621</v>
      </c>
      <c r="AC216" t="str">
        <f>HYPERLINK("plots/20251231112652_3FT6Y119H04_05543_B21P_N_UFLEX98_M5358A8BA201511/dpll_52046/txpa_54248.png","plot")</f>
        <v>plot</v>
      </c>
    </row>
    <row r="217" spans="1:29" x14ac:dyDescent="0.35">
      <c r="A217" t="s">
        <v>47</v>
      </c>
      <c r="B217">
        <v>52046</v>
      </c>
      <c r="C217" t="s">
        <v>51</v>
      </c>
      <c r="D217">
        <v>54249</v>
      </c>
      <c r="E217" t="s">
        <v>269</v>
      </c>
      <c r="F217">
        <v>7139</v>
      </c>
      <c r="G217">
        <v>0.35276265940636298</v>
      </c>
      <c r="H217">
        <v>2.9640959511523038E-208</v>
      </c>
      <c r="I217">
        <v>1.855304502758294E-207</v>
      </c>
      <c r="J217">
        <v>0.35774169989174859</v>
      </c>
      <c r="K217">
        <v>1.553683403245757E-214</v>
      </c>
      <c r="L217">
        <v>9.9711074107037846E-214</v>
      </c>
      <c r="M217">
        <v>0.24570531261330189</v>
      </c>
      <c r="N217">
        <v>8.8071027178731559E-213</v>
      </c>
      <c r="O217">
        <v>5.8368641541982879E-212</v>
      </c>
      <c r="P217">
        <v>0.12444149387144959</v>
      </c>
      <c r="Q217">
        <v>0.75306980697279025</v>
      </c>
      <c r="R217">
        <v>9.7976857737391416</v>
      </c>
      <c r="S217">
        <v>0.23001238411583061</v>
      </c>
      <c r="T217">
        <v>0.16960566096641741</v>
      </c>
      <c r="U217">
        <v>4.4222873134892842</v>
      </c>
      <c r="V217">
        <v>0.1151559613407446</v>
      </c>
      <c r="W217">
        <v>13.127976827286741</v>
      </c>
      <c r="X217">
        <v>0.2458323614085908</v>
      </c>
      <c r="Z217" t="s">
        <v>392</v>
      </c>
      <c r="AA217">
        <v>140</v>
      </c>
      <c r="AB217" t="s">
        <v>1622</v>
      </c>
      <c r="AC217" t="str">
        <f>HYPERLINK("plots/20251231112652_3FT6Y119H04_05543_B21P_N_UFLEX98_M5358A8BA201511/dpll_52046/txpa_54249.png","plot")</f>
        <v>plot</v>
      </c>
    </row>
    <row r="218" spans="1:29" x14ac:dyDescent="0.35">
      <c r="A218" t="s">
        <v>47</v>
      </c>
      <c r="B218">
        <v>52046</v>
      </c>
      <c r="C218" t="s">
        <v>51</v>
      </c>
      <c r="D218">
        <v>54250</v>
      </c>
      <c r="E218" t="s">
        <v>270</v>
      </c>
      <c r="F218">
        <v>7139</v>
      </c>
      <c r="G218">
        <v>0.28301325303122882</v>
      </c>
      <c r="H218">
        <v>1.3707457880539071E-131</v>
      </c>
      <c r="I218">
        <v>2.8658478950240449E-131</v>
      </c>
      <c r="J218">
        <v>0.23116756884486689</v>
      </c>
      <c r="K218">
        <v>3.1432675818271691E-87</v>
      </c>
      <c r="L218">
        <v>5.2422258683762331E-87</v>
      </c>
      <c r="M218">
        <v>0.15405615999777711</v>
      </c>
      <c r="N218">
        <v>7.4447866097320393E-85</v>
      </c>
      <c r="O218">
        <v>1.215622161395859E-84</v>
      </c>
      <c r="P218">
        <v>8.0096501391318312E-2</v>
      </c>
      <c r="Q218">
        <v>0.75312970676163593</v>
      </c>
      <c r="R218">
        <v>9.5680330550375512</v>
      </c>
      <c r="S218">
        <v>0.29389361204180148</v>
      </c>
      <c r="T218">
        <v>0.24142184845769529</v>
      </c>
      <c r="U218">
        <v>4.4222873134892842</v>
      </c>
      <c r="V218">
        <v>0.1151559613407446</v>
      </c>
      <c r="W218">
        <v>12.89858900266144</v>
      </c>
      <c r="X218">
        <v>0.3064428060082382</v>
      </c>
      <c r="Z218" t="s">
        <v>392</v>
      </c>
      <c r="AA218">
        <v>140</v>
      </c>
      <c r="AB218" t="s">
        <v>1623</v>
      </c>
      <c r="AC218" t="str">
        <f>HYPERLINK("plots/20251231112652_3FT6Y119H04_05543_B21P_N_UFLEX98_M5358A8BA201511/dpll_52046/txpa_54250.png","plot")</f>
        <v>plot</v>
      </c>
    </row>
    <row r="219" spans="1:29" x14ac:dyDescent="0.35">
      <c r="A219" t="s">
        <v>47</v>
      </c>
      <c r="B219">
        <v>52046</v>
      </c>
      <c r="C219" t="s">
        <v>51</v>
      </c>
      <c r="D219">
        <v>54251</v>
      </c>
      <c r="E219" t="s">
        <v>271</v>
      </c>
      <c r="F219">
        <v>7139</v>
      </c>
      <c r="G219">
        <v>0.274710827062495</v>
      </c>
      <c r="H219">
        <v>8.5370368500998026E-124</v>
      </c>
      <c r="I219">
        <v>1.6457329593158169E-123</v>
      </c>
      <c r="J219">
        <v>0.24151788342072281</v>
      </c>
      <c r="K219">
        <v>2.8016548471924309E-95</v>
      </c>
      <c r="L219">
        <v>4.9927557382304492E-95</v>
      </c>
      <c r="M219">
        <v>0.1607358534377942</v>
      </c>
      <c r="N219">
        <v>3.3362706908266109E-92</v>
      </c>
      <c r="O219">
        <v>5.8936907325752317E-92</v>
      </c>
      <c r="P219">
        <v>7.5466038505360031E-2</v>
      </c>
      <c r="Q219">
        <v>0.74628201079468226</v>
      </c>
      <c r="R219">
        <v>10.14307287260166</v>
      </c>
      <c r="S219">
        <v>0.30077700961813247</v>
      </c>
      <c r="T219">
        <v>0.24038191549930679</v>
      </c>
      <c r="U219">
        <v>4.4222873134892842</v>
      </c>
      <c r="V219">
        <v>0.1151559613407446</v>
      </c>
      <c r="W219">
        <v>13.44334634122426</v>
      </c>
      <c r="X219">
        <v>0.31283376524804751</v>
      </c>
      <c r="Z219" t="s">
        <v>392</v>
      </c>
      <c r="AA219">
        <v>140</v>
      </c>
      <c r="AB219" t="s">
        <v>1624</v>
      </c>
      <c r="AC219" t="str">
        <f>HYPERLINK("plots/20251231112652_3FT6Y119H04_05543_B21P_N_UFLEX98_M5358A8BA201511/dpll_52046/txpa_54251.png","plot")</f>
        <v>plot</v>
      </c>
    </row>
    <row r="220" spans="1:29" x14ac:dyDescent="0.35">
      <c r="A220" t="s">
        <v>47</v>
      </c>
      <c r="B220">
        <v>52046</v>
      </c>
      <c r="C220" t="s">
        <v>51</v>
      </c>
      <c r="D220">
        <v>54252</v>
      </c>
      <c r="E220" t="s">
        <v>272</v>
      </c>
      <c r="F220">
        <v>7137</v>
      </c>
      <c r="G220">
        <v>0.37013553837712621</v>
      </c>
      <c r="H220">
        <v>1.331771178487229E-230</v>
      </c>
      <c r="I220">
        <v>1.57025113370471E-229</v>
      </c>
      <c r="J220">
        <v>0.41172920561300708</v>
      </c>
      <c r="K220">
        <v>3.6762909663217839E-290</v>
      </c>
      <c r="L220">
        <v>1.202502916080738E-288</v>
      </c>
      <c r="M220">
        <v>0.28861594811751928</v>
      </c>
      <c r="N220">
        <v>1.0603632049954161E-292</v>
      </c>
      <c r="O220">
        <v>3.4684138382753297E-291</v>
      </c>
      <c r="P220">
        <v>0.1370003167697251</v>
      </c>
      <c r="Q220">
        <v>0.83244767032053513</v>
      </c>
      <c r="R220">
        <v>9.8968169933432755</v>
      </c>
      <c r="S220">
        <v>0.24057119174023031</v>
      </c>
      <c r="T220">
        <v>0.16927892472316189</v>
      </c>
      <c r="U220">
        <v>4.4222524462659374</v>
      </c>
      <c r="V220">
        <v>0.1151522882781099</v>
      </c>
      <c r="W220">
        <v>13.57811073980664</v>
      </c>
      <c r="X220">
        <v>0.258981492372998</v>
      </c>
      <c r="Z220" t="s">
        <v>392</v>
      </c>
      <c r="AA220">
        <v>140</v>
      </c>
      <c r="AB220" t="s">
        <v>1625</v>
      </c>
      <c r="AC220" t="str">
        <f>HYPERLINK("plots/20251231112652_3FT6Y119H04_05543_B21P_N_UFLEX98_M5358A8BA201511/dpll_52046/txpa_54252.png","plot")</f>
        <v>plot</v>
      </c>
    </row>
    <row r="221" spans="1:29" x14ac:dyDescent="0.35">
      <c r="A221" t="s">
        <v>47</v>
      </c>
      <c r="B221">
        <v>52046</v>
      </c>
      <c r="C221" t="s">
        <v>51</v>
      </c>
      <c r="D221">
        <v>54253</v>
      </c>
      <c r="E221" t="s">
        <v>273</v>
      </c>
      <c r="F221">
        <v>7138</v>
      </c>
      <c r="G221">
        <v>0.32652159616690341</v>
      </c>
      <c r="H221">
        <v>5.8124164310348612E-177</v>
      </c>
      <c r="I221">
        <v>2.0115325123103579E-176</v>
      </c>
      <c r="J221">
        <v>0.35565987608580341</v>
      </c>
      <c r="K221">
        <v>7.2533871029250317E-212</v>
      </c>
      <c r="L221">
        <v>4.3264320719799894E-211</v>
      </c>
      <c r="M221">
        <v>0.24550814818480771</v>
      </c>
      <c r="N221">
        <v>2.0513100327562429E-212</v>
      </c>
      <c r="O221">
        <v>1.3333515212915579E-211</v>
      </c>
      <c r="P221">
        <v>0.1066163527633824</v>
      </c>
      <c r="Q221">
        <v>0.81648746359090074</v>
      </c>
      <c r="R221">
        <v>9.915688406994601</v>
      </c>
      <c r="S221">
        <v>0.27215842136713558</v>
      </c>
      <c r="T221">
        <v>0.19643917465259009</v>
      </c>
      <c r="U221">
        <v>4.4222738289436814</v>
      </c>
      <c r="V221">
        <v>0.11515839176462229</v>
      </c>
      <c r="W221">
        <v>13.52641954889325</v>
      </c>
      <c r="X221">
        <v>0.28796068715480061</v>
      </c>
      <c r="Z221" t="s">
        <v>392</v>
      </c>
      <c r="AA221">
        <v>140</v>
      </c>
      <c r="AB221" t="s">
        <v>1626</v>
      </c>
      <c r="AC221" t="str">
        <f>HYPERLINK("plots/20251231112652_3FT6Y119H04_05543_B21P_N_UFLEX98_M5358A8BA201511/dpll_52046/txpa_54253.png","plot")</f>
        <v>plot</v>
      </c>
    </row>
    <row r="222" spans="1:29" x14ac:dyDescent="0.35">
      <c r="A222" t="s">
        <v>47</v>
      </c>
      <c r="B222">
        <v>52046</v>
      </c>
      <c r="C222" t="s">
        <v>51</v>
      </c>
      <c r="D222">
        <v>54254</v>
      </c>
      <c r="E222" t="s">
        <v>274</v>
      </c>
      <c r="F222">
        <v>7138</v>
      </c>
      <c r="G222">
        <v>0.39599278981748348</v>
      </c>
      <c r="H222">
        <v>1.198525656186107E-266</v>
      </c>
      <c r="I222">
        <v>6.7516945298484028E-265</v>
      </c>
      <c r="J222">
        <v>0.42781905404135318</v>
      </c>
      <c r="K222">
        <v>0</v>
      </c>
      <c r="L222">
        <v>0</v>
      </c>
      <c r="M222">
        <v>0.30327783656184221</v>
      </c>
      <c r="N222">
        <v>0</v>
      </c>
      <c r="O222">
        <v>0</v>
      </c>
      <c r="P222">
        <v>0.15681028958743359</v>
      </c>
      <c r="Q222">
        <v>0.84652327174575848</v>
      </c>
      <c r="R222">
        <v>9.839016110839264</v>
      </c>
      <c r="S222">
        <v>0.22602020583059179</v>
      </c>
      <c r="T222">
        <v>0.15899849310356731</v>
      </c>
      <c r="U222">
        <v>4.4222659356962737</v>
      </c>
      <c r="V222">
        <v>0.1151498607446003</v>
      </c>
      <c r="W222">
        <v>13.582567139254691</v>
      </c>
      <c r="X222">
        <v>0.24615861542205231</v>
      </c>
      <c r="Z222" t="s">
        <v>392</v>
      </c>
      <c r="AA222">
        <v>140</v>
      </c>
      <c r="AB222" t="s">
        <v>1627</v>
      </c>
      <c r="AC222" t="str">
        <f>HYPERLINK("plots/20251231112652_3FT6Y119H04_05543_B21P_N_UFLEX98_M5358A8BA201511/dpll_52046/txpa_54254.png","plot")</f>
        <v>plot</v>
      </c>
    </row>
    <row r="223" spans="1:29" x14ac:dyDescent="0.35">
      <c r="A223" t="s">
        <v>47</v>
      </c>
      <c r="B223">
        <v>52046</v>
      </c>
      <c r="C223" t="s">
        <v>51</v>
      </c>
      <c r="D223">
        <v>54255</v>
      </c>
      <c r="E223" t="s">
        <v>275</v>
      </c>
      <c r="F223">
        <v>7139</v>
      </c>
      <c r="G223">
        <v>0.36148724502611812</v>
      </c>
      <c r="H223">
        <v>2.4646548556111341E-219</v>
      </c>
      <c r="I223">
        <v>2.0654215070989169E-218</v>
      </c>
      <c r="J223">
        <v>0.38339457938123978</v>
      </c>
      <c r="K223">
        <v>9.9633407395237201E-249</v>
      </c>
      <c r="L223">
        <v>1.2952342961380841E-247</v>
      </c>
      <c r="M223">
        <v>0.26699748964696002</v>
      </c>
      <c r="N223">
        <v>7.1128037436406488E-251</v>
      </c>
      <c r="O223">
        <v>1.015828590993186E-249</v>
      </c>
      <c r="P223">
        <v>0.13067302831657279</v>
      </c>
      <c r="Q223">
        <v>0.80846038772901319</v>
      </c>
      <c r="R223">
        <v>10.03584152613417</v>
      </c>
      <c r="S223">
        <v>0.24011171560340319</v>
      </c>
      <c r="T223">
        <v>0.172432849335869</v>
      </c>
      <c r="U223">
        <v>4.4222873134892842</v>
      </c>
      <c r="V223">
        <v>0.1151559613407446</v>
      </c>
      <c r="W223">
        <v>13.61108564224681</v>
      </c>
      <c r="X223">
        <v>0.25754444848564167</v>
      </c>
      <c r="Z223" t="s">
        <v>392</v>
      </c>
      <c r="AA223">
        <v>140</v>
      </c>
      <c r="AB223" t="s">
        <v>1628</v>
      </c>
      <c r="AC223" t="str">
        <f>HYPERLINK("plots/20251231112652_3FT6Y119H04_05543_B21P_N_UFLEX98_M5358A8BA201511/dpll_52046/txpa_54255.png","plot")</f>
        <v>plot</v>
      </c>
    </row>
    <row r="224" spans="1:29" x14ac:dyDescent="0.35">
      <c r="A224" t="s">
        <v>47</v>
      </c>
      <c r="B224">
        <v>52046</v>
      </c>
      <c r="C224" t="s">
        <v>51</v>
      </c>
      <c r="D224">
        <v>54256</v>
      </c>
      <c r="E224" t="s">
        <v>276</v>
      </c>
      <c r="F224">
        <v>7139</v>
      </c>
      <c r="G224">
        <v>0.38818064372259731</v>
      </c>
      <c r="H224">
        <v>1.8587507959549549E-255</v>
      </c>
      <c r="I224">
        <v>4.5970080660934727E-254</v>
      </c>
      <c r="J224">
        <v>0.42206438329002172</v>
      </c>
      <c r="K224">
        <v>2.0358093644169931E-306</v>
      </c>
      <c r="L224">
        <v>1.2901941846992691E-304</v>
      </c>
      <c r="M224">
        <v>0.2998108045746487</v>
      </c>
      <c r="N224">
        <v>0</v>
      </c>
      <c r="O224">
        <v>0</v>
      </c>
      <c r="P224">
        <v>0.15068421216089001</v>
      </c>
      <c r="Q224">
        <v>0.82108387436471764</v>
      </c>
      <c r="R224">
        <v>9.941045681506786</v>
      </c>
      <c r="S224">
        <v>0.22446273569992409</v>
      </c>
      <c r="T224">
        <v>0.157429931379854</v>
      </c>
      <c r="U224">
        <v>4.4222873134892842</v>
      </c>
      <c r="V224">
        <v>0.1151559613407446</v>
      </c>
      <c r="W224">
        <v>13.57211448242051</v>
      </c>
      <c r="X224">
        <v>0.24357912848797719</v>
      </c>
      <c r="Z224" t="s">
        <v>392</v>
      </c>
      <c r="AA224">
        <v>140</v>
      </c>
      <c r="AB224" t="s">
        <v>1629</v>
      </c>
      <c r="AC224" t="str">
        <f>HYPERLINK("plots/20251231112652_3FT6Y119H04_05543_B21P_N_UFLEX98_M5358A8BA201511/dpll_52046/txpa_54256.png","plot")</f>
        <v>plot</v>
      </c>
    </row>
    <row r="225" spans="1:29" x14ac:dyDescent="0.35">
      <c r="A225" t="s">
        <v>47</v>
      </c>
      <c r="B225">
        <v>52046</v>
      </c>
      <c r="C225" t="s">
        <v>51</v>
      </c>
      <c r="D225">
        <v>54257</v>
      </c>
      <c r="E225" t="s">
        <v>277</v>
      </c>
      <c r="F225">
        <v>7139</v>
      </c>
      <c r="G225">
        <v>0.34751236655193202</v>
      </c>
      <c r="H225">
        <v>9.388714926239285E-202</v>
      </c>
      <c r="I225">
        <v>5.1183639436594808E-201</v>
      </c>
      <c r="J225">
        <v>0.36318358444358889</v>
      </c>
      <c r="K225">
        <v>1.572829835155405E-221</v>
      </c>
      <c r="L225">
        <v>1.172683421211456E-220</v>
      </c>
      <c r="M225">
        <v>0.25049579167119213</v>
      </c>
      <c r="N225">
        <v>4.4625673208307655E-221</v>
      </c>
      <c r="O225">
        <v>3.6788969620507287E-220</v>
      </c>
      <c r="P225">
        <v>0.1207648449065243</v>
      </c>
      <c r="Q225">
        <v>0.78369008839865151</v>
      </c>
      <c r="R225">
        <v>10.058920142921769</v>
      </c>
      <c r="S225">
        <v>0.2434908346937841</v>
      </c>
      <c r="T225">
        <v>0.17749442121696921</v>
      </c>
      <c r="U225">
        <v>4.4222873134892842</v>
      </c>
      <c r="V225">
        <v>0.1151559613407446</v>
      </c>
      <c r="W225">
        <v>13.524622878554419</v>
      </c>
      <c r="X225">
        <v>0.25969316262957648</v>
      </c>
      <c r="Z225" t="s">
        <v>392</v>
      </c>
      <c r="AA225">
        <v>140</v>
      </c>
      <c r="AB225" t="s">
        <v>1630</v>
      </c>
      <c r="AC225" t="str">
        <f>HYPERLINK("plots/20251231112652_3FT6Y119H04_05543_B21P_N_UFLEX98_M5358A8BA201511/dpll_52046/txpa_54257.png","plot")</f>
        <v>plot</v>
      </c>
    </row>
    <row r="226" spans="1:29" x14ac:dyDescent="0.35">
      <c r="A226" t="s">
        <v>47</v>
      </c>
      <c r="B226">
        <v>52046</v>
      </c>
      <c r="C226" t="s">
        <v>51</v>
      </c>
      <c r="D226">
        <v>54258</v>
      </c>
      <c r="E226" t="s">
        <v>278</v>
      </c>
      <c r="F226">
        <v>7139</v>
      </c>
      <c r="G226">
        <v>0.2966846408367812</v>
      </c>
      <c r="H226">
        <v>5.0911919504819517E-145</v>
      </c>
      <c r="I226">
        <v>1.226239581422494E-144</v>
      </c>
      <c r="J226">
        <v>0.2464282481130374</v>
      </c>
      <c r="K226">
        <v>3.0932262433399742E-99</v>
      </c>
      <c r="L226">
        <v>5.776300940601719E-99</v>
      </c>
      <c r="M226">
        <v>0.16425902536937531</v>
      </c>
      <c r="N226">
        <v>3.3265565561193872E-96</v>
      </c>
      <c r="O226">
        <v>6.1665966140860303E-96</v>
      </c>
      <c r="P226">
        <v>8.8021776108449856E-2</v>
      </c>
      <c r="Q226">
        <v>0.75693317012623129</v>
      </c>
      <c r="R226">
        <v>10.05203655754854</v>
      </c>
      <c r="S226">
        <v>0.28055028466568582</v>
      </c>
      <c r="T226">
        <v>0.22858648887333041</v>
      </c>
      <c r="U226">
        <v>4.4222873134892842</v>
      </c>
      <c r="V226">
        <v>0.1151559613407446</v>
      </c>
      <c r="W226">
        <v>13.399412512956999</v>
      </c>
      <c r="X226">
        <v>0.29379804303565871</v>
      </c>
      <c r="Z226" t="s">
        <v>392</v>
      </c>
      <c r="AA226">
        <v>140</v>
      </c>
      <c r="AB226" t="s">
        <v>1631</v>
      </c>
      <c r="AC226" t="str">
        <f>HYPERLINK("plots/20251231112652_3FT6Y119H04_05543_B21P_N_UFLEX98_M5358A8BA201511/dpll_52046/txpa_54258.png","plot")</f>
        <v>plot</v>
      </c>
    </row>
    <row r="227" spans="1:29" x14ac:dyDescent="0.35">
      <c r="A227" t="s">
        <v>47</v>
      </c>
      <c r="B227">
        <v>52046</v>
      </c>
      <c r="C227" t="s">
        <v>51</v>
      </c>
      <c r="D227">
        <v>55146</v>
      </c>
      <c r="E227" t="s">
        <v>279</v>
      </c>
      <c r="F227">
        <v>7139</v>
      </c>
      <c r="G227">
        <v>-1.059579263859883E-2</v>
      </c>
      <c r="H227">
        <v>0.37071521486812098</v>
      </c>
      <c r="I227">
        <v>0.37218339393690558</v>
      </c>
      <c r="J227">
        <v>-5.242599155699976E-3</v>
      </c>
      <c r="K227">
        <v>0.65784795751322767</v>
      </c>
      <c r="L227">
        <v>0.6598000286037714</v>
      </c>
      <c r="M227">
        <v>-3.417073187079493E-3</v>
      </c>
      <c r="N227">
        <v>0.66504350896754072</v>
      </c>
      <c r="O227">
        <v>0.6670169318428153</v>
      </c>
      <c r="P227">
        <v>1.122708216401851E-4</v>
      </c>
      <c r="Q227">
        <v>-0.41740862866749379</v>
      </c>
      <c r="R227">
        <v>-9.5807866683805791</v>
      </c>
      <c r="S227">
        <v>4.5358595397667871</v>
      </c>
      <c r="T227">
        <v>3.4563467489539121</v>
      </c>
      <c r="U227">
        <v>4.4222873134892842</v>
      </c>
      <c r="V227">
        <v>0.1151559613407446</v>
      </c>
      <c r="W227">
        <v>-11.4266875514778</v>
      </c>
      <c r="X227">
        <v>4.5364319164784517</v>
      </c>
      <c r="Z227" t="s">
        <v>392</v>
      </c>
      <c r="AA227">
        <v>140</v>
      </c>
      <c r="AB227" t="s">
        <v>1632</v>
      </c>
      <c r="AC227" t="str">
        <f>HYPERLINK("plots/20251231112652_3FT6Y119H04_05543_B21P_N_UFLEX98_M5358A8BA201511/dpll_52046/txpa_55146.png","plot")</f>
        <v>plot</v>
      </c>
    </row>
    <row r="228" spans="1:29" x14ac:dyDescent="0.35">
      <c r="A228" t="s">
        <v>47</v>
      </c>
      <c r="B228">
        <v>52046</v>
      </c>
      <c r="C228" t="s">
        <v>51</v>
      </c>
      <c r="D228">
        <v>55147</v>
      </c>
      <c r="E228" t="s">
        <v>280</v>
      </c>
      <c r="F228">
        <v>7138</v>
      </c>
      <c r="G228">
        <v>0.1212105187307502</v>
      </c>
      <c r="H228">
        <v>8.9662810611144261E-25</v>
      </c>
      <c r="I228">
        <v>9.2868324780081996E-25</v>
      </c>
      <c r="J228">
        <v>0.1115329408816957</v>
      </c>
      <c r="K228">
        <v>3.3593860661971E-21</v>
      </c>
      <c r="L228">
        <v>3.4937615088449842E-21</v>
      </c>
      <c r="M228">
        <v>7.4161058685015838E-2</v>
      </c>
      <c r="N228">
        <v>5.8554755761978157E-21</v>
      </c>
      <c r="O228">
        <v>6.0959468524277053E-21</v>
      </c>
      <c r="P228">
        <v>1.4691989850977539E-2</v>
      </c>
      <c r="Q228">
        <v>0.85784998746840058</v>
      </c>
      <c r="R228">
        <v>-22.842781423833991</v>
      </c>
      <c r="S228">
        <v>0.80899054535582182</v>
      </c>
      <c r="T228">
        <v>0.62771452013001205</v>
      </c>
      <c r="U228">
        <v>4.4222877789296717</v>
      </c>
      <c r="V228">
        <v>0.1151640218753215</v>
      </c>
      <c r="W228">
        <v>-19.049121908097511</v>
      </c>
      <c r="X228">
        <v>0.81505677689581602</v>
      </c>
      <c r="Z228" t="s">
        <v>392</v>
      </c>
      <c r="AA228">
        <v>140</v>
      </c>
      <c r="AB228" t="s">
        <v>1633</v>
      </c>
      <c r="AC228" t="str">
        <f>HYPERLINK("plots/20251231112652_3FT6Y119H04_05543_B21P_N_UFLEX98_M5358A8BA201511/dpll_52046/txpa_55147.png","plot")</f>
        <v>plot</v>
      </c>
    </row>
    <row r="229" spans="1:29" x14ac:dyDescent="0.35">
      <c r="A229" t="s">
        <v>47</v>
      </c>
      <c r="B229">
        <v>52046</v>
      </c>
      <c r="C229" t="s">
        <v>51</v>
      </c>
      <c r="D229">
        <v>55148</v>
      </c>
      <c r="E229" t="s">
        <v>281</v>
      </c>
      <c r="F229">
        <v>7139</v>
      </c>
      <c r="G229">
        <v>0.11691384333565211</v>
      </c>
      <c r="H229">
        <v>3.7428487770664931E-23</v>
      </c>
      <c r="I229">
        <v>3.8530443248176888E-23</v>
      </c>
      <c r="J229">
        <v>0.114145427477182</v>
      </c>
      <c r="K229">
        <v>3.873995303871294E-22</v>
      </c>
      <c r="L229">
        <v>4.0664919649332221E-22</v>
      </c>
      <c r="M229">
        <v>7.6140753977710376E-2</v>
      </c>
      <c r="N229">
        <v>5.2498527829291936E-22</v>
      </c>
      <c r="O229">
        <v>5.5107150330126321E-22</v>
      </c>
      <c r="P229">
        <v>1.36688467635134E-2</v>
      </c>
      <c r="Q229">
        <v>0.81948324614085033</v>
      </c>
      <c r="R229">
        <v>-23.215638909040539</v>
      </c>
      <c r="S229">
        <v>0.80157012612325695</v>
      </c>
      <c r="T229">
        <v>0.59998483557528848</v>
      </c>
      <c r="U229">
        <v>4.4222873134892842</v>
      </c>
      <c r="V229">
        <v>0.1151559613407446</v>
      </c>
      <c r="W229">
        <v>-19.591648546014849</v>
      </c>
      <c r="X229">
        <v>0.80716173824735304</v>
      </c>
      <c r="Z229" t="s">
        <v>392</v>
      </c>
      <c r="AA229">
        <v>140</v>
      </c>
      <c r="AB229" t="s">
        <v>1634</v>
      </c>
      <c r="AC229" t="str">
        <f>HYPERLINK("plots/20251231112652_3FT6Y119H04_05543_B21P_N_UFLEX98_M5358A8BA201511/dpll_52046/txpa_55148.png","plot")</f>
        <v>plot</v>
      </c>
    </row>
    <row r="230" spans="1:29" x14ac:dyDescent="0.35">
      <c r="A230" t="s">
        <v>47</v>
      </c>
      <c r="B230">
        <v>52046</v>
      </c>
      <c r="C230" t="s">
        <v>51</v>
      </c>
      <c r="D230">
        <v>55149</v>
      </c>
      <c r="E230" t="s">
        <v>282</v>
      </c>
      <c r="F230">
        <v>7139</v>
      </c>
      <c r="G230">
        <v>0.12872076172720051</v>
      </c>
      <c r="H230">
        <v>9.3006141274836693E-28</v>
      </c>
      <c r="I230">
        <v>9.7425854599880568E-28</v>
      </c>
      <c r="J230">
        <v>0.1107985467932746</v>
      </c>
      <c r="K230">
        <v>6.0608291679382633E-21</v>
      </c>
      <c r="L230">
        <v>6.2839271741200394E-21</v>
      </c>
      <c r="M230">
        <v>7.3377119747769545E-2</v>
      </c>
      <c r="N230">
        <v>1.486604042902534E-20</v>
      </c>
      <c r="O230">
        <v>1.5393982927637041E-20</v>
      </c>
      <c r="P230">
        <v>1.6569034499630719E-2</v>
      </c>
      <c r="Q230">
        <v>0.89473508200355811</v>
      </c>
      <c r="R230">
        <v>-23.054937260573709</v>
      </c>
      <c r="S230">
        <v>0.79373185539138924</v>
      </c>
      <c r="T230">
        <v>0.61982043911563023</v>
      </c>
      <c r="U230">
        <v>4.4222873134892842</v>
      </c>
      <c r="V230">
        <v>0.1151559613407446</v>
      </c>
      <c r="W230">
        <v>-19.098161658495581</v>
      </c>
      <c r="X230">
        <v>0.80044646357649074</v>
      </c>
      <c r="Z230" t="s">
        <v>392</v>
      </c>
      <c r="AA230">
        <v>140</v>
      </c>
      <c r="AB230" t="s">
        <v>1635</v>
      </c>
      <c r="AC230" t="str">
        <f>HYPERLINK("plots/20251231112652_3FT6Y119H04_05543_B21P_N_UFLEX98_M5358A8BA201511/dpll_52046/txpa_55149.png","plot")</f>
        <v>plot</v>
      </c>
    </row>
    <row r="231" spans="1:29" x14ac:dyDescent="0.35">
      <c r="A231" t="s">
        <v>47</v>
      </c>
      <c r="B231">
        <v>52046</v>
      </c>
      <c r="C231" t="s">
        <v>51</v>
      </c>
      <c r="D231">
        <v>55150</v>
      </c>
      <c r="E231" t="s">
        <v>283</v>
      </c>
      <c r="F231">
        <v>7129</v>
      </c>
      <c r="G231">
        <v>0.151259368506483</v>
      </c>
      <c r="H231">
        <v>9.4078883560616743E-38</v>
      </c>
      <c r="I231">
        <v>1.044862956522074E-37</v>
      </c>
      <c r="J231">
        <v>0.14235737151878769</v>
      </c>
      <c r="K231">
        <v>1.3607914686126391E-33</v>
      </c>
      <c r="L231">
        <v>1.534863792183777E-33</v>
      </c>
      <c r="M231">
        <v>9.4863807843877199E-2</v>
      </c>
      <c r="N231">
        <v>3.2837395180771063E-33</v>
      </c>
      <c r="O231">
        <v>3.7037951850168919E-33</v>
      </c>
      <c r="P231">
        <v>2.2879396560980009E-2</v>
      </c>
      <c r="Q231">
        <v>0.98442058273976696</v>
      </c>
      <c r="R231">
        <v>-23.556056870582079</v>
      </c>
      <c r="S231">
        <v>0.74104325964010831</v>
      </c>
      <c r="T231">
        <v>0.57067469356123712</v>
      </c>
      <c r="U231">
        <v>4.4222765762379019</v>
      </c>
      <c r="V231">
        <v>0.1151970970747206</v>
      </c>
      <c r="W231">
        <v>-19.202676786365551</v>
      </c>
      <c r="X231">
        <v>0.74972145231034404</v>
      </c>
      <c r="Z231" t="s">
        <v>392</v>
      </c>
      <c r="AA231">
        <v>140</v>
      </c>
      <c r="AB231" t="s">
        <v>1636</v>
      </c>
      <c r="AC231" t="str">
        <f>HYPERLINK("plots/20251231112652_3FT6Y119H04_05543_B21P_N_UFLEX98_M5358A8BA201511/dpll_52046/txpa_55150.png","plot")</f>
        <v>plot</v>
      </c>
    </row>
    <row r="232" spans="1:29" x14ac:dyDescent="0.35">
      <c r="A232" t="s">
        <v>47</v>
      </c>
      <c r="B232">
        <v>52046</v>
      </c>
      <c r="C232" t="s">
        <v>51</v>
      </c>
      <c r="D232">
        <v>55151</v>
      </c>
      <c r="E232" t="s">
        <v>284</v>
      </c>
      <c r="F232">
        <v>7139</v>
      </c>
      <c r="G232">
        <v>0.15242611634310629</v>
      </c>
      <c r="H232">
        <v>2.277979775698011E-38</v>
      </c>
      <c r="I232">
        <v>2.5411127530888712E-38</v>
      </c>
      <c r="J232">
        <v>0.13477950232692451</v>
      </c>
      <c r="K232">
        <v>2.6972723338202452E-30</v>
      </c>
      <c r="L232">
        <v>2.953600590166013E-30</v>
      </c>
      <c r="M232">
        <v>8.9838756540499026E-2</v>
      </c>
      <c r="N232">
        <v>5.3287835851182141E-30</v>
      </c>
      <c r="O232">
        <v>5.8478209473050527E-30</v>
      </c>
      <c r="P232">
        <v>2.3233720943442188E-2</v>
      </c>
      <c r="Q232">
        <v>1.1465241576441749</v>
      </c>
      <c r="R232">
        <v>-24.364922898536079</v>
      </c>
      <c r="S232">
        <v>0.85600275132702219</v>
      </c>
      <c r="T232">
        <v>0.64913197345788087</v>
      </c>
      <c r="U232">
        <v>4.4222873134892842</v>
      </c>
      <c r="V232">
        <v>0.1151559613407446</v>
      </c>
      <c r="W232">
        <v>-19.29466366157725</v>
      </c>
      <c r="X232">
        <v>0.86618418642058082</v>
      </c>
      <c r="Z232" t="s">
        <v>392</v>
      </c>
      <c r="AA232">
        <v>140</v>
      </c>
      <c r="AB232" t="s">
        <v>1637</v>
      </c>
      <c r="AC232" t="str">
        <f>HYPERLINK("plots/20251231112652_3FT6Y119H04_05543_B21P_N_UFLEX98_M5358A8BA201511/dpll_52046/txpa_55151.png","plot")</f>
        <v>plot</v>
      </c>
    </row>
    <row r="233" spans="1:29" x14ac:dyDescent="0.35">
      <c r="A233" t="s">
        <v>47</v>
      </c>
      <c r="B233">
        <v>52046</v>
      </c>
      <c r="C233" t="s">
        <v>51</v>
      </c>
      <c r="D233">
        <v>55152</v>
      </c>
      <c r="E233" t="s">
        <v>285</v>
      </c>
      <c r="F233">
        <v>7121</v>
      </c>
      <c r="G233">
        <v>0.15011753429416391</v>
      </c>
      <c r="H233">
        <v>3.6435195564826371E-37</v>
      </c>
      <c r="I233">
        <v>4.0377364265282992E-37</v>
      </c>
      <c r="J233">
        <v>0.1381237232231938</v>
      </c>
      <c r="K233">
        <v>1.135070362825246E-31</v>
      </c>
      <c r="L233">
        <v>1.262019021825438E-31</v>
      </c>
      <c r="M233">
        <v>9.1671902035186437E-2</v>
      </c>
      <c r="N233">
        <v>4.3268321190090722E-31</v>
      </c>
      <c r="O233">
        <v>4.8054849602138E-31</v>
      </c>
      <c r="P233">
        <v>2.2535274102559479E-2</v>
      </c>
      <c r="Q233">
        <v>0.94823060027300288</v>
      </c>
      <c r="R233">
        <v>-23.38531397963332</v>
      </c>
      <c r="S233">
        <v>0.71958350018983519</v>
      </c>
      <c r="T233">
        <v>0.55052108141216405</v>
      </c>
      <c r="U233">
        <v>4.422369790759725</v>
      </c>
      <c r="V233">
        <v>0.1152334599093648</v>
      </c>
      <c r="W233">
        <v>-19.191887618312041</v>
      </c>
      <c r="X233">
        <v>0.72788227821058715</v>
      </c>
      <c r="Z233" t="s">
        <v>392</v>
      </c>
      <c r="AA233">
        <v>140</v>
      </c>
      <c r="AB233" t="s">
        <v>1638</v>
      </c>
      <c r="AC233" t="str">
        <f>HYPERLINK("plots/20251231112652_3FT6Y119H04_05543_B21P_N_UFLEX98_M5358A8BA201511/dpll_52046/txpa_55152.png","plot")</f>
        <v>plot</v>
      </c>
    </row>
    <row r="234" spans="1:29" x14ac:dyDescent="0.35">
      <c r="A234" t="s">
        <v>47</v>
      </c>
      <c r="B234">
        <v>52046</v>
      </c>
      <c r="C234" t="s">
        <v>51</v>
      </c>
      <c r="D234">
        <v>55153</v>
      </c>
      <c r="E234" t="s">
        <v>286</v>
      </c>
      <c r="F234">
        <v>7139</v>
      </c>
      <c r="G234">
        <v>0.13685325186290839</v>
      </c>
      <c r="H234">
        <v>3.4276422590462478E-31</v>
      </c>
      <c r="I234">
        <v>3.6508710616311932E-31</v>
      </c>
      <c r="J234">
        <v>0.1240060636661022</v>
      </c>
      <c r="K234">
        <v>7.261561975049136E-26</v>
      </c>
      <c r="L234">
        <v>7.6940688011492415E-26</v>
      </c>
      <c r="M234">
        <v>8.2520494045497897E-2</v>
      </c>
      <c r="N234">
        <v>1.4419626241523109E-25</v>
      </c>
      <c r="O234">
        <v>1.527847545340066E-25</v>
      </c>
      <c r="P234">
        <v>1.8728812545452649E-2</v>
      </c>
      <c r="Q234">
        <v>0.93633473056238858</v>
      </c>
      <c r="R234">
        <v>-23.544546721927219</v>
      </c>
      <c r="S234">
        <v>0.78041667575699691</v>
      </c>
      <c r="T234">
        <v>0.59342432001866052</v>
      </c>
      <c r="U234">
        <v>4.4222873134892842</v>
      </c>
      <c r="V234">
        <v>0.1151559613407446</v>
      </c>
      <c r="W234">
        <v>-19.403805521781759</v>
      </c>
      <c r="X234">
        <v>0.78788428164389746</v>
      </c>
      <c r="Z234" t="s">
        <v>392</v>
      </c>
      <c r="AA234">
        <v>140</v>
      </c>
      <c r="AB234" t="s">
        <v>1639</v>
      </c>
      <c r="AC234" t="str">
        <f>HYPERLINK("plots/20251231112652_3FT6Y119H04_05543_B21P_N_UFLEX98_M5358A8BA201511/dpll_52046/txpa_55153.png","plot")</f>
        <v>plot</v>
      </c>
    </row>
    <row r="235" spans="1:29" x14ac:dyDescent="0.35">
      <c r="A235" t="s">
        <v>47</v>
      </c>
      <c r="B235">
        <v>52046</v>
      </c>
      <c r="C235" t="s">
        <v>51</v>
      </c>
      <c r="D235">
        <v>55154</v>
      </c>
      <c r="E235" t="s">
        <v>287</v>
      </c>
      <c r="F235">
        <v>7136</v>
      </c>
      <c r="G235">
        <v>0.12530938671778041</v>
      </c>
      <c r="H235">
        <v>2.2669163664934891E-26</v>
      </c>
      <c r="I235">
        <v>2.3624390499736869E-26</v>
      </c>
      <c r="J235">
        <v>0.1170905557662993</v>
      </c>
      <c r="K235">
        <v>3.2859933919638248E-23</v>
      </c>
      <c r="L235">
        <v>3.4672188339763978E-23</v>
      </c>
      <c r="M235">
        <v>7.8329755278198993E-2</v>
      </c>
      <c r="N235">
        <v>3.4422733466880652E-23</v>
      </c>
      <c r="O235">
        <v>3.6321177664325681E-23</v>
      </c>
      <c r="P235">
        <v>1.5702442399586229E-2</v>
      </c>
      <c r="Q235">
        <v>0.83926590503793153</v>
      </c>
      <c r="R235">
        <v>-22.69500194600052</v>
      </c>
      <c r="S235">
        <v>0.76512278574739812</v>
      </c>
      <c r="T235">
        <v>0.58873887141540349</v>
      </c>
      <c r="U235">
        <v>4.4222787528026908</v>
      </c>
      <c r="V235">
        <v>0.1151548908499701</v>
      </c>
      <c r="W235">
        <v>-18.983534166199551</v>
      </c>
      <c r="X235">
        <v>0.77125565945357222</v>
      </c>
      <c r="Z235" t="s">
        <v>392</v>
      </c>
      <c r="AA235">
        <v>140</v>
      </c>
      <c r="AB235" t="s">
        <v>1640</v>
      </c>
      <c r="AC235" t="str">
        <f>HYPERLINK("plots/20251231112652_3FT6Y119H04_05543_B21P_N_UFLEX98_M5358A8BA201511/dpll_52046/txpa_55154.png","plot")</f>
        <v>plot</v>
      </c>
    </row>
    <row r="236" spans="1:29" x14ac:dyDescent="0.35">
      <c r="A236" t="s">
        <v>47</v>
      </c>
      <c r="B236">
        <v>52046</v>
      </c>
      <c r="C236" t="s">
        <v>51</v>
      </c>
      <c r="D236">
        <v>55155</v>
      </c>
      <c r="E236" t="s">
        <v>288</v>
      </c>
      <c r="F236">
        <v>7139</v>
      </c>
      <c r="G236">
        <v>0.1322329984204354</v>
      </c>
      <c r="H236">
        <v>3.2507128752520161E-29</v>
      </c>
      <c r="I236">
        <v>3.440733669630004E-29</v>
      </c>
      <c r="J236">
        <v>0.12670096183934981</v>
      </c>
      <c r="K236">
        <v>6.1384276902113502E-27</v>
      </c>
      <c r="L236">
        <v>6.5727198288007478E-27</v>
      </c>
      <c r="M236">
        <v>8.3946783143868775E-2</v>
      </c>
      <c r="N236">
        <v>2.024666638361743E-26</v>
      </c>
      <c r="O236">
        <v>2.163342435509808E-26</v>
      </c>
      <c r="P236">
        <v>1.7485565871258869E-2</v>
      </c>
      <c r="Q236">
        <v>0.62929871347443644</v>
      </c>
      <c r="R236">
        <v>-11.25014315921193</v>
      </c>
      <c r="S236">
        <v>0.54317837789946599</v>
      </c>
      <c r="T236">
        <v>0.45139448068189192</v>
      </c>
      <c r="U236">
        <v>4.4222873134892842</v>
      </c>
      <c r="V236">
        <v>0.1151559613407446</v>
      </c>
      <c r="W236">
        <v>-8.4672034422187981</v>
      </c>
      <c r="X236">
        <v>0.5480288519982871</v>
      </c>
      <c r="Z236" t="s">
        <v>392</v>
      </c>
      <c r="AA236">
        <v>140</v>
      </c>
      <c r="AB236" t="s">
        <v>1641</v>
      </c>
      <c r="AC236" t="str">
        <f>HYPERLINK("plots/20251231112652_3FT6Y119H04_05543_B21P_N_UFLEX98_M5358A8BA201511/dpll_52046/txpa_55155.png","plot")</f>
        <v>plot</v>
      </c>
    </row>
    <row r="237" spans="1:29" x14ac:dyDescent="0.35">
      <c r="A237" t="s">
        <v>47</v>
      </c>
      <c r="B237">
        <v>52046</v>
      </c>
      <c r="C237" t="s">
        <v>51</v>
      </c>
      <c r="D237">
        <v>55156</v>
      </c>
      <c r="E237" t="s">
        <v>289</v>
      </c>
      <c r="F237">
        <v>7139</v>
      </c>
      <c r="G237">
        <v>0.24164402676658059</v>
      </c>
      <c r="H237">
        <v>2.222691929928644E-95</v>
      </c>
      <c r="I237">
        <v>3.4045462491656263E-95</v>
      </c>
      <c r="J237">
        <v>0.208418737523449</v>
      </c>
      <c r="K237">
        <v>6.7466010816770858E-71</v>
      </c>
      <c r="L237">
        <v>9.7174055352564854E-71</v>
      </c>
      <c r="M237">
        <v>0.13918906919692539</v>
      </c>
      <c r="N237">
        <v>1.3303384547867581E-69</v>
      </c>
      <c r="O237">
        <v>1.9107127381781481E-69</v>
      </c>
      <c r="P237">
        <v>5.8391835671967929E-2</v>
      </c>
      <c r="Q237">
        <v>0.78455966782096986</v>
      </c>
      <c r="R237">
        <v>-12.47248788495445</v>
      </c>
      <c r="S237">
        <v>0.36277807166151821</v>
      </c>
      <c r="T237">
        <v>0.2950000669099182</v>
      </c>
      <c r="U237">
        <v>4.4222873134892842</v>
      </c>
      <c r="V237">
        <v>0.1151559613407446</v>
      </c>
      <c r="W237">
        <v>-9.0029396192744073</v>
      </c>
      <c r="X237">
        <v>0.37388353432949012</v>
      </c>
      <c r="Z237" t="s">
        <v>392</v>
      </c>
      <c r="AA237">
        <v>140</v>
      </c>
      <c r="AB237" t="s">
        <v>1642</v>
      </c>
      <c r="AC237" t="str">
        <f>HYPERLINK("plots/20251231112652_3FT6Y119H04_05543_B21P_N_UFLEX98_M5358A8BA201511/dpll_52046/txpa_55156.png","plot")</f>
        <v>plot</v>
      </c>
    </row>
    <row r="238" spans="1:29" x14ac:dyDescent="0.35">
      <c r="A238" t="s">
        <v>47</v>
      </c>
      <c r="B238">
        <v>52046</v>
      </c>
      <c r="C238" t="s">
        <v>51</v>
      </c>
      <c r="D238">
        <v>55157</v>
      </c>
      <c r="E238" t="s">
        <v>290</v>
      </c>
      <c r="F238">
        <v>7139</v>
      </c>
      <c r="G238">
        <v>0.17090951225312251</v>
      </c>
      <c r="H238">
        <v>6.2649244683235529E-48</v>
      </c>
      <c r="I238">
        <v>7.2601524695772369E-48</v>
      </c>
      <c r="J238">
        <v>0.1444606038615493</v>
      </c>
      <c r="K238">
        <v>1.3434411504668181E-34</v>
      </c>
      <c r="L238">
        <v>1.5220662866741379E-34</v>
      </c>
      <c r="M238">
        <v>9.6084434722786938E-2</v>
      </c>
      <c r="N238">
        <v>4.2814820756710484E-34</v>
      </c>
      <c r="O238">
        <v>4.8507517594753536E-34</v>
      </c>
      <c r="P238">
        <v>2.9210061378600209E-2</v>
      </c>
      <c r="Q238">
        <v>0.76660434630255625</v>
      </c>
      <c r="R238">
        <v>-11.978072550172071</v>
      </c>
      <c r="S238">
        <v>0.50888972460343118</v>
      </c>
      <c r="T238">
        <v>0.44217126925564371</v>
      </c>
      <c r="U238">
        <v>4.4222873134892842</v>
      </c>
      <c r="V238">
        <v>0.1151559613407446</v>
      </c>
      <c r="W238">
        <v>-8.587927875052527</v>
      </c>
      <c r="X238">
        <v>0.51652514422789897</v>
      </c>
      <c r="Z238" t="s">
        <v>392</v>
      </c>
      <c r="AA238">
        <v>140</v>
      </c>
      <c r="AB238" t="s">
        <v>1643</v>
      </c>
      <c r="AC238" t="str">
        <f>HYPERLINK("plots/20251231112652_3FT6Y119H04_05543_B21P_N_UFLEX98_M5358A8BA201511/dpll_52046/txpa_55157.png","plot")</f>
        <v>plot</v>
      </c>
    </row>
    <row r="239" spans="1:29" x14ac:dyDescent="0.35">
      <c r="A239" t="s">
        <v>47</v>
      </c>
      <c r="B239">
        <v>52046</v>
      </c>
      <c r="C239" t="s">
        <v>51</v>
      </c>
      <c r="D239">
        <v>55158</v>
      </c>
      <c r="E239" t="s">
        <v>291</v>
      </c>
      <c r="F239">
        <v>7139</v>
      </c>
      <c r="G239">
        <v>0.21975978395365919</v>
      </c>
      <c r="H239">
        <v>8.2928821253202028E-79</v>
      </c>
      <c r="I239">
        <v>1.125700465204108E-78</v>
      </c>
      <c r="J239">
        <v>0.20529981068917991</v>
      </c>
      <c r="K239">
        <v>8.4093877567151637E-69</v>
      </c>
      <c r="L239">
        <v>1.1892774317028141E-68</v>
      </c>
      <c r="M239">
        <v>0.1360979006548069</v>
      </c>
      <c r="N239">
        <v>1.254689106431063E-66</v>
      </c>
      <c r="O239">
        <v>1.7596884563224029E-66</v>
      </c>
      <c r="P239">
        <v>4.8294362643358991E-2</v>
      </c>
      <c r="Q239">
        <v>0.82326773824998856</v>
      </c>
      <c r="R239">
        <v>-12.33938900255311</v>
      </c>
      <c r="S239">
        <v>0.42082371347129621</v>
      </c>
      <c r="T239">
        <v>0.3257777738483294</v>
      </c>
      <c r="U239">
        <v>4.4222873134892842</v>
      </c>
      <c r="V239">
        <v>0.1151559613407446</v>
      </c>
      <c r="W239">
        <v>-8.6986625280851655</v>
      </c>
      <c r="X239">
        <v>0.43139916746090928</v>
      </c>
      <c r="Z239" t="s">
        <v>392</v>
      </c>
      <c r="AA239">
        <v>140</v>
      </c>
      <c r="AB239" t="s">
        <v>1644</v>
      </c>
      <c r="AC239" t="str">
        <f>HYPERLINK("plots/20251231112652_3FT6Y119H04_05543_B21P_N_UFLEX98_M5358A8BA201511/dpll_52046/txpa_55158.png","plot")</f>
        <v>plot</v>
      </c>
    </row>
    <row r="240" spans="1:29" x14ac:dyDescent="0.35">
      <c r="A240" t="s">
        <v>47</v>
      </c>
      <c r="B240">
        <v>52046</v>
      </c>
      <c r="C240" t="s">
        <v>51</v>
      </c>
      <c r="D240">
        <v>55159</v>
      </c>
      <c r="E240" t="s">
        <v>292</v>
      </c>
      <c r="F240">
        <v>7139</v>
      </c>
      <c r="G240">
        <v>0.16904317162687629</v>
      </c>
      <c r="H240">
        <v>6.5189761999120127E-47</v>
      </c>
      <c r="I240">
        <v>7.511638484898615E-47</v>
      </c>
      <c r="J240">
        <v>0.13390212904245891</v>
      </c>
      <c r="K240">
        <v>6.3939509456212462E-30</v>
      </c>
      <c r="L240">
        <v>6.9639809439956431E-30</v>
      </c>
      <c r="M240">
        <v>8.8657248251440973E-2</v>
      </c>
      <c r="N240">
        <v>2.8109056207111379E-29</v>
      </c>
      <c r="O240">
        <v>3.0549392276539062E-29</v>
      </c>
      <c r="P240">
        <v>2.857559387367356E-2</v>
      </c>
      <c r="Q240">
        <v>0.81040073672470492</v>
      </c>
      <c r="R240">
        <v>-12.35810696325589</v>
      </c>
      <c r="S240">
        <v>0.54407993009305355</v>
      </c>
      <c r="T240">
        <v>0.4365135444580861</v>
      </c>
      <c r="U240">
        <v>4.4222873134892842</v>
      </c>
      <c r="V240">
        <v>0.1151559613407446</v>
      </c>
      <c r="W240">
        <v>-8.7742820663958536</v>
      </c>
      <c r="X240">
        <v>0.5520629730893174</v>
      </c>
      <c r="Z240" t="s">
        <v>392</v>
      </c>
      <c r="AA240">
        <v>140</v>
      </c>
      <c r="AB240" t="s">
        <v>1645</v>
      </c>
      <c r="AC240" t="str">
        <f>HYPERLINK("plots/20251231112652_3FT6Y119H04_05543_B21P_N_UFLEX98_M5358A8BA201511/dpll_52046/txpa_55159.png","plot")</f>
        <v>plot</v>
      </c>
    </row>
    <row r="241" spans="1:29" x14ac:dyDescent="0.35">
      <c r="A241" t="s">
        <v>47</v>
      </c>
      <c r="B241">
        <v>52046</v>
      </c>
      <c r="C241" t="s">
        <v>51</v>
      </c>
      <c r="D241">
        <v>55160</v>
      </c>
      <c r="E241" t="s">
        <v>293</v>
      </c>
      <c r="F241">
        <v>7139</v>
      </c>
      <c r="G241">
        <v>0.23308845693637559</v>
      </c>
      <c r="H241">
        <v>1.079006089323688E-88</v>
      </c>
      <c r="I241">
        <v>1.574262121689525E-88</v>
      </c>
      <c r="J241">
        <v>0.2239471702015689</v>
      </c>
      <c r="K241">
        <v>7.6213342773219332E-82</v>
      </c>
      <c r="L241">
        <v>1.201871377481251E-81</v>
      </c>
      <c r="M241">
        <v>0.14894055541928761</v>
      </c>
      <c r="N241">
        <v>2.0009480625329761E-79</v>
      </c>
      <c r="O241">
        <v>3.1311131719266012E-79</v>
      </c>
      <c r="P241">
        <v>5.4330228756980653E-2</v>
      </c>
      <c r="Q241">
        <v>0.7933814981704117</v>
      </c>
      <c r="R241">
        <v>-12.19771577372952</v>
      </c>
      <c r="S241">
        <v>0.38114222162656208</v>
      </c>
      <c r="T241">
        <v>0.29382124067494808</v>
      </c>
      <c r="U241">
        <v>4.4222873134892842</v>
      </c>
      <c r="V241">
        <v>0.1151559613407446</v>
      </c>
      <c r="W241">
        <v>-8.6891548396133906</v>
      </c>
      <c r="X241">
        <v>0.39196539516631868</v>
      </c>
      <c r="Z241" t="s">
        <v>392</v>
      </c>
      <c r="AA241">
        <v>140</v>
      </c>
      <c r="AB241" t="s">
        <v>1646</v>
      </c>
      <c r="AC241" t="str">
        <f>HYPERLINK("plots/20251231112652_3FT6Y119H04_05543_B21P_N_UFLEX98_M5358A8BA201511/dpll_52046/txpa_55160.png","plot")</f>
        <v>plot</v>
      </c>
    </row>
    <row r="242" spans="1:29" x14ac:dyDescent="0.35">
      <c r="A242" t="s">
        <v>47</v>
      </c>
      <c r="B242">
        <v>52046</v>
      </c>
      <c r="C242" t="s">
        <v>51</v>
      </c>
      <c r="D242">
        <v>55161</v>
      </c>
      <c r="E242" t="s">
        <v>294</v>
      </c>
      <c r="F242">
        <v>7139</v>
      </c>
      <c r="G242">
        <v>0.19539530516794101</v>
      </c>
      <c r="H242">
        <v>2.2597407974508372E-62</v>
      </c>
      <c r="I242">
        <v>2.7673637302115321E-62</v>
      </c>
      <c r="J242">
        <v>0.14920115753452409</v>
      </c>
      <c r="K242">
        <v>8.1160076005663451E-37</v>
      </c>
      <c r="L242">
        <v>9.3306481938483834E-37</v>
      </c>
      <c r="M242">
        <v>9.9237358371054685E-2</v>
      </c>
      <c r="N242">
        <v>2.9634871690185212E-36</v>
      </c>
      <c r="O242">
        <v>3.4070022555383E-36</v>
      </c>
      <c r="P242">
        <v>3.8179325281672782E-2</v>
      </c>
      <c r="Q242">
        <v>0.7223170008387535</v>
      </c>
      <c r="R242">
        <v>-12.015216730054149</v>
      </c>
      <c r="S242">
        <v>0.41746182980269803</v>
      </c>
      <c r="T242">
        <v>0.34422818640752512</v>
      </c>
      <c r="U242">
        <v>4.4222873134892842</v>
      </c>
      <c r="V242">
        <v>0.1151559613407446</v>
      </c>
      <c r="W242">
        <v>-8.8209234209273006</v>
      </c>
      <c r="X242">
        <v>0.42569655679729962</v>
      </c>
      <c r="Z242" t="s">
        <v>392</v>
      </c>
      <c r="AA242">
        <v>140</v>
      </c>
      <c r="AB242" t="s">
        <v>1647</v>
      </c>
      <c r="AC242" t="str">
        <f>HYPERLINK("plots/20251231112652_3FT6Y119H04_05543_B21P_N_UFLEX98_M5358A8BA201511/dpll_52046/txpa_55161.png","plot")</f>
        <v>plot</v>
      </c>
    </row>
    <row r="243" spans="1:29" x14ac:dyDescent="0.35">
      <c r="A243" t="s">
        <v>47</v>
      </c>
      <c r="B243">
        <v>52046</v>
      </c>
      <c r="C243" t="s">
        <v>51</v>
      </c>
      <c r="D243">
        <v>55162</v>
      </c>
      <c r="E243" t="s">
        <v>295</v>
      </c>
      <c r="F243">
        <v>7139</v>
      </c>
      <c r="G243">
        <v>0.1452491345957509</v>
      </c>
      <c r="H243">
        <v>5.811088963366138E-35</v>
      </c>
      <c r="I243">
        <v>6.3088267760741579E-35</v>
      </c>
      <c r="J243">
        <v>0.14412523174788369</v>
      </c>
      <c r="K243">
        <v>1.9160091257596739E-34</v>
      </c>
      <c r="L243">
        <v>2.1659233595544142E-34</v>
      </c>
      <c r="M243">
        <v>9.5870888642948432E-2</v>
      </c>
      <c r="N243">
        <v>5.9598560282488671E-34</v>
      </c>
      <c r="O243">
        <v>6.7372285536726319E-34</v>
      </c>
      <c r="P243">
        <v>2.1097311100814569E-2</v>
      </c>
      <c r="Q243">
        <v>0.672551796392301</v>
      </c>
      <c r="R243">
        <v>-11.30791487931543</v>
      </c>
      <c r="S243">
        <v>0.52751881026024616</v>
      </c>
      <c r="T243">
        <v>0.41227111984393372</v>
      </c>
      <c r="U243">
        <v>4.4222873134892842</v>
      </c>
      <c r="V243">
        <v>0.1151559613407446</v>
      </c>
      <c r="W243">
        <v>-8.33369760246533</v>
      </c>
      <c r="X243">
        <v>0.53321039660959069</v>
      </c>
      <c r="Z243" t="s">
        <v>392</v>
      </c>
      <c r="AA243">
        <v>140</v>
      </c>
      <c r="AB243" t="s">
        <v>1648</v>
      </c>
      <c r="AC243" t="str">
        <f>HYPERLINK("plots/20251231112652_3FT6Y119H04_05543_B21P_N_UFLEX98_M5358A8BA201511/dpll_52046/txpa_55162.png","plot")</f>
        <v>plot</v>
      </c>
    </row>
    <row r="244" spans="1:29" x14ac:dyDescent="0.35">
      <c r="A244" t="s">
        <v>47</v>
      </c>
      <c r="B244">
        <v>52046</v>
      </c>
      <c r="C244" t="s">
        <v>51</v>
      </c>
      <c r="D244">
        <v>55163</v>
      </c>
      <c r="E244" t="s">
        <v>296</v>
      </c>
      <c r="F244">
        <v>7139</v>
      </c>
      <c r="G244">
        <v>0.1274868132475554</v>
      </c>
      <c r="H244">
        <v>2.9563740822202209E-27</v>
      </c>
      <c r="I244">
        <v>3.0904776488363959E-27</v>
      </c>
      <c r="J244">
        <v>0.12853771463086239</v>
      </c>
      <c r="K244">
        <v>1.10491070230444E-27</v>
      </c>
      <c r="L244">
        <v>1.193162355843133E-27</v>
      </c>
      <c r="M244">
        <v>8.5210960458324506E-2</v>
      </c>
      <c r="N244">
        <v>3.5714819749523691E-27</v>
      </c>
      <c r="O244">
        <v>3.8567441135268403E-27</v>
      </c>
      <c r="P244">
        <v>1.6252887552017061E-2</v>
      </c>
      <c r="Q244">
        <v>0.60579529996727854</v>
      </c>
      <c r="R244">
        <v>-5.293858907997457</v>
      </c>
      <c r="S244">
        <v>0.54269819309999012</v>
      </c>
      <c r="T244">
        <v>0.45336977442277993</v>
      </c>
      <c r="U244">
        <v>4.4222873134892842</v>
      </c>
      <c r="V244">
        <v>0.1151559613407446</v>
      </c>
      <c r="W244">
        <v>-2.6148580383807252</v>
      </c>
      <c r="X244">
        <v>0.54720122314120523</v>
      </c>
      <c r="Z244" t="s">
        <v>392</v>
      </c>
      <c r="AA244">
        <v>140</v>
      </c>
      <c r="AB244" t="s">
        <v>1649</v>
      </c>
      <c r="AC244" t="str">
        <f>HYPERLINK("plots/20251231112652_3FT6Y119H04_05543_B21P_N_UFLEX98_M5358A8BA201511/dpll_52046/txpa_55163.png","plot")</f>
        <v>plot</v>
      </c>
    </row>
    <row r="245" spans="1:29" x14ac:dyDescent="0.35">
      <c r="A245" t="s">
        <v>47</v>
      </c>
      <c r="B245">
        <v>52046</v>
      </c>
      <c r="C245" t="s">
        <v>51</v>
      </c>
      <c r="D245">
        <v>55164</v>
      </c>
      <c r="E245" t="s">
        <v>297</v>
      </c>
      <c r="F245">
        <v>7139</v>
      </c>
      <c r="G245">
        <v>0.2439216375545033</v>
      </c>
      <c r="H245">
        <v>3.3229220336241139E-97</v>
      </c>
      <c r="I245">
        <v>5.1837583724536182E-97</v>
      </c>
      <c r="J245">
        <v>0.21226412841962661</v>
      </c>
      <c r="K245">
        <v>1.577845364130579E-73</v>
      </c>
      <c r="L245">
        <v>2.3356718236911059E-73</v>
      </c>
      <c r="M245">
        <v>0.14169477643374051</v>
      </c>
      <c r="N245">
        <v>4.5260236396618938E-72</v>
      </c>
      <c r="O245">
        <v>6.6803318349594774E-72</v>
      </c>
      <c r="P245">
        <v>5.9497765267270492E-2</v>
      </c>
      <c r="Q245">
        <v>0.77320890253551411</v>
      </c>
      <c r="R245">
        <v>-6.5715472739106939</v>
      </c>
      <c r="S245">
        <v>0.35398302866431791</v>
      </c>
      <c r="T245">
        <v>0.2886153175013087</v>
      </c>
      <c r="U245">
        <v>4.4222873134892842</v>
      </c>
      <c r="V245">
        <v>0.1151559613407446</v>
      </c>
      <c r="W245">
        <v>-3.1521953535509168</v>
      </c>
      <c r="X245">
        <v>0.36503368615178178</v>
      </c>
      <c r="Z245" t="s">
        <v>392</v>
      </c>
      <c r="AA245">
        <v>140</v>
      </c>
      <c r="AB245" t="s">
        <v>1650</v>
      </c>
      <c r="AC245" t="str">
        <f>HYPERLINK("plots/20251231112652_3FT6Y119H04_05543_B21P_N_UFLEX98_M5358A8BA201511/dpll_52046/txpa_55164.png","plot")</f>
        <v>plot</v>
      </c>
    </row>
    <row r="246" spans="1:29" x14ac:dyDescent="0.35">
      <c r="A246" t="s">
        <v>47</v>
      </c>
      <c r="B246">
        <v>52046</v>
      </c>
      <c r="C246" t="s">
        <v>51</v>
      </c>
      <c r="D246">
        <v>55165</v>
      </c>
      <c r="E246" t="s">
        <v>298</v>
      </c>
      <c r="F246">
        <v>7139</v>
      </c>
      <c r="G246">
        <v>0.1717293696534101</v>
      </c>
      <c r="H246">
        <v>2.21991388389839E-48</v>
      </c>
      <c r="I246">
        <v>2.5903252914533569E-48</v>
      </c>
      <c r="J246">
        <v>0.14974775968729551</v>
      </c>
      <c r="K246">
        <v>4.453922629131799E-37</v>
      </c>
      <c r="L246">
        <v>5.1321335749314139E-37</v>
      </c>
      <c r="M246">
        <v>9.9745790640540691E-2</v>
      </c>
      <c r="N246">
        <v>1.2993677908311899E-36</v>
      </c>
      <c r="O246">
        <v>1.498929396931544E-36</v>
      </c>
      <c r="P246">
        <v>2.949097640155756E-2</v>
      </c>
      <c r="Q246">
        <v>0.75082217987513278</v>
      </c>
      <c r="R246">
        <v>-6.0804588160724444</v>
      </c>
      <c r="S246">
        <v>0.4959618972258909</v>
      </c>
      <c r="T246">
        <v>0.43237749807743059</v>
      </c>
      <c r="U246">
        <v>4.4222873134892842</v>
      </c>
      <c r="V246">
        <v>0.1151559613407446</v>
      </c>
      <c r="W246">
        <v>-2.7601074153242751</v>
      </c>
      <c r="X246">
        <v>0.50347619684375577</v>
      </c>
      <c r="Z246" t="s">
        <v>392</v>
      </c>
      <c r="AA246">
        <v>140</v>
      </c>
      <c r="AB246" t="s">
        <v>1651</v>
      </c>
      <c r="AC246" t="str">
        <f>HYPERLINK("plots/20251231112652_3FT6Y119H04_05543_B21P_N_UFLEX98_M5358A8BA201511/dpll_52046/txpa_55165.png","plot")</f>
        <v>plot</v>
      </c>
    </row>
    <row r="247" spans="1:29" x14ac:dyDescent="0.35">
      <c r="A247" t="s">
        <v>47</v>
      </c>
      <c r="B247">
        <v>52046</v>
      </c>
      <c r="C247" t="s">
        <v>51</v>
      </c>
      <c r="D247">
        <v>55166</v>
      </c>
      <c r="E247" t="s">
        <v>299</v>
      </c>
      <c r="F247">
        <v>7139</v>
      </c>
      <c r="G247">
        <v>0.2225483097854308</v>
      </c>
      <c r="H247">
        <v>8.0071960263364616E-81</v>
      </c>
      <c r="I247">
        <v>1.09720226631151E-80</v>
      </c>
      <c r="J247">
        <v>0.21107266783266629</v>
      </c>
      <c r="K247">
        <v>1.044363461109762E-72</v>
      </c>
      <c r="L247">
        <v>1.5325391455358881E-72</v>
      </c>
      <c r="M247">
        <v>0.14014745332885001</v>
      </c>
      <c r="N247">
        <v>1.5152667406884659E-70</v>
      </c>
      <c r="O247">
        <v>2.2012614255846761E-70</v>
      </c>
      <c r="P247">
        <v>4.9527750188352072E-2</v>
      </c>
      <c r="Q247">
        <v>0.80663969909790245</v>
      </c>
      <c r="R247">
        <v>-6.4335381610501807</v>
      </c>
      <c r="S247">
        <v>0.40689374981031801</v>
      </c>
      <c r="T247">
        <v>0.31421447553390769</v>
      </c>
      <c r="U247">
        <v>4.4222873134892842</v>
      </c>
      <c r="V247">
        <v>0.1151559613407446</v>
      </c>
      <c r="W247">
        <v>-2.8663456531727132</v>
      </c>
      <c r="X247">
        <v>0.41738968988255559</v>
      </c>
      <c r="Z247" t="s">
        <v>392</v>
      </c>
      <c r="AA247">
        <v>140</v>
      </c>
      <c r="AB247" t="s">
        <v>1652</v>
      </c>
      <c r="AC247" t="str">
        <f>HYPERLINK("plots/20251231112652_3FT6Y119H04_05543_B21P_N_UFLEX98_M5358A8BA201511/dpll_52046/txpa_55166.png","plot")</f>
        <v>plot</v>
      </c>
    </row>
    <row r="248" spans="1:29" x14ac:dyDescent="0.35">
      <c r="A248" t="s">
        <v>47</v>
      </c>
      <c r="B248">
        <v>52046</v>
      </c>
      <c r="C248" t="s">
        <v>51</v>
      </c>
      <c r="D248">
        <v>55167</v>
      </c>
      <c r="E248" t="s">
        <v>300</v>
      </c>
      <c r="F248">
        <v>7139</v>
      </c>
      <c r="G248">
        <v>0.1665955377676927</v>
      </c>
      <c r="H248">
        <v>1.3505989449303079E-45</v>
      </c>
      <c r="I248">
        <v>1.538772281077901E-45</v>
      </c>
      <c r="J248">
        <v>0.13383986282070981</v>
      </c>
      <c r="K248">
        <v>6.7963628418384358E-30</v>
      </c>
      <c r="L248">
        <v>7.3943260961632765E-30</v>
      </c>
      <c r="M248">
        <v>8.8666886043724857E-2</v>
      </c>
      <c r="N248">
        <v>2.7602597886119552E-29</v>
      </c>
      <c r="O248">
        <v>3.0031152635756672E-29</v>
      </c>
      <c r="P248">
        <v>2.7754073204106729E-2</v>
      </c>
      <c r="Q248">
        <v>0.78338843682912473</v>
      </c>
      <c r="R248">
        <v>-6.4019104442808601</v>
      </c>
      <c r="S248">
        <v>0.53389747189493908</v>
      </c>
      <c r="T248">
        <v>0.43033209162197888</v>
      </c>
      <c r="U248">
        <v>4.4222873134892842</v>
      </c>
      <c r="V248">
        <v>0.1151559613407446</v>
      </c>
      <c r="W248">
        <v>-2.93754169855722</v>
      </c>
      <c r="X248">
        <v>0.54150219000508848</v>
      </c>
      <c r="Z248" t="s">
        <v>392</v>
      </c>
      <c r="AA248">
        <v>140</v>
      </c>
      <c r="AB248" t="s">
        <v>1653</v>
      </c>
      <c r="AC248" t="str">
        <f>HYPERLINK("plots/20251231112652_3FT6Y119H04_05543_B21P_N_UFLEX98_M5358A8BA201511/dpll_52046/txpa_55167.png","plot")</f>
        <v>plot</v>
      </c>
    </row>
    <row r="249" spans="1:29" x14ac:dyDescent="0.35">
      <c r="A249" t="s">
        <v>47</v>
      </c>
      <c r="B249">
        <v>52046</v>
      </c>
      <c r="C249" t="s">
        <v>51</v>
      </c>
      <c r="D249">
        <v>55168</v>
      </c>
      <c r="E249" t="s">
        <v>301</v>
      </c>
      <c r="F249">
        <v>7139</v>
      </c>
      <c r="G249">
        <v>0.23474180195433261</v>
      </c>
      <c r="H249">
        <v>5.7789755842195767E-90</v>
      </c>
      <c r="I249">
        <v>8.5796211455324317E-90</v>
      </c>
      <c r="J249">
        <v>0.23157486584820761</v>
      </c>
      <c r="K249">
        <v>1.5417262981985521E-87</v>
      </c>
      <c r="L249">
        <v>2.5797202415401509E-87</v>
      </c>
      <c r="M249">
        <v>0.15410691050402411</v>
      </c>
      <c r="N249">
        <v>6.6156232025042391E-85</v>
      </c>
      <c r="O249">
        <v>1.081974504409564E-84</v>
      </c>
      <c r="P249">
        <v>5.5103713584767122E-2</v>
      </c>
      <c r="Q249">
        <v>0.77600453488355714</v>
      </c>
      <c r="R249">
        <v>-6.2969437648334106</v>
      </c>
      <c r="S249">
        <v>0.37001719140417372</v>
      </c>
      <c r="T249">
        <v>0.28373488999959823</v>
      </c>
      <c r="U249">
        <v>4.4222873134892842</v>
      </c>
      <c r="V249">
        <v>0.1151559613407446</v>
      </c>
      <c r="W249">
        <v>-2.865228755007704</v>
      </c>
      <c r="X249">
        <v>0.38068016635860241</v>
      </c>
      <c r="Z249" t="s">
        <v>392</v>
      </c>
      <c r="AA249">
        <v>140</v>
      </c>
      <c r="AB249" t="s">
        <v>1654</v>
      </c>
      <c r="AC249" t="str">
        <f>HYPERLINK("plots/20251231112652_3FT6Y119H04_05543_B21P_N_UFLEX98_M5358A8BA201511/dpll_52046/txpa_55168.png","plot")</f>
        <v>plot</v>
      </c>
    </row>
    <row r="250" spans="1:29" x14ac:dyDescent="0.35">
      <c r="A250" t="s">
        <v>47</v>
      </c>
      <c r="B250">
        <v>52046</v>
      </c>
      <c r="C250" t="s">
        <v>51</v>
      </c>
      <c r="D250">
        <v>55169</v>
      </c>
      <c r="E250" t="s">
        <v>302</v>
      </c>
      <c r="F250">
        <v>7139</v>
      </c>
      <c r="G250">
        <v>0.19205766188817339</v>
      </c>
      <c r="H250">
        <v>2.7783367933588502E-60</v>
      </c>
      <c r="I250">
        <v>3.3498614845016328E-60</v>
      </c>
      <c r="J250">
        <v>0.1484659248164964</v>
      </c>
      <c r="K250">
        <v>1.812681174380583E-36</v>
      </c>
      <c r="L250">
        <v>2.0816066940225501E-36</v>
      </c>
      <c r="M250">
        <v>9.8903182124809003E-2</v>
      </c>
      <c r="N250">
        <v>5.0241846983623602E-36</v>
      </c>
      <c r="O250">
        <v>5.7695620431930172E-36</v>
      </c>
      <c r="P250">
        <v>3.6886145489951949E-2</v>
      </c>
      <c r="Q250">
        <v>0.69616062718024774</v>
      </c>
      <c r="R250">
        <v>-6.0535944908477566</v>
      </c>
      <c r="S250">
        <v>0.40961197143575728</v>
      </c>
      <c r="T250">
        <v>0.33934825420006459</v>
      </c>
      <c r="U250">
        <v>4.4222873134892842</v>
      </c>
      <c r="V250">
        <v>0.1151559613407446</v>
      </c>
      <c r="W250">
        <v>-2.974972181117804</v>
      </c>
      <c r="X250">
        <v>0.41741134137723079</v>
      </c>
      <c r="Z250" t="s">
        <v>392</v>
      </c>
      <c r="AA250">
        <v>140</v>
      </c>
      <c r="AB250" t="s">
        <v>1655</v>
      </c>
      <c r="AC250" t="str">
        <f>HYPERLINK("plots/20251231112652_3FT6Y119H04_05543_B21P_N_UFLEX98_M5358A8BA201511/dpll_52046/txpa_55169.png","plot")</f>
        <v>plot</v>
      </c>
    </row>
    <row r="251" spans="1:29" x14ac:dyDescent="0.35">
      <c r="A251" t="s">
        <v>47</v>
      </c>
      <c r="B251">
        <v>52046</v>
      </c>
      <c r="C251" t="s">
        <v>51</v>
      </c>
      <c r="D251">
        <v>55170</v>
      </c>
      <c r="E251" t="s">
        <v>303</v>
      </c>
      <c r="F251">
        <v>7139</v>
      </c>
      <c r="G251">
        <v>0.14307473337573021</v>
      </c>
      <c r="H251">
        <v>5.7936357904635691E-34</v>
      </c>
      <c r="I251">
        <v>6.2430889389267367E-34</v>
      </c>
      <c r="J251">
        <v>0.1446495838692215</v>
      </c>
      <c r="K251">
        <v>1.099454580006475E-34</v>
      </c>
      <c r="L251">
        <v>1.2470323759804981E-34</v>
      </c>
      <c r="M251">
        <v>9.6425111220091952E-2</v>
      </c>
      <c r="N251">
        <v>2.506938235306726E-34</v>
      </c>
      <c r="O251">
        <v>2.8466241552083098E-34</v>
      </c>
      <c r="P251">
        <v>2.0470379330536279E-2</v>
      </c>
      <c r="Q251">
        <v>0.65997071844667532</v>
      </c>
      <c r="R251">
        <v>-5.397128148768326</v>
      </c>
      <c r="S251">
        <v>0.52568612546121452</v>
      </c>
      <c r="T251">
        <v>0.41243434091657472</v>
      </c>
      <c r="U251">
        <v>4.4222873134892842</v>
      </c>
      <c r="V251">
        <v>0.1151559613407446</v>
      </c>
      <c r="W251">
        <v>-2.478548013307186</v>
      </c>
      <c r="X251">
        <v>0.53118786767112469</v>
      </c>
      <c r="Z251" t="s">
        <v>392</v>
      </c>
      <c r="AA251">
        <v>140</v>
      </c>
      <c r="AB251" t="s">
        <v>1656</v>
      </c>
      <c r="AC251" t="str">
        <f>HYPERLINK("plots/20251231112652_3FT6Y119H04_05543_B21P_N_UFLEX98_M5358A8BA201511/dpll_52046/txpa_55170.png","plot")</f>
        <v>plot</v>
      </c>
    </row>
    <row r="252" spans="1:29" x14ac:dyDescent="0.35">
      <c r="A252" t="s">
        <v>47</v>
      </c>
      <c r="B252">
        <v>52046</v>
      </c>
      <c r="C252" t="s">
        <v>51</v>
      </c>
      <c r="D252">
        <v>55171</v>
      </c>
      <c r="E252" t="s">
        <v>304</v>
      </c>
      <c r="F252">
        <v>7139</v>
      </c>
      <c r="G252">
        <v>0.1320447064384688</v>
      </c>
      <c r="H252">
        <v>3.9001163119507141E-29</v>
      </c>
      <c r="I252">
        <v>4.1237934726986688E-29</v>
      </c>
      <c r="J252">
        <v>0.1361120836915658</v>
      </c>
      <c r="K252">
        <v>7.1913767975421564E-31</v>
      </c>
      <c r="L252">
        <v>7.9261479051171151E-31</v>
      </c>
      <c r="M252">
        <v>9.0488739489495734E-2</v>
      </c>
      <c r="N252">
        <v>1.968471049773033E-30</v>
      </c>
      <c r="O252">
        <v>2.1672417420953912E-30</v>
      </c>
      <c r="P252">
        <v>1.7435804498421401E-2</v>
      </c>
      <c r="Q252">
        <v>0.60838993534605978</v>
      </c>
      <c r="R252">
        <v>-2.365927679658125</v>
      </c>
      <c r="S252">
        <v>0.5258931316033395</v>
      </c>
      <c r="T252">
        <v>0.43999348622809897</v>
      </c>
      <c r="U252">
        <v>4.4222873134892842</v>
      </c>
      <c r="V252">
        <v>0.1151559613407446</v>
      </c>
      <c r="W252">
        <v>0.32454741307732171</v>
      </c>
      <c r="X252">
        <v>0.53057581605860094</v>
      </c>
      <c r="Z252" t="s">
        <v>392</v>
      </c>
      <c r="AA252">
        <v>140</v>
      </c>
      <c r="AB252" t="s">
        <v>1657</v>
      </c>
      <c r="AC252" t="str">
        <f>HYPERLINK("plots/20251231112652_3FT6Y119H04_05543_B21P_N_UFLEX98_M5358A8BA201511/dpll_52046/txpa_55171.png","plot")</f>
        <v>plot</v>
      </c>
    </row>
    <row r="253" spans="1:29" x14ac:dyDescent="0.35">
      <c r="A253" t="s">
        <v>47</v>
      </c>
      <c r="B253">
        <v>52046</v>
      </c>
      <c r="C253" t="s">
        <v>51</v>
      </c>
      <c r="D253">
        <v>55172</v>
      </c>
      <c r="E253" t="s">
        <v>305</v>
      </c>
      <c r="F253">
        <v>7139</v>
      </c>
      <c r="G253">
        <v>0.25111084435029968</v>
      </c>
      <c r="H253">
        <v>4.2995335467175758E-103</v>
      </c>
      <c r="I253">
        <v>7.0660081302619489E-103</v>
      </c>
      <c r="J253">
        <v>0.2209040577330324</v>
      </c>
      <c r="K253">
        <v>1.2448838831273591E-79</v>
      </c>
      <c r="L253">
        <v>1.9068160989292169E-79</v>
      </c>
      <c r="M253">
        <v>0.14753468192258479</v>
      </c>
      <c r="N253">
        <v>5.6077261196976277E-78</v>
      </c>
      <c r="O253">
        <v>8.6416934428167089E-78</v>
      </c>
      <c r="P253">
        <v>6.3056656150320425E-2</v>
      </c>
      <c r="Q253">
        <v>0.77210644948099694</v>
      </c>
      <c r="R253">
        <v>-3.6013215471316289</v>
      </c>
      <c r="S253">
        <v>0.34270811089879349</v>
      </c>
      <c r="T253">
        <v>0.2794841841152626</v>
      </c>
      <c r="U253">
        <v>4.4222873134892842</v>
      </c>
      <c r="V253">
        <v>0.1151559613407446</v>
      </c>
      <c r="W253">
        <v>-0.18684499092856141</v>
      </c>
      <c r="X253">
        <v>0.35407734252743012</v>
      </c>
      <c r="Z253" t="s">
        <v>392</v>
      </c>
      <c r="AA253">
        <v>140</v>
      </c>
      <c r="AB253" t="s">
        <v>1658</v>
      </c>
      <c r="AC253" t="str">
        <f>HYPERLINK("plots/20251231112652_3FT6Y119H04_05543_B21P_N_UFLEX98_M5358A8BA201511/dpll_52046/txpa_55172.png","plot")</f>
        <v>plot</v>
      </c>
    </row>
    <row r="254" spans="1:29" x14ac:dyDescent="0.35">
      <c r="A254" t="s">
        <v>47</v>
      </c>
      <c r="B254">
        <v>52046</v>
      </c>
      <c r="C254" t="s">
        <v>51</v>
      </c>
      <c r="D254">
        <v>55173</v>
      </c>
      <c r="E254" t="s">
        <v>306</v>
      </c>
      <c r="F254">
        <v>7139</v>
      </c>
      <c r="G254">
        <v>0.1780728057266116</v>
      </c>
      <c r="H254">
        <v>6.0714052156219573E-52</v>
      </c>
      <c r="I254">
        <v>7.1669439914326702E-52</v>
      </c>
      <c r="J254">
        <v>0.15742218361929791</v>
      </c>
      <c r="K254">
        <v>7.6841084414019142E-41</v>
      </c>
      <c r="L254">
        <v>9.1130829936626205E-41</v>
      </c>
      <c r="M254">
        <v>0.1050139764462913</v>
      </c>
      <c r="N254">
        <v>2.1410834038906402E-40</v>
      </c>
      <c r="O254">
        <v>2.539249791280829E-40</v>
      </c>
      <c r="P254">
        <v>3.1709924139347562E-2</v>
      </c>
      <c r="Q254">
        <v>0.7475675535777121</v>
      </c>
      <c r="R254">
        <v>-3.122293214702228</v>
      </c>
      <c r="S254">
        <v>0.47567638185056083</v>
      </c>
      <c r="T254">
        <v>0.41427708982302219</v>
      </c>
      <c r="U254">
        <v>4.4222873134892842</v>
      </c>
      <c r="V254">
        <v>0.1151559613407446</v>
      </c>
      <c r="W254">
        <v>0.18366529346070881</v>
      </c>
      <c r="X254">
        <v>0.48343631105333362</v>
      </c>
      <c r="Z254" t="s">
        <v>392</v>
      </c>
      <c r="AA254">
        <v>140</v>
      </c>
      <c r="AB254" t="s">
        <v>1659</v>
      </c>
      <c r="AC254" t="str">
        <f>HYPERLINK("plots/20251231112652_3FT6Y119H04_05543_B21P_N_UFLEX98_M5358A8BA201511/dpll_52046/txpa_55173.png","plot")</f>
        <v>plot</v>
      </c>
    </row>
    <row r="255" spans="1:29" x14ac:dyDescent="0.35">
      <c r="A255" t="s">
        <v>47</v>
      </c>
      <c r="B255">
        <v>52046</v>
      </c>
      <c r="C255" t="s">
        <v>51</v>
      </c>
      <c r="D255">
        <v>55174</v>
      </c>
      <c r="E255" t="s">
        <v>307</v>
      </c>
      <c r="F255">
        <v>7139</v>
      </c>
      <c r="G255">
        <v>0.23054617904484201</v>
      </c>
      <c r="H255">
        <v>9.2942352867247342E-87</v>
      </c>
      <c r="I255">
        <v>1.3292460621634529E-86</v>
      </c>
      <c r="J255">
        <v>0.22121615585516291</v>
      </c>
      <c r="K255">
        <v>7.4077429299857092E-80</v>
      </c>
      <c r="L255">
        <v>1.1415579530403509E-79</v>
      </c>
      <c r="M255">
        <v>0.14702901467100779</v>
      </c>
      <c r="N255">
        <v>1.8592687829138151E-77</v>
      </c>
      <c r="O255">
        <v>2.8393050389677838E-77</v>
      </c>
      <c r="P255">
        <v>5.3151540672176353E-2</v>
      </c>
      <c r="Q255">
        <v>0.80216181322341529</v>
      </c>
      <c r="R255">
        <v>-3.4621529910865658</v>
      </c>
      <c r="S255">
        <v>0.38985247820240132</v>
      </c>
      <c r="T255">
        <v>0.30094585261915252</v>
      </c>
      <c r="U255">
        <v>4.4222873134892842</v>
      </c>
      <c r="V255">
        <v>0.1151559613407446</v>
      </c>
      <c r="W255">
        <v>8.5237018896904326E-2</v>
      </c>
      <c r="X255">
        <v>0.40067337110197881</v>
      </c>
      <c r="Z255" t="s">
        <v>392</v>
      </c>
      <c r="AA255">
        <v>140</v>
      </c>
      <c r="AB255" t="s">
        <v>1660</v>
      </c>
      <c r="AC255" t="str">
        <f>HYPERLINK("plots/20251231112652_3FT6Y119H04_05543_B21P_N_UFLEX98_M5358A8BA201511/dpll_52046/txpa_55174.png","plot")</f>
        <v>plot</v>
      </c>
    </row>
    <row r="256" spans="1:29" x14ac:dyDescent="0.35">
      <c r="A256" t="s">
        <v>47</v>
      </c>
      <c r="B256">
        <v>52046</v>
      </c>
      <c r="C256" t="s">
        <v>51</v>
      </c>
      <c r="D256">
        <v>55175</v>
      </c>
      <c r="E256" t="s">
        <v>308</v>
      </c>
      <c r="F256">
        <v>7139</v>
      </c>
      <c r="G256">
        <v>0.17163973747896921</v>
      </c>
      <c r="H256">
        <v>2.487177692798089E-48</v>
      </c>
      <c r="I256">
        <v>2.8955202990783728E-48</v>
      </c>
      <c r="J256">
        <v>0.14002575036776749</v>
      </c>
      <c r="K256">
        <v>1.3716884569672141E-32</v>
      </c>
      <c r="L256">
        <v>1.5318194882871749E-32</v>
      </c>
      <c r="M256">
        <v>9.2847967789506783E-2</v>
      </c>
      <c r="N256">
        <v>5.9591860627017706E-32</v>
      </c>
      <c r="O256">
        <v>6.6548619686999948E-32</v>
      </c>
      <c r="P256">
        <v>2.9460199481849449E-2</v>
      </c>
      <c r="Q256">
        <v>0.77659562245145974</v>
      </c>
      <c r="R256">
        <v>-3.4152601934097109</v>
      </c>
      <c r="S256">
        <v>0.51326278670952463</v>
      </c>
      <c r="T256">
        <v>0.41450492457121652</v>
      </c>
      <c r="U256">
        <v>4.4222873134892842</v>
      </c>
      <c r="V256">
        <v>0.1151559613407446</v>
      </c>
      <c r="W256">
        <v>1.9068775468693101E-2</v>
      </c>
      <c r="X256">
        <v>0.52103094999996435</v>
      </c>
      <c r="Z256" t="s">
        <v>392</v>
      </c>
      <c r="AA256">
        <v>140</v>
      </c>
      <c r="AB256" t="s">
        <v>1661</v>
      </c>
      <c r="AC256" t="str">
        <f>HYPERLINK("plots/20251231112652_3FT6Y119H04_05543_B21P_N_UFLEX98_M5358A8BA201511/dpll_52046/txpa_55175.png","plot")</f>
        <v>plot</v>
      </c>
    </row>
    <row r="257" spans="1:29" x14ac:dyDescent="0.35">
      <c r="A257" t="s">
        <v>47</v>
      </c>
      <c r="B257">
        <v>52046</v>
      </c>
      <c r="C257" t="s">
        <v>51</v>
      </c>
      <c r="D257">
        <v>55176</v>
      </c>
      <c r="E257" t="s">
        <v>309</v>
      </c>
      <c r="F257">
        <v>7139</v>
      </c>
      <c r="G257">
        <v>0.24398698174927561</v>
      </c>
      <c r="H257">
        <v>2.943524364074562E-97</v>
      </c>
      <c r="I257">
        <v>4.5989733515741221E-97</v>
      </c>
      <c r="J257">
        <v>0.24443986478254609</v>
      </c>
      <c r="K257">
        <v>1.2691479596937361E-97</v>
      </c>
      <c r="L257">
        <v>2.3271537633443911E-97</v>
      </c>
      <c r="M257">
        <v>0.1629702100487708</v>
      </c>
      <c r="N257">
        <v>9.9479934903203578E-95</v>
      </c>
      <c r="O257">
        <v>1.810999174000869E-94</v>
      </c>
      <c r="P257">
        <v>5.9529647263121342E-2</v>
      </c>
      <c r="Q257">
        <v>0.77521472291090321</v>
      </c>
      <c r="R257">
        <v>-3.35124973938085</v>
      </c>
      <c r="S257">
        <v>0.35480025105455498</v>
      </c>
      <c r="T257">
        <v>0.27155479700125212</v>
      </c>
      <c r="U257">
        <v>4.4222873134892842</v>
      </c>
      <c r="V257">
        <v>0.1151559613407446</v>
      </c>
      <c r="W257">
        <v>7.697249497814819E-2</v>
      </c>
      <c r="X257">
        <v>0.3658826221885878</v>
      </c>
      <c r="Z257" t="s">
        <v>392</v>
      </c>
      <c r="AA257">
        <v>140</v>
      </c>
      <c r="AB257" t="s">
        <v>1662</v>
      </c>
      <c r="AC257" t="str">
        <f>HYPERLINK("plots/20251231112652_3FT6Y119H04_05543_B21P_N_UFLEX98_M5358A8BA201511/dpll_52046/txpa_55176.png","plot")</f>
        <v>plot</v>
      </c>
    </row>
    <row r="258" spans="1:29" x14ac:dyDescent="0.35">
      <c r="A258" t="s">
        <v>47</v>
      </c>
      <c r="B258">
        <v>52046</v>
      </c>
      <c r="C258" t="s">
        <v>51</v>
      </c>
      <c r="D258">
        <v>55177</v>
      </c>
      <c r="E258" t="s">
        <v>310</v>
      </c>
      <c r="F258">
        <v>7139</v>
      </c>
      <c r="G258">
        <v>0.19878717392947531</v>
      </c>
      <c r="H258">
        <v>1.5517026121194449E-64</v>
      </c>
      <c r="I258">
        <v>1.9353338852264659E-64</v>
      </c>
      <c r="J258">
        <v>0.155957612113585</v>
      </c>
      <c r="K258">
        <v>4.157280362845962E-40</v>
      </c>
      <c r="L258">
        <v>4.9131495197270459E-40</v>
      </c>
      <c r="M258">
        <v>0.1039709603539684</v>
      </c>
      <c r="N258">
        <v>1.2442486800992871E-39</v>
      </c>
      <c r="O258">
        <v>1.4704757128446119E-39</v>
      </c>
      <c r="P258">
        <v>3.9516340518867467E-2</v>
      </c>
      <c r="Q258">
        <v>0.69692129913107848</v>
      </c>
      <c r="R258">
        <v>-3.099673913552027</v>
      </c>
      <c r="S258">
        <v>0.39563652107569991</v>
      </c>
      <c r="T258">
        <v>0.32805329471318229</v>
      </c>
      <c r="U258">
        <v>4.4222873134892842</v>
      </c>
      <c r="V258">
        <v>0.1151559613407446</v>
      </c>
      <c r="W258">
        <v>-1.768769390418826E-2</v>
      </c>
      <c r="X258">
        <v>0.40372143028077001</v>
      </c>
      <c r="Z258" t="s">
        <v>392</v>
      </c>
      <c r="AA258">
        <v>140</v>
      </c>
      <c r="AB258" t="s">
        <v>1663</v>
      </c>
      <c r="AC258" t="str">
        <f>HYPERLINK("plots/20251231112652_3FT6Y119H04_05543_B21P_N_UFLEX98_M5358A8BA201511/dpll_52046/txpa_55177.png","plot")</f>
        <v>plot</v>
      </c>
    </row>
    <row r="259" spans="1:29" x14ac:dyDescent="0.35">
      <c r="A259" t="s">
        <v>47</v>
      </c>
      <c r="B259">
        <v>52046</v>
      </c>
      <c r="C259" t="s">
        <v>51</v>
      </c>
      <c r="D259">
        <v>55178</v>
      </c>
      <c r="E259" t="s">
        <v>311</v>
      </c>
      <c r="F259">
        <v>7139</v>
      </c>
      <c r="G259">
        <v>0.14859619467953711</v>
      </c>
      <c r="H259">
        <v>1.5726008431715259E-36</v>
      </c>
      <c r="I259">
        <v>1.7164878955607399E-36</v>
      </c>
      <c r="J259">
        <v>0.15134611041907731</v>
      </c>
      <c r="K259">
        <v>7.6041992421625787E-38</v>
      </c>
      <c r="L259">
        <v>8.852649864010166E-38</v>
      </c>
      <c r="M259">
        <v>0.101088329071853</v>
      </c>
      <c r="N259">
        <v>1.470669393996689E-37</v>
      </c>
      <c r="O259">
        <v>1.712122578085698E-37</v>
      </c>
      <c r="P259">
        <v>2.208082907323889E-2</v>
      </c>
      <c r="Q259">
        <v>0.66302464023898944</v>
      </c>
      <c r="R259">
        <v>-2.4729118335273919</v>
      </c>
      <c r="S259">
        <v>0.50807691962192258</v>
      </c>
      <c r="T259">
        <v>0.4000944943941413</v>
      </c>
      <c r="U259">
        <v>4.4222873134892842</v>
      </c>
      <c r="V259">
        <v>0.1151559613407446</v>
      </c>
      <c r="W259">
        <v>0.45917362153228752</v>
      </c>
      <c r="X259">
        <v>0.51381692515061661</v>
      </c>
      <c r="Z259" t="s">
        <v>392</v>
      </c>
      <c r="AA259">
        <v>140</v>
      </c>
      <c r="AB259" t="s">
        <v>1664</v>
      </c>
      <c r="AC259" t="str">
        <f>HYPERLINK("plots/20251231112652_3FT6Y119H04_05543_B21P_N_UFLEX98_M5358A8BA201511/dpll_52046/txpa_55178.png","plot")</f>
        <v>plot</v>
      </c>
    </row>
    <row r="260" spans="1:29" x14ac:dyDescent="0.35">
      <c r="A260" t="s">
        <v>47</v>
      </c>
      <c r="B260">
        <v>52046</v>
      </c>
      <c r="C260" t="s">
        <v>51</v>
      </c>
      <c r="D260">
        <v>55179</v>
      </c>
      <c r="E260" t="s">
        <v>312</v>
      </c>
      <c r="F260">
        <v>7139</v>
      </c>
      <c r="G260">
        <v>0.14337309614523641</v>
      </c>
      <c r="H260">
        <v>4.2347913122124322E-34</v>
      </c>
      <c r="I260">
        <v>4.5730334298012849E-34</v>
      </c>
      <c r="J260">
        <v>0.15038504805104111</v>
      </c>
      <c r="K260">
        <v>2.2062924617211821E-37</v>
      </c>
      <c r="L260">
        <v>2.559703153530067E-37</v>
      </c>
      <c r="M260">
        <v>0.10053439554407601</v>
      </c>
      <c r="N260">
        <v>3.622121096049541E-37</v>
      </c>
      <c r="O260">
        <v>4.207137218091907E-37</v>
      </c>
      <c r="P260">
        <v>2.0555844698271201E-2</v>
      </c>
      <c r="Q260">
        <v>0.61606217067122404</v>
      </c>
      <c r="R260">
        <v>0.95031884467380623</v>
      </c>
      <c r="S260">
        <v>0.48966912720208172</v>
      </c>
      <c r="T260">
        <v>0.40990480966535958</v>
      </c>
      <c r="U260">
        <v>4.4222873134892842</v>
      </c>
      <c r="V260">
        <v>0.1151559613407446</v>
      </c>
      <c r="W260">
        <v>3.6747227663538311</v>
      </c>
      <c r="X260">
        <v>0.49481550874402158</v>
      </c>
      <c r="Z260" t="s">
        <v>392</v>
      </c>
      <c r="AA260">
        <v>140</v>
      </c>
      <c r="AB260" t="s">
        <v>1665</v>
      </c>
      <c r="AC260" t="str">
        <f>HYPERLINK("plots/20251231112652_3FT6Y119H04_05543_B21P_N_UFLEX98_M5358A8BA201511/dpll_52046/txpa_55179.png","plot")</f>
        <v>plot</v>
      </c>
    </row>
    <row r="261" spans="1:29" x14ac:dyDescent="0.35">
      <c r="A261" t="s">
        <v>47</v>
      </c>
      <c r="B261">
        <v>52046</v>
      </c>
      <c r="C261" t="s">
        <v>51</v>
      </c>
      <c r="D261">
        <v>55180</v>
      </c>
      <c r="E261" t="s">
        <v>313</v>
      </c>
      <c r="F261">
        <v>7139</v>
      </c>
      <c r="G261">
        <v>0.26737980364584418</v>
      </c>
      <c r="H261">
        <v>3.8941397231987333E-117</v>
      </c>
      <c r="I261">
        <v>7.1924547892960207E-117</v>
      </c>
      <c r="J261">
        <v>0.24031140270546211</v>
      </c>
      <c r="K261">
        <v>2.5468589297406279E-94</v>
      </c>
      <c r="L261">
        <v>4.4991549734442459E-94</v>
      </c>
      <c r="M261">
        <v>0.1607898399250734</v>
      </c>
      <c r="N261">
        <v>2.9053493423629921E-92</v>
      </c>
      <c r="O261">
        <v>5.1503920160071233E-92</v>
      </c>
      <c r="P261">
        <v>7.1491959397690222E-2</v>
      </c>
      <c r="Q261">
        <v>0.77179907691078198</v>
      </c>
      <c r="R261">
        <v>-0.19977327703103989</v>
      </c>
      <c r="S261">
        <v>0.32027607335299457</v>
      </c>
      <c r="T261">
        <v>0.26079766756918371</v>
      </c>
      <c r="U261">
        <v>4.4222873134892842</v>
      </c>
      <c r="V261">
        <v>0.1151559613407446</v>
      </c>
      <c r="W261">
        <v>3.213343989354251</v>
      </c>
      <c r="X261">
        <v>0.33240081506411029</v>
      </c>
      <c r="Z261" t="s">
        <v>392</v>
      </c>
      <c r="AA261">
        <v>140</v>
      </c>
      <c r="AB261" t="s">
        <v>1666</v>
      </c>
      <c r="AC261" t="str">
        <f>HYPERLINK("plots/20251231112652_3FT6Y119H04_05543_B21P_N_UFLEX98_M5358A8BA201511/dpll_52046/txpa_55180.png","plot")</f>
        <v>plot</v>
      </c>
    </row>
    <row r="262" spans="1:29" x14ac:dyDescent="0.35">
      <c r="A262" t="s">
        <v>47</v>
      </c>
      <c r="B262">
        <v>52046</v>
      </c>
      <c r="C262" t="s">
        <v>51</v>
      </c>
      <c r="D262">
        <v>55181</v>
      </c>
      <c r="E262" t="s">
        <v>314</v>
      </c>
      <c r="F262">
        <v>7139</v>
      </c>
      <c r="G262">
        <v>0.19314554593866809</v>
      </c>
      <c r="H262">
        <v>5.846353586824264E-61</v>
      </c>
      <c r="I262">
        <v>7.0996437569338958E-61</v>
      </c>
      <c r="J262">
        <v>0.17333291810781751</v>
      </c>
      <c r="K262">
        <v>2.8740637598755611E-49</v>
      </c>
      <c r="L262">
        <v>3.5410700516571317E-49</v>
      </c>
      <c r="M262">
        <v>0.1159356599197099</v>
      </c>
      <c r="N262">
        <v>7.5025556389014098E-49</v>
      </c>
      <c r="O262">
        <v>9.2437319779417131E-49</v>
      </c>
      <c r="P262">
        <v>3.7305201915946169E-2</v>
      </c>
      <c r="Q262">
        <v>0.74718055001395789</v>
      </c>
      <c r="R262">
        <v>0.24486453707364311</v>
      </c>
      <c r="S262">
        <v>0.43706011865678751</v>
      </c>
      <c r="T262">
        <v>0.3796475180380533</v>
      </c>
      <c r="U262">
        <v>4.4222873134892842</v>
      </c>
      <c r="V262">
        <v>0.1151559613407446</v>
      </c>
      <c r="W262">
        <v>3.5491116042863151</v>
      </c>
      <c r="X262">
        <v>0.44547905111560621</v>
      </c>
      <c r="Z262" t="s">
        <v>392</v>
      </c>
      <c r="AA262">
        <v>140</v>
      </c>
      <c r="AB262" t="s">
        <v>1667</v>
      </c>
      <c r="AC262" t="str">
        <f>HYPERLINK("plots/20251231112652_3FT6Y119H04_05543_B21P_N_UFLEX98_M5358A8BA201511/dpll_52046/txpa_55181.png","plot")</f>
        <v>plot</v>
      </c>
    </row>
    <row r="263" spans="1:29" x14ac:dyDescent="0.35">
      <c r="A263" t="s">
        <v>47</v>
      </c>
      <c r="B263">
        <v>52046</v>
      </c>
      <c r="C263" t="s">
        <v>51</v>
      </c>
      <c r="D263">
        <v>55182</v>
      </c>
      <c r="E263" t="s">
        <v>315</v>
      </c>
      <c r="F263">
        <v>7139</v>
      </c>
      <c r="G263">
        <v>0.24863010579345329</v>
      </c>
      <c r="H263">
        <v>4.8636952860188437E-101</v>
      </c>
      <c r="I263">
        <v>7.8406788871591551E-101</v>
      </c>
      <c r="J263">
        <v>0.2413709774574406</v>
      </c>
      <c r="K263">
        <v>3.6679516459235413E-95</v>
      </c>
      <c r="L263">
        <v>6.5250929280113514E-95</v>
      </c>
      <c r="M263">
        <v>0.16082212394383619</v>
      </c>
      <c r="N263">
        <v>2.6720918539500761E-92</v>
      </c>
      <c r="O263">
        <v>4.745185884247595E-92</v>
      </c>
      <c r="P263">
        <v>6.1816929506863787E-2</v>
      </c>
      <c r="Q263">
        <v>0.79917176755268249</v>
      </c>
      <c r="R263">
        <v>-7.1069025229427929E-2</v>
      </c>
      <c r="S263">
        <v>0.35849757337931509</v>
      </c>
      <c r="T263">
        <v>0.27696087630729688</v>
      </c>
      <c r="U263">
        <v>4.4222873134892842</v>
      </c>
      <c r="V263">
        <v>0.1151559613407446</v>
      </c>
      <c r="W263">
        <v>3.4630981437176072</v>
      </c>
      <c r="X263">
        <v>0.37014581510641209</v>
      </c>
      <c r="Z263" t="s">
        <v>392</v>
      </c>
      <c r="AA263">
        <v>140</v>
      </c>
      <c r="AB263" t="s">
        <v>1668</v>
      </c>
      <c r="AC263" t="str">
        <f>HYPERLINK("plots/20251231112652_3FT6Y119H04_05543_B21P_N_UFLEX98_M5358A8BA201511/dpll_52046/txpa_55182.png","plot")</f>
        <v>plot</v>
      </c>
    </row>
    <row r="264" spans="1:29" x14ac:dyDescent="0.35">
      <c r="A264" t="s">
        <v>47</v>
      </c>
      <c r="B264">
        <v>52046</v>
      </c>
      <c r="C264" t="s">
        <v>51</v>
      </c>
      <c r="D264">
        <v>55183</v>
      </c>
      <c r="E264" t="s">
        <v>316</v>
      </c>
      <c r="F264">
        <v>7139</v>
      </c>
      <c r="G264">
        <v>0.18542276583752151</v>
      </c>
      <c r="H264">
        <v>3.0468565871583281E-56</v>
      </c>
      <c r="I264">
        <v>3.6176962287804968E-56</v>
      </c>
      <c r="J264">
        <v>0.15495323882814371</v>
      </c>
      <c r="K264">
        <v>1.310748306859667E-39</v>
      </c>
      <c r="L264">
        <v>1.5400912898675579E-39</v>
      </c>
      <c r="M264">
        <v>0.102880335565405</v>
      </c>
      <c r="N264">
        <v>7.6816580619569802E-39</v>
      </c>
      <c r="O264">
        <v>9.0152792532689564E-39</v>
      </c>
      <c r="P264">
        <v>3.4381602090836343E-2</v>
      </c>
      <c r="Q264">
        <v>0.77530564218159082</v>
      </c>
      <c r="R264">
        <v>-2.499482783837648E-2</v>
      </c>
      <c r="S264">
        <v>0.47311711787397492</v>
      </c>
      <c r="T264">
        <v>0.38244806267612508</v>
      </c>
      <c r="U264">
        <v>4.4222873134892842</v>
      </c>
      <c r="V264">
        <v>0.1151559613407446</v>
      </c>
      <c r="W264">
        <v>3.403629477657935</v>
      </c>
      <c r="X264">
        <v>0.48150002592754881</v>
      </c>
      <c r="Z264" t="s">
        <v>392</v>
      </c>
      <c r="AA264">
        <v>140</v>
      </c>
      <c r="AB264" t="s">
        <v>1669</v>
      </c>
      <c r="AC264" t="str">
        <f>HYPERLINK("plots/20251231112652_3FT6Y119H04_05543_B21P_N_UFLEX98_M5358A8BA201511/dpll_52046/txpa_55183.png","plot")</f>
        <v>plot</v>
      </c>
    </row>
    <row r="265" spans="1:29" x14ac:dyDescent="0.35">
      <c r="A265" t="s">
        <v>47</v>
      </c>
      <c r="B265">
        <v>52046</v>
      </c>
      <c r="C265" t="s">
        <v>51</v>
      </c>
      <c r="D265">
        <v>55184</v>
      </c>
      <c r="E265" t="s">
        <v>317</v>
      </c>
      <c r="F265">
        <v>7139</v>
      </c>
      <c r="G265">
        <v>0.26374794027009307</v>
      </c>
      <c r="H265">
        <v>6.4963401992450052E-114</v>
      </c>
      <c r="I265">
        <v>1.170033563416418E-113</v>
      </c>
      <c r="J265">
        <v>0.2672599468642024</v>
      </c>
      <c r="K265">
        <v>4.9837764778479577E-117</v>
      </c>
      <c r="L265">
        <v>1.046283509014043E-116</v>
      </c>
      <c r="M265">
        <v>0.17891407319992689</v>
      </c>
      <c r="N265">
        <v>8.9841664388802409E-114</v>
      </c>
      <c r="O265">
        <v>1.886116929404672E-113</v>
      </c>
      <c r="P265">
        <v>6.9562975996716583E-2</v>
      </c>
      <c r="Q265">
        <v>0.77558859411213898</v>
      </c>
      <c r="R265">
        <v>1.318236377145832E-2</v>
      </c>
      <c r="S265">
        <v>0.32661929329972073</v>
      </c>
      <c r="T265">
        <v>0.24984037077898211</v>
      </c>
      <c r="U265">
        <v>4.4222873134892842</v>
      </c>
      <c r="V265">
        <v>0.1151559613407446</v>
      </c>
      <c r="W265">
        <v>3.4430579640005599</v>
      </c>
      <c r="X265">
        <v>0.33863259773114279</v>
      </c>
      <c r="Z265" t="s">
        <v>392</v>
      </c>
      <c r="AA265">
        <v>140</v>
      </c>
      <c r="AB265" t="s">
        <v>1670</v>
      </c>
      <c r="AC265" t="str">
        <f>HYPERLINK("plots/20251231112652_3FT6Y119H04_05543_B21P_N_UFLEX98_M5358A8BA201511/dpll_52046/txpa_55184.png","plot")</f>
        <v>plot</v>
      </c>
    </row>
    <row r="266" spans="1:29" x14ac:dyDescent="0.35">
      <c r="A266" t="s">
        <v>47</v>
      </c>
      <c r="B266">
        <v>52046</v>
      </c>
      <c r="C266" t="s">
        <v>51</v>
      </c>
      <c r="D266">
        <v>55185</v>
      </c>
      <c r="E266" t="s">
        <v>318</v>
      </c>
      <c r="F266">
        <v>7139</v>
      </c>
      <c r="G266">
        <v>0.21508590292587651</v>
      </c>
      <c r="H266">
        <v>1.7143281236539359E-75</v>
      </c>
      <c r="I266">
        <v>2.2752993683050942E-75</v>
      </c>
      <c r="J266">
        <v>0.17260484943658841</v>
      </c>
      <c r="K266">
        <v>7.2892643286680027E-49</v>
      </c>
      <c r="L266">
        <v>8.9483220693333591E-49</v>
      </c>
      <c r="M266">
        <v>0.11521353628732831</v>
      </c>
      <c r="N266">
        <v>2.8831869696288638E-48</v>
      </c>
      <c r="O266">
        <v>3.5351288841640493E-48</v>
      </c>
      <c r="P266">
        <v>4.6261945637439551E-2</v>
      </c>
      <c r="Q266">
        <v>0.70086303856309207</v>
      </c>
      <c r="R266">
        <v>0.26915046811259019</v>
      </c>
      <c r="S266">
        <v>0.36643063231080619</v>
      </c>
      <c r="T266">
        <v>0.30390747837276672</v>
      </c>
      <c r="U266">
        <v>4.4222873134892842</v>
      </c>
      <c r="V266">
        <v>0.1151559613407446</v>
      </c>
      <c r="W266">
        <v>3.3685681920437029</v>
      </c>
      <c r="X266">
        <v>0.37523871102673911</v>
      </c>
      <c r="Z266" t="s">
        <v>392</v>
      </c>
      <c r="AA266">
        <v>140</v>
      </c>
      <c r="AB266" t="s">
        <v>1671</v>
      </c>
      <c r="AC266" t="str">
        <f>HYPERLINK("plots/20251231112652_3FT6Y119H04_05543_B21P_N_UFLEX98_M5358A8BA201511/dpll_52046/txpa_55185.png","plot")</f>
        <v>plot</v>
      </c>
    </row>
    <row r="267" spans="1:29" x14ac:dyDescent="0.35">
      <c r="A267" t="s">
        <v>47</v>
      </c>
      <c r="B267">
        <v>52046</v>
      </c>
      <c r="C267" t="s">
        <v>51</v>
      </c>
      <c r="D267">
        <v>55186</v>
      </c>
      <c r="E267" t="s">
        <v>319</v>
      </c>
      <c r="F267">
        <v>7139</v>
      </c>
      <c r="G267">
        <v>0.16170028450539259</v>
      </c>
      <c r="H267">
        <v>5.0462507449925291E-43</v>
      </c>
      <c r="I267">
        <v>5.6854425060249161E-43</v>
      </c>
      <c r="J267">
        <v>0.16547763414098049</v>
      </c>
      <c r="K267">
        <v>5.3094560386898803E-45</v>
      </c>
      <c r="L267">
        <v>6.3864631355059761E-45</v>
      </c>
      <c r="M267">
        <v>0.1108756267618039</v>
      </c>
      <c r="N267">
        <v>7.8580796120979695E-45</v>
      </c>
      <c r="O267">
        <v>9.4632930245455357E-45</v>
      </c>
      <c r="P267">
        <v>2.6146982009124929E-2</v>
      </c>
      <c r="Q267">
        <v>0.66987120560202307</v>
      </c>
      <c r="R267">
        <v>0.84113425503659212</v>
      </c>
      <c r="S267">
        <v>0.47074231561406249</v>
      </c>
      <c r="T267">
        <v>0.37201111424709182</v>
      </c>
      <c r="U267">
        <v>4.4222873134892842</v>
      </c>
      <c r="V267">
        <v>0.1151559613407446</v>
      </c>
      <c r="W267">
        <v>3.80349718924219</v>
      </c>
      <c r="X267">
        <v>0.47705335146155542</v>
      </c>
      <c r="Z267" t="s">
        <v>392</v>
      </c>
      <c r="AA267">
        <v>140</v>
      </c>
      <c r="AB267" t="s">
        <v>1672</v>
      </c>
      <c r="AC267" t="str">
        <f>HYPERLINK("plots/20251231112652_3FT6Y119H04_05543_B21P_N_UFLEX98_M5358A8BA201511/dpll_52046/txpa_55186.png","plot")</f>
        <v>plot</v>
      </c>
    </row>
    <row r="268" spans="1:29" x14ac:dyDescent="0.35">
      <c r="A268" t="s">
        <v>47</v>
      </c>
      <c r="B268">
        <v>52046</v>
      </c>
      <c r="C268" t="s">
        <v>51</v>
      </c>
      <c r="D268">
        <v>55187</v>
      </c>
      <c r="E268" t="s">
        <v>320</v>
      </c>
      <c r="F268">
        <v>7139</v>
      </c>
      <c r="G268">
        <v>0.15294181949603611</v>
      </c>
      <c r="H268">
        <v>1.2770756503437751E-38</v>
      </c>
      <c r="I268">
        <v>1.427733968521045E-38</v>
      </c>
      <c r="J268">
        <v>0.15957942104029149</v>
      </c>
      <c r="K268">
        <v>6.2032696989242057E-42</v>
      </c>
      <c r="L268">
        <v>7.3827646416773997E-42</v>
      </c>
      <c r="M268">
        <v>0.1069911563896616</v>
      </c>
      <c r="N268">
        <v>7.2585791000999462E-42</v>
      </c>
      <c r="O268">
        <v>8.6387314642034567E-42</v>
      </c>
      <c r="P268">
        <v>2.339120015075807E-2</v>
      </c>
      <c r="Q268">
        <v>0.62314461322754111</v>
      </c>
      <c r="R268">
        <v>2.7833624370701511</v>
      </c>
      <c r="S268">
        <v>0.46363788419356822</v>
      </c>
      <c r="T268">
        <v>0.38772159779310927</v>
      </c>
      <c r="U268">
        <v>4.4222873134892842</v>
      </c>
      <c r="V268">
        <v>0.1151559613407446</v>
      </c>
      <c r="W268">
        <v>5.5390869546154926</v>
      </c>
      <c r="X268">
        <v>0.46919029227570969</v>
      </c>
      <c r="Z268" t="s">
        <v>392</v>
      </c>
      <c r="AA268">
        <v>140</v>
      </c>
      <c r="AB268" t="s">
        <v>1673</v>
      </c>
      <c r="AC268" t="str">
        <f>HYPERLINK("plots/20251231112652_3FT6Y119H04_05543_B21P_N_UFLEX98_M5358A8BA201511/dpll_52046/txpa_55187.png","plot")</f>
        <v>plot</v>
      </c>
    </row>
    <row r="269" spans="1:29" x14ac:dyDescent="0.35">
      <c r="A269" t="s">
        <v>47</v>
      </c>
      <c r="B269">
        <v>52046</v>
      </c>
      <c r="C269" t="s">
        <v>51</v>
      </c>
      <c r="D269">
        <v>55188</v>
      </c>
      <c r="E269" t="s">
        <v>321</v>
      </c>
      <c r="F269">
        <v>7139</v>
      </c>
      <c r="G269">
        <v>0.27972890952988289</v>
      </c>
      <c r="H269">
        <v>1.7891602567537781E-128</v>
      </c>
      <c r="I269">
        <v>3.6139611560723732E-128</v>
      </c>
      <c r="J269">
        <v>0.25393816939970237</v>
      </c>
      <c r="K269">
        <v>1.840153873005349E-105</v>
      </c>
      <c r="L269">
        <v>3.5745517762977463E-105</v>
      </c>
      <c r="M269">
        <v>0.17015006687874121</v>
      </c>
      <c r="N269">
        <v>4.3597078570644472E-103</v>
      </c>
      <c r="O269">
        <v>8.4851127966666975E-103</v>
      </c>
      <c r="P269">
        <v>7.8248262826777437E-2</v>
      </c>
      <c r="Q269">
        <v>0.7718841404835336</v>
      </c>
      <c r="R269">
        <v>1.695665721104135</v>
      </c>
      <c r="S269">
        <v>0.30505472341522971</v>
      </c>
      <c r="T269">
        <v>0.24797733325099261</v>
      </c>
      <c r="U269">
        <v>4.4222873134892842</v>
      </c>
      <c r="V269">
        <v>0.1151559613407446</v>
      </c>
      <c r="W269">
        <v>5.1091591630480462</v>
      </c>
      <c r="X269">
        <v>0.31776143692277192</v>
      </c>
      <c r="Z269" t="s">
        <v>392</v>
      </c>
      <c r="AA269">
        <v>140</v>
      </c>
      <c r="AB269" t="s">
        <v>1674</v>
      </c>
      <c r="AC269" t="str">
        <f>HYPERLINK("plots/20251231112652_3FT6Y119H04_05543_B21P_N_UFLEX98_M5358A8BA201511/dpll_52046/txpa_55188.png","plot")</f>
        <v>plot</v>
      </c>
    </row>
    <row r="270" spans="1:29" x14ac:dyDescent="0.35">
      <c r="A270" t="s">
        <v>47</v>
      </c>
      <c r="B270">
        <v>52046</v>
      </c>
      <c r="C270" t="s">
        <v>51</v>
      </c>
      <c r="D270">
        <v>55189</v>
      </c>
      <c r="E270" t="s">
        <v>322</v>
      </c>
      <c r="F270">
        <v>7139</v>
      </c>
      <c r="G270">
        <v>0.2054773742400241</v>
      </c>
      <c r="H270">
        <v>6.4028505763027519E-69</v>
      </c>
      <c r="I270">
        <v>8.1461612100012422E-69</v>
      </c>
      <c r="J270">
        <v>0.18452055849804549</v>
      </c>
      <c r="K270">
        <v>1.0508518111174561E-55</v>
      </c>
      <c r="L270">
        <v>1.350524380827757E-55</v>
      </c>
      <c r="M270">
        <v>0.1236553760017596</v>
      </c>
      <c r="N270">
        <v>2.5078842098223668E-55</v>
      </c>
      <c r="O270">
        <v>3.2312510657685901E-55</v>
      </c>
      <c r="P270">
        <v>4.2220951324574908E-2</v>
      </c>
      <c r="Q270">
        <v>0.75118245606467227</v>
      </c>
      <c r="R270">
        <v>2.1001742418086642</v>
      </c>
      <c r="S270">
        <v>0.41197427816922921</v>
      </c>
      <c r="T270">
        <v>0.35697831477513531</v>
      </c>
      <c r="U270">
        <v>4.4222873134892842</v>
      </c>
      <c r="V270">
        <v>0.1151559613407446</v>
      </c>
      <c r="W270">
        <v>5.4221188873791846</v>
      </c>
      <c r="X270">
        <v>0.42098619466191028</v>
      </c>
      <c r="Z270" t="s">
        <v>392</v>
      </c>
      <c r="AA270">
        <v>140</v>
      </c>
      <c r="AB270" t="s">
        <v>1675</v>
      </c>
      <c r="AC270" t="str">
        <f>HYPERLINK("plots/20251231112652_3FT6Y119H04_05543_B21P_N_UFLEX98_M5358A8BA201511/dpll_52046/txpa_55189.png","plot")</f>
        <v>plot</v>
      </c>
    </row>
    <row r="271" spans="1:29" x14ac:dyDescent="0.35">
      <c r="A271" t="s">
        <v>47</v>
      </c>
      <c r="B271">
        <v>52046</v>
      </c>
      <c r="C271" t="s">
        <v>51</v>
      </c>
      <c r="D271">
        <v>55190</v>
      </c>
      <c r="E271" t="s">
        <v>323</v>
      </c>
      <c r="F271">
        <v>7139</v>
      </c>
      <c r="G271">
        <v>0.26141806522113442</v>
      </c>
      <c r="H271">
        <v>7.1319088735475149E-112</v>
      </c>
      <c r="I271">
        <v>1.257696625700379E-111</v>
      </c>
      <c r="J271">
        <v>0.25442174948257901</v>
      </c>
      <c r="K271">
        <v>7.1900199068007277E-106</v>
      </c>
      <c r="L271">
        <v>1.4101895910050169E-105</v>
      </c>
      <c r="M271">
        <v>0.16982726822709521</v>
      </c>
      <c r="N271">
        <v>1.053664274907017E-102</v>
      </c>
      <c r="O271">
        <v>2.0428596075635102E-102</v>
      </c>
      <c r="P271">
        <v>6.8339404823961267E-2</v>
      </c>
      <c r="Q271">
        <v>0.79716777821628459</v>
      </c>
      <c r="R271">
        <v>1.819553905074683</v>
      </c>
      <c r="S271">
        <v>0.33892141403761639</v>
      </c>
      <c r="T271">
        <v>0.26203992836388762</v>
      </c>
      <c r="U271">
        <v>4.4222873134892842</v>
      </c>
      <c r="V271">
        <v>0.1151559613407446</v>
      </c>
      <c r="W271">
        <v>5.3448588574029978</v>
      </c>
      <c r="X271">
        <v>0.35115638153281042</v>
      </c>
      <c r="Z271" t="s">
        <v>392</v>
      </c>
      <c r="AA271">
        <v>140</v>
      </c>
      <c r="AB271" t="s">
        <v>1676</v>
      </c>
      <c r="AC271" t="str">
        <f>HYPERLINK("plots/20251231112652_3FT6Y119H04_05543_B21P_N_UFLEX98_M5358A8BA201511/dpll_52046/txpa_55190.png","plot")</f>
        <v>plot</v>
      </c>
    </row>
    <row r="272" spans="1:29" x14ac:dyDescent="0.35">
      <c r="A272" t="s">
        <v>47</v>
      </c>
      <c r="B272">
        <v>52046</v>
      </c>
      <c r="C272" t="s">
        <v>51</v>
      </c>
      <c r="D272">
        <v>55191</v>
      </c>
      <c r="E272" t="s">
        <v>324</v>
      </c>
      <c r="F272">
        <v>7139</v>
      </c>
      <c r="G272">
        <v>0.19674458329607941</v>
      </c>
      <c r="H272">
        <v>3.1499934037428821E-63</v>
      </c>
      <c r="I272">
        <v>3.8857582863689559E-63</v>
      </c>
      <c r="J272">
        <v>0.16607745514951491</v>
      </c>
      <c r="K272">
        <v>2.550199336871999E-45</v>
      </c>
      <c r="L272">
        <v>3.0747944442190318E-45</v>
      </c>
      <c r="M272">
        <v>0.1103923311460225</v>
      </c>
      <c r="N272">
        <v>1.8613299248525019E-44</v>
      </c>
      <c r="O272">
        <v>2.238895069751408E-44</v>
      </c>
      <c r="P272">
        <v>3.8708431056347907E-2</v>
      </c>
      <c r="Q272">
        <v>0.77660474015428327</v>
      </c>
      <c r="R272">
        <v>1.854424828524063</v>
      </c>
      <c r="S272">
        <v>0.44563657259651768</v>
      </c>
      <c r="T272">
        <v>0.36019883724582302</v>
      </c>
      <c r="U272">
        <v>4.4222873134892842</v>
      </c>
      <c r="V272">
        <v>0.1151559613407446</v>
      </c>
      <c r="W272">
        <v>5.2887941185039917</v>
      </c>
      <c r="X272">
        <v>0.45455210982689243</v>
      </c>
      <c r="Z272" t="s">
        <v>392</v>
      </c>
      <c r="AA272">
        <v>140</v>
      </c>
      <c r="AB272" t="s">
        <v>1677</v>
      </c>
      <c r="AC272" t="str">
        <f>HYPERLINK("plots/20251231112652_3FT6Y119H04_05543_B21P_N_UFLEX98_M5358A8BA201511/dpll_52046/txpa_55191.png","plot")</f>
        <v>plot</v>
      </c>
    </row>
    <row r="273" spans="1:29" x14ac:dyDescent="0.35">
      <c r="A273" t="s">
        <v>47</v>
      </c>
      <c r="B273">
        <v>52046</v>
      </c>
      <c r="C273" t="s">
        <v>51</v>
      </c>
      <c r="D273">
        <v>55192</v>
      </c>
      <c r="E273" t="s">
        <v>325</v>
      </c>
      <c r="F273">
        <v>7139</v>
      </c>
      <c r="G273">
        <v>0.27774988913759963</v>
      </c>
      <c r="H273">
        <v>1.286983464552894E-126</v>
      </c>
      <c r="I273">
        <v>2.5241803347323678E-126</v>
      </c>
      <c r="J273">
        <v>0.2815766741799301</v>
      </c>
      <c r="K273">
        <v>3.1988696623830752E-130</v>
      </c>
      <c r="L273">
        <v>7.8349126513440531E-130</v>
      </c>
      <c r="M273">
        <v>0.1890774098766641</v>
      </c>
      <c r="N273">
        <v>7.7776673239537202E-127</v>
      </c>
      <c r="O273">
        <v>1.8912601118678829E-126</v>
      </c>
      <c r="P273">
        <v>7.714500091594885E-2</v>
      </c>
      <c r="Q273">
        <v>0.77543674835837728</v>
      </c>
      <c r="R273">
        <v>1.888990282965294</v>
      </c>
      <c r="S273">
        <v>0.30882697321049579</v>
      </c>
      <c r="T273">
        <v>0.23643197068349739</v>
      </c>
      <c r="U273">
        <v>4.4222873134892842</v>
      </c>
      <c r="V273">
        <v>0.1151559613407446</v>
      </c>
      <c r="W273">
        <v>5.3181943776439278</v>
      </c>
      <c r="X273">
        <v>0.32149846933660509</v>
      </c>
      <c r="Z273" t="s">
        <v>392</v>
      </c>
      <c r="AA273">
        <v>140</v>
      </c>
      <c r="AB273" t="s">
        <v>1678</v>
      </c>
      <c r="AC273" t="str">
        <f>HYPERLINK("plots/20251231112652_3FT6Y119H04_05543_B21P_N_UFLEX98_M5358A8BA201511/dpll_52046/txpa_55192.png","plot")</f>
        <v>plot</v>
      </c>
    </row>
    <row r="274" spans="1:29" x14ac:dyDescent="0.35">
      <c r="A274" t="s">
        <v>47</v>
      </c>
      <c r="B274">
        <v>52046</v>
      </c>
      <c r="C274" t="s">
        <v>51</v>
      </c>
      <c r="D274">
        <v>55193</v>
      </c>
      <c r="E274" t="s">
        <v>326</v>
      </c>
      <c r="F274">
        <v>7139</v>
      </c>
      <c r="G274">
        <v>0.22723757810034079</v>
      </c>
      <c r="H274">
        <v>2.828648803016795E-84</v>
      </c>
      <c r="I274">
        <v>3.9892209822795959E-84</v>
      </c>
      <c r="J274">
        <v>0.1844332377294261</v>
      </c>
      <c r="K274">
        <v>1.184224973266539E-55</v>
      </c>
      <c r="L274">
        <v>1.5200052188509749E-55</v>
      </c>
      <c r="M274">
        <v>0.12321782564544061</v>
      </c>
      <c r="N274">
        <v>5.9910509778486362E-55</v>
      </c>
      <c r="O274">
        <v>7.7092965628661383E-55</v>
      </c>
      <c r="P274">
        <v>5.1636916900908492E-2</v>
      </c>
      <c r="Q274">
        <v>0.70219435498770588</v>
      </c>
      <c r="R274">
        <v>2.149611923834287</v>
      </c>
      <c r="S274">
        <v>0.34651377822748808</v>
      </c>
      <c r="T274">
        <v>0.28708408422206022</v>
      </c>
      <c r="U274">
        <v>4.4222873134892842</v>
      </c>
      <c r="V274">
        <v>0.1151559613407446</v>
      </c>
      <c r="W274">
        <v>5.2549171115002098</v>
      </c>
      <c r="X274">
        <v>0.35584724442428001</v>
      </c>
      <c r="Z274" t="s">
        <v>392</v>
      </c>
      <c r="AA274">
        <v>140</v>
      </c>
      <c r="AB274" t="s">
        <v>1679</v>
      </c>
      <c r="AC274" t="str">
        <f>HYPERLINK("plots/20251231112652_3FT6Y119H04_05543_B21P_N_UFLEX98_M5358A8BA201511/dpll_52046/txpa_55193.png","plot")</f>
        <v>plot</v>
      </c>
    </row>
    <row r="275" spans="1:29" x14ac:dyDescent="0.35">
      <c r="A275" t="s">
        <v>47</v>
      </c>
      <c r="B275">
        <v>52046</v>
      </c>
      <c r="C275" t="s">
        <v>51</v>
      </c>
      <c r="D275">
        <v>55194</v>
      </c>
      <c r="E275" t="s">
        <v>327</v>
      </c>
      <c r="F275">
        <v>7139</v>
      </c>
      <c r="G275">
        <v>0.1716613294146761</v>
      </c>
      <c r="H275">
        <v>2.420004336047746E-48</v>
      </c>
      <c r="I275">
        <v>2.8205567778763387E-48</v>
      </c>
      <c r="J275">
        <v>0.17477311313943511</v>
      </c>
      <c r="K275">
        <v>4.5049939799125726E-50</v>
      </c>
      <c r="L275">
        <v>5.5776115941774705E-50</v>
      </c>
      <c r="M275">
        <v>0.11724095975864619</v>
      </c>
      <c r="N275">
        <v>6.4442645108201563E-50</v>
      </c>
      <c r="O275">
        <v>7.9786132038725746E-50</v>
      </c>
      <c r="P275">
        <v>2.946761201641394E-2</v>
      </c>
      <c r="Q275">
        <v>0.67268701628998884</v>
      </c>
      <c r="R275">
        <v>2.6866415560314461</v>
      </c>
      <c r="S275">
        <v>0.44453053307171242</v>
      </c>
      <c r="T275">
        <v>0.3517630765813296</v>
      </c>
      <c r="U275">
        <v>4.4222873134892842</v>
      </c>
      <c r="V275">
        <v>0.1151559613407446</v>
      </c>
      <c r="W275">
        <v>5.6614568141196244</v>
      </c>
      <c r="X275">
        <v>0.45126016620309389</v>
      </c>
      <c r="Z275" t="s">
        <v>392</v>
      </c>
      <c r="AA275">
        <v>140</v>
      </c>
      <c r="AB275" t="s">
        <v>1680</v>
      </c>
      <c r="AC275" t="str">
        <f>HYPERLINK("plots/20251231112652_3FT6Y119H04_05543_B21P_N_UFLEX98_M5358A8BA201511/dpll_52046/txpa_55194.png","plot")</f>
        <v>plot</v>
      </c>
    </row>
    <row r="276" spans="1:29" x14ac:dyDescent="0.35">
      <c r="A276" t="s">
        <v>47</v>
      </c>
      <c r="B276">
        <v>52046</v>
      </c>
      <c r="C276" t="s">
        <v>51</v>
      </c>
      <c r="D276">
        <v>55195</v>
      </c>
      <c r="E276" t="s">
        <v>328</v>
      </c>
      <c r="F276">
        <v>7139</v>
      </c>
      <c r="G276">
        <v>0.16824958398883599</v>
      </c>
      <c r="H276">
        <v>1.7505680122925991E-46</v>
      </c>
      <c r="I276">
        <v>2.0102785554526569E-46</v>
      </c>
      <c r="J276">
        <v>0.1713335865085894</v>
      </c>
      <c r="K276">
        <v>3.6655133817186262E-48</v>
      </c>
      <c r="L276">
        <v>4.4727202997144238E-48</v>
      </c>
      <c r="M276">
        <v>0.1153304963824046</v>
      </c>
      <c r="N276">
        <v>2.3178481536166379E-48</v>
      </c>
      <c r="O276">
        <v>2.8453971280475428E-48</v>
      </c>
      <c r="P276">
        <v>2.830792251241639E-2</v>
      </c>
      <c r="Q276">
        <v>0.63332907779861947</v>
      </c>
      <c r="R276">
        <v>4.9811106190804484</v>
      </c>
      <c r="S276">
        <v>0.42726347267323578</v>
      </c>
      <c r="T276">
        <v>0.35626206173838593</v>
      </c>
      <c r="U276">
        <v>4.4222873134892842</v>
      </c>
      <c r="V276">
        <v>0.1151559613407446</v>
      </c>
      <c r="W276">
        <v>7.7818737650931507</v>
      </c>
      <c r="X276">
        <v>0.4334728031409964</v>
      </c>
      <c r="Z276" t="s">
        <v>392</v>
      </c>
      <c r="AA276">
        <v>140</v>
      </c>
      <c r="AB276" t="s">
        <v>1681</v>
      </c>
      <c r="AC276" t="str">
        <f>HYPERLINK("plots/20251231112652_3FT6Y119H04_05543_B21P_N_UFLEX98_M5358A8BA201511/dpll_52046/txpa_55195.png","plot")</f>
        <v>plot</v>
      </c>
    </row>
    <row r="277" spans="1:29" x14ac:dyDescent="0.35">
      <c r="A277" t="s">
        <v>47</v>
      </c>
      <c r="B277">
        <v>52046</v>
      </c>
      <c r="C277" t="s">
        <v>51</v>
      </c>
      <c r="D277">
        <v>55196</v>
      </c>
      <c r="E277" t="s">
        <v>329</v>
      </c>
      <c r="F277">
        <v>7139</v>
      </c>
      <c r="G277">
        <v>0.29640560134354149</v>
      </c>
      <c r="H277">
        <v>9.737288192637477E-145</v>
      </c>
      <c r="I277">
        <v>2.334186814972672E-144</v>
      </c>
      <c r="J277">
        <v>0.27132709302916969</v>
      </c>
      <c r="K277">
        <v>1.0733887473959789E-120</v>
      </c>
      <c r="L277">
        <v>2.315779127360686E-120</v>
      </c>
      <c r="M277">
        <v>0.1820252388390321</v>
      </c>
      <c r="N277">
        <v>1.072375999698932E-117</v>
      </c>
      <c r="O277">
        <v>2.3384715348273481E-117</v>
      </c>
      <c r="P277">
        <v>8.7856280507826442E-2</v>
      </c>
      <c r="Q277">
        <v>0.7723930314623737</v>
      </c>
      <c r="R277">
        <v>3.9735436384493732</v>
      </c>
      <c r="S277">
        <v>0.28657584561522148</v>
      </c>
      <c r="T277">
        <v>0.23203595350909101</v>
      </c>
      <c r="U277">
        <v>4.4222873134892842</v>
      </c>
      <c r="V277">
        <v>0.1151559613407446</v>
      </c>
      <c r="W277">
        <v>7.3892875425129576</v>
      </c>
      <c r="X277">
        <v>0.30008090828166029</v>
      </c>
      <c r="Z277" t="s">
        <v>392</v>
      </c>
      <c r="AA277">
        <v>140</v>
      </c>
      <c r="AB277" t="s">
        <v>1682</v>
      </c>
      <c r="AC277" t="str">
        <f>HYPERLINK("plots/20251231112652_3FT6Y119H04_05543_B21P_N_UFLEX98_M5358A8BA201511/dpll_52046/txpa_55196.png","plot")</f>
        <v>plot</v>
      </c>
    </row>
    <row r="278" spans="1:29" x14ac:dyDescent="0.35">
      <c r="A278" t="s">
        <v>47</v>
      </c>
      <c r="B278">
        <v>52046</v>
      </c>
      <c r="C278" t="s">
        <v>51</v>
      </c>
      <c r="D278">
        <v>55197</v>
      </c>
      <c r="E278" t="s">
        <v>330</v>
      </c>
      <c r="F278">
        <v>7139</v>
      </c>
      <c r="G278">
        <v>0.22358727100078879</v>
      </c>
      <c r="H278">
        <v>1.3979839666451779E-81</v>
      </c>
      <c r="I278">
        <v>1.9234134900654149E-81</v>
      </c>
      <c r="J278">
        <v>0.19866435204857291</v>
      </c>
      <c r="K278">
        <v>1.861397990892167E-64</v>
      </c>
      <c r="L278">
        <v>2.550618328060348E-64</v>
      </c>
      <c r="M278">
        <v>0.1335106706064165</v>
      </c>
      <c r="N278">
        <v>3.3930951658673963E-64</v>
      </c>
      <c r="O278">
        <v>4.6683833082626041E-64</v>
      </c>
      <c r="P278">
        <v>4.9991267753580183E-2</v>
      </c>
      <c r="Q278">
        <v>0.75639093933011581</v>
      </c>
      <c r="R278">
        <v>4.3248747348487253</v>
      </c>
      <c r="S278">
        <v>0.3796811596808336</v>
      </c>
      <c r="T278">
        <v>0.32736307518378571</v>
      </c>
      <c r="U278">
        <v>4.4222873134892842</v>
      </c>
      <c r="V278">
        <v>0.1151559613407446</v>
      </c>
      <c r="W278">
        <v>7.669852789886539</v>
      </c>
      <c r="X278">
        <v>0.38957014582319849</v>
      </c>
      <c r="Z278" t="s">
        <v>392</v>
      </c>
      <c r="AA278">
        <v>140</v>
      </c>
      <c r="AB278" t="s">
        <v>1683</v>
      </c>
      <c r="AC278" t="str">
        <f>HYPERLINK("plots/20251231112652_3FT6Y119H04_05543_B21P_N_UFLEX98_M5358A8BA201511/dpll_52046/txpa_55197.png","plot")</f>
        <v>plot</v>
      </c>
    </row>
    <row r="279" spans="1:29" x14ac:dyDescent="0.35">
      <c r="A279" t="s">
        <v>47</v>
      </c>
      <c r="B279">
        <v>52046</v>
      </c>
      <c r="C279" t="s">
        <v>51</v>
      </c>
      <c r="D279">
        <v>55198</v>
      </c>
      <c r="E279" t="s">
        <v>331</v>
      </c>
      <c r="F279">
        <v>7139</v>
      </c>
      <c r="G279">
        <v>0.28040525912969622</v>
      </c>
      <c r="H279">
        <v>4.1162588149179838E-129</v>
      </c>
      <c r="I279">
        <v>8.4150936256589429E-129</v>
      </c>
      <c r="J279">
        <v>0.27159204624135458</v>
      </c>
      <c r="K279">
        <v>6.1612220461484671E-121</v>
      </c>
      <c r="L279">
        <v>1.334931443332168E-120</v>
      </c>
      <c r="M279">
        <v>0.1818700504392739</v>
      </c>
      <c r="N279">
        <v>1.6888385713609689E-117</v>
      </c>
      <c r="O279">
        <v>3.6669856774304547E-117</v>
      </c>
      <c r="P279">
        <v>7.8627109347592053E-2</v>
      </c>
      <c r="Q279">
        <v>0.79875287520200677</v>
      </c>
      <c r="R279">
        <v>4.0715060867695048</v>
      </c>
      <c r="S279">
        <v>0.31484731987885001</v>
      </c>
      <c r="T279">
        <v>0.24387622526321581</v>
      </c>
      <c r="U279">
        <v>4.4222873134892842</v>
      </c>
      <c r="V279">
        <v>0.1151559613407446</v>
      </c>
      <c r="W279">
        <v>7.6038207933884294</v>
      </c>
      <c r="X279">
        <v>0.32802935117214321</v>
      </c>
      <c r="Z279" t="s">
        <v>392</v>
      </c>
      <c r="AA279">
        <v>140</v>
      </c>
      <c r="AB279" t="s">
        <v>1684</v>
      </c>
      <c r="AC279" t="str">
        <f>HYPERLINK("plots/20251231112652_3FT6Y119H04_05543_B21P_N_UFLEX98_M5358A8BA201511/dpll_52046/txpa_55198.png","plot")</f>
        <v>plot</v>
      </c>
    </row>
    <row r="280" spans="1:29" x14ac:dyDescent="0.35">
      <c r="A280" t="s">
        <v>47</v>
      </c>
      <c r="B280">
        <v>52046</v>
      </c>
      <c r="C280" t="s">
        <v>51</v>
      </c>
      <c r="D280">
        <v>55199</v>
      </c>
      <c r="E280" t="s">
        <v>332</v>
      </c>
      <c r="F280">
        <v>7139</v>
      </c>
      <c r="G280">
        <v>0.21433688482249519</v>
      </c>
      <c r="H280">
        <v>5.7302112915760856E-75</v>
      </c>
      <c r="I280">
        <v>7.5755335719141474E-75</v>
      </c>
      <c r="J280">
        <v>0.1818690327227222</v>
      </c>
      <c r="K280">
        <v>3.8517657760075272E-54</v>
      </c>
      <c r="L280">
        <v>4.8760180984664568E-54</v>
      </c>
      <c r="M280">
        <v>0.120999303342384</v>
      </c>
      <c r="N280">
        <v>4.7203027407832737E-53</v>
      </c>
      <c r="O280">
        <v>5.975514331029013E-53</v>
      </c>
      <c r="P280">
        <v>4.5940300195411579E-2</v>
      </c>
      <c r="Q280">
        <v>0.78117274087616884</v>
      </c>
      <c r="R280">
        <v>4.0990553777465264</v>
      </c>
      <c r="S280">
        <v>0.40991512906726812</v>
      </c>
      <c r="T280">
        <v>0.33098941496348039</v>
      </c>
      <c r="U280">
        <v>4.4222873134892842</v>
      </c>
      <c r="V280">
        <v>0.1151559613407446</v>
      </c>
      <c r="W280">
        <v>7.553625679366859</v>
      </c>
      <c r="X280">
        <v>0.41969770169645759</v>
      </c>
      <c r="Z280" t="s">
        <v>392</v>
      </c>
      <c r="AA280">
        <v>140</v>
      </c>
      <c r="AB280" t="s">
        <v>1685</v>
      </c>
      <c r="AC280" t="str">
        <f>HYPERLINK("plots/20251231112652_3FT6Y119H04_05543_B21P_N_UFLEX98_M5358A8BA201511/dpll_52046/txpa_55199.png","plot")</f>
        <v>plot</v>
      </c>
    </row>
    <row r="281" spans="1:29" x14ac:dyDescent="0.35">
      <c r="A281" t="s">
        <v>47</v>
      </c>
      <c r="B281">
        <v>52046</v>
      </c>
      <c r="C281" t="s">
        <v>51</v>
      </c>
      <c r="D281">
        <v>55200</v>
      </c>
      <c r="E281" t="s">
        <v>333</v>
      </c>
      <c r="F281">
        <v>7139</v>
      </c>
      <c r="G281">
        <v>0.29784123909930149</v>
      </c>
      <c r="H281">
        <v>3.4369009968516271E-146</v>
      </c>
      <c r="I281">
        <v>8.3373627052812185E-146</v>
      </c>
      <c r="J281">
        <v>0.29772561602606851</v>
      </c>
      <c r="K281">
        <v>4.5023486694509516E-146</v>
      </c>
      <c r="L281">
        <v>1.230561064911931E-145</v>
      </c>
      <c r="M281">
        <v>0.20077723776279949</v>
      </c>
      <c r="N281">
        <v>9.1899626222334027E-143</v>
      </c>
      <c r="O281">
        <v>2.5185465132282891E-142</v>
      </c>
      <c r="P281">
        <v>8.8709403708207277E-2</v>
      </c>
      <c r="Q281">
        <v>0.77721089541419619</v>
      </c>
      <c r="R281">
        <v>4.1354639433302083</v>
      </c>
      <c r="S281">
        <v>0.28683919871489222</v>
      </c>
      <c r="T281">
        <v>0.22023904625739829</v>
      </c>
      <c r="U281">
        <v>4.4222873134892842</v>
      </c>
      <c r="V281">
        <v>0.1151559613407446</v>
      </c>
      <c r="W281">
        <v>7.5725138260260536</v>
      </c>
      <c r="X281">
        <v>0.3004972316680527</v>
      </c>
      <c r="Z281" t="s">
        <v>392</v>
      </c>
      <c r="AA281">
        <v>140</v>
      </c>
      <c r="AB281" t="s">
        <v>1686</v>
      </c>
      <c r="AC281" t="str">
        <f>HYPERLINK("plots/20251231112652_3FT6Y119H04_05543_B21P_N_UFLEX98_M5358A8BA201511/dpll_52046/txpa_55200.png","plot")</f>
        <v>plot</v>
      </c>
    </row>
    <row r="282" spans="1:29" x14ac:dyDescent="0.35">
      <c r="A282" t="s">
        <v>47</v>
      </c>
      <c r="B282">
        <v>52046</v>
      </c>
      <c r="C282" t="s">
        <v>51</v>
      </c>
      <c r="D282">
        <v>55201</v>
      </c>
      <c r="E282" t="s">
        <v>334</v>
      </c>
      <c r="F282">
        <v>7139</v>
      </c>
      <c r="G282">
        <v>0.24649789515750389</v>
      </c>
      <c r="H282">
        <v>2.7142093621462102E-99</v>
      </c>
      <c r="I282">
        <v>4.3138061022198379E-99</v>
      </c>
      <c r="J282">
        <v>0.2013156454851833</v>
      </c>
      <c r="K282">
        <v>3.5658270970857479E-66</v>
      </c>
      <c r="L282">
        <v>4.9598747276336751E-66</v>
      </c>
      <c r="M282">
        <v>0.13455186295542459</v>
      </c>
      <c r="N282">
        <v>3.5836067438550061E-65</v>
      </c>
      <c r="O282">
        <v>4.9641765550122622E-65</v>
      </c>
      <c r="P282">
        <v>6.0761212317079788E-2</v>
      </c>
      <c r="Q282">
        <v>0.70884481855769843</v>
      </c>
      <c r="R282">
        <v>4.3894054989912359</v>
      </c>
      <c r="S282">
        <v>0.32090905355210969</v>
      </c>
      <c r="T282">
        <v>0.26505938347354557</v>
      </c>
      <c r="U282">
        <v>4.4222873134892842</v>
      </c>
      <c r="V282">
        <v>0.1151559613407446</v>
      </c>
      <c r="W282">
        <v>7.5241209473315598</v>
      </c>
      <c r="X282">
        <v>0.33114971010304189</v>
      </c>
      <c r="Z282" t="s">
        <v>392</v>
      </c>
      <c r="AA282">
        <v>140</v>
      </c>
      <c r="AB282" t="s">
        <v>1687</v>
      </c>
      <c r="AC282" t="str">
        <f>HYPERLINK("plots/20251231112652_3FT6Y119H04_05543_B21P_N_UFLEX98_M5358A8BA201511/dpll_52046/txpa_55201.png","plot")</f>
        <v>plot</v>
      </c>
    </row>
    <row r="283" spans="1:29" x14ac:dyDescent="0.35">
      <c r="A283" t="s">
        <v>47</v>
      </c>
      <c r="B283">
        <v>52046</v>
      </c>
      <c r="C283" t="s">
        <v>51</v>
      </c>
      <c r="D283">
        <v>55202</v>
      </c>
      <c r="E283" t="s">
        <v>335</v>
      </c>
      <c r="F283">
        <v>7139</v>
      </c>
      <c r="G283">
        <v>0.18790534878650381</v>
      </c>
      <c r="H283">
        <v>9.7701316643945252E-58</v>
      </c>
      <c r="I283">
        <v>1.169647403506027E-57</v>
      </c>
      <c r="J283">
        <v>0.18760044618532981</v>
      </c>
      <c r="K283">
        <v>1.494590186474442E-57</v>
      </c>
      <c r="L283">
        <v>1.9580290039858981E-57</v>
      </c>
      <c r="M283">
        <v>0.1260093656888574</v>
      </c>
      <c r="N283">
        <v>2.1991162474707281E-57</v>
      </c>
      <c r="O283">
        <v>2.8959790583575559E-57</v>
      </c>
      <c r="P283">
        <v>3.5308420102577648E-2</v>
      </c>
      <c r="Q283">
        <v>0.67995039112241118</v>
      </c>
      <c r="R283">
        <v>4.8864139703550462</v>
      </c>
      <c r="S283">
        <v>0.40924966759570058</v>
      </c>
      <c r="T283">
        <v>0.32426560724153441</v>
      </c>
      <c r="U283">
        <v>4.4222873134892842</v>
      </c>
      <c r="V283">
        <v>0.1151559613407446</v>
      </c>
      <c r="W283">
        <v>7.8933499588177618</v>
      </c>
      <c r="X283">
        <v>0.41670096918146088</v>
      </c>
      <c r="Z283" t="s">
        <v>392</v>
      </c>
      <c r="AA283">
        <v>140</v>
      </c>
      <c r="AB283" t="s">
        <v>1688</v>
      </c>
      <c r="AC283" t="str">
        <f>HYPERLINK("plots/20251231112652_3FT6Y119H04_05543_B21P_N_UFLEX98_M5358A8BA201511/dpll_52046/txpa_55202.png","plot")</f>
        <v>plot</v>
      </c>
    </row>
    <row r="284" spans="1:29" x14ac:dyDescent="0.35">
      <c r="A284" t="s">
        <v>47</v>
      </c>
      <c r="B284">
        <v>52046</v>
      </c>
      <c r="C284" t="s">
        <v>51</v>
      </c>
      <c r="D284">
        <v>55203</v>
      </c>
      <c r="E284" t="s">
        <v>336</v>
      </c>
      <c r="F284">
        <v>7139</v>
      </c>
      <c r="G284">
        <v>0.17697002839221071</v>
      </c>
      <c r="H284">
        <v>2.5852265013533569E-51</v>
      </c>
      <c r="I284">
        <v>3.0410901071604451E-51</v>
      </c>
      <c r="J284">
        <v>0.17750085657282971</v>
      </c>
      <c r="K284">
        <v>1.2886663047731861E-51</v>
      </c>
      <c r="L284">
        <v>1.6033222491288471E-51</v>
      </c>
      <c r="M284">
        <v>0.1197240847607132</v>
      </c>
      <c r="N284">
        <v>5.6057938484892346E-52</v>
      </c>
      <c r="O284">
        <v>7.0437112297002296E-52</v>
      </c>
      <c r="P284">
        <v>3.1318390949139872E-2</v>
      </c>
      <c r="Q284">
        <v>0.63853536894000973</v>
      </c>
      <c r="R284">
        <v>5.9436932928055999</v>
      </c>
      <c r="S284">
        <v>0.40891380335150729</v>
      </c>
      <c r="T284">
        <v>0.34019770901517771</v>
      </c>
      <c r="U284">
        <v>4.4222873134892842</v>
      </c>
      <c r="V284">
        <v>0.1151559613407446</v>
      </c>
      <c r="W284">
        <v>8.7674801540832039</v>
      </c>
      <c r="X284">
        <v>0.41550060724062299</v>
      </c>
      <c r="Z284" t="s">
        <v>392</v>
      </c>
      <c r="AA284">
        <v>140</v>
      </c>
      <c r="AB284" t="s">
        <v>1689</v>
      </c>
      <c r="AC284" t="str">
        <f>HYPERLINK("plots/20251231112652_3FT6Y119H04_05543_B21P_N_UFLEX98_M5358A8BA201511/dpll_52046/txpa_55203.png","plot")</f>
        <v>plot</v>
      </c>
    </row>
    <row r="285" spans="1:29" x14ac:dyDescent="0.35">
      <c r="A285" t="s">
        <v>47</v>
      </c>
      <c r="B285">
        <v>52046</v>
      </c>
      <c r="C285" t="s">
        <v>51</v>
      </c>
      <c r="D285">
        <v>55204</v>
      </c>
      <c r="E285" t="s">
        <v>337</v>
      </c>
      <c r="F285">
        <v>7139</v>
      </c>
      <c r="G285">
        <v>0.30488191954937027</v>
      </c>
      <c r="H285">
        <v>1.9605579936778479E-153</v>
      </c>
      <c r="I285">
        <v>5.177098452055566E-153</v>
      </c>
      <c r="J285">
        <v>0.2801540909908225</v>
      </c>
      <c r="K285">
        <v>7.1071204272403929E-129</v>
      </c>
      <c r="L285">
        <v>1.703692698161172E-128</v>
      </c>
      <c r="M285">
        <v>0.18810396334861529</v>
      </c>
      <c r="N285">
        <v>1.4871431867979849E-125</v>
      </c>
      <c r="O285">
        <v>3.531529722279056E-125</v>
      </c>
      <c r="P285">
        <v>9.2952984868108726E-2</v>
      </c>
      <c r="Q285">
        <v>0.77447078987583429</v>
      </c>
      <c r="R285">
        <v>4.9672898885522088</v>
      </c>
      <c r="S285">
        <v>0.27857637171183519</v>
      </c>
      <c r="T285">
        <v>0.22481762237663999</v>
      </c>
      <c r="U285">
        <v>4.4222873134892842</v>
      </c>
      <c r="V285">
        <v>0.1151559613407446</v>
      </c>
      <c r="W285">
        <v>8.3922222372881361</v>
      </c>
      <c r="X285">
        <v>0.29252285104442072</v>
      </c>
      <c r="Z285" t="s">
        <v>392</v>
      </c>
      <c r="AA285">
        <v>140</v>
      </c>
      <c r="AB285" t="s">
        <v>1690</v>
      </c>
      <c r="AC285" t="str">
        <f>HYPERLINK("plots/20251231112652_3FT6Y119H04_05543_B21P_N_UFLEX98_M5358A8BA201511/dpll_52046/txpa_55204.png","plot")</f>
        <v>plot</v>
      </c>
    </row>
    <row r="286" spans="1:29" x14ac:dyDescent="0.35">
      <c r="A286" t="s">
        <v>47</v>
      </c>
      <c r="B286">
        <v>52046</v>
      </c>
      <c r="C286" t="s">
        <v>51</v>
      </c>
      <c r="D286">
        <v>55205</v>
      </c>
      <c r="E286" t="s">
        <v>338</v>
      </c>
      <c r="F286">
        <v>7139</v>
      </c>
      <c r="G286">
        <v>0.23363040358815279</v>
      </c>
      <c r="H286">
        <v>4.1442690168623662E-89</v>
      </c>
      <c r="I286">
        <v>6.0814598887097533E-89</v>
      </c>
      <c r="J286">
        <v>0.2059991745410126</v>
      </c>
      <c r="K286">
        <v>2.869595629678956E-69</v>
      </c>
      <c r="L286">
        <v>4.0753080791238961E-69</v>
      </c>
      <c r="M286">
        <v>0.1386700110488914</v>
      </c>
      <c r="N286">
        <v>4.1559777485447999E-69</v>
      </c>
      <c r="O286">
        <v>5.9187660632365551E-69</v>
      </c>
      <c r="P286">
        <v>5.4583165480763182E-2</v>
      </c>
      <c r="Q286">
        <v>0.76048545136042822</v>
      </c>
      <c r="R286">
        <v>5.2929505017149001</v>
      </c>
      <c r="S286">
        <v>0.36444267240876949</v>
      </c>
      <c r="T286">
        <v>0.31314882511863501</v>
      </c>
      <c r="U286">
        <v>4.4222873134892842</v>
      </c>
      <c r="V286">
        <v>0.1151559613407446</v>
      </c>
      <c r="W286">
        <v>8.656035665359294</v>
      </c>
      <c r="X286">
        <v>0.37484176670532021</v>
      </c>
      <c r="Z286" t="s">
        <v>392</v>
      </c>
      <c r="AA286">
        <v>140</v>
      </c>
      <c r="AB286" t="s">
        <v>1691</v>
      </c>
      <c r="AC286" t="str">
        <f>HYPERLINK("plots/20251231112652_3FT6Y119H04_05543_B21P_N_UFLEX98_M5358A8BA201511/dpll_52046/txpa_55205.png","plot")</f>
        <v>plot</v>
      </c>
    </row>
    <row r="287" spans="1:29" x14ac:dyDescent="0.35">
      <c r="A287" t="s">
        <v>47</v>
      </c>
      <c r="B287">
        <v>52046</v>
      </c>
      <c r="C287" t="s">
        <v>51</v>
      </c>
      <c r="D287">
        <v>55206</v>
      </c>
      <c r="E287" t="s">
        <v>339</v>
      </c>
      <c r="F287">
        <v>7139</v>
      </c>
      <c r="G287">
        <v>0.28996202023743339</v>
      </c>
      <c r="H287">
        <v>2.5365012078619839E-138</v>
      </c>
      <c r="I287">
        <v>5.6035124722702648E-138</v>
      </c>
      <c r="J287">
        <v>0.27992188766540649</v>
      </c>
      <c r="K287">
        <v>1.1769407847855551E-128</v>
      </c>
      <c r="L287">
        <v>2.813365870936588E-128</v>
      </c>
      <c r="M287">
        <v>0.18774760238853169</v>
      </c>
      <c r="N287">
        <v>4.3664326172785749E-125</v>
      </c>
      <c r="O287">
        <v>1.0272767224873489E-124</v>
      </c>
      <c r="P287">
        <v>8.4077973180173737E-2</v>
      </c>
      <c r="Q287">
        <v>0.80047491889042044</v>
      </c>
      <c r="R287">
        <v>5.0558221668370544</v>
      </c>
      <c r="S287">
        <v>0.30422287739538612</v>
      </c>
      <c r="T287">
        <v>0.23587816820029461</v>
      </c>
      <c r="U287">
        <v>4.4222873134892842</v>
      </c>
      <c r="V287">
        <v>0.1151559613407446</v>
      </c>
      <c r="W287">
        <v>8.5957522454125233</v>
      </c>
      <c r="X287">
        <v>0.31790183672503181</v>
      </c>
      <c r="Z287" t="s">
        <v>392</v>
      </c>
      <c r="AA287">
        <v>140</v>
      </c>
      <c r="AB287" t="s">
        <v>1692</v>
      </c>
      <c r="AC287" t="str">
        <f>HYPERLINK("plots/20251231112652_3FT6Y119H04_05543_B21P_N_UFLEX98_M5358A8BA201511/dpll_52046/txpa_55206.png","plot")</f>
        <v>plot</v>
      </c>
    </row>
    <row r="288" spans="1:29" x14ac:dyDescent="0.35">
      <c r="A288" t="s">
        <v>47</v>
      </c>
      <c r="B288">
        <v>52046</v>
      </c>
      <c r="C288" t="s">
        <v>51</v>
      </c>
      <c r="D288">
        <v>55207</v>
      </c>
      <c r="E288" t="s">
        <v>340</v>
      </c>
      <c r="F288">
        <v>7139</v>
      </c>
      <c r="G288">
        <v>0.22403754098543899</v>
      </c>
      <c r="H288">
        <v>6.5433493385169323E-82</v>
      </c>
      <c r="I288">
        <v>9.0394499036187605E-82</v>
      </c>
      <c r="J288">
        <v>0.19031542691257761</v>
      </c>
      <c r="K288">
        <v>3.3061423436070812E-59</v>
      </c>
      <c r="L288">
        <v>4.3765382981952746E-59</v>
      </c>
      <c r="M288">
        <v>0.12666406960375329</v>
      </c>
      <c r="N288">
        <v>5.7975020109277517E-58</v>
      </c>
      <c r="O288">
        <v>7.6745000510192443E-58</v>
      </c>
      <c r="P288">
        <v>5.0192819770802283E-2</v>
      </c>
      <c r="Q288">
        <v>0.78476129523614768</v>
      </c>
      <c r="R288">
        <v>5.0774740785590087</v>
      </c>
      <c r="S288">
        <v>0.39308865370501239</v>
      </c>
      <c r="T288">
        <v>0.317100357488805</v>
      </c>
      <c r="U288">
        <v>4.4222873134892842</v>
      </c>
      <c r="V288">
        <v>0.1151559613407446</v>
      </c>
      <c r="W288">
        <v>8.5479139985992436</v>
      </c>
      <c r="X288">
        <v>0.40336963608165971</v>
      </c>
      <c r="Z288" t="s">
        <v>392</v>
      </c>
      <c r="AA288">
        <v>140</v>
      </c>
      <c r="AB288" t="s">
        <v>1693</v>
      </c>
      <c r="AC288" t="str">
        <f>HYPERLINK("plots/20251231112652_3FT6Y119H04_05543_B21P_N_UFLEX98_M5358A8BA201511/dpll_52046/txpa_55207.png","plot")</f>
        <v>plot</v>
      </c>
    </row>
    <row r="289" spans="1:29" x14ac:dyDescent="0.35">
      <c r="A289" t="s">
        <v>47</v>
      </c>
      <c r="B289">
        <v>52046</v>
      </c>
      <c r="C289" t="s">
        <v>51</v>
      </c>
      <c r="D289">
        <v>55208</v>
      </c>
      <c r="E289" t="s">
        <v>341</v>
      </c>
      <c r="F289">
        <v>7139</v>
      </c>
      <c r="G289">
        <v>0.30812246883125222</v>
      </c>
      <c r="H289">
        <v>7.7624141140566301E-157</v>
      </c>
      <c r="I289">
        <v>2.1045689603351401E-156</v>
      </c>
      <c r="J289">
        <v>0.3050612922031764</v>
      </c>
      <c r="K289">
        <v>1.2740333649579599E-153</v>
      </c>
      <c r="L289">
        <v>3.7554355583353822E-153</v>
      </c>
      <c r="M289">
        <v>0.20618624839690719</v>
      </c>
      <c r="N289">
        <v>1.8943115342371511E-150</v>
      </c>
      <c r="O289">
        <v>5.6661707838244002E-150</v>
      </c>
      <c r="P289">
        <v>9.4939455798665959E-2</v>
      </c>
      <c r="Q289">
        <v>0.7789601075676974</v>
      </c>
      <c r="R289">
        <v>5.1174751696775109</v>
      </c>
      <c r="S289">
        <v>0.27694062644268341</v>
      </c>
      <c r="T289">
        <v>0.21302587432938419</v>
      </c>
      <c r="U289">
        <v>4.4222873134892842</v>
      </c>
      <c r="V289">
        <v>0.1151559613407446</v>
      </c>
      <c r="W289">
        <v>8.5622605710883875</v>
      </c>
      <c r="X289">
        <v>0.29112417660840761</v>
      </c>
      <c r="Z289" t="s">
        <v>392</v>
      </c>
      <c r="AA289">
        <v>140</v>
      </c>
      <c r="AB289" t="s">
        <v>1694</v>
      </c>
      <c r="AC289" t="str">
        <f>HYPERLINK("plots/20251231112652_3FT6Y119H04_05543_B21P_N_UFLEX98_M5358A8BA201511/dpll_52046/txpa_55208.png","plot")</f>
        <v>plot</v>
      </c>
    </row>
    <row r="290" spans="1:29" x14ac:dyDescent="0.35">
      <c r="A290" t="s">
        <v>47</v>
      </c>
      <c r="B290">
        <v>52046</v>
      </c>
      <c r="C290" t="s">
        <v>51</v>
      </c>
      <c r="D290">
        <v>55209</v>
      </c>
      <c r="E290" t="s">
        <v>342</v>
      </c>
      <c r="F290">
        <v>7139</v>
      </c>
      <c r="G290">
        <v>0.25657298216700752</v>
      </c>
      <c r="H290">
        <v>1.072715974948537E-107</v>
      </c>
      <c r="I290">
        <v>1.8159165252050352E-107</v>
      </c>
      <c r="J290">
        <v>0.20976570942310629</v>
      </c>
      <c r="K290">
        <v>8.1927525789109921E-72</v>
      </c>
      <c r="L290">
        <v>1.193599298134446E-71</v>
      </c>
      <c r="M290">
        <v>0.14021778455785761</v>
      </c>
      <c r="N290">
        <v>1.285488356537468E-70</v>
      </c>
      <c r="O290">
        <v>1.870136576081769E-70</v>
      </c>
      <c r="P290">
        <v>6.5829695178071565E-2</v>
      </c>
      <c r="Q290">
        <v>0.71225672699866516</v>
      </c>
      <c r="R290">
        <v>5.3711434191521317</v>
      </c>
      <c r="S290">
        <v>0.30895460489512411</v>
      </c>
      <c r="T290">
        <v>0.25460170720025271</v>
      </c>
      <c r="U290">
        <v>4.4222873134892842</v>
      </c>
      <c r="V290">
        <v>0.1151559613407446</v>
      </c>
      <c r="W290">
        <v>8.5209473069057289</v>
      </c>
      <c r="X290">
        <v>0.31967749459120759</v>
      </c>
      <c r="Z290" t="s">
        <v>392</v>
      </c>
      <c r="AA290">
        <v>140</v>
      </c>
      <c r="AB290" t="s">
        <v>1695</v>
      </c>
      <c r="AC290" t="str">
        <f>HYPERLINK("plots/20251231112652_3FT6Y119H04_05543_B21P_N_UFLEX98_M5358A8BA201511/dpll_52046/txpa_55209.png","plot")</f>
        <v>plot</v>
      </c>
    </row>
    <row r="291" spans="1:29" x14ac:dyDescent="0.35">
      <c r="A291" t="s">
        <v>47</v>
      </c>
      <c r="B291">
        <v>52046</v>
      </c>
      <c r="C291" t="s">
        <v>51</v>
      </c>
      <c r="D291">
        <v>55210</v>
      </c>
      <c r="E291" t="s">
        <v>343</v>
      </c>
      <c r="F291">
        <v>7139</v>
      </c>
      <c r="G291">
        <v>0.1972087405013922</v>
      </c>
      <c r="H291">
        <v>1.5939230387604281E-63</v>
      </c>
      <c r="I291">
        <v>1.9710219040281391E-63</v>
      </c>
      <c r="J291">
        <v>0.1943436021271448</v>
      </c>
      <c r="K291">
        <v>1.0392000480992149E-61</v>
      </c>
      <c r="L291">
        <v>1.392006405247826E-61</v>
      </c>
      <c r="M291">
        <v>0.13058715926752379</v>
      </c>
      <c r="N291">
        <v>1.705095251702948E-61</v>
      </c>
      <c r="O291">
        <v>2.2961043628509821E-61</v>
      </c>
      <c r="P291">
        <v>3.8891287330145442E-2</v>
      </c>
      <c r="Q291">
        <v>0.68458830397169912</v>
      </c>
      <c r="R291">
        <v>5.8448697988268492</v>
      </c>
      <c r="S291">
        <v>0.39187321397694502</v>
      </c>
      <c r="T291">
        <v>0.3108134175300768</v>
      </c>
      <c r="U291">
        <v>4.4222873134892842</v>
      </c>
      <c r="V291">
        <v>0.1151559613407446</v>
      </c>
      <c r="W291">
        <v>8.8723159704440402</v>
      </c>
      <c r="X291">
        <v>0.3997511675499717</v>
      </c>
      <c r="Z291" t="s">
        <v>392</v>
      </c>
      <c r="AA291">
        <v>140</v>
      </c>
      <c r="AB291" t="s">
        <v>1696</v>
      </c>
      <c r="AC291" t="str">
        <f>HYPERLINK("plots/20251231112652_3FT6Y119H04_05543_B21P_N_UFLEX98_M5358A8BA201511/dpll_52046/txpa_55210.png","plot")</f>
        <v>plot</v>
      </c>
    </row>
    <row r="292" spans="1:29" x14ac:dyDescent="0.35">
      <c r="A292" t="s">
        <v>47</v>
      </c>
      <c r="B292">
        <v>52046</v>
      </c>
      <c r="C292" t="s">
        <v>51</v>
      </c>
      <c r="D292">
        <v>55211</v>
      </c>
      <c r="E292" t="s">
        <v>344</v>
      </c>
      <c r="F292">
        <v>7139</v>
      </c>
      <c r="G292">
        <v>0.18779488189706819</v>
      </c>
      <c r="H292">
        <v>1.139793479762682E-57</v>
      </c>
      <c r="I292">
        <v>1.3629134298105651E-57</v>
      </c>
      <c r="J292">
        <v>0.1853262210846012</v>
      </c>
      <c r="K292">
        <v>3.4795500511235999E-56</v>
      </c>
      <c r="L292">
        <v>4.4946035055278092E-56</v>
      </c>
      <c r="M292">
        <v>0.12522105908332909</v>
      </c>
      <c r="N292">
        <v>1.084694375895819E-56</v>
      </c>
      <c r="O292">
        <v>1.4155471005899109E-56</v>
      </c>
      <c r="P292">
        <v>3.5266917666733781E-2</v>
      </c>
      <c r="Q292">
        <v>0.64796797248524418</v>
      </c>
      <c r="R292">
        <v>6.8543073432503903</v>
      </c>
      <c r="S292">
        <v>0.39023784088075458</v>
      </c>
      <c r="T292">
        <v>0.32357240654579539</v>
      </c>
      <c r="U292">
        <v>4.4222873134892842</v>
      </c>
      <c r="V292">
        <v>0.1151559613407446</v>
      </c>
      <c r="W292">
        <v>9.7198078875192593</v>
      </c>
      <c r="X292">
        <v>0.39733444296128267</v>
      </c>
      <c r="Z292" t="s">
        <v>392</v>
      </c>
      <c r="AA292">
        <v>140</v>
      </c>
      <c r="AB292" t="s">
        <v>1697</v>
      </c>
      <c r="AC292" t="str">
        <f>HYPERLINK("plots/20251231112652_3FT6Y119H04_05543_B21P_N_UFLEX98_M5358A8BA201511/dpll_52046/txpa_55211.png","plot")</f>
        <v>plot</v>
      </c>
    </row>
    <row r="293" spans="1:29" x14ac:dyDescent="0.35">
      <c r="A293" t="s">
        <v>47</v>
      </c>
      <c r="B293">
        <v>52046</v>
      </c>
      <c r="C293" t="s">
        <v>51</v>
      </c>
      <c r="D293">
        <v>55212</v>
      </c>
      <c r="E293" t="s">
        <v>345</v>
      </c>
      <c r="F293">
        <v>7139</v>
      </c>
      <c r="G293">
        <v>0.31451369798962509</v>
      </c>
      <c r="H293">
        <v>1.127043939834191E-163</v>
      </c>
      <c r="I293">
        <v>3.293436757901641E-163</v>
      </c>
      <c r="J293">
        <v>0.29000740764495858</v>
      </c>
      <c r="K293">
        <v>2.288898328013073E-138</v>
      </c>
      <c r="L293">
        <v>5.8413353290127375E-138</v>
      </c>
      <c r="M293">
        <v>0.19491221531339531</v>
      </c>
      <c r="N293">
        <v>1.1645294032887481E-134</v>
      </c>
      <c r="O293">
        <v>2.9447202367451141E-134</v>
      </c>
      <c r="P293">
        <v>9.8918866223109136E-2</v>
      </c>
      <c r="Q293">
        <v>0.77973390785980667</v>
      </c>
      <c r="R293">
        <v>5.9143081261213171</v>
      </c>
      <c r="S293">
        <v>0.27098472438356042</v>
      </c>
      <c r="T293">
        <v>0.21777554248806649</v>
      </c>
      <c r="U293">
        <v>4.4222873134892842</v>
      </c>
      <c r="V293">
        <v>0.1151559613407446</v>
      </c>
      <c r="W293">
        <v>9.3625154947471625</v>
      </c>
      <c r="X293">
        <v>0.28549156467116282</v>
      </c>
      <c r="Z293" t="s">
        <v>392</v>
      </c>
      <c r="AA293">
        <v>140</v>
      </c>
      <c r="AB293" t="s">
        <v>1698</v>
      </c>
      <c r="AC293" t="str">
        <f>HYPERLINK("plots/20251231112652_3FT6Y119H04_05543_B21P_N_UFLEX98_M5358A8BA201511/dpll_52046/txpa_55212.png","plot")</f>
        <v>plot</v>
      </c>
    </row>
    <row r="294" spans="1:29" x14ac:dyDescent="0.35">
      <c r="A294" t="s">
        <v>47</v>
      </c>
      <c r="B294">
        <v>52046</v>
      </c>
      <c r="C294" t="s">
        <v>51</v>
      </c>
      <c r="D294">
        <v>55213</v>
      </c>
      <c r="E294" t="s">
        <v>346</v>
      </c>
      <c r="F294">
        <v>7139</v>
      </c>
      <c r="G294">
        <v>0.24549720074324979</v>
      </c>
      <c r="H294">
        <v>1.7683307735119721E-98</v>
      </c>
      <c r="I294">
        <v>2.7973282439019339E-98</v>
      </c>
      <c r="J294">
        <v>0.214764444680244</v>
      </c>
      <c r="K294">
        <v>2.8791062800255002E-75</v>
      </c>
      <c r="L294">
        <v>4.3059200117195538E-75</v>
      </c>
      <c r="M294">
        <v>0.144753905343942</v>
      </c>
      <c r="N294">
        <v>3.8804777257928871E-75</v>
      </c>
      <c r="O294">
        <v>5.8121187798434077E-75</v>
      </c>
      <c r="P294">
        <v>6.0268875572771517E-2</v>
      </c>
      <c r="Q294">
        <v>0.7678015064910344</v>
      </c>
      <c r="R294">
        <v>6.2129870162807048</v>
      </c>
      <c r="S294">
        <v>0.34910834247972822</v>
      </c>
      <c r="T294">
        <v>0.29865665589875767</v>
      </c>
      <c r="U294">
        <v>4.4222873134892842</v>
      </c>
      <c r="V294">
        <v>0.1151559613407446</v>
      </c>
      <c r="W294">
        <v>9.6084258777139659</v>
      </c>
      <c r="X294">
        <v>0.36015449598269239</v>
      </c>
      <c r="Z294" t="s">
        <v>392</v>
      </c>
      <c r="AA294">
        <v>140</v>
      </c>
      <c r="AB294" t="s">
        <v>1699</v>
      </c>
      <c r="AC294" t="str">
        <f>HYPERLINK("plots/20251231112652_3FT6Y119H04_05543_B21P_N_UFLEX98_M5358A8BA201511/dpll_52046/txpa_55213.png","plot")</f>
        <v>plot</v>
      </c>
    </row>
    <row r="295" spans="1:29" x14ac:dyDescent="0.35">
      <c r="A295" t="s">
        <v>47</v>
      </c>
      <c r="B295">
        <v>52046</v>
      </c>
      <c r="C295" t="s">
        <v>51</v>
      </c>
      <c r="D295">
        <v>55214</v>
      </c>
      <c r="E295" t="s">
        <v>347</v>
      </c>
      <c r="F295">
        <v>7139</v>
      </c>
      <c r="G295">
        <v>0.30115843532332132</v>
      </c>
      <c r="H295">
        <v>1.407686311009973E-149</v>
      </c>
      <c r="I295">
        <v>3.5595858338257179E-149</v>
      </c>
      <c r="J295">
        <v>0.28932252856956592</v>
      </c>
      <c r="K295">
        <v>1.0761617205793661E-137</v>
      </c>
      <c r="L295">
        <v>2.7144974742972071E-137</v>
      </c>
      <c r="M295">
        <v>0.19446571161744941</v>
      </c>
      <c r="N295">
        <v>4.7093396636032391E-134</v>
      </c>
      <c r="O295">
        <v>1.1849306250356541E-133</v>
      </c>
      <c r="P295">
        <v>9.0696403166391104E-2</v>
      </c>
      <c r="Q295">
        <v>0.80611176262244366</v>
      </c>
      <c r="R295">
        <v>5.9891623748661029</v>
      </c>
      <c r="S295">
        <v>0.29390751229688322</v>
      </c>
      <c r="T295">
        <v>0.22810432831300331</v>
      </c>
      <c r="U295">
        <v>4.4222873134892842</v>
      </c>
      <c r="V295">
        <v>0.1151559613407446</v>
      </c>
      <c r="W295">
        <v>9.5540201959658209</v>
      </c>
      <c r="X295">
        <v>0.308238335988197</v>
      </c>
      <c r="Z295" t="s">
        <v>392</v>
      </c>
      <c r="AA295">
        <v>140</v>
      </c>
      <c r="AB295" t="s">
        <v>1700</v>
      </c>
      <c r="AC295" t="str">
        <f>HYPERLINK("plots/20251231112652_3FT6Y119H04_05543_B21P_N_UFLEX98_M5358A8BA201511/dpll_52046/txpa_55214.png","plot")</f>
        <v>plot</v>
      </c>
    </row>
    <row r="296" spans="1:29" x14ac:dyDescent="0.35">
      <c r="A296" t="s">
        <v>47</v>
      </c>
      <c r="B296">
        <v>52046</v>
      </c>
      <c r="C296" t="s">
        <v>51</v>
      </c>
      <c r="D296">
        <v>55215</v>
      </c>
      <c r="E296" t="s">
        <v>348</v>
      </c>
      <c r="F296">
        <v>7139</v>
      </c>
      <c r="G296">
        <v>0.23553748153191231</v>
      </c>
      <c r="H296">
        <v>1.40130744243375E-90</v>
      </c>
      <c r="I296">
        <v>2.0926741482000328E-90</v>
      </c>
      <c r="J296">
        <v>0.20033604139524849</v>
      </c>
      <c r="K296">
        <v>1.5476282558645699E-65</v>
      </c>
      <c r="L296">
        <v>2.1467784561514001E-65</v>
      </c>
      <c r="M296">
        <v>0.13343801914146181</v>
      </c>
      <c r="N296">
        <v>3.9657940877547237E-64</v>
      </c>
      <c r="O296">
        <v>5.4489365921182802E-64</v>
      </c>
      <c r="P296">
        <v>5.5477905206395908E-2</v>
      </c>
      <c r="Q296">
        <v>0.79115454751041159</v>
      </c>
      <c r="R296">
        <v>6.0102524363189342</v>
      </c>
      <c r="S296">
        <v>0.37589224726696818</v>
      </c>
      <c r="T296">
        <v>0.30281146693648953</v>
      </c>
      <c r="U296">
        <v>4.4222873134892842</v>
      </c>
      <c r="V296">
        <v>0.1151559613407446</v>
      </c>
      <c r="W296">
        <v>9.5089651547835832</v>
      </c>
      <c r="X296">
        <v>0.38680112352020529</v>
      </c>
      <c r="Z296" t="s">
        <v>392</v>
      </c>
      <c r="AA296">
        <v>140</v>
      </c>
      <c r="AB296" t="s">
        <v>1701</v>
      </c>
      <c r="AC296" t="str">
        <f>HYPERLINK("plots/20251231112652_3FT6Y119H04_05543_B21P_N_UFLEX98_M5358A8BA201511/dpll_52046/txpa_55215.png","plot")</f>
        <v>plot</v>
      </c>
    </row>
    <row r="297" spans="1:29" x14ac:dyDescent="0.35">
      <c r="A297" t="s">
        <v>47</v>
      </c>
      <c r="B297">
        <v>52046</v>
      </c>
      <c r="C297" t="s">
        <v>51</v>
      </c>
      <c r="D297">
        <v>55216</v>
      </c>
      <c r="E297" t="s">
        <v>349</v>
      </c>
      <c r="F297">
        <v>7139</v>
      </c>
      <c r="G297">
        <v>0.32002443793174529</v>
      </c>
      <c r="H297">
        <v>1.043699178453884E-169</v>
      </c>
      <c r="I297">
        <v>3.2765045416477961E-169</v>
      </c>
      <c r="J297">
        <v>0.31351298168912151</v>
      </c>
      <c r="K297">
        <v>1.361031746844642E-162</v>
      </c>
      <c r="L297">
        <v>4.5397572082252201E-162</v>
      </c>
      <c r="M297">
        <v>0.2125112878459805</v>
      </c>
      <c r="N297">
        <v>1.076054838924906E-159</v>
      </c>
      <c r="O297">
        <v>3.5892092324666271E-159</v>
      </c>
      <c r="P297">
        <v>0.1024156408735295</v>
      </c>
      <c r="Q297">
        <v>0.78458868855098529</v>
      </c>
      <c r="R297">
        <v>6.0492704891839306</v>
      </c>
      <c r="S297">
        <v>0.26745612202023011</v>
      </c>
      <c r="T297">
        <v>0.2060682633985462</v>
      </c>
      <c r="U297">
        <v>4.4222873134892842</v>
      </c>
      <c r="V297">
        <v>0.1151559613407446</v>
      </c>
      <c r="W297">
        <v>9.5189470928701478</v>
      </c>
      <c r="X297">
        <v>0.28232239159945832</v>
      </c>
      <c r="Z297" t="s">
        <v>392</v>
      </c>
      <c r="AA297">
        <v>140</v>
      </c>
      <c r="AB297" t="s">
        <v>1702</v>
      </c>
      <c r="AC297" t="str">
        <f>HYPERLINK("plots/20251231112652_3FT6Y119H04_05543_B21P_N_UFLEX98_M5358A8BA201511/dpll_52046/txpa_55216.png","plot")</f>
        <v>plot</v>
      </c>
    </row>
    <row r="298" spans="1:29" x14ac:dyDescent="0.35">
      <c r="A298" t="s">
        <v>47</v>
      </c>
      <c r="B298">
        <v>52046</v>
      </c>
      <c r="C298" t="s">
        <v>51</v>
      </c>
      <c r="D298">
        <v>55217</v>
      </c>
      <c r="E298" t="s">
        <v>350</v>
      </c>
      <c r="F298">
        <v>7139</v>
      </c>
      <c r="G298">
        <v>0.26875798040282362</v>
      </c>
      <c r="H298">
        <v>2.2615441830755392E-118</v>
      </c>
      <c r="I298">
        <v>4.2000106257117146E-118</v>
      </c>
      <c r="J298">
        <v>0.2204173386776743</v>
      </c>
      <c r="K298">
        <v>2.7926202036581707E-79</v>
      </c>
      <c r="L298">
        <v>4.258220881969001E-79</v>
      </c>
      <c r="M298">
        <v>0.14732323706543929</v>
      </c>
      <c r="N298">
        <v>9.228338527307658E-78</v>
      </c>
      <c r="O298">
        <v>1.4178083737409041E-77</v>
      </c>
      <c r="P298">
        <v>7.223085203020449E-2</v>
      </c>
      <c r="Q298">
        <v>0.72022830564596263</v>
      </c>
      <c r="R298">
        <v>6.3003306891074873</v>
      </c>
      <c r="S298">
        <v>0.29722462371967878</v>
      </c>
      <c r="T298">
        <v>0.24419400122753901</v>
      </c>
      <c r="U298">
        <v>4.4222873134892842</v>
      </c>
      <c r="V298">
        <v>0.1151559613407446</v>
      </c>
      <c r="W298">
        <v>9.4853871879815106</v>
      </c>
      <c r="X298">
        <v>0.30859951692286602</v>
      </c>
      <c r="Z298" t="s">
        <v>392</v>
      </c>
      <c r="AA298">
        <v>140</v>
      </c>
      <c r="AB298" t="s">
        <v>1703</v>
      </c>
      <c r="AC298" t="str">
        <f>HYPERLINK("plots/20251231112652_3FT6Y119H04_05543_B21P_N_UFLEX98_M5358A8BA201511/dpll_52046/txpa_55217.png","plot")</f>
        <v>plot</v>
      </c>
    </row>
    <row r="299" spans="1:29" x14ac:dyDescent="0.35">
      <c r="A299" t="s">
        <v>47</v>
      </c>
      <c r="B299">
        <v>52046</v>
      </c>
      <c r="C299" t="s">
        <v>51</v>
      </c>
      <c r="D299">
        <v>55218</v>
      </c>
      <c r="E299" t="s">
        <v>351</v>
      </c>
      <c r="F299">
        <v>7139</v>
      </c>
      <c r="G299">
        <v>0.20845837203868439</v>
      </c>
      <c r="H299">
        <v>6.3421037565593283E-71</v>
      </c>
      <c r="I299">
        <v>8.1610319913085768E-71</v>
      </c>
      <c r="J299">
        <v>0.20252837702836421</v>
      </c>
      <c r="K299">
        <v>5.7318597300504752E-67</v>
      </c>
      <c r="L299">
        <v>7.9946434199053391E-67</v>
      </c>
      <c r="M299">
        <v>0.13618797491209639</v>
      </c>
      <c r="N299">
        <v>1.01101550518336E-66</v>
      </c>
      <c r="O299">
        <v>1.4218720142245869E-66</v>
      </c>
      <c r="P299">
        <v>4.3454892873018583E-2</v>
      </c>
      <c r="Q299">
        <v>0.69301515435969685</v>
      </c>
      <c r="R299">
        <v>6.7533074061262006</v>
      </c>
      <c r="S299">
        <v>0.37439679566262379</v>
      </c>
      <c r="T299">
        <v>0.29729314544577679</v>
      </c>
      <c r="U299">
        <v>4.4222873134892842</v>
      </c>
      <c r="V299">
        <v>0.1151559613407446</v>
      </c>
      <c r="W299">
        <v>9.8180195313069056</v>
      </c>
      <c r="X299">
        <v>0.38283339519309728</v>
      </c>
      <c r="Z299" t="s">
        <v>392</v>
      </c>
      <c r="AA299">
        <v>140</v>
      </c>
      <c r="AB299" t="s">
        <v>1704</v>
      </c>
      <c r="AC299" t="str">
        <f>HYPERLINK("plots/20251231112652_3FT6Y119H04_05543_B21P_N_UFLEX98_M5358A8BA201511/dpll_52046/txpa_55218.png","plot")</f>
        <v>plot</v>
      </c>
    </row>
    <row r="300" spans="1:29" x14ac:dyDescent="0.35">
      <c r="A300" t="s">
        <v>47</v>
      </c>
      <c r="B300">
        <v>52046</v>
      </c>
      <c r="C300" t="s">
        <v>51</v>
      </c>
      <c r="D300">
        <v>55219</v>
      </c>
      <c r="E300" t="s">
        <v>352</v>
      </c>
      <c r="F300">
        <v>7139</v>
      </c>
      <c r="G300">
        <v>0.19927290600057621</v>
      </c>
      <c r="H300">
        <v>7.5464988212725136E-65</v>
      </c>
      <c r="I300">
        <v>9.4238298088304541E-65</v>
      </c>
      <c r="J300">
        <v>0.1942477313151717</v>
      </c>
      <c r="K300">
        <v>1.193749959486248E-61</v>
      </c>
      <c r="L300">
        <v>1.5948121988393348E-61</v>
      </c>
      <c r="M300">
        <v>0.13160984929557351</v>
      </c>
      <c r="N300">
        <v>1.96660802358898E-62</v>
      </c>
      <c r="O300">
        <v>2.6695321765986952E-62</v>
      </c>
      <c r="P300">
        <v>3.9709691065914467E-2</v>
      </c>
      <c r="Q300">
        <v>0.65520986434838713</v>
      </c>
      <c r="R300">
        <v>7.7714405013160262</v>
      </c>
      <c r="S300">
        <v>0.37101327758442099</v>
      </c>
      <c r="T300">
        <v>0.30650307475947791</v>
      </c>
      <c r="U300">
        <v>4.4222873134892842</v>
      </c>
      <c r="V300">
        <v>0.1151559613407446</v>
      </c>
      <c r="W300">
        <v>10.66896677209693</v>
      </c>
      <c r="X300">
        <v>0.37863311838669739</v>
      </c>
      <c r="Z300" t="s">
        <v>392</v>
      </c>
      <c r="AA300">
        <v>140</v>
      </c>
      <c r="AB300" t="s">
        <v>1705</v>
      </c>
      <c r="AC300" t="str">
        <f>HYPERLINK("plots/20251231112652_3FT6Y119H04_05543_B21P_N_UFLEX98_M5358A8BA201511/dpll_52046/txpa_55219.png","plot")</f>
        <v>plot</v>
      </c>
    </row>
    <row r="301" spans="1:29" x14ac:dyDescent="0.35">
      <c r="A301" t="s">
        <v>47</v>
      </c>
      <c r="B301">
        <v>52046</v>
      </c>
      <c r="C301" t="s">
        <v>51</v>
      </c>
      <c r="D301">
        <v>55220</v>
      </c>
      <c r="E301" t="s">
        <v>353</v>
      </c>
      <c r="F301">
        <v>7139</v>
      </c>
      <c r="G301">
        <v>0.32311140158854629</v>
      </c>
      <c r="H301">
        <v>3.8257300079124653E-173</v>
      </c>
      <c r="I301">
        <v>1.267741904582758E-172</v>
      </c>
      <c r="J301">
        <v>0.30025434410990581</v>
      </c>
      <c r="K301">
        <v>1.1919148732592851E-148</v>
      </c>
      <c r="L301">
        <v>3.3294812162118867E-148</v>
      </c>
      <c r="M301">
        <v>0.2021064280527925</v>
      </c>
      <c r="N301">
        <v>1.2393647195221039E-144</v>
      </c>
      <c r="O301">
        <v>3.4430570564257891E-144</v>
      </c>
      <c r="P301">
        <v>0.10440097783651479</v>
      </c>
      <c r="Q301">
        <v>0.78114305342697909</v>
      </c>
      <c r="R301">
        <v>6.8800902372258932</v>
      </c>
      <c r="S301">
        <v>0.26344569327897771</v>
      </c>
      <c r="T301">
        <v>0.2105249714613949</v>
      </c>
      <c r="U301">
        <v>4.4222873134892842</v>
      </c>
      <c r="V301">
        <v>0.1151559613407446</v>
      </c>
      <c r="W301">
        <v>10.334529252416299</v>
      </c>
      <c r="X301">
        <v>0.27839710644620308</v>
      </c>
      <c r="Z301" t="s">
        <v>392</v>
      </c>
      <c r="AA301">
        <v>140</v>
      </c>
      <c r="AB301" t="s">
        <v>1706</v>
      </c>
      <c r="AC301" t="str">
        <f>HYPERLINK("plots/20251231112652_3FT6Y119H04_05543_B21P_N_UFLEX98_M5358A8BA201511/dpll_52046/txpa_55220.png","plot")</f>
        <v>plot</v>
      </c>
    </row>
    <row r="302" spans="1:29" x14ac:dyDescent="0.35">
      <c r="A302" t="s">
        <v>47</v>
      </c>
      <c r="B302">
        <v>52046</v>
      </c>
      <c r="C302" t="s">
        <v>51</v>
      </c>
      <c r="D302">
        <v>55221</v>
      </c>
      <c r="E302" t="s">
        <v>354</v>
      </c>
      <c r="F302">
        <v>7139</v>
      </c>
      <c r="G302">
        <v>0.25780676093291022</v>
      </c>
      <c r="H302">
        <v>9.4450814311401979E-109</v>
      </c>
      <c r="I302">
        <v>1.6205266617895369E-108</v>
      </c>
      <c r="J302">
        <v>0.22415541956540899</v>
      </c>
      <c r="K302">
        <v>5.3624729840592301E-82</v>
      </c>
      <c r="L302">
        <v>8.4762044165500566E-82</v>
      </c>
      <c r="M302">
        <v>0.15119354478608141</v>
      </c>
      <c r="N302">
        <v>8.4369445140100126E-82</v>
      </c>
      <c r="O302">
        <v>1.3515105430025519E-81</v>
      </c>
      <c r="P302">
        <v>6.6464325982718689E-2</v>
      </c>
      <c r="Q302">
        <v>0.77106764857485477</v>
      </c>
      <c r="R302">
        <v>7.150114981442659</v>
      </c>
      <c r="S302">
        <v>0.33275121116128281</v>
      </c>
      <c r="T302">
        <v>0.2827802397028174</v>
      </c>
      <c r="U302">
        <v>4.4222873134892842</v>
      </c>
      <c r="V302">
        <v>0.1151559613407446</v>
      </c>
      <c r="W302">
        <v>10.559997661577251</v>
      </c>
      <c r="X302">
        <v>0.34441701997680241</v>
      </c>
      <c r="Z302" t="s">
        <v>392</v>
      </c>
      <c r="AA302">
        <v>140</v>
      </c>
      <c r="AB302" t="s">
        <v>1707</v>
      </c>
      <c r="AC302" t="str">
        <f>HYPERLINK("plots/20251231112652_3FT6Y119H04_05543_B21P_N_UFLEX98_M5358A8BA201511/dpll_52046/txpa_55221.png","plot")</f>
        <v>plot</v>
      </c>
    </row>
    <row r="303" spans="1:29" x14ac:dyDescent="0.35">
      <c r="A303" t="s">
        <v>47</v>
      </c>
      <c r="B303">
        <v>52046</v>
      </c>
      <c r="C303" t="s">
        <v>51</v>
      </c>
      <c r="D303">
        <v>55222</v>
      </c>
      <c r="E303" t="s">
        <v>355</v>
      </c>
      <c r="F303">
        <v>7139</v>
      </c>
      <c r="G303">
        <v>0.31192870419983038</v>
      </c>
      <c r="H303">
        <v>6.8889587871975289E-161</v>
      </c>
      <c r="I303">
        <v>1.9403900583939709E-160</v>
      </c>
      <c r="J303">
        <v>0.29869200433011722</v>
      </c>
      <c r="K303">
        <v>4.6946030648557907E-147</v>
      </c>
      <c r="L303">
        <v>1.2900616552205339E-146</v>
      </c>
      <c r="M303">
        <v>0.20129419409951649</v>
      </c>
      <c r="N303">
        <v>1.727167431947642E-143</v>
      </c>
      <c r="O303">
        <v>4.7590972173774688E-143</v>
      </c>
      <c r="P303">
        <v>9.729951650378528E-2</v>
      </c>
      <c r="Q303">
        <v>0.80793621086369494</v>
      </c>
      <c r="R303">
        <v>6.9397679106905734</v>
      </c>
      <c r="S303">
        <v>0.28336719794231779</v>
      </c>
      <c r="T303">
        <v>0.2198957436159186</v>
      </c>
      <c r="U303">
        <v>4.4222873134892842</v>
      </c>
      <c r="V303">
        <v>0.1151559613407446</v>
      </c>
      <c r="W303">
        <v>10.5126939661017</v>
      </c>
      <c r="X303">
        <v>0.29826902690046803</v>
      </c>
      <c r="Z303" t="s">
        <v>392</v>
      </c>
      <c r="AA303">
        <v>140</v>
      </c>
      <c r="AB303" t="s">
        <v>1708</v>
      </c>
      <c r="AC303" t="str">
        <f>HYPERLINK("plots/20251231112652_3FT6Y119H04_05543_B21P_N_UFLEX98_M5358A8BA201511/dpll_52046/txpa_55222.png","plot")</f>
        <v>plot</v>
      </c>
    </row>
    <row r="304" spans="1:29" x14ac:dyDescent="0.35">
      <c r="A304" t="s">
        <v>47</v>
      </c>
      <c r="B304">
        <v>52046</v>
      </c>
      <c r="C304" t="s">
        <v>51</v>
      </c>
      <c r="D304">
        <v>55223</v>
      </c>
      <c r="E304" t="s">
        <v>356</v>
      </c>
      <c r="F304">
        <v>7139</v>
      </c>
      <c r="G304">
        <v>0.248071919659336</v>
      </c>
      <c r="H304">
        <v>1.3991423278048859E-100</v>
      </c>
      <c r="I304">
        <v>2.2377449848488239E-100</v>
      </c>
      <c r="J304">
        <v>0.2117676855300657</v>
      </c>
      <c r="K304">
        <v>3.4727258918869917E-73</v>
      </c>
      <c r="L304">
        <v>5.1256827574576573E-73</v>
      </c>
      <c r="M304">
        <v>0.14115487566341581</v>
      </c>
      <c r="N304">
        <v>1.538229213120529E-71</v>
      </c>
      <c r="O304">
        <v>2.2605281479771248E-71</v>
      </c>
      <c r="P304">
        <v>6.1539677323468038E-2</v>
      </c>
      <c r="Q304">
        <v>0.79490472949342317</v>
      </c>
      <c r="R304">
        <v>6.9548022758519226</v>
      </c>
      <c r="S304">
        <v>0.3574385893769863</v>
      </c>
      <c r="T304">
        <v>0.28765972091331038</v>
      </c>
      <c r="U304">
        <v>4.4222873134892842</v>
      </c>
      <c r="V304">
        <v>0.1151559613407446</v>
      </c>
      <c r="W304">
        <v>10.47009937652332</v>
      </c>
      <c r="X304">
        <v>0.36899790361127538</v>
      </c>
      <c r="Z304" t="s">
        <v>392</v>
      </c>
      <c r="AA304">
        <v>140</v>
      </c>
      <c r="AB304" t="s">
        <v>1709</v>
      </c>
      <c r="AC304" t="str">
        <f>HYPERLINK("plots/20251231112652_3FT6Y119H04_05543_B21P_N_UFLEX98_M5358A8BA201511/dpll_52046/txpa_55223.png","plot")</f>
        <v>plot</v>
      </c>
    </row>
    <row r="305" spans="1:29" x14ac:dyDescent="0.35">
      <c r="A305" t="s">
        <v>47</v>
      </c>
      <c r="B305">
        <v>52046</v>
      </c>
      <c r="C305" t="s">
        <v>51</v>
      </c>
      <c r="D305">
        <v>55224</v>
      </c>
      <c r="E305" t="s">
        <v>357</v>
      </c>
      <c r="F305">
        <v>7139</v>
      </c>
      <c r="G305">
        <v>0.33149071942087832</v>
      </c>
      <c r="H305">
        <v>1.1240156862039811E-182</v>
      </c>
      <c r="I305">
        <v>4.1902643595986649E-182</v>
      </c>
      <c r="J305">
        <v>0.32184003303174741</v>
      </c>
      <c r="K305">
        <v>1.006196738320904E-171</v>
      </c>
      <c r="L305">
        <v>3.6833339085104572E-171</v>
      </c>
      <c r="M305">
        <v>0.21890823330914511</v>
      </c>
      <c r="N305">
        <v>2.5032311170405021E-169</v>
      </c>
      <c r="O305">
        <v>9.263782309047695E-169</v>
      </c>
      <c r="P305">
        <v>0.10988609706217151</v>
      </c>
      <c r="Q305">
        <v>0.78661639068467049</v>
      </c>
      <c r="R305">
        <v>6.9973288753350902</v>
      </c>
      <c r="S305">
        <v>0.25779258158925622</v>
      </c>
      <c r="T305">
        <v>0.19889768088857229</v>
      </c>
      <c r="U305">
        <v>4.4222873134892842</v>
      </c>
      <c r="V305">
        <v>0.1151559613407446</v>
      </c>
      <c r="W305">
        <v>10.47597256044264</v>
      </c>
      <c r="X305">
        <v>0.27326124494203491</v>
      </c>
      <c r="Z305" t="s">
        <v>392</v>
      </c>
      <c r="AA305">
        <v>140</v>
      </c>
      <c r="AB305" t="s">
        <v>1710</v>
      </c>
      <c r="AC305" t="str">
        <f>HYPERLINK("plots/20251231112652_3FT6Y119H04_05543_B21P_N_UFLEX98_M5358A8BA201511/dpll_52046/txpa_55224.png","plot")</f>
        <v>plot</v>
      </c>
    </row>
    <row r="306" spans="1:29" x14ac:dyDescent="0.35">
      <c r="A306" t="s">
        <v>47</v>
      </c>
      <c r="B306">
        <v>52046</v>
      </c>
      <c r="C306" t="s">
        <v>51</v>
      </c>
      <c r="D306">
        <v>55225</v>
      </c>
      <c r="E306" t="s">
        <v>358</v>
      </c>
      <c r="F306">
        <v>7139</v>
      </c>
      <c r="G306">
        <v>0.28120822804731038</v>
      </c>
      <c r="H306">
        <v>7.1540643172734024E-130</v>
      </c>
      <c r="I306">
        <v>1.471444466067998E-129</v>
      </c>
      <c r="J306">
        <v>0.2317815884982927</v>
      </c>
      <c r="K306">
        <v>1.0733819656812911E-87</v>
      </c>
      <c r="L306">
        <v>1.802002174173559E-87</v>
      </c>
      <c r="M306">
        <v>0.15493524637610639</v>
      </c>
      <c r="N306">
        <v>8.3662094263778214E-86</v>
      </c>
      <c r="O306">
        <v>1.3884347558669569E-85</v>
      </c>
      <c r="P306">
        <v>7.9078067521508116E-2</v>
      </c>
      <c r="Q306">
        <v>0.72562746196578198</v>
      </c>
      <c r="R306">
        <v>7.2421520019347998</v>
      </c>
      <c r="S306">
        <v>0.2851366881031368</v>
      </c>
      <c r="T306">
        <v>0.2334887690185147</v>
      </c>
      <c r="U306">
        <v>4.4222873134892842</v>
      </c>
      <c r="V306">
        <v>0.1151559613407446</v>
      </c>
      <c r="W306">
        <v>10.45108512130551</v>
      </c>
      <c r="X306">
        <v>0.29714752138709127</v>
      </c>
      <c r="Z306" t="s">
        <v>392</v>
      </c>
      <c r="AA306">
        <v>140</v>
      </c>
      <c r="AB306" t="s">
        <v>1711</v>
      </c>
      <c r="AC306" t="str">
        <f>HYPERLINK("plots/20251231112652_3FT6Y119H04_05543_B21P_N_UFLEX98_M5358A8BA201511/dpll_52046/txpa_55225.png","plot")</f>
        <v>plot</v>
      </c>
    </row>
    <row r="307" spans="1:29" x14ac:dyDescent="0.35">
      <c r="A307" t="s">
        <v>47</v>
      </c>
      <c r="B307">
        <v>52046</v>
      </c>
      <c r="C307" t="s">
        <v>51</v>
      </c>
      <c r="D307">
        <v>55226</v>
      </c>
      <c r="E307" t="s">
        <v>359</v>
      </c>
      <c r="F307">
        <v>7139</v>
      </c>
      <c r="G307">
        <v>0.21990502002055221</v>
      </c>
      <c r="H307">
        <v>6.5227905200134413E-79</v>
      </c>
      <c r="I307">
        <v>8.8660986424847585E-79</v>
      </c>
      <c r="J307">
        <v>0.2103639499468325</v>
      </c>
      <c r="K307">
        <v>3.1966811770757701E-72</v>
      </c>
      <c r="L307">
        <v>4.6706552068513412E-72</v>
      </c>
      <c r="M307">
        <v>0.1415580771616845</v>
      </c>
      <c r="N307">
        <v>6.1433042755058904E-72</v>
      </c>
      <c r="O307">
        <v>9.0542304293066468E-72</v>
      </c>
      <c r="P307">
        <v>4.8358217830239462E-2</v>
      </c>
      <c r="Q307">
        <v>0.697797477865714</v>
      </c>
      <c r="R307">
        <v>7.6761145485300659</v>
      </c>
      <c r="S307">
        <v>0.35644047083732011</v>
      </c>
      <c r="T307">
        <v>0.2838060657399708</v>
      </c>
      <c r="U307">
        <v>4.4222873134892842</v>
      </c>
      <c r="V307">
        <v>0.1151559613407446</v>
      </c>
      <c r="W307">
        <v>10.76197548228043</v>
      </c>
      <c r="X307">
        <v>0.36541020926790702</v>
      </c>
      <c r="Z307" t="s">
        <v>392</v>
      </c>
      <c r="AA307">
        <v>140</v>
      </c>
      <c r="AB307" t="s">
        <v>1712</v>
      </c>
      <c r="AC307" t="str">
        <f>HYPERLINK("plots/20251231112652_3FT6Y119H04_05543_B21P_N_UFLEX98_M5358A8BA201511/dpll_52046/txpa_55226.png","plot")</f>
        <v>plot</v>
      </c>
    </row>
    <row r="308" spans="1:29" x14ac:dyDescent="0.35">
      <c r="A308" t="s">
        <v>47</v>
      </c>
      <c r="B308">
        <v>52046</v>
      </c>
      <c r="C308" t="s">
        <v>51</v>
      </c>
      <c r="D308">
        <v>55227</v>
      </c>
      <c r="E308" t="s">
        <v>360</v>
      </c>
      <c r="F308">
        <v>7139</v>
      </c>
      <c r="G308">
        <v>0.20542883376888729</v>
      </c>
      <c r="H308">
        <v>6.8984077515511773E-69</v>
      </c>
      <c r="I308">
        <v>8.765645939940969E-69</v>
      </c>
      <c r="J308">
        <v>0.19882573470778769</v>
      </c>
      <c r="K308">
        <v>1.46549859942893E-64</v>
      </c>
      <c r="L308">
        <v>2.010846522085162E-64</v>
      </c>
      <c r="M308">
        <v>0.13484387111022611</v>
      </c>
      <c r="N308">
        <v>1.9017021794609892E-65</v>
      </c>
      <c r="O308">
        <v>2.6415424794156759E-65</v>
      </c>
      <c r="P308">
        <v>4.2201005743645117E-2</v>
      </c>
      <c r="Q308">
        <v>0.6590469056441548</v>
      </c>
      <c r="R308">
        <v>8.2144423080575422</v>
      </c>
      <c r="S308">
        <v>0.36153314491056682</v>
      </c>
      <c r="T308">
        <v>0.29815944030551328</v>
      </c>
      <c r="U308">
        <v>4.4222873134892842</v>
      </c>
      <c r="V308">
        <v>0.1151559613407446</v>
      </c>
      <c r="W308">
        <v>11.12893707788206</v>
      </c>
      <c r="X308">
        <v>0.36943781744619869</v>
      </c>
      <c r="Z308" t="s">
        <v>392</v>
      </c>
      <c r="AA308">
        <v>140</v>
      </c>
      <c r="AB308" t="s">
        <v>1713</v>
      </c>
      <c r="AC308" t="str">
        <f>HYPERLINK("plots/20251231112652_3FT6Y119H04_05543_B21P_N_UFLEX98_M5358A8BA201511/dpll_52046/txpa_55227.png","plot")</f>
        <v>plot</v>
      </c>
    </row>
    <row r="309" spans="1:29" x14ac:dyDescent="0.35">
      <c r="A309" t="s">
        <v>47</v>
      </c>
      <c r="B309">
        <v>52046</v>
      </c>
      <c r="C309" t="s">
        <v>51</v>
      </c>
      <c r="D309">
        <v>55228</v>
      </c>
      <c r="E309" t="s">
        <v>361</v>
      </c>
      <c r="F309">
        <v>7139</v>
      </c>
      <c r="G309">
        <v>0.32731303532659661</v>
      </c>
      <c r="H309">
        <v>6.932104057890485E-178</v>
      </c>
      <c r="I309">
        <v>2.4155166717185402E-177</v>
      </c>
      <c r="J309">
        <v>0.30547474685535281</v>
      </c>
      <c r="K309">
        <v>4.7117510539095312E-154</v>
      </c>
      <c r="L309">
        <v>1.4052104613718429E-153</v>
      </c>
      <c r="M309">
        <v>0.20579672785090619</v>
      </c>
      <c r="N309">
        <v>6.8824885243017416E-150</v>
      </c>
      <c r="O309">
        <v>2.028733535942432E-149</v>
      </c>
      <c r="P309">
        <v>0.1071338230947099</v>
      </c>
      <c r="Q309">
        <v>0.78250244436157557</v>
      </c>
      <c r="R309">
        <v>7.3494988652142021</v>
      </c>
      <c r="S309">
        <v>0.26011871096320238</v>
      </c>
      <c r="T309">
        <v>0.2071131809391884</v>
      </c>
      <c r="U309">
        <v>4.4222873134892842</v>
      </c>
      <c r="V309">
        <v>0.1151559613407446</v>
      </c>
      <c r="W309">
        <v>10.80994949768875</v>
      </c>
      <c r="X309">
        <v>0.27530165776021459</v>
      </c>
      <c r="Z309" t="s">
        <v>392</v>
      </c>
      <c r="AA309">
        <v>140</v>
      </c>
      <c r="AB309" t="s">
        <v>1714</v>
      </c>
      <c r="AC309" t="str">
        <f>HYPERLINK("plots/20251231112652_3FT6Y119H04_05543_B21P_N_UFLEX98_M5358A8BA201511/dpll_52046/txpa_55228.png","plot")</f>
        <v>plot</v>
      </c>
    </row>
    <row r="310" spans="1:29" x14ac:dyDescent="0.35">
      <c r="A310" t="s">
        <v>47</v>
      </c>
      <c r="B310">
        <v>52046</v>
      </c>
      <c r="C310" t="s">
        <v>51</v>
      </c>
      <c r="D310">
        <v>55229</v>
      </c>
      <c r="E310" t="s">
        <v>362</v>
      </c>
      <c r="F310">
        <v>7139</v>
      </c>
      <c r="G310">
        <v>0.26428743848712871</v>
      </c>
      <c r="H310">
        <v>2.1737638457522921E-114</v>
      </c>
      <c r="I310">
        <v>3.9643822654547187E-114</v>
      </c>
      <c r="J310">
        <v>0.22907924729815529</v>
      </c>
      <c r="K310">
        <v>1.1861995065173921E-85</v>
      </c>
      <c r="L310">
        <v>1.949442949122587E-85</v>
      </c>
      <c r="M310">
        <v>0.154516936297521</v>
      </c>
      <c r="N310">
        <v>2.370752852617126E-85</v>
      </c>
      <c r="O310">
        <v>3.9152172517162312E-85</v>
      </c>
      <c r="P310">
        <v>6.9847850142087817E-2</v>
      </c>
      <c r="Q310">
        <v>0.77166620214350756</v>
      </c>
      <c r="R310">
        <v>7.6103460931368376</v>
      </c>
      <c r="S310">
        <v>0.32425446170778172</v>
      </c>
      <c r="T310">
        <v>0.27420387194644891</v>
      </c>
      <c r="U310">
        <v>4.4222873134892842</v>
      </c>
      <c r="V310">
        <v>0.1151559613407446</v>
      </c>
      <c r="W310">
        <v>11.02287574912453</v>
      </c>
      <c r="X310">
        <v>0.33623226230755859</v>
      </c>
      <c r="Z310" t="s">
        <v>392</v>
      </c>
      <c r="AA310">
        <v>140</v>
      </c>
      <c r="AB310" t="s">
        <v>1715</v>
      </c>
      <c r="AC310" t="str">
        <f>HYPERLINK("plots/20251231112652_3FT6Y119H04_05543_B21P_N_UFLEX98_M5358A8BA201511/dpll_52046/txpa_55229.png","plot")</f>
        <v>plot</v>
      </c>
    </row>
    <row r="311" spans="1:29" x14ac:dyDescent="0.35">
      <c r="A311" t="s">
        <v>47</v>
      </c>
      <c r="B311">
        <v>52046</v>
      </c>
      <c r="C311" t="s">
        <v>51</v>
      </c>
      <c r="D311">
        <v>55230</v>
      </c>
      <c r="E311" t="s">
        <v>363</v>
      </c>
      <c r="F311">
        <v>7139</v>
      </c>
      <c r="G311">
        <v>0.31738771670043431</v>
      </c>
      <c r="H311">
        <v>8.3430348517623579E-167</v>
      </c>
      <c r="I311">
        <v>2.5103374895213739E-166</v>
      </c>
      <c r="J311">
        <v>0.30338832726225279</v>
      </c>
      <c r="K311">
        <v>7.0146317852474931E-152</v>
      </c>
      <c r="L311">
        <v>2.0264491824048309E-151</v>
      </c>
      <c r="M311">
        <v>0.20477028038260661</v>
      </c>
      <c r="N311">
        <v>2.0377558467963389E-148</v>
      </c>
      <c r="O311">
        <v>5.9036697961471079E-148</v>
      </c>
      <c r="P311">
        <v>0.10073496271231509</v>
      </c>
      <c r="Q311">
        <v>0.80845147342569368</v>
      </c>
      <c r="R311">
        <v>7.4046940697505308</v>
      </c>
      <c r="S311">
        <v>0.2781401613855784</v>
      </c>
      <c r="T311">
        <v>0.21571628877524959</v>
      </c>
      <c r="U311">
        <v>4.4222873134892842</v>
      </c>
      <c r="V311">
        <v>0.1151559613407446</v>
      </c>
      <c r="W311">
        <v>10.979898764252701</v>
      </c>
      <c r="X311">
        <v>0.29332580223180971</v>
      </c>
      <c r="Z311" t="s">
        <v>392</v>
      </c>
      <c r="AA311">
        <v>140</v>
      </c>
      <c r="AB311" t="s">
        <v>1716</v>
      </c>
      <c r="AC311" t="str">
        <f>HYPERLINK("plots/20251231112652_3FT6Y119H04_05543_B21P_N_UFLEX98_M5358A8BA201511/dpll_52046/txpa_55230.png","plot")</f>
        <v>plot</v>
      </c>
    </row>
    <row r="312" spans="1:29" x14ac:dyDescent="0.35">
      <c r="A312" t="s">
        <v>47</v>
      </c>
      <c r="B312">
        <v>52046</v>
      </c>
      <c r="C312" t="s">
        <v>51</v>
      </c>
      <c r="D312">
        <v>55231</v>
      </c>
      <c r="E312" t="s">
        <v>364</v>
      </c>
      <c r="F312">
        <v>7139</v>
      </c>
      <c r="G312">
        <v>0.25484433465046152</v>
      </c>
      <c r="H312">
        <v>3.1576389148598801E-106</v>
      </c>
      <c r="I312">
        <v>5.2748696205402274E-106</v>
      </c>
      <c r="J312">
        <v>0.21782758283957879</v>
      </c>
      <c r="K312">
        <v>1.9895306232468138E-77</v>
      </c>
      <c r="L312">
        <v>3.0155217518270101E-77</v>
      </c>
      <c r="M312">
        <v>0.14523395743286269</v>
      </c>
      <c r="N312">
        <v>1.265063708112345E-75</v>
      </c>
      <c r="O312">
        <v>1.9060543833966101E-75</v>
      </c>
      <c r="P312">
        <v>6.4945634903436397E-2</v>
      </c>
      <c r="Q312">
        <v>0.79581545088705496</v>
      </c>
      <c r="R312">
        <v>7.4191503623881747</v>
      </c>
      <c r="S312">
        <v>0.34770570820212532</v>
      </c>
      <c r="T312">
        <v>0.27977693428857198</v>
      </c>
      <c r="U312">
        <v>4.4222873134892842</v>
      </c>
      <c r="V312">
        <v>0.1151559613407446</v>
      </c>
      <c r="W312">
        <v>10.93847493472475</v>
      </c>
      <c r="X312">
        <v>0.35960341603203472</v>
      </c>
      <c r="Z312" t="s">
        <v>392</v>
      </c>
      <c r="AA312">
        <v>140</v>
      </c>
      <c r="AB312" t="s">
        <v>1717</v>
      </c>
      <c r="AC312" t="str">
        <f>HYPERLINK("plots/20251231112652_3FT6Y119H04_05543_B21P_N_UFLEX98_M5358A8BA201511/dpll_52046/txpa_55231.png","plot")</f>
        <v>plot</v>
      </c>
    </row>
    <row r="313" spans="1:29" x14ac:dyDescent="0.35">
      <c r="A313" t="s">
        <v>47</v>
      </c>
      <c r="B313">
        <v>52046</v>
      </c>
      <c r="C313" t="s">
        <v>51</v>
      </c>
      <c r="D313">
        <v>55232</v>
      </c>
      <c r="E313" t="s">
        <v>365</v>
      </c>
      <c r="F313">
        <v>7139</v>
      </c>
      <c r="G313">
        <v>0.3370760374243566</v>
      </c>
      <c r="H313">
        <v>3.3752438596489698E-189</v>
      </c>
      <c r="I313">
        <v>1.4380240645731321E-188</v>
      </c>
      <c r="J313">
        <v>0.32568591825682458</v>
      </c>
      <c r="K313">
        <v>4.854635628148644E-176</v>
      </c>
      <c r="L313">
        <v>1.8646214117207289E-175</v>
      </c>
      <c r="M313">
        <v>0.2219374745543238</v>
      </c>
      <c r="N313">
        <v>5.4572359591274851E-174</v>
      </c>
      <c r="O313">
        <v>2.1120752910516299E-173</v>
      </c>
      <c r="P313">
        <v>0.1136202550057063</v>
      </c>
      <c r="Q313">
        <v>0.7868860329396048</v>
      </c>
      <c r="R313">
        <v>7.4612507839777606</v>
      </c>
      <c r="S313">
        <v>0.25307536659134228</v>
      </c>
      <c r="T313">
        <v>0.19522813875828821</v>
      </c>
      <c r="U313">
        <v>4.4222873134892842</v>
      </c>
      <c r="V313">
        <v>0.1151559613407446</v>
      </c>
      <c r="W313">
        <v>10.94108690460849</v>
      </c>
      <c r="X313">
        <v>0.26882545042704148</v>
      </c>
      <c r="Z313" t="s">
        <v>392</v>
      </c>
      <c r="AA313">
        <v>140</v>
      </c>
      <c r="AB313" t="s">
        <v>1718</v>
      </c>
      <c r="AC313" t="str">
        <f>HYPERLINK("plots/20251231112652_3FT6Y119H04_05543_B21P_N_UFLEX98_M5358A8BA201511/dpll_52046/txpa_55232.png","plot")</f>
        <v>plot</v>
      </c>
    </row>
    <row r="314" spans="1:29" x14ac:dyDescent="0.35">
      <c r="A314" t="s">
        <v>47</v>
      </c>
      <c r="B314">
        <v>52046</v>
      </c>
      <c r="C314" t="s">
        <v>51</v>
      </c>
      <c r="D314">
        <v>55233</v>
      </c>
      <c r="E314" t="s">
        <v>366</v>
      </c>
      <c r="F314">
        <v>7139</v>
      </c>
      <c r="G314">
        <v>0.2873662731935076</v>
      </c>
      <c r="H314">
        <v>8.7447720792351787E-136</v>
      </c>
      <c r="I314">
        <v>1.8866380613498869E-135</v>
      </c>
      <c r="J314">
        <v>0.23748479136562109</v>
      </c>
      <c r="K314">
        <v>4.2742004667855732E-92</v>
      </c>
      <c r="L314">
        <v>7.4596200917737891E-92</v>
      </c>
      <c r="M314">
        <v>0.1587112503450826</v>
      </c>
      <c r="N314">
        <v>6.0708012836574931E-90</v>
      </c>
      <c r="O314">
        <v>1.055882075751063E-89</v>
      </c>
      <c r="P314">
        <v>8.2579374969125652E-2</v>
      </c>
      <c r="Q314">
        <v>0.72774080598547464</v>
      </c>
      <c r="R314">
        <v>7.7035948190885399</v>
      </c>
      <c r="S314">
        <v>0.27930659315369982</v>
      </c>
      <c r="T314">
        <v>0.228144654492584</v>
      </c>
      <c r="U314">
        <v>4.4222873134892842</v>
      </c>
      <c r="V314">
        <v>0.1151559613407446</v>
      </c>
      <c r="W314">
        <v>10.921873752906571</v>
      </c>
      <c r="X314">
        <v>0.29162674933572907</v>
      </c>
      <c r="Z314" t="s">
        <v>392</v>
      </c>
      <c r="AA314">
        <v>140</v>
      </c>
      <c r="AB314" t="s">
        <v>1719</v>
      </c>
      <c r="AC314" t="str">
        <f>HYPERLINK("plots/20251231112652_3FT6Y119H04_05543_B21P_N_UFLEX98_M5358A8BA201511/dpll_52046/txpa_55233.png","plot")</f>
        <v>plot</v>
      </c>
    </row>
    <row r="315" spans="1:29" x14ac:dyDescent="0.35">
      <c r="A315" t="s">
        <v>47</v>
      </c>
      <c r="B315">
        <v>52046</v>
      </c>
      <c r="C315" t="s">
        <v>51</v>
      </c>
      <c r="D315">
        <v>55234</v>
      </c>
      <c r="E315" t="s">
        <v>367</v>
      </c>
      <c r="F315">
        <v>7139</v>
      </c>
      <c r="G315">
        <v>0.22620457899691351</v>
      </c>
      <c r="H315">
        <v>1.6550413547821279E-83</v>
      </c>
      <c r="I315">
        <v>2.3179722841838099E-83</v>
      </c>
      <c r="J315">
        <v>0.21391127046539291</v>
      </c>
      <c r="K315">
        <v>1.1352159090977911E-74</v>
      </c>
      <c r="L315">
        <v>1.6903214857931871E-74</v>
      </c>
      <c r="M315">
        <v>0.1439740542949868</v>
      </c>
      <c r="N315">
        <v>2.3781347781257859E-74</v>
      </c>
      <c r="O315">
        <v>3.5410112555353107E-74</v>
      </c>
      <c r="P315">
        <v>5.1168511559170883E-2</v>
      </c>
      <c r="Q315">
        <v>0.70090927658041935</v>
      </c>
      <c r="R315">
        <v>8.1200519066900068</v>
      </c>
      <c r="S315">
        <v>0.34754493731123243</v>
      </c>
      <c r="T315">
        <v>0.27732028924223079</v>
      </c>
      <c r="U315">
        <v>4.4222873134892842</v>
      </c>
      <c r="V315">
        <v>0.1151559613407446</v>
      </c>
      <c r="W315">
        <v>11.21967410841855</v>
      </c>
      <c r="X315">
        <v>0.35681807112474651</v>
      </c>
      <c r="Z315" t="s">
        <v>392</v>
      </c>
      <c r="AA315">
        <v>140</v>
      </c>
      <c r="AB315" t="s">
        <v>1720</v>
      </c>
      <c r="AC315" t="str">
        <f>HYPERLINK("plots/20251231112652_3FT6Y119H04_05543_B21P_N_UFLEX98_M5358A8BA201511/dpll_52046/txpa_55234.png","plot")</f>
        <v>plot</v>
      </c>
    </row>
    <row r="316" spans="1:29" x14ac:dyDescent="0.35">
      <c r="A316" t="s">
        <v>47</v>
      </c>
      <c r="B316">
        <v>52046</v>
      </c>
      <c r="C316" t="s">
        <v>51</v>
      </c>
      <c r="D316">
        <v>55235</v>
      </c>
      <c r="E316" t="s">
        <v>368</v>
      </c>
      <c r="F316">
        <v>7139</v>
      </c>
      <c r="G316">
        <v>0.21173240761998599</v>
      </c>
      <c r="H316">
        <v>3.6726821911995252E-73</v>
      </c>
      <c r="I316">
        <v>4.7990976055107193E-73</v>
      </c>
      <c r="J316">
        <v>0.2036784276847606</v>
      </c>
      <c r="K316">
        <v>1.0016349704194209E-67</v>
      </c>
      <c r="L316">
        <v>1.410635916674018E-67</v>
      </c>
      <c r="M316">
        <v>0.13829965146370629</v>
      </c>
      <c r="N316">
        <v>9.4959067467420494E-69</v>
      </c>
      <c r="O316">
        <v>1.3466922295379631E-68</v>
      </c>
      <c r="P316">
        <v>4.4830612436555888E-2</v>
      </c>
      <c r="Q316">
        <v>0.66349996765989594</v>
      </c>
      <c r="R316">
        <v>8.6308249842529108</v>
      </c>
      <c r="S316">
        <v>0.35265477917557092</v>
      </c>
      <c r="T316">
        <v>0.29041160750362682</v>
      </c>
      <c r="U316">
        <v>4.4222873134892842</v>
      </c>
      <c r="V316">
        <v>0.1151559613407446</v>
      </c>
      <c r="W316">
        <v>11.56501247373582</v>
      </c>
      <c r="X316">
        <v>0.36086103910252848</v>
      </c>
      <c r="Z316" t="s">
        <v>392</v>
      </c>
      <c r="AA316">
        <v>140</v>
      </c>
      <c r="AB316" t="s">
        <v>1721</v>
      </c>
      <c r="AC316" t="str">
        <f>HYPERLINK("plots/20251231112652_3FT6Y119H04_05543_B21P_N_UFLEX98_M5358A8BA201511/dpll_52046/txpa_55235.png","plot")</f>
        <v>plot</v>
      </c>
    </row>
    <row r="317" spans="1:29" x14ac:dyDescent="0.35">
      <c r="A317" t="s">
        <v>47</v>
      </c>
      <c r="B317">
        <v>52046</v>
      </c>
      <c r="C317" t="s">
        <v>51</v>
      </c>
      <c r="D317">
        <v>55236</v>
      </c>
      <c r="E317" t="s">
        <v>369</v>
      </c>
      <c r="F317">
        <v>7139</v>
      </c>
      <c r="G317">
        <v>0.330717886213309</v>
      </c>
      <c r="H317">
        <v>8.7616010743794328E-182</v>
      </c>
      <c r="I317">
        <v>3.218936046891574E-181</v>
      </c>
      <c r="J317">
        <v>0.31049634315646318</v>
      </c>
      <c r="K317">
        <v>2.3442618234424191E-159</v>
      </c>
      <c r="L317">
        <v>7.405238283397549E-159</v>
      </c>
      <c r="M317">
        <v>0.20939622250159709</v>
      </c>
      <c r="N317">
        <v>4.1720714965781874E-155</v>
      </c>
      <c r="O317">
        <v>1.313813819108783E-154</v>
      </c>
      <c r="P317">
        <v>0.1093743202613992</v>
      </c>
      <c r="Q317">
        <v>0.78185864539934935</v>
      </c>
      <c r="R317">
        <v>7.8094920331334201</v>
      </c>
      <c r="S317">
        <v>0.25690595540980521</v>
      </c>
      <c r="T317">
        <v>0.20362007240921309</v>
      </c>
      <c r="U317">
        <v>4.4222873134892842</v>
      </c>
      <c r="V317">
        <v>0.1151559613407446</v>
      </c>
      <c r="W317">
        <v>11.267095601624881</v>
      </c>
      <c r="X317">
        <v>0.27224316463326242</v>
      </c>
      <c r="Z317" t="s">
        <v>392</v>
      </c>
      <c r="AA317">
        <v>140</v>
      </c>
      <c r="AB317" t="s">
        <v>1722</v>
      </c>
      <c r="AC317" t="str">
        <f>HYPERLINK("plots/20251231112652_3FT6Y119H04_05543_B21P_N_UFLEX98_M5358A8BA201511/dpll_52046/txpa_55236.png","plot")</f>
        <v>plot</v>
      </c>
    </row>
    <row r="318" spans="1:29" x14ac:dyDescent="0.35">
      <c r="A318" t="s">
        <v>47</v>
      </c>
      <c r="B318">
        <v>52046</v>
      </c>
      <c r="C318" t="s">
        <v>51</v>
      </c>
      <c r="D318">
        <v>55237</v>
      </c>
      <c r="E318" t="s">
        <v>370</v>
      </c>
      <c r="F318">
        <v>7139</v>
      </c>
      <c r="G318">
        <v>0.27092245921959179</v>
      </c>
      <c r="H318">
        <v>2.5027818483962299E-120</v>
      </c>
      <c r="I318">
        <v>4.7347402878242122E-120</v>
      </c>
      <c r="J318">
        <v>0.23435273310923441</v>
      </c>
      <c r="K318">
        <v>1.153145784587587E-89</v>
      </c>
      <c r="L318">
        <v>1.9718209537467342E-89</v>
      </c>
      <c r="M318">
        <v>0.1580600480779186</v>
      </c>
      <c r="N318">
        <v>3.1930847039734987E-89</v>
      </c>
      <c r="O318">
        <v>5.5158226402540517E-89</v>
      </c>
      <c r="P318">
        <v>7.3398978909591406E-2</v>
      </c>
      <c r="Q318">
        <v>0.77109583943154858</v>
      </c>
      <c r="R318">
        <v>8.0554907607763404</v>
      </c>
      <c r="S318">
        <v>0.3154755774677066</v>
      </c>
      <c r="T318">
        <v>0.2650259319271161</v>
      </c>
      <c r="U318">
        <v>4.4222873134892842</v>
      </c>
      <c r="V318">
        <v>0.1151559613407446</v>
      </c>
      <c r="W318">
        <v>11.465498108978849</v>
      </c>
      <c r="X318">
        <v>0.32775533978013988</v>
      </c>
      <c r="Z318" t="s">
        <v>392</v>
      </c>
      <c r="AA318">
        <v>140</v>
      </c>
      <c r="AB318" t="s">
        <v>1723</v>
      </c>
      <c r="AC318" t="str">
        <f>HYPERLINK("plots/20251231112652_3FT6Y119H04_05543_B21P_N_UFLEX98_M5358A8BA201511/dpll_52046/txpa_55237.png","plot")</f>
        <v>plot</v>
      </c>
    </row>
    <row r="319" spans="1:29" x14ac:dyDescent="0.35">
      <c r="A319" t="s">
        <v>47</v>
      </c>
      <c r="B319">
        <v>52046</v>
      </c>
      <c r="C319" t="s">
        <v>51</v>
      </c>
      <c r="D319">
        <v>55238</v>
      </c>
      <c r="E319" t="s">
        <v>371</v>
      </c>
      <c r="F319">
        <v>7139</v>
      </c>
      <c r="G319">
        <v>0.32297264714726093</v>
      </c>
      <c r="H319">
        <v>5.4704285946782957E-173</v>
      </c>
      <c r="I319">
        <v>1.8068451449523751E-172</v>
      </c>
      <c r="J319">
        <v>0.3085600938170957</v>
      </c>
      <c r="K319">
        <v>2.6741873372083931E-157</v>
      </c>
      <c r="L319">
        <v>8.3692159257077477E-157</v>
      </c>
      <c r="M319">
        <v>0.2086753948652352</v>
      </c>
      <c r="N319">
        <v>4.7012504340149111E-154</v>
      </c>
      <c r="O319">
        <v>1.471317265460222E-153</v>
      </c>
      <c r="P319">
        <v>0.1043113308053091</v>
      </c>
      <c r="Q319">
        <v>0.8082656786920791</v>
      </c>
      <c r="R319">
        <v>7.8529779349267503</v>
      </c>
      <c r="S319">
        <v>0.27272373807399752</v>
      </c>
      <c r="T319">
        <v>0.21130879538526351</v>
      </c>
      <c r="U319">
        <v>4.4222873134892842</v>
      </c>
      <c r="V319">
        <v>0.1151559613407446</v>
      </c>
      <c r="W319">
        <v>11.42736099173554</v>
      </c>
      <c r="X319">
        <v>0.28818728790391052</v>
      </c>
      <c r="Z319" t="s">
        <v>392</v>
      </c>
      <c r="AA319">
        <v>140</v>
      </c>
      <c r="AB319" t="s">
        <v>1724</v>
      </c>
      <c r="AC319" t="str">
        <f>HYPERLINK("plots/20251231112652_3FT6Y119H04_05543_B21P_N_UFLEX98_M5358A8BA201511/dpll_52046/txpa_55238.png","plot")</f>
        <v>plot</v>
      </c>
    </row>
    <row r="320" spans="1:29" x14ac:dyDescent="0.35">
      <c r="A320" t="s">
        <v>47</v>
      </c>
      <c r="B320">
        <v>52046</v>
      </c>
      <c r="C320" t="s">
        <v>51</v>
      </c>
      <c r="D320">
        <v>55239</v>
      </c>
      <c r="E320" t="s">
        <v>372</v>
      </c>
      <c r="F320">
        <v>7139</v>
      </c>
      <c r="G320">
        <v>0.26215263195510152</v>
      </c>
      <c r="H320">
        <v>1.62966136419555E-112</v>
      </c>
      <c r="I320">
        <v>2.894004594210662E-112</v>
      </c>
      <c r="J320">
        <v>0.2245581020692016</v>
      </c>
      <c r="K320">
        <v>2.7146821507263699E-82</v>
      </c>
      <c r="L320">
        <v>4.3349412611599051E-82</v>
      </c>
      <c r="M320">
        <v>0.14978480010984691</v>
      </c>
      <c r="N320">
        <v>2.5605357288424231E-80</v>
      </c>
      <c r="O320">
        <v>4.0316509767798387E-80</v>
      </c>
      <c r="P320">
        <v>6.872400244098692E-2</v>
      </c>
      <c r="Q320">
        <v>0.79588759493373817</v>
      </c>
      <c r="R320">
        <v>7.8675900209239096</v>
      </c>
      <c r="S320">
        <v>0.33735932905614319</v>
      </c>
      <c r="T320">
        <v>0.27140062679989913</v>
      </c>
      <c r="U320">
        <v>4.4222873134892842</v>
      </c>
      <c r="V320">
        <v>0.1151559613407446</v>
      </c>
      <c r="W320">
        <v>11.387233634962881</v>
      </c>
      <c r="X320">
        <v>0.3496100742160953</v>
      </c>
      <c r="Z320" t="s">
        <v>392</v>
      </c>
      <c r="AA320">
        <v>140</v>
      </c>
      <c r="AB320" t="s">
        <v>1725</v>
      </c>
      <c r="AC320" t="str">
        <f>HYPERLINK("plots/20251231112652_3FT6Y119H04_05543_B21P_N_UFLEX98_M5358A8BA201511/dpll_52046/txpa_55239.png","plot")</f>
        <v>plot</v>
      </c>
    </row>
    <row r="321" spans="1:29" x14ac:dyDescent="0.35">
      <c r="A321" t="s">
        <v>47</v>
      </c>
      <c r="B321">
        <v>52046</v>
      </c>
      <c r="C321" t="s">
        <v>51</v>
      </c>
      <c r="D321">
        <v>55240</v>
      </c>
      <c r="E321" t="s">
        <v>373</v>
      </c>
      <c r="F321">
        <v>7139</v>
      </c>
      <c r="G321">
        <v>0.34257064931503922</v>
      </c>
      <c r="H321">
        <v>9.5093252644292941E-196</v>
      </c>
      <c r="I321">
        <v>4.5698842739958784E-195</v>
      </c>
      <c r="J321">
        <v>0.32969112408297951</v>
      </c>
      <c r="K321">
        <v>1.3286643378462171E-180</v>
      </c>
      <c r="L321">
        <v>5.2833946610826038E-180</v>
      </c>
      <c r="M321">
        <v>0.2251800118247424</v>
      </c>
      <c r="N321">
        <v>4.7512852799558437E-179</v>
      </c>
      <c r="O321">
        <v>1.9348607525603319E-178</v>
      </c>
      <c r="P321">
        <v>0.11735464977212751</v>
      </c>
      <c r="Q321">
        <v>0.78626233785197475</v>
      </c>
      <c r="R321">
        <v>7.9089374297542019</v>
      </c>
      <c r="S321">
        <v>0.2482941271664767</v>
      </c>
      <c r="T321">
        <v>0.19143379803376459</v>
      </c>
      <c r="U321">
        <v>4.4222873134892842</v>
      </c>
      <c r="V321">
        <v>0.1151559613407446</v>
      </c>
      <c r="W321">
        <v>11.386015391511419</v>
      </c>
      <c r="X321">
        <v>0.26430400725340403</v>
      </c>
      <c r="Z321" t="s">
        <v>392</v>
      </c>
      <c r="AA321">
        <v>140</v>
      </c>
      <c r="AB321" t="s">
        <v>1726</v>
      </c>
      <c r="AC321" t="str">
        <f>HYPERLINK("plots/20251231112652_3FT6Y119H04_05543_B21P_N_UFLEX98_M5358A8BA201511/dpll_52046/txpa_55240.png","plot")</f>
        <v>plot</v>
      </c>
    </row>
    <row r="322" spans="1:29" x14ac:dyDescent="0.35">
      <c r="A322" t="s">
        <v>47</v>
      </c>
      <c r="B322">
        <v>52046</v>
      </c>
      <c r="C322" t="s">
        <v>51</v>
      </c>
      <c r="D322">
        <v>55241</v>
      </c>
      <c r="E322" t="s">
        <v>374</v>
      </c>
      <c r="F322">
        <v>7139</v>
      </c>
      <c r="G322">
        <v>0.29317346880740569</v>
      </c>
      <c r="H322">
        <v>1.6885631327497509E-141</v>
      </c>
      <c r="I322">
        <v>3.882546522921197E-141</v>
      </c>
      <c r="J322">
        <v>0.2433160775105952</v>
      </c>
      <c r="K322">
        <v>1.020260148934965E-96</v>
      </c>
      <c r="L322">
        <v>1.8540211308603119E-96</v>
      </c>
      <c r="M322">
        <v>0.16257611325987281</v>
      </c>
      <c r="N322">
        <v>2.7802092835804921E-94</v>
      </c>
      <c r="O322">
        <v>5.0251911114984279E-94</v>
      </c>
      <c r="P322">
        <v>8.5950682812566903E-2</v>
      </c>
      <c r="Q322">
        <v>0.7283774521669476</v>
      </c>
      <c r="R322">
        <v>8.1525540664040381</v>
      </c>
      <c r="S322">
        <v>0.27350964634514768</v>
      </c>
      <c r="T322">
        <v>0.2227769819893182</v>
      </c>
      <c r="U322">
        <v>4.4222873134892842</v>
      </c>
      <c r="V322">
        <v>0.1151559613407446</v>
      </c>
      <c r="W322">
        <v>11.37364843255358</v>
      </c>
      <c r="X322">
        <v>0.28610026024663349</v>
      </c>
      <c r="Z322" t="s">
        <v>392</v>
      </c>
      <c r="AA322">
        <v>140</v>
      </c>
      <c r="AB322" t="s">
        <v>1727</v>
      </c>
      <c r="AC322" t="str">
        <f>HYPERLINK("plots/20251231112652_3FT6Y119H04_05543_B21P_N_UFLEX98_M5358A8BA201511/dpll_52046/txpa_55241.png","plot")</f>
        <v>plot</v>
      </c>
    </row>
    <row r="323" spans="1:29" x14ac:dyDescent="0.35">
      <c r="A323" t="s">
        <v>47</v>
      </c>
      <c r="B323">
        <v>52046</v>
      </c>
      <c r="C323" t="s">
        <v>51</v>
      </c>
      <c r="D323">
        <v>55242</v>
      </c>
      <c r="E323" t="s">
        <v>375</v>
      </c>
      <c r="F323">
        <v>7139</v>
      </c>
      <c r="G323">
        <v>0.23247263786475561</v>
      </c>
      <c r="H323">
        <v>3.1911478087370399E-88</v>
      </c>
      <c r="I323">
        <v>4.622605540084799E-88</v>
      </c>
      <c r="J323">
        <v>0.21677843860925161</v>
      </c>
      <c r="K323">
        <v>1.102812678724568E-76</v>
      </c>
      <c r="L323">
        <v>1.6640655598611781E-76</v>
      </c>
      <c r="M323">
        <v>0.14600627331136579</v>
      </c>
      <c r="N323">
        <v>2.0693008333993779E-76</v>
      </c>
      <c r="O323">
        <v>3.1317478284581633E-76</v>
      </c>
      <c r="P323">
        <v>5.4043527355797823E-2</v>
      </c>
      <c r="Q323">
        <v>0.70359267869508535</v>
      </c>
      <c r="R323">
        <v>8.5437446987275951</v>
      </c>
      <c r="S323">
        <v>0.33895422431405092</v>
      </c>
      <c r="T323">
        <v>0.27133970255672479</v>
      </c>
      <c r="U323">
        <v>4.4222873134892842</v>
      </c>
      <c r="V323">
        <v>0.1151559613407446</v>
      </c>
      <c r="W323">
        <v>11.65523367558481</v>
      </c>
      <c r="X323">
        <v>0.34852657091876088</v>
      </c>
      <c r="Z323" t="s">
        <v>392</v>
      </c>
      <c r="AA323">
        <v>140</v>
      </c>
      <c r="AB323" t="s">
        <v>1728</v>
      </c>
      <c r="AC323" t="str">
        <f>HYPERLINK("plots/20251231112652_3FT6Y119H04_05543_B21P_N_UFLEX98_M5358A8BA201511/dpll_52046/txpa_55242.png","plot")</f>
        <v>plot</v>
      </c>
    </row>
    <row r="324" spans="1:29" x14ac:dyDescent="0.35">
      <c r="A324" t="s">
        <v>47</v>
      </c>
      <c r="B324">
        <v>52046</v>
      </c>
      <c r="C324" t="s">
        <v>51</v>
      </c>
      <c r="D324">
        <v>55243</v>
      </c>
      <c r="E324" t="s">
        <v>376</v>
      </c>
      <c r="F324">
        <v>7139</v>
      </c>
      <c r="G324">
        <v>0.23248543948705949</v>
      </c>
      <c r="H324">
        <v>3.1201211499957511E-88</v>
      </c>
      <c r="I324">
        <v>4.5261843291783857E-88</v>
      </c>
      <c r="J324">
        <v>0.22143257526339191</v>
      </c>
      <c r="K324">
        <v>5.1659603824802439E-80</v>
      </c>
      <c r="L324">
        <v>7.9973798898243771E-80</v>
      </c>
      <c r="M324">
        <v>0.15093298947699979</v>
      </c>
      <c r="N324">
        <v>1.589937798271948E-81</v>
      </c>
      <c r="O324">
        <v>2.5388927991303229E-81</v>
      </c>
      <c r="P324">
        <v>5.4049479573491203E-2</v>
      </c>
      <c r="Q324">
        <v>0.69797265315823442</v>
      </c>
      <c r="R324">
        <v>9.7945952074168723</v>
      </c>
      <c r="S324">
        <v>0.33622721640278169</v>
      </c>
      <c r="T324">
        <v>0.27514737368692072</v>
      </c>
      <c r="U324">
        <v>4.4222873134892842</v>
      </c>
      <c r="V324">
        <v>0.1151559613407446</v>
      </c>
      <c r="W324">
        <v>12.88123081664099</v>
      </c>
      <c r="X324">
        <v>0.34572363775263631</v>
      </c>
      <c r="Z324" t="s">
        <v>392</v>
      </c>
      <c r="AA324">
        <v>140</v>
      </c>
      <c r="AB324" t="s">
        <v>1729</v>
      </c>
      <c r="AC324" t="str">
        <f>HYPERLINK("plots/20251231112652_3FT6Y119H04_05543_B21P_N_UFLEX98_M5358A8BA201511/dpll_52046/txpa_55243.png","plot")</f>
        <v>plot</v>
      </c>
    </row>
    <row r="325" spans="1:29" x14ac:dyDescent="0.35">
      <c r="A325" t="s">
        <v>47</v>
      </c>
      <c r="B325">
        <v>52046</v>
      </c>
      <c r="C325" t="s">
        <v>51</v>
      </c>
      <c r="D325">
        <v>55244</v>
      </c>
      <c r="E325" t="s">
        <v>377</v>
      </c>
      <c r="F325">
        <v>7139</v>
      </c>
      <c r="G325">
        <v>0.33939958697707923</v>
      </c>
      <c r="H325">
        <v>5.9518469212455078E-192</v>
      </c>
      <c r="I325">
        <v>2.6586664220894029E-191</v>
      </c>
      <c r="J325">
        <v>0.33380470423549102</v>
      </c>
      <c r="K325">
        <v>2.3176036647204659E-185</v>
      </c>
      <c r="L325">
        <v>9.710950892671704E-185</v>
      </c>
      <c r="M325">
        <v>0.2265664912328193</v>
      </c>
      <c r="N325">
        <v>3.0920576546220829E-181</v>
      </c>
      <c r="O325">
        <v>1.279733249708895E-180</v>
      </c>
      <c r="P325">
        <v>0.115192079640212</v>
      </c>
      <c r="Q325">
        <v>0.77894881479850497</v>
      </c>
      <c r="R325">
        <v>9.2659069771759661</v>
      </c>
      <c r="S325">
        <v>0.2485868311487448</v>
      </c>
      <c r="T325">
        <v>0.19151000435426491</v>
      </c>
      <c r="U325">
        <v>4.4222873134892842</v>
      </c>
      <c r="V325">
        <v>0.1151559613407446</v>
      </c>
      <c r="W325">
        <v>12.71064243871691</v>
      </c>
      <c r="X325">
        <v>0.26429201167358302</v>
      </c>
      <c r="Z325" t="s">
        <v>392</v>
      </c>
      <c r="AA325">
        <v>140</v>
      </c>
      <c r="AB325" t="s">
        <v>1730</v>
      </c>
      <c r="AC325" t="str">
        <f>HYPERLINK("plots/20251231112652_3FT6Y119H04_05543_B21P_N_UFLEX98_M5358A8BA201511/dpll_52046/txpa_55244.png","plot")</f>
        <v>plot</v>
      </c>
    </row>
    <row r="326" spans="1:29" x14ac:dyDescent="0.35">
      <c r="A326" t="s">
        <v>47</v>
      </c>
      <c r="B326">
        <v>52046</v>
      </c>
      <c r="C326" t="s">
        <v>51</v>
      </c>
      <c r="D326">
        <v>55245</v>
      </c>
      <c r="E326" t="s">
        <v>378</v>
      </c>
      <c r="F326">
        <v>7139</v>
      </c>
      <c r="G326">
        <v>0.29087532902943991</v>
      </c>
      <c r="H326">
        <v>3.1989837626642848E-139</v>
      </c>
      <c r="I326">
        <v>7.1135296827666353E-139</v>
      </c>
      <c r="J326">
        <v>0.26380046582008532</v>
      </c>
      <c r="K326">
        <v>5.8401934660776603E-114</v>
      </c>
      <c r="L326">
        <v>1.1939427771376511E-113</v>
      </c>
      <c r="M326">
        <v>0.1777691963285683</v>
      </c>
      <c r="N326">
        <v>2.3921274988109652E-112</v>
      </c>
      <c r="O326">
        <v>4.9301164304762564E-112</v>
      </c>
      <c r="P326">
        <v>8.4608457037984933E-2</v>
      </c>
      <c r="Q326">
        <v>0.76972560549462965</v>
      </c>
      <c r="R326">
        <v>9.4301262149105192</v>
      </c>
      <c r="S326">
        <v>0.29153352266610838</v>
      </c>
      <c r="T326">
        <v>0.2347178100422847</v>
      </c>
      <c r="U326">
        <v>4.4222873134892842</v>
      </c>
      <c r="V326">
        <v>0.1151559613407446</v>
      </c>
      <c r="W326">
        <v>12.834073994957279</v>
      </c>
      <c r="X326">
        <v>0.30473018239491051</v>
      </c>
      <c r="Z326" t="s">
        <v>392</v>
      </c>
      <c r="AA326">
        <v>140</v>
      </c>
      <c r="AB326" t="s">
        <v>1731</v>
      </c>
      <c r="AC326" t="str">
        <f>HYPERLINK("plots/20251231112652_3FT6Y119H04_05543_B21P_N_UFLEX98_M5358A8BA201511/dpll_52046/txpa_55245.png","plot")</f>
        <v>plot</v>
      </c>
    </row>
    <row r="327" spans="1:29" x14ac:dyDescent="0.35">
      <c r="A327" t="s">
        <v>47</v>
      </c>
      <c r="B327">
        <v>52046</v>
      </c>
      <c r="C327" t="s">
        <v>51</v>
      </c>
      <c r="D327">
        <v>55246</v>
      </c>
      <c r="E327" t="s">
        <v>379</v>
      </c>
      <c r="F327">
        <v>7139</v>
      </c>
      <c r="G327">
        <v>0.34441769615086981</v>
      </c>
      <c r="H327">
        <v>5.5749131129167457E-198</v>
      </c>
      <c r="I327">
        <v>2.8841642329069291E-197</v>
      </c>
      <c r="J327">
        <v>0.33511615445405241</v>
      </c>
      <c r="K327">
        <v>6.8005624535657131E-187</v>
      </c>
      <c r="L327">
        <v>2.9219365796252679E-186</v>
      </c>
      <c r="M327">
        <v>0.22953465854548971</v>
      </c>
      <c r="N327">
        <v>5.8206086392804067E-186</v>
      </c>
      <c r="O327">
        <v>2.555020415684127E-185</v>
      </c>
      <c r="P327">
        <v>0.11862354942187291</v>
      </c>
      <c r="Q327">
        <v>0.80903670270981953</v>
      </c>
      <c r="R327">
        <v>9.2390797285957369</v>
      </c>
      <c r="S327">
        <v>0.25393320502562189</v>
      </c>
      <c r="T327">
        <v>0.1933293807580681</v>
      </c>
      <c r="U327">
        <v>4.4222873134892842</v>
      </c>
      <c r="V327">
        <v>0.1151559613407446</v>
      </c>
      <c r="W327">
        <v>12.81687247513657</v>
      </c>
      <c r="X327">
        <v>0.27050119753337237</v>
      </c>
      <c r="Z327" t="s">
        <v>392</v>
      </c>
      <c r="AA327">
        <v>140</v>
      </c>
      <c r="AB327" t="s">
        <v>1732</v>
      </c>
      <c r="AC327" t="str">
        <f>HYPERLINK("plots/20251231112652_3FT6Y119H04_05543_B21P_N_UFLEX98_M5358A8BA201511/dpll_52046/txpa_55246.png","plot")</f>
        <v>plot</v>
      </c>
    </row>
    <row r="328" spans="1:29" x14ac:dyDescent="0.35">
      <c r="A328" t="s">
        <v>47</v>
      </c>
      <c r="B328">
        <v>52046</v>
      </c>
      <c r="C328" t="s">
        <v>51</v>
      </c>
      <c r="D328">
        <v>55247</v>
      </c>
      <c r="E328" t="s">
        <v>380</v>
      </c>
      <c r="F328">
        <v>7139</v>
      </c>
      <c r="G328">
        <v>0.2926115598984807</v>
      </c>
      <c r="H328">
        <v>6.1141733538229946E-141</v>
      </c>
      <c r="I328">
        <v>1.3963449956703869E-140</v>
      </c>
      <c r="J328">
        <v>0.25746950499195481</v>
      </c>
      <c r="K328">
        <v>1.837555021632202E-108</v>
      </c>
      <c r="L328">
        <v>3.6534917488922614E-108</v>
      </c>
      <c r="M328">
        <v>0.1726881056683523</v>
      </c>
      <c r="N328">
        <v>3.9727676153870129E-106</v>
      </c>
      <c r="O328">
        <v>7.8987967882400619E-106</v>
      </c>
      <c r="P328">
        <v>8.5621524986222164E-2</v>
      </c>
      <c r="Q328">
        <v>0.79334637429530319</v>
      </c>
      <c r="R328">
        <v>9.2801130406204706</v>
      </c>
      <c r="S328">
        <v>0.29853163877301547</v>
      </c>
      <c r="T328">
        <v>0.2385673752722107</v>
      </c>
      <c r="U328">
        <v>4.4222873134892842</v>
      </c>
      <c r="V328">
        <v>0.1151559613407446</v>
      </c>
      <c r="W328">
        <v>12.78851864686931</v>
      </c>
      <c r="X328">
        <v>0.31221789200626932</v>
      </c>
      <c r="Z328" t="s">
        <v>392</v>
      </c>
      <c r="AA328">
        <v>140</v>
      </c>
      <c r="AB328" t="s">
        <v>1733</v>
      </c>
      <c r="AC328" t="str">
        <f>HYPERLINK("plots/20251231112652_3FT6Y119H04_05543_B21P_N_UFLEX98_M5358A8BA201511/dpll_52046/txpa_55247.png","plot")</f>
        <v>plot</v>
      </c>
    </row>
    <row r="329" spans="1:29" x14ac:dyDescent="0.35">
      <c r="A329" t="s">
        <v>47</v>
      </c>
      <c r="B329">
        <v>52046</v>
      </c>
      <c r="C329" t="s">
        <v>51</v>
      </c>
      <c r="D329">
        <v>55248</v>
      </c>
      <c r="E329" t="s">
        <v>381</v>
      </c>
      <c r="F329">
        <v>7139</v>
      </c>
      <c r="G329">
        <v>0.36064595951821787</v>
      </c>
      <c r="H329">
        <v>2.9883762873611369E-218</v>
      </c>
      <c r="I329">
        <v>2.385994925499365E-217</v>
      </c>
      <c r="J329">
        <v>0.35065971323834921</v>
      </c>
      <c r="K329">
        <v>1.2320622597793031E-205</v>
      </c>
      <c r="L329">
        <v>6.4731146705503268E-205</v>
      </c>
      <c r="M329">
        <v>0.24203912927589069</v>
      </c>
      <c r="N329">
        <v>1.5310793377115909E-206</v>
      </c>
      <c r="O329">
        <v>8.4836855105986517E-206</v>
      </c>
      <c r="P329">
        <v>0.13006550811681611</v>
      </c>
      <c r="Q329">
        <v>0.78871791469024033</v>
      </c>
      <c r="R329">
        <v>9.2705929680495238</v>
      </c>
      <c r="S329">
        <v>0.23487668876931869</v>
      </c>
      <c r="T329">
        <v>0.17869465945589219</v>
      </c>
      <c r="U329">
        <v>4.4222873134892842</v>
      </c>
      <c r="V329">
        <v>0.1151559613407446</v>
      </c>
      <c r="W329">
        <v>12.7585301961059</v>
      </c>
      <c r="X329">
        <v>0.25184136213297581</v>
      </c>
      <c r="Z329" t="s">
        <v>392</v>
      </c>
      <c r="AA329">
        <v>140</v>
      </c>
      <c r="AB329" t="s">
        <v>1734</v>
      </c>
      <c r="AC329" t="str">
        <f>HYPERLINK("plots/20251231112652_3FT6Y119H04_05543_B21P_N_UFLEX98_M5358A8BA201511/dpll_52046/txpa_55248.png","plot")</f>
        <v>plot</v>
      </c>
    </row>
    <row r="330" spans="1:29" x14ac:dyDescent="0.35">
      <c r="A330" t="s">
        <v>47</v>
      </c>
      <c r="B330">
        <v>52046</v>
      </c>
      <c r="C330" t="s">
        <v>51</v>
      </c>
      <c r="D330">
        <v>55249</v>
      </c>
      <c r="E330" t="s">
        <v>382</v>
      </c>
      <c r="F330">
        <v>7139</v>
      </c>
      <c r="G330">
        <v>0.3124829702013871</v>
      </c>
      <c r="H330">
        <v>1.7502261960048201E-161</v>
      </c>
      <c r="I330">
        <v>4.9851948391822683E-161</v>
      </c>
      <c r="J330">
        <v>0.27146452077922839</v>
      </c>
      <c r="K330">
        <v>8.0489766286973615E-121</v>
      </c>
      <c r="L330">
        <v>1.740226503517937E-120</v>
      </c>
      <c r="M330">
        <v>0.1814288406458027</v>
      </c>
      <c r="N330">
        <v>6.1300995638668917E-117</v>
      </c>
      <c r="O330">
        <v>1.3169324063053019E-116</v>
      </c>
      <c r="P330">
        <v>9.7645606665880985E-2</v>
      </c>
      <c r="Q330">
        <v>0.73506057069176334</v>
      </c>
      <c r="R330">
        <v>9.5356059993029092</v>
      </c>
      <c r="S330">
        <v>0.25730092533203908</v>
      </c>
      <c r="T330">
        <v>0.20479118135035401</v>
      </c>
      <c r="U330">
        <v>4.4222873134892842</v>
      </c>
      <c r="V330">
        <v>0.1151559613407446</v>
      </c>
      <c r="W330">
        <v>12.786255035719289</v>
      </c>
      <c r="X330">
        <v>0.27088390323201877</v>
      </c>
      <c r="Z330" t="s">
        <v>392</v>
      </c>
      <c r="AA330">
        <v>140</v>
      </c>
      <c r="AB330" t="s">
        <v>1735</v>
      </c>
      <c r="AC330" t="str">
        <f>HYPERLINK("plots/20251231112652_3FT6Y119H04_05543_B21P_N_UFLEX98_M5358A8BA201511/dpll_52046/txpa_55249.png","plot")</f>
        <v>plot</v>
      </c>
    </row>
    <row r="331" spans="1:29" x14ac:dyDescent="0.35">
      <c r="A331" t="s">
        <v>47</v>
      </c>
      <c r="B331">
        <v>52046</v>
      </c>
      <c r="C331" t="s">
        <v>51</v>
      </c>
      <c r="D331">
        <v>55250</v>
      </c>
      <c r="E331" t="s">
        <v>383</v>
      </c>
      <c r="F331">
        <v>7139</v>
      </c>
      <c r="G331">
        <v>0.25416329666654253</v>
      </c>
      <c r="H331">
        <v>1.188404858166444E-105</v>
      </c>
      <c r="I331">
        <v>1.9754795511160229E-105</v>
      </c>
      <c r="J331">
        <v>0.2244115817653384</v>
      </c>
      <c r="K331">
        <v>3.4782481019872582E-82</v>
      </c>
      <c r="L331">
        <v>5.5368031011225729E-82</v>
      </c>
      <c r="M331">
        <v>0.15157741676365949</v>
      </c>
      <c r="N331">
        <v>3.3114247415565618E-82</v>
      </c>
      <c r="O331">
        <v>5.3382904418733771E-82</v>
      </c>
      <c r="P331">
        <v>6.4598981372404912E-2</v>
      </c>
      <c r="Q331">
        <v>0.73086985005875338</v>
      </c>
      <c r="R331">
        <v>9.7531323548364632</v>
      </c>
      <c r="S331">
        <v>0.32024483722067781</v>
      </c>
      <c r="T331">
        <v>0.2624087664200962</v>
      </c>
      <c r="U331">
        <v>4.4222873134892842</v>
      </c>
      <c r="V331">
        <v>0.1151559613407446</v>
      </c>
      <c r="W331">
        <v>12.9852488205631</v>
      </c>
      <c r="X331">
        <v>0.33114151926075802</v>
      </c>
      <c r="Z331" t="s">
        <v>392</v>
      </c>
      <c r="AA331">
        <v>140</v>
      </c>
      <c r="AB331" t="s">
        <v>1736</v>
      </c>
      <c r="AC331" t="str">
        <f>HYPERLINK("plots/20251231112652_3FT6Y119H04_05543_B21P_N_UFLEX98_M5358A8BA201511/dpll_52046/txpa_55250.png","plot")</f>
        <v>plot</v>
      </c>
    </row>
    <row r="332" spans="1:29" x14ac:dyDescent="0.35">
      <c r="A332" t="s">
        <v>47</v>
      </c>
      <c r="B332">
        <v>52046</v>
      </c>
      <c r="C332" t="s">
        <v>51</v>
      </c>
      <c r="D332">
        <v>55251</v>
      </c>
      <c r="E332" t="s">
        <v>384</v>
      </c>
      <c r="F332">
        <v>7139</v>
      </c>
      <c r="G332">
        <v>0.23789425405531031</v>
      </c>
      <c r="H332">
        <v>2.0435360824337789E-92</v>
      </c>
      <c r="I332">
        <v>3.0881454360474692E-92</v>
      </c>
      <c r="J332">
        <v>0.22835595807384759</v>
      </c>
      <c r="K332">
        <v>4.1360405181799449E-85</v>
      </c>
      <c r="L332">
        <v>6.764427557152362E-85</v>
      </c>
      <c r="M332">
        <v>0.15582416158852699</v>
      </c>
      <c r="N332">
        <v>9.0558833405131011E-87</v>
      </c>
      <c r="O332">
        <v>1.5278977882329931E-86</v>
      </c>
      <c r="P332">
        <v>5.6593676112532527E-2</v>
      </c>
      <c r="Q332">
        <v>0.72518382715492136</v>
      </c>
      <c r="R332">
        <v>10.07395293267777</v>
      </c>
      <c r="S332">
        <v>0.34093340438651532</v>
      </c>
      <c r="T332">
        <v>0.27714842013422891</v>
      </c>
      <c r="U332">
        <v>4.4222873134892842</v>
      </c>
      <c r="V332">
        <v>0.1151559613407446</v>
      </c>
      <c r="W332">
        <v>13.28092417145259</v>
      </c>
      <c r="X332">
        <v>0.35103513153945048</v>
      </c>
      <c r="Z332" t="s">
        <v>392</v>
      </c>
      <c r="AA332">
        <v>140</v>
      </c>
      <c r="AB332" t="s">
        <v>1737</v>
      </c>
      <c r="AC332" t="str">
        <f>HYPERLINK("plots/20251231112652_3FT6Y119H04_05543_B21P_N_UFLEX98_M5358A8BA201511/dpll_52046/txpa_55251.png","plot")</f>
        <v>plot</v>
      </c>
    </row>
    <row r="333" spans="1:29" x14ac:dyDescent="0.35">
      <c r="A333" t="s">
        <v>47</v>
      </c>
      <c r="B333">
        <v>52046</v>
      </c>
      <c r="C333" t="s">
        <v>51</v>
      </c>
      <c r="D333">
        <v>55252</v>
      </c>
      <c r="E333" t="s">
        <v>385</v>
      </c>
      <c r="F333">
        <v>7139</v>
      </c>
      <c r="G333">
        <v>0.34102056579411483</v>
      </c>
      <c r="H333">
        <v>6.9107151236043908E-194</v>
      </c>
      <c r="I333">
        <v>3.199755769559293E-193</v>
      </c>
      <c r="J333">
        <v>0.34804295474310187</v>
      </c>
      <c r="K333">
        <v>2.0955506513171769E-202</v>
      </c>
      <c r="L333">
        <v>1.0416119413900091E-201</v>
      </c>
      <c r="M333">
        <v>0.23760121357880359</v>
      </c>
      <c r="N333">
        <v>4.1033563859647808E-199</v>
      </c>
      <c r="O333">
        <v>2.0296601831064822E-198</v>
      </c>
      <c r="P333">
        <v>0.1162950262945382</v>
      </c>
      <c r="Q333">
        <v>0.78251373212698183</v>
      </c>
      <c r="R333">
        <v>9.7318067897472744</v>
      </c>
      <c r="S333">
        <v>0.2483825335864015</v>
      </c>
      <c r="T333">
        <v>0.18730046150922819</v>
      </c>
      <c r="U333">
        <v>4.4222873134892842</v>
      </c>
      <c r="V333">
        <v>0.1151559613407446</v>
      </c>
      <c r="W333">
        <v>13.19230733996358</v>
      </c>
      <c r="X333">
        <v>0.26423955070152422</v>
      </c>
      <c r="Z333" t="s">
        <v>392</v>
      </c>
      <c r="AA333">
        <v>140</v>
      </c>
      <c r="AB333" t="s">
        <v>1738</v>
      </c>
      <c r="AC333" t="str">
        <f>HYPERLINK("plots/20251231112652_3FT6Y119H04_05543_B21P_N_UFLEX98_M5358A8BA201511/dpll_52046/txpa_55252.png","plot")</f>
        <v>plot</v>
      </c>
    </row>
    <row r="334" spans="1:29" x14ac:dyDescent="0.35">
      <c r="A334" t="s">
        <v>47</v>
      </c>
      <c r="B334">
        <v>52046</v>
      </c>
      <c r="C334" t="s">
        <v>51</v>
      </c>
      <c r="D334">
        <v>55253</v>
      </c>
      <c r="E334" t="s">
        <v>386</v>
      </c>
      <c r="F334">
        <v>7139</v>
      </c>
      <c r="G334">
        <v>0.29040235570183581</v>
      </c>
      <c r="H334">
        <v>9.3563768443582995E-139</v>
      </c>
      <c r="I334">
        <v>2.0714773188164441E-138</v>
      </c>
      <c r="J334">
        <v>0.27543632867475959</v>
      </c>
      <c r="K334">
        <v>1.823738158973383E-124</v>
      </c>
      <c r="L334">
        <v>4.1370704545839156E-124</v>
      </c>
      <c r="M334">
        <v>0.18570051120039949</v>
      </c>
      <c r="N334">
        <v>2.041619161049673E-122</v>
      </c>
      <c r="O334">
        <v>4.6313240029180498E-122</v>
      </c>
      <c r="P334">
        <v>8.4333528197175545E-2</v>
      </c>
      <c r="Q334">
        <v>0.77445018783719977</v>
      </c>
      <c r="R334">
        <v>9.8500172381766991</v>
      </c>
      <c r="S334">
        <v>0.29384480474145902</v>
      </c>
      <c r="T334">
        <v>0.23010045639842891</v>
      </c>
      <c r="U334">
        <v>4.4222873134892842</v>
      </c>
      <c r="V334">
        <v>0.1151559613407446</v>
      </c>
      <c r="W334">
        <v>13.27485847877854</v>
      </c>
      <c r="X334">
        <v>0.3070999740183899</v>
      </c>
      <c r="Z334" t="s">
        <v>392</v>
      </c>
      <c r="AA334">
        <v>140</v>
      </c>
      <c r="AB334" t="s">
        <v>1739</v>
      </c>
      <c r="AC334" t="str">
        <f>HYPERLINK("plots/20251231112652_3FT6Y119H04_05543_B21P_N_UFLEX98_M5358A8BA201511/dpll_52046/txpa_55253.png","plot")</f>
        <v>plot</v>
      </c>
    </row>
    <row r="335" spans="1:29" x14ac:dyDescent="0.35">
      <c r="A335" t="s">
        <v>47</v>
      </c>
      <c r="B335">
        <v>52046</v>
      </c>
      <c r="C335" t="s">
        <v>51</v>
      </c>
      <c r="D335">
        <v>55254</v>
      </c>
      <c r="E335" t="s">
        <v>387</v>
      </c>
      <c r="F335">
        <v>7139</v>
      </c>
      <c r="G335">
        <v>0.35237472695626681</v>
      </c>
      <c r="H335">
        <v>9.0465329340145113E-208</v>
      </c>
      <c r="I335">
        <v>5.6277204877857137E-207</v>
      </c>
      <c r="J335">
        <v>0.35106185597874828</v>
      </c>
      <c r="K335">
        <v>3.9030550493588609E-206</v>
      </c>
      <c r="L335">
        <v>2.0720930995025578E-205</v>
      </c>
      <c r="M335">
        <v>0.24204660098061531</v>
      </c>
      <c r="N335">
        <v>1.4863959608344869E-206</v>
      </c>
      <c r="O335">
        <v>8.2813489246492833E-206</v>
      </c>
      <c r="P335">
        <v>0.1241679481975036</v>
      </c>
      <c r="Q335">
        <v>0.81658615484661601</v>
      </c>
      <c r="R335">
        <v>9.6552873672693345</v>
      </c>
      <c r="S335">
        <v>0.24972595532142661</v>
      </c>
      <c r="T335">
        <v>0.1869168738908249</v>
      </c>
      <c r="U335">
        <v>4.4222873134892842</v>
      </c>
      <c r="V335">
        <v>0.1151559613407446</v>
      </c>
      <c r="W335">
        <v>13.26646596021852</v>
      </c>
      <c r="X335">
        <v>0.26686012499010708</v>
      </c>
      <c r="Z335" t="s">
        <v>392</v>
      </c>
      <c r="AA335">
        <v>140</v>
      </c>
      <c r="AB335" t="s">
        <v>1740</v>
      </c>
      <c r="AC335" t="str">
        <f>HYPERLINK("plots/20251231112652_3FT6Y119H04_05543_B21P_N_UFLEX98_M5358A8BA201511/dpll_52046/txpa_55254.png","plot")</f>
        <v>plot</v>
      </c>
    </row>
    <row r="336" spans="1:29" x14ac:dyDescent="0.35">
      <c r="A336" t="s">
        <v>47</v>
      </c>
      <c r="B336">
        <v>52046</v>
      </c>
      <c r="C336" t="s">
        <v>51</v>
      </c>
      <c r="D336">
        <v>55255</v>
      </c>
      <c r="E336" t="s">
        <v>388</v>
      </c>
      <c r="F336">
        <v>7139</v>
      </c>
      <c r="G336">
        <v>0.30510755966553171</v>
      </c>
      <c r="H336">
        <v>1.139916818335358E-153</v>
      </c>
      <c r="I336">
        <v>3.0258524968378342E-153</v>
      </c>
      <c r="J336">
        <v>0.2738356033255494</v>
      </c>
      <c r="K336">
        <v>5.4608915903371167E-123</v>
      </c>
      <c r="L336">
        <v>1.2277924772953081E-122</v>
      </c>
      <c r="M336">
        <v>0.18414068581506651</v>
      </c>
      <c r="N336">
        <v>2.112208483496609E-120</v>
      </c>
      <c r="O336">
        <v>4.7384500050123032E-120</v>
      </c>
      <c r="P336">
        <v>9.3090622965055991E-2</v>
      </c>
      <c r="Q336">
        <v>0.7972664356560959</v>
      </c>
      <c r="R336">
        <v>9.7205678232234582</v>
      </c>
      <c r="S336">
        <v>0.28654211682918912</v>
      </c>
      <c r="T336">
        <v>0.22731244642218421</v>
      </c>
      <c r="U336">
        <v>4.4222873134892842</v>
      </c>
      <c r="V336">
        <v>0.1151559613407446</v>
      </c>
      <c r="W336">
        <v>13.246309067096229</v>
      </c>
      <c r="X336">
        <v>0.30091021980357208</v>
      </c>
      <c r="Z336" t="s">
        <v>392</v>
      </c>
      <c r="AA336">
        <v>140</v>
      </c>
      <c r="AB336" t="s">
        <v>1741</v>
      </c>
      <c r="AC336" t="str">
        <f>HYPERLINK("plots/20251231112652_3FT6Y119H04_05543_B21P_N_UFLEX98_M5358A8BA201511/dpll_52046/txpa_55255.png","plot")</f>
        <v>plot</v>
      </c>
    </row>
    <row r="337" spans="1:29" x14ac:dyDescent="0.35">
      <c r="A337" t="s">
        <v>47</v>
      </c>
      <c r="B337">
        <v>52046</v>
      </c>
      <c r="C337" t="s">
        <v>51</v>
      </c>
      <c r="D337">
        <v>55256</v>
      </c>
      <c r="E337" t="s">
        <v>389</v>
      </c>
      <c r="F337">
        <v>7139</v>
      </c>
      <c r="G337">
        <v>0.36443259082090962</v>
      </c>
      <c r="H337">
        <v>3.7316842795899177E-223</v>
      </c>
      <c r="I337">
        <v>3.4399344177310699E-222</v>
      </c>
      <c r="J337">
        <v>0.3632718525836805</v>
      </c>
      <c r="K337">
        <v>1.208081450112517E-221</v>
      </c>
      <c r="L337">
        <v>9.0740340030673527E-221</v>
      </c>
      <c r="M337">
        <v>0.25188037038319128</v>
      </c>
      <c r="N337">
        <v>1.6687012737179039E-223</v>
      </c>
      <c r="O337">
        <v>1.4339517724999619E-222</v>
      </c>
      <c r="P337">
        <v>0.13281111325244049</v>
      </c>
      <c r="Q337">
        <v>0.80040562948339022</v>
      </c>
      <c r="R337">
        <v>9.6533347590369694</v>
      </c>
      <c r="S337">
        <v>0.23550806481699629</v>
      </c>
      <c r="T337">
        <v>0.17659313216548439</v>
      </c>
      <c r="U337">
        <v>4.4222873134892842</v>
      </c>
      <c r="V337">
        <v>0.1151559613407446</v>
      </c>
      <c r="W337">
        <v>13.19295841994677</v>
      </c>
      <c r="X337">
        <v>0.25291777422562828</v>
      </c>
      <c r="Z337" t="s">
        <v>392</v>
      </c>
      <c r="AA337">
        <v>140</v>
      </c>
      <c r="AB337" t="s">
        <v>1742</v>
      </c>
      <c r="AC337" t="str">
        <f>HYPERLINK("plots/20251231112652_3FT6Y119H04_05543_B21P_N_UFLEX98_M5358A8BA201511/dpll_52046/txpa_55256.png","plot")</f>
        <v>plot</v>
      </c>
    </row>
    <row r="338" spans="1:29" x14ac:dyDescent="0.35">
      <c r="A338" t="s">
        <v>47</v>
      </c>
      <c r="B338">
        <v>52046</v>
      </c>
      <c r="C338" t="s">
        <v>51</v>
      </c>
      <c r="D338">
        <v>55257</v>
      </c>
      <c r="E338" t="s">
        <v>390</v>
      </c>
      <c r="F338">
        <v>7139</v>
      </c>
      <c r="G338">
        <v>0.31633301162725552</v>
      </c>
      <c r="H338">
        <v>1.18639259646531E-165</v>
      </c>
      <c r="I338">
        <v>3.5072947312414701E-165</v>
      </c>
      <c r="J338">
        <v>0.28691215778715801</v>
      </c>
      <c r="K338">
        <v>2.414990332878993E-135</v>
      </c>
      <c r="L338">
        <v>6.01670810206216E-135</v>
      </c>
      <c r="M338">
        <v>0.19252161367653811</v>
      </c>
      <c r="N338">
        <v>1.9976464900949571E-131</v>
      </c>
      <c r="O338">
        <v>4.9769374470670436E-131</v>
      </c>
      <c r="P338">
        <v>0.10006657424516931</v>
      </c>
      <c r="Q338">
        <v>0.7449784946237703</v>
      </c>
      <c r="R338">
        <v>9.9511521245808492</v>
      </c>
      <c r="S338">
        <v>0.25725298194252122</v>
      </c>
      <c r="T338">
        <v>0.2011060603178349</v>
      </c>
      <c r="U338">
        <v>4.4222873134892842</v>
      </c>
      <c r="V338">
        <v>0.1151559613407446</v>
      </c>
      <c r="W338">
        <v>13.24566107017789</v>
      </c>
      <c r="X338">
        <v>0.27119747725750598</v>
      </c>
      <c r="Z338" t="s">
        <v>392</v>
      </c>
      <c r="AA338">
        <v>140</v>
      </c>
      <c r="AB338" t="s">
        <v>1743</v>
      </c>
      <c r="AC338" t="str">
        <f>HYPERLINK("plots/20251231112652_3FT6Y119H04_05543_B21P_N_UFLEX98_M5358A8BA201511/dpll_52046/txpa_55257.png","plot")</f>
        <v>plot</v>
      </c>
    </row>
    <row r="339" spans="1:29" x14ac:dyDescent="0.35">
      <c r="A339" t="s">
        <v>47</v>
      </c>
      <c r="B339">
        <v>52046</v>
      </c>
      <c r="C339" t="s">
        <v>51</v>
      </c>
      <c r="D339">
        <v>55258</v>
      </c>
      <c r="E339" t="s">
        <v>391</v>
      </c>
      <c r="F339">
        <v>7139</v>
      </c>
      <c r="G339">
        <v>0.25954449333125451</v>
      </c>
      <c r="H339">
        <v>3.0137324309519638E-110</v>
      </c>
      <c r="I339">
        <v>5.2327477482624849E-110</v>
      </c>
      <c r="J339">
        <v>0.22807805854506821</v>
      </c>
      <c r="K339">
        <v>6.6755979588262156E-85</v>
      </c>
      <c r="L339">
        <v>1.0847846683092599E-84</v>
      </c>
      <c r="M339">
        <v>0.15422655236907179</v>
      </c>
      <c r="N339">
        <v>4.8777902513491548E-85</v>
      </c>
      <c r="O339">
        <v>8.0163360046483682E-85</v>
      </c>
      <c r="P339">
        <v>6.7363344018577617E-2</v>
      </c>
      <c r="Q339">
        <v>0.75551518227358716</v>
      </c>
      <c r="R339">
        <v>10.0567316635924</v>
      </c>
      <c r="S339">
        <v>0.32370068874145291</v>
      </c>
      <c r="T339">
        <v>0.26664351194473562</v>
      </c>
      <c r="U339">
        <v>4.4222873134892842</v>
      </c>
      <c r="V339">
        <v>0.1151559613407446</v>
      </c>
      <c r="W339">
        <v>13.39783686930943</v>
      </c>
      <c r="X339">
        <v>0.33521064541023687</v>
      </c>
      <c r="Z339" t="s">
        <v>392</v>
      </c>
      <c r="AA339">
        <v>140</v>
      </c>
      <c r="AB339" t="s">
        <v>1744</v>
      </c>
      <c r="AC339" t="str">
        <f>HYPERLINK("plots/20251231112652_3FT6Y119H04_05543_B21P_N_UFLEX98_M5358A8BA201511/dpll_52046/txpa_55258.png","plot")</f>
        <v>plot</v>
      </c>
    </row>
    <row r="340" spans="1:29" x14ac:dyDescent="0.35">
      <c r="A340" t="s">
        <v>47</v>
      </c>
      <c r="B340">
        <v>52084</v>
      </c>
      <c r="C340" t="s">
        <v>52</v>
      </c>
      <c r="D340">
        <v>53179</v>
      </c>
      <c r="E340" t="s">
        <v>54</v>
      </c>
      <c r="F340">
        <v>7128</v>
      </c>
      <c r="G340">
        <v>0.1008597968569043</v>
      </c>
      <c r="H340">
        <v>1.3940821588481101E-17</v>
      </c>
      <c r="I340">
        <v>1.410777753564854E-17</v>
      </c>
      <c r="J340">
        <v>9.878316399799611E-2</v>
      </c>
      <c r="K340">
        <v>6.3251087957338184E-17</v>
      </c>
      <c r="L340">
        <v>6.4008586016707514E-17</v>
      </c>
      <c r="M340">
        <v>6.5660523290291761E-2</v>
      </c>
      <c r="N340">
        <v>9.6252300705757827E-17</v>
      </c>
      <c r="O340">
        <v>9.7307909188074211E-17</v>
      </c>
      <c r="P340">
        <v>1.0172698622016E-2</v>
      </c>
      <c r="Q340">
        <v>0.62697097554328352</v>
      </c>
      <c r="R340">
        <v>-21.91228662704766</v>
      </c>
      <c r="S340">
        <v>0.68184428188648161</v>
      </c>
      <c r="T340">
        <v>0.52116701878238958</v>
      </c>
      <c r="U340">
        <v>4.2625754009539838</v>
      </c>
      <c r="V340">
        <v>0.1102571106517251</v>
      </c>
      <c r="W340">
        <v>-19.23977556958474</v>
      </c>
      <c r="X340">
        <v>0.68538714512752552</v>
      </c>
      <c r="Z340" t="s">
        <v>392</v>
      </c>
      <c r="AA340">
        <v>140</v>
      </c>
      <c r="AB340" t="s">
        <v>1745</v>
      </c>
      <c r="AC340" t="str">
        <f>HYPERLINK("plots/20251231112652_3FT6Y119H04_05543_B21P_N_UFLEX98_M5358A8BA201511/dpll_52084/txpa_53179.png","plot")</f>
        <v>plot</v>
      </c>
    </row>
    <row r="341" spans="1:29" x14ac:dyDescent="0.35">
      <c r="A341" t="s">
        <v>47</v>
      </c>
      <c r="B341">
        <v>52084</v>
      </c>
      <c r="C341" t="s">
        <v>52</v>
      </c>
      <c r="D341">
        <v>53180</v>
      </c>
      <c r="E341" t="s">
        <v>55</v>
      </c>
      <c r="F341">
        <v>7127</v>
      </c>
      <c r="G341">
        <v>8.7639907489913793E-2</v>
      </c>
      <c r="H341">
        <v>1.2472440464132209E-13</v>
      </c>
      <c r="I341">
        <v>1.2571624881342009E-13</v>
      </c>
      <c r="J341">
        <v>8.2836379151568357E-2</v>
      </c>
      <c r="K341">
        <v>2.4877527882322602E-12</v>
      </c>
      <c r="L341">
        <v>2.5075361106038882E-12</v>
      </c>
      <c r="M341">
        <v>5.541385655804934E-2</v>
      </c>
      <c r="N341">
        <v>2.344000214048757E-12</v>
      </c>
      <c r="O341">
        <v>2.3626403747966601E-12</v>
      </c>
      <c r="P341">
        <v>7.6807533848406474E-3</v>
      </c>
      <c r="Q341">
        <v>0.55044814317684576</v>
      </c>
      <c r="R341">
        <v>-21.440819277899841</v>
      </c>
      <c r="S341">
        <v>0.6897727471295706</v>
      </c>
      <c r="T341">
        <v>0.52722393361617925</v>
      </c>
      <c r="U341">
        <v>4.2626250176792473</v>
      </c>
      <c r="V341">
        <v>0.1102544923126495</v>
      </c>
      <c r="W341">
        <v>-19.09446525185913</v>
      </c>
      <c r="X341">
        <v>0.69248567585934895</v>
      </c>
      <c r="Z341" t="s">
        <v>392</v>
      </c>
      <c r="AA341">
        <v>140</v>
      </c>
      <c r="AB341" t="s">
        <v>1746</v>
      </c>
      <c r="AC341" t="str">
        <f>HYPERLINK("plots/20251231112652_3FT6Y119H04_05543_B21P_N_UFLEX98_M5358A8BA201511/dpll_52084/txpa_53180.png","plot")</f>
        <v>plot</v>
      </c>
    </row>
    <row r="342" spans="1:29" x14ac:dyDescent="0.35">
      <c r="A342" t="s">
        <v>47</v>
      </c>
      <c r="B342">
        <v>52084</v>
      </c>
      <c r="C342" t="s">
        <v>52</v>
      </c>
      <c r="D342">
        <v>53181</v>
      </c>
      <c r="E342" t="s">
        <v>56</v>
      </c>
      <c r="F342">
        <v>7134</v>
      </c>
      <c r="G342">
        <v>0.115355457851152</v>
      </c>
      <c r="H342">
        <v>1.452929756041048E-22</v>
      </c>
      <c r="I342">
        <v>1.4881522955814371E-22</v>
      </c>
      <c r="J342">
        <v>0.112958344470723</v>
      </c>
      <c r="K342">
        <v>1.0714249484186141E-21</v>
      </c>
      <c r="L342">
        <v>1.121181524970562E-21</v>
      </c>
      <c r="M342">
        <v>7.5415291707052814E-2</v>
      </c>
      <c r="N342">
        <v>1.322994553957282E-21</v>
      </c>
      <c r="O342">
        <v>1.387297288224079E-21</v>
      </c>
      <c r="P342">
        <v>1.3306881656048909E-2</v>
      </c>
      <c r="Q342">
        <v>0.66667935195252548</v>
      </c>
      <c r="R342">
        <v>-21.72720259332975</v>
      </c>
      <c r="S342">
        <v>0.63299088677988613</v>
      </c>
      <c r="T342">
        <v>0.48415952273968238</v>
      </c>
      <c r="U342">
        <v>4.2626187462853942</v>
      </c>
      <c r="V342">
        <v>0.1102701565226088</v>
      </c>
      <c r="W342">
        <v>-18.885402689935521</v>
      </c>
      <c r="X342">
        <v>0.63728962512597975</v>
      </c>
      <c r="Z342" t="s">
        <v>392</v>
      </c>
      <c r="AA342">
        <v>140</v>
      </c>
      <c r="AB342" t="s">
        <v>1747</v>
      </c>
      <c r="AC342" t="str">
        <f>HYPERLINK("plots/20251231112652_3FT6Y119H04_05543_B21P_N_UFLEX98_M5358A8BA201511/dpll_52084/txpa_53181.png","plot")</f>
        <v>plot</v>
      </c>
    </row>
    <row r="343" spans="1:29" x14ac:dyDescent="0.35">
      <c r="A343" t="s">
        <v>47</v>
      </c>
      <c r="B343">
        <v>52084</v>
      </c>
      <c r="C343" t="s">
        <v>52</v>
      </c>
      <c r="D343">
        <v>53182</v>
      </c>
      <c r="E343" t="s">
        <v>57</v>
      </c>
      <c r="F343">
        <v>7134</v>
      </c>
      <c r="G343">
        <v>0.10670029380182749</v>
      </c>
      <c r="H343">
        <v>1.6183515960341281E-19</v>
      </c>
      <c r="I343">
        <v>1.644297112603814E-19</v>
      </c>
      <c r="J343">
        <v>0.10313395203467141</v>
      </c>
      <c r="K343">
        <v>2.4850560491775001E-18</v>
      </c>
      <c r="L343">
        <v>2.5248966271202261E-18</v>
      </c>
      <c r="M343">
        <v>6.8789719864844695E-2</v>
      </c>
      <c r="N343">
        <v>3.0618502091848239E-18</v>
      </c>
      <c r="O343">
        <v>3.1109379880895909E-18</v>
      </c>
      <c r="P343">
        <v>1.1384952697396309E-2</v>
      </c>
      <c r="Q343">
        <v>0.62514206774432235</v>
      </c>
      <c r="R343">
        <v>-21.530548058985321</v>
      </c>
      <c r="S343">
        <v>0.64201698200410517</v>
      </c>
      <c r="T343">
        <v>0.4909882797574045</v>
      </c>
      <c r="U343">
        <v>4.2625527238575831</v>
      </c>
      <c r="V343">
        <v>0.1102174194126132</v>
      </c>
      <c r="W343">
        <v>-18.865847035323799</v>
      </c>
      <c r="X343">
        <v>0.64574841378613057</v>
      </c>
      <c r="Z343" t="s">
        <v>392</v>
      </c>
      <c r="AA343">
        <v>140</v>
      </c>
      <c r="AB343" t="s">
        <v>1748</v>
      </c>
      <c r="AC343" t="str">
        <f>HYPERLINK("plots/20251231112652_3FT6Y119H04_05543_B21P_N_UFLEX98_M5358A8BA201511/dpll_52084/txpa_53182.png","plot")</f>
        <v>plot</v>
      </c>
    </row>
    <row r="344" spans="1:29" x14ac:dyDescent="0.35">
      <c r="A344" t="s">
        <v>47</v>
      </c>
      <c r="B344">
        <v>52084</v>
      </c>
      <c r="C344" t="s">
        <v>52</v>
      </c>
      <c r="D344">
        <v>53183</v>
      </c>
      <c r="E344" t="s">
        <v>58</v>
      </c>
      <c r="F344">
        <v>7133</v>
      </c>
      <c r="G344">
        <v>0.11956871157115601</v>
      </c>
      <c r="H344">
        <v>3.9425861531756527E-24</v>
      </c>
      <c r="I344">
        <v>4.0710614657027633E-24</v>
      </c>
      <c r="J344">
        <v>0.11028187832865489</v>
      </c>
      <c r="K344">
        <v>9.5467018385902369E-21</v>
      </c>
      <c r="L344">
        <v>9.8678447138944964E-21</v>
      </c>
      <c r="M344">
        <v>7.3392001211110947E-2</v>
      </c>
      <c r="N344">
        <v>1.5258757233653969E-20</v>
      </c>
      <c r="O344">
        <v>1.5772048761391569E-20</v>
      </c>
      <c r="P344">
        <v>1.4296676786786301E-2</v>
      </c>
      <c r="Q344">
        <v>0.64535036964623049</v>
      </c>
      <c r="R344">
        <v>-21.31592645192935</v>
      </c>
      <c r="S344">
        <v>0.5906856680978978</v>
      </c>
      <c r="T344">
        <v>0.45246328456688012</v>
      </c>
      <c r="U344">
        <v>4.2625430922473013</v>
      </c>
      <c r="V344">
        <v>0.1102391242086893</v>
      </c>
      <c r="W344">
        <v>-18.565092691714561</v>
      </c>
      <c r="X344">
        <v>0.59499561902711351</v>
      </c>
      <c r="Z344" t="s">
        <v>392</v>
      </c>
      <c r="AA344">
        <v>140</v>
      </c>
      <c r="AB344" t="s">
        <v>1749</v>
      </c>
      <c r="AC344" t="str">
        <f>HYPERLINK("plots/20251231112652_3FT6Y119H04_05543_B21P_N_UFLEX98_M5358A8BA201511/dpll_52084/txpa_53183.png","plot")</f>
        <v>plot</v>
      </c>
    </row>
    <row r="345" spans="1:29" x14ac:dyDescent="0.35">
      <c r="A345" t="s">
        <v>47</v>
      </c>
      <c r="B345">
        <v>52084</v>
      </c>
      <c r="C345" t="s">
        <v>52</v>
      </c>
      <c r="D345">
        <v>53184</v>
      </c>
      <c r="E345" t="s">
        <v>59</v>
      </c>
      <c r="F345">
        <v>7130</v>
      </c>
      <c r="G345">
        <v>9.00685637844343E-2</v>
      </c>
      <c r="H345">
        <v>2.5468905603939321E-14</v>
      </c>
      <c r="I345">
        <v>2.572257996254429E-14</v>
      </c>
      <c r="J345">
        <v>9.80293938183837E-2</v>
      </c>
      <c r="K345">
        <v>1.076103468269702E-16</v>
      </c>
      <c r="L345">
        <v>1.0868216303042609E-16</v>
      </c>
      <c r="M345">
        <v>6.5559038773813E-2</v>
      </c>
      <c r="N345">
        <v>1.0599789110138701E-16</v>
      </c>
      <c r="O345">
        <v>1.07053646988851E-16</v>
      </c>
      <c r="P345">
        <v>8.1123461821907099E-3</v>
      </c>
      <c r="Q345">
        <v>0.51344344001941555</v>
      </c>
      <c r="R345">
        <v>-20.940579575725032</v>
      </c>
      <c r="S345">
        <v>0.62584630747504655</v>
      </c>
      <c r="T345">
        <v>0.48279275616092671</v>
      </c>
      <c r="U345">
        <v>4.2626125085553994</v>
      </c>
      <c r="V345">
        <v>0.1102421152626919</v>
      </c>
      <c r="W345">
        <v>-18.751969145862549</v>
      </c>
      <c r="X345">
        <v>0.62844447071416099</v>
      </c>
      <c r="Z345" t="s">
        <v>392</v>
      </c>
      <c r="AA345">
        <v>140</v>
      </c>
      <c r="AB345" t="s">
        <v>1750</v>
      </c>
      <c r="AC345" t="str">
        <f>HYPERLINK("plots/20251231112652_3FT6Y119H04_05543_B21P_N_UFLEX98_M5358A8BA201511/dpll_52084/txpa_53184.png","plot")</f>
        <v>plot</v>
      </c>
    </row>
    <row r="346" spans="1:29" x14ac:dyDescent="0.35">
      <c r="A346" t="s">
        <v>47</v>
      </c>
      <c r="B346">
        <v>52084</v>
      </c>
      <c r="C346" t="s">
        <v>52</v>
      </c>
      <c r="D346">
        <v>53185</v>
      </c>
      <c r="E346" t="s">
        <v>60</v>
      </c>
      <c r="F346">
        <v>7130</v>
      </c>
      <c r="G346">
        <v>0.1133711027381788</v>
      </c>
      <c r="H346">
        <v>7.8200852299515788E-22</v>
      </c>
      <c r="I346">
        <v>7.9854646759022157E-22</v>
      </c>
      <c r="J346">
        <v>0.1080837991299482</v>
      </c>
      <c r="K346">
        <v>5.6022226286270898E-20</v>
      </c>
      <c r="L346">
        <v>5.738034086290776E-20</v>
      </c>
      <c r="M346">
        <v>7.2351695893804663E-2</v>
      </c>
      <c r="N346">
        <v>5.3046987902849652E-20</v>
      </c>
      <c r="O346">
        <v>5.4442961268714109E-20</v>
      </c>
      <c r="P346">
        <v>1.2853006936070679E-2</v>
      </c>
      <c r="Q346">
        <v>0.64891793269964138</v>
      </c>
      <c r="R346">
        <v>-21.476359111617491</v>
      </c>
      <c r="S346">
        <v>0.62696322897499845</v>
      </c>
      <c r="T346">
        <v>0.48052764588531932</v>
      </c>
      <c r="U346">
        <v>4.2625698431977561</v>
      </c>
      <c r="V346">
        <v>0.11025396318413321</v>
      </c>
      <c r="W346">
        <v>-18.71030110098177</v>
      </c>
      <c r="X346">
        <v>0.63107592793393918</v>
      </c>
      <c r="Z346" t="s">
        <v>392</v>
      </c>
      <c r="AA346">
        <v>140</v>
      </c>
      <c r="AB346" t="s">
        <v>1751</v>
      </c>
      <c r="AC346" t="str">
        <f>HYPERLINK("plots/20251231112652_3FT6Y119H04_05543_B21P_N_UFLEX98_M5358A8BA201511/dpll_52084/txpa_53185.png","plot")</f>
        <v>plot</v>
      </c>
    </row>
    <row r="347" spans="1:29" x14ac:dyDescent="0.35">
      <c r="A347" t="s">
        <v>47</v>
      </c>
      <c r="B347">
        <v>52084</v>
      </c>
      <c r="C347" t="s">
        <v>52</v>
      </c>
      <c r="D347">
        <v>53186</v>
      </c>
      <c r="E347" t="s">
        <v>61</v>
      </c>
      <c r="F347">
        <v>7129</v>
      </c>
      <c r="G347">
        <v>0.13789352926498091</v>
      </c>
      <c r="H347">
        <v>1.325178573884339E-31</v>
      </c>
      <c r="I347">
        <v>1.4159442296298419E-31</v>
      </c>
      <c r="J347">
        <v>0.13651005316591339</v>
      </c>
      <c r="K347">
        <v>5.3135235770603618E-31</v>
      </c>
      <c r="L347">
        <v>5.8627996813266671E-31</v>
      </c>
      <c r="M347">
        <v>9.1348268982743591E-2</v>
      </c>
      <c r="N347">
        <v>6.4915268821112376E-31</v>
      </c>
      <c r="O347">
        <v>7.1781987551371818E-31</v>
      </c>
      <c r="P347">
        <v>1.9014625413152131E-2</v>
      </c>
      <c r="Q347">
        <v>0.8710363072828089</v>
      </c>
      <c r="R347">
        <v>-22.946343215456739</v>
      </c>
      <c r="S347">
        <v>0.68960366792155736</v>
      </c>
      <c r="T347">
        <v>0.52149667462685545</v>
      </c>
      <c r="U347">
        <v>4.2625780535839528</v>
      </c>
      <c r="V347">
        <v>0.11023167011737391</v>
      </c>
      <c r="W347">
        <v>-19.233482968158231</v>
      </c>
      <c r="X347">
        <v>0.69630378884673372</v>
      </c>
      <c r="Z347" t="s">
        <v>392</v>
      </c>
      <c r="AA347">
        <v>140</v>
      </c>
      <c r="AB347" t="s">
        <v>1752</v>
      </c>
      <c r="AC347" t="str">
        <f>HYPERLINK("plots/20251231112652_3FT6Y119H04_05543_B21P_N_UFLEX98_M5358A8BA201511/dpll_52084/txpa_53186.png","plot")</f>
        <v>plot</v>
      </c>
    </row>
    <row r="348" spans="1:29" x14ac:dyDescent="0.35">
      <c r="A348" t="s">
        <v>47</v>
      </c>
      <c r="B348">
        <v>52084</v>
      </c>
      <c r="C348" t="s">
        <v>52</v>
      </c>
      <c r="D348">
        <v>53187</v>
      </c>
      <c r="E348" t="s">
        <v>62</v>
      </c>
      <c r="F348">
        <v>7139</v>
      </c>
      <c r="G348">
        <v>0.24797181242457511</v>
      </c>
      <c r="H348">
        <v>1.6905930335178651E-100</v>
      </c>
      <c r="I348">
        <v>2.699624151160811E-100</v>
      </c>
      <c r="J348">
        <v>0.23357594679400681</v>
      </c>
      <c r="K348">
        <v>4.563047241514636E-89</v>
      </c>
      <c r="L348">
        <v>7.750301344884156E-89</v>
      </c>
      <c r="M348">
        <v>0.1561000203957974</v>
      </c>
      <c r="N348">
        <v>4.7073063848333406E-87</v>
      </c>
      <c r="O348">
        <v>7.9819543047174047E-87</v>
      </c>
      <c r="P348">
        <v>6.1490019757128651E-2</v>
      </c>
      <c r="Q348">
        <v>0.59031846503584073</v>
      </c>
      <c r="R348">
        <v>-10.999281698423809</v>
      </c>
      <c r="S348">
        <v>0.25421942892062582</v>
      </c>
      <c r="T348">
        <v>0.19834833299448401</v>
      </c>
      <c r="U348">
        <v>4.2625965936405663</v>
      </c>
      <c r="V348">
        <v>0.11023909988438001</v>
      </c>
      <c r="W348">
        <v>-8.4829922201989074</v>
      </c>
      <c r="X348">
        <v>0.26243376452504658</v>
      </c>
      <c r="Z348" t="s">
        <v>392</v>
      </c>
      <c r="AA348">
        <v>140</v>
      </c>
      <c r="AB348" t="s">
        <v>1753</v>
      </c>
      <c r="AC348" t="str">
        <f>HYPERLINK("plots/20251231112652_3FT6Y119H04_05543_B21P_N_UFLEX98_M5358A8BA201511/dpll_52084/txpa_53187.png","plot")</f>
        <v>plot</v>
      </c>
    </row>
    <row r="349" spans="1:29" x14ac:dyDescent="0.35">
      <c r="A349" t="s">
        <v>47</v>
      </c>
      <c r="B349">
        <v>52084</v>
      </c>
      <c r="C349" t="s">
        <v>52</v>
      </c>
      <c r="D349">
        <v>53188</v>
      </c>
      <c r="E349" t="s">
        <v>63</v>
      </c>
      <c r="F349">
        <v>7139</v>
      </c>
      <c r="G349">
        <v>0.19558757617503639</v>
      </c>
      <c r="H349">
        <v>1.70805173363705E-62</v>
      </c>
      <c r="I349">
        <v>2.094273830602139E-62</v>
      </c>
      <c r="J349">
        <v>0.18646937051704451</v>
      </c>
      <c r="K349">
        <v>7.1880591457572444E-57</v>
      </c>
      <c r="L349">
        <v>9.3684986809740956E-57</v>
      </c>
      <c r="M349">
        <v>0.1243837607596084</v>
      </c>
      <c r="N349">
        <v>5.9524956830389672E-56</v>
      </c>
      <c r="O349">
        <v>7.7184534815876116E-56</v>
      </c>
      <c r="P349">
        <v>3.8254499954025648E-2</v>
      </c>
      <c r="Q349">
        <v>0.57732299775500218</v>
      </c>
      <c r="R349">
        <v>-10.88466500387935</v>
      </c>
      <c r="S349">
        <v>0.31908979437241269</v>
      </c>
      <c r="T349">
        <v>0.25671129128876491</v>
      </c>
      <c r="U349">
        <v>4.2625965936405663</v>
      </c>
      <c r="V349">
        <v>0.11023909988438001</v>
      </c>
      <c r="W349">
        <v>-8.4237699602185181</v>
      </c>
      <c r="X349">
        <v>0.3253967806120116</v>
      </c>
      <c r="Z349" t="s">
        <v>392</v>
      </c>
      <c r="AA349">
        <v>140</v>
      </c>
      <c r="AB349" t="s">
        <v>1754</v>
      </c>
      <c r="AC349" t="str">
        <f>HYPERLINK("plots/20251231112652_3FT6Y119H04_05543_B21P_N_UFLEX98_M5358A8BA201511/dpll_52084/txpa_53188.png","plot")</f>
        <v>plot</v>
      </c>
    </row>
    <row r="350" spans="1:29" x14ac:dyDescent="0.35">
      <c r="A350" t="s">
        <v>47</v>
      </c>
      <c r="B350">
        <v>52084</v>
      </c>
      <c r="C350" t="s">
        <v>52</v>
      </c>
      <c r="D350">
        <v>53189</v>
      </c>
      <c r="E350" t="s">
        <v>64</v>
      </c>
      <c r="F350">
        <v>7139</v>
      </c>
      <c r="G350">
        <v>0.2453217573581894</v>
      </c>
      <c r="H350">
        <v>2.454019132452663E-98</v>
      </c>
      <c r="I350">
        <v>3.8699461902130637E-98</v>
      </c>
      <c r="J350">
        <v>0.23433221829136641</v>
      </c>
      <c r="K350">
        <v>1.195883905272776E-89</v>
      </c>
      <c r="L350">
        <v>2.0414583837484769E-89</v>
      </c>
      <c r="M350">
        <v>0.15686402176943581</v>
      </c>
      <c r="N350">
        <v>6.8550704006644017E-88</v>
      </c>
      <c r="O350">
        <v>1.174162396330018E-87</v>
      </c>
      <c r="P350">
        <v>6.0182764633310362E-2</v>
      </c>
      <c r="Q350">
        <v>0.56433387341868935</v>
      </c>
      <c r="R350">
        <v>-10.57131209125065</v>
      </c>
      <c r="S350">
        <v>0.24582553552403019</v>
      </c>
      <c r="T350">
        <v>0.19483243296059499</v>
      </c>
      <c r="U350">
        <v>4.2625965936405663</v>
      </c>
      <c r="V350">
        <v>0.11023909988438001</v>
      </c>
      <c r="W350">
        <v>-8.1657844447401597</v>
      </c>
      <c r="X350">
        <v>0.25359209435756652</v>
      </c>
      <c r="Z350" t="s">
        <v>392</v>
      </c>
      <c r="AA350">
        <v>140</v>
      </c>
      <c r="AB350" t="s">
        <v>1755</v>
      </c>
      <c r="AC350" t="str">
        <f>HYPERLINK("plots/20251231112652_3FT6Y119H04_05543_B21P_N_UFLEX98_M5358A8BA201511/dpll_52084/txpa_53189.png","plot")</f>
        <v>plot</v>
      </c>
    </row>
    <row r="351" spans="1:29" x14ac:dyDescent="0.35">
      <c r="A351" t="s">
        <v>47</v>
      </c>
      <c r="B351">
        <v>52084</v>
      </c>
      <c r="C351" t="s">
        <v>52</v>
      </c>
      <c r="D351">
        <v>53190</v>
      </c>
      <c r="E351" t="s">
        <v>65</v>
      </c>
      <c r="F351">
        <v>7139</v>
      </c>
      <c r="G351">
        <v>0.1995144404139671</v>
      </c>
      <c r="H351">
        <v>5.2694623521630323E-65</v>
      </c>
      <c r="I351">
        <v>6.5965862038189053E-65</v>
      </c>
      <c r="J351">
        <v>0.18671446648399551</v>
      </c>
      <c r="K351">
        <v>5.1189442665622518E-57</v>
      </c>
      <c r="L351">
        <v>6.6803210891816264E-57</v>
      </c>
      <c r="M351">
        <v>0.12523027153267691</v>
      </c>
      <c r="N351">
        <v>1.0861380750596091E-56</v>
      </c>
      <c r="O351">
        <v>1.4156092649234489E-56</v>
      </c>
      <c r="P351">
        <v>3.980601193369844E-2</v>
      </c>
      <c r="Q351">
        <v>0.54153867902558084</v>
      </c>
      <c r="R351">
        <v>-10.6418952163945</v>
      </c>
      <c r="S351">
        <v>0.2931837378155307</v>
      </c>
      <c r="T351">
        <v>0.2349963674396354</v>
      </c>
      <c r="U351">
        <v>4.2625965936405663</v>
      </c>
      <c r="V351">
        <v>0.11023909988438001</v>
      </c>
      <c r="W351">
        <v>-8.3335342878554428</v>
      </c>
      <c r="X351">
        <v>0.29922012865078312</v>
      </c>
      <c r="Z351" t="s">
        <v>392</v>
      </c>
      <c r="AA351">
        <v>140</v>
      </c>
      <c r="AB351" t="s">
        <v>1756</v>
      </c>
      <c r="AC351" t="str">
        <f>HYPERLINK("plots/20251231112652_3FT6Y119H04_05543_B21P_N_UFLEX98_M5358A8BA201511/dpll_52084/txpa_53190.png","plot")</f>
        <v>plot</v>
      </c>
    </row>
    <row r="352" spans="1:29" x14ac:dyDescent="0.35">
      <c r="A352" t="s">
        <v>47</v>
      </c>
      <c r="B352">
        <v>52084</v>
      </c>
      <c r="C352" t="s">
        <v>52</v>
      </c>
      <c r="D352">
        <v>53191</v>
      </c>
      <c r="E352" t="s">
        <v>66</v>
      </c>
      <c r="F352">
        <v>7139</v>
      </c>
      <c r="G352">
        <v>0.26385017533266147</v>
      </c>
      <c r="H352">
        <v>5.2802577939334992E-114</v>
      </c>
      <c r="I352">
        <v>9.5610382197295862E-114</v>
      </c>
      <c r="J352">
        <v>0.2443461271782385</v>
      </c>
      <c r="K352">
        <v>1.510761172971307E-97</v>
      </c>
      <c r="L352">
        <v>2.7651838075684221E-97</v>
      </c>
      <c r="M352">
        <v>0.16383975577650389</v>
      </c>
      <c r="N352">
        <v>1.045444835198991E-95</v>
      </c>
      <c r="O352">
        <v>1.923922074213752E-95</v>
      </c>
      <c r="P352">
        <v>6.9616915023076195E-2</v>
      </c>
      <c r="Q352">
        <v>0.59406245077981534</v>
      </c>
      <c r="R352">
        <v>-10.51850843930832</v>
      </c>
      <c r="S352">
        <v>0.2393926751013298</v>
      </c>
      <c r="T352">
        <v>0.18878931144451691</v>
      </c>
      <c r="U352">
        <v>4.2625965936405663</v>
      </c>
      <c r="V352">
        <v>0.11023909988438001</v>
      </c>
      <c r="W352">
        <v>-7.9862598602045107</v>
      </c>
      <c r="X352">
        <v>0.2482049131349163</v>
      </c>
      <c r="Z352" t="s">
        <v>392</v>
      </c>
      <c r="AA352">
        <v>140</v>
      </c>
      <c r="AB352" t="s">
        <v>1757</v>
      </c>
      <c r="AC352" t="str">
        <f>HYPERLINK("plots/20251231112652_3FT6Y119H04_05543_B21P_N_UFLEX98_M5358A8BA201511/dpll_52084/txpa_53191.png","plot")</f>
        <v>plot</v>
      </c>
    </row>
    <row r="353" spans="1:29" x14ac:dyDescent="0.35">
      <c r="A353" t="s">
        <v>47</v>
      </c>
      <c r="B353">
        <v>52084</v>
      </c>
      <c r="C353" t="s">
        <v>52</v>
      </c>
      <c r="D353">
        <v>53192</v>
      </c>
      <c r="E353" t="s">
        <v>67</v>
      </c>
      <c r="F353">
        <v>7139</v>
      </c>
      <c r="G353">
        <v>0.21618014512656419</v>
      </c>
      <c r="H353">
        <v>2.9166375555356688E-76</v>
      </c>
      <c r="I353">
        <v>3.8862949820146768E-76</v>
      </c>
      <c r="J353">
        <v>0.21465945070508641</v>
      </c>
      <c r="K353">
        <v>3.4097347462062001E-75</v>
      </c>
      <c r="L353">
        <v>5.0920044663521168E-75</v>
      </c>
      <c r="M353">
        <v>0.14439766276656821</v>
      </c>
      <c r="N353">
        <v>9.1308817594016077E-75</v>
      </c>
      <c r="O353">
        <v>1.3635808695188849E-74</v>
      </c>
      <c r="P353">
        <v>4.6733855146942359E-2</v>
      </c>
      <c r="Q353">
        <v>0.57437443186197401</v>
      </c>
      <c r="R353">
        <v>-10.56033319528631</v>
      </c>
      <c r="S353">
        <v>0.28595099964692122</v>
      </c>
      <c r="T353">
        <v>0.22526030907296171</v>
      </c>
      <c r="U353">
        <v>4.2625965936405663</v>
      </c>
      <c r="V353">
        <v>0.11023909988438001</v>
      </c>
      <c r="W353">
        <v>-8.1120066985572201</v>
      </c>
      <c r="X353">
        <v>0.29289702034382448</v>
      </c>
      <c r="Z353" t="s">
        <v>392</v>
      </c>
      <c r="AA353">
        <v>140</v>
      </c>
      <c r="AB353" t="s">
        <v>1758</v>
      </c>
      <c r="AC353" t="str">
        <f>HYPERLINK("plots/20251231112652_3FT6Y119H04_05543_B21P_N_UFLEX98_M5358A8BA201511/dpll_52084/txpa_53192.png","plot")</f>
        <v>plot</v>
      </c>
    </row>
    <row r="354" spans="1:29" x14ac:dyDescent="0.35">
      <c r="A354" t="s">
        <v>47</v>
      </c>
      <c r="B354">
        <v>52084</v>
      </c>
      <c r="C354" t="s">
        <v>52</v>
      </c>
      <c r="D354">
        <v>53193</v>
      </c>
      <c r="E354" t="s">
        <v>68</v>
      </c>
      <c r="F354">
        <v>7139</v>
      </c>
      <c r="G354">
        <v>0.23378561322537941</v>
      </c>
      <c r="H354">
        <v>3.1494343973272563E-89</v>
      </c>
      <c r="I354">
        <v>4.6282992447678812E-89</v>
      </c>
      <c r="J354">
        <v>0.22207465758660169</v>
      </c>
      <c r="K354">
        <v>1.7690825635162099E-80</v>
      </c>
      <c r="L354">
        <v>2.764021139299594E-80</v>
      </c>
      <c r="M354">
        <v>0.14970851176566111</v>
      </c>
      <c r="N354">
        <v>3.1634286637105291E-80</v>
      </c>
      <c r="O354">
        <v>4.9732041317867852E-80</v>
      </c>
      <c r="P354">
        <v>5.4655712951166682E-2</v>
      </c>
      <c r="Q354">
        <v>0.59930810202339846</v>
      </c>
      <c r="R354">
        <v>-10.518285412564831</v>
      </c>
      <c r="S354">
        <v>0.27474677819519461</v>
      </c>
      <c r="T354">
        <v>0.21892232689766691</v>
      </c>
      <c r="U354">
        <v>4.2625965936405663</v>
      </c>
      <c r="V354">
        <v>0.11023909988438001</v>
      </c>
      <c r="W354">
        <v>-7.9636767383387026</v>
      </c>
      <c r="X354">
        <v>0.28259731131010202</v>
      </c>
      <c r="Z354" t="s">
        <v>392</v>
      </c>
      <c r="AA354">
        <v>140</v>
      </c>
      <c r="AB354" t="s">
        <v>1759</v>
      </c>
      <c r="AC354" t="str">
        <f>HYPERLINK("plots/20251231112652_3FT6Y119H04_05543_B21P_N_UFLEX98_M5358A8BA201511/dpll_52084/txpa_53193.png","plot")</f>
        <v>plot</v>
      </c>
    </row>
    <row r="355" spans="1:29" x14ac:dyDescent="0.35">
      <c r="A355" t="s">
        <v>47</v>
      </c>
      <c r="B355">
        <v>52084</v>
      </c>
      <c r="C355" t="s">
        <v>52</v>
      </c>
      <c r="D355">
        <v>53194</v>
      </c>
      <c r="E355" t="s">
        <v>69</v>
      </c>
      <c r="F355">
        <v>7139</v>
      </c>
      <c r="G355">
        <v>0.28490534315531052</v>
      </c>
      <c r="H355">
        <v>2.1022950325081579E-133</v>
      </c>
      <c r="I355">
        <v>4.4596802572453399E-133</v>
      </c>
      <c r="J355">
        <v>0.2575522285526517</v>
      </c>
      <c r="K355">
        <v>1.5609340924070999E-108</v>
      </c>
      <c r="L355">
        <v>3.109601512182318E-108</v>
      </c>
      <c r="M355">
        <v>0.17324647760092929</v>
      </c>
      <c r="N355">
        <v>8.786097246614748E-107</v>
      </c>
      <c r="O355">
        <v>1.7537603559187711E-106</v>
      </c>
      <c r="P355">
        <v>8.1171054558445241E-2</v>
      </c>
      <c r="Q355">
        <v>0.69194836037972496</v>
      </c>
      <c r="R355">
        <v>-11.443506306924609</v>
      </c>
      <c r="S355">
        <v>0.25662305089613158</v>
      </c>
      <c r="T355">
        <v>0.20157618007974221</v>
      </c>
      <c r="U355">
        <v>4.2625965936405663</v>
      </c>
      <c r="V355">
        <v>0.11023909988438001</v>
      </c>
      <c r="W355">
        <v>-8.494009582994817</v>
      </c>
      <c r="X355">
        <v>0.26773721956190588</v>
      </c>
      <c r="Z355" t="s">
        <v>392</v>
      </c>
      <c r="AA355">
        <v>140</v>
      </c>
      <c r="AB355" t="s">
        <v>1760</v>
      </c>
      <c r="AC355" t="str">
        <f>HYPERLINK("plots/20251231112652_3FT6Y119H04_05543_B21P_N_UFLEX98_M5358A8BA201511/dpll_52084/txpa_53194.png","plot")</f>
        <v>plot</v>
      </c>
    </row>
    <row r="356" spans="1:29" x14ac:dyDescent="0.35">
      <c r="A356" t="s">
        <v>47</v>
      </c>
      <c r="B356">
        <v>52084</v>
      </c>
      <c r="C356" t="s">
        <v>52</v>
      </c>
      <c r="D356">
        <v>53195</v>
      </c>
      <c r="E356" t="s">
        <v>70</v>
      </c>
      <c r="F356">
        <v>7139</v>
      </c>
      <c r="G356">
        <v>0.25977473892014707</v>
      </c>
      <c r="H356">
        <v>1.905527079586018E-110</v>
      </c>
      <c r="I356">
        <v>3.3142443545458348E-110</v>
      </c>
      <c r="J356">
        <v>0.24984355020107249</v>
      </c>
      <c r="K356">
        <v>4.8457089685917517E-102</v>
      </c>
      <c r="L356">
        <v>9.2014024235056852E-102</v>
      </c>
      <c r="M356">
        <v>0.16737130997470029</v>
      </c>
      <c r="N356">
        <v>8.3408030668952866E-100</v>
      </c>
      <c r="O356">
        <v>1.5867869249215419E-99</v>
      </c>
      <c r="P356">
        <v>6.7482914981030609E-2</v>
      </c>
      <c r="Q356">
        <v>0.59003978633510346</v>
      </c>
      <c r="R356">
        <v>-5.0033678410835991</v>
      </c>
      <c r="S356">
        <v>0.24177868885641471</v>
      </c>
      <c r="T356">
        <v>0.18827215425882199</v>
      </c>
      <c r="U356">
        <v>4.2625965936405663</v>
      </c>
      <c r="V356">
        <v>0.11023909988438001</v>
      </c>
      <c r="W356">
        <v>-2.4882662577391801</v>
      </c>
      <c r="X356">
        <v>0.25039176330978141</v>
      </c>
      <c r="Z356" t="s">
        <v>392</v>
      </c>
      <c r="AA356">
        <v>140</v>
      </c>
      <c r="AB356" t="s">
        <v>1761</v>
      </c>
      <c r="AC356" t="str">
        <f>HYPERLINK("plots/20251231112652_3FT6Y119H04_05543_B21P_N_UFLEX98_M5358A8BA201511/dpll_52084/txpa_53195.png","plot")</f>
        <v>plot</v>
      </c>
    </row>
    <row r="357" spans="1:29" x14ac:dyDescent="0.35">
      <c r="A357" t="s">
        <v>47</v>
      </c>
      <c r="B357">
        <v>52084</v>
      </c>
      <c r="C357" t="s">
        <v>52</v>
      </c>
      <c r="D357">
        <v>53196</v>
      </c>
      <c r="E357" t="s">
        <v>71</v>
      </c>
      <c r="F357">
        <v>7139</v>
      </c>
      <c r="G357">
        <v>0.20087031602561661</v>
      </c>
      <c r="H357">
        <v>6.95643761664736E-66</v>
      </c>
      <c r="I357">
        <v>8.7625189357520783E-66</v>
      </c>
      <c r="J357">
        <v>0.19433638459404401</v>
      </c>
      <c r="K357">
        <v>1.0501067001734109E-61</v>
      </c>
      <c r="L357">
        <v>1.4047601503639039E-61</v>
      </c>
      <c r="M357">
        <v>0.1297365476460752</v>
      </c>
      <c r="N357">
        <v>1.020773864617264E-60</v>
      </c>
      <c r="O357">
        <v>1.3673245689853451E-60</v>
      </c>
      <c r="P357">
        <v>4.034888386023109E-2</v>
      </c>
      <c r="Q357">
        <v>0.57433919893642638</v>
      </c>
      <c r="R357">
        <v>-4.8894468229960708</v>
      </c>
      <c r="S357">
        <v>0.30875544196629601</v>
      </c>
      <c r="T357">
        <v>0.2489142483057884</v>
      </c>
      <c r="U357">
        <v>4.2625965936405663</v>
      </c>
      <c r="V357">
        <v>0.11023909988438001</v>
      </c>
      <c r="W357">
        <v>-2.441270510015408</v>
      </c>
      <c r="X357">
        <v>0.31520155676458012</v>
      </c>
      <c r="Z357" t="s">
        <v>392</v>
      </c>
      <c r="AA357">
        <v>140</v>
      </c>
      <c r="AB357" t="s">
        <v>1762</v>
      </c>
      <c r="AC357" t="str">
        <f>HYPERLINK("plots/20251231112652_3FT6Y119H04_05543_B21P_N_UFLEX98_M5358A8BA201511/dpll_52084/txpa_53196.png","plot")</f>
        <v>plot</v>
      </c>
    </row>
    <row r="358" spans="1:29" x14ac:dyDescent="0.35">
      <c r="A358" t="s">
        <v>47</v>
      </c>
      <c r="B358">
        <v>52084</v>
      </c>
      <c r="C358" t="s">
        <v>52</v>
      </c>
      <c r="D358">
        <v>53197</v>
      </c>
      <c r="E358" t="s">
        <v>72</v>
      </c>
      <c r="F358">
        <v>7139</v>
      </c>
      <c r="G358">
        <v>0.26193741614417487</v>
      </c>
      <c r="H358">
        <v>2.5127220484361942E-112</v>
      </c>
      <c r="I358">
        <v>4.4543709040459797E-112</v>
      </c>
      <c r="J358">
        <v>0.25428225198218368</v>
      </c>
      <c r="K358">
        <v>9.4308595934971663E-106</v>
      </c>
      <c r="L358">
        <v>1.8425610072844181E-105</v>
      </c>
      <c r="M358">
        <v>0.17048128166053941</v>
      </c>
      <c r="N358">
        <v>1.7768113987866389E-103</v>
      </c>
      <c r="O358">
        <v>3.4916410045923479E-103</v>
      </c>
      <c r="P358">
        <v>6.8611209976286669E-2</v>
      </c>
      <c r="Q358">
        <v>0.57480453072286575</v>
      </c>
      <c r="R358">
        <v>-4.6325950901664203</v>
      </c>
      <c r="S358">
        <v>0.23344973546774239</v>
      </c>
      <c r="T358">
        <v>0.18501182539250829</v>
      </c>
      <c r="U358">
        <v>4.2625965936405663</v>
      </c>
      <c r="V358">
        <v>0.11023909988438001</v>
      </c>
      <c r="W358">
        <v>-2.1824352554979689</v>
      </c>
      <c r="X358">
        <v>0.2419124957752293</v>
      </c>
      <c r="Z358" t="s">
        <v>392</v>
      </c>
      <c r="AA358">
        <v>140</v>
      </c>
      <c r="AB358" t="s">
        <v>1763</v>
      </c>
      <c r="AC358" t="str">
        <f>HYPERLINK("plots/20251231112652_3FT6Y119H04_05543_B21P_N_UFLEX98_M5358A8BA201511/dpll_52084/txpa_53197.png","plot")</f>
        <v>plot</v>
      </c>
    </row>
    <row r="359" spans="1:29" x14ac:dyDescent="0.35">
      <c r="A359" t="s">
        <v>47</v>
      </c>
      <c r="B359">
        <v>52084</v>
      </c>
      <c r="C359" t="s">
        <v>52</v>
      </c>
      <c r="D359">
        <v>53198</v>
      </c>
      <c r="E359" t="s">
        <v>73</v>
      </c>
      <c r="F359">
        <v>7139</v>
      </c>
      <c r="G359">
        <v>0.2061127272769932</v>
      </c>
      <c r="H359">
        <v>2.4090338721159349E-69</v>
      </c>
      <c r="I359">
        <v>3.0726545236799471E-69</v>
      </c>
      <c r="J359">
        <v>0.19567728689732811</v>
      </c>
      <c r="K359">
        <v>1.498788076374811E-62</v>
      </c>
      <c r="L359">
        <v>2.0290669017944699E-62</v>
      </c>
      <c r="M359">
        <v>0.13121761766676049</v>
      </c>
      <c r="N359">
        <v>4.5394216969538801E-62</v>
      </c>
      <c r="O359">
        <v>6.1291259663265454E-62</v>
      </c>
      <c r="P359">
        <v>4.2482456345560193E-2</v>
      </c>
      <c r="Q359">
        <v>0.53953489371523966</v>
      </c>
      <c r="R359">
        <v>-4.6795948838940546</v>
      </c>
      <c r="S359">
        <v>0.28235360479567018</v>
      </c>
      <c r="T359">
        <v>0.22692068181121519</v>
      </c>
      <c r="U359">
        <v>4.2625965936405663</v>
      </c>
      <c r="V359">
        <v>0.11023909988438001</v>
      </c>
      <c r="W359">
        <v>-2.379775283793248</v>
      </c>
      <c r="X359">
        <v>0.28856947275968498</v>
      </c>
      <c r="Z359" t="s">
        <v>392</v>
      </c>
      <c r="AA359">
        <v>140</v>
      </c>
      <c r="AB359" t="s">
        <v>1764</v>
      </c>
      <c r="AC359" t="str">
        <f>HYPERLINK("plots/20251231112652_3FT6Y119H04_05543_B21P_N_UFLEX98_M5358A8BA201511/dpll_52084/txpa_53198.png","plot")</f>
        <v>plot</v>
      </c>
    </row>
    <row r="360" spans="1:29" x14ac:dyDescent="0.35">
      <c r="A360" t="s">
        <v>47</v>
      </c>
      <c r="B360">
        <v>52084</v>
      </c>
      <c r="C360" t="s">
        <v>52</v>
      </c>
      <c r="D360">
        <v>53199</v>
      </c>
      <c r="E360" t="s">
        <v>74</v>
      </c>
      <c r="F360">
        <v>7139</v>
      </c>
      <c r="G360">
        <v>0.27835280567724319</v>
      </c>
      <c r="H360">
        <v>3.5113977851703831E-127</v>
      </c>
      <c r="I360">
        <v>6.9678226108860438E-127</v>
      </c>
      <c r="J360">
        <v>0.26391109897413462</v>
      </c>
      <c r="K360">
        <v>4.666544814946714E-114</v>
      </c>
      <c r="L360">
        <v>9.5593463481938736E-114</v>
      </c>
      <c r="M360">
        <v>0.17730211343569899</v>
      </c>
      <c r="N360">
        <v>9.1950262866506092E-112</v>
      </c>
      <c r="O360">
        <v>1.883587202962367E-111</v>
      </c>
      <c r="P360">
        <v>7.7480284428393109E-2</v>
      </c>
      <c r="Q360">
        <v>0.59698345520717833</v>
      </c>
      <c r="R360">
        <v>-4.5798855251024317</v>
      </c>
      <c r="S360">
        <v>0.22706999984012249</v>
      </c>
      <c r="T360">
        <v>0.17897604874902459</v>
      </c>
      <c r="U360">
        <v>4.2625965936405663</v>
      </c>
      <c r="V360">
        <v>0.11023909988438001</v>
      </c>
      <c r="W360">
        <v>-2.035185882476537</v>
      </c>
      <c r="X360">
        <v>0.23642987390691439</v>
      </c>
      <c r="Z360" t="s">
        <v>392</v>
      </c>
      <c r="AA360">
        <v>140</v>
      </c>
      <c r="AB360" t="s">
        <v>1765</v>
      </c>
      <c r="AC360" t="str">
        <f>HYPERLINK("plots/20251231112652_3FT6Y119H04_05543_B21P_N_UFLEX98_M5358A8BA201511/dpll_52084/txpa_53199.png","plot")</f>
        <v>plot</v>
      </c>
    </row>
    <row r="361" spans="1:29" x14ac:dyDescent="0.35">
      <c r="A361" t="s">
        <v>47</v>
      </c>
      <c r="B361">
        <v>52084</v>
      </c>
      <c r="C361" t="s">
        <v>52</v>
      </c>
      <c r="D361">
        <v>53200</v>
      </c>
      <c r="E361" t="s">
        <v>75</v>
      </c>
      <c r="F361">
        <v>7139</v>
      </c>
      <c r="G361">
        <v>0.22686476121040669</v>
      </c>
      <c r="H361">
        <v>5.3570111593358469E-84</v>
      </c>
      <c r="I361">
        <v>7.5444573827313178E-84</v>
      </c>
      <c r="J361">
        <v>0.23004276839867849</v>
      </c>
      <c r="K361">
        <v>2.2316368924729841E-86</v>
      </c>
      <c r="L361">
        <v>3.6914841908117554E-86</v>
      </c>
      <c r="M361">
        <v>0.15519800434482581</v>
      </c>
      <c r="N361">
        <v>4.3783851913125371E-86</v>
      </c>
      <c r="O361">
        <v>7.3021095131429486E-86</v>
      </c>
      <c r="P361">
        <v>5.1467619879054849E-2</v>
      </c>
      <c r="Q361">
        <v>0.58383066027664854</v>
      </c>
      <c r="R361">
        <v>-4.6322433841503763</v>
      </c>
      <c r="S361">
        <v>0.27628109970891002</v>
      </c>
      <c r="T361">
        <v>0.2171968278570445</v>
      </c>
      <c r="U361">
        <v>4.2625965936405663</v>
      </c>
      <c r="V361">
        <v>0.11023909988438001</v>
      </c>
      <c r="W361">
        <v>-2.143608800392212</v>
      </c>
      <c r="X361">
        <v>0.28369750388033682</v>
      </c>
      <c r="Z361" t="s">
        <v>392</v>
      </c>
      <c r="AA361">
        <v>140</v>
      </c>
      <c r="AB361" t="s">
        <v>1766</v>
      </c>
      <c r="AC361" t="str">
        <f>HYPERLINK("plots/20251231112652_3FT6Y119H04_05543_B21P_N_UFLEX98_M5358A8BA201511/dpll_52084/txpa_53200.png","plot")</f>
        <v>plot</v>
      </c>
    </row>
    <row r="362" spans="1:29" x14ac:dyDescent="0.35">
      <c r="A362" t="s">
        <v>47</v>
      </c>
      <c r="B362">
        <v>52084</v>
      </c>
      <c r="C362" t="s">
        <v>52</v>
      </c>
      <c r="D362">
        <v>53201</v>
      </c>
      <c r="E362" t="s">
        <v>76</v>
      </c>
      <c r="F362">
        <v>7139</v>
      </c>
      <c r="G362">
        <v>0.24321816410841821</v>
      </c>
      <c r="H362">
        <v>1.222806083961973E-96</v>
      </c>
      <c r="I362">
        <v>1.8901301358802449E-96</v>
      </c>
      <c r="J362">
        <v>0.23481672787250971</v>
      </c>
      <c r="K362">
        <v>5.0583357184201412E-90</v>
      </c>
      <c r="L362">
        <v>8.6787688975939487E-90</v>
      </c>
      <c r="M362">
        <v>0.15842253730615119</v>
      </c>
      <c r="N362">
        <v>1.2796546775753709E-89</v>
      </c>
      <c r="O362">
        <v>2.2218661696257309E-89</v>
      </c>
      <c r="P362">
        <v>5.9155075352269451E-2</v>
      </c>
      <c r="Q362">
        <v>0.59874239789464412</v>
      </c>
      <c r="R362">
        <v>-4.5355925482048276</v>
      </c>
      <c r="S362">
        <v>0.26321356595379503</v>
      </c>
      <c r="T362">
        <v>0.21000834170703181</v>
      </c>
      <c r="U362">
        <v>4.2625965936405663</v>
      </c>
      <c r="V362">
        <v>0.11023909988438001</v>
      </c>
      <c r="W362">
        <v>-1.983395242470934</v>
      </c>
      <c r="X362">
        <v>0.27138114148866871</v>
      </c>
      <c r="Z362" t="s">
        <v>392</v>
      </c>
      <c r="AA362">
        <v>140</v>
      </c>
      <c r="AB362" t="s">
        <v>1767</v>
      </c>
      <c r="AC362" t="str">
        <f>HYPERLINK("plots/20251231112652_3FT6Y119H04_05543_B21P_N_UFLEX98_M5358A8BA201511/dpll_52084/txpa_53201.png","plot")</f>
        <v>plot</v>
      </c>
    </row>
    <row r="363" spans="1:29" x14ac:dyDescent="0.35">
      <c r="A363" t="s">
        <v>47</v>
      </c>
      <c r="B363">
        <v>52084</v>
      </c>
      <c r="C363" t="s">
        <v>52</v>
      </c>
      <c r="D363">
        <v>53202</v>
      </c>
      <c r="E363" t="s">
        <v>77</v>
      </c>
      <c r="F363">
        <v>7139</v>
      </c>
      <c r="G363">
        <v>0.29241192746985212</v>
      </c>
      <c r="H363">
        <v>9.6508886828709839E-141</v>
      </c>
      <c r="I363">
        <v>2.1892619965170419E-140</v>
      </c>
      <c r="J363">
        <v>0.26796371861986468</v>
      </c>
      <c r="K363">
        <v>1.168490246882894E-117</v>
      </c>
      <c r="L363">
        <v>2.4581931749777059E-117</v>
      </c>
      <c r="M363">
        <v>0.1805356561359614</v>
      </c>
      <c r="N363">
        <v>8.3639760732225193E-116</v>
      </c>
      <c r="O363">
        <v>1.7742827904283749E-115</v>
      </c>
      <c r="P363">
        <v>8.5504735326634052E-2</v>
      </c>
      <c r="Q363">
        <v>0.67986274631272259</v>
      </c>
      <c r="R363">
        <v>-5.393674178333681</v>
      </c>
      <c r="S363">
        <v>0.24508804671176121</v>
      </c>
      <c r="T363">
        <v>0.19290187346885079</v>
      </c>
      <c r="U363">
        <v>4.2625965936405663</v>
      </c>
      <c r="V363">
        <v>0.11023909988438001</v>
      </c>
      <c r="W363">
        <v>-2.4956935517579488</v>
      </c>
      <c r="X363">
        <v>0.25630779786219321</v>
      </c>
      <c r="Z363" t="s">
        <v>392</v>
      </c>
      <c r="AA363">
        <v>140</v>
      </c>
      <c r="AB363" t="s">
        <v>1768</v>
      </c>
      <c r="AC363" t="str">
        <f>HYPERLINK("plots/20251231112652_3FT6Y119H04_05543_B21P_N_UFLEX98_M5358A8BA201511/dpll_52084/txpa_53202.png","plot")</f>
        <v>plot</v>
      </c>
    </row>
    <row r="364" spans="1:29" x14ac:dyDescent="0.35">
      <c r="A364" t="s">
        <v>47</v>
      </c>
      <c r="B364">
        <v>52084</v>
      </c>
      <c r="C364" t="s">
        <v>52</v>
      </c>
      <c r="D364">
        <v>53203</v>
      </c>
      <c r="E364" t="s">
        <v>78</v>
      </c>
      <c r="F364">
        <v>7139</v>
      </c>
      <c r="G364">
        <v>0.27058568910834452</v>
      </c>
      <c r="H364">
        <v>5.0575748202751427E-120</v>
      </c>
      <c r="I364">
        <v>9.514621275990714E-120</v>
      </c>
      <c r="J364">
        <v>0.26444346754185533</v>
      </c>
      <c r="K364">
        <v>1.583059864972628E-114</v>
      </c>
      <c r="L364">
        <v>3.2626477704923678E-114</v>
      </c>
      <c r="M364">
        <v>0.17767303531913239</v>
      </c>
      <c r="N364">
        <v>3.1720212337017102E-112</v>
      </c>
      <c r="O364">
        <v>6.5109909533877207E-112</v>
      </c>
      <c r="P364">
        <v>7.3216615150237668E-2</v>
      </c>
      <c r="Q364">
        <v>0.59523318158882765</v>
      </c>
      <c r="R364">
        <v>-2.0026893388890721</v>
      </c>
      <c r="S364">
        <v>0.23344074927531841</v>
      </c>
      <c r="T364">
        <v>0.18154909951414691</v>
      </c>
      <c r="U364">
        <v>4.2625965936405663</v>
      </c>
      <c r="V364">
        <v>0.11023909988438001</v>
      </c>
      <c r="W364">
        <v>0.53454959337330155</v>
      </c>
      <c r="X364">
        <v>0.24250347598166669</v>
      </c>
      <c r="Z364" t="s">
        <v>392</v>
      </c>
      <c r="AA364">
        <v>140</v>
      </c>
      <c r="AB364" t="s">
        <v>1769</v>
      </c>
      <c r="AC364" t="str">
        <f>HYPERLINK("plots/20251231112652_3FT6Y119H04_05543_B21P_N_UFLEX98_M5358A8BA201511/dpll_52084/txpa_53203.png","plot")</f>
        <v>plot</v>
      </c>
    </row>
    <row r="365" spans="1:29" x14ac:dyDescent="0.35">
      <c r="A365" t="s">
        <v>47</v>
      </c>
      <c r="B365">
        <v>52084</v>
      </c>
      <c r="C365" t="s">
        <v>52</v>
      </c>
      <c r="D365">
        <v>53204</v>
      </c>
      <c r="E365" t="s">
        <v>79</v>
      </c>
      <c r="F365">
        <v>7139</v>
      </c>
      <c r="G365">
        <v>0.2116383812118271</v>
      </c>
      <c r="H365">
        <v>4.2634677902448628E-73</v>
      </c>
      <c r="I365">
        <v>5.563907772597544E-73</v>
      </c>
      <c r="J365">
        <v>0.20729594018294409</v>
      </c>
      <c r="K365">
        <v>3.8677765358530043E-70</v>
      </c>
      <c r="L365">
        <v>5.5316296295556347E-70</v>
      </c>
      <c r="M365">
        <v>0.13844085164556549</v>
      </c>
      <c r="N365">
        <v>6.9519914465501357E-69</v>
      </c>
      <c r="O365">
        <v>9.8729962560249828E-69</v>
      </c>
      <c r="P365">
        <v>4.4790804401962661E-2</v>
      </c>
      <c r="Q365">
        <v>0.58523619176421904</v>
      </c>
      <c r="R365">
        <v>-1.9125480963068191</v>
      </c>
      <c r="S365">
        <v>0.2979142185423323</v>
      </c>
      <c r="T365">
        <v>0.24019383181355841</v>
      </c>
      <c r="U365">
        <v>4.2625965936405663</v>
      </c>
      <c r="V365">
        <v>0.11023909988438001</v>
      </c>
      <c r="W365">
        <v>0.58207770118251845</v>
      </c>
      <c r="X365">
        <v>0.30484031596932548</v>
      </c>
      <c r="Z365" t="s">
        <v>392</v>
      </c>
      <c r="AA365">
        <v>140</v>
      </c>
      <c r="AB365" t="s">
        <v>1770</v>
      </c>
      <c r="AC365" t="str">
        <f>HYPERLINK("plots/20251231112652_3FT6Y119H04_05543_B21P_N_UFLEX98_M5358A8BA201511/dpll_52084/txpa_53204.png","plot")</f>
        <v>plot</v>
      </c>
    </row>
    <row r="366" spans="1:29" x14ac:dyDescent="0.35">
      <c r="A366" t="s">
        <v>47</v>
      </c>
      <c r="B366">
        <v>52084</v>
      </c>
      <c r="C366" t="s">
        <v>52</v>
      </c>
      <c r="D366">
        <v>53205</v>
      </c>
      <c r="E366" t="s">
        <v>80</v>
      </c>
      <c r="F366">
        <v>7139</v>
      </c>
      <c r="G366">
        <v>0.27713219536649791</v>
      </c>
      <c r="H366">
        <v>4.8530621798193143E-126</v>
      </c>
      <c r="I366">
        <v>9.4634712506476632E-126</v>
      </c>
      <c r="J366">
        <v>0.27214185288205012</v>
      </c>
      <c r="K366">
        <v>1.9431702947273338E-121</v>
      </c>
      <c r="L366">
        <v>4.2464971527015453E-121</v>
      </c>
      <c r="M366">
        <v>0.18282852521295551</v>
      </c>
      <c r="N366">
        <v>1.0227017174286049E-118</v>
      </c>
      <c r="O366">
        <v>2.279163827412319E-118</v>
      </c>
      <c r="P366">
        <v>7.6802253708654733E-2</v>
      </c>
      <c r="Q366">
        <v>0.58676768691258652</v>
      </c>
      <c r="R366">
        <v>-1.673779156372321</v>
      </c>
      <c r="S366">
        <v>0.22424967091494891</v>
      </c>
      <c r="T366">
        <v>0.17734144639256599</v>
      </c>
      <c r="U366">
        <v>4.2625965936405663</v>
      </c>
      <c r="V366">
        <v>0.11023909988438001</v>
      </c>
      <c r="W366">
        <v>0.82737478711962464</v>
      </c>
      <c r="X366">
        <v>0.23340753159675259</v>
      </c>
      <c r="Z366" t="s">
        <v>392</v>
      </c>
      <c r="AA366">
        <v>140</v>
      </c>
      <c r="AB366" t="s">
        <v>1771</v>
      </c>
      <c r="AC366" t="str">
        <f>HYPERLINK("plots/20251231112652_3FT6Y119H04_05543_B21P_N_UFLEX98_M5358A8BA201511/dpll_52084/txpa_53205.png","plot")</f>
        <v>plot</v>
      </c>
    </row>
    <row r="367" spans="1:29" x14ac:dyDescent="0.35">
      <c r="A367" t="s">
        <v>47</v>
      </c>
      <c r="B367">
        <v>52084</v>
      </c>
      <c r="C367" t="s">
        <v>52</v>
      </c>
      <c r="D367">
        <v>53206</v>
      </c>
      <c r="E367" t="s">
        <v>81</v>
      </c>
      <c r="F367">
        <v>7139</v>
      </c>
      <c r="G367">
        <v>0.21732089783439179</v>
      </c>
      <c r="H367">
        <v>4.5544501603853116E-77</v>
      </c>
      <c r="I367">
        <v>6.0926285786684791E-77</v>
      </c>
      <c r="J367">
        <v>0.20937450510210659</v>
      </c>
      <c r="K367">
        <v>1.513649849736285E-71</v>
      </c>
      <c r="L367">
        <v>2.1989125324249189E-71</v>
      </c>
      <c r="M367">
        <v>0.14052165930025501</v>
      </c>
      <c r="N367">
        <v>6.4923232518711019E-71</v>
      </c>
      <c r="O367">
        <v>9.4722529171184121E-71</v>
      </c>
      <c r="P367">
        <v>4.7228372635546183E-2</v>
      </c>
      <c r="Q367">
        <v>0.55144975294078469</v>
      </c>
      <c r="R367">
        <v>-1.7153448754753751</v>
      </c>
      <c r="S367">
        <v>0.27302606077497849</v>
      </c>
      <c r="T367">
        <v>0.21949058548410261</v>
      </c>
      <c r="U367">
        <v>4.2625965936405663</v>
      </c>
      <c r="V367">
        <v>0.11023909988438001</v>
      </c>
      <c r="W367">
        <v>0.63526296297394591</v>
      </c>
      <c r="X367">
        <v>0.27973068858744338</v>
      </c>
      <c r="Z367" t="s">
        <v>392</v>
      </c>
      <c r="AA367">
        <v>140</v>
      </c>
      <c r="AB367" t="s">
        <v>1772</v>
      </c>
      <c r="AC367" t="str">
        <f>HYPERLINK("plots/20251231112652_3FT6Y119H04_05543_B21P_N_UFLEX98_M5358A8BA201511/dpll_52084/txpa_53206.png","plot")</f>
        <v>plot</v>
      </c>
    </row>
    <row r="368" spans="1:29" x14ac:dyDescent="0.35">
      <c r="A368" t="s">
        <v>47</v>
      </c>
      <c r="B368">
        <v>52084</v>
      </c>
      <c r="C368" t="s">
        <v>52</v>
      </c>
      <c r="D368">
        <v>53207</v>
      </c>
      <c r="E368" t="s">
        <v>82</v>
      </c>
      <c r="F368">
        <v>7139</v>
      </c>
      <c r="G368">
        <v>0.29506859573475058</v>
      </c>
      <c r="H368">
        <v>2.154919084135263E-143</v>
      </c>
      <c r="I368">
        <v>5.0580739613730478E-143</v>
      </c>
      <c r="J368">
        <v>0.2836375793787273</v>
      </c>
      <c r="K368">
        <v>3.4663841749247011E-132</v>
      </c>
      <c r="L368">
        <v>8.5939206683952253E-132</v>
      </c>
      <c r="M368">
        <v>0.19109406975541371</v>
      </c>
      <c r="N368">
        <v>1.6447939239046921E-129</v>
      </c>
      <c r="O368">
        <v>4.0778020509519738E-129</v>
      </c>
      <c r="P368">
        <v>8.7065476188877666E-2</v>
      </c>
      <c r="Q368">
        <v>0.61236868779682085</v>
      </c>
      <c r="R368">
        <v>-1.647313924044423</v>
      </c>
      <c r="S368">
        <v>0.21858232481786</v>
      </c>
      <c r="T368">
        <v>0.1722573731658005</v>
      </c>
      <c r="U368">
        <v>4.2625965936405663</v>
      </c>
      <c r="V368">
        <v>0.11023909988438001</v>
      </c>
      <c r="W368">
        <v>0.96296675861044956</v>
      </c>
      <c r="X368">
        <v>0.22878399774127539</v>
      </c>
      <c r="Z368" t="s">
        <v>392</v>
      </c>
      <c r="AA368">
        <v>140</v>
      </c>
      <c r="AB368" t="s">
        <v>1773</v>
      </c>
      <c r="AC368" t="str">
        <f>HYPERLINK("plots/20251231112652_3FT6Y119H04_05543_B21P_N_UFLEX98_M5358A8BA201511/dpll_52084/txpa_53207.png","plot")</f>
        <v>plot</v>
      </c>
    </row>
    <row r="369" spans="1:29" x14ac:dyDescent="0.35">
      <c r="A369" t="s">
        <v>47</v>
      </c>
      <c r="B369">
        <v>52084</v>
      </c>
      <c r="C369" t="s">
        <v>52</v>
      </c>
      <c r="D369">
        <v>53208</v>
      </c>
      <c r="E369" t="s">
        <v>83</v>
      </c>
      <c r="F369">
        <v>7139</v>
      </c>
      <c r="G369">
        <v>0.2391386982380331</v>
      </c>
      <c r="H369">
        <v>2.1508864018218698E-93</v>
      </c>
      <c r="I369">
        <v>3.2698632855283001E-93</v>
      </c>
      <c r="J369">
        <v>0.24533971188462031</v>
      </c>
      <c r="K369">
        <v>2.3731162798605119E-98</v>
      </c>
      <c r="L369">
        <v>4.3751634686882892E-98</v>
      </c>
      <c r="M369">
        <v>0.16574003386796429</v>
      </c>
      <c r="N369">
        <v>6.5539238569803619E-98</v>
      </c>
      <c r="O369">
        <v>1.2238819136239571E-97</v>
      </c>
      <c r="P369">
        <v>5.7187316994981072E-2</v>
      </c>
      <c r="Q369">
        <v>0.59396634718237895</v>
      </c>
      <c r="R369">
        <v>-1.6711375787809319</v>
      </c>
      <c r="S369">
        <v>0.26584587509258178</v>
      </c>
      <c r="T369">
        <v>0.20901808094496571</v>
      </c>
      <c r="U369">
        <v>4.2625965936405663</v>
      </c>
      <c r="V369">
        <v>0.11023909988438001</v>
      </c>
      <c r="W369">
        <v>0.86070134945580612</v>
      </c>
      <c r="X369">
        <v>0.27380894835273811</v>
      </c>
      <c r="Z369" t="s">
        <v>392</v>
      </c>
      <c r="AA369">
        <v>140</v>
      </c>
      <c r="AB369" t="s">
        <v>1774</v>
      </c>
      <c r="AC369" t="str">
        <f>HYPERLINK("plots/20251231112652_3FT6Y119H04_05543_B21P_N_UFLEX98_M5358A8BA201511/dpll_52084/txpa_53208.png","plot")</f>
        <v>plot</v>
      </c>
    </row>
    <row r="370" spans="1:29" x14ac:dyDescent="0.35">
      <c r="A370" t="s">
        <v>47</v>
      </c>
      <c r="B370">
        <v>52084</v>
      </c>
      <c r="C370" t="s">
        <v>52</v>
      </c>
      <c r="D370">
        <v>53209</v>
      </c>
      <c r="E370" t="s">
        <v>84</v>
      </c>
      <c r="F370">
        <v>7139</v>
      </c>
      <c r="G370">
        <v>0.25768045952068319</v>
      </c>
      <c r="H370">
        <v>1.2119893663599049E-108</v>
      </c>
      <c r="I370">
        <v>2.0724405016676951E-108</v>
      </c>
      <c r="J370">
        <v>0.25128969803390022</v>
      </c>
      <c r="K370">
        <v>3.051244259743825E-103</v>
      </c>
      <c r="L370">
        <v>5.8486988268057448E-103</v>
      </c>
      <c r="M370">
        <v>0.16973748736815369</v>
      </c>
      <c r="N370">
        <v>1.3525149627338589E-102</v>
      </c>
      <c r="O370">
        <v>2.6172713210155199E-102</v>
      </c>
      <c r="P370">
        <v>6.6399219218790453E-2</v>
      </c>
      <c r="Q370">
        <v>0.60971510891700542</v>
      </c>
      <c r="R370">
        <v>-1.5811237459265799</v>
      </c>
      <c r="S370">
        <v>0.25201785641523627</v>
      </c>
      <c r="T370">
        <v>0.20063811477922611</v>
      </c>
      <c r="U370">
        <v>4.2625965936405663</v>
      </c>
      <c r="V370">
        <v>0.11023909988438001</v>
      </c>
      <c r="W370">
        <v>1.017845800434235</v>
      </c>
      <c r="X370">
        <v>0.26084416691100459</v>
      </c>
      <c r="Z370" t="s">
        <v>392</v>
      </c>
      <c r="AA370">
        <v>140</v>
      </c>
      <c r="AB370" t="s">
        <v>1775</v>
      </c>
      <c r="AC370" t="str">
        <f>HYPERLINK("plots/20251231112652_3FT6Y119H04_05543_B21P_N_UFLEX98_M5358A8BA201511/dpll_52084/txpa_53209.png","plot")</f>
        <v>plot</v>
      </c>
    </row>
    <row r="371" spans="1:29" x14ac:dyDescent="0.35">
      <c r="A371" t="s">
        <v>47</v>
      </c>
      <c r="B371">
        <v>52084</v>
      </c>
      <c r="C371" t="s">
        <v>52</v>
      </c>
      <c r="D371">
        <v>53210</v>
      </c>
      <c r="E371" t="s">
        <v>85</v>
      </c>
      <c r="F371">
        <v>7139</v>
      </c>
      <c r="G371">
        <v>0.301702512329935</v>
      </c>
      <c r="H371">
        <v>3.8778322627826501E-150</v>
      </c>
      <c r="I371">
        <v>9.8549421415077851E-150</v>
      </c>
      <c r="J371">
        <v>0.28026491017699301</v>
      </c>
      <c r="K371">
        <v>5.5856277630948973E-129</v>
      </c>
      <c r="L371">
        <v>1.3421389933123761E-128</v>
      </c>
      <c r="M371">
        <v>0.18909632032214499</v>
      </c>
      <c r="N371">
        <v>7.3885461894116027E-127</v>
      </c>
      <c r="O371">
        <v>1.8009581336690779E-126</v>
      </c>
      <c r="P371">
        <v>9.1024405946194584E-2</v>
      </c>
      <c r="Q371">
        <v>0.67889981640138786</v>
      </c>
      <c r="R371">
        <v>-2.3631155141153841</v>
      </c>
      <c r="S371">
        <v>0.23648745916799391</v>
      </c>
      <c r="T371">
        <v>0.18601009880672509</v>
      </c>
      <c r="U371">
        <v>4.2625965936405663</v>
      </c>
      <c r="V371">
        <v>0.11023909988438001</v>
      </c>
      <c r="W371">
        <v>0.53076053070037821</v>
      </c>
      <c r="X371">
        <v>0.24806324645356331</v>
      </c>
      <c r="Z371" t="s">
        <v>392</v>
      </c>
      <c r="AA371">
        <v>140</v>
      </c>
      <c r="AB371" t="s">
        <v>1776</v>
      </c>
      <c r="AC371" t="str">
        <f>HYPERLINK("plots/20251231112652_3FT6Y119H04_05543_B21P_N_UFLEX98_M5358A8BA201511/dpll_52084/txpa_53210.png","plot")</f>
        <v>plot</v>
      </c>
    </row>
    <row r="372" spans="1:29" x14ac:dyDescent="0.35">
      <c r="A372" t="s">
        <v>47</v>
      </c>
      <c r="B372">
        <v>52084</v>
      </c>
      <c r="C372" t="s">
        <v>52</v>
      </c>
      <c r="D372">
        <v>53211</v>
      </c>
      <c r="E372" t="s">
        <v>86</v>
      </c>
      <c r="F372">
        <v>7139</v>
      </c>
      <c r="G372">
        <v>0.29180323319672569</v>
      </c>
      <c r="H372">
        <v>3.872539509667825E-140</v>
      </c>
      <c r="I372">
        <v>8.7261223617848324E-140</v>
      </c>
      <c r="J372">
        <v>0.29373464085267492</v>
      </c>
      <c r="K372">
        <v>4.6575948067370383E-142</v>
      </c>
      <c r="L372">
        <v>1.223523609852683E-141</v>
      </c>
      <c r="M372">
        <v>0.198122676295621</v>
      </c>
      <c r="N372">
        <v>4.5921226409722929E-139</v>
      </c>
      <c r="O372">
        <v>1.2126073848817459E-138</v>
      </c>
      <c r="P372">
        <v>8.5149126904062677E-2</v>
      </c>
      <c r="Q372">
        <v>0.60704330463622969</v>
      </c>
      <c r="R372">
        <v>1.38671086017996</v>
      </c>
      <c r="S372">
        <v>0.2193360240355848</v>
      </c>
      <c r="T372">
        <v>0.16990990289642449</v>
      </c>
      <c r="U372">
        <v>4.2625965936405663</v>
      </c>
      <c r="V372">
        <v>0.11023909988438001</v>
      </c>
      <c r="W372">
        <v>3.9742915827146659</v>
      </c>
      <c r="X372">
        <v>0.2293323030071498</v>
      </c>
      <c r="Z372" t="s">
        <v>392</v>
      </c>
      <c r="AA372">
        <v>140</v>
      </c>
      <c r="AB372" t="s">
        <v>1777</v>
      </c>
      <c r="AC372" t="str">
        <f>HYPERLINK("plots/20251231112652_3FT6Y119H04_05543_B21P_N_UFLEX98_M5358A8BA201511/dpll_52084/txpa_53211.png","plot")</f>
        <v>plot</v>
      </c>
    </row>
    <row r="373" spans="1:29" x14ac:dyDescent="0.35">
      <c r="A373" t="s">
        <v>47</v>
      </c>
      <c r="B373">
        <v>52084</v>
      </c>
      <c r="C373" t="s">
        <v>52</v>
      </c>
      <c r="D373">
        <v>53212</v>
      </c>
      <c r="E373" t="s">
        <v>87</v>
      </c>
      <c r="F373">
        <v>7139</v>
      </c>
      <c r="G373">
        <v>0.2300043610637624</v>
      </c>
      <c r="H373">
        <v>2.3856615636499939E-86</v>
      </c>
      <c r="I373">
        <v>3.3927921816845631E-86</v>
      </c>
      <c r="J373">
        <v>0.2292196463193141</v>
      </c>
      <c r="K373">
        <v>9.3035021530502646E-86</v>
      </c>
      <c r="L373">
        <v>1.5339432818199951E-85</v>
      </c>
      <c r="M373">
        <v>0.1531938821872291</v>
      </c>
      <c r="N373">
        <v>6.2876085231762546E-84</v>
      </c>
      <c r="O373">
        <v>1.025021711012978E-83</v>
      </c>
      <c r="P373">
        <v>5.2902006108349581E-2</v>
      </c>
      <c r="Q373">
        <v>0.59867464807753834</v>
      </c>
      <c r="R373">
        <v>1.477541517323496</v>
      </c>
      <c r="S373">
        <v>0.27922705419934329</v>
      </c>
      <c r="T373">
        <v>0.2247573773117276</v>
      </c>
      <c r="U373">
        <v>4.2625965936405663</v>
      </c>
      <c r="V373">
        <v>0.11023909988438001</v>
      </c>
      <c r="W373">
        <v>4.0294500329177758</v>
      </c>
      <c r="X373">
        <v>0.28693957811247722</v>
      </c>
      <c r="Z373" t="s">
        <v>392</v>
      </c>
      <c r="AA373">
        <v>140</v>
      </c>
      <c r="AB373" t="s">
        <v>1778</v>
      </c>
      <c r="AC373" t="str">
        <f>HYPERLINK("plots/20251231112652_3FT6Y119H04_05543_B21P_N_UFLEX98_M5358A8BA201511/dpll_52084/txpa_53212.png","plot")</f>
        <v>plot</v>
      </c>
    </row>
    <row r="374" spans="1:29" x14ac:dyDescent="0.35">
      <c r="A374" t="s">
        <v>47</v>
      </c>
      <c r="B374">
        <v>52084</v>
      </c>
      <c r="C374" t="s">
        <v>52</v>
      </c>
      <c r="D374">
        <v>53213</v>
      </c>
      <c r="E374" t="s">
        <v>88</v>
      </c>
      <c r="F374">
        <v>7139</v>
      </c>
      <c r="G374">
        <v>0.30241229607241082</v>
      </c>
      <c r="H374">
        <v>7.1832633649763789E-151</v>
      </c>
      <c r="I374">
        <v>1.848687576671586E-150</v>
      </c>
      <c r="J374">
        <v>0.30380220835593541</v>
      </c>
      <c r="K374">
        <v>2.608590321105281E-152</v>
      </c>
      <c r="L374">
        <v>7.5791134257901303E-152</v>
      </c>
      <c r="M374">
        <v>0.20479627125400041</v>
      </c>
      <c r="N374">
        <v>1.876969711410896E-148</v>
      </c>
      <c r="O374">
        <v>5.4534306228385331E-148</v>
      </c>
      <c r="P374">
        <v>9.1453196815787466E-2</v>
      </c>
      <c r="Q374">
        <v>0.60452494727427319</v>
      </c>
      <c r="R374">
        <v>1.667718958745414</v>
      </c>
      <c r="S374">
        <v>0.2100359685981126</v>
      </c>
      <c r="T374">
        <v>0.16513900342970639</v>
      </c>
      <c r="U374">
        <v>4.2625965936405663</v>
      </c>
      <c r="V374">
        <v>0.11023909988438001</v>
      </c>
      <c r="W374">
        <v>4.2445649397674741</v>
      </c>
      <c r="X374">
        <v>0.220368969485325</v>
      </c>
      <c r="Z374" t="s">
        <v>392</v>
      </c>
      <c r="AA374">
        <v>140</v>
      </c>
      <c r="AB374" t="s">
        <v>1779</v>
      </c>
      <c r="AC374" t="str">
        <f>HYPERLINK("plots/20251231112652_3FT6Y119H04_05543_B21P_N_UFLEX98_M5358A8BA201511/dpll_52084/txpa_53213.png","plot")</f>
        <v>plot</v>
      </c>
    </row>
    <row r="375" spans="1:29" x14ac:dyDescent="0.35">
      <c r="A375" t="s">
        <v>47</v>
      </c>
      <c r="B375">
        <v>52084</v>
      </c>
      <c r="C375" t="s">
        <v>52</v>
      </c>
      <c r="D375">
        <v>53214</v>
      </c>
      <c r="E375" t="s">
        <v>89</v>
      </c>
      <c r="F375">
        <v>7139</v>
      </c>
      <c r="G375">
        <v>0.2374758229407099</v>
      </c>
      <c r="H375">
        <v>4.3437746099918308E-92</v>
      </c>
      <c r="I375">
        <v>6.5349962233408258E-92</v>
      </c>
      <c r="J375">
        <v>0.23298847878843079</v>
      </c>
      <c r="K375">
        <v>1.2869811416561961E-88</v>
      </c>
      <c r="L375">
        <v>2.1677722219923289E-88</v>
      </c>
      <c r="M375">
        <v>0.15650626459863851</v>
      </c>
      <c r="N375">
        <v>1.633990271887192E-87</v>
      </c>
      <c r="O375">
        <v>2.779976737740961E-87</v>
      </c>
      <c r="P375">
        <v>5.639476648136741E-2</v>
      </c>
      <c r="Q375">
        <v>0.56910384358771005</v>
      </c>
      <c r="R375">
        <v>1.650641068729144</v>
      </c>
      <c r="S375">
        <v>0.25660937991283239</v>
      </c>
      <c r="T375">
        <v>0.206193263087461</v>
      </c>
      <c r="U375">
        <v>4.2625965936405663</v>
      </c>
      <c r="V375">
        <v>0.11023909988438001</v>
      </c>
      <c r="W375">
        <v>4.0765011738338703</v>
      </c>
      <c r="X375">
        <v>0.26418476913127159</v>
      </c>
      <c r="Z375" t="s">
        <v>392</v>
      </c>
      <c r="AA375">
        <v>140</v>
      </c>
      <c r="AB375" t="s">
        <v>1780</v>
      </c>
      <c r="AC375" t="str">
        <f>HYPERLINK("plots/20251231112652_3FT6Y119H04_05543_B21P_N_UFLEX98_M5358A8BA201511/dpll_52084/txpa_53214.png","plot")</f>
        <v>plot</v>
      </c>
    </row>
    <row r="376" spans="1:29" x14ac:dyDescent="0.35">
      <c r="A376" t="s">
        <v>47</v>
      </c>
      <c r="B376">
        <v>52084</v>
      </c>
      <c r="C376" t="s">
        <v>52</v>
      </c>
      <c r="D376">
        <v>53215</v>
      </c>
      <c r="E376" t="s">
        <v>90</v>
      </c>
      <c r="F376">
        <v>7139</v>
      </c>
      <c r="G376">
        <v>0.32045606784901709</v>
      </c>
      <c r="H376">
        <v>3.4721241152524274E-170</v>
      </c>
      <c r="I376">
        <v>1.103678323782433E-169</v>
      </c>
      <c r="J376">
        <v>0.31350046525590242</v>
      </c>
      <c r="K376">
        <v>1.404021946410169E-162</v>
      </c>
      <c r="L376">
        <v>4.6677975529833164E-162</v>
      </c>
      <c r="M376">
        <v>0.2120331946878701</v>
      </c>
      <c r="N376">
        <v>5.5224901993852339E-159</v>
      </c>
      <c r="O376">
        <v>1.824040736865351E-158</v>
      </c>
      <c r="P376">
        <v>0.10269209142125391</v>
      </c>
      <c r="Q376">
        <v>0.63154054306374907</v>
      </c>
      <c r="R376">
        <v>1.6765504171223049</v>
      </c>
      <c r="S376">
        <v>0.20578263498624541</v>
      </c>
      <c r="T376">
        <v>0.16219685597595579</v>
      </c>
      <c r="U376">
        <v>4.2625965936405663</v>
      </c>
      <c r="V376">
        <v>0.11023909988438001</v>
      </c>
      <c r="W376">
        <v>4.368552984731755</v>
      </c>
      <c r="X376">
        <v>0.21725430719770891</v>
      </c>
      <c r="Z376" t="s">
        <v>392</v>
      </c>
      <c r="AA376">
        <v>140</v>
      </c>
      <c r="AB376" t="s">
        <v>1781</v>
      </c>
      <c r="AC376" t="str">
        <f>HYPERLINK("plots/20251231112652_3FT6Y119H04_05543_B21P_N_UFLEX98_M5358A8BA201511/dpll_52084/txpa_53215.png","plot")</f>
        <v>plot</v>
      </c>
    </row>
    <row r="377" spans="1:29" x14ac:dyDescent="0.35">
      <c r="A377" t="s">
        <v>47</v>
      </c>
      <c r="B377">
        <v>52084</v>
      </c>
      <c r="C377" t="s">
        <v>52</v>
      </c>
      <c r="D377">
        <v>53216</v>
      </c>
      <c r="E377" t="s">
        <v>91</v>
      </c>
      <c r="F377">
        <v>7139</v>
      </c>
      <c r="G377">
        <v>0.26377985005873622</v>
      </c>
      <c r="H377">
        <v>6.0894467264558792E-114</v>
      </c>
      <c r="I377">
        <v>1.098700886232431E-113</v>
      </c>
      <c r="J377">
        <v>0.27359532818469162</v>
      </c>
      <c r="K377">
        <v>9.0782357173950858E-123</v>
      </c>
      <c r="L377">
        <v>2.0276059509776691E-122</v>
      </c>
      <c r="M377">
        <v>0.18525844707093839</v>
      </c>
      <c r="N377">
        <v>7.6524462072318939E-122</v>
      </c>
      <c r="O377">
        <v>1.724351212029587E-121</v>
      </c>
      <c r="P377">
        <v>6.9579809297009368E-2</v>
      </c>
      <c r="Q377">
        <v>0.6147683912354539</v>
      </c>
      <c r="R377">
        <v>1.6547149176485869</v>
      </c>
      <c r="S377">
        <v>0.24780765344417061</v>
      </c>
      <c r="T377">
        <v>0.194686029636224</v>
      </c>
      <c r="U377">
        <v>4.2625965936405663</v>
      </c>
      <c r="V377">
        <v>0.11023909988438001</v>
      </c>
      <c r="W377">
        <v>4.275224568006724</v>
      </c>
      <c r="X377">
        <v>0.25692453033116092</v>
      </c>
      <c r="Z377" t="s">
        <v>392</v>
      </c>
      <c r="AA377">
        <v>140</v>
      </c>
      <c r="AB377" t="s">
        <v>1782</v>
      </c>
      <c r="AC377" t="str">
        <f>HYPERLINK("plots/20251231112652_3FT6Y119H04_05543_B21P_N_UFLEX98_M5358A8BA201511/dpll_52084/txpa_53216.png","plot")</f>
        <v>plot</v>
      </c>
    </row>
    <row r="378" spans="1:29" x14ac:dyDescent="0.35">
      <c r="A378" t="s">
        <v>47</v>
      </c>
      <c r="B378">
        <v>52084</v>
      </c>
      <c r="C378" t="s">
        <v>52</v>
      </c>
      <c r="D378">
        <v>53217</v>
      </c>
      <c r="E378" t="s">
        <v>92</v>
      </c>
      <c r="F378">
        <v>7139</v>
      </c>
      <c r="G378">
        <v>0.28169928285501977</v>
      </c>
      <c r="H378">
        <v>2.4465566024888651E-130</v>
      </c>
      <c r="I378">
        <v>5.083623760089568E-130</v>
      </c>
      <c r="J378">
        <v>0.27836913541010477</v>
      </c>
      <c r="K378">
        <v>3.3898619477021969E-127</v>
      </c>
      <c r="L378">
        <v>7.8837615022248344E-127</v>
      </c>
      <c r="M378">
        <v>0.18846856410795881</v>
      </c>
      <c r="N378">
        <v>4.9411313077305421E-126</v>
      </c>
      <c r="O378">
        <v>1.1872765748907041E-125</v>
      </c>
      <c r="P378">
        <v>7.9354485961032464E-2</v>
      </c>
      <c r="Q378">
        <v>0.62426077431546423</v>
      </c>
      <c r="R378">
        <v>1.7590834228669039</v>
      </c>
      <c r="S378">
        <v>0.23438605282519029</v>
      </c>
      <c r="T378">
        <v>0.18599293714745371</v>
      </c>
      <c r="U378">
        <v>4.2625965936405663</v>
      </c>
      <c r="V378">
        <v>0.11023909988438001</v>
      </c>
      <c r="W378">
        <v>4.4200552730074243</v>
      </c>
      <c r="X378">
        <v>0.24429577937222149</v>
      </c>
      <c r="Z378" t="s">
        <v>392</v>
      </c>
      <c r="AA378">
        <v>140</v>
      </c>
      <c r="AB378" t="s">
        <v>1783</v>
      </c>
      <c r="AC378" t="str">
        <f>HYPERLINK("plots/20251231112652_3FT6Y119H04_05543_B21P_N_UFLEX98_M5358A8BA201511/dpll_52084/txpa_53217.png","plot")</f>
        <v>plot</v>
      </c>
    </row>
    <row r="379" spans="1:29" x14ac:dyDescent="0.35">
      <c r="A379" t="s">
        <v>47</v>
      </c>
      <c r="B379">
        <v>52084</v>
      </c>
      <c r="C379" t="s">
        <v>52</v>
      </c>
      <c r="D379">
        <v>53218</v>
      </c>
      <c r="E379" t="s">
        <v>93</v>
      </c>
      <c r="F379">
        <v>7139</v>
      </c>
      <c r="G379">
        <v>0.32147834516285562</v>
      </c>
      <c r="H379">
        <v>2.5432488704752891E-171</v>
      </c>
      <c r="I379">
        <v>8.1868392211490254E-171</v>
      </c>
      <c r="J379">
        <v>0.30509025955422231</v>
      </c>
      <c r="K379">
        <v>1.1883302628584471E-153</v>
      </c>
      <c r="L379">
        <v>3.5130229928235132E-153</v>
      </c>
      <c r="M379">
        <v>0.2066302955899709</v>
      </c>
      <c r="N379">
        <v>4.356657723661709E-151</v>
      </c>
      <c r="O379">
        <v>1.3187017706844689E-150</v>
      </c>
      <c r="P379">
        <v>0.10334832640864811</v>
      </c>
      <c r="Q379">
        <v>0.68066678167925421</v>
      </c>
      <c r="R379">
        <v>1.075690352888979</v>
      </c>
      <c r="S379">
        <v>0.2210039080084519</v>
      </c>
      <c r="T379">
        <v>0.17378825886905419</v>
      </c>
      <c r="U379">
        <v>4.2625965936405663</v>
      </c>
      <c r="V379">
        <v>0.11023909988438001</v>
      </c>
      <c r="W379">
        <v>3.9770982578792551</v>
      </c>
      <c r="X379">
        <v>0.23340947986871949</v>
      </c>
      <c r="Z379" t="s">
        <v>392</v>
      </c>
      <c r="AA379">
        <v>140</v>
      </c>
      <c r="AB379" t="s">
        <v>1784</v>
      </c>
      <c r="AC379" t="str">
        <f>HYPERLINK("plots/20251231112652_3FT6Y119H04_05543_B21P_N_UFLEX98_M5358A8BA201511/dpll_52084/txpa_53218.png","plot")</f>
        <v>plot</v>
      </c>
    </row>
    <row r="380" spans="1:29" x14ac:dyDescent="0.35">
      <c r="A380" t="s">
        <v>47</v>
      </c>
      <c r="B380">
        <v>52084</v>
      </c>
      <c r="C380" t="s">
        <v>52</v>
      </c>
      <c r="D380">
        <v>53219</v>
      </c>
      <c r="E380" t="s">
        <v>94</v>
      </c>
      <c r="F380">
        <v>7139</v>
      </c>
      <c r="G380">
        <v>0.30469653683802889</v>
      </c>
      <c r="H380">
        <v>3.0599322544099743E-153</v>
      </c>
      <c r="I380">
        <v>8.0591462492771778E-153</v>
      </c>
      <c r="J380">
        <v>0.3117393950695429</v>
      </c>
      <c r="K380">
        <v>1.099264358371899E-160</v>
      </c>
      <c r="L380">
        <v>3.5611950779204648E-160</v>
      </c>
      <c r="M380">
        <v>0.21079291070285691</v>
      </c>
      <c r="N380">
        <v>3.7363458697655617E-157</v>
      </c>
      <c r="O380">
        <v>1.198941364538696E-156</v>
      </c>
      <c r="P380">
        <v>9.283997956108829E-2</v>
      </c>
      <c r="Q380">
        <v>0.6165295664570184</v>
      </c>
      <c r="R380">
        <v>3.248063207401739</v>
      </c>
      <c r="S380">
        <v>0.21243867346943049</v>
      </c>
      <c r="T380">
        <v>0.1639711782300107</v>
      </c>
      <c r="U380">
        <v>4.2625965936405663</v>
      </c>
      <c r="V380">
        <v>0.11023909988438001</v>
      </c>
      <c r="W380">
        <v>5.8760800372601203</v>
      </c>
      <c r="X380">
        <v>0.2230601803474323</v>
      </c>
      <c r="Z380" t="s">
        <v>392</v>
      </c>
      <c r="AA380">
        <v>140</v>
      </c>
      <c r="AB380" t="s">
        <v>1785</v>
      </c>
      <c r="AC380" t="str">
        <f>HYPERLINK("plots/20251231112652_3FT6Y119H04_05543_B21P_N_UFLEX98_M5358A8BA201511/dpll_52084/txpa_53219.png","plot")</f>
        <v>plot</v>
      </c>
    </row>
    <row r="381" spans="1:29" x14ac:dyDescent="0.35">
      <c r="A381" t="s">
        <v>47</v>
      </c>
      <c r="B381">
        <v>52084</v>
      </c>
      <c r="C381" t="s">
        <v>52</v>
      </c>
      <c r="D381">
        <v>53220</v>
      </c>
      <c r="E381" t="s">
        <v>95</v>
      </c>
      <c r="F381">
        <v>7139</v>
      </c>
      <c r="G381">
        <v>0.24242207444146471</v>
      </c>
      <c r="H381">
        <v>5.314732561222075E-96</v>
      </c>
      <c r="I381">
        <v>8.1777523779653775E-96</v>
      </c>
      <c r="J381">
        <v>0.24374747146087941</v>
      </c>
      <c r="K381">
        <v>4.5896653057063978E-97</v>
      </c>
      <c r="L381">
        <v>8.385442558533852E-97</v>
      </c>
      <c r="M381">
        <v>0.16308492959141541</v>
      </c>
      <c r="N381">
        <v>7.3353259607303968E-95</v>
      </c>
      <c r="O381">
        <v>1.3377734755720541E-94</v>
      </c>
      <c r="P381">
        <v>5.8768462176503063E-2</v>
      </c>
      <c r="Q381">
        <v>0.60930049118675123</v>
      </c>
      <c r="R381">
        <v>3.3446698601753728</v>
      </c>
      <c r="S381">
        <v>0.26878983436003762</v>
      </c>
      <c r="T381">
        <v>0.21610392579656551</v>
      </c>
      <c r="U381">
        <v>4.2625965936405663</v>
      </c>
      <c r="V381">
        <v>0.11023909988438001</v>
      </c>
      <c r="W381">
        <v>5.9418720584115423</v>
      </c>
      <c r="X381">
        <v>0.27707352089240811</v>
      </c>
      <c r="Z381" t="s">
        <v>392</v>
      </c>
      <c r="AA381">
        <v>140</v>
      </c>
      <c r="AB381" t="s">
        <v>1786</v>
      </c>
      <c r="AC381" t="str">
        <f>HYPERLINK("plots/20251231112652_3FT6Y119H04_05543_B21P_N_UFLEX98_M5358A8BA201511/dpll_52084/txpa_53220.png","plot")</f>
        <v>plot</v>
      </c>
    </row>
    <row r="382" spans="1:29" x14ac:dyDescent="0.35">
      <c r="A382" t="s">
        <v>47</v>
      </c>
      <c r="B382">
        <v>52084</v>
      </c>
      <c r="C382" t="s">
        <v>52</v>
      </c>
      <c r="D382">
        <v>53221</v>
      </c>
      <c r="E382" t="s">
        <v>96</v>
      </c>
      <c r="F382">
        <v>7139</v>
      </c>
      <c r="G382">
        <v>0.31817472825842719</v>
      </c>
      <c r="H382">
        <v>1.142833843111153E-167</v>
      </c>
      <c r="I382">
        <v>3.4799805312754038E-167</v>
      </c>
      <c r="J382">
        <v>0.32325072878851319</v>
      </c>
      <c r="K382">
        <v>2.6710597318213831E-173</v>
      </c>
      <c r="L382">
        <v>1.0031313215062531E-172</v>
      </c>
      <c r="M382">
        <v>0.21844263935849129</v>
      </c>
      <c r="N382">
        <v>1.2890716981235879E-168</v>
      </c>
      <c r="O382">
        <v>4.7188400790516905E-168</v>
      </c>
      <c r="P382">
        <v>0.101235157702324</v>
      </c>
      <c r="Q382">
        <v>0.61849198015309048</v>
      </c>
      <c r="R382">
        <v>3.4973799701855381</v>
      </c>
      <c r="S382">
        <v>0.20314057050196019</v>
      </c>
      <c r="T382">
        <v>0.15885635767470629</v>
      </c>
      <c r="U382">
        <v>4.2625965936405663</v>
      </c>
      <c r="V382">
        <v>0.11023909988438001</v>
      </c>
      <c r="W382">
        <v>6.1337617779801104</v>
      </c>
      <c r="X382">
        <v>0.21429105809561941</v>
      </c>
      <c r="Z382" t="s">
        <v>392</v>
      </c>
      <c r="AA382">
        <v>140</v>
      </c>
      <c r="AB382" t="s">
        <v>1787</v>
      </c>
      <c r="AC382" t="str">
        <f>HYPERLINK("plots/20251231112652_3FT6Y119H04_05543_B21P_N_UFLEX98_M5358A8BA201511/dpll_52084/txpa_53221.png","plot")</f>
        <v>plot</v>
      </c>
    </row>
    <row r="383" spans="1:29" x14ac:dyDescent="0.35">
      <c r="A383" t="s">
        <v>47</v>
      </c>
      <c r="B383">
        <v>52084</v>
      </c>
      <c r="C383" t="s">
        <v>52</v>
      </c>
      <c r="D383">
        <v>53222</v>
      </c>
      <c r="E383" t="s">
        <v>97</v>
      </c>
      <c r="F383">
        <v>7139</v>
      </c>
      <c r="G383">
        <v>0.25131610337354182</v>
      </c>
      <c r="H383">
        <v>2.9005288441353781E-103</v>
      </c>
      <c r="I383">
        <v>4.774571831092975E-103</v>
      </c>
      <c r="J383">
        <v>0.24864584818074359</v>
      </c>
      <c r="K383">
        <v>4.7207106724530392E-101</v>
      </c>
      <c r="L383">
        <v>8.9472908819951049E-101</v>
      </c>
      <c r="M383">
        <v>0.1672014173567741</v>
      </c>
      <c r="N383">
        <v>1.3020833298507301E-99</v>
      </c>
      <c r="O383">
        <v>2.4632695829638821E-99</v>
      </c>
      <c r="P383">
        <v>6.3159783814860759E-2</v>
      </c>
      <c r="Q383">
        <v>0.58263158316372343</v>
      </c>
      <c r="R383">
        <v>3.5046656075038949</v>
      </c>
      <c r="S383">
        <v>0.2473498821689839</v>
      </c>
      <c r="T383">
        <v>0.19846649169409381</v>
      </c>
      <c r="U383">
        <v>4.2625965936405663</v>
      </c>
      <c r="V383">
        <v>0.11023909988438001</v>
      </c>
      <c r="W383">
        <v>5.9881890092449934</v>
      </c>
      <c r="X383">
        <v>0.25556970058824369</v>
      </c>
      <c r="Z383" t="s">
        <v>392</v>
      </c>
      <c r="AA383">
        <v>140</v>
      </c>
      <c r="AB383" t="s">
        <v>1788</v>
      </c>
      <c r="AC383" t="str">
        <f>HYPERLINK("plots/20251231112652_3FT6Y119H04_05543_B21P_N_UFLEX98_M5358A8BA201511/dpll_52084/txpa_53222.png","plot")</f>
        <v>plot</v>
      </c>
    </row>
    <row r="384" spans="1:29" x14ac:dyDescent="0.35">
      <c r="A384" t="s">
        <v>47</v>
      </c>
      <c r="B384">
        <v>52084</v>
      </c>
      <c r="C384" t="s">
        <v>52</v>
      </c>
      <c r="D384">
        <v>53223</v>
      </c>
      <c r="E384" t="s">
        <v>98</v>
      </c>
      <c r="F384">
        <v>7139</v>
      </c>
      <c r="G384">
        <v>0.33496499770262211</v>
      </c>
      <c r="H384">
        <v>1.022261252723034E-186</v>
      </c>
      <c r="I384">
        <v>4.1297725508412596E-186</v>
      </c>
      <c r="J384">
        <v>0.33004393622173989</v>
      </c>
      <c r="K384">
        <v>5.2260866117864956E-181</v>
      </c>
      <c r="L384">
        <v>2.0863196158864199E-180</v>
      </c>
      <c r="M384">
        <v>0.22378298495902529</v>
      </c>
      <c r="N384">
        <v>7.3542526861013843E-177</v>
      </c>
      <c r="O384">
        <v>2.935910324294017E-176</v>
      </c>
      <c r="P384">
        <v>0.1122015496859176</v>
      </c>
      <c r="Q384">
        <v>0.64435641001873289</v>
      </c>
      <c r="R384">
        <v>3.5067642157169279</v>
      </c>
      <c r="S384">
        <v>0.1997970889361379</v>
      </c>
      <c r="T384">
        <v>0.1573712894138197</v>
      </c>
      <c r="U384">
        <v>4.2625965936405663</v>
      </c>
      <c r="V384">
        <v>0.11023909988438001</v>
      </c>
      <c r="W384">
        <v>6.2533956541532429</v>
      </c>
      <c r="X384">
        <v>0.21206177102796309</v>
      </c>
      <c r="Z384" t="s">
        <v>392</v>
      </c>
      <c r="AA384">
        <v>140</v>
      </c>
      <c r="AB384" t="s">
        <v>1789</v>
      </c>
      <c r="AC384" t="str">
        <f>HYPERLINK("plots/20251231112652_3FT6Y119H04_05543_B21P_N_UFLEX98_M5358A8BA201511/dpll_52084/txpa_53223.png","plot")</f>
        <v>plot</v>
      </c>
    </row>
    <row r="385" spans="1:29" x14ac:dyDescent="0.35">
      <c r="A385" t="s">
        <v>47</v>
      </c>
      <c r="B385">
        <v>52084</v>
      </c>
      <c r="C385" t="s">
        <v>52</v>
      </c>
      <c r="D385">
        <v>53224</v>
      </c>
      <c r="E385" t="s">
        <v>99</v>
      </c>
      <c r="F385">
        <v>7139</v>
      </c>
      <c r="G385">
        <v>0.27920116001155698</v>
      </c>
      <c r="H385">
        <v>5.6148878381978858E-128</v>
      </c>
      <c r="I385">
        <v>1.1296619579231459E-127</v>
      </c>
      <c r="J385">
        <v>0.28990262285577911</v>
      </c>
      <c r="K385">
        <v>2.9013542799116152E-138</v>
      </c>
      <c r="L385">
        <v>7.3365916205246324E-138</v>
      </c>
      <c r="M385">
        <v>0.19663009855931629</v>
      </c>
      <c r="N385">
        <v>5.2256462249846048E-137</v>
      </c>
      <c r="O385">
        <v>1.362160738337889E-136</v>
      </c>
      <c r="P385">
        <v>7.795328775179905E-2</v>
      </c>
      <c r="Q385">
        <v>0.62658827806582007</v>
      </c>
      <c r="R385">
        <v>3.4941792092467572</v>
      </c>
      <c r="S385">
        <v>0.23754546782101951</v>
      </c>
      <c r="T385">
        <v>0.18656349262135999</v>
      </c>
      <c r="U385">
        <v>4.2625965936405663</v>
      </c>
      <c r="V385">
        <v>0.11023909988438001</v>
      </c>
      <c r="W385">
        <v>6.16507226894523</v>
      </c>
      <c r="X385">
        <v>0.24740057587590411</v>
      </c>
      <c r="Z385" t="s">
        <v>392</v>
      </c>
      <c r="AA385">
        <v>140</v>
      </c>
      <c r="AB385" t="s">
        <v>1790</v>
      </c>
      <c r="AC385" t="str">
        <f>HYPERLINK("plots/20251231112652_3FT6Y119H04_05543_B21P_N_UFLEX98_M5358A8BA201511/dpll_52084/txpa_53224.png","plot")</f>
        <v>plot</v>
      </c>
    </row>
    <row r="386" spans="1:29" x14ac:dyDescent="0.35">
      <c r="A386" t="s">
        <v>47</v>
      </c>
      <c r="B386">
        <v>52084</v>
      </c>
      <c r="C386" t="s">
        <v>52</v>
      </c>
      <c r="D386">
        <v>53225</v>
      </c>
      <c r="E386" t="s">
        <v>100</v>
      </c>
      <c r="F386">
        <v>7139</v>
      </c>
      <c r="G386">
        <v>0.29749821462951598</v>
      </c>
      <c r="H386">
        <v>7.6546527692091546E-146</v>
      </c>
      <c r="I386">
        <v>1.8524625078706639E-145</v>
      </c>
      <c r="J386">
        <v>0.29504746603848209</v>
      </c>
      <c r="K386">
        <v>2.2627100716415051E-143</v>
      </c>
      <c r="L386">
        <v>6.0698095572605448E-143</v>
      </c>
      <c r="M386">
        <v>0.20008921578710889</v>
      </c>
      <c r="N386">
        <v>8.442494691164144E-142</v>
      </c>
      <c r="O386">
        <v>2.288954443005466E-141</v>
      </c>
      <c r="P386">
        <v>8.8505187707749594E-2</v>
      </c>
      <c r="Q386">
        <v>0.63570775883122166</v>
      </c>
      <c r="R386">
        <v>3.5898581458867009</v>
      </c>
      <c r="S386">
        <v>0.22488241073502871</v>
      </c>
      <c r="T386">
        <v>0.1778553546147949</v>
      </c>
      <c r="U386">
        <v>4.2625965936405663</v>
      </c>
      <c r="V386">
        <v>0.11023909988438001</v>
      </c>
      <c r="W386">
        <v>6.2996238732315453</v>
      </c>
      <c r="X386">
        <v>0.23556393846041421</v>
      </c>
      <c r="Z386" t="s">
        <v>392</v>
      </c>
      <c r="AA386">
        <v>140</v>
      </c>
      <c r="AB386" t="s">
        <v>1791</v>
      </c>
      <c r="AC386" t="str">
        <f>HYPERLINK("plots/20251231112652_3FT6Y119H04_05543_B21P_N_UFLEX98_M5358A8BA201511/dpll_52084/txpa_53225.png","plot")</f>
        <v>plot</v>
      </c>
    </row>
    <row r="387" spans="1:29" x14ac:dyDescent="0.35">
      <c r="A387" t="s">
        <v>47</v>
      </c>
      <c r="B387">
        <v>52084</v>
      </c>
      <c r="C387" t="s">
        <v>52</v>
      </c>
      <c r="D387">
        <v>53226</v>
      </c>
      <c r="E387" t="s">
        <v>101</v>
      </c>
      <c r="F387">
        <v>7139</v>
      </c>
      <c r="G387">
        <v>0.33333830452209728</v>
      </c>
      <c r="H387">
        <v>8.0954665718587641E-185</v>
      </c>
      <c r="I387">
        <v>3.1572319630249182E-184</v>
      </c>
      <c r="J387">
        <v>0.31950108005709488</v>
      </c>
      <c r="K387">
        <v>3.9543467273151512E-169</v>
      </c>
      <c r="L387">
        <v>1.382657786723298E-168</v>
      </c>
      <c r="M387">
        <v>0.21687462872107391</v>
      </c>
      <c r="N387">
        <v>3.1091056406398997E-166</v>
      </c>
      <c r="O387">
        <v>1.1219334945227261E-165</v>
      </c>
      <c r="P387">
        <v>0.1111144252616665</v>
      </c>
      <c r="Q387">
        <v>0.68343313087425073</v>
      </c>
      <c r="R387">
        <v>2.971964340555461</v>
      </c>
      <c r="S387">
        <v>0.2130781780831402</v>
      </c>
      <c r="T387">
        <v>0.16742477802302769</v>
      </c>
      <c r="U387">
        <v>4.2625965936405663</v>
      </c>
      <c r="V387">
        <v>0.11023909988438001</v>
      </c>
      <c r="W387">
        <v>5.885164076201149</v>
      </c>
      <c r="X387">
        <v>0.22601978877512011</v>
      </c>
      <c r="Z387" t="s">
        <v>392</v>
      </c>
      <c r="AA387">
        <v>140</v>
      </c>
      <c r="AB387" t="s">
        <v>1792</v>
      </c>
      <c r="AC387" t="str">
        <f>HYPERLINK("plots/20251231112652_3FT6Y119H04_05543_B21P_N_UFLEX98_M5358A8BA201511/dpll_52084/txpa_53226.png","plot")</f>
        <v>plot</v>
      </c>
    </row>
    <row r="388" spans="1:29" x14ac:dyDescent="0.35">
      <c r="A388" t="s">
        <v>47</v>
      </c>
      <c r="B388">
        <v>52084</v>
      </c>
      <c r="C388" t="s">
        <v>52</v>
      </c>
      <c r="D388">
        <v>53227</v>
      </c>
      <c r="E388" t="s">
        <v>102</v>
      </c>
      <c r="F388">
        <v>7139</v>
      </c>
      <c r="G388">
        <v>0.31877799405742768</v>
      </c>
      <c r="H388">
        <v>2.479925913333232E-168</v>
      </c>
      <c r="I388">
        <v>7.6201359882421132E-168</v>
      </c>
      <c r="J388">
        <v>0.33349055312558312</v>
      </c>
      <c r="K388">
        <v>5.3830247970736013E-185</v>
      </c>
      <c r="L388">
        <v>2.237043911570751E-184</v>
      </c>
      <c r="M388">
        <v>0.22628615274732369</v>
      </c>
      <c r="N388">
        <v>8.5778970838598981E-181</v>
      </c>
      <c r="O388">
        <v>3.521452487058274E-180</v>
      </c>
      <c r="P388">
        <v>0.1016194094952774</v>
      </c>
      <c r="Q388">
        <v>0.63388832968358899</v>
      </c>
      <c r="R388">
        <v>5.4450033832960294</v>
      </c>
      <c r="S388">
        <v>0.20775899810301071</v>
      </c>
      <c r="T388">
        <v>0.15888298203577089</v>
      </c>
      <c r="U388">
        <v>4.2625965936405663</v>
      </c>
      <c r="V388">
        <v>0.11023909988438001</v>
      </c>
      <c r="W388">
        <v>8.1470136181538031</v>
      </c>
      <c r="X388">
        <v>0.21920985825308659</v>
      </c>
      <c r="Z388" t="s">
        <v>392</v>
      </c>
      <c r="AA388">
        <v>140</v>
      </c>
      <c r="AB388" t="s">
        <v>1793</v>
      </c>
      <c r="AC388" t="str">
        <f>HYPERLINK("plots/20251231112652_3FT6Y119H04_05543_B21P_N_UFLEX98_M5358A8BA201511/dpll_52084/txpa_53227.png","plot")</f>
        <v>plot</v>
      </c>
    </row>
    <row r="389" spans="1:29" x14ac:dyDescent="0.35">
      <c r="A389" t="s">
        <v>47</v>
      </c>
      <c r="B389">
        <v>52084</v>
      </c>
      <c r="C389" t="s">
        <v>52</v>
      </c>
      <c r="D389">
        <v>53228</v>
      </c>
      <c r="E389" t="s">
        <v>103</v>
      </c>
      <c r="F389">
        <v>7139</v>
      </c>
      <c r="G389">
        <v>0.25887430188643712</v>
      </c>
      <c r="H389">
        <v>1.1414653494631999E-109</v>
      </c>
      <c r="I389">
        <v>1.971798746772888E-109</v>
      </c>
      <c r="J389">
        <v>0.26141457574669558</v>
      </c>
      <c r="K389">
        <v>7.1820163660533524E-112</v>
      </c>
      <c r="L389">
        <v>1.4507100787207371E-111</v>
      </c>
      <c r="M389">
        <v>0.1752811215787054</v>
      </c>
      <c r="N389">
        <v>2.799285142608294E-109</v>
      </c>
      <c r="O389">
        <v>5.6543329374597807E-109</v>
      </c>
      <c r="P389">
        <v>6.701590417719018E-2</v>
      </c>
      <c r="Q389">
        <v>0.62739329295213875</v>
      </c>
      <c r="R389">
        <v>5.5565515368764302</v>
      </c>
      <c r="S389">
        <v>0.25804371786455621</v>
      </c>
      <c r="T389">
        <v>0.20658954458066731</v>
      </c>
      <c r="U389">
        <v>4.2625965936405663</v>
      </c>
      <c r="V389">
        <v>0.11023909988438001</v>
      </c>
      <c r="W389">
        <v>8.2308760502871543</v>
      </c>
      <c r="X389">
        <v>0.2671693226579186</v>
      </c>
      <c r="Z389" t="s">
        <v>392</v>
      </c>
      <c r="AA389">
        <v>140</v>
      </c>
      <c r="AB389" t="s">
        <v>1794</v>
      </c>
      <c r="AC389" t="str">
        <f>HYPERLINK("plots/20251231112652_3FT6Y119H04_05543_B21P_N_UFLEX98_M5358A8BA201511/dpll_52084/txpa_53228.png","plot")</f>
        <v>plot</v>
      </c>
    </row>
    <row r="390" spans="1:29" x14ac:dyDescent="0.35">
      <c r="A390" t="s">
        <v>47</v>
      </c>
      <c r="B390">
        <v>52084</v>
      </c>
      <c r="C390" t="s">
        <v>52</v>
      </c>
      <c r="D390">
        <v>53229</v>
      </c>
      <c r="E390" t="s">
        <v>104</v>
      </c>
      <c r="F390">
        <v>7139</v>
      </c>
      <c r="G390">
        <v>0.33646888345129727</v>
      </c>
      <c r="H390">
        <v>1.753626272932739E-188</v>
      </c>
      <c r="I390">
        <v>7.3478390113793282E-188</v>
      </c>
      <c r="J390">
        <v>0.34708197584752198</v>
      </c>
      <c r="K390">
        <v>3.1622123698461921E-201</v>
      </c>
      <c r="L390">
        <v>1.5342025564708319E-200</v>
      </c>
      <c r="M390">
        <v>0.2356010268264466</v>
      </c>
      <c r="N390">
        <v>8.259304536611543E-196</v>
      </c>
      <c r="O390">
        <v>3.9691634123810916E-195</v>
      </c>
      <c r="P390">
        <v>0.1132113095309627</v>
      </c>
      <c r="Q390">
        <v>0.64204403477920557</v>
      </c>
      <c r="R390">
        <v>5.6486284582167832</v>
      </c>
      <c r="S390">
        <v>0.1980775339977206</v>
      </c>
      <c r="T390">
        <v>0.153257946775708</v>
      </c>
      <c r="U390">
        <v>4.2625965936405663</v>
      </c>
      <c r="V390">
        <v>0.11023909988438001</v>
      </c>
      <c r="W390">
        <v>8.3854031738338701</v>
      </c>
      <c r="X390">
        <v>0.21035632107846949</v>
      </c>
      <c r="Z390" t="s">
        <v>392</v>
      </c>
      <c r="AA390">
        <v>140</v>
      </c>
      <c r="AB390" t="s">
        <v>1795</v>
      </c>
      <c r="AC390" t="str">
        <f>HYPERLINK("plots/20251231112652_3FT6Y119H04_05543_B21P_N_UFLEX98_M5358A8BA201511/dpll_52084/txpa_53229.png","plot")</f>
        <v>plot</v>
      </c>
    </row>
    <row r="391" spans="1:29" x14ac:dyDescent="0.35">
      <c r="A391" t="s">
        <v>47</v>
      </c>
      <c r="B391">
        <v>52084</v>
      </c>
      <c r="C391" t="s">
        <v>52</v>
      </c>
      <c r="D391">
        <v>53230</v>
      </c>
      <c r="E391" t="s">
        <v>105</v>
      </c>
      <c r="F391">
        <v>7139</v>
      </c>
      <c r="G391">
        <v>0.27117341652374111</v>
      </c>
      <c r="H391">
        <v>1.4807035010337711E-120</v>
      </c>
      <c r="I391">
        <v>2.8064174767256899E-120</v>
      </c>
      <c r="J391">
        <v>0.26928757322511993</v>
      </c>
      <c r="K391">
        <v>7.5421913063283088E-119</v>
      </c>
      <c r="L391">
        <v>1.616867227191735E-118</v>
      </c>
      <c r="M391">
        <v>0.18157366768064001</v>
      </c>
      <c r="N391">
        <v>4.0146415496439383E-117</v>
      </c>
      <c r="O391">
        <v>8.6613755985935159E-117</v>
      </c>
      <c r="P391">
        <v>7.3535021829158359E-2</v>
      </c>
      <c r="Q391">
        <v>0.60748990213059428</v>
      </c>
      <c r="R391">
        <v>5.6869716291760897</v>
      </c>
      <c r="S391">
        <v>0.237690428371438</v>
      </c>
      <c r="T391">
        <v>0.18988719887748329</v>
      </c>
      <c r="U391">
        <v>4.2625965936405663</v>
      </c>
      <c r="V391">
        <v>0.11023909988438001</v>
      </c>
      <c r="W391">
        <v>8.2764560166690018</v>
      </c>
      <c r="X391">
        <v>0.24696056441750719</v>
      </c>
      <c r="Z391" t="s">
        <v>392</v>
      </c>
      <c r="AA391">
        <v>140</v>
      </c>
      <c r="AB391" t="s">
        <v>1796</v>
      </c>
      <c r="AC391" t="str">
        <f>HYPERLINK("plots/20251231112652_3FT6Y119H04_05543_B21P_N_UFLEX98_M5358A8BA201511/dpll_52084/txpa_53230.png","plot")</f>
        <v>plot</v>
      </c>
    </row>
    <row r="392" spans="1:29" x14ac:dyDescent="0.35">
      <c r="A392" t="s">
        <v>47</v>
      </c>
      <c r="B392">
        <v>52084</v>
      </c>
      <c r="C392" t="s">
        <v>52</v>
      </c>
      <c r="D392">
        <v>53231</v>
      </c>
      <c r="E392" t="s">
        <v>106</v>
      </c>
      <c r="F392">
        <v>7139</v>
      </c>
      <c r="G392">
        <v>0.35295689053775942</v>
      </c>
      <c r="H392">
        <v>1.694375198230313E-208</v>
      </c>
      <c r="I392">
        <v>1.0874028170921121E-207</v>
      </c>
      <c r="J392">
        <v>0.34939304211098982</v>
      </c>
      <c r="K392">
        <v>4.5533122195720261E-204</v>
      </c>
      <c r="L392">
        <v>2.3318477730535531E-203</v>
      </c>
      <c r="M392">
        <v>0.23790638301152051</v>
      </c>
      <c r="N392">
        <v>1.279145127387733E-199</v>
      </c>
      <c r="O392">
        <v>6.4210552434215914E-199</v>
      </c>
      <c r="P392">
        <v>0.1245785665780839</v>
      </c>
      <c r="Q392">
        <v>0.66817283995689203</v>
      </c>
      <c r="R392">
        <v>5.6557700475289181</v>
      </c>
      <c r="S392">
        <v>0.19524547644339821</v>
      </c>
      <c r="T392">
        <v>0.15280855256088521</v>
      </c>
      <c r="U392">
        <v>4.2625965936405663</v>
      </c>
      <c r="V392">
        <v>0.11023909988438001</v>
      </c>
      <c r="W392">
        <v>8.50392131909231</v>
      </c>
      <c r="X392">
        <v>0.20869056368842209</v>
      </c>
      <c r="Z392" t="s">
        <v>392</v>
      </c>
      <c r="AA392">
        <v>140</v>
      </c>
      <c r="AB392" t="s">
        <v>1797</v>
      </c>
      <c r="AC392" t="str">
        <f>HYPERLINK("plots/20251231112652_3FT6Y119H04_05543_B21P_N_UFLEX98_M5358A8BA201511/dpll_52084/txpa_53231.png","plot")</f>
        <v>plot</v>
      </c>
    </row>
    <row r="393" spans="1:29" x14ac:dyDescent="0.35">
      <c r="A393" t="s">
        <v>47</v>
      </c>
      <c r="B393">
        <v>52084</v>
      </c>
      <c r="C393" t="s">
        <v>52</v>
      </c>
      <c r="D393">
        <v>53232</v>
      </c>
      <c r="E393" t="s">
        <v>107</v>
      </c>
      <c r="F393">
        <v>7139</v>
      </c>
      <c r="G393">
        <v>0.30069202785660021</v>
      </c>
      <c r="H393">
        <v>4.2415986568046246E-149</v>
      </c>
      <c r="I393">
        <v>1.064599266831656E-148</v>
      </c>
      <c r="J393">
        <v>0.31139028138437419</v>
      </c>
      <c r="K393">
        <v>2.600023381661063E-160</v>
      </c>
      <c r="L393">
        <v>8.3431130031782192E-160</v>
      </c>
      <c r="M393">
        <v>0.21194771206734539</v>
      </c>
      <c r="N393">
        <v>7.362644632611137E-159</v>
      </c>
      <c r="O393">
        <v>2.4239356030739261E-158</v>
      </c>
      <c r="P393">
        <v>9.0415695616514441E-2</v>
      </c>
      <c r="Q393">
        <v>0.64901464115523233</v>
      </c>
      <c r="R393">
        <v>5.6558547660057457</v>
      </c>
      <c r="S393">
        <v>0.2269129586014553</v>
      </c>
      <c r="T393">
        <v>0.17780934313249711</v>
      </c>
      <c r="U393">
        <v>4.2625965936405663</v>
      </c>
      <c r="V393">
        <v>0.11023909988438001</v>
      </c>
      <c r="W393">
        <v>8.4223423646168936</v>
      </c>
      <c r="X393">
        <v>0.23794042816079369</v>
      </c>
      <c r="Z393" t="s">
        <v>392</v>
      </c>
      <c r="AA393">
        <v>140</v>
      </c>
      <c r="AB393" t="s">
        <v>1798</v>
      </c>
      <c r="AC393" t="str">
        <f>HYPERLINK("plots/20251231112652_3FT6Y119H04_05543_B21P_N_UFLEX98_M5358A8BA201511/dpll_52084/txpa_53232.png","plot")</f>
        <v>plot</v>
      </c>
    </row>
    <row r="394" spans="1:29" x14ac:dyDescent="0.35">
      <c r="A394" t="s">
        <v>47</v>
      </c>
      <c r="B394">
        <v>52084</v>
      </c>
      <c r="C394" t="s">
        <v>52</v>
      </c>
      <c r="D394">
        <v>53233</v>
      </c>
      <c r="E394" t="s">
        <v>108</v>
      </c>
      <c r="F394">
        <v>7139</v>
      </c>
      <c r="G394">
        <v>0.31814949317194607</v>
      </c>
      <c r="H394">
        <v>1.218165208446407E-167</v>
      </c>
      <c r="I394">
        <v>3.6982620400139421E-167</v>
      </c>
      <c r="J394">
        <v>0.31578694756443271</v>
      </c>
      <c r="K394">
        <v>4.6697696333721985E-165</v>
      </c>
      <c r="L394">
        <v>1.599711624405206E-164</v>
      </c>
      <c r="M394">
        <v>0.21484621690224859</v>
      </c>
      <c r="N394">
        <v>3.5362543044788917E-163</v>
      </c>
      <c r="O394">
        <v>1.2114060353856749E-162</v>
      </c>
      <c r="P394">
        <v>0.10121910000556621</v>
      </c>
      <c r="Q394">
        <v>0.65727558739192071</v>
      </c>
      <c r="R394">
        <v>5.7406915795201829</v>
      </c>
      <c r="S394">
        <v>0.21589790241453999</v>
      </c>
      <c r="T394">
        <v>0.1696586151949469</v>
      </c>
      <c r="U394">
        <v>4.2625965936405663</v>
      </c>
      <c r="V394">
        <v>0.11023909988438001</v>
      </c>
      <c r="W394">
        <v>8.5423922594200867</v>
      </c>
      <c r="X394">
        <v>0.22774661184483599</v>
      </c>
      <c r="Z394" t="s">
        <v>392</v>
      </c>
      <c r="AA394">
        <v>140</v>
      </c>
      <c r="AB394" t="s">
        <v>1799</v>
      </c>
      <c r="AC394" t="str">
        <f>HYPERLINK("plots/20251231112652_3FT6Y119H04_05543_B21P_N_UFLEX98_M5358A8BA201511/dpll_52084/txpa_53233.png","plot")</f>
        <v>plot</v>
      </c>
    </row>
    <row r="395" spans="1:29" x14ac:dyDescent="0.35">
      <c r="A395" t="s">
        <v>47</v>
      </c>
      <c r="B395">
        <v>52084</v>
      </c>
      <c r="C395" t="s">
        <v>52</v>
      </c>
      <c r="D395">
        <v>53234</v>
      </c>
      <c r="E395" t="s">
        <v>109</v>
      </c>
      <c r="F395">
        <v>7139</v>
      </c>
      <c r="G395">
        <v>0.34793448175092689</v>
      </c>
      <c r="H395">
        <v>2.848091093903118E-202</v>
      </c>
      <c r="I395">
        <v>1.5867936094603089E-201</v>
      </c>
      <c r="J395">
        <v>0.33616521864029641</v>
      </c>
      <c r="K395">
        <v>3.9925477174585957E-188</v>
      </c>
      <c r="L395">
        <v>1.7601927763056591E-187</v>
      </c>
      <c r="M395">
        <v>0.22902801492588951</v>
      </c>
      <c r="N395">
        <v>3.7665690123069842E-185</v>
      </c>
      <c r="O395">
        <v>1.6321799053330261E-184</v>
      </c>
      <c r="P395">
        <v>0.1210584035912861</v>
      </c>
      <c r="Q395">
        <v>0.69313309215901486</v>
      </c>
      <c r="R395">
        <v>5.2123675623561958</v>
      </c>
      <c r="S395">
        <v>0.20587537866620151</v>
      </c>
      <c r="T395">
        <v>0.16092564390287981</v>
      </c>
      <c r="U395">
        <v>4.2625965936405663</v>
      </c>
      <c r="V395">
        <v>0.11023909988438001</v>
      </c>
      <c r="W395">
        <v>8.166914319932765</v>
      </c>
      <c r="X395">
        <v>0.21961136991988661</v>
      </c>
      <c r="Z395" t="s">
        <v>392</v>
      </c>
      <c r="AA395">
        <v>140</v>
      </c>
      <c r="AB395" t="s">
        <v>1800</v>
      </c>
      <c r="AC395" t="str">
        <f>HYPERLINK("plots/20251231112652_3FT6Y119H04_05543_B21P_N_UFLEX98_M5358A8BA201511/dpll_52084/txpa_53234.png","plot")</f>
        <v>plot</v>
      </c>
    </row>
    <row r="396" spans="1:29" x14ac:dyDescent="0.35">
      <c r="A396" t="s">
        <v>47</v>
      </c>
      <c r="B396">
        <v>52084</v>
      </c>
      <c r="C396" t="s">
        <v>52</v>
      </c>
      <c r="D396">
        <v>53235</v>
      </c>
      <c r="E396" t="s">
        <v>110</v>
      </c>
      <c r="F396">
        <v>7139</v>
      </c>
      <c r="G396">
        <v>0.32409283165432229</v>
      </c>
      <c r="H396">
        <v>3.0329157861515629E-174</v>
      </c>
      <c r="I396">
        <v>1.018336624886651E-173</v>
      </c>
      <c r="J396">
        <v>0.3430249719848053</v>
      </c>
      <c r="K396">
        <v>2.6950604583305428E-196</v>
      </c>
      <c r="L396">
        <v>1.219996118190701E-195</v>
      </c>
      <c r="M396">
        <v>0.23321085467278119</v>
      </c>
      <c r="N396">
        <v>6.7205350937829902E-192</v>
      </c>
      <c r="O396">
        <v>3.0287211489315352E-191</v>
      </c>
      <c r="P396">
        <v>0.1050361635297169</v>
      </c>
      <c r="Q396">
        <v>0.64408290454787154</v>
      </c>
      <c r="R396">
        <v>6.3934275678200141</v>
      </c>
      <c r="S396">
        <v>0.207243219091548</v>
      </c>
      <c r="T396">
        <v>0.15739587669569829</v>
      </c>
      <c r="U396">
        <v>4.2625965936405663</v>
      </c>
      <c r="V396">
        <v>0.11023909988438001</v>
      </c>
      <c r="W396">
        <v>9.1388931627678929</v>
      </c>
      <c r="X396">
        <v>0.21908266000775489</v>
      </c>
      <c r="Z396" t="s">
        <v>392</v>
      </c>
      <c r="AA396">
        <v>140</v>
      </c>
      <c r="AB396" t="s">
        <v>1801</v>
      </c>
      <c r="AC396" t="str">
        <f>HYPERLINK("plots/20251231112652_3FT6Y119H04_05543_B21P_N_UFLEX98_M5358A8BA201511/dpll_52084/txpa_53235.png","plot")</f>
        <v>plot</v>
      </c>
    </row>
    <row r="397" spans="1:29" x14ac:dyDescent="0.35">
      <c r="A397" t="s">
        <v>47</v>
      </c>
      <c r="B397">
        <v>52084</v>
      </c>
      <c r="C397" t="s">
        <v>52</v>
      </c>
      <c r="D397">
        <v>53236</v>
      </c>
      <c r="E397" t="s">
        <v>111</v>
      </c>
      <c r="F397">
        <v>7139</v>
      </c>
      <c r="G397">
        <v>0.26672120260206178</v>
      </c>
      <c r="H397">
        <v>1.5083136710547681E-116</v>
      </c>
      <c r="I397">
        <v>2.7757351405617678E-116</v>
      </c>
      <c r="J397">
        <v>0.26983962969172942</v>
      </c>
      <c r="K397">
        <v>2.394468135837099E-119</v>
      </c>
      <c r="L397">
        <v>5.144048071480547E-119</v>
      </c>
      <c r="M397">
        <v>0.18113884530518759</v>
      </c>
      <c r="N397">
        <v>1.426994544799193E-116</v>
      </c>
      <c r="O397">
        <v>3.0526845325451092E-116</v>
      </c>
      <c r="P397">
        <v>7.1140199917490113E-2</v>
      </c>
      <c r="Q397">
        <v>0.63824939882196696</v>
      </c>
      <c r="R397">
        <v>6.5124649324370498</v>
      </c>
      <c r="S397">
        <v>0.25422203852870862</v>
      </c>
      <c r="T397">
        <v>0.20293424717040659</v>
      </c>
      <c r="U397">
        <v>4.2625965936405663</v>
      </c>
      <c r="V397">
        <v>0.11023909988438001</v>
      </c>
      <c r="W397">
        <v>9.2330646457487049</v>
      </c>
      <c r="X397">
        <v>0.26379619820796518</v>
      </c>
      <c r="Z397" t="s">
        <v>392</v>
      </c>
      <c r="AA397">
        <v>140</v>
      </c>
      <c r="AB397" t="s">
        <v>1802</v>
      </c>
      <c r="AC397" t="str">
        <f>HYPERLINK("plots/20251231112652_3FT6Y119H04_05543_B21P_N_UFLEX98_M5358A8BA201511/dpll_52084/txpa_53236.png","plot")</f>
        <v>plot</v>
      </c>
    </row>
    <row r="398" spans="1:29" x14ac:dyDescent="0.35">
      <c r="A398" t="s">
        <v>47</v>
      </c>
      <c r="B398">
        <v>52084</v>
      </c>
      <c r="C398" t="s">
        <v>52</v>
      </c>
      <c r="D398">
        <v>53237</v>
      </c>
      <c r="E398" t="s">
        <v>112</v>
      </c>
      <c r="F398">
        <v>7139</v>
      </c>
      <c r="G398">
        <v>0.34437551586261189</v>
      </c>
      <c r="H398">
        <v>6.2715793791463117E-198</v>
      </c>
      <c r="I398">
        <v>3.2118088335628092E-197</v>
      </c>
      <c r="J398">
        <v>0.35808441085681669</v>
      </c>
      <c r="K398">
        <v>5.6871423390411813E-215</v>
      </c>
      <c r="L398">
        <v>3.6966425203767681E-214</v>
      </c>
      <c r="M398">
        <v>0.24366035755999541</v>
      </c>
      <c r="N398">
        <v>2.7326247288990272E-209</v>
      </c>
      <c r="O398">
        <v>1.639574837339416E-208</v>
      </c>
      <c r="P398">
        <v>0.1185944959256401</v>
      </c>
      <c r="Q398">
        <v>0.65668118545021503</v>
      </c>
      <c r="R398">
        <v>6.5681626898360488</v>
      </c>
      <c r="S398">
        <v>0.1973401369227083</v>
      </c>
      <c r="T398">
        <v>0.15155738986150311</v>
      </c>
      <c r="U398">
        <v>4.2625965936405663</v>
      </c>
      <c r="V398">
        <v>0.11023909988438001</v>
      </c>
      <c r="W398">
        <v>9.3673296740439849</v>
      </c>
      <c r="X398">
        <v>0.21021222317070881</v>
      </c>
      <c r="Z398" t="s">
        <v>392</v>
      </c>
      <c r="AA398">
        <v>140</v>
      </c>
      <c r="AB398" t="s">
        <v>1803</v>
      </c>
      <c r="AC398" t="str">
        <f>HYPERLINK("plots/20251231112652_3FT6Y119H04_05543_B21P_N_UFLEX98_M5358A8BA201511/dpll_52084/txpa_53237.png","plot")</f>
        <v>plot</v>
      </c>
    </row>
    <row r="399" spans="1:29" x14ac:dyDescent="0.35">
      <c r="A399" t="s">
        <v>47</v>
      </c>
      <c r="B399">
        <v>52084</v>
      </c>
      <c r="C399" t="s">
        <v>52</v>
      </c>
      <c r="D399">
        <v>53238</v>
      </c>
      <c r="E399" t="s">
        <v>113</v>
      </c>
      <c r="F399">
        <v>7139</v>
      </c>
      <c r="G399">
        <v>0.28071696923505107</v>
      </c>
      <c r="H399">
        <v>2.0883041671844112E-129</v>
      </c>
      <c r="I399">
        <v>4.2865190800101063E-129</v>
      </c>
      <c r="J399">
        <v>0.27931226786477348</v>
      </c>
      <c r="K399">
        <v>4.41430888508339E-128</v>
      </c>
      <c r="L399">
        <v>1.045819908755738E-127</v>
      </c>
      <c r="M399">
        <v>0.18859449911470971</v>
      </c>
      <c r="N399">
        <v>3.3638873882012107E-126</v>
      </c>
      <c r="O399">
        <v>8.1213852658000667E-126</v>
      </c>
      <c r="P399">
        <v>7.880201681651261E-2</v>
      </c>
      <c r="Q399">
        <v>0.62172746082487262</v>
      </c>
      <c r="R399">
        <v>6.6282705898062044</v>
      </c>
      <c r="S399">
        <v>0.23432202518177059</v>
      </c>
      <c r="T399">
        <v>0.186666877816871</v>
      </c>
      <c r="U399">
        <v>4.2625965936405663</v>
      </c>
      <c r="V399">
        <v>0.11023909988438001</v>
      </c>
      <c r="W399">
        <v>9.2784439464911053</v>
      </c>
      <c r="X399">
        <v>0.2441557980677185</v>
      </c>
      <c r="Z399" t="s">
        <v>392</v>
      </c>
      <c r="AA399">
        <v>140</v>
      </c>
      <c r="AB399" t="s">
        <v>1804</v>
      </c>
      <c r="AC399" t="str">
        <f>HYPERLINK("plots/20251231112652_3FT6Y119H04_05543_B21P_N_UFLEX98_M5358A8BA201511/dpll_52084/txpa_53238.png","plot")</f>
        <v>plot</v>
      </c>
    </row>
    <row r="400" spans="1:29" x14ac:dyDescent="0.35">
      <c r="A400" t="s">
        <v>47</v>
      </c>
      <c r="B400">
        <v>52084</v>
      </c>
      <c r="C400" t="s">
        <v>52</v>
      </c>
      <c r="D400">
        <v>53239</v>
      </c>
      <c r="E400" t="s">
        <v>114</v>
      </c>
      <c r="F400">
        <v>7139</v>
      </c>
      <c r="G400">
        <v>0.35963335092615462</v>
      </c>
      <c r="H400">
        <v>5.962919659900487E-217</v>
      </c>
      <c r="I400">
        <v>4.5461658158940549E-216</v>
      </c>
      <c r="J400">
        <v>0.35712266080531951</v>
      </c>
      <c r="K400">
        <v>9.5145536059313205E-214</v>
      </c>
      <c r="L400">
        <v>5.9554057755644194E-213</v>
      </c>
      <c r="M400">
        <v>0.243656643303514</v>
      </c>
      <c r="N400">
        <v>2.7728157943208108E-209</v>
      </c>
      <c r="O400">
        <v>1.6539030679066491E-208</v>
      </c>
      <c r="P400">
        <v>0.1293361470983746</v>
      </c>
      <c r="Q400">
        <v>0.68050062995377214</v>
      </c>
      <c r="R400">
        <v>6.5860370079533812</v>
      </c>
      <c r="S400">
        <v>0.19462519847953749</v>
      </c>
      <c r="T400">
        <v>0.1516297112283165</v>
      </c>
      <c r="U400">
        <v>4.2625965936405663</v>
      </c>
      <c r="V400">
        <v>0.11023909988438001</v>
      </c>
      <c r="W400">
        <v>9.4867366751645896</v>
      </c>
      <c r="X400">
        <v>0.20859516149897139</v>
      </c>
      <c r="Z400" t="s">
        <v>392</v>
      </c>
      <c r="AA400">
        <v>140</v>
      </c>
      <c r="AB400" t="s">
        <v>1805</v>
      </c>
      <c r="AC400" t="str">
        <f>HYPERLINK("plots/20251231112652_3FT6Y119H04_05543_B21P_N_UFLEX98_M5358A8BA201511/dpll_52084/txpa_53239.png","plot")</f>
        <v>plot</v>
      </c>
    </row>
    <row r="401" spans="1:29" x14ac:dyDescent="0.35">
      <c r="A401" t="s">
        <v>47</v>
      </c>
      <c r="B401">
        <v>52084</v>
      </c>
      <c r="C401" t="s">
        <v>52</v>
      </c>
      <c r="D401">
        <v>53240</v>
      </c>
      <c r="E401" t="s">
        <v>115</v>
      </c>
      <c r="F401">
        <v>7139</v>
      </c>
      <c r="G401">
        <v>0.31066741278670862</v>
      </c>
      <c r="H401">
        <v>1.5399373516492031E-159</v>
      </c>
      <c r="I401">
        <v>4.2547587863005222E-159</v>
      </c>
      <c r="J401">
        <v>0.32139555893260108</v>
      </c>
      <c r="K401">
        <v>3.1440211934209122E-171</v>
      </c>
      <c r="L401">
        <v>1.134532914636585E-170</v>
      </c>
      <c r="M401">
        <v>0.21916761845774191</v>
      </c>
      <c r="N401">
        <v>1.003001329063594E-169</v>
      </c>
      <c r="O401">
        <v>3.739129954670899E-169</v>
      </c>
      <c r="P401">
        <v>9.651424136758717E-2</v>
      </c>
      <c r="Q401">
        <v>0.66207462984296916</v>
      </c>
      <c r="R401">
        <v>6.585616131399906</v>
      </c>
      <c r="S401">
        <v>0.22329404481190859</v>
      </c>
      <c r="T401">
        <v>0.17454372221245679</v>
      </c>
      <c r="U401">
        <v>4.2625965936405663</v>
      </c>
      <c r="V401">
        <v>0.11023909988438001</v>
      </c>
      <c r="W401">
        <v>9.4077731933043847</v>
      </c>
      <c r="X401">
        <v>0.23493455781370459</v>
      </c>
      <c r="Z401" t="s">
        <v>392</v>
      </c>
      <c r="AA401">
        <v>140</v>
      </c>
      <c r="AB401" t="s">
        <v>1806</v>
      </c>
      <c r="AC401" t="str">
        <f>HYPERLINK("plots/20251231112652_3FT6Y119H04_05543_B21P_N_UFLEX98_M5358A8BA201511/dpll_52084/txpa_53240.png","plot")</f>
        <v>plot</v>
      </c>
    </row>
    <row r="402" spans="1:29" x14ac:dyDescent="0.35">
      <c r="A402" t="s">
        <v>47</v>
      </c>
      <c r="B402">
        <v>52084</v>
      </c>
      <c r="C402" t="s">
        <v>52</v>
      </c>
      <c r="D402">
        <v>53241</v>
      </c>
      <c r="E402" t="s">
        <v>116</v>
      </c>
      <c r="F402">
        <v>7139</v>
      </c>
      <c r="G402">
        <v>0.32764209821705231</v>
      </c>
      <c r="H402">
        <v>2.9261485896599593E-178</v>
      </c>
      <c r="I402">
        <v>1.0231429896259299E-177</v>
      </c>
      <c r="J402">
        <v>0.32534735986150259</v>
      </c>
      <c r="K402">
        <v>1.1713419392460901E-175</v>
      </c>
      <c r="L402">
        <v>4.4651907007350928E-175</v>
      </c>
      <c r="M402">
        <v>0.22179354658248729</v>
      </c>
      <c r="N402">
        <v>9.1089376694861391E-174</v>
      </c>
      <c r="O402">
        <v>3.5119630406307783E-173</v>
      </c>
      <c r="P402">
        <v>0.10734934452407251</v>
      </c>
      <c r="Q402">
        <v>0.66993011864384822</v>
      </c>
      <c r="R402">
        <v>6.6646084261161374</v>
      </c>
      <c r="S402">
        <v>0.21294909962307451</v>
      </c>
      <c r="T402">
        <v>0.16658622376554719</v>
      </c>
      <c r="U402">
        <v>4.2625965936405663</v>
      </c>
      <c r="V402">
        <v>0.11023909988438001</v>
      </c>
      <c r="W402">
        <v>9.5202502678246255</v>
      </c>
      <c r="X402">
        <v>0.22540599534254249</v>
      </c>
      <c r="Z402" t="s">
        <v>392</v>
      </c>
      <c r="AA402">
        <v>140</v>
      </c>
      <c r="AB402" t="s">
        <v>1807</v>
      </c>
      <c r="AC402" t="str">
        <f>HYPERLINK("plots/20251231112652_3FT6Y119H04_05543_B21P_N_UFLEX98_M5358A8BA201511/dpll_52084/txpa_53241.png","plot")</f>
        <v>plot</v>
      </c>
    </row>
    <row r="403" spans="1:29" x14ac:dyDescent="0.35">
      <c r="A403" t="s">
        <v>47</v>
      </c>
      <c r="B403">
        <v>52084</v>
      </c>
      <c r="C403" t="s">
        <v>52</v>
      </c>
      <c r="D403">
        <v>53242</v>
      </c>
      <c r="E403" t="s">
        <v>117</v>
      </c>
      <c r="F403">
        <v>7139</v>
      </c>
      <c r="G403">
        <v>0.3541891177302563</v>
      </c>
      <c r="H403">
        <v>4.8320713171373542E-210</v>
      </c>
      <c r="I403">
        <v>3.2235002076166288E-209</v>
      </c>
      <c r="J403">
        <v>0.34331418847103079</v>
      </c>
      <c r="K403">
        <v>1.2064428080770831E-196</v>
      </c>
      <c r="L403">
        <v>5.5105090422980277E-196</v>
      </c>
      <c r="M403">
        <v>0.23431733665638119</v>
      </c>
      <c r="N403">
        <v>1.052340732231839E-193</v>
      </c>
      <c r="O403">
        <v>4.917389412364448E-193</v>
      </c>
      <c r="P403">
        <v>0.12544993111853739</v>
      </c>
      <c r="Q403">
        <v>0.7008856248029891</v>
      </c>
      <c r="R403">
        <v>6.1767731143303566</v>
      </c>
      <c r="S403">
        <v>0.20399030043525751</v>
      </c>
      <c r="T403">
        <v>0.1588318793364836</v>
      </c>
      <c r="U403">
        <v>4.2625965936405663</v>
      </c>
      <c r="V403">
        <v>0.11023909988438001</v>
      </c>
      <c r="W403">
        <v>9.1643657911472189</v>
      </c>
      <c r="X403">
        <v>0.21814617257390281</v>
      </c>
      <c r="Z403" t="s">
        <v>392</v>
      </c>
      <c r="AA403">
        <v>140</v>
      </c>
      <c r="AB403" t="s">
        <v>1808</v>
      </c>
      <c r="AC403" t="str">
        <f>HYPERLINK("plots/20251231112652_3FT6Y119H04_05543_B21P_N_UFLEX98_M5358A8BA201511/dpll_52084/txpa_53242.png","plot")</f>
        <v>plot</v>
      </c>
    </row>
    <row r="404" spans="1:29" x14ac:dyDescent="0.35">
      <c r="A404" t="s">
        <v>47</v>
      </c>
      <c r="B404">
        <v>52084</v>
      </c>
      <c r="C404" t="s">
        <v>52</v>
      </c>
      <c r="D404">
        <v>53243</v>
      </c>
      <c r="E404" t="s">
        <v>118</v>
      </c>
      <c r="F404">
        <v>7139</v>
      </c>
      <c r="G404">
        <v>0.33006056751359247</v>
      </c>
      <c r="H404">
        <v>5.0010440605268382E-181</v>
      </c>
      <c r="I404">
        <v>1.817583755331259E-180</v>
      </c>
      <c r="J404">
        <v>0.35284125351125722</v>
      </c>
      <c r="K404">
        <v>2.3639176138945498E-208</v>
      </c>
      <c r="L404">
        <v>1.2956824110751751E-207</v>
      </c>
      <c r="M404">
        <v>0.24045621950003179</v>
      </c>
      <c r="N404">
        <v>7.0852683893836211E-204</v>
      </c>
      <c r="O404">
        <v>3.8013027231931169E-203</v>
      </c>
      <c r="P404">
        <v>0.1089399782273948</v>
      </c>
      <c r="Q404">
        <v>0.65930742737799797</v>
      </c>
      <c r="R404">
        <v>7.2848623179291208</v>
      </c>
      <c r="S404">
        <v>0.2078514435610658</v>
      </c>
      <c r="T404">
        <v>0.1567638634245139</v>
      </c>
      <c r="U404">
        <v>4.2625965936405663</v>
      </c>
      <c r="V404">
        <v>0.11023909988438001</v>
      </c>
      <c r="W404">
        <v>10.0952239120325</v>
      </c>
      <c r="X404">
        <v>0.22020642419892711</v>
      </c>
      <c r="Z404" t="s">
        <v>392</v>
      </c>
      <c r="AA404">
        <v>140</v>
      </c>
      <c r="AB404" t="s">
        <v>1809</v>
      </c>
      <c r="AC404" t="str">
        <f>HYPERLINK("plots/20251231112652_3FT6Y119H04_05543_B21P_N_UFLEX98_M5358A8BA201511/dpll_52084/txpa_53243.png","plot")</f>
        <v>plot</v>
      </c>
    </row>
    <row r="405" spans="1:29" x14ac:dyDescent="0.35">
      <c r="A405" t="s">
        <v>47</v>
      </c>
      <c r="B405">
        <v>52084</v>
      </c>
      <c r="C405" t="s">
        <v>52</v>
      </c>
      <c r="D405">
        <v>53244</v>
      </c>
      <c r="E405" t="s">
        <v>119</v>
      </c>
      <c r="F405">
        <v>7139</v>
      </c>
      <c r="G405">
        <v>0.27587429353610521</v>
      </c>
      <c r="H405">
        <v>7.1664006764594317E-125</v>
      </c>
      <c r="I405">
        <v>1.389432177042039E-124</v>
      </c>
      <c r="J405">
        <v>0.27965358538738622</v>
      </c>
      <c r="K405">
        <v>2.1067234174061489E-128</v>
      </c>
      <c r="L405">
        <v>5.0145951766428059E-128</v>
      </c>
      <c r="M405">
        <v>0.1880020127370475</v>
      </c>
      <c r="N405">
        <v>2.023382998478334E-125</v>
      </c>
      <c r="O405">
        <v>4.7937157954603527E-125</v>
      </c>
      <c r="P405">
        <v>7.6106625834045108E-2</v>
      </c>
      <c r="Q405">
        <v>0.65462375340036194</v>
      </c>
      <c r="R405">
        <v>7.4085537468926699</v>
      </c>
      <c r="S405">
        <v>0.25141818765623769</v>
      </c>
      <c r="T405">
        <v>0.20005317232137801</v>
      </c>
      <c r="U405">
        <v>4.2625965936405663</v>
      </c>
      <c r="V405">
        <v>0.11023909988438001</v>
      </c>
      <c r="W405">
        <v>10.19895072825325</v>
      </c>
      <c r="X405">
        <v>0.26158701636455889</v>
      </c>
      <c r="Z405" t="s">
        <v>392</v>
      </c>
      <c r="AA405">
        <v>140</v>
      </c>
      <c r="AB405" t="s">
        <v>1810</v>
      </c>
      <c r="AC405" t="str">
        <f>HYPERLINK("plots/20251231112652_3FT6Y119H04_05543_B21P_N_UFLEX98_M5358A8BA201511/dpll_52084/txpa_53244.png","plot")</f>
        <v>plot</v>
      </c>
    </row>
    <row r="406" spans="1:29" x14ac:dyDescent="0.35">
      <c r="A406" t="s">
        <v>47</v>
      </c>
      <c r="B406">
        <v>52084</v>
      </c>
      <c r="C406" t="s">
        <v>52</v>
      </c>
      <c r="D406">
        <v>53245</v>
      </c>
      <c r="E406" t="s">
        <v>120</v>
      </c>
      <c r="F406">
        <v>7139</v>
      </c>
      <c r="G406">
        <v>0.35222729299928113</v>
      </c>
      <c r="H406">
        <v>1.3818843078340429E-207</v>
      </c>
      <c r="I406">
        <v>8.5440895618519462E-207</v>
      </c>
      <c r="J406">
        <v>0.36856106634215802</v>
      </c>
      <c r="K406">
        <v>1.41073582779866E-228</v>
      </c>
      <c r="L406">
        <v>1.2331776977481391E-227</v>
      </c>
      <c r="M406">
        <v>0.25158943667454042</v>
      </c>
      <c r="N406">
        <v>5.4160729042958932E-223</v>
      </c>
      <c r="O406">
        <v>4.6150402730722991E-222</v>
      </c>
      <c r="P406">
        <v>0.12406406593360141</v>
      </c>
      <c r="Q406">
        <v>0.6749762960328709</v>
      </c>
      <c r="R406">
        <v>7.4353930129456884</v>
      </c>
      <c r="S406">
        <v>0.19770011741584831</v>
      </c>
      <c r="T406">
        <v>0.15073092450350639</v>
      </c>
      <c r="U406">
        <v>4.2625965936405663</v>
      </c>
      <c r="V406">
        <v>0.11023909988438001</v>
      </c>
      <c r="W406">
        <v>10.312544673203529</v>
      </c>
      <c r="X406">
        <v>0.21125216812232769</v>
      </c>
      <c r="Z406" t="s">
        <v>392</v>
      </c>
      <c r="AA406">
        <v>140</v>
      </c>
      <c r="AB406" t="s">
        <v>1811</v>
      </c>
      <c r="AC406" t="str">
        <f>HYPERLINK("plots/20251231112652_3FT6Y119H04_05543_B21P_N_UFLEX98_M5358A8BA201511/dpll_52084/txpa_53245.png","plot")</f>
        <v>plot</v>
      </c>
    </row>
    <row r="407" spans="1:29" x14ac:dyDescent="0.35">
      <c r="A407" t="s">
        <v>47</v>
      </c>
      <c r="B407">
        <v>52084</v>
      </c>
      <c r="C407" t="s">
        <v>52</v>
      </c>
      <c r="D407">
        <v>53246</v>
      </c>
      <c r="E407" t="s">
        <v>121</v>
      </c>
      <c r="F407">
        <v>7139</v>
      </c>
      <c r="G407">
        <v>0.29137029710972889</v>
      </c>
      <c r="H407">
        <v>1.038201327010054E-139</v>
      </c>
      <c r="I407">
        <v>2.3290622690004301E-139</v>
      </c>
      <c r="J407">
        <v>0.2902063955627624</v>
      </c>
      <c r="K407">
        <v>1.4586660852831769E-138</v>
      </c>
      <c r="L407">
        <v>3.7540289606018809E-138</v>
      </c>
      <c r="M407">
        <v>0.19630390751434279</v>
      </c>
      <c r="N407">
        <v>1.462688453589388E-136</v>
      </c>
      <c r="O407">
        <v>3.7835869692337726E-136</v>
      </c>
      <c r="P407">
        <v>8.4896650037811716E-2</v>
      </c>
      <c r="Q407">
        <v>0.640997834176252</v>
      </c>
      <c r="R407">
        <v>7.5117631040651487</v>
      </c>
      <c r="S407">
        <v>0.23198056254030111</v>
      </c>
      <c r="T407">
        <v>0.184230761825776</v>
      </c>
      <c r="U407">
        <v>4.2625965936405663</v>
      </c>
      <c r="V407">
        <v>0.11023909988438001</v>
      </c>
      <c r="W407">
        <v>10.244078288555819</v>
      </c>
      <c r="X407">
        <v>0.2425196561501797</v>
      </c>
      <c r="Z407" t="s">
        <v>392</v>
      </c>
      <c r="AA407">
        <v>140</v>
      </c>
      <c r="AB407" t="s">
        <v>1812</v>
      </c>
      <c r="AC407" t="str">
        <f>HYPERLINK("plots/20251231112652_3FT6Y119H04_05543_B21P_N_UFLEX98_M5358A8BA201511/dpll_52084/txpa_53246.png","plot")</f>
        <v>plot</v>
      </c>
    </row>
    <row r="408" spans="1:29" x14ac:dyDescent="0.35">
      <c r="A408" t="s">
        <v>47</v>
      </c>
      <c r="B408">
        <v>52084</v>
      </c>
      <c r="C408" t="s">
        <v>52</v>
      </c>
      <c r="D408">
        <v>53247</v>
      </c>
      <c r="E408" t="s">
        <v>122</v>
      </c>
      <c r="F408">
        <v>7139</v>
      </c>
      <c r="G408">
        <v>0.3671282824436789</v>
      </c>
      <c r="H408">
        <v>1.097397866515246E-226</v>
      </c>
      <c r="I408">
        <v>1.183788762389851E-225</v>
      </c>
      <c r="J408">
        <v>0.3654964872730132</v>
      </c>
      <c r="K408">
        <v>1.5212113947714451E-224</v>
      </c>
      <c r="L408">
        <v>1.2540718327628009E-223</v>
      </c>
      <c r="M408">
        <v>0.25002963261833983</v>
      </c>
      <c r="N408">
        <v>2.911151053975043E-220</v>
      </c>
      <c r="O408">
        <v>2.3427834672465819E-219</v>
      </c>
      <c r="P408">
        <v>0.1347831757700457</v>
      </c>
      <c r="Q408">
        <v>0.69827519336751731</v>
      </c>
      <c r="R408">
        <v>7.4569471838159362</v>
      </c>
      <c r="S408">
        <v>0.1950188038910054</v>
      </c>
      <c r="T408">
        <v>0.15105358639178831</v>
      </c>
      <c r="U408">
        <v>4.2625965936405663</v>
      </c>
      <c r="V408">
        <v>0.11023909988438001</v>
      </c>
      <c r="W408">
        <v>10.433412644488021</v>
      </c>
      <c r="X408">
        <v>0.20967392726065881</v>
      </c>
      <c r="Z408" t="s">
        <v>392</v>
      </c>
      <c r="AA408">
        <v>140</v>
      </c>
      <c r="AB408" t="s">
        <v>1813</v>
      </c>
      <c r="AC408" t="str">
        <f>HYPERLINK("plots/20251231112652_3FT6Y119H04_05543_B21P_N_UFLEX98_M5358A8BA201511/dpll_52084/txpa_53247.png","plot")</f>
        <v>plot</v>
      </c>
    </row>
    <row r="409" spans="1:29" x14ac:dyDescent="0.35">
      <c r="A409" t="s">
        <v>47</v>
      </c>
      <c r="B409">
        <v>52084</v>
      </c>
      <c r="C409" t="s">
        <v>52</v>
      </c>
      <c r="D409">
        <v>53248</v>
      </c>
      <c r="E409" t="s">
        <v>123</v>
      </c>
      <c r="F409">
        <v>7139</v>
      </c>
      <c r="G409">
        <v>0.32167630731421509</v>
      </c>
      <c r="H409">
        <v>1.531246911292951E-171</v>
      </c>
      <c r="I409">
        <v>4.960652933070454E-171</v>
      </c>
      <c r="J409">
        <v>0.33215529659285409</v>
      </c>
      <c r="K409">
        <v>1.9134252563299089E-183</v>
      </c>
      <c r="L409">
        <v>7.7920209233675827E-183</v>
      </c>
      <c r="M409">
        <v>0.2269678532975124</v>
      </c>
      <c r="N409">
        <v>7.1577402396148449E-182</v>
      </c>
      <c r="O409">
        <v>3.0241452512372722E-181</v>
      </c>
      <c r="P409">
        <v>0.10347564668730939</v>
      </c>
      <c r="Q409">
        <v>0.67972291909275306</v>
      </c>
      <c r="R409">
        <v>7.4595520097848453</v>
      </c>
      <c r="S409">
        <v>0.22054596887859079</v>
      </c>
      <c r="T409">
        <v>0.17191217157731989</v>
      </c>
      <c r="U409">
        <v>4.2625965936405663</v>
      </c>
      <c r="V409">
        <v>0.11023909988438001</v>
      </c>
      <c r="W409">
        <v>10.35693660932904</v>
      </c>
      <c r="X409">
        <v>0.23294237426810041</v>
      </c>
      <c r="Z409" t="s">
        <v>392</v>
      </c>
      <c r="AA409">
        <v>140</v>
      </c>
      <c r="AB409" t="s">
        <v>1814</v>
      </c>
      <c r="AC409" t="str">
        <f>HYPERLINK("plots/20251231112652_3FT6Y119H04_05543_B21P_N_UFLEX98_M5358A8BA201511/dpll_52084/txpa_53248.png","plot")</f>
        <v>plot</v>
      </c>
    </row>
    <row r="410" spans="1:29" x14ac:dyDescent="0.35">
      <c r="A410" t="s">
        <v>47</v>
      </c>
      <c r="B410">
        <v>52084</v>
      </c>
      <c r="C410" t="s">
        <v>52</v>
      </c>
      <c r="D410">
        <v>53249</v>
      </c>
      <c r="E410" t="s">
        <v>124</v>
      </c>
      <c r="F410">
        <v>7139</v>
      </c>
      <c r="G410">
        <v>0.33796159236131079</v>
      </c>
      <c r="H410">
        <v>3.0313050379779432E-190</v>
      </c>
      <c r="I410">
        <v>1.3248893571162219E-189</v>
      </c>
      <c r="J410">
        <v>0.33554670579471202</v>
      </c>
      <c r="K410">
        <v>2.1270909563896719E-187</v>
      </c>
      <c r="L410">
        <v>9.1781711905494792E-187</v>
      </c>
      <c r="M410">
        <v>0.22924600617179891</v>
      </c>
      <c r="N410">
        <v>1.68689014220196E-185</v>
      </c>
      <c r="O410">
        <v>7.3412300609132496E-185</v>
      </c>
      <c r="P410">
        <v>0.1142180379113928</v>
      </c>
      <c r="Q410">
        <v>0.6874040269353503</v>
      </c>
      <c r="R410">
        <v>7.5318055445390009</v>
      </c>
      <c r="S410">
        <v>0.21101502501576189</v>
      </c>
      <c r="T410">
        <v>0.16428672553336629</v>
      </c>
      <c r="U410">
        <v>4.2625965936405663</v>
      </c>
      <c r="V410">
        <v>0.11023909988438001</v>
      </c>
      <c r="W410">
        <v>10.461931608208429</v>
      </c>
      <c r="X410">
        <v>0.22422311558183489</v>
      </c>
      <c r="Z410" t="s">
        <v>392</v>
      </c>
      <c r="AA410">
        <v>140</v>
      </c>
      <c r="AB410" t="s">
        <v>1815</v>
      </c>
      <c r="AC410" t="str">
        <f>HYPERLINK("plots/20251231112652_3FT6Y119H04_05543_B21P_N_UFLEX98_M5358A8BA201511/dpll_52084/txpa_53249.png","plot")</f>
        <v>plot</v>
      </c>
    </row>
    <row r="411" spans="1:29" x14ac:dyDescent="0.35">
      <c r="A411" t="s">
        <v>47</v>
      </c>
      <c r="B411">
        <v>52084</v>
      </c>
      <c r="C411" t="s">
        <v>52</v>
      </c>
      <c r="D411">
        <v>53250</v>
      </c>
      <c r="E411" t="s">
        <v>125</v>
      </c>
      <c r="F411">
        <v>7139</v>
      </c>
      <c r="G411">
        <v>0.36078079883797509</v>
      </c>
      <c r="H411">
        <v>2.0043156117604001E-218</v>
      </c>
      <c r="I411">
        <v>1.625900824260036E-217</v>
      </c>
      <c r="J411">
        <v>0.35070384875482302</v>
      </c>
      <c r="K411">
        <v>1.086119679956657E-205</v>
      </c>
      <c r="L411">
        <v>5.7360695597710959E-205</v>
      </c>
      <c r="M411">
        <v>0.23984057430882369</v>
      </c>
      <c r="N411">
        <v>7.6250881862507021E-203</v>
      </c>
      <c r="O411">
        <v>4.026999698363652E-202</v>
      </c>
      <c r="P411">
        <v>0.13016278481016741</v>
      </c>
      <c r="Q411">
        <v>0.71301887868131375</v>
      </c>
      <c r="R411">
        <v>7.0869867441489287</v>
      </c>
      <c r="S411">
        <v>0.20318041576411991</v>
      </c>
      <c r="T411">
        <v>0.15754590998339801</v>
      </c>
      <c r="U411">
        <v>4.2625965936405663</v>
      </c>
      <c r="V411">
        <v>0.11023909988438001</v>
      </c>
      <c r="W411">
        <v>10.12629858761731</v>
      </c>
      <c r="X411">
        <v>0.2178679121493326</v>
      </c>
      <c r="Z411" t="s">
        <v>392</v>
      </c>
      <c r="AA411">
        <v>140</v>
      </c>
      <c r="AB411" t="s">
        <v>1816</v>
      </c>
      <c r="AC411" t="str">
        <f>HYPERLINK("plots/20251231112652_3FT6Y119H04_05543_B21P_N_UFLEX98_M5358A8BA201511/dpll_52084/txpa_53250.png","plot")</f>
        <v>plot</v>
      </c>
    </row>
    <row r="412" spans="1:29" x14ac:dyDescent="0.35">
      <c r="A412" t="s">
        <v>47</v>
      </c>
      <c r="B412">
        <v>52084</v>
      </c>
      <c r="C412" t="s">
        <v>52</v>
      </c>
      <c r="D412">
        <v>53251</v>
      </c>
      <c r="E412" t="s">
        <v>126</v>
      </c>
      <c r="F412">
        <v>7139</v>
      </c>
      <c r="G412">
        <v>0.33377757121386642</v>
      </c>
      <c r="H412">
        <v>2.492678168203076E-185</v>
      </c>
      <c r="I412">
        <v>9.8349247570347031E-185</v>
      </c>
      <c r="J412">
        <v>0.36104900857382421</v>
      </c>
      <c r="K412">
        <v>9.0503921786017909E-219</v>
      </c>
      <c r="L412">
        <v>6.3729844924320951E-218</v>
      </c>
      <c r="M412">
        <v>0.24664760643104069</v>
      </c>
      <c r="N412">
        <v>2.1165341038508612E-214</v>
      </c>
      <c r="O412">
        <v>1.4801141940032919E-213</v>
      </c>
      <c r="P412">
        <v>0.1114074670454277</v>
      </c>
      <c r="Q412">
        <v>0.67158708461610395</v>
      </c>
      <c r="R412">
        <v>8.1871216951401511</v>
      </c>
      <c r="S412">
        <v>0.2090748310500172</v>
      </c>
      <c r="T412">
        <v>0.15647645236467961</v>
      </c>
      <c r="U412">
        <v>4.2625965936405663</v>
      </c>
      <c r="V412">
        <v>0.11023909988438001</v>
      </c>
      <c r="W412">
        <v>11.049826514357751</v>
      </c>
      <c r="X412">
        <v>0.2218098580824551</v>
      </c>
      <c r="Z412" t="s">
        <v>392</v>
      </c>
      <c r="AA412">
        <v>140</v>
      </c>
      <c r="AB412" t="s">
        <v>1817</v>
      </c>
      <c r="AC412" t="str">
        <f>HYPERLINK("plots/20251231112652_3FT6Y119H04_05543_B21P_N_UFLEX98_M5358A8BA201511/dpll_52084/txpa_53251.png","plot")</f>
        <v>plot</v>
      </c>
    </row>
    <row r="413" spans="1:29" x14ac:dyDescent="0.35">
      <c r="A413" t="s">
        <v>47</v>
      </c>
      <c r="B413">
        <v>52084</v>
      </c>
      <c r="C413" t="s">
        <v>52</v>
      </c>
      <c r="D413">
        <v>53252</v>
      </c>
      <c r="E413" t="s">
        <v>127</v>
      </c>
      <c r="F413">
        <v>7139</v>
      </c>
      <c r="G413">
        <v>0.28413817289942889</v>
      </c>
      <c r="H413">
        <v>1.148195738775277E-132</v>
      </c>
      <c r="I413">
        <v>2.4205207466073401E-132</v>
      </c>
      <c r="J413">
        <v>0.28922624908707018</v>
      </c>
      <c r="K413">
        <v>1.3373081143260629E-137</v>
      </c>
      <c r="L413">
        <v>3.364839771530093E-137</v>
      </c>
      <c r="M413">
        <v>0.19481665484013511</v>
      </c>
      <c r="N413">
        <v>1.5715085707995021E-134</v>
      </c>
      <c r="O413">
        <v>3.9639544547032222E-134</v>
      </c>
      <c r="P413">
        <v>8.0734501298625777E-2</v>
      </c>
      <c r="Q413">
        <v>0.66825613859086319</v>
      </c>
      <c r="R413">
        <v>8.3130284476085166</v>
      </c>
      <c r="S413">
        <v>0.24856449447283319</v>
      </c>
      <c r="T413">
        <v>0.1969670208901487</v>
      </c>
      <c r="U413">
        <v>4.2625965936405663</v>
      </c>
      <c r="V413">
        <v>0.11023909988438001</v>
      </c>
      <c r="W413">
        <v>11.16153478764533</v>
      </c>
      <c r="X413">
        <v>0.25926806827375198</v>
      </c>
      <c r="Z413" t="s">
        <v>392</v>
      </c>
      <c r="AA413">
        <v>140</v>
      </c>
      <c r="AB413" t="s">
        <v>1818</v>
      </c>
      <c r="AC413" t="str">
        <f>HYPERLINK("plots/20251231112652_3FT6Y119H04_05543_B21P_N_UFLEX98_M5358A8BA201511/dpll_52084/txpa_53252.png","plot")</f>
        <v>plot</v>
      </c>
    </row>
    <row r="414" spans="1:29" x14ac:dyDescent="0.35">
      <c r="A414" t="s">
        <v>47</v>
      </c>
      <c r="B414">
        <v>52084</v>
      </c>
      <c r="C414" t="s">
        <v>52</v>
      </c>
      <c r="D414">
        <v>53253</v>
      </c>
      <c r="E414" t="s">
        <v>128</v>
      </c>
      <c r="F414">
        <v>7139</v>
      </c>
      <c r="G414">
        <v>0.35733442822428929</v>
      </c>
      <c r="H414">
        <v>5.1209704830149803E-214</v>
      </c>
      <c r="I414">
        <v>3.5566192258747882E-213</v>
      </c>
      <c r="J414">
        <v>0.37789538118480809</v>
      </c>
      <c r="K414">
        <v>3.9105141142130529E-241</v>
      </c>
      <c r="L414">
        <v>4.3100666432739521E-240</v>
      </c>
      <c r="M414">
        <v>0.25890849864282278</v>
      </c>
      <c r="N414">
        <v>4.9574858895348319E-236</v>
      </c>
      <c r="O414">
        <v>5.5240557054816698E-235</v>
      </c>
      <c r="P414">
        <v>0.12768789359437979</v>
      </c>
      <c r="Q414">
        <v>0.6900529966300456</v>
      </c>
      <c r="R414">
        <v>8.3124630732714166</v>
      </c>
      <c r="S414">
        <v>0.1988148290652508</v>
      </c>
      <c r="T414">
        <v>0.15030025724191171</v>
      </c>
      <c r="U414">
        <v>4.2625965936405663</v>
      </c>
      <c r="V414">
        <v>0.11023909988438001</v>
      </c>
      <c r="W414">
        <v>11.253880626138111</v>
      </c>
      <c r="X414">
        <v>0.21288410858991669</v>
      </c>
      <c r="Z414" t="s">
        <v>392</v>
      </c>
      <c r="AA414">
        <v>140</v>
      </c>
      <c r="AB414" t="s">
        <v>1819</v>
      </c>
      <c r="AC414" t="str">
        <f>HYPERLINK("plots/20251231112652_3FT6Y119H04_05543_B21P_N_UFLEX98_M5358A8BA201511/dpll_52084/txpa_53253.png","plot")</f>
        <v>plot</v>
      </c>
    </row>
    <row r="415" spans="1:29" x14ac:dyDescent="0.35">
      <c r="A415" t="s">
        <v>47</v>
      </c>
      <c r="B415">
        <v>52084</v>
      </c>
      <c r="C415" t="s">
        <v>52</v>
      </c>
      <c r="D415">
        <v>53254</v>
      </c>
      <c r="E415" t="s">
        <v>129</v>
      </c>
      <c r="F415">
        <v>7139</v>
      </c>
      <c r="G415">
        <v>0.30092021790254281</v>
      </c>
      <c r="H415">
        <v>2.4733067757190492E-149</v>
      </c>
      <c r="I415">
        <v>6.2231589840672838E-149</v>
      </c>
      <c r="J415">
        <v>0.3012114178891328</v>
      </c>
      <c r="K415">
        <v>1.241749451838242E-149</v>
      </c>
      <c r="L415">
        <v>3.526985837994335E-149</v>
      </c>
      <c r="M415">
        <v>0.2041276358635058</v>
      </c>
      <c r="N415">
        <v>1.685467024436826E-147</v>
      </c>
      <c r="O415">
        <v>4.855294212440176E-147</v>
      </c>
      <c r="P415">
        <v>9.0552977542513818E-2</v>
      </c>
      <c r="Q415">
        <v>0.65881194082400707</v>
      </c>
      <c r="R415">
        <v>8.3984123562150081</v>
      </c>
      <c r="S415">
        <v>0.2301463207879923</v>
      </c>
      <c r="T415">
        <v>0.18205129873727641</v>
      </c>
      <c r="U415">
        <v>4.2625965936405663</v>
      </c>
      <c r="V415">
        <v>0.11023909988438001</v>
      </c>
      <c r="W415">
        <v>11.206661891021151</v>
      </c>
      <c r="X415">
        <v>0.2413491385050148</v>
      </c>
      <c r="Z415" t="s">
        <v>392</v>
      </c>
      <c r="AA415">
        <v>140</v>
      </c>
      <c r="AB415" t="s">
        <v>1820</v>
      </c>
      <c r="AC415" t="str">
        <f>HYPERLINK("plots/20251231112652_3FT6Y119H04_05543_B21P_N_UFLEX98_M5358A8BA201511/dpll_52084/txpa_53254.png","plot")</f>
        <v>plot</v>
      </c>
    </row>
    <row r="416" spans="1:29" x14ac:dyDescent="0.35">
      <c r="A416" t="s">
        <v>47</v>
      </c>
      <c r="B416">
        <v>52084</v>
      </c>
      <c r="C416" t="s">
        <v>52</v>
      </c>
      <c r="D416">
        <v>53255</v>
      </c>
      <c r="E416" t="s">
        <v>130</v>
      </c>
      <c r="F416">
        <v>7139</v>
      </c>
      <c r="G416">
        <v>0.37274643763450632</v>
      </c>
      <c r="H416">
        <v>3.7177989484419311E-234</v>
      </c>
      <c r="I416">
        <v>5.0264641782934904E-233</v>
      </c>
      <c r="J416">
        <v>0.37324061114068607</v>
      </c>
      <c r="K416">
        <v>8.0548945207113173E-235</v>
      </c>
      <c r="L416">
        <v>8.0867950930705704E-234</v>
      </c>
      <c r="M416">
        <v>0.25618303290437111</v>
      </c>
      <c r="N416">
        <v>3.9270862333265019E-231</v>
      </c>
      <c r="O416">
        <v>3.8660829520321102E-230</v>
      </c>
      <c r="P416">
        <v>0.13893990676921489</v>
      </c>
      <c r="Q416">
        <v>0.71466998567889883</v>
      </c>
      <c r="R416">
        <v>8.330387098418246</v>
      </c>
      <c r="S416">
        <v>0.1961164448778811</v>
      </c>
      <c r="T416">
        <v>0.15091384438794209</v>
      </c>
      <c r="U416">
        <v>4.2625965936405663</v>
      </c>
      <c r="V416">
        <v>0.11023909988438001</v>
      </c>
      <c r="W416">
        <v>11.37673694495027</v>
      </c>
      <c r="X416">
        <v>0.21136238466986021</v>
      </c>
      <c r="Z416" t="s">
        <v>392</v>
      </c>
      <c r="AA416">
        <v>140</v>
      </c>
      <c r="AB416" t="s">
        <v>1821</v>
      </c>
      <c r="AC416" t="str">
        <f>HYPERLINK("plots/20251231112652_3FT6Y119H04_05543_B21P_N_UFLEX98_M5358A8BA201511/dpll_52084/txpa_53255.png","plot")</f>
        <v>plot</v>
      </c>
    </row>
    <row r="417" spans="1:29" x14ac:dyDescent="0.35">
      <c r="A417" t="s">
        <v>47</v>
      </c>
      <c r="B417">
        <v>52084</v>
      </c>
      <c r="C417" t="s">
        <v>52</v>
      </c>
      <c r="D417">
        <v>53256</v>
      </c>
      <c r="E417" t="s">
        <v>131</v>
      </c>
      <c r="F417">
        <v>7139</v>
      </c>
      <c r="G417">
        <v>0.33115200527008759</v>
      </c>
      <c r="H417">
        <v>2.766625373193721E-182</v>
      </c>
      <c r="I417">
        <v>1.027603710043382E-181</v>
      </c>
      <c r="J417">
        <v>0.34222420388446911</v>
      </c>
      <c r="K417">
        <v>2.4836682543927601E-195</v>
      </c>
      <c r="L417">
        <v>1.1045787762957279E-194</v>
      </c>
      <c r="M417">
        <v>0.23439514764925271</v>
      </c>
      <c r="N417">
        <v>7.8517472763022931E-194</v>
      </c>
      <c r="O417">
        <v>3.6859591380419101E-193</v>
      </c>
      <c r="P417">
        <v>0.1096616505944001</v>
      </c>
      <c r="Q417">
        <v>0.69566656067928179</v>
      </c>
      <c r="R417">
        <v>8.3378252353583449</v>
      </c>
      <c r="S417">
        <v>0.21850255433886201</v>
      </c>
      <c r="T417">
        <v>0.1697338051780749</v>
      </c>
      <c r="U417">
        <v>4.2625965936405663</v>
      </c>
      <c r="V417">
        <v>0.11023909988438001</v>
      </c>
      <c r="W417">
        <v>11.3031711472195</v>
      </c>
      <c r="X417">
        <v>0.23158445139535969</v>
      </c>
      <c r="Z417" t="s">
        <v>392</v>
      </c>
      <c r="AA417">
        <v>140</v>
      </c>
      <c r="AB417" t="s">
        <v>1822</v>
      </c>
      <c r="AC417" t="str">
        <f>HYPERLINK("plots/20251231112652_3FT6Y119H04_05543_B21P_N_UFLEX98_M5358A8BA201511/dpll_52084/txpa_53256.png","plot")</f>
        <v>plot</v>
      </c>
    </row>
    <row r="418" spans="1:29" x14ac:dyDescent="0.35">
      <c r="A418" t="s">
        <v>47</v>
      </c>
      <c r="B418">
        <v>52084</v>
      </c>
      <c r="C418" t="s">
        <v>52</v>
      </c>
      <c r="D418">
        <v>53257</v>
      </c>
      <c r="E418" t="s">
        <v>132</v>
      </c>
      <c r="F418">
        <v>7139</v>
      </c>
      <c r="G418">
        <v>0.3464959808651864</v>
      </c>
      <c r="H418">
        <v>1.6470694745989119E-200</v>
      </c>
      <c r="I418">
        <v>8.8836619534217888E-200</v>
      </c>
      <c r="J418">
        <v>0.34513623097001112</v>
      </c>
      <c r="K418">
        <v>7.4795695514383299E-199</v>
      </c>
      <c r="L418">
        <v>3.5275737326318447E-198</v>
      </c>
      <c r="M418">
        <v>0.2363263756449456</v>
      </c>
      <c r="N418">
        <v>5.2761399670224161E-197</v>
      </c>
      <c r="O418">
        <v>2.5476218697908232E-196</v>
      </c>
      <c r="P418">
        <v>0.1200594647557276</v>
      </c>
      <c r="Q418">
        <v>0.70180856276066905</v>
      </c>
      <c r="R418">
        <v>8.407859962634479</v>
      </c>
      <c r="S418">
        <v>0.209436495781362</v>
      </c>
      <c r="T418">
        <v>0.16199982599416771</v>
      </c>
      <c r="U418">
        <v>4.2625965936405663</v>
      </c>
      <c r="V418">
        <v>0.11023909988438001</v>
      </c>
      <c r="W418">
        <v>11.39938675164589</v>
      </c>
      <c r="X418">
        <v>0.22328323710048531</v>
      </c>
      <c r="Z418" t="s">
        <v>392</v>
      </c>
      <c r="AA418">
        <v>140</v>
      </c>
      <c r="AB418" t="s">
        <v>1823</v>
      </c>
      <c r="AC418" t="str">
        <f>HYPERLINK("plots/20251231112652_3FT6Y119H04_05543_B21P_N_UFLEX98_M5358A8BA201511/dpll_52084/txpa_53257.png","plot")</f>
        <v>plot</v>
      </c>
    </row>
    <row r="419" spans="1:29" x14ac:dyDescent="0.35">
      <c r="A419" t="s">
        <v>47</v>
      </c>
      <c r="B419">
        <v>52084</v>
      </c>
      <c r="C419" t="s">
        <v>52</v>
      </c>
      <c r="D419">
        <v>53258</v>
      </c>
      <c r="E419" t="s">
        <v>133</v>
      </c>
      <c r="F419">
        <v>7139</v>
      </c>
      <c r="G419">
        <v>0.36540797185166501</v>
      </c>
      <c r="H419">
        <v>1.9861617859888351E-224</v>
      </c>
      <c r="I419">
        <v>1.9365077413391142E-223</v>
      </c>
      <c r="J419">
        <v>0.35653629038119472</v>
      </c>
      <c r="K419">
        <v>5.2754437548614702E-213</v>
      </c>
      <c r="L419">
        <v>3.2817791211224112E-212</v>
      </c>
      <c r="M419">
        <v>0.24431846425120879</v>
      </c>
      <c r="N419">
        <v>2.071589427495968E-210</v>
      </c>
      <c r="O419">
        <v>1.2808485850493361E-209</v>
      </c>
      <c r="P419">
        <v>0.13352298589274719</v>
      </c>
      <c r="Q419">
        <v>0.72303278496593126</v>
      </c>
      <c r="R419">
        <v>8.0051191820986958</v>
      </c>
      <c r="S419">
        <v>0.20303164571174251</v>
      </c>
      <c r="T419">
        <v>0.15677862376379861</v>
      </c>
      <c r="U419">
        <v>4.2625965936405663</v>
      </c>
      <c r="V419">
        <v>0.11023909988438001</v>
      </c>
      <c r="W419">
        <v>11.08711626838493</v>
      </c>
      <c r="X419">
        <v>0.21813011631256121</v>
      </c>
      <c r="Z419" t="s">
        <v>392</v>
      </c>
      <c r="AA419">
        <v>140</v>
      </c>
      <c r="AB419" t="s">
        <v>1824</v>
      </c>
      <c r="AC419" t="str">
        <f>HYPERLINK("plots/20251231112652_3FT6Y119H04_05543_B21P_N_UFLEX98_M5358A8BA201511/dpll_52084/txpa_53258.png","plot")</f>
        <v>plot</v>
      </c>
    </row>
    <row r="420" spans="1:29" x14ac:dyDescent="0.35">
      <c r="A420" t="s">
        <v>47</v>
      </c>
      <c r="B420">
        <v>52084</v>
      </c>
      <c r="C420" t="s">
        <v>52</v>
      </c>
      <c r="D420">
        <v>53259</v>
      </c>
      <c r="E420" t="s">
        <v>134</v>
      </c>
      <c r="F420">
        <v>7139</v>
      </c>
      <c r="G420">
        <v>0.3350508484079498</v>
      </c>
      <c r="H420">
        <v>8.1102804201710284E-187</v>
      </c>
      <c r="I420">
        <v>3.289529738421369E-186</v>
      </c>
      <c r="J420">
        <v>0.3651934690951919</v>
      </c>
      <c r="K420">
        <v>3.7891855248307122E-224</v>
      </c>
      <c r="L420">
        <v>3.0737872977426741E-223</v>
      </c>
      <c r="M420">
        <v>0.24982545715012849</v>
      </c>
      <c r="N420">
        <v>6.6047996693842946E-220</v>
      </c>
      <c r="O420">
        <v>5.2734384761855698E-219</v>
      </c>
      <c r="P420">
        <v>0.11225907101888689</v>
      </c>
      <c r="Q420">
        <v>0.67835975411973037</v>
      </c>
      <c r="R420">
        <v>8.6244222379825715</v>
      </c>
      <c r="S420">
        <v>0.21027987642134741</v>
      </c>
      <c r="T420">
        <v>0.15647015049110211</v>
      </c>
      <c r="U420">
        <v>4.2625965936405663</v>
      </c>
      <c r="V420">
        <v>0.11023909988438001</v>
      </c>
      <c r="W420">
        <v>11.515996215156189</v>
      </c>
      <c r="X420">
        <v>0.2231952822900958</v>
      </c>
      <c r="Z420" t="s">
        <v>392</v>
      </c>
      <c r="AA420">
        <v>140</v>
      </c>
      <c r="AB420" t="s">
        <v>1825</v>
      </c>
      <c r="AC420" t="str">
        <f>HYPERLINK("plots/20251231112652_3FT6Y119H04_05543_B21P_N_UFLEX98_M5358A8BA201511/dpll_52084/txpa_53259.png","plot")</f>
        <v>plot</v>
      </c>
    </row>
    <row r="421" spans="1:29" x14ac:dyDescent="0.35">
      <c r="A421" t="s">
        <v>47</v>
      </c>
      <c r="B421">
        <v>52084</v>
      </c>
      <c r="C421" t="s">
        <v>52</v>
      </c>
      <c r="D421">
        <v>53260</v>
      </c>
      <c r="E421" t="s">
        <v>135</v>
      </c>
      <c r="F421">
        <v>7139</v>
      </c>
      <c r="G421">
        <v>0.28874770795664678</v>
      </c>
      <c r="H421">
        <v>3.9323547733672899E-137</v>
      </c>
      <c r="I421">
        <v>8.5935511642121382E-137</v>
      </c>
      <c r="J421">
        <v>0.2948033825758174</v>
      </c>
      <c r="K421">
        <v>3.9753014210752129E-143</v>
      </c>
      <c r="L421">
        <v>1.060777800255333E-142</v>
      </c>
      <c r="M421">
        <v>0.19883843186795239</v>
      </c>
      <c r="N421">
        <v>4.6548152943551349E-140</v>
      </c>
      <c r="O421">
        <v>1.2421007127568699E-139</v>
      </c>
      <c r="P421">
        <v>8.3375238850216984E-2</v>
      </c>
      <c r="Q421">
        <v>0.67551801507193721</v>
      </c>
      <c r="R421">
        <v>8.7505321277871229</v>
      </c>
      <c r="S421">
        <v>0.24689905161478021</v>
      </c>
      <c r="T421">
        <v>0.1949488212454521</v>
      </c>
      <c r="U421">
        <v>4.2625965936405663</v>
      </c>
      <c r="V421">
        <v>0.11023909988438001</v>
      </c>
      <c r="W421">
        <v>11.629992917775599</v>
      </c>
      <c r="X421">
        <v>0.2579016071303129</v>
      </c>
      <c r="Z421" t="s">
        <v>392</v>
      </c>
      <c r="AA421">
        <v>140</v>
      </c>
      <c r="AB421" t="s">
        <v>1826</v>
      </c>
      <c r="AC421" t="str">
        <f>HYPERLINK("plots/20251231112652_3FT6Y119H04_05543_B21P_N_UFLEX98_M5358A8BA201511/dpll_52084/txpa_53260.png","plot")</f>
        <v>plot</v>
      </c>
    </row>
    <row r="422" spans="1:29" x14ac:dyDescent="0.35">
      <c r="A422" t="s">
        <v>47</v>
      </c>
      <c r="B422">
        <v>52084</v>
      </c>
      <c r="C422" t="s">
        <v>52</v>
      </c>
      <c r="D422">
        <v>53261</v>
      </c>
      <c r="E422" t="s">
        <v>136</v>
      </c>
      <c r="F422">
        <v>7139</v>
      </c>
      <c r="G422">
        <v>0.35938688655930218</v>
      </c>
      <c r="H422">
        <v>1.233566280737523E-216</v>
      </c>
      <c r="I422">
        <v>9.2654533975396142E-216</v>
      </c>
      <c r="J422">
        <v>0.38280635344210001</v>
      </c>
      <c r="K422">
        <v>6.5720763378763527E-248</v>
      </c>
      <c r="L422">
        <v>8.3301067582582769E-247</v>
      </c>
      <c r="M422">
        <v>0.26284392957414571</v>
      </c>
      <c r="N422">
        <v>3.3944446935372871E-243</v>
      </c>
      <c r="O422">
        <v>4.1469480954780826E-242</v>
      </c>
      <c r="P422">
        <v>0.12915893423078881</v>
      </c>
      <c r="Q422">
        <v>0.69884474157197618</v>
      </c>
      <c r="R422">
        <v>8.7321049977264966</v>
      </c>
      <c r="S422">
        <v>0.2000290926605815</v>
      </c>
      <c r="T422">
        <v>0.1503071395998142</v>
      </c>
      <c r="U422">
        <v>4.2625965936405663</v>
      </c>
      <c r="V422">
        <v>0.11023909988438001</v>
      </c>
      <c r="W422">
        <v>11.71099821263482</v>
      </c>
      <c r="X422">
        <v>0.21436512613855371</v>
      </c>
      <c r="Z422" t="s">
        <v>392</v>
      </c>
      <c r="AA422">
        <v>140</v>
      </c>
      <c r="AB422" t="s">
        <v>1827</v>
      </c>
      <c r="AC422" t="str">
        <f>HYPERLINK("plots/20251231112652_3FT6Y119H04_05543_B21P_N_UFLEX98_M5358A8BA201511/dpll_52084/txpa_53261.png","plot")</f>
        <v>plot</v>
      </c>
    </row>
    <row r="423" spans="1:29" x14ac:dyDescent="0.35">
      <c r="A423" t="s">
        <v>47</v>
      </c>
      <c r="B423">
        <v>52084</v>
      </c>
      <c r="C423" t="s">
        <v>52</v>
      </c>
      <c r="D423">
        <v>53262</v>
      </c>
      <c r="E423" t="s">
        <v>137</v>
      </c>
      <c r="F423">
        <v>7139</v>
      </c>
      <c r="G423">
        <v>0.30622022115515551</v>
      </c>
      <c r="H423">
        <v>7.8071721266142743E-155</v>
      </c>
      <c r="I423">
        <v>2.0998600892272879E-154</v>
      </c>
      <c r="J423">
        <v>0.30751721697990009</v>
      </c>
      <c r="K423">
        <v>3.3788391301409198E-156</v>
      </c>
      <c r="L423">
        <v>1.0541978086039671E-155</v>
      </c>
      <c r="M423">
        <v>0.2086549866801837</v>
      </c>
      <c r="N423">
        <v>5.0363998275184163E-154</v>
      </c>
      <c r="O423">
        <v>1.5713567461857459E-153</v>
      </c>
      <c r="P423">
        <v>9.3770823844312359E-2</v>
      </c>
      <c r="Q423">
        <v>0.66883257101301552</v>
      </c>
      <c r="R423">
        <v>8.8236256337833154</v>
      </c>
      <c r="S423">
        <v>0.2291964085167992</v>
      </c>
      <c r="T423">
        <v>0.18068393524489901</v>
      </c>
      <c r="U423">
        <v>4.2625965936405663</v>
      </c>
      <c r="V423">
        <v>0.11023909988438001</v>
      </c>
      <c r="W423">
        <v>11.674589072699259</v>
      </c>
      <c r="X423">
        <v>0.2407793330031994</v>
      </c>
      <c r="Z423" t="s">
        <v>392</v>
      </c>
      <c r="AA423">
        <v>140</v>
      </c>
      <c r="AB423" t="s">
        <v>1828</v>
      </c>
      <c r="AC423" t="str">
        <f>HYPERLINK("plots/20251231112652_3FT6Y119H04_05543_B21P_N_UFLEX98_M5358A8BA201511/dpll_52084/txpa_53262.png","plot")</f>
        <v>plot</v>
      </c>
    </row>
    <row r="424" spans="1:29" x14ac:dyDescent="0.35">
      <c r="A424" t="s">
        <v>47</v>
      </c>
      <c r="B424">
        <v>52084</v>
      </c>
      <c r="C424" t="s">
        <v>52</v>
      </c>
      <c r="D424">
        <v>53263</v>
      </c>
      <c r="E424" t="s">
        <v>138</v>
      </c>
      <c r="F424">
        <v>7139</v>
      </c>
      <c r="G424">
        <v>0.37455884175971288</v>
      </c>
      <c r="H424">
        <v>1.3443477047176379E-236</v>
      </c>
      <c r="I424">
        <v>2.0345799590801272E-235</v>
      </c>
      <c r="J424">
        <v>0.37719846089468168</v>
      </c>
      <c r="K424">
        <v>3.5007946993067159E-240</v>
      </c>
      <c r="L424">
        <v>3.74876399273728E-239</v>
      </c>
      <c r="M424">
        <v>0.25937361330276087</v>
      </c>
      <c r="N424">
        <v>7.147313322330297E-237</v>
      </c>
      <c r="O424">
        <v>8.1431187739808103E-236</v>
      </c>
      <c r="P424">
        <v>0.14029432594037761</v>
      </c>
      <c r="Q424">
        <v>0.72262877765235012</v>
      </c>
      <c r="R424">
        <v>8.7541910501612215</v>
      </c>
      <c r="S424">
        <v>0.1971856630940623</v>
      </c>
      <c r="T424">
        <v>0.1508636600960935</v>
      </c>
      <c r="U424">
        <v>4.2625965936405663</v>
      </c>
      <c r="V424">
        <v>0.11023909988438001</v>
      </c>
      <c r="W424">
        <v>11.834466016248779</v>
      </c>
      <c r="X424">
        <v>0.2126820598458857</v>
      </c>
      <c r="Z424" t="s">
        <v>392</v>
      </c>
      <c r="AA424">
        <v>140</v>
      </c>
      <c r="AB424" t="s">
        <v>1829</v>
      </c>
      <c r="AC424" t="str">
        <f>HYPERLINK("plots/20251231112652_3FT6Y119H04_05543_B21P_N_UFLEX98_M5358A8BA201511/dpll_52084/txpa_53263.png","plot")</f>
        <v>plot</v>
      </c>
    </row>
    <row r="425" spans="1:29" x14ac:dyDescent="0.35">
      <c r="A425" t="s">
        <v>47</v>
      </c>
      <c r="B425">
        <v>52084</v>
      </c>
      <c r="C425" t="s">
        <v>52</v>
      </c>
      <c r="D425">
        <v>53264</v>
      </c>
      <c r="E425" t="s">
        <v>139</v>
      </c>
      <c r="F425">
        <v>7139</v>
      </c>
      <c r="G425">
        <v>0.33583781660783651</v>
      </c>
      <c r="H425">
        <v>9.6837030647990656E-188</v>
      </c>
      <c r="I425">
        <v>3.9915751657342489E-187</v>
      </c>
      <c r="J425">
        <v>0.34747850774850803</v>
      </c>
      <c r="K425">
        <v>1.0330601581922589E-201</v>
      </c>
      <c r="L425">
        <v>5.0361682711872612E-201</v>
      </c>
      <c r="M425">
        <v>0.23829909839600369</v>
      </c>
      <c r="N425">
        <v>2.8481556825577168E-200</v>
      </c>
      <c r="O425">
        <v>1.4440149310567629E-199</v>
      </c>
      <c r="P425">
        <v>0.11278703906391881</v>
      </c>
      <c r="Q425">
        <v>0.70410916178891048</v>
      </c>
      <c r="R425">
        <v>8.7603858645642205</v>
      </c>
      <c r="S425">
        <v>0.21768553710673791</v>
      </c>
      <c r="T425">
        <v>0.1685866649840517</v>
      </c>
      <c r="U425">
        <v>4.2625965936405663</v>
      </c>
      <c r="V425">
        <v>0.11023909988438001</v>
      </c>
      <c r="W425">
        <v>11.761719179156749</v>
      </c>
      <c r="X425">
        <v>0.23112453802840621</v>
      </c>
      <c r="Z425" t="s">
        <v>392</v>
      </c>
      <c r="AA425">
        <v>140</v>
      </c>
      <c r="AB425" t="s">
        <v>1830</v>
      </c>
      <c r="AC425" t="str">
        <f>HYPERLINK("plots/20251231112652_3FT6Y119H04_05543_B21P_N_UFLEX98_M5358A8BA201511/dpll_52084/txpa_53264.png","plot")</f>
        <v>plot</v>
      </c>
    </row>
    <row r="426" spans="1:29" x14ac:dyDescent="0.35">
      <c r="A426" t="s">
        <v>47</v>
      </c>
      <c r="B426">
        <v>52084</v>
      </c>
      <c r="C426" t="s">
        <v>52</v>
      </c>
      <c r="D426">
        <v>53265</v>
      </c>
      <c r="E426" t="s">
        <v>140</v>
      </c>
      <c r="F426">
        <v>7139</v>
      </c>
      <c r="G426">
        <v>0.35062234745405513</v>
      </c>
      <c r="H426">
        <v>1.3708253987186239E-205</v>
      </c>
      <c r="I426">
        <v>7.8978236039811663E-205</v>
      </c>
      <c r="J426">
        <v>0.35050146273771488</v>
      </c>
      <c r="K426">
        <v>1.9359201344329959E-205</v>
      </c>
      <c r="L426">
        <v>1.001542355262785E-204</v>
      </c>
      <c r="M426">
        <v>0.2403153142989343</v>
      </c>
      <c r="N426">
        <v>1.2209650611115331E-203</v>
      </c>
      <c r="O426">
        <v>6.4819820521837394E-203</v>
      </c>
      <c r="P426">
        <v>0.1229360305341921</v>
      </c>
      <c r="Q426">
        <v>0.70961654124273243</v>
      </c>
      <c r="R426">
        <v>8.8286567028150547</v>
      </c>
      <c r="S426">
        <v>0.20893202415030471</v>
      </c>
      <c r="T426">
        <v>0.16083739935679439</v>
      </c>
      <c r="U426">
        <v>4.2625965936405663</v>
      </c>
      <c r="V426">
        <v>0.11023909988438001</v>
      </c>
      <c r="W426">
        <v>11.853465754307329</v>
      </c>
      <c r="X426">
        <v>0.2231103902466362</v>
      </c>
      <c r="Z426" t="s">
        <v>392</v>
      </c>
      <c r="AA426">
        <v>140</v>
      </c>
      <c r="AB426" t="s">
        <v>1831</v>
      </c>
      <c r="AC426" t="str">
        <f>HYPERLINK("plots/20251231112652_3FT6Y119H04_05543_B21P_N_UFLEX98_M5358A8BA201511/dpll_52084/txpa_53265.png","plot")</f>
        <v>plot</v>
      </c>
    </row>
    <row r="427" spans="1:29" x14ac:dyDescent="0.35">
      <c r="A427" t="s">
        <v>47</v>
      </c>
      <c r="B427">
        <v>52084</v>
      </c>
      <c r="C427" t="s">
        <v>52</v>
      </c>
      <c r="D427">
        <v>53266</v>
      </c>
      <c r="E427" t="s">
        <v>141</v>
      </c>
      <c r="F427">
        <v>7139</v>
      </c>
      <c r="G427">
        <v>0.366870282089512</v>
      </c>
      <c r="H427">
        <v>2.397923718928516E-226</v>
      </c>
      <c r="I427">
        <v>2.4811169908097089E-225</v>
      </c>
      <c r="J427">
        <v>0.3589800278576743</v>
      </c>
      <c r="K427">
        <v>4.0898468447087047E-216</v>
      </c>
      <c r="L427">
        <v>2.7832917453252533E-215</v>
      </c>
      <c r="M427">
        <v>0.2462572658732009</v>
      </c>
      <c r="N427">
        <v>9.9317927660101324E-214</v>
      </c>
      <c r="O427">
        <v>6.7138919098228497E-213</v>
      </c>
      <c r="P427">
        <v>0.1345938038804381</v>
      </c>
      <c r="Q427">
        <v>0.7277041998672219</v>
      </c>
      <c r="R427">
        <v>8.4538184665394862</v>
      </c>
      <c r="S427">
        <v>0.20340310922264629</v>
      </c>
      <c r="T427">
        <v>0.15657506944304361</v>
      </c>
      <c r="U427">
        <v>4.2625965936405663</v>
      </c>
      <c r="V427">
        <v>0.11023909988438001</v>
      </c>
      <c r="W427">
        <v>11.55572791007144</v>
      </c>
      <c r="X427">
        <v>0.21866436147006441</v>
      </c>
      <c r="Z427" t="s">
        <v>392</v>
      </c>
      <c r="AA427">
        <v>140</v>
      </c>
      <c r="AB427" t="s">
        <v>1832</v>
      </c>
      <c r="AC427" t="str">
        <f>HYPERLINK("plots/20251231112652_3FT6Y119H04_05543_B21P_N_UFLEX98_M5358A8BA201511/dpll_52084/txpa_53266.png","plot")</f>
        <v>plot</v>
      </c>
    </row>
    <row r="428" spans="1:29" x14ac:dyDescent="0.35">
      <c r="A428" t="s">
        <v>47</v>
      </c>
      <c r="B428">
        <v>52084</v>
      </c>
      <c r="C428" t="s">
        <v>52</v>
      </c>
      <c r="D428">
        <v>53267</v>
      </c>
      <c r="E428" t="s">
        <v>142</v>
      </c>
      <c r="F428">
        <v>7139</v>
      </c>
      <c r="G428">
        <v>0.33584435756040321</v>
      </c>
      <c r="H428">
        <v>9.5138995741779743E-188</v>
      </c>
      <c r="I428">
        <v>3.937589456414884E-187</v>
      </c>
      <c r="J428">
        <v>0.36940709397775923</v>
      </c>
      <c r="K428">
        <v>1.067481247322946E-229</v>
      </c>
      <c r="L428">
        <v>9.4123998676997112E-229</v>
      </c>
      <c r="M428">
        <v>0.25308391923792328</v>
      </c>
      <c r="N428">
        <v>1.26313764186455E-225</v>
      </c>
      <c r="O428">
        <v>1.1137578859570899E-224</v>
      </c>
      <c r="P428">
        <v>0.11279143250515999</v>
      </c>
      <c r="Q428">
        <v>0.68480680535520211</v>
      </c>
      <c r="R428">
        <v>9.0434271666451647</v>
      </c>
      <c r="S428">
        <v>0.2117132866268186</v>
      </c>
      <c r="T428">
        <v>0.15659357594048831</v>
      </c>
      <c r="U428">
        <v>4.2625965936405663</v>
      </c>
      <c r="V428">
        <v>0.11023909988438001</v>
      </c>
      <c r="W428">
        <v>11.962482322454131</v>
      </c>
      <c r="X428">
        <v>0.22478414217061141</v>
      </c>
      <c r="Z428" t="s">
        <v>392</v>
      </c>
      <c r="AA428">
        <v>140</v>
      </c>
      <c r="AB428" t="s">
        <v>1833</v>
      </c>
      <c r="AC428" t="str">
        <f>HYPERLINK("plots/20251231112652_3FT6Y119H04_05543_B21P_N_UFLEX98_M5358A8BA201511/dpll_52084/txpa_53267.png","plot")</f>
        <v>plot</v>
      </c>
    </row>
    <row r="429" spans="1:29" x14ac:dyDescent="0.35">
      <c r="A429" t="s">
        <v>47</v>
      </c>
      <c r="B429">
        <v>52084</v>
      </c>
      <c r="C429" t="s">
        <v>52</v>
      </c>
      <c r="D429">
        <v>53268</v>
      </c>
      <c r="E429" t="s">
        <v>143</v>
      </c>
      <c r="F429">
        <v>7139</v>
      </c>
      <c r="G429">
        <v>0.29415136565538319</v>
      </c>
      <c r="H429">
        <v>1.7863442215502501E-142</v>
      </c>
      <c r="I429">
        <v>4.1736245176312289E-142</v>
      </c>
      <c r="J429">
        <v>0.30186359797547929</v>
      </c>
      <c r="K429">
        <v>2.6459492473772388E-150</v>
      </c>
      <c r="L429">
        <v>7.557725455888791E-150</v>
      </c>
      <c r="M429">
        <v>0.20384670030554269</v>
      </c>
      <c r="N429">
        <v>4.2331679970418552E-147</v>
      </c>
      <c r="O429">
        <v>1.2091358729578711E-146</v>
      </c>
      <c r="P429">
        <v>8.6525025916926984E-2</v>
      </c>
      <c r="Q429">
        <v>0.68295137089679347</v>
      </c>
      <c r="R429">
        <v>9.1665813642709733</v>
      </c>
      <c r="S429">
        <v>0.2446090259932853</v>
      </c>
      <c r="T429">
        <v>0.19220166535823849</v>
      </c>
      <c r="U429">
        <v>4.2625965936405663</v>
      </c>
      <c r="V429">
        <v>0.11023909988438001</v>
      </c>
      <c r="W429">
        <v>12.0777275514778</v>
      </c>
      <c r="X429">
        <v>0.25594966803815711</v>
      </c>
      <c r="Z429" t="s">
        <v>392</v>
      </c>
      <c r="AA429">
        <v>140</v>
      </c>
      <c r="AB429" t="s">
        <v>1834</v>
      </c>
      <c r="AC429" t="str">
        <f>HYPERLINK("plots/20251231112652_3FT6Y119H04_05543_B21P_N_UFLEX98_M5358A8BA201511/dpll_52084/txpa_53268.png","plot")</f>
        <v>plot</v>
      </c>
    </row>
    <row r="430" spans="1:29" x14ac:dyDescent="0.35">
      <c r="A430" t="s">
        <v>47</v>
      </c>
      <c r="B430">
        <v>52084</v>
      </c>
      <c r="C430" t="s">
        <v>52</v>
      </c>
      <c r="D430">
        <v>53269</v>
      </c>
      <c r="E430" t="s">
        <v>144</v>
      </c>
      <c r="F430">
        <v>7139</v>
      </c>
      <c r="G430">
        <v>0.36118112131777969</v>
      </c>
      <c r="H430">
        <v>6.1158994842225594E-219</v>
      </c>
      <c r="I430">
        <v>5.0418878674810365E-218</v>
      </c>
      <c r="J430">
        <v>0.3884073407620276</v>
      </c>
      <c r="K430">
        <v>8.8652110422469743E-256</v>
      </c>
      <c r="L430">
        <v>1.266101971385695E-254</v>
      </c>
      <c r="M430">
        <v>0.2674328910483168</v>
      </c>
      <c r="N430">
        <v>1.095975614222636E-251</v>
      </c>
      <c r="O430">
        <v>1.6106076417706571E-250</v>
      </c>
      <c r="P430">
        <v>0.13045180239636869</v>
      </c>
      <c r="Q430">
        <v>0.70808920095355732</v>
      </c>
      <c r="R430">
        <v>9.1290201821726971</v>
      </c>
      <c r="S430">
        <v>0.2015185353450315</v>
      </c>
      <c r="T430">
        <v>0.15026410940737359</v>
      </c>
      <c r="U430">
        <v>4.2625965936405663</v>
      </c>
      <c r="V430">
        <v>0.11023909988438001</v>
      </c>
      <c r="W430">
        <v>12.147318798151</v>
      </c>
      <c r="X430">
        <v>0.21612180577481219</v>
      </c>
      <c r="Z430" t="s">
        <v>392</v>
      </c>
      <c r="AA430">
        <v>140</v>
      </c>
      <c r="AB430" t="s">
        <v>1835</v>
      </c>
      <c r="AC430" t="str">
        <f>HYPERLINK("plots/20251231112652_3FT6Y119H04_05543_B21P_N_UFLEX98_M5358A8BA201511/dpll_52084/txpa_53269.png","plot")</f>
        <v>plot</v>
      </c>
    </row>
    <row r="431" spans="1:29" x14ac:dyDescent="0.35">
      <c r="A431" t="s">
        <v>47</v>
      </c>
      <c r="B431">
        <v>52084</v>
      </c>
      <c r="C431" t="s">
        <v>52</v>
      </c>
      <c r="D431">
        <v>53270</v>
      </c>
      <c r="E431" t="s">
        <v>145</v>
      </c>
      <c r="F431">
        <v>7139</v>
      </c>
      <c r="G431">
        <v>0.31250331755078797</v>
      </c>
      <c r="H431">
        <v>1.6642742518265881E-161</v>
      </c>
      <c r="I431">
        <v>4.7537298347948193E-161</v>
      </c>
      <c r="J431">
        <v>0.31569511392073801</v>
      </c>
      <c r="K431">
        <v>5.8782360163657801E-165</v>
      </c>
      <c r="L431">
        <v>2.0069129025572051E-164</v>
      </c>
      <c r="M431">
        <v>0.21456458867362591</v>
      </c>
      <c r="N431">
        <v>9.3547162733961968E-163</v>
      </c>
      <c r="O431">
        <v>3.1938324246544589E-162</v>
      </c>
      <c r="P431">
        <v>9.7658323480248665E-2</v>
      </c>
      <c r="Q431">
        <v>0.67989311041642631</v>
      </c>
      <c r="R431">
        <v>9.2229982920074463</v>
      </c>
      <c r="S431">
        <v>0.2278120833983695</v>
      </c>
      <c r="T431">
        <v>0.17881157894413671</v>
      </c>
      <c r="U431">
        <v>4.2625965936405663</v>
      </c>
      <c r="V431">
        <v>0.11023909988438001</v>
      </c>
      <c r="W431">
        <v>12.121108348508191</v>
      </c>
      <c r="X431">
        <v>0.23984002825095521</v>
      </c>
      <c r="Z431" t="s">
        <v>392</v>
      </c>
      <c r="AA431">
        <v>140</v>
      </c>
      <c r="AB431" t="s">
        <v>1836</v>
      </c>
      <c r="AC431" t="str">
        <f>HYPERLINK("plots/20251231112652_3FT6Y119H04_05543_B21P_N_UFLEX98_M5358A8BA201511/dpll_52084/txpa_53270.png","plot")</f>
        <v>plot</v>
      </c>
    </row>
    <row r="432" spans="1:29" x14ac:dyDescent="0.35">
      <c r="A432" t="s">
        <v>47</v>
      </c>
      <c r="B432">
        <v>52084</v>
      </c>
      <c r="C432" t="s">
        <v>52</v>
      </c>
      <c r="D432">
        <v>53271</v>
      </c>
      <c r="E432" t="s">
        <v>146</v>
      </c>
      <c r="F432">
        <v>7139</v>
      </c>
      <c r="G432">
        <v>0.37655901794322799</v>
      </c>
      <c r="H432">
        <v>2.6033664787389862E-239</v>
      </c>
      <c r="I432">
        <v>4.2577638861956973E-238</v>
      </c>
      <c r="J432">
        <v>0.38202726094946732</v>
      </c>
      <c r="K432">
        <v>7.9478161318940493E-247</v>
      </c>
      <c r="L432">
        <v>9.8281531191958114E-246</v>
      </c>
      <c r="M432">
        <v>0.26338086839964608</v>
      </c>
      <c r="N432">
        <v>3.5049880489234143E-244</v>
      </c>
      <c r="O432">
        <v>4.5564844636004379E-243</v>
      </c>
      <c r="P432">
        <v>0.14179669399436831</v>
      </c>
      <c r="Q432">
        <v>0.7320607510347038</v>
      </c>
      <c r="R432">
        <v>9.1501529627197833</v>
      </c>
      <c r="S432">
        <v>0.19852463276788379</v>
      </c>
      <c r="T432">
        <v>0.15077722070995619</v>
      </c>
      <c r="U432">
        <v>4.2625965936405663</v>
      </c>
      <c r="V432">
        <v>0.11023909988438001</v>
      </c>
      <c r="W432">
        <v>12.270632626418269</v>
      </c>
      <c r="X432">
        <v>0.21431359869043429</v>
      </c>
      <c r="Z432" t="s">
        <v>392</v>
      </c>
      <c r="AA432">
        <v>140</v>
      </c>
      <c r="AB432" t="s">
        <v>1837</v>
      </c>
      <c r="AC432" t="str">
        <f>HYPERLINK("plots/20251231112652_3FT6Y119H04_05543_B21P_N_UFLEX98_M5358A8BA201511/dpll_52084/txpa_53271.png","plot")</f>
        <v>plot</v>
      </c>
    </row>
    <row r="433" spans="1:29" x14ac:dyDescent="0.35">
      <c r="A433" t="s">
        <v>47</v>
      </c>
      <c r="B433">
        <v>52084</v>
      </c>
      <c r="C433" t="s">
        <v>52</v>
      </c>
      <c r="D433">
        <v>53272</v>
      </c>
      <c r="E433" t="s">
        <v>147</v>
      </c>
      <c r="F433">
        <v>7139</v>
      </c>
      <c r="G433">
        <v>0.34107350002600878</v>
      </c>
      <c r="H433">
        <v>5.9721960864290199E-194</v>
      </c>
      <c r="I433">
        <v>2.7778930420362499E-193</v>
      </c>
      <c r="J433">
        <v>0.35415369973133443</v>
      </c>
      <c r="K433">
        <v>5.353457157325014E-210</v>
      </c>
      <c r="L433">
        <v>3.0157808652930922E-209</v>
      </c>
      <c r="M433">
        <v>0.2433113080666057</v>
      </c>
      <c r="N433">
        <v>1.0722142534407611E-208</v>
      </c>
      <c r="O433">
        <v>6.1774162101643866E-208</v>
      </c>
      <c r="P433">
        <v>0.11633113241999191</v>
      </c>
      <c r="Q433">
        <v>0.71371184146492717</v>
      </c>
      <c r="R433">
        <v>9.1566369705534694</v>
      </c>
      <c r="S433">
        <v>0.2168327816350778</v>
      </c>
      <c r="T433">
        <v>0.16722015837125609</v>
      </c>
      <c r="U433">
        <v>4.2625965936405663</v>
      </c>
      <c r="V433">
        <v>0.11023909988438001</v>
      </c>
      <c r="W433">
        <v>12.198902634822799</v>
      </c>
      <c r="X433">
        <v>0.23068034008481211</v>
      </c>
      <c r="Z433" t="s">
        <v>392</v>
      </c>
      <c r="AA433">
        <v>140</v>
      </c>
      <c r="AB433" t="s">
        <v>1838</v>
      </c>
      <c r="AC433" t="str">
        <f>HYPERLINK("plots/20251231112652_3FT6Y119H04_05543_B21P_N_UFLEX98_M5358A8BA201511/dpll_52084/txpa_53272.png","plot")</f>
        <v>plot</v>
      </c>
    </row>
    <row r="434" spans="1:29" x14ac:dyDescent="0.35">
      <c r="A434" t="s">
        <v>47</v>
      </c>
      <c r="B434">
        <v>52084</v>
      </c>
      <c r="C434" t="s">
        <v>52</v>
      </c>
      <c r="D434">
        <v>53273</v>
      </c>
      <c r="E434" t="s">
        <v>148</v>
      </c>
      <c r="F434">
        <v>7139</v>
      </c>
      <c r="G434">
        <v>0.35543516030782202</v>
      </c>
      <c r="H434">
        <v>1.302864927482346E-211</v>
      </c>
      <c r="I434">
        <v>8.8664767548127423E-211</v>
      </c>
      <c r="J434">
        <v>0.35742321271326072</v>
      </c>
      <c r="K434">
        <v>3.9490839274687393E-214</v>
      </c>
      <c r="L434">
        <v>2.502731939033314E-213</v>
      </c>
      <c r="M434">
        <v>0.245586651358567</v>
      </c>
      <c r="N434">
        <v>1.4064343788169911E-212</v>
      </c>
      <c r="O434">
        <v>9.2008029685188985E-212</v>
      </c>
      <c r="P434">
        <v>0.12633415318304711</v>
      </c>
      <c r="Q434">
        <v>0.71888841226617861</v>
      </c>
      <c r="R434">
        <v>9.2215493582205106</v>
      </c>
      <c r="S434">
        <v>0.20839102709181451</v>
      </c>
      <c r="T434">
        <v>0.15933907086559029</v>
      </c>
      <c r="U434">
        <v>4.2625965936405663</v>
      </c>
      <c r="V434">
        <v>0.11023909988438001</v>
      </c>
      <c r="W434">
        <v>12.285880655553999</v>
      </c>
      <c r="X434">
        <v>0.22296503085654529</v>
      </c>
      <c r="Z434" t="s">
        <v>392</v>
      </c>
      <c r="AA434">
        <v>140</v>
      </c>
      <c r="AB434" t="s">
        <v>1839</v>
      </c>
      <c r="AC434" t="str">
        <f>HYPERLINK("plots/20251231112652_3FT6Y119H04_05543_B21P_N_UFLEX98_M5358A8BA201511/dpll_52084/txpa_53273.png","plot")</f>
        <v>plot</v>
      </c>
    </row>
    <row r="435" spans="1:29" x14ac:dyDescent="0.35">
      <c r="A435" t="s">
        <v>47</v>
      </c>
      <c r="B435">
        <v>52084</v>
      </c>
      <c r="C435" t="s">
        <v>52</v>
      </c>
      <c r="D435">
        <v>53274</v>
      </c>
      <c r="E435" t="s">
        <v>149</v>
      </c>
      <c r="F435">
        <v>7139</v>
      </c>
      <c r="G435">
        <v>0.36811375442316729</v>
      </c>
      <c r="H435">
        <v>5.505832974831971E-228</v>
      </c>
      <c r="I435">
        <v>6.1350710290984819E-227</v>
      </c>
      <c r="J435">
        <v>0.36150660678074309</v>
      </c>
      <c r="K435">
        <v>2.3268972377399308E-219</v>
      </c>
      <c r="L435">
        <v>1.6733856730980779E-218</v>
      </c>
      <c r="M435">
        <v>0.24822340226307049</v>
      </c>
      <c r="N435">
        <v>4.022704920326812E-217</v>
      </c>
      <c r="O435">
        <v>3.0214983623788047E-216</v>
      </c>
      <c r="P435">
        <v>0.13550773619552001</v>
      </c>
      <c r="Q435">
        <v>0.73218574854327168</v>
      </c>
      <c r="R435">
        <v>8.8838497005234967</v>
      </c>
      <c r="S435">
        <v>0.20385671488666801</v>
      </c>
      <c r="T435">
        <v>0.1563516089644619</v>
      </c>
      <c r="U435">
        <v>4.2625965936405663</v>
      </c>
      <c r="V435">
        <v>0.11023909988438001</v>
      </c>
      <c r="W435">
        <v>12.004862178176211</v>
      </c>
      <c r="X435">
        <v>0.2192678129999846</v>
      </c>
      <c r="Z435" t="s">
        <v>392</v>
      </c>
      <c r="AA435">
        <v>140</v>
      </c>
      <c r="AB435" t="s">
        <v>1840</v>
      </c>
      <c r="AC435" t="str">
        <f>HYPERLINK("plots/20251231112652_3FT6Y119H04_05543_B21P_N_UFLEX98_M5358A8BA201511/dpll_52084/txpa_53274.png","plot")</f>
        <v>plot</v>
      </c>
    </row>
    <row r="436" spans="1:29" x14ac:dyDescent="0.35">
      <c r="A436" t="s">
        <v>47</v>
      </c>
      <c r="B436">
        <v>52084</v>
      </c>
      <c r="C436" t="s">
        <v>52</v>
      </c>
      <c r="D436">
        <v>53275</v>
      </c>
      <c r="E436" t="s">
        <v>150</v>
      </c>
      <c r="F436">
        <v>7139</v>
      </c>
      <c r="G436">
        <v>0.33983568886147858</v>
      </c>
      <c r="H436">
        <v>1.7995902304697061E-192</v>
      </c>
      <c r="I436">
        <v>8.1101533053168066E-192</v>
      </c>
      <c r="J436">
        <v>0.39251036889839802</v>
      </c>
      <c r="K436">
        <v>1.213845996427952E-261</v>
      </c>
      <c r="L436">
        <v>1.9537140323459411E-260</v>
      </c>
      <c r="M436">
        <v>0.27165535708204741</v>
      </c>
      <c r="N436">
        <v>1.2525866573566439E-259</v>
      </c>
      <c r="O436">
        <v>2.116871450932728E-258</v>
      </c>
      <c r="P436">
        <v>0.11548829542395569</v>
      </c>
      <c r="Q436">
        <v>0.72007736020254243</v>
      </c>
      <c r="R436">
        <v>10.294978881862651</v>
      </c>
      <c r="S436">
        <v>0.2196682055677274</v>
      </c>
      <c r="T436">
        <v>0.15717787059551019</v>
      </c>
      <c r="U436">
        <v>4.2625965936405663</v>
      </c>
      <c r="V436">
        <v>0.11023909988438001</v>
      </c>
      <c r="W436">
        <v>13.364378184619691</v>
      </c>
      <c r="X436">
        <v>0.2335854727376952</v>
      </c>
      <c r="Z436" t="s">
        <v>392</v>
      </c>
      <c r="AA436">
        <v>140</v>
      </c>
      <c r="AB436" t="s">
        <v>1841</v>
      </c>
      <c r="AC436" t="str">
        <f>HYPERLINK("plots/20251231112652_3FT6Y119H04_05543_B21P_N_UFLEX98_M5358A8BA201511/dpll_52084/txpa_53275.png","plot")</f>
        <v>plot</v>
      </c>
    </row>
    <row r="437" spans="1:29" x14ac:dyDescent="0.35">
      <c r="A437" t="s">
        <v>47</v>
      </c>
      <c r="B437">
        <v>52084</v>
      </c>
      <c r="C437" t="s">
        <v>52</v>
      </c>
      <c r="D437">
        <v>53276</v>
      </c>
      <c r="E437" t="s">
        <v>151</v>
      </c>
      <c r="F437">
        <v>7139</v>
      </c>
      <c r="G437">
        <v>0.33154131778803853</v>
      </c>
      <c r="H437">
        <v>9.8241287673254737E-183</v>
      </c>
      <c r="I437">
        <v>3.6758917232723361E-182</v>
      </c>
      <c r="J437">
        <v>0.36076455985395711</v>
      </c>
      <c r="K437">
        <v>2.103109197509271E-218</v>
      </c>
      <c r="L437">
        <v>1.470726018120276E-217</v>
      </c>
      <c r="M437">
        <v>0.24720526988981761</v>
      </c>
      <c r="N437">
        <v>2.3137128682054389E-215</v>
      </c>
      <c r="O437">
        <v>1.6757891774002249E-214</v>
      </c>
      <c r="P437">
        <v>0.1099196454006291</v>
      </c>
      <c r="Q437">
        <v>0.73563581419180779</v>
      </c>
      <c r="R437">
        <v>10.31016025190852</v>
      </c>
      <c r="S437">
        <v>0.23075177604131919</v>
      </c>
      <c r="T437">
        <v>0.17415444048925779</v>
      </c>
      <c r="U437">
        <v>4.2625965936405663</v>
      </c>
      <c r="V437">
        <v>0.11023909988438001</v>
      </c>
      <c r="W437">
        <v>13.44587896764253</v>
      </c>
      <c r="X437">
        <v>0.2446024843608309</v>
      </c>
      <c r="Z437" t="s">
        <v>392</v>
      </c>
      <c r="AA437">
        <v>140</v>
      </c>
      <c r="AB437" t="s">
        <v>1842</v>
      </c>
      <c r="AC437" t="str">
        <f>HYPERLINK("plots/20251231112652_3FT6Y119H04_05543_B21P_N_UFLEX98_M5358A8BA201511/dpll_52084/txpa_53276.png","plot")</f>
        <v>plot</v>
      </c>
    </row>
    <row r="438" spans="1:29" x14ac:dyDescent="0.35">
      <c r="A438" t="s">
        <v>47</v>
      </c>
      <c r="B438">
        <v>52084</v>
      </c>
      <c r="C438" t="s">
        <v>52</v>
      </c>
      <c r="D438">
        <v>53277</v>
      </c>
      <c r="E438" t="s">
        <v>152</v>
      </c>
      <c r="F438">
        <v>7139</v>
      </c>
      <c r="G438">
        <v>0.37038973031526562</v>
      </c>
      <c r="H438">
        <v>5.2724270698718353E-231</v>
      </c>
      <c r="I438">
        <v>6.2896953515882841E-230</v>
      </c>
      <c r="J438">
        <v>0.42159402049952732</v>
      </c>
      <c r="K438">
        <v>1.1411208702063099E-305</v>
      </c>
      <c r="L438">
        <v>6.0899819073115729E-304</v>
      </c>
      <c r="M438">
        <v>0.29622298303670702</v>
      </c>
      <c r="N438">
        <v>2.6495877404130672E-308</v>
      </c>
      <c r="O438">
        <v>1.279372366085167E-306</v>
      </c>
      <c r="P438">
        <v>0.13718855232301519</v>
      </c>
      <c r="Q438">
        <v>0.76554132580691459</v>
      </c>
      <c r="R438">
        <v>10.21302990775229</v>
      </c>
      <c r="S438">
        <v>0.21162788516869641</v>
      </c>
      <c r="T438">
        <v>0.150436227210694</v>
      </c>
      <c r="U438">
        <v>4.2625965936405663</v>
      </c>
      <c r="V438">
        <v>0.11023909988438001</v>
      </c>
      <c r="W438">
        <v>13.476223755427929</v>
      </c>
      <c r="X438">
        <v>0.2278480739987489</v>
      </c>
      <c r="Z438" t="s">
        <v>392</v>
      </c>
      <c r="AA438">
        <v>140</v>
      </c>
      <c r="AB438" t="s">
        <v>1843</v>
      </c>
      <c r="AC438" t="str">
        <f>HYPERLINK("plots/20251231112652_3FT6Y119H04_05543_B21P_N_UFLEX98_M5358A8BA201511/dpll_52084/txpa_53277.png","plot")</f>
        <v>plot</v>
      </c>
    </row>
    <row r="439" spans="1:29" x14ac:dyDescent="0.35">
      <c r="A439" t="s">
        <v>47</v>
      </c>
      <c r="B439">
        <v>52084</v>
      </c>
      <c r="C439" t="s">
        <v>52</v>
      </c>
      <c r="D439">
        <v>53278</v>
      </c>
      <c r="E439" t="s">
        <v>153</v>
      </c>
      <c r="F439">
        <v>7139</v>
      </c>
      <c r="G439">
        <v>0.35083068992700089</v>
      </c>
      <c r="H439">
        <v>7.5590669937029062E-206</v>
      </c>
      <c r="I439">
        <v>4.4562686839348308E-205</v>
      </c>
      <c r="J439">
        <v>0.37366858571514833</v>
      </c>
      <c r="K439">
        <v>2.137335950644497E-235</v>
      </c>
      <c r="L439">
        <v>2.1672586539535199E-234</v>
      </c>
      <c r="M439">
        <v>0.25794116456356408</v>
      </c>
      <c r="N439">
        <v>2.7526417733848528E-234</v>
      </c>
      <c r="O439">
        <v>2.8775038744456089E-233</v>
      </c>
      <c r="P439">
        <v>0.1230821729946555</v>
      </c>
      <c r="Q439">
        <v>0.75101465595860295</v>
      </c>
      <c r="R439">
        <v>10.27550120474498</v>
      </c>
      <c r="S439">
        <v>0.22097112340591929</v>
      </c>
      <c r="T439">
        <v>0.16763147266132511</v>
      </c>
      <c r="U439">
        <v>4.2625965936405663</v>
      </c>
      <c r="V439">
        <v>0.11023909988438001</v>
      </c>
      <c r="W439">
        <v>13.476773719008261</v>
      </c>
      <c r="X439">
        <v>0.23598613818557471</v>
      </c>
      <c r="Z439" t="s">
        <v>392</v>
      </c>
      <c r="AA439">
        <v>140</v>
      </c>
      <c r="AB439" t="s">
        <v>1844</v>
      </c>
      <c r="AC439" t="str">
        <f>HYPERLINK("plots/20251231112652_3FT6Y119H04_05543_B21P_N_UFLEX98_M5358A8BA201511/dpll_52084/txpa_53278.png","plot")</f>
        <v>plot</v>
      </c>
    </row>
    <row r="440" spans="1:29" x14ac:dyDescent="0.35">
      <c r="A440" t="s">
        <v>47</v>
      </c>
      <c r="B440">
        <v>52084</v>
      </c>
      <c r="C440" t="s">
        <v>52</v>
      </c>
      <c r="D440">
        <v>53279</v>
      </c>
      <c r="E440" t="s">
        <v>154</v>
      </c>
      <c r="F440">
        <v>7139</v>
      </c>
      <c r="G440">
        <v>0.38818473507754248</v>
      </c>
      <c r="H440">
        <v>1.834089442441789E-255</v>
      </c>
      <c r="I440">
        <v>4.5970080660934727E-254</v>
      </c>
      <c r="J440">
        <v>0.41484451493851759</v>
      </c>
      <c r="K440">
        <v>4.6623457078114349E-295</v>
      </c>
      <c r="L440">
        <v>1.68843519561457E-293</v>
      </c>
      <c r="M440">
        <v>0.29173897059098047</v>
      </c>
      <c r="N440">
        <v>4.1797610056847743E-299</v>
      </c>
      <c r="O440">
        <v>1.513670592772986E-297</v>
      </c>
      <c r="P440">
        <v>0.15068738854722191</v>
      </c>
      <c r="Q440">
        <v>0.79173543820801906</v>
      </c>
      <c r="R440">
        <v>10.21515558278695</v>
      </c>
      <c r="S440">
        <v>0.2071956613239356</v>
      </c>
      <c r="T440">
        <v>0.15059170131055541</v>
      </c>
      <c r="U440">
        <v>4.2625965936405663</v>
      </c>
      <c r="V440">
        <v>0.11023909988438001</v>
      </c>
      <c r="W440">
        <v>13.59000436475697</v>
      </c>
      <c r="X440">
        <v>0.22484192233159919</v>
      </c>
      <c r="Z440" t="s">
        <v>392</v>
      </c>
      <c r="AA440">
        <v>140</v>
      </c>
      <c r="AB440" t="s">
        <v>1845</v>
      </c>
      <c r="AC440" t="str">
        <f>HYPERLINK("plots/20251231112652_3FT6Y119H04_05543_B21P_N_UFLEX98_M5358A8BA201511/dpll_52084/txpa_53279.png","plot")</f>
        <v>plot</v>
      </c>
    </row>
    <row r="441" spans="1:29" x14ac:dyDescent="0.35">
      <c r="A441" t="s">
        <v>47</v>
      </c>
      <c r="B441">
        <v>52084</v>
      </c>
      <c r="C441" t="s">
        <v>52</v>
      </c>
      <c r="D441">
        <v>53280</v>
      </c>
      <c r="E441" t="s">
        <v>155</v>
      </c>
      <c r="F441">
        <v>7139</v>
      </c>
      <c r="G441">
        <v>0.37040059393840657</v>
      </c>
      <c r="H441">
        <v>5.0996762000456043E-231</v>
      </c>
      <c r="I441">
        <v>6.1560376986264795E-230</v>
      </c>
      <c r="J441">
        <v>0.39714376987966671</v>
      </c>
      <c r="K441">
        <v>2.298973810246283E-268</v>
      </c>
      <c r="L441">
        <v>4.3984140445089274E-267</v>
      </c>
      <c r="M441">
        <v>0.27729091277385182</v>
      </c>
      <c r="N441">
        <v>2.0110137711805698E-270</v>
      </c>
      <c r="O441">
        <v>4.1615672734226487E-269</v>
      </c>
      <c r="P441">
        <v>0.13719659998992439</v>
      </c>
      <c r="Q441">
        <v>0.77716010998960849</v>
      </c>
      <c r="R441">
        <v>10.208464977152911</v>
      </c>
      <c r="S441">
        <v>0.214832503748288</v>
      </c>
      <c r="T441">
        <v>0.16054508354480221</v>
      </c>
      <c r="U441">
        <v>4.2625965936405663</v>
      </c>
      <c r="V441">
        <v>0.11023909988438001</v>
      </c>
      <c r="W441">
        <v>13.521185014707941</v>
      </c>
      <c r="X441">
        <v>0.231299388805912</v>
      </c>
      <c r="Z441" t="s">
        <v>392</v>
      </c>
      <c r="AA441">
        <v>140</v>
      </c>
      <c r="AB441" t="s">
        <v>1846</v>
      </c>
      <c r="AC441" t="str">
        <f>HYPERLINK("plots/20251231112652_3FT6Y119H04_05543_B21P_N_UFLEX98_M5358A8BA201511/dpll_52084/txpa_53280.png","plot")</f>
        <v>plot</v>
      </c>
    </row>
    <row r="442" spans="1:29" x14ac:dyDescent="0.35">
      <c r="A442" t="s">
        <v>47</v>
      </c>
      <c r="B442">
        <v>52084</v>
      </c>
      <c r="C442" t="s">
        <v>52</v>
      </c>
      <c r="D442">
        <v>53281</v>
      </c>
      <c r="E442" t="s">
        <v>156</v>
      </c>
      <c r="F442">
        <v>7139</v>
      </c>
      <c r="G442">
        <v>0.37862633495571979</v>
      </c>
      <c r="H442">
        <v>3.9021150463393929E-242</v>
      </c>
      <c r="I442">
        <v>6.7063468762510913E-241</v>
      </c>
      <c r="J442">
        <v>0.40208699277850968</v>
      </c>
      <c r="K442">
        <v>1.174048057600733E-275</v>
      </c>
      <c r="L442">
        <v>2.903621293675959E-274</v>
      </c>
      <c r="M442">
        <v>0.28124903902627602</v>
      </c>
      <c r="N442">
        <v>3.8931079093960439E-278</v>
      </c>
      <c r="O442">
        <v>9.8690285503189719E-277</v>
      </c>
      <c r="P442">
        <v>0.14335790152200101</v>
      </c>
      <c r="Q442">
        <v>0.7779593456845898</v>
      </c>
      <c r="R442">
        <v>10.27444680747279</v>
      </c>
      <c r="S442">
        <v>0.20962883985799419</v>
      </c>
      <c r="T442">
        <v>0.1532242306515374</v>
      </c>
      <c r="U442">
        <v>4.2625965936405663</v>
      </c>
      <c r="V442">
        <v>0.11023909988438001</v>
      </c>
      <c r="W442">
        <v>13.590573664378759</v>
      </c>
      <c r="X442">
        <v>0.2265070601202111</v>
      </c>
      <c r="Z442" t="s">
        <v>392</v>
      </c>
      <c r="AA442">
        <v>140</v>
      </c>
      <c r="AB442" t="s">
        <v>1847</v>
      </c>
      <c r="AC442" t="str">
        <f>HYPERLINK("plots/20251231112652_3FT6Y119H04_05543_B21P_N_UFLEX98_M5358A8BA201511/dpll_52084/txpa_53281.png","plot")</f>
        <v>plot</v>
      </c>
    </row>
    <row r="443" spans="1:29" x14ac:dyDescent="0.35">
      <c r="A443" t="s">
        <v>47</v>
      </c>
      <c r="B443">
        <v>52084</v>
      </c>
      <c r="C443" t="s">
        <v>52</v>
      </c>
      <c r="D443">
        <v>53282</v>
      </c>
      <c r="E443" t="s">
        <v>157</v>
      </c>
      <c r="F443">
        <v>7139</v>
      </c>
      <c r="G443">
        <v>0.37435865757717951</v>
      </c>
      <c r="H443">
        <v>2.506000291979335E-236</v>
      </c>
      <c r="I443">
        <v>3.6827308638652833E-235</v>
      </c>
      <c r="J443">
        <v>0.38035660261212112</v>
      </c>
      <c r="K443">
        <v>1.6280504447152281E-244</v>
      </c>
      <c r="L443">
        <v>1.9421684128720489E-243</v>
      </c>
      <c r="M443">
        <v>0.26324117068060221</v>
      </c>
      <c r="N443">
        <v>6.3283652885586839E-244</v>
      </c>
      <c r="O443">
        <v>8.1227372184791199E-243</v>
      </c>
      <c r="P443">
        <v>0.1401444045029879</v>
      </c>
      <c r="Q443">
        <v>0.75993909681166838</v>
      </c>
      <c r="R443">
        <v>10.171435708493821</v>
      </c>
      <c r="S443">
        <v>0.207495607413448</v>
      </c>
      <c r="T443">
        <v>0.15579368562501439</v>
      </c>
      <c r="U443">
        <v>4.2625965936405663</v>
      </c>
      <c r="V443">
        <v>0.11023909988438001</v>
      </c>
      <c r="W443">
        <v>13.41074951393753</v>
      </c>
      <c r="X443">
        <v>0.22378272895210299</v>
      </c>
      <c r="Z443" t="s">
        <v>392</v>
      </c>
      <c r="AA443">
        <v>140</v>
      </c>
      <c r="AB443" t="s">
        <v>1848</v>
      </c>
      <c r="AC443" t="str">
        <f>HYPERLINK("plots/20251231112652_3FT6Y119H04_05543_B21P_N_UFLEX98_M5358A8BA201511/dpll_52084/txpa_53282.png","plot")</f>
        <v>plot</v>
      </c>
    </row>
    <row r="444" spans="1:29" x14ac:dyDescent="0.35">
      <c r="A444" t="s">
        <v>47</v>
      </c>
      <c r="B444">
        <v>52084</v>
      </c>
      <c r="C444" t="s">
        <v>52</v>
      </c>
      <c r="D444">
        <v>53283</v>
      </c>
      <c r="E444" t="s">
        <v>158</v>
      </c>
      <c r="F444">
        <v>7139</v>
      </c>
      <c r="G444">
        <v>0.34414864934011002</v>
      </c>
      <c r="H444">
        <v>1.18111124078334E-197</v>
      </c>
      <c r="I444">
        <v>6.0183256188658613E-197</v>
      </c>
      <c r="J444">
        <v>0.40777357890850519</v>
      </c>
      <c r="K444">
        <v>3.360583618905237E-284</v>
      </c>
      <c r="L444">
        <v>8.7375174091536166E-283</v>
      </c>
      <c r="M444">
        <v>0.28463588996346839</v>
      </c>
      <c r="N444">
        <v>8.0050311917744536E-285</v>
      </c>
      <c r="O444">
        <v>2.0813081098613581E-283</v>
      </c>
      <c r="P444">
        <v>0.118438292842622</v>
      </c>
      <c r="Q444">
        <v>0.7480381115696324</v>
      </c>
      <c r="R444">
        <v>10.632702541223621</v>
      </c>
      <c r="S444">
        <v>0.2249620462493343</v>
      </c>
      <c r="T444">
        <v>0.15782976523788461</v>
      </c>
      <c r="U444">
        <v>4.2625965936405663</v>
      </c>
      <c r="V444">
        <v>0.11023909988438001</v>
      </c>
      <c r="W444">
        <v>13.821287247513659</v>
      </c>
      <c r="X444">
        <v>0.2396146207656692</v>
      </c>
      <c r="Z444" t="s">
        <v>392</v>
      </c>
      <c r="AA444">
        <v>140</v>
      </c>
      <c r="AB444" t="s">
        <v>1849</v>
      </c>
      <c r="AC444" t="str">
        <f>HYPERLINK("plots/20251231112652_3FT6Y119H04_05543_B21P_N_UFLEX98_M5358A8BA201511/dpll_52084/txpa_53283.png","plot")</f>
        <v>plot</v>
      </c>
    </row>
    <row r="445" spans="1:29" x14ac:dyDescent="0.35">
      <c r="A445" t="s">
        <v>47</v>
      </c>
      <c r="B445">
        <v>52084</v>
      </c>
      <c r="C445" t="s">
        <v>52</v>
      </c>
      <c r="D445">
        <v>53284</v>
      </c>
      <c r="E445" t="s">
        <v>159</v>
      </c>
      <c r="F445">
        <v>7139</v>
      </c>
      <c r="G445">
        <v>0.35406560008540439</v>
      </c>
      <c r="H445">
        <v>6.9072068945099423E-210</v>
      </c>
      <c r="I445">
        <v>4.5777175104791379E-209</v>
      </c>
      <c r="J445">
        <v>0.40220125758526831</v>
      </c>
      <c r="K445">
        <v>7.9370316749039817E-276</v>
      </c>
      <c r="L445">
        <v>2.0120375295881589E-274</v>
      </c>
      <c r="M445">
        <v>0.279875548715736</v>
      </c>
      <c r="N445">
        <v>1.9003831163480921E-275</v>
      </c>
      <c r="O445">
        <v>4.481368558085966E-274</v>
      </c>
      <c r="P445">
        <v>0.12536244916383751</v>
      </c>
      <c r="Q445">
        <v>0.77693638671164744</v>
      </c>
      <c r="R445">
        <v>10.559578566006721</v>
      </c>
      <c r="S445">
        <v>0.22621480582456829</v>
      </c>
      <c r="T445">
        <v>0.16535782888692829</v>
      </c>
      <c r="U445">
        <v>4.2625965936405663</v>
      </c>
      <c r="V445">
        <v>0.11023909988438001</v>
      </c>
      <c r="W445">
        <v>13.871344961479201</v>
      </c>
      <c r="X445">
        <v>0.24190084526103431</v>
      </c>
      <c r="Z445" t="s">
        <v>392</v>
      </c>
      <c r="AA445">
        <v>140</v>
      </c>
      <c r="AB445" t="s">
        <v>1850</v>
      </c>
      <c r="AC445" t="str">
        <f>HYPERLINK("plots/20251231112652_3FT6Y119H04_05543_B21P_N_UFLEX98_M5358A8BA201511/dpll_52084/txpa_53284.png","plot")</f>
        <v>plot</v>
      </c>
    </row>
    <row r="446" spans="1:29" x14ac:dyDescent="0.35">
      <c r="A446" t="s">
        <v>47</v>
      </c>
      <c r="B446">
        <v>52084</v>
      </c>
      <c r="C446" t="s">
        <v>52</v>
      </c>
      <c r="D446">
        <v>53285</v>
      </c>
      <c r="E446" t="s">
        <v>160</v>
      </c>
      <c r="F446">
        <v>7139</v>
      </c>
      <c r="G446">
        <v>0.3758059055834746</v>
      </c>
      <c r="H446">
        <v>2.749687561598466E-238</v>
      </c>
      <c r="I446">
        <v>4.3565362304075702E-237</v>
      </c>
      <c r="J446">
        <v>0.43809262618290112</v>
      </c>
      <c r="K446">
        <v>0</v>
      </c>
      <c r="L446">
        <v>0</v>
      </c>
      <c r="M446">
        <v>0.31183874399206712</v>
      </c>
      <c r="N446">
        <v>0</v>
      </c>
      <c r="O446">
        <v>0</v>
      </c>
      <c r="P446">
        <v>0.1412300786714154</v>
      </c>
      <c r="Q446">
        <v>0.80581479126665512</v>
      </c>
      <c r="R446">
        <v>10.453273802922711</v>
      </c>
      <c r="S446">
        <v>0.2190358921881787</v>
      </c>
      <c r="T446">
        <v>0.15220235891722739</v>
      </c>
      <c r="U446">
        <v>4.2625965936405663</v>
      </c>
      <c r="V446">
        <v>0.11023909988438001</v>
      </c>
      <c r="W446">
        <v>13.88813718728113</v>
      </c>
      <c r="X446">
        <v>0.2363781301542747</v>
      </c>
      <c r="Z446" t="s">
        <v>392</v>
      </c>
      <c r="AA446">
        <v>140</v>
      </c>
      <c r="AB446" t="s">
        <v>1851</v>
      </c>
      <c r="AC446" t="str">
        <f>HYPERLINK("plots/20251231112652_3FT6Y119H04_05543_B21P_N_UFLEX98_M5358A8BA201511/dpll_52084/txpa_53285.png","plot")</f>
        <v>plot</v>
      </c>
    </row>
    <row r="447" spans="1:29" x14ac:dyDescent="0.35">
      <c r="A447" t="s">
        <v>47</v>
      </c>
      <c r="B447">
        <v>52084</v>
      </c>
      <c r="C447" t="s">
        <v>52</v>
      </c>
      <c r="D447">
        <v>53286</v>
      </c>
      <c r="E447" t="s">
        <v>161</v>
      </c>
      <c r="F447">
        <v>7139</v>
      </c>
      <c r="G447">
        <v>0.37271602479379401</v>
      </c>
      <c r="H447">
        <v>4.0843813609889972E-234</v>
      </c>
      <c r="I447">
        <v>5.4494246053195301E-233</v>
      </c>
      <c r="J447">
        <v>0.40993868269973183</v>
      </c>
      <c r="K447">
        <v>1.6967335551077209E-287</v>
      </c>
      <c r="L447">
        <v>5.0602583084683203E-286</v>
      </c>
      <c r="M447">
        <v>0.28707835476441129</v>
      </c>
      <c r="N447">
        <v>1.0762212816313411E-289</v>
      </c>
      <c r="O447">
        <v>3.209671704629942E-288</v>
      </c>
      <c r="P447">
        <v>0.13891723513808801</v>
      </c>
      <c r="Q447">
        <v>0.80082992717572843</v>
      </c>
      <c r="R447">
        <v>10.47988329297014</v>
      </c>
      <c r="S447">
        <v>0.21978088437632709</v>
      </c>
      <c r="T447">
        <v>0.16241799621344921</v>
      </c>
      <c r="U447">
        <v>4.2625965936405663</v>
      </c>
      <c r="V447">
        <v>0.11023909988438001</v>
      </c>
      <c r="W447">
        <v>13.893498212634819</v>
      </c>
      <c r="X447">
        <v>0.2368633610029742</v>
      </c>
      <c r="Z447" t="s">
        <v>392</v>
      </c>
      <c r="AA447">
        <v>140</v>
      </c>
      <c r="AB447" t="s">
        <v>1852</v>
      </c>
      <c r="AC447" t="str">
        <f>HYPERLINK("plots/20251231112652_3FT6Y119H04_05543_B21P_N_UFLEX98_M5358A8BA201511/dpll_52084/txpa_53286.png","plot")</f>
        <v>plot</v>
      </c>
    </row>
    <row r="448" spans="1:29" x14ac:dyDescent="0.35">
      <c r="A448" t="s">
        <v>47</v>
      </c>
      <c r="B448">
        <v>52084</v>
      </c>
      <c r="C448" t="s">
        <v>52</v>
      </c>
      <c r="D448">
        <v>53287</v>
      </c>
      <c r="E448" t="s">
        <v>162</v>
      </c>
      <c r="F448">
        <v>7139</v>
      </c>
      <c r="G448">
        <v>0.39474286820660809</v>
      </c>
      <c r="H448">
        <v>7.2191193759510458E-265</v>
      </c>
      <c r="I448">
        <v>3.3273577487338002E-263</v>
      </c>
      <c r="J448">
        <v>0.43226096041423773</v>
      </c>
      <c r="K448">
        <v>0</v>
      </c>
      <c r="L448">
        <v>0</v>
      </c>
      <c r="M448">
        <v>0.30797793716072253</v>
      </c>
      <c r="N448">
        <v>0</v>
      </c>
      <c r="O448">
        <v>0</v>
      </c>
      <c r="P448">
        <v>0.1558219319999796</v>
      </c>
      <c r="Q448">
        <v>0.8322132169558224</v>
      </c>
      <c r="R448">
        <v>10.44497476837722</v>
      </c>
      <c r="S448">
        <v>0.2135219800998919</v>
      </c>
      <c r="T448">
        <v>0.151841376432824</v>
      </c>
      <c r="U448">
        <v>4.2625965936405663</v>
      </c>
      <c r="V448">
        <v>0.11023909988438001</v>
      </c>
      <c r="W448">
        <v>13.992363992155759</v>
      </c>
      <c r="X448">
        <v>0.2324106230617857</v>
      </c>
      <c r="Z448" t="s">
        <v>392</v>
      </c>
      <c r="AA448">
        <v>140</v>
      </c>
      <c r="AB448" t="s">
        <v>1853</v>
      </c>
      <c r="AC448" t="str">
        <f>HYPERLINK("plots/20251231112652_3FT6Y119H04_05543_B21P_N_UFLEX98_M5358A8BA201511/dpll_52084/txpa_53287.png","plot")</f>
        <v>plot</v>
      </c>
    </row>
    <row r="449" spans="1:29" x14ac:dyDescent="0.35">
      <c r="A449" t="s">
        <v>47</v>
      </c>
      <c r="B449">
        <v>52084</v>
      </c>
      <c r="C449" t="s">
        <v>52</v>
      </c>
      <c r="D449">
        <v>53288</v>
      </c>
      <c r="E449" t="s">
        <v>163</v>
      </c>
      <c r="F449">
        <v>7139</v>
      </c>
      <c r="G449">
        <v>0.38555186410299852</v>
      </c>
      <c r="H449">
        <v>9.5323206279610162E-252</v>
      </c>
      <c r="I449">
        <v>2.1012550253809719E-250</v>
      </c>
      <c r="J449">
        <v>0.42177355504423247</v>
      </c>
      <c r="K449">
        <v>5.9120589762517471E-306</v>
      </c>
      <c r="L449">
        <v>3.3304598899551511E-304</v>
      </c>
      <c r="M449">
        <v>0.29849342697561992</v>
      </c>
      <c r="N449">
        <v>0</v>
      </c>
      <c r="O449">
        <v>0</v>
      </c>
      <c r="P449">
        <v>0.14865023991329701</v>
      </c>
      <c r="Q449">
        <v>0.82184894087610905</v>
      </c>
      <c r="R449">
        <v>10.419596269787849</v>
      </c>
      <c r="S449">
        <v>0.21680457424310229</v>
      </c>
      <c r="T449">
        <v>0.15827135261982431</v>
      </c>
      <c r="U449">
        <v>4.2625965936405663</v>
      </c>
      <c r="V449">
        <v>0.11023909988438001</v>
      </c>
      <c r="W449">
        <v>13.92280676565345</v>
      </c>
      <c r="X449">
        <v>0.23498754880591111</v>
      </c>
      <c r="Z449" t="s">
        <v>392</v>
      </c>
      <c r="AA449">
        <v>140</v>
      </c>
      <c r="AB449" t="s">
        <v>1854</v>
      </c>
      <c r="AC449" t="str">
        <f>HYPERLINK("plots/20251231112652_3FT6Y119H04_05543_B21P_N_UFLEX98_M5358A8BA201511/dpll_52084/txpa_53288.png","plot")</f>
        <v>plot</v>
      </c>
    </row>
    <row r="450" spans="1:29" x14ac:dyDescent="0.35">
      <c r="A450" t="s">
        <v>47</v>
      </c>
      <c r="B450">
        <v>52084</v>
      </c>
      <c r="C450" t="s">
        <v>52</v>
      </c>
      <c r="D450">
        <v>53289</v>
      </c>
      <c r="E450" t="s">
        <v>164</v>
      </c>
      <c r="F450">
        <v>7139</v>
      </c>
      <c r="G450">
        <v>0.38839052956949732</v>
      </c>
      <c r="H450">
        <v>9.365731080135161E-256</v>
      </c>
      <c r="I450">
        <v>2.4350900808351421E-254</v>
      </c>
      <c r="J450">
        <v>0.4235993797067365</v>
      </c>
      <c r="K450">
        <v>0</v>
      </c>
      <c r="L450">
        <v>7.3023601179843926E-307</v>
      </c>
      <c r="M450">
        <v>0.30016537339735411</v>
      </c>
      <c r="N450">
        <v>0</v>
      </c>
      <c r="O450">
        <v>0</v>
      </c>
      <c r="P450">
        <v>0.15084720345927449</v>
      </c>
      <c r="Q450">
        <v>0.81804044387636077</v>
      </c>
      <c r="R450">
        <v>10.49843942322209</v>
      </c>
      <c r="S450">
        <v>0.21394606617637421</v>
      </c>
      <c r="T450">
        <v>0.15241375292250589</v>
      </c>
      <c r="U450">
        <v>4.2625965936405663</v>
      </c>
      <c r="V450">
        <v>0.11023909988438001</v>
      </c>
      <c r="W450">
        <v>13.98541583274968</v>
      </c>
      <c r="X450">
        <v>0.23218908633510391</v>
      </c>
      <c r="Z450" t="s">
        <v>392</v>
      </c>
      <c r="AA450">
        <v>140</v>
      </c>
      <c r="AB450" t="s">
        <v>1855</v>
      </c>
      <c r="AC450" t="str">
        <f>HYPERLINK("plots/20251231112652_3FT6Y119H04_05543_B21P_N_UFLEX98_M5358A8BA201511/dpll_52084/txpa_53289.png","plot")</f>
        <v>plot</v>
      </c>
    </row>
    <row r="451" spans="1:29" x14ac:dyDescent="0.35">
      <c r="A451" t="s">
        <v>47</v>
      </c>
      <c r="B451">
        <v>52084</v>
      </c>
      <c r="C451" t="s">
        <v>52</v>
      </c>
      <c r="D451">
        <v>53290</v>
      </c>
      <c r="E451" t="s">
        <v>165</v>
      </c>
      <c r="F451">
        <v>7139</v>
      </c>
      <c r="G451">
        <v>0.37957020645675499</v>
      </c>
      <c r="H451">
        <v>1.972383374984433E-243</v>
      </c>
      <c r="I451">
        <v>3.571422753989669E-242</v>
      </c>
      <c r="J451">
        <v>0.39585781634833561</v>
      </c>
      <c r="K451">
        <v>1.730445254365845E-266</v>
      </c>
      <c r="L451">
        <v>3.1903117962308479E-265</v>
      </c>
      <c r="M451">
        <v>0.27604875755186947</v>
      </c>
      <c r="N451">
        <v>5.0281588907802964E-268</v>
      </c>
      <c r="O451">
        <v>9.6199115382098495E-267</v>
      </c>
      <c r="P451">
        <v>0.1440735416296236</v>
      </c>
      <c r="Q451">
        <v>0.78501104307824232</v>
      </c>
      <c r="R451">
        <v>10.51842587789354</v>
      </c>
      <c r="S451">
        <v>0.21091482899813099</v>
      </c>
      <c r="T451">
        <v>0.15580580825757959</v>
      </c>
      <c r="U451">
        <v>4.2625965936405663</v>
      </c>
      <c r="V451">
        <v>0.11023909988438001</v>
      </c>
      <c r="W451">
        <v>13.864611276089089</v>
      </c>
      <c r="X451">
        <v>0.22799184265823899</v>
      </c>
      <c r="Z451" t="s">
        <v>392</v>
      </c>
      <c r="AA451">
        <v>140</v>
      </c>
      <c r="AB451" t="s">
        <v>1856</v>
      </c>
      <c r="AC451" t="str">
        <f>HYPERLINK("plots/20251231112652_3FT6Y119H04_05543_B21P_N_UFLEX98_M5358A8BA201511/dpll_52084/txpa_53290.png","plot")</f>
        <v>plot</v>
      </c>
    </row>
    <row r="452" spans="1:29" x14ac:dyDescent="0.35">
      <c r="A452" t="s">
        <v>47</v>
      </c>
      <c r="B452">
        <v>52084</v>
      </c>
      <c r="C452" t="s">
        <v>52</v>
      </c>
      <c r="D452">
        <v>54146</v>
      </c>
      <c r="E452" t="s">
        <v>166</v>
      </c>
      <c r="F452">
        <v>7139</v>
      </c>
      <c r="G452">
        <v>-9.479306834108206E-3</v>
      </c>
      <c r="H452">
        <v>0.4232421981121478</v>
      </c>
      <c r="I452">
        <v>0.42407864514399002</v>
      </c>
      <c r="J452">
        <v>-4.7198536360010864E-3</v>
      </c>
      <c r="K452">
        <v>0.69009576446490195</v>
      </c>
      <c r="L452">
        <v>0.6907770041139295</v>
      </c>
      <c r="M452">
        <v>-3.1343207633246421E-3</v>
      </c>
      <c r="N452">
        <v>0.69126801714420538</v>
      </c>
      <c r="O452">
        <v>0.69263415947057727</v>
      </c>
      <c r="P452">
        <v>8.9857258055170538E-5</v>
      </c>
      <c r="Q452">
        <v>-0.39266279415222288</v>
      </c>
      <c r="R452">
        <v>-9.7596838169264402</v>
      </c>
      <c r="S452">
        <v>4.5659263066732256</v>
      </c>
      <c r="T452">
        <v>3.4657922764966891</v>
      </c>
      <c r="U452">
        <v>4.2625965936405663</v>
      </c>
      <c r="V452">
        <v>0.11023909988438001</v>
      </c>
      <c r="W452">
        <v>-11.43344690572909</v>
      </c>
      <c r="X452">
        <v>4.5664512968050834</v>
      </c>
      <c r="Z452" t="s">
        <v>392</v>
      </c>
      <c r="AA452">
        <v>140</v>
      </c>
      <c r="AB452" t="s">
        <v>1857</v>
      </c>
      <c r="AC452" t="str">
        <f>HYPERLINK("plots/20251231112652_3FT6Y119H04_05543_B21P_N_UFLEX98_M5358A8BA201511/dpll_52084/txpa_54146.png","plot")</f>
        <v>plot</v>
      </c>
    </row>
    <row r="453" spans="1:29" x14ac:dyDescent="0.35">
      <c r="A453" t="s">
        <v>47</v>
      </c>
      <c r="B453">
        <v>52084</v>
      </c>
      <c r="C453" t="s">
        <v>52</v>
      </c>
      <c r="D453">
        <v>54147</v>
      </c>
      <c r="E453" t="s">
        <v>167</v>
      </c>
      <c r="F453">
        <v>7139</v>
      </c>
      <c r="G453">
        <v>0.12385078161320461</v>
      </c>
      <c r="H453">
        <v>8.3587738215004146E-26</v>
      </c>
      <c r="I453">
        <v>8.6753292272276568E-26</v>
      </c>
      <c r="J453">
        <v>0.10951552566033999</v>
      </c>
      <c r="K453">
        <v>1.701898496681002E-20</v>
      </c>
      <c r="L453">
        <v>1.7502282714346209E-20</v>
      </c>
      <c r="M453">
        <v>7.2733114329001092E-2</v>
      </c>
      <c r="N453">
        <v>3.1920282790978852E-20</v>
      </c>
      <c r="O453">
        <v>3.2826741125813952E-20</v>
      </c>
      <c r="P453">
        <v>1.5339016106201701E-2</v>
      </c>
      <c r="Q453">
        <v>0.97142401143144497</v>
      </c>
      <c r="R453">
        <v>-23.530409196185939</v>
      </c>
      <c r="S453">
        <v>0.85794349667802672</v>
      </c>
      <c r="T453">
        <v>0.65591063468767841</v>
      </c>
      <c r="U453">
        <v>4.2625965936405663</v>
      </c>
      <c r="V453">
        <v>0.11023909988438001</v>
      </c>
      <c r="W453">
        <v>-19.389620514077599</v>
      </c>
      <c r="X453">
        <v>0.86466074118710867</v>
      </c>
      <c r="Z453" t="s">
        <v>392</v>
      </c>
      <c r="AA453">
        <v>140</v>
      </c>
      <c r="AB453" t="s">
        <v>1858</v>
      </c>
      <c r="AC453" t="str">
        <f>HYPERLINK("plots/20251231112652_3FT6Y119H04_05543_B21P_N_UFLEX98_M5358A8BA201511/dpll_52084/txpa_54147.png","plot")</f>
        <v>plot</v>
      </c>
    </row>
    <row r="454" spans="1:29" x14ac:dyDescent="0.35">
      <c r="A454" t="s">
        <v>47</v>
      </c>
      <c r="B454">
        <v>52084</v>
      </c>
      <c r="C454" t="s">
        <v>52</v>
      </c>
      <c r="D454">
        <v>54148</v>
      </c>
      <c r="E454" t="s">
        <v>168</v>
      </c>
      <c r="F454">
        <v>7131</v>
      </c>
      <c r="G454">
        <v>0.129147291178447</v>
      </c>
      <c r="H454">
        <v>6.6560619268604604E-28</v>
      </c>
      <c r="I454">
        <v>6.9795726926954577E-28</v>
      </c>
      <c r="J454">
        <v>0.12480214546744781</v>
      </c>
      <c r="K454">
        <v>3.7498681844545921E-26</v>
      </c>
      <c r="L454">
        <v>3.981535433546551E-26</v>
      </c>
      <c r="M454">
        <v>8.2815909071478941E-2</v>
      </c>
      <c r="N454">
        <v>1.0343843369147311E-25</v>
      </c>
      <c r="O454">
        <v>1.098288709561819E-25</v>
      </c>
      <c r="P454">
        <v>1.6679022818730571E-2</v>
      </c>
      <c r="Q454">
        <v>0.80978979030808529</v>
      </c>
      <c r="R454">
        <v>-22.348701500583658</v>
      </c>
      <c r="S454">
        <v>0.68544348067304472</v>
      </c>
      <c r="T454">
        <v>0.52185746439102698</v>
      </c>
      <c r="U454">
        <v>4.2625601539756</v>
      </c>
      <c r="V454">
        <v>0.1102471714661671</v>
      </c>
      <c r="W454">
        <v>-18.89692380732016</v>
      </c>
      <c r="X454">
        <v>0.6912807310862602</v>
      </c>
      <c r="Z454" t="s">
        <v>392</v>
      </c>
      <c r="AA454">
        <v>140</v>
      </c>
      <c r="AB454" t="s">
        <v>1859</v>
      </c>
      <c r="AC454" t="str">
        <f>HYPERLINK("plots/20251231112652_3FT6Y119H04_05543_B21P_N_UFLEX98_M5358A8BA201511/dpll_52084/txpa_54148.png","plot")</f>
        <v>plot</v>
      </c>
    </row>
    <row r="455" spans="1:29" x14ac:dyDescent="0.35">
      <c r="A455" t="s">
        <v>47</v>
      </c>
      <c r="B455">
        <v>52084</v>
      </c>
      <c r="C455" t="s">
        <v>52</v>
      </c>
      <c r="D455">
        <v>54149</v>
      </c>
      <c r="E455" t="s">
        <v>169</v>
      </c>
      <c r="F455">
        <v>7134</v>
      </c>
      <c r="G455">
        <v>0.13633396956908461</v>
      </c>
      <c r="H455">
        <v>6.0419453786524201E-31</v>
      </c>
      <c r="I455">
        <v>6.4219419433475412E-31</v>
      </c>
      <c r="J455">
        <v>0.13358463661835879</v>
      </c>
      <c r="K455">
        <v>9.1305425819181968E-30</v>
      </c>
      <c r="L455">
        <v>9.9232263430493593E-30</v>
      </c>
      <c r="M455">
        <v>8.9120236286359636E-2</v>
      </c>
      <c r="N455">
        <v>1.5780968025695959E-29</v>
      </c>
      <c r="O455">
        <v>1.7187864208437921E-29</v>
      </c>
      <c r="P455">
        <v>1.8586951258464081E-2</v>
      </c>
      <c r="Q455">
        <v>0.84052607819648406</v>
      </c>
      <c r="R455">
        <v>-22.09610651438129</v>
      </c>
      <c r="S455">
        <v>0.67338912923860528</v>
      </c>
      <c r="T455">
        <v>0.51520758063001015</v>
      </c>
      <c r="U455">
        <v>4.2626053051583961</v>
      </c>
      <c r="V455">
        <v>0.1102614032439423</v>
      </c>
      <c r="W455">
        <v>-18.513275594336982</v>
      </c>
      <c r="X455">
        <v>0.67978351351465127</v>
      </c>
      <c r="Z455" t="s">
        <v>392</v>
      </c>
      <c r="AA455">
        <v>140</v>
      </c>
      <c r="AB455" t="s">
        <v>1860</v>
      </c>
      <c r="AC455" t="str">
        <f>HYPERLINK("plots/20251231112652_3FT6Y119H04_05543_B21P_N_UFLEX98_M5358A8BA201511/dpll_52084/txpa_54149.png","plot")</f>
        <v>plot</v>
      </c>
    </row>
    <row r="456" spans="1:29" x14ac:dyDescent="0.35">
      <c r="A456" t="s">
        <v>47</v>
      </c>
      <c r="B456">
        <v>52084</v>
      </c>
      <c r="C456" t="s">
        <v>52</v>
      </c>
      <c r="D456">
        <v>54150</v>
      </c>
      <c r="E456" t="s">
        <v>170</v>
      </c>
      <c r="F456">
        <v>7135</v>
      </c>
      <c r="G456">
        <v>0.15933687250457301</v>
      </c>
      <c r="H456">
        <v>8.6843766008844231E-42</v>
      </c>
      <c r="I456">
        <v>9.7303401914881815E-42</v>
      </c>
      <c r="J456">
        <v>0.15025895843895701</v>
      </c>
      <c r="K456">
        <v>2.6551328442159791E-37</v>
      </c>
      <c r="L456">
        <v>3.0664062688325769E-37</v>
      </c>
      <c r="M456">
        <v>9.9809012121198387E-2</v>
      </c>
      <c r="N456">
        <v>1.3109980112104039E-36</v>
      </c>
      <c r="O456">
        <v>1.5106272538265341E-36</v>
      </c>
      <c r="P456">
        <v>2.5388238939538541E-2</v>
      </c>
      <c r="Q456">
        <v>0.97243168887846276</v>
      </c>
      <c r="R456">
        <v>-23.016701159110639</v>
      </c>
      <c r="S456">
        <v>0.66423795014547904</v>
      </c>
      <c r="T456">
        <v>0.51212333899093732</v>
      </c>
      <c r="U456">
        <v>4.2626128451296426</v>
      </c>
      <c r="V456">
        <v>0.11025428636728039</v>
      </c>
      <c r="W456">
        <v>-18.871601351086191</v>
      </c>
      <c r="X456">
        <v>0.67288104889310585</v>
      </c>
      <c r="Z456" t="s">
        <v>392</v>
      </c>
      <c r="AA456">
        <v>140</v>
      </c>
      <c r="AB456" t="s">
        <v>1861</v>
      </c>
      <c r="AC456" t="str">
        <f>HYPERLINK("plots/20251231112652_3FT6Y119H04_05543_B21P_N_UFLEX98_M5358A8BA201511/dpll_52084/txpa_54150.png","plot")</f>
        <v>plot</v>
      </c>
    </row>
    <row r="457" spans="1:29" x14ac:dyDescent="0.35">
      <c r="A457" t="s">
        <v>47</v>
      </c>
      <c r="B457">
        <v>52084</v>
      </c>
      <c r="C457" t="s">
        <v>52</v>
      </c>
      <c r="D457">
        <v>54151</v>
      </c>
      <c r="E457" t="s">
        <v>171</v>
      </c>
      <c r="F457">
        <v>7133</v>
      </c>
      <c r="G457">
        <v>0.14892009053874269</v>
      </c>
      <c r="H457">
        <v>1.1813032736809621E-36</v>
      </c>
      <c r="I457">
        <v>1.294963804878374E-36</v>
      </c>
      <c r="J457">
        <v>0.14175842011592421</v>
      </c>
      <c r="K457">
        <v>2.435726283979826E-33</v>
      </c>
      <c r="L457">
        <v>2.7351344982896379E-33</v>
      </c>
      <c r="M457">
        <v>9.4213831129014339E-2</v>
      </c>
      <c r="N457">
        <v>8.4984303910368378E-33</v>
      </c>
      <c r="O457">
        <v>9.5430879474101365E-33</v>
      </c>
      <c r="P457">
        <v>2.217719336606732E-2</v>
      </c>
      <c r="Q457">
        <v>0.87196517999733725</v>
      </c>
      <c r="R457">
        <v>-22.308093841264689</v>
      </c>
      <c r="S457">
        <v>0.63831109482810511</v>
      </c>
      <c r="T457">
        <v>0.49100269458526419</v>
      </c>
      <c r="U457">
        <v>4.2626601422963697</v>
      </c>
      <c r="V457">
        <v>0.1102521089554699</v>
      </c>
      <c r="W457">
        <v>-18.591202623019761</v>
      </c>
      <c r="X457">
        <v>0.64555426794769377</v>
      </c>
      <c r="Z457" t="s">
        <v>392</v>
      </c>
      <c r="AA457">
        <v>140</v>
      </c>
      <c r="AB457" t="s">
        <v>1862</v>
      </c>
      <c r="AC457" t="str">
        <f>HYPERLINK("plots/20251231112652_3FT6Y119H04_05543_B21P_N_UFLEX98_M5358A8BA201511/dpll_52084/txpa_54151.png","plot")</f>
        <v>plot</v>
      </c>
    </row>
    <row r="458" spans="1:29" x14ac:dyDescent="0.35">
      <c r="A458" t="s">
        <v>47</v>
      </c>
      <c r="B458">
        <v>52084</v>
      </c>
      <c r="C458" t="s">
        <v>52</v>
      </c>
      <c r="D458">
        <v>54152</v>
      </c>
      <c r="E458" t="s">
        <v>172</v>
      </c>
      <c r="F458">
        <v>7135</v>
      </c>
      <c r="G458">
        <v>0.1498018724219185</v>
      </c>
      <c r="H458">
        <v>4.3926246893792857E-37</v>
      </c>
      <c r="I458">
        <v>4.8572752835666251E-37</v>
      </c>
      <c r="J458">
        <v>0.1414868349128344</v>
      </c>
      <c r="K458">
        <v>3.1634632678736033E-33</v>
      </c>
      <c r="L458">
        <v>3.5444770758274397E-33</v>
      </c>
      <c r="M458">
        <v>9.3912305321055892E-2</v>
      </c>
      <c r="N458">
        <v>1.3223494032157581E-32</v>
      </c>
      <c r="O458">
        <v>1.481615795426274E-32</v>
      </c>
      <c r="P458">
        <v>2.2440600981112741E-2</v>
      </c>
      <c r="Q458">
        <v>0.8654122196569014</v>
      </c>
      <c r="R458">
        <v>-22.428017266264781</v>
      </c>
      <c r="S458">
        <v>0.62975591105978646</v>
      </c>
      <c r="T458">
        <v>0.4796682265355145</v>
      </c>
      <c r="U458">
        <v>4.2625927729502449</v>
      </c>
      <c r="V458">
        <v>0.1102618638825842</v>
      </c>
      <c r="W458">
        <v>-18.739117393132439</v>
      </c>
      <c r="X458">
        <v>0.63698779476786127</v>
      </c>
      <c r="Z458" t="s">
        <v>392</v>
      </c>
      <c r="AA458">
        <v>140</v>
      </c>
      <c r="AB458" t="s">
        <v>1863</v>
      </c>
      <c r="AC458" t="str">
        <f>HYPERLINK("plots/20251231112652_3FT6Y119H04_05543_B21P_N_UFLEX98_M5358A8BA201511/dpll_52084/txpa_54152.png","plot")</f>
        <v>plot</v>
      </c>
    </row>
    <row r="459" spans="1:29" x14ac:dyDescent="0.35">
      <c r="A459" t="s">
        <v>47</v>
      </c>
      <c r="B459">
        <v>52084</v>
      </c>
      <c r="C459" t="s">
        <v>52</v>
      </c>
      <c r="D459">
        <v>54153</v>
      </c>
      <c r="E459" t="s">
        <v>173</v>
      </c>
      <c r="F459">
        <v>7129</v>
      </c>
      <c r="G459">
        <v>0.13588283119523481</v>
      </c>
      <c r="H459">
        <v>9.9256967811948133E-31</v>
      </c>
      <c r="I459">
        <v>1.051688248289607E-30</v>
      </c>
      <c r="J459">
        <v>0.1202611483463665</v>
      </c>
      <c r="K459">
        <v>2.2140680201186438E-24</v>
      </c>
      <c r="L459">
        <v>2.3386093462503169E-24</v>
      </c>
      <c r="M459">
        <v>7.9891418893033514E-2</v>
      </c>
      <c r="N459">
        <v>4.924046142264133E-24</v>
      </c>
      <c r="O459">
        <v>5.2010237377664898E-24</v>
      </c>
      <c r="P459">
        <v>1.846414381363266E-2</v>
      </c>
      <c r="Q459">
        <v>0.79545803350548205</v>
      </c>
      <c r="R459">
        <v>-22.119003875919962</v>
      </c>
      <c r="S459">
        <v>0.63950591280191338</v>
      </c>
      <c r="T459">
        <v>0.48711294576426789</v>
      </c>
      <c r="U459">
        <v>4.2626194278299909</v>
      </c>
      <c r="V459">
        <v>0.1102730168815351</v>
      </c>
      <c r="W459">
        <v>-18.728269008276051</v>
      </c>
      <c r="X459">
        <v>0.64553819187996753</v>
      </c>
      <c r="Z459" t="s">
        <v>392</v>
      </c>
      <c r="AA459">
        <v>140</v>
      </c>
      <c r="AB459" t="s">
        <v>1864</v>
      </c>
      <c r="AC459" t="str">
        <f>HYPERLINK("plots/20251231112652_3FT6Y119H04_05543_B21P_N_UFLEX98_M5358A8BA201511/dpll_52084/txpa_54153.png","plot")</f>
        <v>plot</v>
      </c>
    </row>
    <row r="460" spans="1:29" x14ac:dyDescent="0.35">
      <c r="A460" t="s">
        <v>47</v>
      </c>
      <c r="B460">
        <v>52084</v>
      </c>
      <c r="C460" t="s">
        <v>52</v>
      </c>
      <c r="D460">
        <v>54154</v>
      </c>
      <c r="E460" t="s">
        <v>174</v>
      </c>
      <c r="F460">
        <v>7139</v>
      </c>
      <c r="G460">
        <v>0.1127090296797968</v>
      </c>
      <c r="H460">
        <v>1.2738786334698751E-21</v>
      </c>
      <c r="I460">
        <v>1.298203954108998E-21</v>
      </c>
      <c r="J460">
        <v>0.10490671166140191</v>
      </c>
      <c r="K460">
        <v>6.2883294528910519E-19</v>
      </c>
      <c r="L460">
        <v>6.4019739610758302E-19</v>
      </c>
      <c r="M460">
        <v>6.9726286706201179E-2</v>
      </c>
      <c r="N460">
        <v>1.0354382908187851E-18</v>
      </c>
      <c r="O460">
        <v>1.053093708014291E-18</v>
      </c>
      <c r="P460">
        <v>1.270332537136132E-2</v>
      </c>
      <c r="Q460">
        <v>0.88924892589300264</v>
      </c>
      <c r="R460">
        <v>-23.490310039132279</v>
      </c>
      <c r="S460">
        <v>0.86415911430352144</v>
      </c>
      <c r="T460">
        <v>0.66129631238422659</v>
      </c>
      <c r="U460">
        <v>4.2625965936405663</v>
      </c>
      <c r="V460">
        <v>0.11023909988438001</v>
      </c>
      <c r="W460">
        <v>-19.69980059672223</v>
      </c>
      <c r="X460">
        <v>0.86976173463738371</v>
      </c>
      <c r="Z460" t="s">
        <v>392</v>
      </c>
      <c r="AA460">
        <v>140</v>
      </c>
      <c r="AB460" t="s">
        <v>1865</v>
      </c>
      <c r="AC460" t="str">
        <f>HYPERLINK("plots/20251231112652_3FT6Y119H04_05543_B21P_N_UFLEX98_M5358A8BA201511/dpll_52084/txpa_54154.png","plot")</f>
        <v>plot</v>
      </c>
    </row>
    <row r="461" spans="1:29" x14ac:dyDescent="0.35">
      <c r="A461" t="s">
        <v>47</v>
      </c>
      <c r="B461">
        <v>52084</v>
      </c>
      <c r="C461" t="s">
        <v>52</v>
      </c>
      <c r="D461">
        <v>54155</v>
      </c>
      <c r="E461" t="s">
        <v>175</v>
      </c>
      <c r="F461">
        <v>7139</v>
      </c>
      <c r="G461">
        <v>0.1478583037873209</v>
      </c>
      <c r="H461">
        <v>3.5106355551492759E-36</v>
      </c>
      <c r="I461">
        <v>3.8236138055009297E-36</v>
      </c>
      <c r="J461">
        <v>0.11071242790496939</v>
      </c>
      <c r="K461">
        <v>6.4982080884213218E-21</v>
      </c>
      <c r="L461">
        <v>6.7305240057806117E-21</v>
      </c>
      <c r="M461">
        <v>7.3353243481378838E-2</v>
      </c>
      <c r="N461">
        <v>1.4877813874836589E-20</v>
      </c>
      <c r="O461">
        <v>1.5393982927637041E-20</v>
      </c>
      <c r="P461">
        <v>2.1862077998863669E-2</v>
      </c>
      <c r="Q461">
        <v>0.73541557291964765</v>
      </c>
      <c r="R461">
        <v>-11.962156999802749</v>
      </c>
      <c r="S461">
        <v>0.54224104699440645</v>
      </c>
      <c r="T461">
        <v>0.44919014037180571</v>
      </c>
      <c r="U461">
        <v>4.2625965936405663</v>
      </c>
      <c r="V461">
        <v>0.11023909988438001</v>
      </c>
      <c r="W461">
        <v>-8.8273770837652332</v>
      </c>
      <c r="X461">
        <v>0.54830570027524972</v>
      </c>
      <c r="Z461" t="s">
        <v>392</v>
      </c>
      <c r="AA461">
        <v>140</v>
      </c>
      <c r="AB461" t="s">
        <v>1866</v>
      </c>
      <c r="AC461" t="str">
        <f>HYPERLINK("plots/20251231112652_3FT6Y119H04_05543_B21P_N_UFLEX98_M5358A8BA201511/dpll_52084/txpa_54155.png","plot")</f>
        <v>plot</v>
      </c>
    </row>
    <row r="462" spans="1:29" x14ac:dyDescent="0.35">
      <c r="A462" t="s">
        <v>47</v>
      </c>
      <c r="B462">
        <v>52084</v>
      </c>
      <c r="C462" t="s">
        <v>52</v>
      </c>
      <c r="D462">
        <v>54156</v>
      </c>
      <c r="E462" t="s">
        <v>176</v>
      </c>
      <c r="F462">
        <v>7139</v>
      </c>
      <c r="G462">
        <v>0.24337559945448131</v>
      </c>
      <c r="H462">
        <v>9.1386902759773155E-97</v>
      </c>
      <c r="I462">
        <v>1.4169161987524459E-96</v>
      </c>
      <c r="J462">
        <v>0.22092276335659791</v>
      </c>
      <c r="K462">
        <v>1.206776215283888E-79</v>
      </c>
      <c r="L462">
        <v>1.8512421819937411E-79</v>
      </c>
      <c r="M462">
        <v>0.14641877579431711</v>
      </c>
      <c r="N462">
        <v>8.0175334163680719E-77</v>
      </c>
      <c r="O462">
        <v>1.217032767095393E-76</v>
      </c>
      <c r="P462">
        <v>5.9231682409828117E-2</v>
      </c>
      <c r="Q462">
        <v>0.77123483524148662</v>
      </c>
      <c r="R462">
        <v>-11.55232401017274</v>
      </c>
      <c r="S462">
        <v>0.33880997209147767</v>
      </c>
      <c r="T462">
        <v>0.26580688089925281</v>
      </c>
      <c r="U462">
        <v>4.2625965936405663</v>
      </c>
      <c r="V462">
        <v>0.11023909988438001</v>
      </c>
      <c r="W462">
        <v>-8.2648610285754316</v>
      </c>
      <c r="X462">
        <v>0.34933754339822798</v>
      </c>
      <c r="Z462" t="s">
        <v>392</v>
      </c>
      <c r="AA462">
        <v>140</v>
      </c>
      <c r="AB462" t="s">
        <v>1867</v>
      </c>
      <c r="AC462" t="str">
        <f>HYPERLINK("plots/20251231112652_3FT6Y119H04_05543_B21P_N_UFLEX98_M5358A8BA201511/dpll_52084/txpa_54156.png","plot")</f>
        <v>plot</v>
      </c>
    </row>
    <row r="463" spans="1:29" x14ac:dyDescent="0.35">
      <c r="A463" t="s">
        <v>47</v>
      </c>
      <c r="B463">
        <v>52084</v>
      </c>
      <c r="C463" t="s">
        <v>52</v>
      </c>
      <c r="D463">
        <v>54157</v>
      </c>
      <c r="E463" t="s">
        <v>177</v>
      </c>
      <c r="F463">
        <v>7139</v>
      </c>
      <c r="G463">
        <v>0.1932353914895466</v>
      </c>
      <c r="H463">
        <v>5.1380555073210459E-61</v>
      </c>
      <c r="I463">
        <v>6.2544877364028097E-61</v>
      </c>
      <c r="J463">
        <v>0.16383767535086699</v>
      </c>
      <c r="K463">
        <v>3.8871996015354829E-44</v>
      </c>
      <c r="L463">
        <v>4.6646395218425791E-44</v>
      </c>
      <c r="M463">
        <v>0.1090435560398432</v>
      </c>
      <c r="N463">
        <v>2.0477834765584302E-43</v>
      </c>
      <c r="O463">
        <v>2.4573401718701161E-43</v>
      </c>
      <c r="P463">
        <v>3.7339916524118333E-2</v>
      </c>
      <c r="Q463">
        <v>0.70219376327267313</v>
      </c>
      <c r="R463">
        <v>-10.887887122446431</v>
      </c>
      <c r="S463">
        <v>0.39301761690944159</v>
      </c>
      <c r="T463">
        <v>0.3181567782965401</v>
      </c>
      <c r="U463">
        <v>4.2625965936405663</v>
      </c>
      <c r="V463">
        <v>0.11023909988438001</v>
      </c>
      <c r="W463">
        <v>-7.8947183790446838</v>
      </c>
      <c r="X463">
        <v>0.40059539720389442</v>
      </c>
      <c r="Z463" t="s">
        <v>392</v>
      </c>
      <c r="AA463">
        <v>140</v>
      </c>
      <c r="AB463" t="s">
        <v>1868</v>
      </c>
      <c r="AC463" t="str">
        <f>HYPERLINK("plots/20251231112652_3FT6Y119H04_05543_B21P_N_UFLEX98_M5358A8BA201511/dpll_52084/txpa_54157.png","plot")</f>
        <v>plot</v>
      </c>
    </row>
    <row r="464" spans="1:29" x14ac:dyDescent="0.35">
      <c r="A464" t="s">
        <v>47</v>
      </c>
      <c r="B464">
        <v>52084</v>
      </c>
      <c r="C464" t="s">
        <v>52</v>
      </c>
      <c r="D464">
        <v>54158</v>
      </c>
      <c r="E464" t="s">
        <v>178</v>
      </c>
      <c r="F464">
        <v>7139</v>
      </c>
      <c r="G464">
        <v>0.27895396305544001</v>
      </c>
      <c r="H464">
        <v>9.5854988963609859E-128</v>
      </c>
      <c r="I464">
        <v>1.920888514013842E-127</v>
      </c>
      <c r="J464">
        <v>0.24566030786758891</v>
      </c>
      <c r="K464">
        <v>1.3036269209742199E-98</v>
      </c>
      <c r="L464">
        <v>2.4077917993950069E-98</v>
      </c>
      <c r="M464">
        <v>0.16399555344481551</v>
      </c>
      <c r="N464">
        <v>6.8729081976480044E-96</v>
      </c>
      <c r="O464">
        <v>1.267114347711832E-95</v>
      </c>
      <c r="P464">
        <v>7.7815313504335765E-2</v>
      </c>
      <c r="Q464">
        <v>0.84283741593980066</v>
      </c>
      <c r="R464">
        <v>-11.85831270991615</v>
      </c>
      <c r="S464">
        <v>0.3198346142064824</v>
      </c>
      <c r="T464">
        <v>0.25494858990366082</v>
      </c>
      <c r="U464">
        <v>4.2625965936405663</v>
      </c>
      <c r="V464">
        <v>0.11023909988438001</v>
      </c>
      <c r="W464">
        <v>-8.2656368117383376</v>
      </c>
      <c r="X464">
        <v>0.33307875272456527</v>
      </c>
      <c r="Z464" t="s">
        <v>392</v>
      </c>
      <c r="AA464">
        <v>140</v>
      </c>
      <c r="AB464" t="s">
        <v>1869</v>
      </c>
      <c r="AC464" t="str">
        <f>HYPERLINK("plots/20251231112652_3FT6Y119H04_05543_B21P_N_UFLEX98_M5358A8BA201511/dpll_52084/txpa_54158.png","plot")</f>
        <v>plot</v>
      </c>
    </row>
    <row r="465" spans="1:29" x14ac:dyDescent="0.35">
      <c r="A465" t="s">
        <v>47</v>
      </c>
      <c r="B465">
        <v>52084</v>
      </c>
      <c r="C465" t="s">
        <v>52</v>
      </c>
      <c r="D465">
        <v>54159</v>
      </c>
      <c r="E465" t="s">
        <v>179</v>
      </c>
      <c r="F465">
        <v>7139</v>
      </c>
      <c r="G465">
        <v>0.2181876709103075</v>
      </c>
      <c r="H465">
        <v>1.1029974695702311E-77</v>
      </c>
      <c r="I465">
        <v>1.4833414245944491E-77</v>
      </c>
      <c r="J465">
        <v>0.17892335225437181</v>
      </c>
      <c r="K465">
        <v>1.9732073469850431E-52</v>
      </c>
      <c r="L465">
        <v>2.4855059004258799E-52</v>
      </c>
      <c r="M465">
        <v>0.11866306571120661</v>
      </c>
      <c r="N465">
        <v>4.3683854498864947E-51</v>
      </c>
      <c r="O465">
        <v>5.4618284169974185E-51</v>
      </c>
      <c r="P465">
        <v>4.7605859737264659E-2</v>
      </c>
      <c r="Q465">
        <v>0.71944662321429964</v>
      </c>
      <c r="R465">
        <v>-11.06923023053224</v>
      </c>
      <c r="S465">
        <v>0.35471697231382759</v>
      </c>
      <c r="T465">
        <v>0.28694012973990729</v>
      </c>
      <c r="U465">
        <v>4.2625965936405663</v>
      </c>
      <c r="V465">
        <v>0.11023909988438001</v>
      </c>
      <c r="W465">
        <v>-8.0025195051127618</v>
      </c>
      <c r="X465">
        <v>0.36349967817661122</v>
      </c>
      <c r="Z465" t="s">
        <v>392</v>
      </c>
      <c r="AA465">
        <v>140</v>
      </c>
      <c r="AB465" t="s">
        <v>1870</v>
      </c>
      <c r="AC465" t="str">
        <f>HYPERLINK("plots/20251231112652_3FT6Y119H04_05543_B21P_N_UFLEX98_M5358A8BA201511/dpll_52084/txpa_54159.png","plot")</f>
        <v>plot</v>
      </c>
    </row>
    <row r="466" spans="1:29" x14ac:dyDescent="0.35">
      <c r="A466" t="s">
        <v>47</v>
      </c>
      <c r="B466">
        <v>52084</v>
      </c>
      <c r="C466" t="s">
        <v>52</v>
      </c>
      <c r="D466">
        <v>54160</v>
      </c>
      <c r="E466" t="s">
        <v>180</v>
      </c>
      <c r="F466">
        <v>7139</v>
      </c>
      <c r="G466">
        <v>0.28136036283132398</v>
      </c>
      <c r="H466">
        <v>5.1319529330951063E-130</v>
      </c>
      <c r="I466">
        <v>1.0598371230465251E-129</v>
      </c>
      <c r="J466">
        <v>0.23984974296562361</v>
      </c>
      <c r="K466">
        <v>5.9073102003092112E-94</v>
      </c>
      <c r="L466">
        <v>1.039932733179434E-93</v>
      </c>
      <c r="M466">
        <v>0.15928639994554011</v>
      </c>
      <c r="N466">
        <v>1.4366469712795871E-90</v>
      </c>
      <c r="O466">
        <v>2.520346070722321E-90</v>
      </c>
      <c r="P466">
        <v>7.9163653772574311E-2</v>
      </c>
      <c r="Q466">
        <v>0.75837132922771877</v>
      </c>
      <c r="R466">
        <v>-11.350616834287131</v>
      </c>
      <c r="S466">
        <v>0.28511197353591122</v>
      </c>
      <c r="T466">
        <v>0.22681881569459619</v>
      </c>
      <c r="U466">
        <v>4.2625965936405663</v>
      </c>
      <c r="V466">
        <v>0.11023909988438001</v>
      </c>
      <c r="W466">
        <v>-8.1179857896063883</v>
      </c>
      <c r="X466">
        <v>0.29713557329432427</v>
      </c>
      <c r="Z466" t="s">
        <v>392</v>
      </c>
      <c r="AA466">
        <v>140</v>
      </c>
      <c r="AB466" t="s">
        <v>1871</v>
      </c>
      <c r="AC466" t="str">
        <f>HYPERLINK("plots/20251231112652_3FT6Y119H04_05543_B21P_N_UFLEX98_M5358A8BA201511/dpll_52084/txpa_54160.png","plot")</f>
        <v>plot</v>
      </c>
    </row>
    <row r="467" spans="1:29" x14ac:dyDescent="0.35">
      <c r="A467" t="s">
        <v>47</v>
      </c>
      <c r="B467">
        <v>52084</v>
      </c>
      <c r="C467" t="s">
        <v>52</v>
      </c>
      <c r="D467">
        <v>54161</v>
      </c>
      <c r="E467" t="s">
        <v>181</v>
      </c>
      <c r="F467">
        <v>7139</v>
      </c>
      <c r="G467">
        <v>0.20740283632219569</v>
      </c>
      <c r="H467">
        <v>3.2768096903394912E-70</v>
      </c>
      <c r="I467">
        <v>4.2112611229458098E-70</v>
      </c>
      <c r="J467">
        <v>0.17779244683765921</v>
      </c>
      <c r="K467">
        <v>8.7830322512949549E-52</v>
      </c>
      <c r="L467">
        <v>1.094102543343131E-51</v>
      </c>
      <c r="M467">
        <v>0.11826055831133241</v>
      </c>
      <c r="N467">
        <v>9.4318097908807224E-51</v>
      </c>
      <c r="O467">
        <v>1.17636594439767E-50</v>
      </c>
      <c r="P467">
        <v>4.3015936514491489E-2</v>
      </c>
      <c r="Q467">
        <v>0.64247984608325004</v>
      </c>
      <c r="R467">
        <v>-10.81992578916549</v>
      </c>
      <c r="S467">
        <v>0.33404302643048761</v>
      </c>
      <c r="T467">
        <v>0.26442600011017181</v>
      </c>
      <c r="U467">
        <v>4.2625965936405663</v>
      </c>
      <c r="V467">
        <v>0.11023909988438001</v>
      </c>
      <c r="W467">
        <v>-8.0812933857683138</v>
      </c>
      <c r="X467">
        <v>0.34149195441110231</v>
      </c>
      <c r="Z467" t="s">
        <v>392</v>
      </c>
      <c r="AA467">
        <v>140</v>
      </c>
      <c r="AB467" t="s">
        <v>1872</v>
      </c>
      <c r="AC467" t="str">
        <f>HYPERLINK("plots/20251231112652_3FT6Y119H04_05543_B21P_N_UFLEX98_M5358A8BA201511/dpll_52084/txpa_54161.png","plot")</f>
        <v>plot</v>
      </c>
    </row>
    <row r="468" spans="1:29" x14ac:dyDescent="0.35">
      <c r="A468" t="s">
        <v>47</v>
      </c>
      <c r="B468">
        <v>52084</v>
      </c>
      <c r="C468" t="s">
        <v>52</v>
      </c>
      <c r="D468">
        <v>54162</v>
      </c>
      <c r="E468" t="s">
        <v>182</v>
      </c>
      <c r="F468">
        <v>7139</v>
      </c>
      <c r="G468">
        <v>0.16178392917161399</v>
      </c>
      <c r="H468">
        <v>4.5675844063706103E-43</v>
      </c>
      <c r="I468">
        <v>5.1576064455008889E-43</v>
      </c>
      <c r="J468">
        <v>0.1261381540238577</v>
      </c>
      <c r="K468">
        <v>1.0329356940717399E-26</v>
      </c>
      <c r="L468">
        <v>1.1002067161646479E-26</v>
      </c>
      <c r="M468">
        <v>8.3613255441357087E-2</v>
      </c>
      <c r="N468">
        <v>3.1864969768061392E-26</v>
      </c>
      <c r="O468">
        <v>3.3940209395813278E-26</v>
      </c>
      <c r="P468">
        <v>2.6174039738205829E-2</v>
      </c>
      <c r="Q468">
        <v>0.76826323502014382</v>
      </c>
      <c r="R468">
        <v>-12.268113240351679</v>
      </c>
      <c r="S468">
        <v>0.51655977613791926</v>
      </c>
      <c r="T468">
        <v>0.42664624566711529</v>
      </c>
      <c r="U468">
        <v>4.2625965936405663</v>
      </c>
      <c r="V468">
        <v>0.11023909988438001</v>
      </c>
      <c r="W468">
        <v>-8.9933169917355382</v>
      </c>
      <c r="X468">
        <v>0.52349233905083337</v>
      </c>
      <c r="Z468" t="s">
        <v>392</v>
      </c>
      <c r="AA468">
        <v>140</v>
      </c>
      <c r="AB468" t="s">
        <v>1873</v>
      </c>
      <c r="AC468" t="str">
        <f>HYPERLINK("plots/20251231112652_3FT6Y119H04_05543_B21P_N_UFLEX98_M5358A8BA201511/dpll_52084/txpa_54162.png","plot")</f>
        <v>plot</v>
      </c>
    </row>
    <row r="469" spans="1:29" x14ac:dyDescent="0.35">
      <c r="A469" t="s">
        <v>47</v>
      </c>
      <c r="B469">
        <v>52084</v>
      </c>
      <c r="C469" t="s">
        <v>52</v>
      </c>
      <c r="D469">
        <v>54163</v>
      </c>
      <c r="E469" t="s">
        <v>183</v>
      </c>
      <c r="F469">
        <v>7139</v>
      </c>
      <c r="G469">
        <v>0.14375720907466391</v>
      </c>
      <c r="H469">
        <v>2.8259359039475939E-34</v>
      </c>
      <c r="I469">
        <v>3.058163294133256E-34</v>
      </c>
      <c r="J469">
        <v>0.10766059811593</v>
      </c>
      <c r="K469">
        <v>7.412392349303681E-20</v>
      </c>
      <c r="L469">
        <v>7.5844256732532124E-20</v>
      </c>
      <c r="M469">
        <v>7.1323073406164769E-2</v>
      </c>
      <c r="N469">
        <v>1.6106894740233439E-19</v>
      </c>
      <c r="O469">
        <v>1.64807177261319E-19</v>
      </c>
      <c r="P469">
        <v>2.0666135160936641E-2</v>
      </c>
      <c r="Q469">
        <v>0.70731136647027171</v>
      </c>
      <c r="R469">
        <v>-5.9437159866206759</v>
      </c>
      <c r="S469">
        <v>0.53672475951059795</v>
      </c>
      <c r="T469">
        <v>0.44688895319229771</v>
      </c>
      <c r="U469">
        <v>4.2625965936405663</v>
      </c>
      <c r="V469">
        <v>0.11023909988438001</v>
      </c>
      <c r="W469">
        <v>-2.9287329652612408</v>
      </c>
      <c r="X469">
        <v>0.54239623097563205</v>
      </c>
      <c r="Z469" t="s">
        <v>392</v>
      </c>
      <c r="AA469">
        <v>140</v>
      </c>
      <c r="AB469" t="s">
        <v>1874</v>
      </c>
      <c r="AC469" t="str">
        <f>HYPERLINK("plots/20251231112652_3FT6Y119H04_05543_B21P_N_UFLEX98_M5358A8BA201511/dpll_52084/txpa_54163.png","plot")</f>
        <v>plot</v>
      </c>
    </row>
    <row r="470" spans="1:29" x14ac:dyDescent="0.35">
      <c r="A470" t="s">
        <v>47</v>
      </c>
      <c r="B470">
        <v>52084</v>
      </c>
      <c r="C470" t="s">
        <v>52</v>
      </c>
      <c r="D470">
        <v>54164</v>
      </c>
      <c r="E470" t="s">
        <v>184</v>
      </c>
      <c r="F470">
        <v>7139</v>
      </c>
      <c r="G470">
        <v>0.25554677032322032</v>
      </c>
      <c r="H470">
        <v>8.0139070198307584E-107</v>
      </c>
      <c r="I470">
        <v>1.345381079157018E-106</v>
      </c>
      <c r="J470">
        <v>0.2337885601862221</v>
      </c>
      <c r="K470">
        <v>3.1330561413431561E-89</v>
      </c>
      <c r="L470">
        <v>5.3393595417175803E-89</v>
      </c>
      <c r="M470">
        <v>0.1550598784717801</v>
      </c>
      <c r="N470">
        <v>6.1722716458938238E-86</v>
      </c>
      <c r="O470">
        <v>1.0260136801534979E-85</v>
      </c>
      <c r="P470">
        <v>6.5304151822628692E-2</v>
      </c>
      <c r="Q470">
        <v>0.77560819271362447</v>
      </c>
      <c r="R470">
        <v>-5.6946518643538226</v>
      </c>
      <c r="S470">
        <v>0.32345389662727408</v>
      </c>
      <c r="T470">
        <v>0.25379405965890212</v>
      </c>
      <c r="U470">
        <v>4.2625965936405663</v>
      </c>
      <c r="V470">
        <v>0.11023909988438001</v>
      </c>
      <c r="W470">
        <v>-2.3885470240930111</v>
      </c>
      <c r="X470">
        <v>0.33458591129739501</v>
      </c>
      <c r="Z470" t="s">
        <v>392</v>
      </c>
      <c r="AA470">
        <v>140</v>
      </c>
      <c r="AB470" t="s">
        <v>1875</v>
      </c>
      <c r="AC470" t="str">
        <f>HYPERLINK("plots/20251231112652_3FT6Y119H04_05543_B21P_N_UFLEX98_M5358A8BA201511/dpll_52084/txpa_54164.png","plot")</f>
        <v>plot</v>
      </c>
    </row>
    <row r="471" spans="1:29" x14ac:dyDescent="0.35">
      <c r="A471" t="s">
        <v>47</v>
      </c>
      <c r="B471">
        <v>52084</v>
      </c>
      <c r="C471" t="s">
        <v>52</v>
      </c>
      <c r="D471">
        <v>54165</v>
      </c>
      <c r="E471" t="s">
        <v>185</v>
      </c>
      <c r="F471">
        <v>7139</v>
      </c>
      <c r="G471">
        <v>0.19808230936945581</v>
      </c>
      <c r="H471">
        <v>4.4019529873903227E-64</v>
      </c>
      <c r="I471">
        <v>5.4767856800169162E-64</v>
      </c>
      <c r="J471">
        <v>0.17054964885563589</v>
      </c>
      <c r="K471">
        <v>9.8622289662109155E-48</v>
      </c>
      <c r="L471">
        <v>1.197640739130284E-47</v>
      </c>
      <c r="M471">
        <v>0.11380069527693221</v>
      </c>
      <c r="N471">
        <v>3.9267232485248722E-47</v>
      </c>
      <c r="O471">
        <v>4.7799488283363992E-47</v>
      </c>
      <c r="P471">
        <v>3.9236601285136799E-2</v>
      </c>
      <c r="Q471">
        <v>0.6938366040463444</v>
      </c>
      <c r="R471">
        <v>-5.0031556285062058</v>
      </c>
      <c r="S471">
        <v>0.37846435399496459</v>
      </c>
      <c r="T471">
        <v>0.30677355691205249</v>
      </c>
      <c r="U471">
        <v>4.2625965936405663</v>
      </c>
      <c r="V471">
        <v>0.11023909988438001</v>
      </c>
      <c r="W471">
        <v>-2.0456100835551201</v>
      </c>
      <c r="X471">
        <v>0.38614211910383978</v>
      </c>
      <c r="Z471" t="s">
        <v>392</v>
      </c>
      <c r="AA471">
        <v>140</v>
      </c>
      <c r="AB471" t="s">
        <v>1876</v>
      </c>
      <c r="AC471" t="str">
        <f>HYPERLINK("plots/20251231112652_3FT6Y119H04_05543_B21P_N_UFLEX98_M5358A8BA201511/dpll_52084/txpa_54165.png","plot")</f>
        <v>plot</v>
      </c>
    </row>
    <row r="472" spans="1:29" x14ac:dyDescent="0.35">
      <c r="A472" t="s">
        <v>47</v>
      </c>
      <c r="B472">
        <v>52084</v>
      </c>
      <c r="C472" t="s">
        <v>52</v>
      </c>
      <c r="D472">
        <v>54166</v>
      </c>
      <c r="E472" t="s">
        <v>186</v>
      </c>
      <c r="F472">
        <v>7139</v>
      </c>
      <c r="G472">
        <v>0.28580276580390851</v>
      </c>
      <c r="H472">
        <v>2.8656660309096458E-134</v>
      </c>
      <c r="I472">
        <v>6.1174428533523801E-134</v>
      </c>
      <c r="J472">
        <v>0.25594380180054499</v>
      </c>
      <c r="K472">
        <v>3.6848643411931008E-107</v>
      </c>
      <c r="L472">
        <v>7.269362727567714E-107</v>
      </c>
      <c r="M472">
        <v>0.17109108109597479</v>
      </c>
      <c r="N472">
        <v>3.3202894623340863E-104</v>
      </c>
      <c r="O472">
        <v>6.5501430249158821E-104</v>
      </c>
      <c r="P472">
        <v>8.1683220941163745E-2</v>
      </c>
      <c r="Q472">
        <v>0.82552115267808102</v>
      </c>
      <c r="R472">
        <v>-5.9114691252986562</v>
      </c>
      <c r="S472">
        <v>0.30511480248440348</v>
      </c>
      <c r="T472">
        <v>0.243191323912019</v>
      </c>
      <c r="U472">
        <v>4.2625965936405663</v>
      </c>
      <c r="V472">
        <v>0.11023909988438001</v>
      </c>
      <c r="W472">
        <v>-2.392605471914834</v>
      </c>
      <c r="X472">
        <v>0.31841787307680081</v>
      </c>
      <c r="Z472" t="s">
        <v>392</v>
      </c>
      <c r="AA472">
        <v>140</v>
      </c>
      <c r="AB472" t="s">
        <v>1877</v>
      </c>
      <c r="AC472" t="str">
        <f>HYPERLINK("plots/20251231112652_3FT6Y119H04_05543_B21P_N_UFLEX98_M5358A8BA201511/dpll_52084/txpa_54166.png","plot")</f>
        <v>plot</v>
      </c>
    </row>
    <row r="473" spans="1:29" x14ac:dyDescent="0.35">
      <c r="A473" t="s">
        <v>47</v>
      </c>
      <c r="B473">
        <v>52084</v>
      </c>
      <c r="C473" t="s">
        <v>52</v>
      </c>
      <c r="D473">
        <v>54167</v>
      </c>
      <c r="E473" t="s">
        <v>187</v>
      </c>
      <c r="F473">
        <v>7139</v>
      </c>
      <c r="G473">
        <v>0.22149630881151461</v>
      </c>
      <c r="H473">
        <v>4.6453770243691532E-80</v>
      </c>
      <c r="I473">
        <v>6.3397204612521148E-80</v>
      </c>
      <c r="J473">
        <v>0.1814867297201721</v>
      </c>
      <c r="K473">
        <v>6.4446233096188624E-54</v>
      </c>
      <c r="L473">
        <v>8.1481895710143724E-54</v>
      </c>
      <c r="M473">
        <v>0.12048100797012749</v>
      </c>
      <c r="N473">
        <v>1.2996083627631329E-52</v>
      </c>
      <c r="O473">
        <v>1.6410994767644039E-52</v>
      </c>
      <c r="P473">
        <v>4.9060614817125862E-2</v>
      </c>
      <c r="Q473">
        <v>0.7063696397868251</v>
      </c>
      <c r="R473">
        <v>-5.1573234873625911</v>
      </c>
      <c r="S473">
        <v>0.34280503208312801</v>
      </c>
      <c r="T473">
        <v>0.27802349087022732</v>
      </c>
      <c r="U473">
        <v>4.2625965936405663</v>
      </c>
      <c r="V473">
        <v>0.11023909988438001</v>
      </c>
      <c r="W473">
        <v>-2.1463546669561562</v>
      </c>
      <c r="X473">
        <v>0.35156140386076379</v>
      </c>
      <c r="Z473" t="s">
        <v>392</v>
      </c>
      <c r="AA473">
        <v>140</v>
      </c>
      <c r="AB473" t="s">
        <v>1878</v>
      </c>
      <c r="AC473" t="str">
        <f>HYPERLINK("plots/20251231112652_3FT6Y119H04_05543_B21P_N_UFLEX98_M5358A8BA201511/dpll_52084/txpa_54167.png","plot")</f>
        <v>plot</v>
      </c>
    </row>
    <row r="474" spans="1:29" x14ac:dyDescent="0.35">
      <c r="A474" t="s">
        <v>47</v>
      </c>
      <c r="B474">
        <v>52084</v>
      </c>
      <c r="C474" t="s">
        <v>52</v>
      </c>
      <c r="D474">
        <v>54168</v>
      </c>
      <c r="E474" t="s">
        <v>188</v>
      </c>
      <c r="F474">
        <v>7139</v>
      </c>
      <c r="G474">
        <v>0.29355801778201013</v>
      </c>
      <c r="H474">
        <v>6.9879500667715814E-142</v>
      </c>
      <c r="I474">
        <v>1.614073204488926E-141</v>
      </c>
      <c r="J474">
        <v>0.25373070387818247</v>
      </c>
      <c r="K474">
        <v>2.7521855156052049E-105</v>
      </c>
      <c r="L474">
        <v>5.3359772711733793E-105</v>
      </c>
      <c r="M474">
        <v>0.1687656564510894</v>
      </c>
      <c r="N474">
        <v>1.9170094640974799E-101</v>
      </c>
      <c r="O474">
        <v>3.6885153635575799E-101</v>
      </c>
      <c r="P474">
        <v>8.6176309804102971E-2</v>
      </c>
      <c r="Q474">
        <v>0.75887395035905292</v>
      </c>
      <c r="R474">
        <v>-5.4862277990360049</v>
      </c>
      <c r="S474">
        <v>0.27240316190919611</v>
      </c>
      <c r="T474">
        <v>0.21694073632055411</v>
      </c>
      <c r="U474">
        <v>4.2625965936405663</v>
      </c>
      <c r="V474">
        <v>0.11023909988438001</v>
      </c>
      <c r="W474">
        <v>-2.2514542832329458</v>
      </c>
      <c r="X474">
        <v>0.28497801506279419</v>
      </c>
      <c r="Z474" t="s">
        <v>392</v>
      </c>
      <c r="AA474">
        <v>140</v>
      </c>
      <c r="AB474" t="s">
        <v>1879</v>
      </c>
      <c r="AC474" t="str">
        <f>HYPERLINK("plots/20251231112652_3FT6Y119H04_05543_B21P_N_UFLEX98_M5358A8BA201511/dpll_52084/txpa_54168.png","plot")</f>
        <v>plot</v>
      </c>
    </row>
    <row r="475" spans="1:29" x14ac:dyDescent="0.35">
      <c r="A475" t="s">
        <v>47</v>
      </c>
      <c r="B475">
        <v>52084</v>
      </c>
      <c r="C475" t="s">
        <v>52</v>
      </c>
      <c r="D475">
        <v>54169</v>
      </c>
      <c r="E475" t="s">
        <v>189</v>
      </c>
      <c r="F475">
        <v>7139</v>
      </c>
      <c r="G475">
        <v>0.21332894933116139</v>
      </c>
      <c r="H475">
        <v>2.8857772981151879E-74</v>
      </c>
      <c r="I475">
        <v>3.7854827688082802E-74</v>
      </c>
      <c r="J475">
        <v>0.1848792468237879</v>
      </c>
      <c r="K475">
        <v>6.4284667302933686E-56</v>
      </c>
      <c r="L475">
        <v>8.2721640412658324E-56</v>
      </c>
      <c r="M475">
        <v>0.1231231555514726</v>
      </c>
      <c r="N475">
        <v>7.2603671961654727E-55</v>
      </c>
      <c r="O475">
        <v>9.3308141152240683E-55</v>
      </c>
      <c r="P475">
        <v>4.5509240622737243E-2</v>
      </c>
      <c r="Q475">
        <v>0.63982928612314693</v>
      </c>
      <c r="R475">
        <v>-4.9489555374170164</v>
      </c>
      <c r="S475">
        <v>0.32300215784604042</v>
      </c>
      <c r="T475">
        <v>0.25542979981200892</v>
      </c>
      <c r="U475">
        <v>4.2625965936405663</v>
      </c>
      <c r="V475">
        <v>0.11023909988438001</v>
      </c>
      <c r="W475">
        <v>-2.2216214018770142</v>
      </c>
      <c r="X475">
        <v>0.33063587854823828</v>
      </c>
      <c r="Z475" t="s">
        <v>392</v>
      </c>
      <c r="AA475">
        <v>140</v>
      </c>
      <c r="AB475" t="s">
        <v>1880</v>
      </c>
      <c r="AC475" t="str">
        <f>HYPERLINK("plots/20251231112652_3FT6Y119H04_05543_B21P_N_UFLEX98_M5358A8BA201511/dpll_52084/txpa_54169.png","plot")</f>
        <v>plot</v>
      </c>
    </row>
    <row r="476" spans="1:29" x14ac:dyDescent="0.35">
      <c r="A476" t="s">
        <v>47</v>
      </c>
      <c r="B476">
        <v>52084</v>
      </c>
      <c r="C476" t="s">
        <v>52</v>
      </c>
      <c r="D476">
        <v>54170</v>
      </c>
      <c r="E476" t="s">
        <v>190</v>
      </c>
      <c r="F476">
        <v>7139</v>
      </c>
      <c r="G476">
        <v>0.1606526571413831</v>
      </c>
      <c r="H476">
        <v>1.7502109810839141E-42</v>
      </c>
      <c r="I476">
        <v>1.965353194705525E-42</v>
      </c>
      <c r="J476">
        <v>0.12656498978608799</v>
      </c>
      <c r="K476">
        <v>6.9623418643674584E-27</v>
      </c>
      <c r="L476">
        <v>7.4470618675829138E-27</v>
      </c>
      <c r="M476">
        <v>8.4080887248446382E-2</v>
      </c>
      <c r="N476">
        <v>1.680531641130142E-26</v>
      </c>
      <c r="O476">
        <v>1.7994288110939429E-26</v>
      </c>
      <c r="P476">
        <v>2.5809276246586792E-2</v>
      </c>
      <c r="Q476">
        <v>0.75590214324109906</v>
      </c>
      <c r="R476">
        <v>-6.2877552274214317</v>
      </c>
      <c r="S476">
        <v>0.51192330144184606</v>
      </c>
      <c r="T476">
        <v>0.42640467677532301</v>
      </c>
      <c r="U476">
        <v>4.2625965936405663</v>
      </c>
      <c r="V476">
        <v>0.11023909988438001</v>
      </c>
      <c r="W476">
        <v>-3.0656493265163189</v>
      </c>
      <c r="X476">
        <v>0.51869650558121527</v>
      </c>
      <c r="Z476" t="s">
        <v>392</v>
      </c>
      <c r="AA476">
        <v>140</v>
      </c>
      <c r="AB476" t="s">
        <v>1881</v>
      </c>
      <c r="AC476" t="str">
        <f>HYPERLINK("plots/20251231112652_3FT6Y119H04_05543_B21P_N_UFLEX98_M5358A8BA201511/dpll_52084/txpa_54170.png","plot")</f>
        <v>plot</v>
      </c>
    </row>
    <row r="477" spans="1:29" x14ac:dyDescent="0.35">
      <c r="A477" t="s">
        <v>47</v>
      </c>
      <c r="B477">
        <v>52084</v>
      </c>
      <c r="C477" t="s">
        <v>52</v>
      </c>
      <c r="D477">
        <v>54171</v>
      </c>
      <c r="E477" t="s">
        <v>191</v>
      </c>
      <c r="F477">
        <v>7139</v>
      </c>
      <c r="G477">
        <v>0.14910096492114511</v>
      </c>
      <c r="H477">
        <v>9.0574050747066901E-37</v>
      </c>
      <c r="I477">
        <v>9.9503886736214353E-37</v>
      </c>
      <c r="J477">
        <v>0.1129726571408262</v>
      </c>
      <c r="K477">
        <v>1.0250378138193059E-21</v>
      </c>
      <c r="L477">
        <v>1.0737482884429501E-21</v>
      </c>
      <c r="M477">
        <v>7.4873017053140201E-2</v>
      </c>
      <c r="N477">
        <v>2.381837996978114E-21</v>
      </c>
      <c r="O477">
        <v>2.4924496686644041E-21</v>
      </c>
      <c r="P477">
        <v>2.2231097740416549E-2</v>
      </c>
      <c r="Q477">
        <v>0.70808404138508374</v>
      </c>
      <c r="R477">
        <v>-2.96299285116319</v>
      </c>
      <c r="S477">
        <v>0.51763984922034156</v>
      </c>
      <c r="T477">
        <v>0.43196694159226001</v>
      </c>
      <c r="U477">
        <v>4.2625965936405663</v>
      </c>
      <c r="V477">
        <v>0.11023909988438001</v>
      </c>
      <c r="W477">
        <v>5.5283771656114297E-2</v>
      </c>
      <c r="X477">
        <v>0.52352811670983157</v>
      </c>
      <c r="Z477" t="s">
        <v>392</v>
      </c>
      <c r="AA477">
        <v>140</v>
      </c>
      <c r="AB477" t="s">
        <v>1882</v>
      </c>
      <c r="AC477" t="str">
        <f>HYPERLINK("plots/20251231112652_3FT6Y119H04_05543_B21P_N_UFLEX98_M5358A8BA201511/dpll_52084/txpa_54171.png","plot")</f>
        <v>plot</v>
      </c>
    </row>
    <row r="478" spans="1:29" x14ac:dyDescent="0.35">
      <c r="A478" t="s">
        <v>47</v>
      </c>
      <c r="B478">
        <v>52084</v>
      </c>
      <c r="C478" t="s">
        <v>52</v>
      </c>
      <c r="D478">
        <v>54172</v>
      </c>
      <c r="E478" t="s">
        <v>192</v>
      </c>
      <c r="F478">
        <v>7139</v>
      </c>
      <c r="G478">
        <v>0.27057495624374822</v>
      </c>
      <c r="H478">
        <v>5.1721606448924379E-120</v>
      </c>
      <c r="I478">
        <v>9.6942160700941437E-120</v>
      </c>
      <c r="J478">
        <v>0.25049949604052452</v>
      </c>
      <c r="K478">
        <v>1.38557618502502E-102</v>
      </c>
      <c r="L478">
        <v>2.6409290443897932E-102</v>
      </c>
      <c r="M478">
        <v>0.16655894183167691</v>
      </c>
      <c r="N478">
        <v>7.3347220533690414E-99</v>
      </c>
      <c r="O478">
        <v>1.377297807799298E-98</v>
      </c>
      <c r="P478">
        <v>7.3210806946306231E-2</v>
      </c>
      <c r="Q478">
        <v>0.78452988746036934</v>
      </c>
      <c r="R478">
        <v>-2.7788233115576841</v>
      </c>
      <c r="S478">
        <v>0.30769299992796539</v>
      </c>
      <c r="T478">
        <v>0.24135290670393619</v>
      </c>
      <c r="U478">
        <v>4.2625965936405663</v>
      </c>
      <c r="V478">
        <v>0.11023909988438001</v>
      </c>
      <c r="W478">
        <v>0.56531111434010362</v>
      </c>
      <c r="X478">
        <v>0.31963737452520952</v>
      </c>
      <c r="Z478" t="s">
        <v>392</v>
      </c>
      <c r="AA478">
        <v>140</v>
      </c>
      <c r="AB478" t="s">
        <v>1883</v>
      </c>
      <c r="AC478" t="str">
        <f>HYPERLINK("plots/20251231112652_3FT6Y119H04_05543_B21P_N_UFLEX98_M5358A8BA201511/dpll_52084/txpa_54172.png","plot")</f>
        <v>plot</v>
      </c>
    </row>
    <row r="479" spans="1:29" x14ac:dyDescent="0.35">
      <c r="A479" t="s">
        <v>47</v>
      </c>
      <c r="B479">
        <v>52084</v>
      </c>
      <c r="C479" t="s">
        <v>52</v>
      </c>
      <c r="D479">
        <v>54173</v>
      </c>
      <c r="E479" t="s">
        <v>193</v>
      </c>
      <c r="F479">
        <v>7139</v>
      </c>
      <c r="G479">
        <v>0.21077658046379619</v>
      </c>
      <c r="H479">
        <v>1.6674181912605E-72</v>
      </c>
      <c r="I479">
        <v>2.1676436486386501E-72</v>
      </c>
      <c r="J479">
        <v>0.183618938401022</v>
      </c>
      <c r="K479">
        <v>3.5983034234485212E-55</v>
      </c>
      <c r="L479">
        <v>4.5895341778324528E-55</v>
      </c>
      <c r="M479">
        <v>0.1226921760740506</v>
      </c>
      <c r="N479">
        <v>1.699877694105238E-54</v>
      </c>
      <c r="O479">
        <v>2.1791099643776379E-54</v>
      </c>
      <c r="P479">
        <v>4.4426766872011157E-2</v>
      </c>
      <c r="Q479">
        <v>0.70416263000469315</v>
      </c>
      <c r="R479">
        <v>-2.1227350490118591</v>
      </c>
      <c r="S479">
        <v>0.35998785259985649</v>
      </c>
      <c r="T479">
        <v>0.29171050007438099</v>
      </c>
      <c r="U479">
        <v>4.2625965936405663</v>
      </c>
      <c r="V479">
        <v>0.11023909988438001</v>
      </c>
      <c r="W479">
        <v>0.87882617901512805</v>
      </c>
      <c r="X479">
        <v>0.36828690518237378</v>
      </c>
      <c r="Z479" t="s">
        <v>392</v>
      </c>
      <c r="AA479">
        <v>140</v>
      </c>
      <c r="AB479" t="s">
        <v>1884</v>
      </c>
      <c r="AC479" t="str">
        <f>HYPERLINK("plots/20251231112652_3FT6Y119H04_05543_B21P_N_UFLEX98_M5358A8BA201511/dpll_52084/txpa_54173.png","plot")</f>
        <v>plot</v>
      </c>
    </row>
    <row r="480" spans="1:29" x14ac:dyDescent="0.35">
      <c r="A480" t="s">
        <v>47</v>
      </c>
      <c r="B480">
        <v>52084</v>
      </c>
      <c r="C480" t="s">
        <v>52</v>
      </c>
      <c r="D480">
        <v>54174</v>
      </c>
      <c r="E480" t="s">
        <v>194</v>
      </c>
      <c r="F480">
        <v>7139</v>
      </c>
      <c r="G480">
        <v>0.30009043237864602</v>
      </c>
      <c r="H480">
        <v>1.7542333151970699E-148</v>
      </c>
      <c r="I480">
        <v>4.3385184917312908E-148</v>
      </c>
      <c r="J480">
        <v>0.2721879355581745</v>
      </c>
      <c r="K480">
        <v>1.763813561432568E-121</v>
      </c>
      <c r="L480">
        <v>3.8628659855132249E-121</v>
      </c>
      <c r="M480">
        <v>0.18228390460686689</v>
      </c>
      <c r="N480">
        <v>5.0499508564809569E-118</v>
      </c>
      <c r="O480">
        <v>1.1107701016207569E-117</v>
      </c>
      <c r="P480">
        <v>9.0054267605202687E-2</v>
      </c>
      <c r="Q480">
        <v>0.82713818966238017</v>
      </c>
      <c r="R480">
        <v>-2.9624189777237659</v>
      </c>
      <c r="S480">
        <v>0.28982704530544601</v>
      </c>
      <c r="T480">
        <v>0.23079247560411709</v>
      </c>
      <c r="U480">
        <v>4.2625965936405663</v>
      </c>
      <c r="V480">
        <v>0.11023909988438001</v>
      </c>
      <c r="W480">
        <v>0.56333745200112062</v>
      </c>
      <c r="X480">
        <v>0.30385163827323969</v>
      </c>
      <c r="Z480" t="s">
        <v>392</v>
      </c>
      <c r="AA480">
        <v>140</v>
      </c>
      <c r="AB480" t="s">
        <v>1885</v>
      </c>
      <c r="AC480" t="str">
        <f>HYPERLINK("plots/20251231112652_3FT6Y119H04_05543_B21P_N_UFLEX98_M5358A8BA201511/dpll_52084/txpa_54174.png","plot")</f>
        <v>plot</v>
      </c>
    </row>
    <row r="481" spans="1:29" x14ac:dyDescent="0.35">
      <c r="A481" t="s">
        <v>47</v>
      </c>
      <c r="B481">
        <v>52084</v>
      </c>
      <c r="C481" t="s">
        <v>52</v>
      </c>
      <c r="D481">
        <v>54175</v>
      </c>
      <c r="E481" t="s">
        <v>195</v>
      </c>
      <c r="F481">
        <v>7139</v>
      </c>
      <c r="G481">
        <v>0.23419593603576469</v>
      </c>
      <c r="H481">
        <v>1.522800822612326E-89</v>
      </c>
      <c r="I481">
        <v>2.2443605147222371E-89</v>
      </c>
      <c r="J481">
        <v>0.19534753186243911</v>
      </c>
      <c r="K481">
        <v>2.4223784310953641E-62</v>
      </c>
      <c r="L481">
        <v>3.2706947125575222E-62</v>
      </c>
      <c r="M481">
        <v>0.1299201332209374</v>
      </c>
      <c r="N481">
        <v>6.9299856418966855E-61</v>
      </c>
      <c r="O481">
        <v>9.2949807419090454E-61</v>
      </c>
      <c r="P481">
        <v>5.4847736455667977E-2</v>
      </c>
      <c r="Q481">
        <v>0.71310190767770931</v>
      </c>
      <c r="R481">
        <v>-2.24939634291351</v>
      </c>
      <c r="S481">
        <v>0.32630848915879812</v>
      </c>
      <c r="T481">
        <v>0.2645766153768741</v>
      </c>
      <c r="U481">
        <v>4.2625965936405663</v>
      </c>
      <c r="V481">
        <v>0.11023909988438001</v>
      </c>
      <c r="W481">
        <v>0.79026941967208297</v>
      </c>
      <c r="X481">
        <v>0.33566642427228088</v>
      </c>
      <c r="Z481" t="s">
        <v>392</v>
      </c>
      <c r="AA481">
        <v>140</v>
      </c>
      <c r="AB481" t="s">
        <v>1886</v>
      </c>
      <c r="AC481" t="str">
        <f>HYPERLINK("plots/20251231112652_3FT6Y119H04_05543_B21P_N_UFLEX98_M5358A8BA201511/dpll_52084/txpa_54175.png","plot")</f>
        <v>plot</v>
      </c>
    </row>
    <row r="482" spans="1:29" x14ac:dyDescent="0.35">
      <c r="A482" t="s">
        <v>47</v>
      </c>
      <c r="B482">
        <v>52084</v>
      </c>
      <c r="C482" t="s">
        <v>52</v>
      </c>
      <c r="D482">
        <v>54176</v>
      </c>
      <c r="E482" t="s">
        <v>196</v>
      </c>
      <c r="F482">
        <v>7139</v>
      </c>
      <c r="G482">
        <v>0.31047329846286692</v>
      </c>
      <c r="H482">
        <v>2.480742570860666E-159</v>
      </c>
      <c r="I482">
        <v>6.816999910169959E-159</v>
      </c>
      <c r="J482">
        <v>0.27280820712854043</v>
      </c>
      <c r="K482">
        <v>4.7813337825664058E-122</v>
      </c>
      <c r="L482">
        <v>1.0608911281230491E-121</v>
      </c>
      <c r="M482">
        <v>0.18188747040107089</v>
      </c>
      <c r="N482">
        <v>1.6145047942051639E-117</v>
      </c>
      <c r="O482">
        <v>3.5131069985494343E-117</v>
      </c>
      <c r="P482">
        <v>9.6393669058412443E-2</v>
      </c>
      <c r="Q482">
        <v>0.7655826902271291</v>
      </c>
      <c r="R482">
        <v>-2.573148760856367</v>
      </c>
      <c r="S482">
        <v>0.25838227736221331</v>
      </c>
      <c r="T482">
        <v>0.2056369090277759</v>
      </c>
      <c r="U482">
        <v>4.2625965936405663</v>
      </c>
      <c r="V482">
        <v>0.11023909988438001</v>
      </c>
      <c r="W482">
        <v>0.69022140665597431</v>
      </c>
      <c r="X482">
        <v>0.27183383265338967</v>
      </c>
      <c r="Z482" t="s">
        <v>392</v>
      </c>
      <c r="AA482">
        <v>140</v>
      </c>
      <c r="AB482" t="s">
        <v>1887</v>
      </c>
      <c r="AC482" t="str">
        <f>HYPERLINK("plots/20251231112652_3FT6Y119H04_05543_B21P_N_UFLEX98_M5358A8BA201511/dpll_52084/txpa_54176.png","plot")</f>
        <v>plot</v>
      </c>
    </row>
    <row r="483" spans="1:29" x14ac:dyDescent="0.35">
      <c r="A483" t="s">
        <v>47</v>
      </c>
      <c r="B483">
        <v>52084</v>
      </c>
      <c r="C483" t="s">
        <v>52</v>
      </c>
      <c r="D483">
        <v>54177</v>
      </c>
      <c r="E483" t="s">
        <v>197</v>
      </c>
      <c r="F483">
        <v>7139</v>
      </c>
      <c r="G483">
        <v>0.2265066191083733</v>
      </c>
      <c r="H483">
        <v>9.8827142651719689E-84</v>
      </c>
      <c r="I483">
        <v>1.3860404239120851E-83</v>
      </c>
      <c r="J483">
        <v>0.1990422912909601</v>
      </c>
      <c r="K483">
        <v>1.0628776106405751E-64</v>
      </c>
      <c r="L483">
        <v>1.4643449690075309E-64</v>
      </c>
      <c r="M483">
        <v>0.13276623827056469</v>
      </c>
      <c r="N483">
        <v>1.6799156286071039E-63</v>
      </c>
      <c r="O483">
        <v>2.3050533794419529E-63</v>
      </c>
      <c r="P483">
        <v>5.1305248499905691E-2</v>
      </c>
      <c r="Q483">
        <v>0.65076572708197444</v>
      </c>
      <c r="R483">
        <v>-2.0581602846591269</v>
      </c>
      <c r="S483">
        <v>0.30846952384269222</v>
      </c>
      <c r="T483">
        <v>0.24395182796082349</v>
      </c>
      <c r="U483">
        <v>4.2625965936405663</v>
      </c>
      <c r="V483">
        <v>0.11023909988438001</v>
      </c>
      <c r="W483">
        <v>0.71579148685852367</v>
      </c>
      <c r="X483">
        <v>0.31672287667141708</v>
      </c>
      <c r="Z483" t="s">
        <v>392</v>
      </c>
      <c r="AA483">
        <v>140</v>
      </c>
      <c r="AB483" t="s">
        <v>1888</v>
      </c>
      <c r="AC483" t="str">
        <f>HYPERLINK("plots/20251231112652_3FT6Y119H04_05543_B21P_N_UFLEX98_M5358A8BA201511/dpll_52084/txpa_54177.png","plot")</f>
        <v>plot</v>
      </c>
    </row>
    <row r="484" spans="1:29" x14ac:dyDescent="0.35">
      <c r="A484" t="s">
        <v>47</v>
      </c>
      <c r="B484">
        <v>52084</v>
      </c>
      <c r="C484" t="s">
        <v>52</v>
      </c>
      <c r="D484">
        <v>54178</v>
      </c>
      <c r="E484" t="s">
        <v>198</v>
      </c>
      <c r="F484">
        <v>7139</v>
      </c>
      <c r="G484">
        <v>0.16660999664515061</v>
      </c>
      <c r="H484">
        <v>1.3268121233629231E-45</v>
      </c>
      <c r="I484">
        <v>1.5150760057319861E-45</v>
      </c>
      <c r="J484">
        <v>0.1321647049963984</v>
      </c>
      <c r="K484">
        <v>3.4728102572176021E-29</v>
      </c>
      <c r="L484">
        <v>3.7622111119857351E-29</v>
      </c>
      <c r="M484">
        <v>8.7899111286114523E-2</v>
      </c>
      <c r="N484">
        <v>8.2588995501429527E-29</v>
      </c>
      <c r="O484">
        <v>8.947141179321531E-29</v>
      </c>
      <c r="P484">
        <v>2.775889098209711E-2</v>
      </c>
      <c r="Q484">
        <v>0.7569515902204641</v>
      </c>
      <c r="R484">
        <v>-3.2945421711758418</v>
      </c>
      <c r="S484">
        <v>0.49380931673525158</v>
      </c>
      <c r="T484">
        <v>0.41264162272630811</v>
      </c>
      <c r="U484">
        <v>4.2625965936405663</v>
      </c>
      <c r="V484">
        <v>0.11023909988438001</v>
      </c>
      <c r="W484">
        <v>-6.7962901151281688E-2</v>
      </c>
      <c r="X484">
        <v>0.50084426890469447</v>
      </c>
      <c r="Z484" t="s">
        <v>392</v>
      </c>
      <c r="AA484">
        <v>140</v>
      </c>
      <c r="AB484" t="s">
        <v>1889</v>
      </c>
      <c r="AC484" t="str">
        <f>HYPERLINK("plots/20251231112652_3FT6Y119H04_05543_B21P_N_UFLEX98_M5358A8BA201511/dpll_52084/txpa_54178.png","plot")</f>
        <v>plot</v>
      </c>
    </row>
    <row r="485" spans="1:29" x14ac:dyDescent="0.35">
      <c r="A485" t="s">
        <v>47</v>
      </c>
      <c r="B485">
        <v>52084</v>
      </c>
      <c r="C485" t="s">
        <v>52</v>
      </c>
      <c r="D485">
        <v>54179</v>
      </c>
      <c r="E485" t="s">
        <v>199</v>
      </c>
      <c r="F485">
        <v>7139</v>
      </c>
      <c r="G485">
        <v>0.16272422967904729</v>
      </c>
      <c r="H485">
        <v>1.4842846982255009E-43</v>
      </c>
      <c r="I485">
        <v>1.6797596919650201E-43</v>
      </c>
      <c r="J485">
        <v>0.12692936096541449</v>
      </c>
      <c r="K485">
        <v>4.9664209216505762E-27</v>
      </c>
      <c r="L485">
        <v>5.3346936594848349E-27</v>
      </c>
      <c r="M485">
        <v>8.4284444374065418E-2</v>
      </c>
      <c r="N485">
        <v>1.271711077324819E-26</v>
      </c>
      <c r="O485">
        <v>1.3674602676642279E-26</v>
      </c>
      <c r="P485">
        <v>2.6479174924639349E-2</v>
      </c>
      <c r="Q485">
        <v>0.71263463013301531</v>
      </c>
      <c r="R485">
        <v>0.4270036465851943</v>
      </c>
      <c r="S485">
        <v>0.47631313831028732</v>
      </c>
      <c r="T485">
        <v>0.39807949999525571</v>
      </c>
      <c r="U485">
        <v>4.2625965936405663</v>
      </c>
      <c r="V485">
        <v>0.11023909988438001</v>
      </c>
      <c r="W485">
        <v>3.4646775935004901</v>
      </c>
      <c r="X485">
        <v>0.48278120798145202</v>
      </c>
      <c r="Z485" t="s">
        <v>392</v>
      </c>
      <c r="AA485">
        <v>140</v>
      </c>
      <c r="AB485" t="s">
        <v>1890</v>
      </c>
      <c r="AC485" t="str">
        <f>HYPERLINK("plots/20251231112652_3FT6Y119H04_05543_B21P_N_UFLEX98_M5358A8BA201511/dpll_52084/txpa_54179.png","plot")</f>
        <v>plot</v>
      </c>
    </row>
    <row r="486" spans="1:29" x14ac:dyDescent="0.35">
      <c r="A486" t="s">
        <v>47</v>
      </c>
      <c r="B486">
        <v>52084</v>
      </c>
      <c r="C486" t="s">
        <v>52</v>
      </c>
      <c r="D486">
        <v>54180</v>
      </c>
      <c r="E486" t="s">
        <v>200</v>
      </c>
      <c r="F486">
        <v>7139</v>
      </c>
      <c r="G486">
        <v>0.29615405138533413</v>
      </c>
      <c r="H486">
        <v>1.7459943388815571E-144</v>
      </c>
      <c r="I486">
        <v>4.1755619330799479E-144</v>
      </c>
      <c r="J486">
        <v>0.27898681713089613</v>
      </c>
      <c r="K486">
        <v>8.928075751010396E-128</v>
      </c>
      <c r="L486">
        <v>2.0956177804454959E-127</v>
      </c>
      <c r="M486">
        <v>0.18616407934242071</v>
      </c>
      <c r="N486">
        <v>5.1145425318736552E-123</v>
      </c>
      <c r="O486">
        <v>1.168050929576551E-122</v>
      </c>
      <c r="P486">
        <v>8.7707222151947123E-2</v>
      </c>
      <c r="Q486">
        <v>0.79385867220642414</v>
      </c>
      <c r="R486">
        <v>0.53943861077756239</v>
      </c>
      <c r="S486">
        <v>0.28222655397858509</v>
      </c>
      <c r="T486">
        <v>0.22106865564011779</v>
      </c>
      <c r="U486">
        <v>4.2625965936405663</v>
      </c>
      <c r="V486">
        <v>0.11023909988438001</v>
      </c>
      <c r="W486">
        <v>3.9233378827566892</v>
      </c>
      <c r="X486">
        <v>0.29550250975826797</v>
      </c>
      <c r="Z486" t="s">
        <v>392</v>
      </c>
      <c r="AA486">
        <v>140</v>
      </c>
      <c r="AB486" t="s">
        <v>1891</v>
      </c>
      <c r="AC486" t="str">
        <f>HYPERLINK("plots/20251231112652_3FT6Y119H04_05543_B21P_N_UFLEX98_M5358A8BA201511/dpll_52084/txpa_54180.png","plot")</f>
        <v>plot</v>
      </c>
    </row>
    <row r="487" spans="1:29" x14ac:dyDescent="0.35">
      <c r="A487" t="s">
        <v>47</v>
      </c>
      <c r="B487">
        <v>52084</v>
      </c>
      <c r="C487" t="s">
        <v>52</v>
      </c>
      <c r="D487">
        <v>54181</v>
      </c>
      <c r="E487" t="s">
        <v>201</v>
      </c>
      <c r="F487">
        <v>7139</v>
      </c>
      <c r="G487">
        <v>0.23356987094571099</v>
      </c>
      <c r="H487">
        <v>4.6123131270701099E-89</v>
      </c>
      <c r="I487">
        <v>6.74875254090778E-89</v>
      </c>
      <c r="J487">
        <v>0.20793461103630609</v>
      </c>
      <c r="K487">
        <v>1.4342519043318859E-70</v>
      </c>
      <c r="L487">
        <v>2.0599595339837561E-70</v>
      </c>
      <c r="M487">
        <v>0.13942190371365659</v>
      </c>
      <c r="N487">
        <v>7.7237361428282799E-70</v>
      </c>
      <c r="O487">
        <v>1.117242289419098E-69</v>
      </c>
      <c r="P487">
        <v>5.4554884613596102E-2</v>
      </c>
      <c r="Q487">
        <v>0.71787057623086292</v>
      </c>
      <c r="R487">
        <v>1.1336991018419029</v>
      </c>
      <c r="S487">
        <v>0.32942210105585701</v>
      </c>
      <c r="T487">
        <v>0.2663817120346571</v>
      </c>
      <c r="U487">
        <v>4.2625965936405663</v>
      </c>
      <c r="V487">
        <v>0.11023909988438001</v>
      </c>
      <c r="W487">
        <v>4.1936917747583697</v>
      </c>
      <c r="X487">
        <v>0.33881684241528559</v>
      </c>
      <c r="Z487" t="s">
        <v>392</v>
      </c>
      <c r="AA487">
        <v>140</v>
      </c>
      <c r="AB487" t="s">
        <v>1892</v>
      </c>
      <c r="AC487" t="str">
        <f>HYPERLINK("plots/20251231112652_3FT6Y119H04_05543_B21P_N_UFLEX98_M5358A8BA201511/dpll_52084/txpa_54181.png","plot")</f>
        <v>plot</v>
      </c>
    </row>
    <row r="488" spans="1:29" x14ac:dyDescent="0.35">
      <c r="A488" t="s">
        <v>47</v>
      </c>
      <c r="B488">
        <v>52084</v>
      </c>
      <c r="C488" t="s">
        <v>52</v>
      </c>
      <c r="D488">
        <v>54182</v>
      </c>
      <c r="E488" t="s">
        <v>202</v>
      </c>
      <c r="F488">
        <v>7139</v>
      </c>
      <c r="G488">
        <v>0.325940960625757</v>
      </c>
      <c r="H488">
        <v>2.4984313991458078E-176</v>
      </c>
      <c r="I488">
        <v>8.5299981102149794E-176</v>
      </c>
      <c r="J488">
        <v>0.30192913072718841</v>
      </c>
      <c r="K488">
        <v>2.264728182337642E-150</v>
      </c>
      <c r="L488">
        <v>6.4871027595773133E-150</v>
      </c>
      <c r="M488">
        <v>0.20294737197437079</v>
      </c>
      <c r="N488">
        <v>8.0349104990171025E-146</v>
      </c>
      <c r="O488">
        <v>2.2631664572231512E-145</v>
      </c>
      <c r="P488">
        <v>0.1062375098136413</v>
      </c>
      <c r="Q488">
        <v>0.82921467034407959</v>
      </c>
      <c r="R488">
        <v>0.3888951885561327</v>
      </c>
      <c r="S488">
        <v>0.26512112695712081</v>
      </c>
      <c r="T488">
        <v>0.21041684319120429</v>
      </c>
      <c r="U488">
        <v>4.2625965936405663</v>
      </c>
      <c r="V488">
        <v>0.11023909988438001</v>
      </c>
      <c r="W488">
        <v>3.9235028177615909</v>
      </c>
      <c r="X488">
        <v>0.2804553275358746</v>
      </c>
      <c r="Z488" t="s">
        <v>392</v>
      </c>
      <c r="AA488">
        <v>140</v>
      </c>
      <c r="AB488" t="s">
        <v>1893</v>
      </c>
      <c r="AC488" t="str">
        <f>HYPERLINK("plots/20251231112652_3FT6Y119H04_05543_B21P_N_UFLEX98_M5358A8BA201511/dpll_52084/txpa_54182.png","plot")</f>
        <v>plot</v>
      </c>
    </row>
    <row r="489" spans="1:29" x14ac:dyDescent="0.35">
      <c r="A489" t="s">
        <v>47</v>
      </c>
      <c r="B489">
        <v>52084</v>
      </c>
      <c r="C489" t="s">
        <v>52</v>
      </c>
      <c r="D489">
        <v>54183</v>
      </c>
      <c r="E489" t="s">
        <v>203</v>
      </c>
      <c r="F489">
        <v>7139</v>
      </c>
      <c r="G489">
        <v>0.25949482948823038</v>
      </c>
      <c r="H489">
        <v>3.3267625415526408E-110</v>
      </c>
      <c r="I489">
        <v>5.7663884053579108E-110</v>
      </c>
      <c r="J489">
        <v>0.22216166105377241</v>
      </c>
      <c r="K489">
        <v>1.5295765496120551E-80</v>
      </c>
      <c r="L489">
        <v>2.393504045226271E-80</v>
      </c>
      <c r="M489">
        <v>0.14818957568739749</v>
      </c>
      <c r="N489">
        <v>1.176459612263707E-78</v>
      </c>
      <c r="O489">
        <v>1.8296473110972371E-78</v>
      </c>
      <c r="P489">
        <v>6.7337566531125756E-2</v>
      </c>
      <c r="Q489">
        <v>0.72677011524019575</v>
      </c>
      <c r="R489">
        <v>1.025536274727227</v>
      </c>
      <c r="S489">
        <v>0.29815070010396688</v>
      </c>
      <c r="T489">
        <v>0.2411202606952888</v>
      </c>
      <c r="U489">
        <v>4.2625965936405663</v>
      </c>
      <c r="V489">
        <v>0.11023909988438001</v>
      </c>
      <c r="W489">
        <v>4.1234640923098471</v>
      </c>
      <c r="X489">
        <v>0.30874789869591668</v>
      </c>
      <c r="Z489" t="s">
        <v>392</v>
      </c>
      <c r="AA489">
        <v>140</v>
      </c>
      <c r="AB489" t="s">
        <v>1894</v>
      </c>
      <c r="AC489" t="str">
        <f>HYPERLINK("plots/20251231112652_3FT6Y119H04_05543_B21P_N_UFLEX98_M5358A8BA201511/dpll_52084/txpa_54183.png","plot")</f>
        <v>plot</v>
      </c>
    </row>
    <row r="490" spans="1:29" x14ac:dyDescent="0.35">
      <c r="A490" t="s">
        <v>47</v>
      </c>
      <c r="B490">
        <v>52084</v>
      </c>
      <c r="C490" t="s">
        <v>52</v>
      </c>
      <c r="D490">
        <v>54184</v>
      </c>
      <c r="E490" t="s">
        <v>204</v>
      </c>
      <c r="F490">
        <v>7139</v>
      </c>
      <c r="G490">
        <v>0.34040988819594847</v>
      </c>
      <c r="H490">
        <v>3.714624769953172E-193</v>
      </c>
      <c r="I490">
        <v>1.696679962492124E-192</v>
      </c>
      <c r="J490">
        <v>0.30643794915630618</v>
      </c>
      <c r="K490">
        <v>4.613692090457375E-155</v>
      </c>
      <c r="L490">
        <v>1.417661751431448E-154</v>
      </c>
      <c r="M490">
        <v>0.20539769124741369</v>
      </c>
      <c r="N490">
        <v>2.5823322297239651E-149</v>
      </c>
      <c r="O490">
        <v>7.5898112491017424E-149</v>
      </c>
      <c r="P490">
        <v>0.11587889198157809</v>
      </c>
      <c r="Q490">
        <v>0.77581502166542304</v>
      </c>
      <c r="R490">
        <v>0.72284379889825967</v>
      </c>
      <c r="S490">
        <v>0.23622025630058741</v>
      </c>
      <c r="T490">
        <v>0.18753354656681509</v>
      </c>
      <c r="U490">
        <v>4.2625965936405663</v>
      </c>
      <c r="V490">
        <v>0.11023909988438001</v>
      </c>
      <c r="W490">
        <v>4.0298302675444742</v>
      </c>
      <c r="X490">
        <v>0.25124167255666391</v>
      </c>
      <c r="Z490" t="s">
        <v>392</v>
      </c>
      <c r="AA490">
        <v>140</v>
      </c>
      <c r="AB490" t="s">
        <v>1895</v>
      </c>
      <c r="AC490" t="str">
        <f>HYPERLINK("plots/20251231112652_3FT6Y119H04_05543_B21P_N_UFLEX98_M5358A8BA201511/dpll_52084/txpa_54184.png","plot")</f>
        <v>plot</v>
      </c>
    </row>
    <row r="491" spans="1:29" x14ac:dyDescent="0.35">
      <c r="A491" t="s">
        <v>47</v>
      </c>
      <c r="B491">
        <v>52084</v>
      </c>
      <c r="C491" t="s">
        <v>52</v>
      </c>
      <c r="D491">
        <v>54185</v>
      </c>
      <c r="E491" t="s">
        <v>205</v>
      </c>
      <c r="F491">
        <v>7139</v>
      </c>
      <c r="G491">
        <v>0.25218686701831622</v>
      </c>
      <c r="H491">
        <v>5.4391369251083557E-104</v>
      </c>
      <c r="I491">
        <v>8.997202026198814E-104</v>
      </c>
      <c r="J491">
        <v>0.22604041696907881</v>
      </c>
      <c r="K491">
        <v>2.1896789317494581E-83</v>
      </c>
      <c r="L491">
        <v>3.5468601226740423E-83</v>
      </c>
      <c r="M491">
        <v>0.1513727165883329</v>
      </c>
      <c r="N491">
        <v>5.4635496115366576E-82</v>
      </c>
      <c r="O491">
        <v>8.7937131842828114E-82</v>
      </c>
      <c r="P491">
        <v>6.3598215896513904E-2</v>
      </c>
      <c r="Q491">
        <v>0.66933593508818223</v>
      </c>
      <c r="R491">
        <v>1.199057587190504</v>
      </c>
      <c r="S491">
        <v>0.28311183921005162</v>
      </c>
      <c r="T491">
        <v>0.22366074958616339</v>
      </c>
      <c r="U491">
        <v>4.2625965936405663</v>
      </c>
      <c r="V491">
        <v>0.11023909988438001</v>
      </c>
      <c r="W491">
        <v>4.0521666640986131</v>
      </c>
      <c r="X491">
        <v>0.29258855497432368</v>
      </c>
      <c r="Z491" t="s">
        <v>392</v>
      </c>
      <c r="AA491">
        <v>140</v>
      </c>
      <c r="AB491" t="s">
        <v>1896</v>
      </c>
      <c r="AC491" t="str">
        <f>HYPERLINK("plots/20251231112652_3FT6Y119H04_05543_B21P_N_UFLEX98_M5358A8BA201511/dpll_52084/txpa_54185.png","plot")</f>
        <v>plot</v>
      </c>
    </row>
    <row r="492" spans="1:29" x14ac:dyDescent="0.35">
      <c r="A492" t="s">
        <v>47</v>
      </c>
      <c r="B492">
        <v>52084</v>
      </c>
      <c r="C492" t="s">
        <v>52</v>
      </c>
      <c r="D492">
        <v>54186</v>
      </c>
      <c r="E492" t="s">
        <v>206</v>
      </c>
      <c r="F492">
        <v>7139</v>
      </c>
      <c r="G492">
        <v>0.18025662679731611</v>
      </c>
      <c r="H492">
        <v>3.350224385985868E-53</v>
      </c>
      <c r="I492">
        <v>3.9593560925287531E-53</v>
      </c>
      <c r="J492">
        <v>0.14511946743018639</v>
      </c>
      <c r="K492">
        <v>6.6718769890606592E-35</v>
      </c>
      <c r="L492">
        <v>7.6099924262176701E-35</v>
      </c>
      <c r="M492">
        <v>9.6618816524276577E-2</v>
      </c>
      <c r="N492">
        <v>1.849961468707089E-34</v>
      </c>
      <c r="O492">
        <v>2.1100797854544289E-34</v>
      </c>
      <c r="P492">
        <v>3.2492451504346903E-2</v>
      </c>
      <c r="Q492">
        <v>0.75547775948012852</v>
      </c>
      <c r="R492">
        <v>0.13917016201531579</v>
      </c>
      <c r="S492">
        <v>0.45442567849960869</v>
      </c>
      <c r="T492">
        <v>0.38062436771774061</v>
      </c>
      <c r="U492">
        <v>4.2625965936405663</v>
      </c>
      <c r="V492">
        <v>0.11023909988438001</v>
      </c>
      <c r="W492">
        <v>3.3594670861465188</v>
      </c>
      <c r="X492">
        <v>0.46202566678118701</v>
      </c>
      <c r="Z492" t="s">
        <v>392</v>
      </c>
      <c r="AA492">
        <v>140</v>
      </c>
      <c r="AB492" t="s">
        <v>1897</v>
      </c>
      <c r="AC492" t="str">
        <f>HYPERLINK("plots/20251231112652_3FT6Y119H04_05543_B21P_N_UFLEX98_M5358A8BA201511/dpll_52084/txpa_54186.png","plot")</f>
        <v>plot</v>
      </c>
    </row>
    <row r="493" spans="1:29" x14ac:dyDescent="0.35">
      <c r="A493" t="s">
        <v>47</v>
      </c>
      <c r="B493">
        <v>52084</v>
      </c>
      <c r="C493" t="s">
        <v>52</v>
      </c>
      <c r="D493">
        <v>54187</v>
      </c>
      <c r="E493" t="s">
        <v>207</v>
      </c>
      <c r="F493">
        <v>7139</v>
      </c>
      <c r="G493">
        <v>0.17425362823095669</v>
      </c>
      <c r="H493">
        <v>8.8064104473011076E-50</v>
      </c>
      <c r="I493">
        <v>1.0299538862241431E-49</v>
      </c>
      <c r="J493">
        <v>0.1380045835701551</v>
      </c>
      <c r="K493">
        <v>1.075316496533469E-31</v>
      </c>
      <c r="L493">
        <v>1.19689454169587E-31</v>
      </c>
      <c r="M493">
        <v>9.1683274128649281E-2</v>
      </c>
      <c r="N493">
        <v>3.3842925836861072E-31</v>
      </c>
      <c r="O493">
        <v>3.7669293961116489E-31</v>
      </c>
      <c r="P493">
        <v>3.0364326951652469E-2</v>
      </c>
      <c r="Q493">
        <v>0.71847432166016534</v>
      </c>
      <c r="R493">
        <v>2.2949320096442789</v>
      </c>
      <c r="S493">
        <v>0.4475473121892114</v>
      </c>
      <c r="T493">
        <v>0.37388480024839399</v>
      </c>
      <c r="U493">
        <v>4.2625965936405663</v>
      </c>
      <c r="V493">
        <v>0.11023909988438001</v>
      </c>
      <c r="W493">
        <v>5.3574982057711162</v>
      </c>
      <c r="X493">
        <v>0.45453264482321037</v>
      </c>
      <c r="Z493" t="s">
        <v>392</v>
      </c>
      <c r="AA493">
        <v>140</v>
      </c>
      <c r="AB493" t="s">
        <v>1898</v>
      </c>
      <c r="AC493" t="str">
        <f>HYPERLINK("plots/20251231112652_3FT6Y119H04_05543_B21P_N_UFLEX98_M5358A8BA201511/dpll_52084/txpa_54187.png","plot")</f>
        <v>plot</v>
      </c>
    </row>
    <row r="494" spans="1:29" x14ac:dyDescent="0.35">
      <c r="A494" t="s">
        <v>47</v>
      </c>
      <c r="B494">
        <v>52084</v>
      </c>
      <c r="C494" t="s">
        <v>52</v>
      </c>
      <c r="D494">
        <v>54188</v>
      </c>
      <c r="E494" t="s">
        <v>208</v>
      </c>
      <c r="F494">
        <v>7139</v>
      </c>
      <c r="G494">
        <v>0.3122000995158053</v>
      </c>
      <c r="H494">
        <v>3.5232542568267549E-161</v>
      </c>
      <c r="I494">
        <v>9.9514758117613638E-161</v>
      </c>
      <c r="J494">
        <v>0.29752837254126008</v>
      </c>
      <c r="K494">
        <v>7.1346146346992314E-146</v>
      </c>
      <c r="L494">
        <v>1.9447578601035E-145</v>
      </c>
      <c r="M494">
        <v>0.19911695613541969</v>
      </c>
      <c r="N494">
        <v>1.912106433191374E-140</v>
      </c>
      <c r="O494">
        <v>5.1293013842752724E-140</v>
      </c>
      <c r="P494">
        <v>9.7468902137678726E-2</v>
      </c>
      <c r="Q494">
        <v>0.79772077199165692</v>
      </c>
      <c r="R494">
        <v>2.3833798356798059</v>
      </c>
      <c r="S494">
        <v>0.26758033341781501</v>
      </c>
      <c r="T494">
        <v>0.20926749487288479</v>
      </c>
      <c r="U494">
        <v>4.2625965936405663</v>
      </c>
      <c r="V494">
        <v>0.11023909988438001</v>
      </c>
      <c r="W494">
        <v>5.7837416810477658</v>
      </c>
      <c r="X494">
        <v>0.28167838511204912</v>
      </c>
      <c r="Z494" t="s">
        <v>392</v>
      </c>
      <c r="AA494">
        <v>140</v>
      </c>
      <c r="AB494" t="s">
        <v>1899</v>
      </c>
      <c r="AC494" t="str">
        <f>HYPERLINK("plots/20251231112652_3FT6Y119H04_05543_B21P_N_UFLEX98_M5358A8BA201511/dpll_52084/txpa_54188.png","plot")</f>
        <v>plot</v>
      </c>
    </row>
    <row r="495" spans="1:29" x14ac:dyDescent="0.35">
      <c r="A495" t="s">
        <v>47</v>
      </c>
      <c r="B495">
        <v>52084</v>
      </c>
      <c r="C495" t="s">
        <v>52</v>
      </c>
      <c r="D495">
        <v>54189</v>
      </c>
      <c r="E495" t="s">
        <v>209</v>
      </c>
      <c r="F495">
        <v>7139</v>
      </c>
      <c r="G495">
        <v>0.24999843433133931</v>
      </c>
      <c r="H495">
        <v>3.6067485115264762E-102</v>
      </c>
      <c r="I495">
        <v>5.8609663312305242E-102</v>
      </c>
      <c r="J495">
        <v>0.22450540391684801</v>
      </c>
      <c r="K495">
        <v>2.9678554431985267E-82</v>
      </c>
      <c r="L495">
        <v>4.73176952736369E-82</v>
      </c>
      <c r="M495">
        <v>0.15081007813797601</v>
      </c>
      <c r="N495">
        <v>2.143912297110813E-81</v>
      </c>
      <c r="O495">
        <v>3.407409199483329E-81</v>
      </c>
      <c r="P495">
        <v>6.2499217168120937E-2</v>
      </c>
      <c r="Q495">
        <v>0.72800807170519</v>
      </c>
      <c r="R495">
        <v>2.926012043402419</v>
      </c>
      <c r="S495">
        <v>0.31080640825653788</v>
      </c>
      <c r="T495">
        <v>0.25065244194422048</v>
      </c>
      <c r="U495">
        <v>4.2625965936405663</v>
      </c>
      <c r="V495">
        <v>0.11023909988438001</v>
      </c>
      <c r="W495">
        <v>6.0292167699957986</v>
      </c>
      <c r="X495">
        <v>0.32102182858863931</v>
      </c>
      <c r="Z495" t="s">
        <v>392</v>
      </c>
      <c r="AA495">
        <v>140</v>
      </c>
      <c r="AB495" t="s">
        <v>1900</v>
      </c>
      <c r="AC495" t="str">
        <f>HYPERLINK("plots/20251231112652_3FT6Y119H04_05543_B21P_N_UFLEX98_M5358A8BA201511/dpll_52084/txpa_54189.png","plot")</f>
        <v>plot</v>
      </c>
    </row>
    <row r="496" spans="1:29" x14ac:dyDescent="0.35">
      <c r="A496" t="s">
        <v>47</v>
      </c>
      <c r="B496">
        <v>52084</v>
      </c>
      <c r="C496" t="s">
        <v>52</v>
      </c>
      <c r="D496">
        <v>54190</v>
      </c>
      <c r="E496" t="s">
        <v>210</v>
      </c>
      <c r="F496">
        <v>7139</v>
      </c>
      <c r="G496">
        <v>0.34260338705372001</v>
      </c>
      <c r="H496">
        <v>8.6840551444672293E-196</v>
      </c>
      <c r="I496">
        <v>4.2128058167188987E-195</v>
      </c>
      <c r="J496">
        <v>0.32064449363175979</v>
      </c>
      <c r="K496">
        <v>2.1462872043063009E-170</v>
      </c>
      <c r="L496">
        <v>7.6095637243587026E-170</v>
      </c>
      <c r="M496">
        <v>0.21610772588269159</v>
      </c>
      <c r="N496">
        <v>4.482188554116448E-165</v>
      </c>
      <c r="O496">
        <v>1.551173786305146E-164</v>
      </c>
      <c r="P496">
        <v>0.117377080820681</v>
      </c>
      <c r="Q496">
        <v>0.830874571187597</v>
      </c>
      <c r="R496">
        <v>2.2433229405441959</v>
      </c>
      <c r="S496">
        <v>0.25115200820703898</v>
      </c>
      <c r="T496">
        <v>0.19873535412177479</v>
      </c>
      <c r="U496">
        <v>4.2625965936405663</v>
      </c>
      <c r="V496">
        <v>0.11023909988438001</v>
      </c>
      <c r="W496">
        <v>5.7850060574310129</v>
      </c>
      <c r="X496">
        <v>0.26734956017868827</v>
      </c>
      <c r="Z496" t="s">
        <v>392</v>
      </c>
      <c r="AA496">
        <v>140</v>
      </c>
      <c r="AB496" t="s">
        <v>1901</v>
      </c>
      <c r="AC496" t="str">
        <f>HYPERLINK("plots/20251231112652_3FT6Y119H04_05543_B21P_N_UFLEX98_M5358A8BA201511/dpll_52084/txpa_54190.png","plot")</f>
        <v>plot</v>
      </c>
    </row>
    <row r="497" spans="1:29" x14ac:dyDescent="0.35">
      <c r="A497" t="s">
        <v>47</v>
      </c>
      <c r="B497">
        <v>52084</v>
      </c>
      <c r="C497" t="s">
        <v>52</v>
      </c>
      <c r="D497">
        <v>54191</v>
      </c>
      <c r="E497" t="s">
        <v>211</v>
      </c>
      <c r="F497">
        <v>7139</v>
      </c>
      <c r="G497">
        <v>0.27755527450709372</v>
      </c>
      <c r="H497">
        <v>1.9559237027508798E-126</v>
      </c>
      <c r="I497">
        <v>3.8287772868521098E-126</v>
      </c>
      <c r="J497">
        <v>0.24094090607145119</v>
      </c>
      <c r="K497">
        <v>8.0632994443170523E-95</v>
      </c>
      <c r="L497">
        <v>1.431906416206215E-94</v>
      </c>
      <c r="M497">
        <v>0.16105651244763419</v>
      </c>
      <c r="N497">
        <v>1.454818511360496E-92</v>
      </c>
      <c r="O497">
        <v>2.5925939727935731E-92</v>
      </c>
      <c r="P497">
        <v>7.7036930406708143E-2</v>
      </c>
      <c r="Q497">
        <v>0.73627192327959168</v>
      </c>
      <c r="R497">
        <v>2.830900485521175</v>
      </c>
      <c r="S497">
        <v>0.28092226158127193</v>
      </c>
      <c r="T497">
        <v>0.226710236930312</v>
      </c>
      <c r="U497">
        <v>4.2625965936405663</v>
      </c>
      <c r="V497">
        <v>0.11023909988438001</v>
      </c>
      <c r="W497">
        <v>5.9693306776859503</v>
      </c>
      <c r="X497">
        <v>0.29243167594860142</v>
      </c>
      <c r="Z497" t="s">
        <v>392</v>
      </c>
      <c r="AA497">
        <v>140</v>
      </c>
      <c r="AB497" t="s">
        <v>1902</v>
      </c>
      <c r="AC497" t="str">
        <f>HYPERLINK("plots/20251231112652_3FT6Y119H04_05543_B21P_N_UFLEX98_M5358A8BA201511/dpll_52084/txpa_54191.png","plot")</f>
        <v>plot</v>
      </c>
    </row>
    <row r="498" spans="1:29" x14ac:dyDescent="0.35">
      <c r="A498" t="s">
        <v>47</v>
      </c>
      <c r="B498">
        <v>52084</v>
      </c>
      <c r="C498" t="s">
        <v>52</v>
      </c>
      <c r="D498">
        <v>54192</v>
      </c>
      <c r="E498" t="s">
        <v>212</v>
      </c>
      <c r="F498">
        <v>7139</v>
      </c>
      <c r="G498">
        <v>0.35900201191526238</v>
      </c>
      <c r="H498">
        <v>3.8335366970356242E-216</v>
      </c>
      <c r="I498">
        <v>2.8373767962000888E-215</v>
      </c>
      <c r="J498">
        <v>0.32763741258464779</v>
      </c>
      <c r="K498">
        <v>2.9623287241501549E-178</v>
      </c>
      <c r="L498">
        <v>1.159768851848748E-177</v>
      </c>
      <c r="M498">
        <v>0.22037215537916841</v>
      </c>
      <c r="N498">
        <v>1.4263645932786049E-171</v>
      </c>
      <c r="O498">
        <v>5.4578630097528504E-171</v>
      </c>
      <c r="P498">
        <v>0.12888244455920619</v>
      </c>
      <c r="Q498">
        <v>0.7813988554201805</v>
      </c>
      <c r="R498">
        <v>2.5484508026984281</v>
      </c>
      <c r="S498">
        <v>0.22393372824007871</v>
      </c>
      <c r="T498">
        <v>0.1770379021547607</v>
      </c>
      <c r="U498">
        <v>4.2625965936405663</v>
      </c>
      <c r="V498">
        <v>0.11023909988438001</v>
      </c>
      <c r="W498">
        <v>5.8792389020871267</v>
      </c>
      <c r="X498">
        <v>0.2399449128784768</v>
      </c>
      <c r="Z498" t="s">
        <v>392</v>
      </c>
      <c r="AA498">
        <v>140</v>
      </c>
      <c r="AB498" t="s">
        <v>1903</v>
      </c>
      <c r="AC498" t="str">
        <f>HYPERLINK("plots/20251231112652_3FT6Y119H04_05543_B21P_N_UFLEX98_M5358A8BA201511/dpll_52084/txpa_54192.png","plot")</f>
        <v>plot</v>
      </c>
    </row>
    <row r="499" spans="1:29" x14ac:dyDescent="0.35">
      <c r="A499" t="s">
        <v>47</v>
      </c>
      <c r="B499">
        <v>52084</v>
      </c>
      <c r="C499" t="s">
        <v>52</v>
      </c>
      <c r="D499">
        <v>54193</v>
      </c>
      <c r="E499" t="s">
        <v>213</v>
      </c>
      <c r="F499">
        <v>7139</v>
      </c>
      <c r="G499">
        <v>0.26930582086506238</v>
      </c>
      <c r="H499">
        <v>7.2618278004903713E-119</v>
      </c>
      <c r="I499">
        <v>1.351099704531603E-118</v>
      </c>
      <c r="J499">
        <v>0.24277131059021839</v>
      </c>
      <c r="K499">
        <v>2.7914628859206048E-96</v>
      </c>
      <c r="L499">
        <v>5.0545417255776668E-96</v>
      </c>
      <c r="M499">
        <v>0.1628509701336088</v>
      </c>
      <c r="N499">
        <v>1.3546782695659909E-94</v>
      </c>
      <c r="O499">
        <v>2.4617271780285199E-94</v>
      </c>
      <c r="P499">
        <v>7.2525625151805065E-2</v>
      </c>
      <c r="Q499">
        <v>0.67994477277718668</v>
      </c>
      <c r="R499">
        <v>3.0034809932796702</v>
      </c>
      <c r="S499">
        <v>0.26803042679886518</v>
      </c>
      <c r="T499">
        <v>0.21158741467352421</v>
      </c>
      <c r="U499">
        <v>4.2625965936405663</v>
      </c>
      <c r="V499">
        <v>0.11023909988438001</v>
      </c>
      <c r="W499">
        <v>5.9018112655834152</v>
      </c>
      <c r="X499">
        <v>0.27833226731331551</v>
      </c>
      <c r="Z499" t="s">
        <v>392</v>
      </c>
      <c r="AA499">
        <v>140</v>
      </c>
      <c r="AB499" t="s">
        <v>1904</v>
      </c>
      <c r="AC499" t="str">
        <f>HYPERLINK("plots/20251231112652_3FT6Y119H04_05543_B21P_N_UFLEX98_M5358A8BA201511/dpll_52084/txpa_54193.png","plot")</f>
        <v>plot</v>
      </c>
    </row>
    <row r="500" spans="1:29" x14ac:dyDescent="0.35">
      <c r="A500" t="s">
        <v>47</v>
      </c>
      <c r="B500">
        <v>52084</v>
      </c>
      <c r="C500" t="s">
        <v>52</v>
      </c>
      <c r="D500">
        <v>54194</v>
      </c>
      <c r="E500" t="s">
        <v>214</v>
      </c>
      <c r="F500">
        <v>7139</v>
      </c>
      <c r="G500">
        <v>0.1911667686958648</v>
      </c>
      <c r="H500">
        <v>9.8871148094655997E-60</v>
      </c>
      <c r="I500">
        <v>1.1878595280566491E-59</v>
      </c>
      <c r="J500">
        <v>0.15544331240147261</v>
      </c>
      <c r="K500">
        <v>7.4919839275892229E-40</v>
      </c>
      <c r="L500">
        <v>8.8233120819691895E-40</v>
      </c>
      <c r="M500">
        <v>0.10360474569709339</v>
      </c>
      <c r="N500">
        <v>2.295305256124019E-39</v>
      </c>
      <c r="O500">
        <v>2.706325034546227E-39</v>
      </c>
      <c r="P500">
        <v>3.6544733453618271E-2</v>
      </c>
      <c r="Q500">
        <v>0.75446807607955368</v>
      </c>
      <c r="R500">
        <v>2.0468383101478209</v>
      </c>
      <c r="S500">
        <v>0.42702124822565118</v>
      </c>
      <c r="T500">
        <v>0.35762459731747231</v>
      </c>
      <c r="U500">
        <v>4.2625965936405663</v>
      </c>
      <c r="V500">
        <v>0.11023909988438001</v>
      </c>
      <c r="W500">
        <v>5.2628313612550794</v>
      </c>
      <c r="X500">
        <v>0.43507499847335712</v>
      </c>
      <c r="Z500" t="s">
        <v>392</v>
      </c>
      <c r="AA500">
        <v>140</v>
      </c>
      <c r="AB500" t="s">
        <v>1905</v>
      </c>
      <c r="AC500" t="str">
        <f>HYPERLINK("plots/20251231112652_3FT6Y119H04_05543_B21P_N_UFLEX98_M5358A8BA201511/dpll_52084/txpa_54194.png","plot")</f>
        <v>plot</v>
      </c>
    </row>
    <row r="501" spans="1:29" x14ac:dyDescent="0.35">
      <c r="A501" t="s">
        <v>47</v>
      </c>
      <c r="B501">
        <v>52084</v>
      </c>
      <c r="C501" t="s">
        <v>52</v>
      </c>
      <c r="D501">
        <v>54195</v>
      </c>
      <c r="E501" t="s">
        <v>215</v>
      </c>
      <c r="F501">
        <v>7139</v>
      </c>
      <c r="G501">
        <v>0.19228695737138571</v>
      </c>
      <c r="H501">
        <v>2.0019511463867931E-60</v>
      </c>
      <c r="I501">
        <v>2.4166410267097719E-60</v>
      </c>
      <c r="J501">
        <v>0.1542852485771537</v>
      </c>
      <c r="K501">
        <v>2.801241578974502E-39</v>
      </c>
      <c r="L501">
        <v>3.2837675850637518E-39</v>
      </c>
      <c r="M501">
        <v>0.1025720377739231</v>
      </c>
      <c r="N501">
        <v>1.280277777060464E-38</v>
      </c>
      <c r="O501">
        <v>1.5008111744963131E-38</v>
      </c>
      <c r="P501">
        <v>3.6974273975145112E-2</v>
      </c>
      <c r="Q501">
        <v>0.72902628949839909</v>
      </c>
      <c r="R501">
        <v>4.5223795716466677</v>
      </c>
      <c r="S501">
        <v>0.41012623016652788</v>
      </c>
      <c r="T501">
        <v>0.34164766500532467</v>
      </c>
      <c r="U501">
        <v>4.2625965936405663</v>
      </c>
      <c r="V501">
        <v>0.11023909988438001</v>
      </c>
      <c r="W501">
        <v>7.6299245499369652</v>
      </c>
      <c r="X501">
        <v>0.41795451467428768</v>
      </c>
      <c r="Z501" t="s">
        <v>392</v>
      </c>
      <c r="AA501">
        <v>140</v>
      </c>
      <c r="AB501" t="s">
        <v>1906</v>
      </c>
      <c r="AC501" t="str">
        <f>HYPERLINK("plots/20251231112652_3FT6Y119H04_05543_B21P_N_UFLEX98_M5358A8BA201511/dpll_52084/txpa_54195.png","plot")</f>
        <v>plot</v>
      </c>
    </row>
    <row r="502" spans="1:29" x14ac:dyDescent="0.35">
      <c r="A502" t="s">
        <v>47</v>
      </c>
      <c r="B502">
        <v>52084</v>
      </c>
      <c r="C502" t="s">
        <v>52</v>
      </c>
      <c r="D502">
        <v>54196</v>
      </c>
      <c r="E502" t="s">
        <v>216</v>
      </c>
      <c r="F502">
        <v>7139</v>
      </c>
      <c r="G502">
        <v>0.33209656914253932</v>
      </c>
      <c r="H502">
        <v>2.2378985169085948E-183</v>
      </c>
      <c r="I502">
        <v>8.467272746810879E-183</v>
      </c>
      <c r="J502">
        <v>0.32125252584650638</v>
      </c>
      <c r="K502">
        <v>4.5345672083903046E-171</v>
      </c>
      <c r="L502">
        <v>1.624753056292498E-170</v>
      </c>
      <c r="M502">
        <v>0.215820362921676</v>
      </c>
      <c r="N502">
        <v>1.213451828014168E-164</v>
      </c>
      <c r="O502">
        <v>4.1851705904978452E-164</v>
      </c>
      <c r="P502">
        <v>0.1102881312362454</v>
      </c>
      <c r="Q502">
        <v>0.80537473169991769</v>
      </c>
      <c r="R502">
        <v>4.5774012564277093</v>
      </c>
      <c r="S502">
        <v>0.25215265311113161</v>
      </c>
      <c r="T502">
        <v>0.19587031389783729</v>
      </c>
      <c r="U502">
        <v>4.2625965936405663</v>
      </c>
      <c r="V502">
        <v>0.11023909988438001</v>
      </c>
      <c r="W502">
        <v>8.0103888443759637</v>
      </c>
      <c r="X502">
        <v>0.2673432782562597</v>
      </c>
      <c r="Z502" t="s">
        <v>392</v>
      </c>
      <c r="AA502">
        <v>140</v>
      </c>
      <c r="AB502" t="s">
        <v>1907</v>
      </c>
      <c r="AC502" t="str">
        <f>HYPERLINK("plots/20251231112652_3FT6Y119H04_05543_B21P_N_UFLEX98_M5358A8BA201511/dpll_52084/txpa_54196.png","plot")</f>
        <v>plot</v>
      </c>
    </row>
    <row r="503" spans="1:29" x14ac:dyDescent="0.35">
      <c r="A503" t="s">
        <v>47</v>
      </c>
      <c r="B503">
        <v>52084</v>
      </c>
      <c r="C503" t="s">
        <v>52</v>
      </c>
      <c r="D503">
        <v>54197</v>
      </c>
      <c r="E503" t="s">
        <v>217</v>
      </c>
      <c r="F503">
        <v>7139</v>
      </c>
      <c r="G503">
        <v>0.27328096555216158</v>
      </c>
      <c r="H503">
        <v>1.763858811174042E-122</v>
      </c>
      <c r="I503">
        <v>3.3810072486398461E-122</v>
      </c>
      <c r="J503">
        <v>0.2485025385201779</v>
      </c>
      <c r="K503">
        <v>6.1936168802552931E-101</v>
      </c>
      <c r="L503">
        <v>1.1673471220406819E-100</v>
      </c>
      <c r="M503">
        <v>0.1673927521450464</v>
      </c>
      <c r="N503">
        <v>7.772255333215785E-100</v>
      </c>
      <c r="O503">
        <v>1.481403554112933E-99</v>
      </c>
      <c r="P503">
        <v>7.4682486133121756E-2</v>
      </c>
      <c r="Q503">
        <v>0.74223700063471343</v>
      </c>
      <c r="R503">
        <v>5.058298414115816</v>
      </c>
      <c r="S503">
        <v>0.28799427014943152</v>
      </c>
      <c r="T503">
        <v>0.2304050922836636</v>
      </c>
      <c r="U503">
        <v>4.2625965936405663</v>
      </c>
      <c r="V503">
        <v>0.11023909988438001</v>
      </c>
      <c r="W503">
        <v>8.2221553246953363</v>
      </c>
      <c r="X503">
        <v>0.29941177456515922</v>
      </c>
      <c r="Z503" t="s">
        <v>392</v>
      </c>
      <c r="AA503">
        <v>140</v>
      </c>
      <c r="AB503" t="s">
        <v>1908</v>
      </c>
      <c r="AC503" t="str">
        <f>HYPERLINK("plots/20251231112652_3FT6Y119H04_05543_B21P_N_UFLEX98_M5358A8BA201511/dpll_52084/txpa_54197.png","plot")</f>
        <v>plot</v>
      </c>
    </row>
    <row r="504" spans="1:29" x14ac:dyDescent="0.35">
      <c r="A504" t="s">
        <v>47</v>
      </c>
      <c r="B504">
        <v>52084</v>
      </c>
      <c r="C504" t="s">
        <v>52</v>
      </c>
      <c r="D504">
        <v>54198</v>
      </c>
      <c r="E504" t="s">
        <v>218</v>
      </c>
      <c r="F504">
        <v>7139</v>
      </c>
      <c r="G504">
        <v>0.36323129028301698</v>
      </c>
      <c r="H504">
        <v>1.363819127117166E-221</v>
      </c>
      <c r="I504">
        <v>1.202532691214615E-220</v>
      </c>
      <c r="J504">
        <v>0.34426215918818343</v>
      </c>
      <c r="K504">
        <v>8.6053737668288449E-198</v>
      </c>
      <c r="L504">
        <v>4.0211285712278568E-197</v>
      </c>
      <c r="M504">
        <v>0.23302264662384489</v>
      </c>
      <c r="N504">
        <v>1.360523402044063E-191</v>
      </c>
      <c r="O504">
        <v>6.077404095474361E-191</v>
      </c>
      <c r="P504">
        <v>0.13193697024066531</v>
      </c>
      <c r="Q504">
        <v>0.83683869629953989</v>
      </c>
      <c r="R504">
        <v>4.4439138885259606</v>
      </c>
      <c r="S504">
        <v>0.23661341859245</v>
      </c>
      <c r="T504">
        <v>0.18554742167501989</v>
      </c>
      <c r="U504">
        <v>4.2625965936405663</v>
      </c>
      <c r="V504">
        <v>0.11023909988438001</v>
      </c>
      <c r="W504">
        <v>8.011019664798992</v>
      </c>
      <c r="X504">
        <v>0.25397686569513211</v>
      </c>
      <c r="Z504" t="s">
        <v>392</v>
      </c>
      <c r="AA504">
        <v>140</v>
      </c>
      <c r="AB504" t="s">
        <v>1909</v>
      </c>
      <c r="AC504" t="str">
        <f>HYPERLINK("plots/20251231112652_3FT6Y119H04_05543_B21P_N_UFLEX98_M5358A8BA201511/dpll_52084/txpa_54198.png","plot")</f>
        <v>plot</v>
      </c>
    </row>
    <row r="505" spans="1:29" x14ac:dyDescent="0.35">
      <c r="A505" t="s">
        <v>47</v>
      </c>
      <c r="B505">
        <v>52084</v>
      </c>
      <c r="C505" t="s">
        <v>52</v>
      </c>
      <c r="D505">
        <v>54199</v>
      </c>
      <c r="E505" t="s">
        <v>219</v>
      </c>
      <c r="F505">
        <v>7139</v>
      </c>
      <c r="G505">
        <v>0.30236119113658921</v>
      </c>
      <c r="H505">
        <v>8.111747418793722E-151</v>
      </c>
      <c r="I505">
        <v>2.0823574386473E-150</v>
      </c>
      <c r="J505">
        <v>0.26620904809024543</v>
      </c>
      <c r="K505">
        <v>4.3117576529098431E-116</v>
      </c>
      <c r="L505">
        <v>9.0333104546499596E-116</v>
      </c>
      <c r="M505">
        <v>0.17839470275121619</v>
      </c>
      <c r="N505">
        <v>3.9862247387478301E-113</v>
      </c>
      <c r="O505">
        <v>8.2828522235456957E-113</v>
      </c>
      <c r="P505">
        <v>9.1422289905537038E-2</v>
      </c>
      <c r="Q505">
        <v>0.75038084445360753</v>
      </c>
      <c r="R505">
        <v>4.9791702162647136</v>
      </c>
      <c r="S505">
        <v>0.260760598892186</v>
      </c>
      <c r="T505">
        <v>0.20917016382401371</v>
      </c>
      <c r="U505">
        <v>4.2625965936405663</v>
      </c>
      <c r="V505">
        <v>0.11023909988438001</v>
      </c>
      <c r="W505">
        <v>8.1777410477657941</v>
      </c>
      <c r="X505">
        <v>0.27358441257653998</v>
      </c>
      <c r="Z505" t="s">
        <v>392</v>
      </c>
      <c r="AA505">
        <v>140</v>
      </c>
      <c r="AB505" t="s">
        <v>1910</v>
      </c>
      <c r="AC505" t="str">
        <f>HYPERLINK("plots/20251231112652_3FT6Y119H04_05543_B21P_N_UFLEX98_M5358A8BA201511/dpll_52084/txpa_54199.png","plot")</f>
        <v>plot</v>
      </c>
    </row>
    <row r="506" spans="1:29" x14ac:dyDescent="0.35">
      <c r="A506" t="s">
        <v>47</v>
      </c>
      <c r="B506">
        <v>52084</v>
      </c>
      <c r="C506" t="s">
        <v>52</v>
      </c>
      <c r="D506">
        <v>54200</v>
      </c>
      <c r="E506" t="s">
        <v>220</v>
      </c>
      <c r="F506">
        <v>7139</v>
      </c>
      <c r="G506">
        <v>0.38140186832562628</v>
      </c>
      <c r="H506">
        <v>5.8491158681651857E-246</v>
      </c>
      <c r="I506">
        <v>1.16294186084696E-244</v>
      </c>
      <c r="J506">
        <v>0.35286218076948661</v>
      </c>
      <c r="K506">
        <v>2.225686176924485E-208</v>
      </c>
      <c r="L506">
        <v>1.22654662141382E-207</v>
      </c>
      <c r="M506">
        <v>0.23852178774232649</v>
      </c>
      <c r="N506">
        <v>1.213506799668616E-200</v>
      </c>
      <c r="O506">
        <v>6.2780402799182457E-200</v>
      </c>
      <c r="P506">
        <v>0.14546738516227839</v>
      </c>
      <c r="Q506">
        <v>0.7921638134600385</v>
      </c>
      <c r="R506">
        <v>4.7155711341296929</v>
      </c>
      <c r="S506">
        <v>0.21164194516112339</v>
      </c>
      <c r="T506">
        <v>0.16561540610730391</v>
      </c>
      <c r="U506">
        <v>4.2625965936405663</v>
      </c>
      <c r="V506">
        <v>0.11023909988438001</v>
      </c>
      <c r="W506">
        <v>8.0922459069897741</v>
      </c>
      <c r="X506">
        <v>0.22896433659379939</v>
      </c>
      <c r="Z506" t="s">
        <v>392</v>
      </c>
      <c r="AA506">
        <v>140</v>
      </c>
      <c r="AB506" t="s">
        <v>1911</v>
      </c>
      <c r="AC506" t="str">
        <f>HYPERLINK("plots/20251231112652_3FT6Y119H04_05543_B21P_N_UFLEX98_M5358A8BA201511/dpll_52084/txpa_54200.png","plot")</f>
        <v>plot</v>
      </c>
    </row>
    <row r="507" spans="1:29" x14ac:dyDescent="0.35">
      <c r="A507" t="s">
        <v>47</v>
      </c>
      <c r="B507">
        <v>52084</v>
      </c>
      <c r="C507" t="s">
        <v>52</v>
      </c>
      <c r="D507">
        <v>54201</v>
      </c>
      <c r="E507" t="s">
        <v>221</v>
      </c>
      <c r="F507">
        <v>7139</v>
      </c>
      <c r="G507">
        <v>0.29385535973423671</v>
      </c>
      <c r="H507">
        <v>3.5291314671962438E-142</v>
      </c>
      <c r="I507">
        <v>8.1888771344095906E-142</v>
      </c>
      <c r="J507">
        <v>0.26539696904599669</v>
      </c>
      <c r="K507">
        <v>2.2692807812505829E-115</v>
      </c>
      <c r="L507">
        <v>4.7249501276962864E-115</v>
      </c>
      <c r="M507">
        <v>0.17845291938977759</v>
      </c>
      <c r="N507">
        <v>3.3725802913859692E-113</v>
      </c>
      <c r="O507">
        <v>7.0221692309350559E-113</v>
      </c>
      <c r="P507">
        <v>8.6350972444537669E-2</v>
      </c>
      <c r="Q507">
        <v>0.69701700978630543</v>
      </c>
      <c r="R507">
        <v>5.1465338629404256</v>
      </c>
      <c r="S507">
        <v>0.24992212089725649</v>
      </c>
      <c r="T507">
        <v>0.1970048887707708</v>
      </c>
      <c r="U507">
        <v>4.2625965936405663</v>
      </c>
      <c r="V507">
        <v>0.11023909988438001</v>
      </c>
      <c r="W507">
        <v>8.1176361945650655</v>
      </c>
      <c r="X507">
        <v>0.26148417994634282</v>
      </c>
      <c r="Z507" t="s">
        <v>392</v>
      </c>
      <c r="AA507">
        <v>140</v>
      </c>
      <c r="AB507" t="s">
        <v>1912</v>
      </c>
      <c r="AC507" t="str">
        <f>HYPERLINK("plots/20251231112652_3FT6Y119H04_05543_B21P_N_UFLEX98_M5358A8BA201511/dpll_52084/txpa_54201.png","plot")</f>
        <v>plot</v>
      </c>
    </row>
    <row r="508" spans="1:29" x14ac:dyDescent="0.35">
      <c r="A508" t="s">
        <v>47</v>
      </c>
      <c r="B508">
        <v>52084</v>
      </c>
      <c r="C508" t="s">
        <v>52</v>
      </c>
      <c r="D508">
        <v>54202</v>
      </c>
      <c r="E508" t="s">
        <v>222</v>
      </c>
      <c r="F508">
        <v>7139</v>
      </c>
      <c r="G508">
        <v>0.20892330662972061</v>
      </c>
      <c r="H508">
        <v>3.0678545937787E-71</v>
      </c>
      <c r="I508">
        <v>3.9527376849956822E-71</v>
      </c>
      <c r="J508">
        <v>0.1705764109759032</v>
      </c>
      <c r="K508">
        <v>9.535320801335623E-48</v>
      </c>
      <c r="L508">
        <v>1.160722123956101E-47</v>
      </c>
      <c r="M508">
        <v>0.1137982653528514</v>
      </c>
      <c r="N508">
        <v>3.9326769609792401E-47</v>
      </c>
      <c r="O508">
        <v>4.7814561611905872E-47</v>
      </c>
      <c r="P508">
        <v>4.364894805309625E-2</v>
      </c>
      <c r="Q508">
        <v>0.75817194546635625</v>
      </c>
      <c r="R508">
        <v>4.3163156936379874</v>
      </c>
      <c r="S508">
        <v>0.39119629120845378</v>
      </c>
      <c r="T508">
        <v>0.32692259639283638</v>
      </c>
      <c r="U508">
        <v>4.2625965936405663</v>
      </c>
      <c r="V508">
        <v>0.11023909988438001</v>
      </c>
      <c r="W508">
        <v>7.548096845776719</v>
      </c>
      <c r="X508">
        <v>0.4000520294939206</v>
      </c>
      <c r="Z508" t="s">
        <v>392</v>
      </c>
      <c r="AA508">
        <v>140</v>
      </c>
      <c r="AB508" t="s">
        <v>1913</v>
      </c>
      <c r="AC508" t="str">
        <f>HYPERLINK("plots/20251231112652_3FT6Y119H04_05543_B21P_N_UFLEX98_M5358A8BA201511/dpll_52084/txpa_54202.png","plot")</f>
        <v>plot</v>
      </c>
    </row>
    <row r="509" spans="1:29" x14ac:dyDescent="0.35">
      <c r="A509" t="s">
        <v>47</v>
      </c>
      <c r="B509">
        <v>52084</v>
      </c>
      <c r="C509" t="s">
        <v>52</v>
      </c>
      <c r="D509">
        <v>54203</v>
      </c>
      <c r="E509" t="s">
        <v>223</v>
      </c>
      <c r="F509">
        <v>7139</v>
      </c>
      <c r="G509">
        <v>0.2019464649324185</v>
      </c>
      <c r="H509">
        <v>1.379945428548253E-66</v>
      </c>
      <c r="I509">
        <v>1.740378936004886E-66</v>
      </c>
      <c r="J509">
        <v>0.16279537004108449</v>
      </c>
      <c r="K509">
        <v>1.3628987302764611E-43</v>
      </c>
      <c r="L509">
        <v>1.631616661747735E-43</v>
      </c>
      <c r="M509">
        <v>0.1082181529499596</v>
      </c>
      <c r="N509">
        <v>8.6131052036628331E-43</v>
      </c>
      <c r="O509">
        <v>1.0311320751492459E-42</v>
      </c>
      <c r="P509">
        <v>4.0782374698700517E-2</v>
      </c>
      <c r="Q509">
        <v>0.73448476793024764</v>
      </c>
      <c r="R509">
        <v>5.4972361147873539</v>
      </c>
      <c r="S509">
        <v>0.39265429546150521</v>
      </c>
      <c r="T509">
        <v>0.32628836355095081</v>
      </c>
      <c r="U509">
        <v>4.2625965936405663</v>
      </c>
      <c r="V509">
        <v>0.11023909988438001</v>
      </c>
      <c r="W509">
        <v>8.628048384647709</v>
      </c>
      <c r="X509">
        <v>0.4009425949719625</v>
      </c>
      <c r="Z509" t="s">
        <v>392</v>
      </c>
      <c r="AA509">
        <v>140</v>
      </c>
      <c r="AB509" t="s">
        <v>1914</v>
      </c>
      <c r="AC509" t="str">
        <f>HYPERLINK("plots/20251231112652_3FT6Y119H04_05543_B21P_N_UFLEX98_M5358A8BA201511/dpll_52084/txpa_54203.png","plot")</f>
        <v>plot</v>
      </c>
    </row>
    <row r="510" spans="1:29" x14ac:dyDescent="0.35">
      <c r="A510" t="s">
        <v>47</v>
      </c>
      <c r="B510">
        <v>52084</v>
      </c>
      <c r="C510" t="s">
        <v>52</v>
      </c>
      <c r="D510">
        <v>54204</v>
      </c>
      <c r="E510" t="s">
        <v>224</v>
      </c>
      <c r="F510">
        <v>7139</v>
      </c>
      <c r="G510">
        <v>0.34099858179787113</v>
      </c>
      <c r="H510">
        <v>7.3425220462205819E-194</v>
      </c>
      <c r="I510">
        <v>3.3842351613034859E-193</v>
      </c>
      <c r="J510">
        <v>0.33264314512755983</v>
      </c>
      <c r="K510">
        <v>5.201356939223238E-184</v>
      </c>
      <c r="L510">
        <v>2.143973957874944E-183</v>
      </c>
      <c r="M510">
        <v>0.22404825418576291</v>
      </c>
      <c r="N510">
        <v>2.8213427751119142E-177</v>
      </c>
      <c r="O510">
        <v>1.130767420538925E-176</v>
      </c>
      <c r="P510">
        <v>0.1162800327881594</v>
      </c>
      <c r="Q510">
        <v>0.81049584978968692</v>
      </c>
      <c r="R510">
        <v>5.5304792072767697</v>
      </c>
      <c r="S510">
        <v>0.2462979492547745</v>
      </c>
      <c r="T510">
        <v>0.19031763530268819</v>
      </c>
      <c r="U510">
        <v>4.2625965936405663</v>
      </c>
      <c r="V510">
        <v>0.11023909988438001</v>
      </c>
      <c r="W510">
        <v>8.9852960557501049</v>
      </c>
      <c r="X510">
        <v>0.26201966140082811</v>
      </c>
      <c r="Z510" t="s">
        <v>392</v>
      </c>
      <c r="AA510">
        <v>140</v>
      </c>
      <c r="AB510" t="s">
        <v>1915</v>
      </c>
      <c r="AC510" t="str">
        <f>HYPERLINK("plots/20251231112652_3FT6Y119H04_05543_B21P_N_UFLEX98_M5358A8BA201511/dpll_52084/txpa_54204.png","plot")</f>
        <v>plot</v>
      </c>
    </row>
    <row r="511" spans="1:29" x14ac:dyDescent="0.35">
      <c r="A511" t="s">
        <v>47</v>
      </c>
      <c r="B511">
        <v>52084</v>
      </c>
      <c r="C511" t="s">
        <v>52</v>
      </c>
      <c r="D511">
        <v>54205</v>
      </c>
      <c r="E511" t="s">
        <v>225</v>
      </c>
      <c r="F511">
        <v>7139</v>
      </c>
      <c r="G511">
        <v>0.2853157808224156</v>
      </c>
      <c r="H511">
        <v>8.457985574238473E-134</v>
      </c>
      <c r="I511">
        <v>1.801764153839876E-133</v>
      </c>
      <c r="J511">
        <v>0.26203559736023041</v>
      </c>
      <c r="K511">
        <v>2.062431264843868E-112</v>
      </c>
      <c r="L511">
        <v>4.1909925902839318E-112</v>
      </c>
      <c r="M511">
        <v>0.17675132833764329</v>
      </c>
      <c r="N511">
        <v>4.3544524382319361E-111</v>
      </c>
      <c r="O511">
        <v>8.8662947236288825E-111</v>
      </c>
      <c r="P511">
        <v>8.1405094786304699E-2</v>
      </c>
      <c r="Q511">
        <v>0.74978784031804546</v>
      </c>
      <c r="R511">
        <v>5.9838957380965656</v>
      </c>
      <c r="S511">
        <v>0.27763860610233843</v>
      </c>
      <c r="T511">
        <v>0.22074023781235499</v>
      </c>
      <c r="U511">
        <v>4.2625965936405663</v>
      </c>
      <c r="V511">
        <v>0.11023909988438001</v>
      </c>
      <c r="W511">
        <v>9.179938832189384</v>
      </c>
      <c r="X511">
        <v>0.28969984198792298</v>
      </c>
      <c r="Z511" t="s">
        <v>392</v>
      </c>
      <c r="AA511">
        <v>140</v>
      </c>
      <c r="AB511" t="s">
        <v>1916</v>
      </c>
      <c r="AC511" t="str">
        <f>HYPERLINK("plots/20251231112652_3FT6Y119H04_05543_B21P_N_UFLEX98_M5358A8BA201511/dpll_52084/txpa_54205.png","plot")</f>
        <v>plot</v>
      </c>
    </row>
    <row r="512" spans="1:29" x14ac:dyDescent="0.35">
      <c r="A512" t="s">
        <v>47</v>
      </c>
      <c r="B512">
        <v>52084</v>
      </c>
      <c r="C512" t="s">
        <v>52</v>
      </c>
      <c r="D512">
        <v>54206</v>
      </c>
      <c r="E512" t="s">
        <v>226</v>
      </c>
      <c r="F512">
        <v>7139</v>
      </c>
      <c r="G512">
        <v>0.37212613986925253</v>
      </c>
      <c r="H512">
        <v>2.5257648239154658E-233</v>
      </c>
      <c r="I512">
        <v>3.2834942710901063E-232</v>
      </c>
      <c r="J512">
        <v>0.35536425236180441</v>
      </c>
      <c r="K512">
        <v>1.6009923711892359E-211</v>
      </c>
      <c r="L512">
        <v>9.3299210596889963E-211</v>
      </c>
      <c r="M512">
        <v>0.24118240910669941</v>
      </c>
      <c r="N512">
        <v>4.258796771579909E-205</v>
      </c>
      <c r="O512">
        <v>2.3217311432161439E-204</v>
      </c>
      <c r="P512">
        <v>0.13847786397399051</v>
      </c>
      <c r="Q512">
        <v>0.84094241705863293</v>
      </c>
      <c r="R512">
        <v>5.4008269100619373</v>
      </c>
      <c r="S512">
        <v>0.23121422014086049</v>
      </c>
      <c r="T512">
        <v>0.18013424702094641</v>
      </c>
      <c r="U512">
        <v>4.2625965936405663</v>
      </c>
      <c r="V512">
        <v>0.11023909988438001</v>
      </c>
      <c r="W512">
        <v>8.9854251924639303</v>
      </c>
      <c r="X512">
        <v>0.24912180354680449</v>
      </c>
      <c r="Z512" t="s">
        <v>392</v>
      </c>
      <c r="AA512">
        <v>140</v>
      </c>
      <c r="AB512" t="s">
        <v>1917</v>
      </c>
      <c r="AC512" t="str">
        <f>HYPERLINK("plots/20251231112652_3FT6Y119H04_05543_B21P_N_UFLEX98_M5358A8BA201511/dpll_52084/txpa_54206.png","plot")</f>
        <v>plot</v>
      </c>
    </row>
    <row r="513" spans="1:29" x14ac:dyDescent="0.35">
      <c r="A513" t="s">
        <v>47</v>
      </c>
      <c r="B513">
        <v>52084</v>
      </c>
      <c r="C513" t="s">
        <v>52</v>
      </c>
      <c r="D513">
        <v>54207</v>
      </c>
      <c r="E513" t="s">
        <v>227</v>
      </c>
      <c r="F513">
        <v>7139</v>
      </c>
      <c r="G513">
        <v>0.31463987405701632</v>
      </c>
      <c r="H513">
        <v>8.2267340390666575E-164</v>
      </c>
      <c r="I513">
        <v>2.4109561605819631E-163</v>
      </c>
      <c r="J513">
        <v>0.27955317625440168</v>
      </c>
      <c r="K513">
        <v>2.619160975218703E-128</v>
      </c>
      <c r="L513">
        <v>6.2197405828378573E-128</v>
      </c>
      <c r="M513">
        <v>0.18755451849120089</v>
      </c>
      <c r="N513">
        <v>7.8174800393150242E-125</v>
      </c>
      <c r="O513">
        <v>1.8222815539920541E-124</v>
      </c>
      <c r="P513">
        <v>9.8998250346615094E-2</v>
      </c>
      <c r="Q513">
        <v>0.75788865414872753</v>
      </c>
      <c r="R513">
        <v>5.9128367793092167</v>
      </c>
      <c r="S513">
        <v>0.2520343310245155</v>
      </c>
      <c r="T513">
        <v>0.20110983631115051</v>
      </c>
      <c r="U513">
        <v>4.2625965936405663</v>
      </c>
      <c r="V513">
        <v>0.11023909988438001</v>
      </c>
      <c r="W513">
        <v>9.143410374842416</v>
      </c>
      <c r="X513">
        <v>0.2655383819242183</v>
      </c>
      <c r="Z513" t="s">
        <v>392</v>
      </c>
      <c r="AA513">
        <v>140</v>
      </c>
      <c r="AB513" t="s">
        <v>1918</v>
      </c>
      <c r="AC513" t="str">
        <f>HYPERLINK("plots/20251231112652_3FT6Y119H04_05543_B21P_N_UFLEX98_M5358A8BA201511/dpll_52084/txpa_54207.png","plot")</f>
        <v>plot</v>
      </c>
    </row>
    <row r="514" spans="1:29" x14ac:dyDescent="0.35">
      <c r="A514" t="s">
        <v>47</v>
      </c>
      <c r="B514">
        <v>52084</v>
      </c>
      <c r="C514" t="s">
        <v>52</v>
      </c>
      <c r="D514">
        <v>54208</v>
      </c>
      <c r="E514" t="s">
        <v>228</v>
      </c>
      <c r="F514">
        <v>7139</v>
      </c>
      <c r="G514">
        <v>0.39045649124063492</v>
      </c>
      <c r="H514">
        <v>1.070934011609736E-258</v>
      </c>
      <c r="I514">
        <v>3.2906881447644609E-257</v>
      </c>
      <c r="J514">
        <v>0.36425982438249632</v>
      </c>
      <c r="K514">
        <v>6.2673271823820179E-223</v>
      </c>
      <c r="L514">
        <v>4.8511982923170727E-222</v>
      </c>
      <c r="M514">
        <v>0.2468934477425504</v>
      </c>
      <c r="N514">
        <v>7.9747146072013177E-215</v>
      </c>
      <c r="O514">
        <v>5.6946201490860123E-214</v>
      </c>
      <c r="P514">
        <v>0.15245627155194799</v>
      </c>
      <c r="Q514">
        <v>0.79744778946214645</v>
      </c>
      <c r="R514">
        <v>5.6604841209024661</v>
      </c>
      <c r="S514">
        <v>0.20726019760645831</v>
      </c>
      <c r="T514">
        <v>0.1609810041873618</v>
      </c>
      <c r="U514">
        <v>4.2625965936405663</v>
      </c>
      <c r="V514">
        <v>0.11023909988438001</v>
      </c>
      <c r="W514">
        <v>9.0596823518700109</v>
      </c>
      <c r="X514">
        <v>0.22514653613715321</v>
      </c>
      <c r="Z514" t="s">
        <v>392</v>
      </c>
      <c r="AA514">
        <v>140</v>
      </c>
      <c r="AB514" t="s">
        <v>1919</v>
      </c>
      <c r="AC514" t="str">
        <f>HYPERLINK("plots/20251231112652_3FT6Y119H04_05543_B21P_N_UFLEX98_M5358A8BA201511/dpll_52084/txpa_54208.png","plot")</f>
        <v>plot</v>
      </c>
    </row>
    <row r="515" spans="1:29" x14ac:dyDescent="0.35">
      <c r="A515" t="s">
        <v>47</v>
      </c>
      <c r="B515">
        <v>52084</v>
      </c>
      <c r="C515" t="s">
        <v>52</v>
      </c>
      <c r="D515">
        <v>54209</v>
      </c>
      <c r="E515" t="s">
        <v>229</v>
      </c>
      <c r="F515">
        <v>7139</v>
      </c>
      <c r="G515">
        <v>0.30607077883504841</v>
      </c>
      <c r="H515">
        <v>1.119899071218274E-154</v>
      </c>
      <c r="I515">
        <v>3.0041736989823523E-154</v>
      </c>
      <c r="J515">
        <v>0.27730696476551292</v>
      </c>
      <c r="K515">
        <v>3.3347965603947583E-126</v>
      </c>
      <c r="L515">
        <v>7.6677635198192381E-126</v>
      </c>
      <c r="M515">
        <v>0.1867362321154257</v>
      </c>
      <c r="N515">
        <v>9.1769765698409488E-124</v>
      </c>
      <c r="O515">
        <v>2.11487596404971E-123</v>
      </c>
      <c r="P515">
        <v>9.3679321656693085E-2</v>
      </c>
      <c r="Q515">
        <v>0.7060055378037261</v>
      </c>
      <c r="R515">
        <v>6.0771890324962969</v>
      </c>
      <c r="S515">
        <v>0.24206523580241049</v>
      </c>
      <c r="T515">
        <v>0.19039549129590069</v>
      </c>
      <c r="U515">
        <v>4.2625965936405663</v>
      </c>
      <c r="V515">
        <v>0.11023909988438001</v>
      </c>
      <c r="W515">
        <v>9.0866058330298358</v>
      </c>
      <c r="X515">
        <v>0.25428567632983767</v>
      </c>
      <c r="Z515" t="s">
        <v>392</v>
      </c>
      <c r="AA515">
        <v>140</v>
      </c>
      <c r="AB515" t="s">
        <v>1920</v>
      </c>
      <c r="AC515" t="str">
        <f>HYPERLINK("plots/20251231112652_3FT6Y119H04_05543_B21P_N_UFLEX98_M5358A8BA201511/dpll_52084/txpa_54209.png","plot")</f>
        <v>plot</v>
      </c>
    </row>
    <row r="516" spans="1:29" x14ac:dyDescent="0.35">
      <c r="A516" t="s">
        <v>47</v>
      </c>
      <c r="B516">
        <v>52084</v>
      </c>
      <c r="C516" t="s">
        <v>52</v>
      </c>
      <c r="D516">
        <v>54210</v>
      </c>
      <c r="E516" t="s">
        <v>230</v>
      </c>
      <c r="F516">
        <v>7139</v>
      </c>
      <c r="G516">
        <v>0.21879191671025869</v>
      </c>
      <c r="H516">
        <v>4.089382175868381E-78</v>
      </c>
      <c r="I516">
        <v>5.5214827248076409E-78</v>
      </c>
      <c r="J516">
        <v>0.1785200422177943</v>
      </c>
      <c r="K516">
        <v>3.3645976727594057E-52</v>
      </c>
      <c r="L516">
        <v>4.2276357375192537E-52</v>
      </c>
      <c r="M516">
        <v>0.11911377166137239</v>
      </c>
      <c r="N516">
        <v>1.8152566950439209E-51</v>
      </c>
      <c r="O516">
        <v>2.275241395271368E-51</v>
      </c>
      <c r="P516">
        <v>4.7869902817748777E-2</v>
      </c>
      <c r="Q516">
        <v>0.76172149605330663</v>
      </c>
      <c r="R516">
        <v>5.3044665622893792</v>
      </c>
      <c r="S516">
        <v>0.37447111596232707</v>
      </c>
      <c r="T516">
        <v>0.31241872344808119</v>
      </c>
      <c r="U516">
        <v>4.2625965936405663</v>
      </c>
      <c r="V516">
        <v>0.11023909988438001</v>
      </c>
      <c r="W516">
        <v>8.5513780166690001</v>
      </c>
      <c r="X516">
        <v>0.38379613538786012</v>
      </c>
      <c r="Z516" t="s">
        <v>392</v>
      </c>
      <c r="AA516">
        <v>140</v>
      </c>
      <c r="AB516" t="s">
        <v>1921</v>
      </c>
      <c r="AC516" t="str">
        <f>HYPERLINK("plots/20251231112652_3FT6Y119H04_05543_B21P_N_UFLEX98_M5358A8BA201511/dpll_52084/txpa_54210.png","plot")</f>
        <v>plot</v>
      </c>
    </row>
    <row r="517" spans="1:29" x14ac:dyDescent="0.35">
      <c r="A517" t="s">
        <v>47</v>
      </c>
      <c r="B517">
        <v>52084</v>
      </c>
      <c r="C517" t="s">
        <v>52</v>
      </c>
      <c r="D517">
        <v>54211</v>
      </c>
      <c r="E517" t="s">
        <v>231</v>
      </c>
      <c r="F517">
        <v>7139</v>
      </c>
      <c r="G517">
        <v>0.2135101501592078</v>
      </c>
      <c r="H517">
        <v>2.159288134335255E-74</v>
      </c>
      <c r="I517">
        <v>2.8398419821218531E-74</v>
      </c>
      <c r="J517">
        <v>0.1732537547875263</v>
      </c>
      <c r="K517">
        <v>3.1807584416576709E-49</v>
      </c>
      <c r="L517">
        <v>3.9141857522340759E-49</v>
      </c>
      <c r="M517">
        <v>0.1151845289399928</v>
      </c>
      <c r="N517">
        <v>3.0392851018591183E-48</v>
      </c>
      <c r="O517">
        <v>3.7220230595231227E-48</v>
      </c>
      <c r="P517">
        <v>4.5586584221007483E-2</v>
      </c>
      <c r="Q517">
        <v>0.74452069771489482</v>
      </c>
      <c r="R517">
        <v>6.4201902194947049</v>
      </c>
      <c r="S517">
        <v>0.3755188625063276</v>
      </c>
      <c r="T517">
        <v>0.31108100723008691</v>
      </c>
      <c r="U517">
        <v>4.2625965936405663</v>
      </c>
      <c r="V517">
        <v>0.11023909988438001</v>
      </c>
      <c r="W517">
        <v>9.5937816094691133</v>
      </c>
      <c r="X517">
        <v>0.38440931965145281</v>
      </c>
      <c r="Z517" t="s">
        <v>392</v>
      </c>
      <c r="AA517">
        <v>140</v>
      </c>
      <c r="AB517" t="s">
        <v>1922</v>
      </c>
      <c r="AC517" t="str">
        <f>HYPERLINK("plots/20251231112652_3FT6Y119H04_05543_B21P_N_UFLEX98_M5358A8BA201511/dpll_52084/txpa_54211.png","plot")</f>
        <v>plot</v>
      </c>
    </row>
    <row r="518" spans="1:29" x14ac:dyDescent="0.35">
      <c r="A518" t="s">
        <v>47</v>
      </c>
      <c r="B518">
        <v>52084</v>
      </c>
      <c r="C518" t="s">
        <v>52</v>
      </c>
      <c r="D518">
        <v>54212</v>
      </c>
      <c r="E518" t="s">
        <v>232</v>
      </c>
      <c r="F518">
        <v>7139</v>
      </c>
      <c r="G518">
        <v>0.35077692481593969</v>
      </c>
      <c r="H518">
        <v>8.8145350659800296E-206</v>
      </c>
      <c r="I518">
        <v>5.1367462970711214E-205</v>
      </c>
      <c r="J518">
        <v>0.345515727582488</v>
      </c>
      <c r="K518">
        <v>2.5834823330904569E-199</v>
      </c>
      <c r="L518">
        <v>1.2298831388515139E-198</v>
      </c>
      <c r="M518">
        <v>0.23346469643429621</v>
      </c>
      <c r="N518">
        <v>2.5922143613964269E-192</v>
      </c>
      <c r="O518">
        <v>1.1734398939535609E-191</v>
      </c>
      <c r="P518">
        <v>0.12304445098332741</v>
      </c>
      <c r="Q518">
        <v>0.81928445248327209</v>
      </c>
      <c r="R518">
        <v>6.4340440927550606</v>
      </c>
      <c r="S518">
        <v>0.2411002865413234</v>
      </c>
      <c r="T518">
        <v>0.1850430784200065</v>
      </c>
      <c r="U518">
        <v>4.2625965936405663</v>
      </c>
      <c r="V518">
        <v>0.11023909988438001</v>
      </c>
      <c r="W518">
        <v>9.9263232091329332</v>
      </c>
      <c r="X518">
        <v>0.25747754256758609</v>
      </c>
      <c r="Z518" t="s">
        <v>392</v>
      </c>
      <c r="AA518">
        <v>140</v>
      </c>
      <c r="AB518" t="s">
        <v>1923</v>
      </c>
      <c r="AC518" t="str">
        <f>HYPERLINK("plots/20251231112652_3FT6Y119H04_05543_B21P_N_UFLEX98_M5358A8BA201511/dpll_52084/txpa_54212.png","plot")</f>
        <v>plot</v>
      </c>
    </row>
    <row r="519" spans="1:29" x14ac:dyDescent="0.35">
      <c r="A519" t="s">
        <v>47</v>
      </c>
      <c r="B519">
        <v>52084</v>
      </c>
      <c r="C519" t="s">
        <v>52</v>
      </c>
      <c r="D519">
        <v>54213</v>
      </c>
      <c r="E519" t="s">
        <v>233</v>
      </c>
      <c r="F519">
        <v>7139</v>
      </c>
      <c r="G519">
        <v>0.29909582635944448</v>
      </c>
      <c r="H519">
        <v>1.820521168315207E-147</v>
      </c>
      <c r="I519">
        <v>4.469754151747263E-147</v>
      </c>
      <c r="J519">
        <v>0.27822038890619671</v>
      </c>
      <c r="K519">
        <v>4.6718846265865891E-127</v>
      </c>
      <c r="L519">
        <v>1.084048286352128E-126</v>
      </c>
      <c r="M519">
        <v>0.18798446840037661</v>
      </c>
      <c r="N519">
        <v>2.1328481007261589E-125</v>
      </c>
      <c r="O519">
        <v>5.0412773289891042E-125</v>
      </c>
      <c r="P519">
        <v>8.945831334563896E-2</v>
      </c>
      <c r="Q519">
        <v>0.76124401181624535</v>
      </c>
      <c r="R519">
        <v>6.8573480666499007</v>
      </c>
      <c r="S519">
        <v>0.26771252647699623</v>
      </c>
      <c r="T519">
        <v>0.21114166408891469</v>
      </c>
      <c r="U519">
        <v>4.2625965936405663</v>
      </c>
      <c r="V519">
        <v>0.11023909988438001</v>
      </c>
      <c r="W519">
        <v>10.102224198347111</v>
      </c>
      <c r="X519">
        <v>0.28057514434904252</v>
      </c>
      <c r="Z519" t="s">
        <v>392</v>
      </c>
      <c r="AA519">
        <v>140</v>
      </c>
      <c r="AB519" t="s">
        <v>1924</v>
      </c>
      <c r="AC519" t="str">
        <f>HYPERLINK("plots/20251231112652_3FT6Y119H04_05543_B21P_N_UFLEX98_M5358A8BA201511/dpll_52084/txpa_54213.png","plot")</f>
        <v>plot</v>
      </c>
    </row>
    <row r="520" spans="1:29" x14ac:dyDescent="0.35">
      <c r="A520" t="s">
        <v>47</v>
      </c>
      <c r="B520">
        <v>52084</v>
      </c>
      <c r="C520" t="s">
        <v>52</v>
      </c>
      <c r="D520">
        <v>54214</v>
      </c>
      <c r="E520" t="s">
        <v>234</v>
      </c>
      <c r="F520">
        <v>7139</v>
      </c>
      <c r="G520">
        <v>0.38134862119151652</v>
      </c>
      <c r="H520">
        <v>6.9311775525637964E-246</v>
      </c>
      <c r="I520">
        <v>1.326078120433904E-244</v>
      </c>
      <c r="J520">
        <v>0.36680208728907848</v>
      </c>
      <c r="K520">
        <v>2.9478976332966348E-226</v>
      </c>
      <c r="L520">
        <v>2.5331933899684641E-225</v>
      </c>
      <c r="M520">
        <v>0.24977934064986029</v>
      </c>
      <c r="N520">
        <v>7.9318208226370223E-220</v>
      </c>
      <c r="O520">
        <v>6.283489307932766E-219</v>
      </c>
      <c r="P520">
        <v>0.14542677088467071</v>
      </c>
      <c r="Q520">
        <v>0.84811070764706531</v>
      </c>
      <c r="R520">
        <v>6.3107410669289337</v>
      </c>
      <c r="S520">
        <v>0.22662626800786281</v>
      </c>
      <c r="T520">
        <v>0.17529977275852021</v>
      </c>
      <c r="U520">
        <v>4.2625965936405663</v>
      </c>
      <c r="V520">
        <v>0.11023909988438001</v>
      </c>
      <c r="W520">
        <v>9.9258948803754041</v>
      </c>
      <c r="X520">
        <v>0.2451692645988699</v>
      </c>
      <c r="Z520" t="s">
        <v>392</v>
      </c>
      <c r="AA520">
        <v>140</v>
      </c>
      <c r="AB520" t="s">
        <v>1925</v>
      </c>
      <c r="AC520" t="str">
        <f>HYPERLINK("plots/20251231112652_3FT6Y119H04_05543_B21P_N_UFLEX98_M5358A8BA201511/dpll_52084/txpa_54214.png","plot")</f>
        <v>plot</v>
      </c>
    </row>
    <row r="521" spans="1:29" x14ac:dyDescent="0.35">
      <c r="A521" t="s">
        <v>47</v>
      </c>
      <c r="B521">
        <v>52084</v>
      </c>
      <c r="C521" t="s">
        <v>52</v>
      </c>
      <c r="D521">
        <v>54215</v>
      </c>
      <c r="E521" t="s">
        <v>235</v>
      </c>
      <c r="F521">
        <v>7139</v>
      </c>
      <c r="G521">
        <v>0.32868955840292791</v>
      </c>
      <c r="H521">
        <v>1.8658634895079022E-179</v>
      </c>
      <c r="I521">
        <v>6.6153341900734709E-179</v>
      </c>
      <c r="J521">
        <v>0.29520176494111949</v>
      </c>
      <c r="K521">
        <v>1.5841275735479469E-143</v>
      </c>
      <c r="L521">
        <v>4.2607569219565484E-143</v>
      </c>
      <c r="M521">
        <v>0.1984886735101109</v>
      </c>
      <c r="N521">
        <v>1.4228722365744521E-139</v>
      </c>
      <c r="O521">
        <v>3.7769435808546959E-139</v>
      </c>
      <c r="P521">
        <v>0.10803682580311171</v>
      </c>
      <c r="Q521">
        <v>0.76948513000182439</v>
      </c>
      <c r="R521">
        <v>6.7948323313508467</v>
      </c>
      <c r="S521">
        <v>0.24372104146976761</v>
      </c>
      <c r="T521">
        <v>0.19305114956596339</v>
      </c>
      <c r="U521">
        <v>4.2625965936405663</v>
      </c>
      <c r="V521">
        <v>0.11023909988438001</v>
      </c>
      <c r="W521">
        <v>10.074837025353689</v>
      </c>
      <c r="X521">
        <v>0.25807740446025879</v>
      </c>
      <c r="Z521" t="s">
        <v>392</v>
      </c>
      <c r="AA521">
        <v>140</v>
      </c>
      <c r="AB521" t="s">
        <v>1926</v>
      </c>
      <c r="AC521" t="str">
        <f>HYPERLINK("plots/20251231112652_3FT6Y119H04_05543_B21P_N_UFLEX98_M5358A8BA201511/dpll_52084/txpa_54215.png","plot")</f>
        <v>plot</v>
      </c>
    </row>
    <row r="522" spans="1:29" x14ac:dyDescent="0.35">
      <c r="A522" t="s">
        <v>47</v>
      </c>
      <c r="B522">
        <v>52084</v>
      </c>
      <c r="C522" t="s">
        <v>52</v>
      </c>
      <c r="D522">
        <v>54216</v>
      </c>
      <c r="E522" t="s">
        <v>236</v>
      </c>
      <c r="F522">
        <v>7139</v>
      </c>
      <c r="G522">
        <v>0.40042803633370239</v>
      </c>
      <c r="H522">
        <v>3.3940361177179821E-273</v>
      </c>
      <c r="I522">
        <v>3.1286842030600311E-271</v>
      </c>
      <c r="J522">
        <v>0.37719742946802087</v>
      </c>
      <c r="K522">
        <v>3.5121556144974512E-240</v>
      </c>
      <c r="L522">
        <v>3.74876399273728E-239</v>
      </c>
      <c r="M522">
        <v>0.25665429399715872</v>
      </c>
      <c r="N522">
        <v>5.6239613641704857E-232</v>
      </c>
      <c r="O522">
        <v>5.6462344784840321E-231</v>
      </c>
      <c r="P522">
        <v>0.16034261228206489</v>
      </c>
      <c r="Q522">
        <v>0.80735328287249508</v>
      </c>
      <c r="R522">
        <v>6.551944775432764</v>
      </c>
      <c r="S522">
        <v>0.20365516749071799</v>
      </c>
      <c r="T522">
        <v>0.1567438729435971</v>
      </c>
      <c r="U522">
        <v>4.2625965936405663</v>
      </c>
      <c r="V522">
        <v>0.11023909988438001</v>
      </c>
      <c r="W522">
        <v>9.9933661288695905</v>
      </c>
      <c r="X522">
        <v>0.22226690220659809</v>
      </c>
      <c r="Z522" t="s">
        <v>392</v>
      </c>
      <c r="AA522">
        <v>140</v>
      </c>
      <c r="AB522" t="s">
        <v>1927</v>
      </c>
      <c r="AC522" t="str">
        <f>HYPERLINK("plots/20251231112652_3FT6Y119H04_05543_B21P_N_UFLEX98_M5358A8BA201511/dpll_52084/txpa_54216.png","plot")</f>
        <v>plot</v>
      </c>
    </row>
    <row r="523" spans="1:29" x14ac:dyDescent="0.35">
      <c r="A523" t="s">
        <v>47</v>
      </c>
      <c r="B523">
        <v>52084</v>
      </c>
      <c r="C523" t="s">
        <v>52</v>
      </c>
      <c r="D523">
        <v>54217</v>
      </c>
      <c r="E523" t="s">
        <v>237</v>
      </c>
      <c r="F523">
        <v>7139</v>
      </c>
      <c r="G523">
        <v>0.32016307133196981</v>
      </c>
      <c r="H523">
        <v>7.3306250461061576E-170</v>
      </c>
      <c r="I523">
        <v>2.3084639120346719E-169</v>
      </c>
      <c r="J523">
        <v>0.29130879588712028</v>
      </c>
      <c r="K523">
        <v>1.19415636789709E-139</v>
      </c>
      <c r="L523">
        <v>3.1208107140403341E-139</v>
      </c>
      <c r="M523">
        <v>0.1965079467941046</v>
      </c>
      <c r="N523">
        <v>7.6755417397932502E-137</v>
      </c>
      <c r="O523">
        <v>1.990536911547405E-136</v>
      </c>
      <c r="P523">
        <v>0.10250439224471999</v>
      </c>
      <c r="Q523">
        <v>0.71951449716024707</v>
      </c>
      <c r="R523">
        <v>6.9541538945368986</v>
      </c>
      <c r="S523">
        <v>0.23468736913834001</v>
      </c>
      <c r="T523">
        <v>0.18400006269294961</v>
      </c>
      <c r="U523">
        <v>4.2625965936405663</v>
      </c>
      <c r="V523">
        <v>0.11023909988438001</v>
      </c>
      <c r="W523">
        <v>10.021153939207171</v>
      </c>
      <c r="X523">
        <v>0.24774447031233121</v>
      </c>
      <c r="Z523" t="s">
        <v>392</v>
      </c>
      <c r="AA523">
        <v>140</v>
      </c>
      <c r="AB523" t="s">
        <v>1928</v>
      </c>
      <c r="AC523" t="str">
        <f>HYPERLINK("plots/20251231112652_3FT6Y119H04_05543_B21P_N_UFLEX98_M5358A8BA201511/dpll_52084/txpa_54217.png","plot")</f>
        <v>plot</v>
      </c>
    </row>
    <row r="524" spans="1:29" x14ac:dyDescent="0.35">
      <c r="A524" t="s">
        <v>47</v>
      </c>
      <c r="B524">
        <v>52084</v>
      </c>
      <c r="C524" t="s">
        <v>52</v>
      </c>
      <c r="D524">
        <v>54218</v>
      </c>
      <c r="E524" t="s">
        <v>238</v>
      </c>
      <c r="F524">
        <v>7139</v>
      </c>
      <c r="G524">
        <v>0.23051609527228251</v>
      </c>
      <c r="H524">
        <v>9.7942859650803487E-87</v>
      </c>
      <c r="I524">
        <v>1.398789573041053E-86</v>
      </c>
      <c r="J524">
        <v>0.18801148156842459</v>
      </c>
      <c r="K524">
        <v>8.4248264555412305E-58</v>
      </c>
      <c r="L524">
        <v>1.1080121953202079E-57</v>
      </c>
      <c r="M524">
        <v>0.1254873906707068</v>
      </c>
      <c r="N524">
        <v>6.331456509003037E-57</v>
      </c>
      <c r="O524">
        <v>8.2839960001665539E-57</v>
      </c>
      <c r="P524">
        <v>5.3137670179580022E-2</v>
      </c>
      <c r="Q524">
        <v>0.76935953446167227</v>
      </c>
      <c r="R524">
        <v>6.2424730985906987</v>
      </c>
      <c r="S524">
        <v>0.35799482156789081</v>
      </c>
      <c r="T524">
        <v>0.29799628771361208</v>
      </c>
      <c r="U524">
        <v>4.2625965936405663</v>
      </c>
      <c r="V524">
        <v>0.11023909988438001</v>
      </c>
      <c r="W524">
        <v>9.521942429471915</v>
      </c>
      <c r="X524">
        <v>0.36792876638978222</v>
      </c>
      <c r="Z524" t="s">
        <v>392</v>
      </c>
      <c r="AA524">
        <v>140</v>
      </c>
      <c r="AB524" t="s">
        <v>1929</v>
      </c>
      <c r="AC524" t="str">
        <f>HYPERLINK("plots/20251231112652_3FT6Y119H04_05543_B21P_N_UFLEX98_M5358A8BA201511/dpll_52084/txpa_54218.png","plot")</f>
        <v>plot</v>
      </c>
    </row>
    <row r="525" spans="1:29" x14ac:dyDescent="0.35">
      <c r="A525" t="s">
        <v>47</v>
      </c>
      <c r="B525">
        <v>52084</v>
      </c>
      <c r="C525" t="s">
        <v>52</v>
      </c>
      <c r="D525">
        <v>54219</v>
      </c>
      <c r="E525" t="s">
        <v>239</v>
      </c>
      <c r="F525">
        <v>7139</v>
      </c>
      <c r="G525">
        <v>0.22528684827953541</v>
      </c>
      <c r="H525">
        <v>7.8921305804742753E-83</v>
      </c>
      <c r="I525">
        <v>1.096249371041221E-82</v>
      </c>
      <c r="J525">
        <v>0.18439368882841159</v>
      </c>
      <c r="K525">
        <v>1.2500536086128239E-55</v>
      </c>
      <c r="L525">
        <v>1.6024707447957071E-55</v>
      </c>
      <c r="M525">
        <v>0.122594397908489</v>
      </c>
      <c r="N525">
        <v>2.0588393521959339E-54</v>
      </c>
      <c r="O525">
        <v>2.6326142536275868E-54</v>
      </c>
      <c r="P525">
        <v>5.0754164007726421E-2</v>
      </c>
      <c r="Q525">
        <v>0.75167534503159061</v>
      </c>
      <c r="R525">
        <v>7.3576515895563439</v>
      </c>
      <c r="S525">
        <v>0.35833485680002691</v>
      </c>
      <c r="T525">
        <v>0.29570017260315712</v>
      </c>
      <c r="U525">
        <v>4.2625965936405663</v>
      </c>
      <c r="V525">
        <v>0.11023909988438001</v>
      </c>
      <c r="W525">
        <v>10.561740354811599</v>
      </c>
      <c r="X525">
        <v>0.36781558299730788</v>
      </c>
      <c r="Z525" t="s">
        <v>392</v>
      </c>
      <c r="AA525">
        <v>140</v>
      </c>
      <c r="AB525" t="s">
        <v>1930</v>
      </c>
      <c r="AC525" t="str">
        <f>HYPERLINK("plots/20251231112652_3FT6Y119H04_05543_B21P_N_UFLEX98_M5358A8BA201511/dpll_52084/txpa_54219.png","plot")</f>
        <v>plot</v>
      </c>
    </row>
    <row r="526" spans="1:29" x14ac:dyDescent="0.35">
      <c r="A526" t="s">
        <v>47</v>
      </c>
      <c r="B526">
        <v>52084</v>
      </c>
      <c r="C526" t="s">
        <v>52</v>
      </c>
      <c r="D526">
        <v>54220</v>
      </c>
      <c r="E526" t="s">
        <v>240</v>
      </c>
      <c r="F526">
        <v>7139</v>
      </c>
      <c r="G526">
        <v>0.35883342976942739</v>
      </c>
      <c r="H526">
        <v>6.2962378169074226E-216</v>
      </c>
      <c r="I526">
        <v>4.5930828390964939E-215</v>
      </c>
      <c r="J526">
        <v>0.35810456762737591</v>
      </c>
      <c r="K526">
        <v>5.3605099854361218E-215</v>
      </c>
      <c r="L526">
        <v>3.5068110485369208E-214</v>
      </c>
      <c r="M526">
        <v>0.24294620626268429</v>
      </c>
      <c r="N526">
        <v>4.4609059188161159E-208</v>
      </c>
      <c r="O526">
        <v>2.5412126975727758E-207</v>
      </c>
      <c r="P526">
        <v>0.1287614303200906</v>
      </c>
      <c r="Q526">
        <v>0.8242476744693632</v>
      </c>
      <c r="R526">
        <v>7.3534314914740646</v>
      </c>
      <c r="S526">
        <v>0.23634075598001289</v>
      </c>
      <c r="T526">
        <v>0.1797241977305524</v>
      </c>
      <c r="U526">
        <v>4.2625965936405663</v>
      </c>
      <c r="V526">
        <v>0.11023909988438001</v>
      </c>
      <c r="W526">
        <v>10.866866820983329</v>
      </c>
      <c r="X526">
        <v>0.2532214508934747</v>
      </c>
      <c r="Z526" t="s">
        <v>392</v>
      </c>
      <c r="AA526">
        <v>140</v>
      </c>
      <c r="AB526" t="s">
        <v>1931</v>
      </c>
      <c r="AC526" t="str">
        <f>HYPERLINK("plots/20251231112652_3FT6Y119H04_05543_B21P_N_UFLEX98_M5358A8BA201511/dpll_52084/txpa_54220.png","plot")</f>
        <v>plot</v>
      </c>
    </row>
    <row r="527" spans="1:29" x14ac:dyDescent="0.35">
      <c r="A527" t="s">
        <v>47</v>
      </c>
      <c r="B527">
        <v>52084</v>
      </c>
      <c r="C527" t="s">
        <v>52</v>
      </c>
      <c r="D527">
        <v>54221</v>
      </c>
      <c r="E527" t="s">
        <v>241</v>
      </c>
      <c r="F527">
        <v>7139</v>
      </c>
      <c r="G527">
        <v>0.31183200980634351</v>
      </c>
      <c r="H527">
        <v>8.7464804039454352E-161</v>
      </c>
      <c r="I527">
        <v>2.4499809750278099E-160</v>
      </c>
      <c r="J527">
        <v>0.29629047409614018</v>
      </c>
      <c r="K527">
        <v>1.272147583727696E-144</v>
      </c>
      <c r="L527">
        <v>3.4583315010720731E-144</v>
      </c>
      <c r="M527">
        <v>0.20080376500954761</v>
      </c>
      <c r="N527">
        <v>8.4301904437841323E-143</v>
      </c>
      <c r="O527">
        <v>2.3165889186984039E-142</v>
      </c>
      <c r="P527">
        <v>9.7239202339863523E-2</v>
      </c>
      <c r="Q527">
        <v>0.76854303115167089</v>
      </c>
      <c r="R527">
        <v>7.7433590721952692</v>
      </c>
      <c r="S527">
        <v>0.25813035592232192</v>
      </c>
      <c r="T527">
        <v>0.2010720041691052</v>
      </c>
      <c r="U527">
        <v>4.2625965936405663</v>
      </c>
      <c r="V527">
        <v>0.11023909988438001</v>
      </c>
      <c r="W527">
        <v>11.019347978848581</v>
      </c>
      <c r="X527">
        <v>0.27169594304699168</v>
      </c>
      <c r="Z527" t="s">
        <v>392</v>
      </c>
      <c r="AA527">
        <v>140</v>
      </c>
      <c r="AB527" t="s">
        <v>1932</v>
      </c>
      <c r="AC527" t="str">
        <f>HYPERLINK("plots/20251231112652_3FT6Y119H04_05543_B21P_N_UFLEX98_M5358A8BA201511/dpll_52084/txpa_54221.png","plot")</f>
        <v>plot</v>
      </c>
    </row>
    <row r="528" spans="1:29" x14ac:dyDescent="0.35">
      <c r="A528" t="s">
        <v>47</v>
      </c>
      <c r="B528">
        <v>52084</v>
      </c>
      <c r="C528" t="s">
        <v>52</v>
      </c>
      <c r="D528">
        <v>54222</v>
      </c>
      <c r="E528" t="s">
        <v>242</v>
      </c>
      <c r="F528">
        <v>7139</v>
      </c>
      <c r="G528">
        <v>0.38940430050416242</v>
      </c>
      <c r="H528">
        <v>3.3935124245847389E-257</v>
      </c>
      <c r="I528">
        <v>9.831490281511215E-256</v>
      </c>
      <c r="J528">
        <v>0.37874546474977078</v>
      </c>
      <c r="K528">
        <v>2.6787060750318592E-242</v>
      </c>
      <c r="L528">
        <v>3.0519190562722532E-241</v>
      </c>
      <c r="M528">
        <v>0.25902978289781109</v>
      </c>
      <c r="N528">
        <v>2.9932840237042651E-236</v>
      </c>
      <c r="O528">
        <v>3.3724333333734733E-235</v>
      </c>
      <c r="P528">
        <v>0.15163570925113601</v>
      </c>
      <c r="Q528">
        <v>0.85292959611992869</v>
      </c>
      <c r="R528">
        <v>7.2311970041733797</v>
      </c>
      <c r="S528">
        <v>0.22238673066099851</v>
      </c>
      <c r="T528">
        <v>0.1703735272888473</v>
      </c>
      <c r="U528">
        <v>4.2625965936405663</v>
      </c>
      <c r="V528">
        <v>0.11023909988438001</v>
      </c>
      <c r="W528">
        <v>10.86689179520941</v>
      </c>
      <c r="X528">
        <v>0.2414616141097386</v>
      </c>
      <c r="Z528" t="s">
        <v>392</v>
      </c>
      <c r="AA528">
        <v>140</v>
      </c>
      <c r="AB528" t="s">
        <v>1933</v>
      </c>
      <c r="AC528" t="str">
        <f>HYPERLINK("plots/20251231112652_3FT6Y119H04_05543_B21P_N_UFLEX98_M5358A8BA201511/dpll_52084/txpa_54222.png","plot")</f>
        <v>plot</v>
      </c>
    </row>
    <row r="529" spans="1:29" x14ac:dyDescent="0.35">
      <c r="A529" t="s">
        <v>47</v>
      </c>
      <c r="B529">
        <v>52084</v>
      </c>
      <c r="C529" t="s">
        <v>52</v>
      </c>
      <c r="D529">
        <v>54223</v>
      </c>
      <c r="E529" t="s">
        <v>243</v>
      </c>
      <c r="F529">
        <v>7139</v>
      </c>
      <c r="G529">
        <v>0.34182265854298621</v>
      </c>
      <c r="H529">
        <v>7.5454158533406968E-195</v>
      </c>
      <c r="I529">
        <v>3.5752577921904053E-194</v>
      </c>
      <c r="J529">
        <v>0.31253383864107931</v>
      </c>
      <c r="K529">
        <v>1.5431837962551541E-161</v>
      </c>
      <c r="L529">
        <v>5.0477044174281476E-161</v>
      </c>
      <c r="M529">
        <v>0.21080968745718551</v>
      </c>
      <c r="N529">
        <v>3.5211429754163448E-157</v>
      </c>
      <c r="O529">
        <v>1.133472691134023E-156</v>
      </c>
      <c r="P529">
        <v>0.11684272989339491</v>
      </c>
      <c r="Q529">
        <v>0.77828768132674664</v>
      </c>
      <c r="R529">
        <v>7.6865673333306148</v>
      </c>
      <c r="S529">
        <v>0.23586503895814409</v>
      </c>
      <c r="T529">
        <v>0.18488965671527299</v>
      </c>
      <c r="U529">
        <v>4.2625965936405663</v>
      </c>
      <c r="V529">
        <v>0.11023909988438001</v>
      </c>
      <c r="W529">
        <v>11.004093752626421</v>
      </c>
      <c r="X529">
        <v>0.25100072009934421</v>
      </c>
      <c r="Z529" t="s">
        <v>392</v>
      </c>
      <c r="AA529">
        <v>140</v>
      </c>
      <c r="AB529" t="s">
        <v>1934</v>
      </c>
      <c r="AC529" t="str">
        <f>HYPERLINK("plots/20251231112652_3FT6Y119H04_05543_B21P_N_UFLEX98_M5358A8BA201511/dpll_52084/txpa_54223.png","plot")</f>
        <v>plot</v>
      </c>
    </row>
    <row r="530" spans="1:29" x14ac:dyDescent="0.35">
      <c r="A530" t="s">
        <v>47</v>
      </c>
      <c r="B530">
        <v>52084</v>
      </c>
      <c r="C530" t="s">
        <v>52</v>
      </c>
      <c r="D530">
        <v>54224</v>
      </c>
      <c r="E530" t="s">
        <v>244</v>
      </c>
      <c r="F530">
        <v>7139</v>
      </c>
      <c r="G530">
        <v>0.40813376106510357</v>
      </c>
      <c r="H530">
        <v>9.5424344809754857E-285</v>
      </c>
      <c r="I530">
        <v>1.2095035704636431E-282</v>
      </c>
      <c r="J530">
        <v>0.39010889210567112</v>
      </c>
      <c r="K530">
        <v>3.358921406263397E-258</v>
      </c>
      <c r="L530">
        <v>5.3217911030485688E-257</v>
      </c>
      <c r="M530">
        <v>0.26690677051092931</v>
      </c>
      <c r="N530">
        <v>1.048865457950426E-250</v>
      </c>
      <c r="O530">
        <v>1.4771521866135169E-249</v>
      </c>
      <c r="P530">
        <v>0.16657316692114699</v>
      </c>
      <c r="Q530">
        <v>0.81418468226679952</v>
      </c>
      <c r="R530">
        <v>7.4560552414663466</v>
      </c>
      <c r="S530">
        <v>0.20075177085682741</v>
      </c>
      <c r="T530">
        <v>0.15265938975725579</v>
      </c>
      <c r="U530">
        <v>4.2625965936405663</v>
      </c>
      <c r="V530">
        <v>0.11023909988438001</v>
      </c>
      <c r="W530">
        <v>10.92659609469113</v>
      </c>
      <c r="X530">
        <v>0.21991561364222609</v>
      </c>
      <c r="Z530" t="s">
        <v>392</v>
      </c>
      <c r="AA530">
        <v>140</v>
      </c>
      <c r="AB530" t="s">
        <v>1935</v>
      </c>
      <c r="AC530" t="str">
        <f>HYPERLINK("plots/20251231112652_3FT6Y119H04_05543_B21P_N_UFLEX98_M5358A8BA201511/dpll_52084/txpa_54224.png","plot")</f>
        <v>plot</v>
      </c>
    </row>
    <row r="531" spans="1:29" x14ac:dyDescent="0.35">
      <c r="A531" t="s">
        <v>47</v>
      </c>
      <c r="B531">
        <v>52084</v>
      </c>
      <c r="C531" t="s">
        <v>52</v>
      </c>
      <c r="D531">
        <v>54225</v>
      </c>
      <c r="E531" t="s">
        <v>245</v>
      </c>
      <c r="F531">
        <v>7139</v>
      </c>
      <c r="G531">
        <v>0.33300787578617291</v>
      </c>
      <c r="H531">
        <v>1.9611446648697411E-184</v>
      </c>
      <c r="I531">
        <v>7.5612193542886592E-184</v>
      </c>
      <c r="J531">
        <v>0.30610478685380288</v>
      </c>
      <c r="K531">
        <v>1.031646097171947E-154</v>
      </c>
      <c r="L531">
        <v>3.1320034207555533E-154</v>
      </c>
      <c r="M531">
        <v>0.20705187674096209</v>
      </c>
      <c r="N531">
        <v>1.068076893324584E-151</v>
      </c>
      <c r="O531">
        <v>3.2621384633467723E-151</v>
      </c>
      <c r="P531">
        <v>0.1108942453356192</v>
      </c>
      <c r="Q531">
        <v>0.729695973280588</v>
      </c>
      <c r="R531">
        <v>7.8418024904136052</v>
      </c>
      <c r="S531">
        <v>0.2277557733825227</v>
      </c>
      <c r="T531">
        <v>0.1774824712436914</v>
      </c>
      <c r="U531">
        <v>4.2625965936405663</v>
      </c>
      <c r="V531">
        <v>0.11023909988438001</v>
      </c>
      <c r="W531">
        <v>10.952202060512681</v>
      </c>
      <c r="X531">
        <v>0.24155893338498841</v>
      </c>
      <c r="Z531" t="s">
        <v>392</v>
      </c>
      <c r="AA531">
        <v>140</v>
      </c>
      <c r="AB531" t="s">
        <v>1936</v>
      </c>
      <c r="AC531" t="str">
        <f>HYPERLINK("plots/20251231112652_3FT6Y119H04_05543_B21P_N_UFLEX98_M5358A8BA201511/dpll_52084/txpa_54225.png","plot")</f>
        <v>plot</v>
      </c>
    </row>
    <row r="532" spans="1:29" x14ac:dyDescent="0.35">
      <c r="A532" t="s">
        <v>47</v>
      </c>
      <c r="B532">
        <v>52084</v>
      </c>
      <c r="C532" t="s">
        <v>52</v>
      </c>
      <c r="D532">
        <v>54226</v>
      </c>
      <c r="E532" t="s">
        <v>246</v>
      </c>
      <c r="F532">
        <v>7139</v>
      </c>
      <c r="G532">
        <v>0.2427839098673116</v>
      </c>
      <c r="H532">
        <v>2.7273106177300921E-96</v>
      </c>
      <c r="I532">
        <v>4.2092739214281781E-96</v>
      </c>
      <c r="J532">
        <v>0.19857116937584479</v>
      </c>
      <c r="K532">
        <v>2.1367974750365238E-64</v>
      </c>
      <c r="L532">
        <v>2.92403865004998E-64</v>
      </c>
      <c r="M532">
        <v>0.13253577248422671</v>
      </c>
      <c r="N532">
        <v>2.7410563157311772E-63</v>
      </c>
      <c r="O532">
        <v>3.7509191688952937E-63</v>
      </c>
      <c r="P532">
        <v>5.894402689045887E-2</v>
      </c>
      <c r="Q532">
        <v>0.77489659202549821</v>
      </c>
      <c r="R532">
        <v>7.192379902945758</v>
      </c>
      <c r="S532">
        <v>0.34130041541140871</v>
      </c>
      <c r="T532">
        <v>0.28334079733067891</v>
      </c>
      <c r="U532">
        <v>4.2625965936405663</v>
      </c>
      <c r="V532">
        <v>0.11023909988438001</v>
      </c>
      <c r="W532">
        <v>10.49545147653733</v>
      </c>
      <c r="X532">
        <v>0.3518515821540697</v>
      </c>
      <c r="Z532" t="s">
        <v>392</v>
      </c>
      <c r="AA532">
        <v>140</v>
      </c>
      <c r="AB532" t="s">
        <v>1937</v>
      </c>
      <c r="AC532" t="str">
        <f>HYPERLINK("plots/20251231112652_3FT6Y119H04_05543_B21P_N_UFLEX98_M5358A8BA201511/dpll_52084/txpa_54226.png","plot")</f>
        <v>plot</v>
      </c>
    </row>
    <row r="533" spans="1:29" x14ac:dyDescent="0.35">
      <c r="A533" t="s">
        <v>47</v>
      </c>
      <c r="B533">
        <v>52084</v>
      </c>
      <c r="C533" t="s">
        <v>52</v>
      </c>
      <c r="D533">
        <v>54227</v>
      </c>
      <c r="E533" t="s">
        <v>247</v>
      </c>
      <c r="F533">
        <v>7139</v>
      </c>
      <c r="G533">
        <v>0.23164440191143301</v>
      </c>
      <c r="H533">
        <v>1.364988107886197E-87</v>
      </c>
      <c r="I533">
        <v>1.9688448668514991E-87</v>
      </c>
      <c r="J533">
        <v>0.19041151595273551</v>
      </c>
      <c r="K533">
        <v>2.8858615510693208E-59</v>
      </c>
      <c r="L533">
        <v>3.82518119318208E-59</v>
      </c>
      <c r="M533">
        <v>0.12656175158341931</v>
      </c>
      <c r="N533">
        <v>7.1435958751892232E-58</v>
      </c>
      <c r="O533">
        <v>9.4440759027925319E-58</v>
      </c>
      <c r="P533">
        <v>5.3659128936905512E-2</v>
      </c>
      <c r="Q533">
        <v>0.75601697508127208</v>
      </c>
      <c r="R533">
        <v>7.8131278610157384</v>
      </c>
      <c r="S533">
        <v>0.34997641299230892</v>
      </c>
      <c r="T533">
        <v>0.28804234130736828</v>
      </c>
      <c r="U533">
        <v>4.2625965936405663</v>
      </c>
      <c r="V533">
        <v>0.11023909988438001</v>
      </c>
      <c r="W533">
        <v>11.03572324373161</v>
      </c>
      <c r="X533">
        <v>0.35978694128829608</v>
      </c>
      <c r="Z533" t="s">
        <v>392</v>
      </c>
      <c r="AA533">
        <v>140</v>
      </c>
      <c r="AB533" t="s">
        <v>1938</v>
      </c>
      <c r="AC533" t="str">
        <f>HYPERLINK("plots/20251231112652_3FT6Y119H04_05543_B21P_N_UFLEX98_M5358A8BA201511/dpll_52084/txpa_54227.png","plot")</f>
        <v>plot</v>
      </c>
    </row>
    <row r="534" spans="1:29" x14ac:dyDescent="0.35">
      <c r="A534" t="s">
        <v>47</v>
      </c>
      <c r="B534">
        <v>52084</v>
      </c>
      <c r="C534" t="s">
        <v>52</v>
      </c>
      <c r="D534">
        <v>54228</v>
      </c>
      <c r="E534" t="s">
        <v>248</v>
      </c>
      <c r="F534">
        <v>7139</v>
      </c>
      <c r="G534">
        <v>0.36197085929887568</v>
      </c>
      <c r="H534">
        <v>5.8521743985788127E-220</v>
      </c>
      <c r="I534">
        <v>4.9450873667990972E-219</v>
      </c>
      <c r="J534">
        <v>0.36447873261121072</v>
      </c>
      <c r="K534">
        <v>3.2489408487291008E-223</v>
      </c>
      <c r="L534">
        <v>2.5538186206289209E-222</v>
      </c>
      <c r="M534">
        <v>0.24791164405128749</v>
      </c>
      <c r="N534">
        <v>1.392496476595997E-216</v>
      </c>
      <c r="O534">
        <v>1.0306506768382049E-215</v>
      </c>
      <c r="P534">
        <v>0.13102290298156649</v>
      </c>
      <c r="Q534">
        <v>0.82701057842494741</v>
      </c>
      <c r="R534">
        <v>7.8002376515691818</v>
      </c>
      <c r="S534">
        <v>0.2347723031088812</v>
      </c>
      <c r="T534">
        <v>0.17731154594079571</v>
      </c>
      <c r="U534">
        <v>4.2625965936405663</v>
      </c>
      <c r="V534">
        <v>0.11023909988438001</v>
      </c>
      <c r="W534">
        <v>11.32545012606808</v>
      </c>
      <c r="X534">
        <v>0.2518680700899999</v>
      </c>
      <c r="Z534" t="s">
        <v>392</v>
      </c>
      <c r="AA534">
        <v>140</v>
      </c>
      <c r="AB534" t="s">
        <v>1939</v>
      </c>
      <c r="AC534" t="str">
        <f>HYPERLINK("plots/20251231112652_3FT6Y119H04_05543_B21P_N_UFLEX98_M5358A8BA201511/dpll_52084/txpa_54228.png","plot")</f>
        <v>plot</v>
      </c>
    </row>
    <row r="535" spans="1:29" x14ac:dyDescent="0.35">
      <c r="A535" t="s">
        <v>47</v>
      </c>
      <c r="B535">
        <v>52084</v>
      </c>
      <c r="C535" t="s">
        <v>52</v>
      </c>
      <c r="D535">
        <v>54229</v>
      </c>
      <c r="E535" t="s">
        <v>249</v>
      </c>
      <c r="F535">
        <v>7139</v>
      </c>
      <c r="G535">
        <v>0.31793206842071942</v>
      </c>
      <c r="H535">
        <v>2.1108445096178171E-167</v>
      </c>
      <c r="I535">
        <v>6.3892427843357218E-167</v>
      </c>
      <c r="J535">
        <v>0.3067131236916314</v>
      </c>
      <c r="K535">
        <v>2.3716439172066002E-155</v>
      </c>
      <c r="L535">
        <v>7.3095651430014972E-155</v>
      </c>
      <c r="M535">
        <v>0.2082446694630625</v>
      </c>
      <c r="N535">
        <v>1.9917887475209841E-153</v>
      </c>
      <c r="O535">
        <v>6.1575420426410903E-153</v>
      </c>
      <c r="P535">
        <v>0.101080800130277</v>
      </c>
      <c r="Q535">
        <v>0.7731503479728794</v>
      </c>
      <c r="R535">
        <v>8.1666493815662395</v>
      </c>
      <c r="S535">
        <v>0.25415296918612978</v>
      </c>
      <c r="T535">
        <v>0.19607496240961489</v>
      </c>
      <c r="U535">
        <v>4.2625965936405663</v>
      </c>
      <c r="V535">
        <v>0.11023909988438001</v>
      </c>
      <c r="W535">
        <v>11.46227742120745</v>
      </c>
      <c r="X535">
        <v>0.26808053323843628</v>
      </c>
      <c r="Z535" t="s">
        <v>392</v>
      </c>
      <c r="AA535">
        <v>140</v>
      </c>
      <c r="AB535" t="s">
        <v>1940</v>
      </c>
      <c r="AC535" t="str">
        <f>HYPERLINK("plots/20251231112652_3FT6Y119H04_05543_B21P_N_UFLEX98_M5358A8BA201511/dpll_52084/txpa_54229.png","plot")</f>
        <v>plot</v>
      </c>
    </row>
    <row r="536" spans="1:29" x14ac:dyDescent="0.35">
      <c r="A536" t="s">
        <v>47</v>
      </c>
      <c r="B536">
        <v>52084</v>
      </c>
      <c r="C536" t="s">
        <v>52</v>
      </c>
      <c r="D536">
        <v>54230</v>
      </c>
      <c r="E536" t="s">
        <v>250</v>
      </c>
      <c r="F536">
        <v>7139</v>
      </c>
      <c r="G536">
        <v>0.39212027979290848</v>
      </c>
      <c r="H536">
        <v>4.4180797480213117E-261</v>
      </c>
      <c r="I536">
        <v>1.5448044360322789E-259</v>
      </c>
      <c r="J536">
        <v>0.38415522713347477</v>
      </c>
      <c r="K536">
        <v>8.6386923988166825E-250</v>
      </c>
      <c r="L536">
        <v>1.1837343368108261E-248</v>
      </c>
      <c r="M536">
        <v>0.26340402385377598</v>
      </c>
      <c r="N536">
        <v>3.1761863247223181E-244</v>
      </c>
      <c r="O536">
        <v>4.1826661471018579E-243</v>
      </c>
      <c r="P536">
        <v>0.1537583138248689</v>
      </c>
      <c r="Q536">
        <v>0.85455318564230809</v>
      </c>
      <c r="R536">
        <v>7.6831655453599268</v>
      </c>
      <c r="S536">
        <v>0.22098980592276399</v>
      </c>
      <c r="T536">
        <v>0.16821759703035871</v>
      </c>
      <c r="U536">
        <v>4.2625965936405663</v>
      </c>
      <c r="V536">
        <v>0.11023909988438001</v>
      </c>
      <c r="W536">
        <v>11.32578104356352</v>
      </c>
      <c r="X536">
        <v>0.2402456053491811</v>
      </c>
      <c r="Z536" t="s">
        <v>392</v>
      </c>
      <c r="AA536">
        <v>140</v>
      </c>
      <c r="AB536" t="s">
        <v>1941</v>
      </c>
      <c r="AC536" t="str">
        <f>HYPERLINK("plots/20251231112652_3FT6Y119H04_05543_B21P_N_UFLEX98_M5358A8BA201511/dpll_52084/txpa_54230.png","plot")</f>
        <v>plot</v>
      </c>
    </row>
    <row r="537" spans="1:29" x14ac:dyDescent="0.35">
      <c r="A537" t="s">
        <v>47</v>
      </c>
      <c r="B537">
        <v>52084</v>
      </c>
      <c r="C537" t="s">
        <v>52</v>
      </c>
      <c r="D537">
        <v>54231</v>
      </c>
      <c r="E537" t="s">
        <v>251</v>
      </c>
      <c r="F537">
        <v>7139</v>
      </c>
      <c r="G537">
        <v>0.34777284151701521</v>
      </c>
      <c r="H537">
        <v>4.4980656508483971E-202</v>
      </c>
      <c r="I537">
        <v>2.4923708032569811E-201</v>
      </c>
      <c r="J537">
        <v>0.32153736374592923</v>
      </c>
      <c r="K537">
        <v>2.1863268978806828E-171</v>
      </c>
      <c r="L537">
        <v>7.9745880375935698E-171</v>
      </c>
      <c r="M537">
        <v>0.2172478538813325</v>
      </c>
      <c r="N537">
        <v>8.4343276714901167E-167</v>
      </c>
      <c r="O537">
        <v>3.0544315210324932E-166</v>
      </c>
      <c r="P537">
        <v>0.1209459492968189</v>
      </c>
      <c r="Q537">
        <v>0.78256992681516668</v>
      </c>
      <c r="R537">
        <v>8.119169449923417</v>
      </c>
      <c r="S537">
        <v>0.23256294575369421</v>
      </c>
      <c r="T537">
        <v>0.18094513925589839</v>
      </c>
      <c r="U537">
        <v>4.2625965936405663</v>
      </c>
      <c r="V537">
        <v>0.11023909988438001</v>
      </c>
      <c r="W537">
        <v>11.454949354251291</v>
      </c>
      <c r="X537">
        <v>0.2480636611886449</v>
      </c>
      <c r="Z537" t="s">
        <v>392</v>
      </c>
      <c r="AA537">
        <v>140</v>
      </c>
      <c r="AB537" t="s">
        <v>1942</v>
      </c>
      <c r="AC537" t="str">
        <f>HYPERLINK("plots/20251231112652_3FT6Y119H04_05543_B21P_N_UFLEX98_M5358A8BA201511/dpll_52084/txpa_54231.png","plot")</f>
        <v>plot</v>
      </c>
    </row>
    <row r="538" spans="1:29" x14ac:dyDescent="0.35">
      <c r="A538" t="s">
        <v>47</v>
      </c>
      <c r="B538">
        <v>52084</v>
      </c>
      <c r="C538" t="s">
        <v>52</v>
      </c>
      <c r="D538">
        <v>54232</v>
      </c>
      <c r="E538" t="s">
        <v>252</v>
      </c>
      <c r="F538">
        <v>7139</v>
      </c>
      <c r="G538">
        <v>0.40993314851564822</v>
      </c>
      <c r="H538">
        <v>1.7301020728203251E-287</v>
      </c>
      <c r="I538">
        <v>4.2190193015396433E-285</v>
      </c>
      <c r="J538">
        <v>0.39555576352916649</v>
      </c>
      <c r="K538">
        <v>4.7614755114471318E-266</v>
      </c>
      <c r="L538">
        <v>8.6216717296560585E-265</v>
      </c>
      <c r="M538">
        <v>0.27152514032178321</v>
      </c>
      <c r="N538">
        <v>2.2092400637187049E-259</v>
      </c>
      <c r="O538">
        <v>3.672408892804536E-258</v>
      </c>
      <c r="P538">
        <v>0.16804518625195239</v>
      </c>
      <c r="Q538">
        <v>0.81699678048568436</v>
      </c>
      <c r="R538">
        <v>7.8970998033347124</v>
      </c>
      <c r="S538">
        <v>0.2003837112318626</v>
      </c>
      <c r="T538">
        <v>0.15105464051362241</v>
      </c>
      <c r="U538">
        <v>4.2625965936405663</v>
      </c>
      <c r="V538">
        <v>0.11023909988438001</v>
      </c>
      <c r="W538">
        <v>11.3796274968483</v>
      </c>
      <c r="X538">
        <v>0.2197065302362107</v>
      </c>
      <c r="Z538" t="s">
        <v>392</v>
      </c>
      <c r="AA538">
        <v>140</v>
      </c>
      <c r="AB538" t="s">
        <v>1943</v>
      </c>
      <c r="AC538" t="str">
        <f>HYPERLINK("plots/20251231112652_3FT6Y119H04_05543_B21P_N_UFLEX98_M5358A8BA201511/dpll_52084/txpa_54232.png","plot")</f>
        <v>plot</v>
      </c>
    </row>
    <row r="539" spans="1:29" x14ac:dyDescent="0.35">
      <c r="A539" t="s">
        <v>47</v>
      </c>
      <c r="B539">
        <v>52084</v>
      </c>
      <c r="C539" t="s">
        <v>52</v>
      </c>
      <c r="D539">
        <v>54233</v>
      </c>
      <c r="E539" t="s">
        <v>253</v>
      </c>
      <c r="F539">
        <v>7139</v>
      </c>
      <c r="G539">
        <v>0.33873587424146262</v>
      </c>
      <c r="H539">
        <v>3.6613961946147371E-191</v>
      </c>
      <c r="I539">
        <v>1.6141981484084099E-190</v>
      </c>
      <c r="J539">
        <v>0.31378143184275292</v>
      </c>
      <c r="K539">
        <v>6.9830314977283448E-163</v>
      </c>
      <c r="L539">
        <v>2.336895689338792E-162</v>
      </c>
      <c r="M539">
        <v>0.21256950387197571</v>
      </c>
      <c r="N539">
        <v>8.8269389511260619E-160</v>
      </c>
      <c r="O539">
        <v>2.9539657083966431E-159</v>
      </c>
      <c r="P539">
        <v>0.114741992498128</v>
      </c>
      <c r="Q539">
        <v>0.73472370853511182</v>
      </c>
      <c r="R539">
        <v>8.2709126811988405</v>
      </c>
      <c r="S539">
        <v>0.2249588233873959</v>
      </c>
      <c r="T539">
        <v>0.17440171715220021</v>
      </c>
      <c r="U539">
        <v>4.2625965936405663</v>
      </c>
      <c r="V539">
        <v>0.11023909988438001</v>
      </c>
      <c r="W539">
        <v>11.402743458467571</v>
      </c>
      <c r="X539">
        <v>0.23911042925110479</v>
      </c>
      <c r="Z539" t="s">
        <v>392</v>
      </c>
      <c r="AA539">
        <v>140</v>
      </c>
      <c r="AB539" t="s">
        <v>1944</v>
      </c>
      <c r="AC539" t="str">
        <f>HYPERLINK("plots/20251231112652_3FT6Y119H04_05543_B21P_N_UFLEX98_M5358A8BA201511/dpll_52084/txpa_54233.png","plot")</f>
        <v>plot</v>
      </c>
    </row>
    <row r="540" spans="1:29" x14ac:dyDescent="0.35">
      <c r="A540" t="s">
        <v>47</v>
      </c>
      <c r="B540">
        <v>52084</v>
      </c>
      <c r="C540" t="s">
        <v>52</v>
      </c>
      <c r="D540">
        <v>54234</v>
      </c>
      <c r="E540" t="s">
        <v>254</v>
      </c>
      <c r="F540">
        <v>7139</v>
      </c>
      <c r="G540">
        <v>0.2490825909180116</v>
      </c>
      <c r="H540">
        <v>2.0611817870094911E-101</v>
      </c>
      <c r="I540">
        <v>3.3280865159675527E-101</v>
      </c>
      <c r="J540">
        <v>0.20352715394423909</v>
      </c>
      <c r="K540">
        <v>1.260736365780723E-67</v>
      </c>
      <c r="L540">
        <v>1.7706186632986882E-67</v>
      </c>
      <c r="M540">
        <v>0.1358268121001639</v>
      </c>
      <c r="N540">
        <v>2.2306407177348019E-66</v>
      </c>
      <c r="O540">
        <v>3.1241294030153172E-66</v>
      </c>
      <c r="P540">
        <v>6.2042137098429519E-2</v>
      </c>
      <c r="Q540">
        <v>0.77722664009225306</v>
      </c>
      <c r="R540">
        <v>7.6587429634157171</v>
      </c>
      <c r="S540">
        <v>0.33312038289395501</v>
      </c>
      <c r="T540">
        <v>0.27606477181164157</v>
      </c>
      <c r="U540">
        <v>4.2625965936405663</v>
      </c>
      <c r="V540">
        <v>0.11023909988438001</v>
      </c>
      <c r="W540">
        <v>10.97174659195966</v>
      </c>
      <c r="X540">
        <v>0.34398536202047869</v>
      </c>
      <c r="Z540" t="s">
        <v>392</v>
      </c>
      <c r="AA540">
        <v>140</v>
      </c>
      <c r="AB540" t="s">
        <v>1945</v>
      </c>
      <c r="AC540" t="str">
        <f>HYPERLINK("plots/20251231112652_3FT6Y119H04_05543_B21P_N_UFLEX98_M5358A8BA201511/dpll_52084/txpa_54234.png","plot")</f>
        <v>plot</v>
      </c>
    </row>
    <row r="541" spans="1:29" x14ac:dyDescent="0.35">
      <c r="A541" t="s">
        <v>47</v>
      </c>
      <c r="B541">
        <v>52084</v>
      </c>
      <c r="C541" t="s">
        <v>52</v>
      </c>
      <c r="D541">
        <v>54235</v>
      </c>
      <c r="E541" t="s">
        <v>255</v>
      </c>
      <c r="F541">
        <v>7139</v>
      </c>
      <c r="G541">
        <v>0.2377304024810499</v>
      </c>
      <c r="H541">
        <v>2.7459792828215621E-92</v>
      </c>
      <c r="I541">
        <v>4.1434865964003933E-92</v>
      </c>
      <c r="J541">
        <v>0.19645184506649219</v>
      </c>
      <c r="K541">
        <v>4.836252209218346E-63</v>
      </c>
      <c r="L541">
        <v>6.5824962954998691E-63</v>
      </c>
      <c r="M541">
        <v>0.13050557472140331</v>
      </c>
      <c r="N541">
        <v>2.0243680293876781E-61</v>
      </c>
      <c r="O541">
        <v>2.722425970555843E-61</v>
      </c>
      <c r="P541">
        <v>5.6515744263801987E-2</v>
      </c>
      <c r="Q541">
        <v>0.75862137800738561</v>
      </c>
      <c r="R541">
        <v>8.2574729231482529</v>
      </c>
      <c r="S541">
        <v>0.34167477678470098</v>
      </c>
      <c r="T541">
        <v>0.28043507515421651</v>
      </c>
      <c r="U541">
        <v>4.2625965936405663</v>
      </c>
      <c r="V541">
        <v>0.11023909988438001</v>
      </c>
      <c r="W541">
        <v>11.49116982490545</v>
      </c>
      <c r="X541">
        <v>0.35178394093388438</v>
      </c>
      <c r="Z541" t="s">
        <v>392</v>
      </c>
      <c r="AA541">
        <v>140</v>
      </c>
      <c r="AB541" t="s">
        <v>1946</v>
      </c>
      <c r="AC541" t="str">
        <f>HYPERLINK("plots/20251231112652_3FT6Y119H04_05543_B21P_N_UFLEX98_M5358A8BA201511/dpll_52084/txpa_54235.png","plot")</f>
        <v>plot</v>
      </c>
    </row>
    <row r="542" spans="1:29" x14ac:dyDescent="0.35">
      <c r="A542" t="s">
        <v>47</v>
      </c>
      <c r="B542">
        <v>52084</v>
      </c>
      <c r="C542" t="s">
        <v>52</v>
      </c>
      <c r="D542">
        <v>54236</v>
      </c>
      <c r="E542" t="s">
        <v>256</v>
      </c>
      <c r="F542">
        <v>7139</v>
      </c>
      <c r="G542">
        <v>0.36451929220162549</v>
      </c>
      <c r="H542">
        <v>2.8763981289052E-223</v>
      </c>
      <c r="I542">
        <v>2.6758419290916259E-222</v>
      </c>
      <c r="J542">
        <v>0.3710917016955757</v>
      </c>
      <c r="K542">
        <v>6.1092687666921797E-232</v>
      </c>
      <c r="L542">
        <v>5.5808995760593432E-231</v>
      </c>
      <c r="M542">
        <v>0.25311324631454257</v>
      </c>
      <c r="N542">
        <v>1.120609854092754E-225</v>
      </c>
      <c r="O542">
        <v>9.9675297548250205E-225</v>
      </c>
      <c r="P542">
        <v>0.13287431438717409</v>
      </c>
      <c r="Q542">
        <v>0.82920588152083263</v>
      </c>
      <c r="R542">
        <v>8.2302102934506767</v>
      </c>
      <c r="S542">
        <v>0.23350066423476271</v>
      </c>
      <c r="T542">
        <v>0.17497022588852709</v>
      </c>
      <c r="U542">
        <v>4.2625965936405663</v>
      </c>
      <c r="V542">
        <v>0.11023909988438001</v>
      </c>
      <c r="W542">
        <v>11.764780459448099</v>
      </c>
      <c r="X542">
        <v>0.25077111679216307</v>
      </c>
      <c r="Z542" t="s">
        <v>392</v>
      </c>
      <c r="AA542">
        <v>140</v>
      </c>
      <c r="AB542" t="s">
        <v>1947</v>
      </c>
      <c r="AC542" t="str">
        <f>HYPERLINK("plots/20251231112652_3FT6Y119H04_05543_B21P_N_UFLEX98_M5358A8BA201511/dpll_52084/txpa_54236.png","plot")</f>
        <v>plot</v>
      </c>
    </row>
    <row r="543" spans="1:29" x14ac:dyDescent="0.35">
      <c r="A543" t="s">
        <v>47</v>
      </c>
      <c r="B543">
        <v>52084</v>
      </c>
      <c r="C543" t="s">
        <v>52</v>
      </c>
      <c r="D543">
        <v>54237</v>
      </c>
      <c r="E543" t="s">
        <v>257</v>
      </c>
      <c r="F543">
        <v>7139</v>
      </c>
      <c r="G543">
        <v>0.32335059136237121</v>
      </c>
      <c r="H543">
        <v>2.0644191065184311E-173</v>
      </c>
      <c r="I543">
        <v>6.8633474557694717E-173</v>
      </c>
      <c r="J543">
        <v>0.31831062707421831</v>
      </c>
      <c r="K543">
        <v>8.1028785861925791E-168</v>
      </c>
      <c r="L543">
        <v>2.8138078378079709E-167</v>
      </c>
      <c r="M543">
        <v>0.21660055921213431</v>
      </c>
      <c r="N543">
        <v>8.0612389953158974E-166</v>
      </c>
      <c r="O543">
        <v>2.8681039793860772E-165</v>
      </c>
      <c r="P543">
        <v>0.1045556049343952</v>
      </c>
      <c r="Q543">
        <v>0.77801169302509543</v>
      </c>
      <c r="R543">
        <v>8.5661106518466479</v>
      </c>
      <c r="S543">
        <v>0.25097878654177269</v>
      </c>
      <c r="T543">
        <v>0.1913041449561447</v>
      </c>
      <c r="U543">
        <v>4.2625965936405663</v>
      </c>
      <c r="V543">
        <v>0.11023909988438001</v>
      </c>
      <c r="W543">
        <v>11.882460644347949</v>
      </c>
      <c r="X543">
        <v>0.26524556017431788</v>
      </c>
      <c r="Z543" t="s">
        <v>392</v>
      </c>
      <c r="AA543">
        <v>140</v>
      </c>
      <c r="AB543" t="s">
        <v>1948</v>
      </c>
      <c r="AC543" t="str">
        <f>HYPERLINK("plots/20251231112652_3FT6Y119H04_05543_B21P_N_UFLEX98_M5358A8BA201511/dpll_52084/txpa_54237.png","plot")</f>
        <v>plot</v>
      </c>
    </row>
    <row r="544" spans="1:29" x14ac:dyDescent="0.35">
      <c r="A544" t="s">
        <v>47</v>
      </c>
      <c r="B544">
        <v>52084</v>
      </c>
      <c r="C544" t="s">
        <v>52</v>
      </c>
      <c r="D544">
        <v>54238</v>
      </c>
      <c r="E544" t="s">
        <v>258</v>
      </c>
      <c r="F544">
        <v>7139</v>
      </c>
      <c r="G544">
        <v>0.39450788876266502</v>
      </c>
      <c r="H544">
        <v>1.5818908554652471E-264</v>
      </c>
      <c r="I544">
        <v>6.9740753367033076E-263</v>
      </c>
      <c r="J544">
        <v>0.39009021932681459</v>
      </c>
      <c r="K544">
        <v>3.5715037226129562E-258</v>
      </c>
      <c r="L544">
        <v>5.5715458072762113E-257</v>
      </c>
      <c r="M544">
        <v>0.26831353774566469</v>
      </c>
      <c r="N544">
        <v>2.474979595902466E-253</v>
      </c>
      <c r="O544">
        <v>3.9212957972579689E-252</v>
      </c>
      <c r="P544">
        <v>0.15563647429597521</v>
      </c>
      <c r="Q544">
        <v>0.85594715638392893</v>
      </c>
      <c r="R544">
        <v>8.1169912137308469</v>
      </c>
      <c r="S544">
        <v>0.21976636918204401</v>
      </c>
      <c r="T544">
        <v>0.16598221562195051</v>
      </c>
      <c r="U544">
        <v>4.2625965936405663</v>
      </c>
      <c r="V544">
        <v>0.11023909988438001</v>
      </c>
      <c r="W544">
        <v>11.765548646869309</v>
      </c>
      <c r="X544">
        <v>0.23918113365060009</v>
      </c>
      <c r="Z544" t="s">
        <v>392</v>
      </c>
      <c r="AA544">
        <v>140</v>
      </c>
      <c r="AB544" t="s">
        <v>1949</v>
      </c>
      <c r="AC544" t="str">
        <f>HYPERLINK("plots/20251231112652_3FT6Y119H04_05543_B21P_N_UFLEX98_M5358A8BA201511/dpll_52084/txpa_54238.png","plot")</f>
        <v>plot</v>
      </c>
    </row>
    <row r="545" spans="1:29" x14ac:dyDescent="0.35">
      <c r="A545" t="s">
        <v>47</v>
      </c>
      <c r="B545">
        <v>52084</v>
      </c>
      <c r="C545" t="s">
        <v>52</v>
      </c>
      <c r="D545">
        <v>54239</v>
      </c>
      <c r="E545" t="s">
        <v>259</v>
      </c>
      <c r="F545">
        <v>7139</v>
      </c>
      <c r="G545">
        <v>0.3528311618452003</v>
      </c>
      <c r="H545">
        <v>2.4336084786740149E-208</v>
      </c>
      <c r="I545">
        <v>1.532719874146243E-207</v>
      </c>
      <c r="J545">
        <v>0.3313490893218673</v>
      </c>
      <c r="K545">
        <v>1.638325712597486E-182</v>
      </c>
      <c r="L545">
        <v>6.6185747911308806E-182</v>
      </c>
      <c r="M545">
        <v>0.22446311297404881</v>
      </c>
      <c r="N545">
        <v>6.3311403831185809E-178</v>
      </c>
      <c r="O545">
        <v>2.547530297016762E-177</v>
      </c>
      <c r="P545">
        <v>0.1244898287690339</v>
      </c>
      <c r="Q545">
        <v>0.78606634326170477</v>
      </c>
      <c r="R545">
        <v>8.5341556412907238</v>
      </c>
      <c r="S545">
        <v>0.229788401547284</v>
      </c>
      <c r="T545">
        <v>0.17715722411017579</v>
      </c>
      <c r="U545">
        <v>4.2625965936405663</v>
      </c>
      <c r="V545">
        <v>0.11023909988438001</v>
      </c>
      <c r="W545">
        <v>11.88483935845356</v>
      </c>
      <c r="X545">
        <v>0.2455997528035668</v>
      </c>
      <c r="Z545" t="s">
        <v>392</v>
      </c>
      <c r="AA545">
        <v>140</v>
      </c>
      <c r="AB545" t="s">
        <v>1950</v>
      </c>
      <c r="AC545" t="str">
        <f>HYPERLINK("plots/20251231112652_3FT6Y119H04_05543_B21P_N_UFLEX98_M5358A8BA201511/dpll_52084/txpa_54239.png","plot")</f>
        <v>plot</v>
      </c>
    </row>
    <row r="546" spans="1:29" x14ac:dyDescent="0.35">
      <c r="A546" t="s">
        <v>47</v>
      </c>
      <c r="B546">
        <v>52084</v>
      </c>
      <c r="C546" t="s">
        <v>52</v>
      </c>
      <c r="D546">
        <v>54240</v>
      </c>
      <c r="E546" t="s">
        <v>260</v>
      </c>
      <c r="F546">
        <v>7139</v>
      </c>
      <c r="G546">
        <v>0.41041660866716378</v>
      </c>
      <c r="H546">
        <v>3.1519492436357281E-288</v>
      </c>
      <c r="I546">
        <v>1.0653588443488759E-285</v>
      </c>
      <c r="J546">
        <v>0.40110738505260413</v>
      </c>
      <c r="K546">
        <v>3.3466897659071632E-274</v>
      </c>
      <c r="L546">
        <v>7.5412076058441413E-273</v>
      </c>
      <c r="M546">
        <v>0.27644774318484228</v>
      </c>
      <c r="N546">
        <v>8.57240929520826E-269</v>
      </c>
      <c r="O546">
        <v>1.671619812565611E-267</v>
      </c>
      <c r="P546">
        <v>0.1684417926698559</v>
      </c>
      <c r="Q546">
        <v>0.81904006180307365</v>
      </c>
      <c r="R546">
        <v>8.3216357139724533</v>
      </c>
      <c r="S546">
        <v>0.2006003951006575</v>
      </c>
      <c r="T546">
        <v>0.14963810871819661</v>
      </c>
      <c r="U546">
        <v>4.2625965936405663</v>
      </c>
      <c r="V546">
        <v>0.11023909988438001</v>
      </c>
      <c r="W546">
        <v>11.81287309146939</v>
      </c>
      <c r="X546">
        <v>0.21999655295539131</v>
      </c>
      <c r="Z546" t="s">
        <v>392</v>
      </c>
      <c r="AA546">
        <v>140</v>
      </c>
      <c r="AB546" t="s">
        <v>1951</v>
      </c>
      <c r="AC546" t="str">
        <f>HYPERLINK("plots/20251231112652_3FT6Y119H04_05543_B21P_N_UFLEX98_M5358A8BA201511/dpll_52084/txpa_54240.png","plot")</f>
        <v>plot</v>
      </c>
    </row>
    <row r="547" spans="1:29" x14ac:dyDescent="0.35">
      <c r="A547" t="s">
        <v>47</v>
      </c>
      <c r="B547">
        <v>52084</v>
      </c>
      <c r="C547" t="s">
        <v>52</v>
      </c>
      <c r="D547">
        <v>54241</v>
      </c>
      <c r="E547" t="s">
        <v>261</v>
      </c>
      <c r="F547">
        <v>7139</v>
      </c>
      <c r="G547">
        <v>0.34370683808492292</v>
      </c>
      <c r="H547">
        <v>4.0458857712409338E-197</v>
      </c>
      <c r="I547">
        <v>2.0512640860191539E-196</v>
      </c>
      <c r="J547">
        <v>0.32250046428502782</v>
      </c>
      <c r="K547">
        <v>1.8446680006655471E-172</v>
      </c>
      <c r="L547">
        <v>6.8516240024720334E-172</v>
      </c>
      <c r="M547">
        <v>0.21890108384032211</v>
      </c>
      <c r="N547">
        <v>2.565534772555197E-169</v>
      </c>
      <c r="O547">
        <v>9.4598263977126189E-169</v>
      </c>
      <c r="P547">
        <v>0.1181343905463354</v>
      </c>
      <c r="Q547">
        <v>0.73994151346483583</v>
      </c>
      <c r="R547">
        <v>8.6773119770535398</v>
      </c>
      <c r="S547">
        <v>0.22285155231236359</v>
      </c>
      <c r="T547">
        <v>0.17144200504556181</v>
      </c>
      <c r="U547">
        <v>4.2625965936405663</v>
      </c>
      <c r="V547">
        <v>0.11023909988438001</v>
      </c>
      <c r="W547">
        <v>11.83138415184199</v>
      </c>
      <c r="X547">
        <v>0.23732575955121091</v>
      </c>
      <c r="Z547" t="s">
        <v>392</v>
      </c>
      <c r="AA547">
        <v>140</v>
      </c>
      <c r="AB547" t="s">
        <v>1952</v>
      </c>
      <c r="AC547" t="str">
        <f>HYPERLINK("plots/20251231112652_3FT6Y119H04_05543_B21P_N_UFLEX98_M5358A8BA201511/dpll_52084/txpa_54241.png","plot")</f>
        <v>plot</v>
      </c>
    </row>
    <row r="548" spans="1:29" x14ac:dyDescent="0.35">
      <c r="A548" t="s">
        <v>47</v>
      </c>
      <c r="B548">
        <v>52084</v>
      </c>
      <c r="C548" t="s">
        <v>52</v>
      </c>
      <c r="D548">
        <v>54242</v>
      </c>
      <c r="E548" t="s">
        <v>262</v>
      </c>
      <c r="F548">
        <v>7139</v>
      </c>
      <c r="G548">
        <v>0.25550696855544691</v>
      </c>
      <c r="H548">
        <v>8.6623870902111755E-107</v>
      </c>
      <c r="I548">
        <v>1.451844712309774E-106</v>
      </c>
      <c r="J548">
        <v>0.20868525767041241</v>
      </c>
      <c r="K548">
        <v>4.4505708756148943E-71</v>
      </c>
      <c r="L548">
        <v>6.4561929440250396E-71</v>
      </c>
      <c r="M548">
        <v>0.13923452865267921</v>
      </c>
      <c r="N548">
        <v>1.1749212789818501E-69</v>
      </c>
      <c r="O548">
        <v>1.6922871830789709E-69</v>
      </c>
      <c r="P548">
        <v>6.5283810980394139E-2</v>
      </c>
      <c r="Q548">
        <v>0.77875326600286765</v>
      </c>
      <c r="R548">
        <v>8.1107291435374549</v>
      </c>
      <c r="S548">
        <v>0.32481961956354111</v>
      </c>
      <c r="T548">
        <v>0.26872941819017032</v>
      </c>
      <c r="U548">
        <v>4.2625965936405663</v>
      </c>
      <c r="V548">
        <v>0.11023909988438001</v>
      </c>
      <c r="W548">
        <v>11.43024016248774</v>
      </c>
      <c r="X548">
        <v>0.33599498112141502</v>
      </c>
      <c r="Z548" t="s">
        <v>392</v>
      </c>
      <c r="AA548">
        <v>140</v>
      </c>
      <c r="AB548" t="s">
        <v>1953</v>
      </c>
      <c r="AC548" t="str">
        <f>HYPERLINK("plots/20251231112652_3FT6Y119H04_05543_B21P_N_UFLEX98_M5358A8BA201511/dpll_52084/txpa_54242.png","plot")</f>
        <v>plot</v>
      </c>
    </row>
    <row r="549" spans="1:29" x14ac:dyDescent="0.35">
      <c r="A549" t="s">
        <v>47</v>
      </c>
      <c r="B549">
        <v>52084</v>
      </c>
      <c r="C549" t="s">
        <v>52</v>
      </c>
      <c r="D549">
        <v>54243</v>
      </c>
      <c r="E549" t="s">
        <v>263</v>
      </c>
      <c r="F549">
        <v>7139</v>
      </c>
      <c r="G549">
        <v>0.26155842926974082</v>
      </c>
      <c r="H549">
        <v>5.3809511134520096E-112</v>
      </c>
      <c r="I549">
        <v>9.5223113944857553E-112</v>
      </c>
      <c r="J549">
        <v>0.22415496504159571</v>
      </c>
      <c r="K549">
        <v>5.3665909619577278E-82</v>
      </c>
      <c r="L549">
        <v>8.4762044165500566E-82</v>
      </c>
      <c r="M549">
        <v>0.1488092025813417</v>
      </c>
      <c r="N549">
        <v>2.6706798585382259E-79</v>
      </c>
      <c r="O549">
        <v>4.1726800871460113E-79</v>
      </c>
      <c r="P549">
        <v>6.8412811922053979E-2</v>
      </c>
      <c r="Q549">
        <v>0.76851424293672144</v>
      </c>
      <c r="R549">
        <v>9.6717620899670731</v>
      </c>
      <c r="S549">
        <v>0.31260807563321591</v>
      </c>
      <c r="T549">
        <v>0.25297480556484492</v>
      </c>
      <c r="U549">
        <v>4.2625965936405663</v>
      </c>
      <c r="V549">
        <v>0.11023909988438001</v>
      </c>
      <c r="W549">
        <v>12.947628284073399</v>
      </c>
      <c r="X549">
        <v>0.32390589982592127</v>
      </c>
      <c r="Z549" t="s">
        <v>392</v>
      </c>
      <c r="AA549">
        <v>140</v>
      </c>
      <c r="AB549" t="s">
        <v>1954</v>
      </c>
      <c r="AC549" t="str">
        <f>HYPERLINK("plots/20251231112652_3FT6Y119H04_05543_B21P_N_UFLEX98_M5358A8BA201511/dpll_52084/txpa_54243.png","plot")</f>
        <v>plot</v>
      </c>
    </row>
    <row r="550" spans="1:29" x14ac:dyDescent="0.35">
      <c r="A550" t="s">
        <v>47</v>
      </c>
      <c r="B550">
        <v>52084</v>
      </c>
      <c r="C550" t="s">
        <v>52</v>
      </c>
      <c r="D550">
        <v>54244</v>
      </c>
      <c r="E550" t="s">
        <v>264</v>
      </c>
      <c r="F550">
        <v>7139</v>
      </c>
      <c r="G550">
        <v>0.36667380240503189</v>
      </c>
      <c r="H550">
        <v>4.3465986040917858E-226</v>
      </c>
      <c r="I550">
        <v>4.4519706914637078E-225</v>
      </c>
      <c r="J550">
        <v>0.39962493983655428</v>
      </c>
      <c r="K550">
        <v>5.2125537107113182E-272</v>
      </c>
      <c r="L550">
        <v>1.036378326012015E-270</v>
      </c>
      <c r="M550">
        <v>0.27734066033621668</v>
      </c>
      <c r="N550">
        <v>1.6104933358198241E-270</v>
      </c>
      <c r="O550">
        <v>3.4021671719193782E-269</v>
      </c>
      <c r="P550">
        <v>0.13444967737016439</v>
      </c>
      <c r="Q550">
        <v>0.84299895153741722</v>
      </c>
      <c r="R550">
        <v>9.5402768952654835</v>
      </c>
      <c r="S550">
        <v>0.23577543398056899</v>
      </c>
      <c r="T550">
        <v>0.16890426167833861</v>
      </c>
      <c r="U550">
        <v>4.2625965936405663</v>
      </c>
      <c r="V550">
        <v>0.11023909988438001</v>
      </c>
      <c r="W550">
        <v>13.13364135453145</v>
      </c>
      <c r="X550">
        <v>0.25344446483882682</v>
      </c>
      <c r="Z550" t="s">
        <v>392</v>
      </c>
      <c r="AA550">
        <v>140</v>
      </c>
      <c r="AB550" t="s">
        <v>1955</v>
      </c>
      <c r="AC550" t="str">
        <f>HYPERLINK("plots/20251231112652_3FT6Y119H04_05543_B21P_N_UFLEX98_M5358A8BA201511/dpll_52084/txpa_54244.png","plot")</f>
        <v>plot</v>
      </c>
    </row>
    <row r="551" spans="1:29" x14ac:dyDescent="0.35">
      <c r="A551" t="s">
        <v>47</v>
      </c>
      <c r="B551">
        <v>52084</v>
      </c>
      <c r="C551" t="s">
        <v>52</v>
      </c>
      <c r="D551">
        <v>54245</v>
      </c>
      <c r="E551" t="s">
        <v>265</v>
      </c>
      <c r="F551">
        <v>7139</v>
      </c>
      <c r="G551">
        <v>0.329471793638069</v>
      </c>
      <c r="H551">
        <v>2.37173519531093E-180</v>
      </c>
      <c r="I551">
        <v>8.4980193923861581E-180</v>
      </c>
      <c r="J551">
        <v>0.35610531868197631</v>
      </c>
      <c r="K551">
        <v>1.853471524140919E-212</v>
      </c>
      <c r="L551">
        <v>1.1187024556421981E-211</v>
      </c>
      <c r="M551">
        <v>0.24545055567199331</v>
      </c>
      <c r="N551">
        <v>2.404518864595825E-212</v>
      </c>
      <c r="O551">
        <v>1.552982247579724E-211</v>
      </c>
      <c r="P551">
        <v>0.1085516628030863</v>
      </c>
      <c r="Q551">
        <v>0.81746349779216265</v>
      </c>
      <c r="R551">
        <v>9.6579081863516549</v>
      </c>
      <c r="S551">
        <v>0.2582280751349183</v>
      </c>
      <c r="T551">
        <v>0.1873928213012078</v>
      </c>
      <c r="U551">
        <v>4.2625965936405663</v>
      </c>
      <c r="V551">
        <v>0.11023909988438001</v>
      </c>
      <c r="W551">
        <v>13.142425307466031</v>
      </c>
      <c r="X551">
        <v>0.27351792148841592</v>
      </c>
      <c r="Z551" t="s">
        <v>392</v>
      </c>
      <c r="AA551">
        <v>140</v>
      </c>
      <c r="AB551" t="s">
        <v>1956</v>
      </c>
      <c r="AC551" t="str">
        <f>HYPERLINK("plots/20251231112652_3FT6Y119H04_05543_B21P_N_UFLEX98_M5358A8BA201511/dpll_52084/txpa_54245.png","plot")</f>
        <v>plot</v>
      </c>
    </row>
    <row r="552" spans="1:29" x14ac:dyDescent="0.35">
      <c r="A552" t="s">
        <v>47</v>
      </c>
      <c r="B552">
        <v>52084</v>
      </c>
      <c r="C552" t="s">
        <v>52</v>
      </c>
      <c r="D552">
        <v>54246</v>
      </c>
      <c r="E552" t="s">
        <v>266</v>
      </c>
      <c r="F552">
        <v>7139</v>
      </c>
      <c r="G552">
        <v>0.3957058635477731</v>
      </c>
      <c r="H552">
        <v>2.8797537039058429E-266</v>
      </c>
      <c r="I552">
        <v>1.5368790819792241E-264</v>
      </c>
      <c r="J552">
        <v>0.41697027895501709</v>
      </c>
      <c r="K552">
        <v>2.2533059852674901E-298</v>
      </c>
      <c r="L552">
        <v>9.1394090762449404E-297</v>
      </c>
      <c r="M552">
        <v>0.29262952022206179</v>
      </c>
      <c r="N552">
        <v>6.3785475290552902E-301</v>
      </c>
      <c r="O552">
        <v>2.5871388777848259E-299</v>
      </c>
      <c r="P552">
        <v>0.15658313044608879</v>
      </c>
      <c r="Q552">
        <v>0.86494322742341534</v>
      </c>
      <c r="R552">
        <v>9.4495495212235827</v>
      </c>
      <c r="S552">
        <v>0.22127966117992429</v>
      </c>
      <c r="T552">
        <v>0.15922108821432379</v>
      </c>
      <c r="U552">
        <v>4.2625965936405663</v>
      </c>
      <c r="V552">
        <v>0.11023909988438001</v>
      </c>
      <c r="W552">
        <v>13.13645357613111</v>
      </c>
      <c r="X552">
        <v>0.240963229575031</v>
      </c>
      <c r="Z552" t="s">
        <v>392</v>
      </c>
      <c r="AA552">
        <v>140</v>
      </c>
      <c r="AB552" t="s">
        <v>1957</v>
      </c>
      <c r="AC552" t="str">
        <f>HYPERLINK("plots/20251231112652_3FT6Y119H04_05543_B21P_N_UFLEX98_M5358A8BA201511/dpll_52084/txpa_54246.png","plot")</f>
        <v>plot</v>
      </c>
    </row>
    <row r="553" spans="1:29" x14ac:dyDescent="0.35">
      <c r="A553" t="s">
        <v>47</v>
      </c>
      <c r="B553">
        <v>52084</v>
      </c>
      <c r="C553" t="s">
        <v>52</v>
      </c>
      <c r="D553">
        <v>54247</v>
      </c>
      <c r="E553" t="s">
        <v>267</v>
      </c>
      <c r="F553">
        <v>7139</v>
      </c>
      <c r="G553">
        <v>0.36232718956966481</v>
      </c>
      <c r="H553">
        <v>2.025500237076136E-220</v>
      </c>
      <c r="I553">
        <v>1.7554335387993181E-219</v>
      </c>
      <c r="J553">
        <v>0.37279334357166499</v>
      </c>
      <c r="K553">
        <v>3.2157987299976973E-234</v>
      </c>
      <c r="L553">
        <v>3.1354037617477549E-233</v>
      </c>
      <c r="M553">
        <v>0.25730387614370009</v>
      </c>
      <c r="N553">
        <v>3.84989174602528E-233</v>
      </c>
      <c r="O553">
        <v>3.943222455019832E-232</v>
      </c>
      <c r="P553">
        <v>0.13128099230145179</v>
      </c>
      <c r="Q553">
        <v>0.81542294982920449</v>
      </c>
      <c r="R553">
        <v>9.7240532999713665</v>
      </c>
      <c r="S553">
        <v>0.23122080367902331</v>
      </c>
      <c r="T553">
        <v>0.1691947175382098</v>
      </c>
      <c r="U553">
        <v>4.2625965936405663</v>
      </c>
      <c r="V553">
        <v>0.11023909988438001</v>
      </c>
      <c r="W553">
        <v>13.19987238828968</v>
      </c>
      <c r="X553">
        <v>0.2480948010581305</v>
      </c>
      <c r="Z553" t="s">
        <v>392</v>
      </c>
      <c r="AA553">
        <v>140</v>
      </c>
      <c r="AB553" t="s">
        <v>1958</v>
      </c>
      <c r="AC553" t="str">
        <f>HYPERLINK("plots/20251231112652_3FT6Y119H04_05543_B21P_N_UFLEX98_M5358A8BA201511/dpll_52084/txpa_54247.png","plot")</f>
        <v>plot</v>
      </c>
    </row>
    <row r="554" spans="1:29" x14ac:dyDescent="0.35">
      <c r="A554" t="s">
        <v>47</v>
      </c>
      <c r="B554">
        <v>52084</v>
      </c>
      <c r="C554" t="s">
        <v>52</v>
      </c>
      <c r="D554">
        <v>54248</v>
      </c>
      <c r="E554" t="s">
        <v>268</v>
      </c>
      <c r="F554">
        <v>7139</v>
      </c>
      <c r="G554">
        <v>0.39801177760524609</v>
      </c>
      <c r="H554">
        <v>1.2305650191550081E-269</v>
      </c>
      <c r="I554">
        <v>8.9128066387369863E-268</v>
      </c>
      <c r="J554">
        <v>0.42068233731349519</v>
      </c>
      <c r="K554">
        <v>3.198161774084855E-304</v>
      </c>
      <c r="L554">
        <v>1.474061835873656E-302</v>
      </c>
      <c r="M554">
        <v>0.29665400687573518</v>
      </c>
      <c r="N554">
        <v>0</v>
      </c>
      <c r="O554">
        <v>1.814659062973719E-307</v>
      </c>
      <c r="P554">
        <v>0.1584133751124879</v>
      </c>
      <c r="Q554">
        <v>0.83558841675447959</v>
      </c>
      <c r="R554">
        <v>9.5875431918034444</v>
      </c>
      <c r="S554">
        <v>0.21230055973308931</v>
      </c>
      <c r="T554">
        <v>0.15067744555036161</v>
      </c>
      <c r="U554">
        <v>4.2625965936405663</v>
      </c>
      <c r="V554">
        <v>0.11023909988438001</v>
      </c>
      <c r="W554">
        <v>13.149319530746601</v>
      </c>
      <c r="X554">
        <v>0.23143665619912529</v>
      </c>
      <c r="Z554" t="s">
        <v>392</v>
      </c>
      <c r="AA554">
        <v>140</v>
      </c>
      <c r="AB554" t="s">
        <v>1959</v>
      </c>
      <c r="AC554" t="str">
        <f>HYPERLINK("plots/20251231112652_3FT6Y119H04_05543_B21P_N_UFLEX98_M5358A8BA201511/dpll_52084/txpa_54248.png","plot")</f>
        <v>plot</v>
      </c>
    </row>
    <row r="555" spans="1:29" x14ac:dyDescent="0.35">
      <c r="A555" t="s">
        <v>47</v>
      </c>
      <c r="B555">
        <v>52084</v>
      </c>
      <c r="C555" t="s">
        <v>52</v>
      </c>
      <c r="D555">
        <v>54249</v>
      </c>
      <c r="E555" t="s">
        <v>269</v>
      </c>
      <c r="F555">
        <v>7139</v>
      </c>
      <c r="G555">
        <v>0.35082866675437241</v>
      </c>
      <c r="H555">
        <v>7.6029041648986766E-206</v>
      </c>
      <c r="I555">
        <v>4.4562686839348308E-205</v>
      </c>
      <c r="J555">
        <v>0.35874289153307648</v>
      </c>
      <c r="K555">
        <v>8.2177506397487708E-216</v>
      </c>
      <c r="L555">
        <v>5.4821047030955616E-215</v>
      </c>
      <c r="M555">
        <v>0.24650671089731871</v>
      </c>
      <c r="N555">
        <v>3.6975297074213512E-214</v>
      </c>
      <c r="O555">
        <v>2.5680103584419521E-213</v>
      </c>
      <c r="P555">
        <v>0.12308075341665051</v>
      </c>
      <c r="Q555">
        <v>0.78234528119795643</v>
      </c>
      <c r="R555">
        <v>9.7931544966015558</v>
      </c>
      <c r="S555">
        <v>0.2301910504424812</v>
      </c>
      <c r="T555">
        <v>0.16984627294257851</v>
      </c>
      <c r="U555">
        <v>4.2625965936405663</v>
      </c>
      <c r="V555">
        <v>0.11023909988438001</v>
      </c>
      <c r="W555">
        <v>13.127976827286741</v>
      </c>
      <c r="X555">
        <v>0.2458323614085908</v>
      </c>
      <c r="Z555" t="s">
        <v>392</v>
      </c>
      <c r="AA555">
        <v>140</v>
      </c>
      <c r="AB555" t="s">
        <v>1960</v>
      </c>
      <c r="AC555" t="str">
        <f>HYPERLINK("plots/20251231112652_3FT6Y119H04_05543_B21P_N_UFLEX98_M5358A8BA201511/dpll_52084/txpa_54249.png","plot")</f>
        <v>plot</v>
      </c>
    </row>
    <row r="556" spans="1:29" x14ac:dyDescent="0.35">
      <c r="A556" t="s">
        <v>47</v>
      </c>
      <c r="B556">
        <v>52084</v>
      </c>
      <c r="C556" t="s">
        <v>52</v>
      </c>
      <c r="D556">
        <v>54250</v>
      </c>
      <c r="E556" t="s">
        <v>270</v>
      </c>
      <c r="F556">
        <v>7139</v>
      </c>
      <c r="G556">
        <v>0.28159137411285912</v>
      </c>
      <c r="H556">
        <v>3.0976986497168202E-130</v>
      </c>
      <c r="I556">
        <v>6.4234487337686207E-130</v>
      </c>
      <c r="J556">
        <v>0.23162838185947421</v>
      </c>
      <c r="K556">
        <v>1.403824475369838E-87</v>
      </c>
      <c r="L556">
        <v>2.3528562281405232E-87</v>
      </c>
      <c r="M556">
        <v>0.15443524475754761</v>
      </c>
      <c r="N556">
        <v>2.903740122671313E-85</v>
      </c>
      <c r="O556">
        <v>4.7876300559166027E-85</v>
      </c>
      <c r="P556">
        <v>7.9293701974768149E-2</v>
      </c>
      <c r="Q556">
        <v>0.78276810062277047</v>
      </c>
      <c r="R556">
        <v>9.5619643633363207</v>
      </c>
      <c r="S556">
        <v>0.29402182449420228</v>
      </c>
      <c r="T556">
        <v>0.24155486052547989</v>
      </c>
      <c r="U556">
        <v>4.2625965936405663</v>
      </c>
      <c r="V556">
        <v>0.11023909988438001</v>
      </c>
      <c r="W556">
        <v>12.89858900266144</v>
      </c>
      <c r="X556">
        <v>0.3064428060082382</v>
      </c>
      <c r="Z556" t="s">
        <v>392</v>
      </c>
      <c r="AA556">
        <v>140</v>
      </c>
      <c r="AB556" t="s">
        <v>1961</v>
      </c>
      <c r="AC556" t="str">
        <f>HYPERLINK("plots/20251231112652_3FT6Y119H04_05543_B21P_N_UFLEX98_M5358A8BA201511/dpll_52084/txpa_54250.png","plot")</f>
        <v>plot</v>
      </c>
    </row>
    <row r="557" spans="1:29" x14ac:dyDescent="0.35">
      <c r="A557" t="s">
        <v>47</v>
      </c>
      <c r="B557">
        <v>52084</v>
      </c>
      <c r="C557" t="s">
        <v>52</v>
      </c>
      <c r="D557">
        <v>54251</v>
      </c>
      <c r="E557" t="s">
        <v>271</v>
      </c>
      <c r="F557">
        <v>7139</v>
      </c>
      <c r="G557">
        <v>0.27346915459881532</v>
      </c>
      <c r="H557">
        <v>1.1852931099079501E-122</v>
      </c>
      <c r="I557">
        <v>2.2763015406186769E-122</v>
      </c>
      <c r="J557">
        <v>0.24268441502980889</v>
      </c>
      <c r="K557">
        <v>3.276840552149972E-96</v>
      </c>
      <c r="L557">
        <v>5.9228454899823009E-96</v>
      </c>
      <c r="M557">
        <v>0.16153732424071821</v>
      </c>
      <c r="N557">
        <v>4.1735192953490354E-93</v>
      </c>
      <c r="O557">
        <v>7.4901744521839307E-93</v>
      </c>
      <c r="P557">
        <v>7.4785378516990728E-2</v>
      </c>
      <c r="Q557">
        <v>0.77604393905677704</v>
      </c>
      <c r="R557">
        <v>10.13538409008544</v>
      </c>
      <c r="S557">
        <v>0.30088770820643479</v>
      </c>
      <c r="T557">
        <v>0.24038109472014901</v>
      </c>
      <c r="U557">
        <v>4.2625965936405663</v>
      </c>
      <c r="V557">
        <v>0.11023909988438001</v>
      </c>
      <c r="W557">
        <v>13.44334634122426</v>
      </c>
      <c r="X557">
        <v>0.31283376524804751</v>
      </c>
      <c r="Z557" t="s">
        <v>392</v>
      </c>
      <c r="AA557">
        <v>140</v>
      </c>
      <c r="AB557" t="s">
        <v>1962</v>
      </c>
      <c r="AC557" t="str">
        <f>HYPERLINK("plots/20251231112652_3FT6Y119H04_05543_B21P_N_UFLEX98_M5358A8BA201511/dpll_52084/txpa_54251.png","plot")</f>
        <v>plot</v>
      </c>
    </row>
    <row r="558" spans="1:29" x14ac:dyDescent="0.35">
      <c r="A558" t="s">
        <v>47</v>
      </c>
      <c r="B558">
        <v>52084</v>
      </c>
      <c r="C558" t="s">
        <v>52</v>
      </c>
      <c r="D558">
        <v>54252</v>
      </c>
      <c r="E558" t="s">
        <v>272</v>
      </c>
      <c r="F558">
        <v>7137</v>
      </c>
      <c r="G558">
        <v>0.36750586881859509</v>
      </c>
      <c r="H558">
        <v>4.0369721749466911E-227</v>
      </c>
      <c r="I558">
        <v>4.4016019197805857E-226</v>
      </c>
      <c r="J558">
        <v>0.41137656599817157</v>
      </c>
      <c r="K558">
        <v>1.2799606504170571E-289</v>
      </c>
      <c r="L558">
        <v>3.9329699985542292E-288</v>
      </c>
      <c r="M558">
        <v>0.28831308067902889</v>
      </c>
      <c r="N558">
        <v>4.3090985610757066E-292</v>
      </c>
      <c r="O558">
        <v>1.3481220966764429E-290</v>
      </c>
      <c r="P558">
        <v>0.13506056361611049</v>
      </c>
      <c r="Q558">
        <v>0.86340919809739447</v>
      </c>
      <c r="R558">
        <v>9.8977755717125788</v>
      </c>
      <c r="S558">
        <v>0.24084140435509149</v>
      </c>
      <c r="T558">
        <v>0.16958109247749581</v>
      </c>
      <c r="U558">
        <v>4.2625619187333612</v>
      </c>
      <c r="V558">
        <v>0.1102341955265327</v>
      </c>
      <c r="W558">
        <v>13.57811073980664</v>
      </c>
      <c r="X558">
        <v>0.258981492372998</v>
      </c>
      <c r="Z558" t="s">
        <v>392</v>
      </c>
      <c r="AA558">
        <v>140</v>
      </c>
      <c r="AB558" t="s">
        <v>1963</v>
      </c>
      <c r="AC558" t="str">
        <f>HYPERLINK("plots/20251231112652_3FT6Y119H04_05543_B21P_N_UFLEX98_M5358A8BA201511/dpll_52084/txpa_54252.png","plot")</f>
        <v>plot</v>
      </c>
    </row>
    <row r="559" spans="1:29" x14ac:dyDescent="0.35">
      <c r="A559" t="s">
        <v>47</v>
      </c>
      <c r="B559">
        <v>52084</v>
      </c>
      <c r="C559" t="s">
        <v>52</v>
      </c>
      <c r="D559">
        <v>54253</v>
      </c>
      <c r="E559" t="s">
        <v>273</v>
      </c>
      <c r="F559">
        <v>7138</v>
      </c>
      <c r="G559">
        <v>0.32447621564224138</v>
      </c>
      <c r="H559">
        <v>1.1882163886901749E-174</v>
      </c>
      <c r="I559">
        <v>4.0028286316672331E-174</v>
      </c>
      <c r="J559">
        <v>0.35638508070161912</v>
      </c>
      <c r="K559">
        <v>8.7771616440032577E-213</v>
      </c>
      <c r="L559">
        <v>5.3939647921329112E-212</v>
      </c>
      <c r="M559">
        <v>0.24639975332568931</v>
      </c>
      <c r="N559">
        <v>6.0439280569512308E-214</v>
      </c>
      <c r="O559">
        <v>4.1409074660463172E-213</v>
      </c>
      <c r="P559">
        <v>0.1052848145175103</v>
      </c>
      <c r="Q559">
        <v>0.84756638418341312</v>
      </c>
      <c r="R559">
        <v>9.9135975280794746</v>
      </c>
      <c r="S559">
        <v>0.27236116428636697</v>
      </c>
      <c r="T559">
        <v>0.19663717984735021</v>
      </c>
      <c r="U559">
        <v>4.2625829530680859</v>
      </c>
      <c r="V559">
        <v>0.1102407973763025</v>
      </c>
      <c r="W559">
        <v>13.52641954889325</v>
      </c>
      <c r="X559">
        <v>0.28796068715480061</v>
      </c>
      <c r="Z559" t="s">
        <v>392</v>
      </c>
      <c r="AA559">
        <v>140</v>
      </c>
      <c r="AB559" t="s">
        <v>1964</v>
      </c>
      <c r="AC559" t="str">
        <f>HYPERLINK("plots/20251231112652_3FT6Y119H04_05543_B21P_N_UFLEX98_M5358A8BA201511/dpll_52084/txpa_54253.png","plot")</f>
        <v>plot</v>
      </c>
    </row>
    <row r="560" spans="1:29" x14ac:dyDescent="0.35">
      <c r="A560" t="s">
        <v>47</v>
      </c>
      <c r="B560">
        <v>52084</v>
      </c>
      <c r="C560" t="s">
        <v>52</v>
      </c>
      <c r="D560">
        <v>54254</v>
      </c>
      <c r="E560" t="s">
        <v>274</v>
      </c>
      <c r="F560">
        <v>7138</v>
      </c>
      <c r="G560">
        <v>0.39384737551147703</v>
      </c>
      <c r="H560">
        <v>1.555928295869903E-263</v>
      </c>
      <c r="I560">
        <v>6.0681203538926222E-262</v>
      </c>
      <c r="J560">
        <v>0.42904574016576141</v>
      </c>
      <c r="K560">
        <v>0</v>
      </c>
      <c r="L560">
        <v>0</v>
      </c>
      <c r="M560">
        <v>0.30448174098165798</v>
      </c>
      <c r="N560">
        <v>0</v>
      </c>
      <c r="O560">
        <v>0</v>
      </c>
      <c r="P560">
        <v>0.15511575519727841</v>
      </c>
      <c r="Q560">
        <v>0.8794949181722046</v>
      </c>
      <c r="R560">
        <v>9.8336535922477601</v>
      </c>
      <c r="S560">
        <v>0.22624720503046331</v>
      </c>
      <c r="T560">
        <v>0.15911482139361291</v>
      </c>
      <c r="U560">
        <v>4.2625755641636314</v>
      </c>
      <c r="V560">
        <v>0.1102325012235395</v>
      </c>
      <c r="W560">
        <v>13.582567139254691</v>
      </c>
      <c r="X560">
        <v>0.24615861542205231</v>
      </c>
      <c r="Z560" t="s">
        <v>392</v>
      </c>
      <c r="AA560">
        <v>140</v>
      </c>
      <c r="AB560" t="s">
        <v>1965</v>
      </c>
      <c r="AC560" t="str">
        <f>HYPERLINK("plots/20251231112652_3FT6Y119H04_05543_B21P_N_UFLEX98_M5358A8BA201511/dpll_52084/txpa_54254.png","plot")</f>
        <v>plot</v>
      </c>
    </row>
    <row r="561" spans="1:29" x14ac:dyDescent="0.35">
      <c r="A561" t="s">
        <v>47</v>
      </c>
      <c r="B561">
        <v>52084</v>
      </c>
      <c r="C561" t="s">
        <v>52</v>
      </c>
      <c r="D561">
        <v>54255</v>
      </c>
      <c r="E561" t="s">
        <v>275</v>
      </c>
      <c r="F561">
        <v>7139</v>
      </c>
      <c r="G561">
        <v>0.35957279850356061</v>
      </c>
      <c r="H561">
        <v>7.1293235068558133E-217</v>
      </c>
      <c r="I561">
        <v>5.3948761462326821E-216</v>
      </c>
      <c r="J561">
        <v>0.38489799462567642</v>
      </c>
      <c r="K561">
        <v>7.8835628655472805E-251</v>
      </c>
      <c r="L561">
        <v>1.095059280228074E-249</v>
      </c>
      <c r="M561">
        <v>0.26823178031821349</v>
      </c>
      <c r="N561">
        <v>3.5200682582622841E-253</v>
      </c>
      <c r="O561">
        <v>5.4913064828891618E-252</v>
      </c>
      <c r="P561">
        <v>0.12929259742368221</v>
      </c>
      <c r="Q561">
        <v>0.84004657311393538</v>
      </c>
      <c r="R561">
        <v>10.030305981191921</v>
      </c>
      <c r="S561">
        <v>0.24030228035187939</v>
      </c>
      <c r="T561">
        <v>0.17257577598368271</v>
      </c>
      <c r="U561">
        <v>4.2625965936405663</v>
      </c>
      <c r="V561">
        <v>0.11023909988438001</v>
      </c>
      <c r="W561">
        <v>13.61108564224681</v>
      </c>
      <c r="X561">
        <v>0.25754444848564167</v>
      </c>
      <c r="Z561" t="s">
        <v>392</v>
      </c>
      <c r="AA561">
        <v>140</v>
      </c>
      <c r="AB561" t="s">
        <v>1966</v>
      </c>
      <c r="AC561" t="str">
        <f>HYPERLINK("plots/20251231112652_3FT6Y119H04_05543_B21P_N_UFLEX98_M5358A8BA201511/dpll_52084/txpa_54255.png","plot")</f>
        <v>plot</v>
      </c>
    </row>
    <row r="562" spans="1:29" x14ac:dyDescent="0.35">
      <c r="A562" t="s">
        <v>47</v>
      </c>
      <c r="B562">
        <v>52084</v>
      </c>
      <c r="C562" t="s">
        <v>52</v>
      </c>
      <c r="D562">
        <v>54256</v>
      </c>
      <c r="E562" t="s">
        <v>276</v>
      </c>
      <c r="F562">
        <v>7139</v>
      </c>
      <c r="G562">
        <v>0.38635501585577919</v>
      </c>
      <c r="H562">
        <v>7.0684766520214695E-253</v>
      </c>
      <c r="I562">
        <v>1.6289625738976751E-251</v>
      </c>
      <c r="J562">
        <v>0.42332481739953648</v>
      </c>
      <c r="K562">
        <v>0</v>
      </c>
      <c r="L562">
        <v>1.8258713962363101E-306</v>
      </c>
      <c r="M562">
        <v>0.30096625599514892</v>
      </c>
      <c r="N562">
        <v>0</v>
      </c>
      <c r="O562">
        <v>0</v>
      </c>
      <c r="P562">
        <v>0.1492701982769194</v>
      </c>
      <c r="Q562">
        <v>0.85367186549791174</v>
      </c>
      <c r="R562">
        <v>9.9332556964623198</v>
      </c>
      <c r="S562">
        <v>0.22464951041502601</v>
      </c>
      <c r="T562">
        <v>0.15765969356789489</v>
      </c>
      <c r="U562">
        <v>4.2625965936405663</v>
      </c>
      <c r="V562">
        <v>0.11023909988438001</v>
      </c>
      <c r="W562">
        <v>13.57211448242051</v>
      </c>
      <c r="X562">
        <v>0.24357912848797719</v>
      </c>
      <c r="Z562" t="s">
        <v>392</v>
      </c>
      <c r="AA562">
        <v>140</v>
      </c>
      <c r="AB562" t="s">
        <v>1967</v>
      </c>
      <c r="AC562" t="str">
        <f>HYPERLINK("plots/20251231112652_3FT6Y119H04_05543_B21P_N_UFLEX98_M5358A8BA201511/dpll_52084/txpa_54256.png","plot")</f>
        <v>plot</v>
      </c>
    </row>
    <row r="563" spans="1:29" x14ac:dyDescent="0.35">
      <c r="A563" t="s">
        <v>47</v>
      </c>
      <c r="B563">
        <v>52084</v>
      </c>
      <c r="C563" t="s">
        <v>52</v>
      </c>
      <c r="D563">
        <v>54257</v>
      </c>
      <c r="E563" t="s">
        <v>277</v>
      </c>
      <c r="F563">
        <v>7139</v>
      </c>
      <c r="G563">
        <v>0.34562507207927712</v>
      </c>
      <c r="H563">
        <v>1.9013609837034929E-199</v>
      </c>
      <c r="I563">
        <v>1.009413632186043E-198</v>
      </c>
      <c r="J563">
        <v>0.36435373505515811</v>
      </c>
      <c r="K563">
        <v>4.728244158267576E-223</v>
      </c>
      <c r="L563">
        <v>3.688030443448709E-222</v>
      </c>
      <c r="M563">
        <v>0.25155606831504668</v>
      </c>
      <c r="N563">
        <v>6.189269275552245E-223</v>
      </c>
      <c r="O563">
        <v>5.2299325378416458E-222</v>
      </c>
      <c r="P563">
        <v>0.1194566904498055</v>
      </c>
      <c r="Q563">
        <v>0.81419812159642413</v>
      </c>
      <c r="R563">
        <v>10.054024738888961</v>
      </c>
      <c r="S563">
        <v>0.24367190413200751</v>
      </c>
      <c r="T563">
        <v>0.17764532753517101</v>
      </c>
      <c r="U563">
        <v>4.2625965936405663</v>
      </c>
      <c r="V563">
        <v>0.11023909988438001</v>
      </c>
      <c r="W563">
        <v>13.524622878554419</v>
      </c>
      <c r="X563">
        <v>0.25969316262957648</v>
      </c>
      <c r="Z563" t="s">
        <v>392</v>
      </c>
      <c r="AA563">
        <v>140</v>
      </c>
      <c r="AB563" t="s">
        <v>1968</v>
      </c>
      <c r="AC563" t="str">
        <f>HYPERLINK("plots/20251231112652_3FT6Y119H04_05543_B21P_N_UFLEX98_M5358A8BA201511/dpll_52084/txpa_54257.png","plot")</f>
        <v>plot</v>
      </c>
    </row>
    <row r="564" spans="1:29" x14ac:dyDescent="0.35">
      <c r="A564" t="s">
        <v>47</v>
      </c>
      <c r="B564">
        <v>52084</v>
      </c>
      <c r="C564" t="s">
        <v>52</v>
      </c>
      <c r="D564">
        <v>54258</v>
      </c>
      <c r="E564" t="s">
        <v>278</v>
      </c>
      <c r="F564">
        <v>7139</v>
      </c>
      <c r="G564">
        <v>0.29508839667942072</v>
      </c>
      <c r="H564">
        <v>2.0585642755215331E-143</v>
      </c>
      <c r="I564">
        <v>4.8431187363778056E-143</v>
      </c>
      <c r="J564">
        <v>0.24692987917676781</v>
      </c>
      <c r="K564">
        <v>1.2054134098624659E-99</v>
      </c>
      <c r="L564">
        <v>2.2593145981525691E-99</v>
      </c>
      <c r="M564">
        <v>0.1646417121846655</v>
      </c>
      <c r="N564">
        <v>1.2079095785022869E-96</v>
      </c>
      <c r="O564">
        <v>2.2515079275759538E-96</v>
      </c>
      <c r="P564">
        <v>8.7077161854831123E-2</v>
      </c>
      <c r="Q564">
        <v>0.78643959863489488</v>
      </c>
      <c r="R564">
        <v>10.047137758711839</v>
      </c>
      <c r="S564">
        <v>0.28069554208656072</v>
      </c>
      <c r="T564">
        <v>0.22876832064294661</v>
      </c>
      <c r="U564">
        <v>4.2625965936405663</v>
      </c>
      <c r="V564">
        <v>0.11023909988438001</v>
      </c>
      <c r="W564">
        <v>13.399412512956999</v>
      </c>
      <c r="X564">
        <v>0.29379804303565871</v>
      </c>
      <c r="Z564" t="s">
        <v>392</v>
      </c>
      <c r="AA564">
        <v>140</v>
      </c>
      <c r="AB564" t="s">
        <v>1969</v>
      </c>
      <c r="AC564" t="str">
        <f>HYPERLINK("plots/20251231112652_3FT6Y119H04_05543_B21P_N_UFLEX98_M5358A8BA201511/dpll_52084/txpa_54258.png","plot")</f>
        <v>plot</v>
      </c>
    </row>
    <row r="565" spans="1:29" x14ac:dyDescent="0.35">
      <c r="A565" t="s">
        <v>47</v>
      </c>
      <c r="B565">
        <v>52084</v>
      </c>
      <c r="C565" t="s">
        <v>52</v>
      </c>
      <c r="D565">
        <v>55146</v>
      </c>
      <c r="E565" t="s">
        <v>279</v>
      </c>
      <c r="F565">
        <v>7139</v>
      </c>
      <c r="G565">
        <v>-1.0725843282898559E-2</v>
      </c>
      <c r="H565">
        <v>0.36487139323237539</v>
      </c>
      <c r="I565">
        <v>0.36667947744066259</v>
      </c>
      <c r="J565">
        <v>-5.4721176617594713E-3</v>
      </c>
      <c r="K565">
        <v>0.64388343330512132</v>
      </c>
      <c r="L565">
        <v>0.64643346670434954</v>
      </c>
      <c r="M565">
        <v>-3.6556238293632601E-3</v>
      </c>
      <c r="N565">
        <v>0.64323075448554445</v>
      </c>
      <c r="O565">
        <v>0.64641822105881275</v>
      </c>
      <c r="P565">
        <v>1.150437141293002E-4</v>
      </c>
      <c r="Q565">
        <v>-0.44137749537794779</v>
      </c>
      <c r="R565">
        <v>-9.5452733431701517</v>
      </c>
      <c r="S565">
        <v>4.5358532503308817</v>
      </c>
      <c r="T565">
        <v>3.4563447062311501</v>
      </c>
      <c r="U565">
        <v>4.2625965936405663</v>
      </c>
      <c r="V565">
        <v>0.11023909988438001</v>
      </c>
      <c r="W565">
        <v>-11.4266875514778</v>
      </c>
      <c r="X565">
        <v>4.5364319164784517</v>
      </c>
      <c r="Z565" t="s">
        <v>392</v>
      </c>
      <c r="AA565">
        <v>140</v>
      </c>
      <c r="AB565" t="s">
        <v>1970</v>
      </c>
      <c r="AC565" t="str">
        <f>HYPERLINK("plots/20251231112652_3FT6Y119H04_05543_B21P_N_UFLEX98_M5358A8BA201511/dpll_52084/txpa_55146.png","plot")</f>
        <v>plot</v>
      </c>
    </row>
    <row r="566" spans="1:29" x14ac:dyDescent="0.35">
      <c r="A566" t="s">
        <v>47</v>
      </c>
      <c r="B566">
        <v>52084</v>
      </c>
      <c r="C566" t="s">
        <v>52</v>
      </c>
      <c r="D566">
        <v>55147</v>
      </c>
      <c r="E566" t="s">
        <v>280</v>
      </c>
      <c r="F566">
        <v>7138</v>
      </c>
      <c r="G566">
        <v>0.11933377589758989</v>
      </c>
      <c r="H566">
        <v>4.6673063810472728E-24</v>
      </c>
      <c r="I566">
        <v>4.8144950868585298E-24</v>
      </c>
      <c r="J566">
        <v>0.1100511304477184</v>
      </c>
      <c r="K566">
        <v>1.114443912140895E-20</v>
      </c>
      <c r="L566">
        <v>1.150759803371556E-20</v>
      </c>
      <c r="M566">
        <v>7.3085129817392624E-2</v>
      </c>
      <c r="N566">
        <v>2.1162164080462219E-20</v>
      </c>
      <c r="O566">
        <v>2.1807352009744609E-20</v>
      </c>
      <c r="P566">
        <v>1.42405500699762E-2</v>
      </c>
      <c r="Q566">
        <v>0.88223745834708822</v>
      </c>
      <c r="R566">
        <v>-22.809745711552988</v>
      </c>
      <c r="S566">
        <v>0.80917585222849975</v>
      </c>
      <c r="T566">
        <v>0.62792972382036927</v>
      </c>
      <c r="U566">
        <v>4.2625982017371813</v>
      </c>
      <c r="V566">
        <v>0.1102467389450062</v>
      </c>
      <c r="W566">
        <v>-19.049121908097511</v>
      </c>
      <c r="X566">
        <v>0.81505677689581602</v>
      </c>
      <c r="Z566" t="s">
        <v>392</v>
      </c>
      <c r="AA566">
        <v>140</v>
      </c>
      <c r="AB566" t="s">
        <v>1971</v>
      </c>
      <c r="AC566" t="str">
        <f>HYPERLINK("plots/20251231112652_3FT6Y119H04_05543_B21P_N_UFLEX98_M5358A8BA201511/dpll_52084/txpa_55147.png","plot")</f>
        <v>plot</v>
      </c>
    </row>
    <row r="567" spans="1:29" x14ac:dyDescent="0.35">
      <c r="A567" t="s">
        <v>47</v>
      </c>
      <c r="B567">
        <v>52084</v>
      </c>
      <c r="C567" t="s">
        <v>52</v>
      </c>
      <c r="D567">
        <v>55148</v>
      </c>
      <c r="E567" t="s">
        <v>281</v>
      </c>
      <c r="F567">
        <v>7139</v>
      </c>
      <c r="G567">
        <v>0.1159094473267844</v>
      </c>
      <c r="H567">
        <v>8.7956000012530348E-23</v>
      </c>
      <c r="I567">
        <v>9.0453736321202619E-23</v>
      </c>
      <c r="J567">
        <v>0.11455516123768809</v>
      </c>
      <c r="K567">
        <v>2.7509729367436619E-22</v>
      </c>
      <c r="L567">
        <v>2.8906596454487811E-22</v>
      </c>
      <c r="M567">
        <v>7.6315891740880493E-2</v>
      </c>
      <c r="N567">
        <v>4.2279721531658711E-22</v>
      </c>
      <c r="O567">
        <v>4.4426567495442407E-22</v>
      </c>
      <c r="P567">
        <v>1.343499997960061E-2</v>
      </c>
      <c r="Q567">
        <v>0.84867956180431103</v>
      </c>
      <c r="R567">
        <v>-23.209227155254268</v>
      </c>
      <c r="S567">
        <v>0.8016651416191094</v>
      </c>
      <c r="T567">
        <v>0.60006725565695684</v>
      </c>
      <c r="U567">
        <v>4.2625965936405663</v>
      </c>
      <c r="V567">
        <v>0.11023909988438001</v>
      </c>
      <c r="W567">
        <v>-19.591648546014849</v>
      </c>
      <c r="X567">
        <v>0.80716173824735304</v>
      </c>
      <c r="Z567" t="s">
        <v>392</v>
      </c>
      <c r="AA567">
        <v>140</v>
      </c>
      <c r="AB567" t="s">
        <v>1972</v>
      </c>
      <c r="AC567" t="str">
        <f>HYPERLINK("plots/20251231112652_3FT6Y119H04_05543_B21P_N_UFLEX98_M5358A8BA201511/dpll_52084/txpa_55148.png","plot")</f>
        <v>plot</v>
      </c>
    </row>
    <row r="568" spans="1:29" x14ac:dyDescent="0.35">
      <c r="A568" t="s">
        <v>47</v>
      </c>
      <c r="B568">
        <v>52084</v>
      </c>
      <c r="C568" t="s">
        <v>52</v>
      </c>
      <c r="D568">
        <v>55149</v>
      </c>
      <c r="E568" t="s">
        <v>282</v>
      </c>
      <c r="F568">
        <v>7139</v>
      </c>
      <c r="G568">
        <v>0.12909782453234031</v>
      </c>
      <c r="H568">
        <v>6.5171238387235854E-28</v>
      </c>
      <c r="I568">
        <v>6.8409560791570563E-28</v>
      </c>
      <c r="J568">
        <v>0.1120867501749814</v>
      </c>
      <c r="K568">
        <v>2.1234788401137619E-21</v>
      </c>
      <c r="L568">
        <v>2.2129573934998511E-21</v>
      </c>
      <c r="M568">
        <v>7.4271106104972145E-2</v>
      </c>
      <c r="N568">
        <v>5.0955477193524349E-21</v>
      </c>
      <c r="O568">
        <v>5.3102624742275111E-21</v>
      </c>
      <c r="P568">
        <v>1.666624829898292E-2</v>
      </c>
      <c r="Q568">
        <v>0.93737972471391617</v>
      </c>
      <c r="R568">
        <v>-23.093833280008859</v>
      </c>
      <c r="S568">
        <v>0.79369262355965864</v>
      </c>
      <c r="T568">
        <v>0.61983564718394668</v>
      </c>
      <c r="U568">
        <v>4.2625965936405663</v>
      </c>
      <c r="V568">
        <v>0.11023909988438001</v>
      </c>
      <c r="W568">
        <v>-19.098161658495581</v>
      </c>
      <c r="X568">
        <v>0.80044646357649074</v>
      </c>
      <c r="Z568" t="s">
        <v>392</v>
      </c>
      <c r="AA568">
        <v>140</v>
      </c>
      <c r="AB568" t="s">
        <v>1973</v>
      </c>
      <c r="AC568" t="str">
        <f>HYPERLINK("plots/20251231112652_3FT6Y119H04_05543_B21P_N_UFLEX98_M5358A8BA201511/dpll_52084/txpa_55149.png","plot")</f>
        <v>plot</v>
      </c>
    </row>
    <row r="569" spans="1:29" x14ac:dyDescent="0.35">
      <c r="A569" t="s">
        <v>47</v>
      </c>
      <c r="B569">
        <v>52084</v>
      </c>
      <c r="C569" t="s">
        <v>52</v>
      </c>
      <c r="D569">
        <v>55150</v>
      </c>
      <c r="E569" t="s">
        <v>283</v>
      </c>
      <c r="F569">
        <v>7129</v>
      </c>
      <c r="G569">
        <v>0.14972560779089461</v>
      </c>
      <c r="H569">
        <v>5.115137851739723E-37</v>
      </c>
      <c r="I569">
        <v>5.6500542283922432E-37</v>
      </c>
      <c r="J569">
        <v>0.14196348269339029</v>
      </c>
      <c r="K569">
        <v>2.0505557499612979E-33</v>
      </c>
      <c r="L569">
        <v>2.3102928116230621E-33</v>
      </c>
      <c r="M569">
        <v>9.45250292604249E-2</v>
      </c>
      <c r="N569">
        <v>5.5084719164023219E-33</v>
      </c>
      <c r="O569">
        <v>6.2062116924799493E-33</v>
      </c>
      <c r="P569">
        <v>2.2417757628352811E-2</v>
      </c>
      <c r="Q569">
        <v>1.0179084280517969</v>
      </c>
      <c r="R569">
        <v>-23.54159753024129</v>
      </c>
      <c r="S569">
        <v>0.74121829126991445</v>
      </c>
      <c r="T569">
        <v>0.57098286334956283</v>
      </c>
      <c r="U569">
        <v>4.2625845550568107</v>
      </c>
      <c r="V569">
        <v>0.11027760162658411</v>
      </c>
      <c r="W569">
        <v>-19.202676786365551</v>
      </c>
      <c r="X569">
        <v>0.74972145231034404</v>
      </c>
      <c r="Z569" t="s">
        <v>392</v>
      </c>
      <c r="AA569">
        <v>140</v>
      </c>
      <c r="AB569" t="s">
        <v>1974</v>
      </c>
      <c r="AC569" t="str">
        <f>HYPERLINK("plots/20251231112652_3FT6Y119H04_05543_B21P_N_UFLEX98_M5358A8BA201511/dpll_52084/txpa_55150.png","plot")</f>
        <v>plot</v>
      </c>
    </row>
    <row r="570" spans="1:29" x14ac:dyDescent="0.35">
      <c r="A570" t="s">
        <v>47</v>
      </c>
      <c r="B570">
        <v>52084</v>
      </c>
      <c r="C570" t="s">
        <v>52</v>
      </c>
      <c r="D570">
        <v>55151</v>
      </c>
      <c r="E570" t="s">
        <v>284</v>
      </c>
      <c r="F570">
        <v>7139</v>
      </c>
      <c r="G570">
        <v>0.15145666599445301</v>
      </c>
      <c r="H570">
        <v>6.7242170312242565E-38</v>
      </c>
      <c r="I570">
        <v>7.4844742806381943E-38</v>
      </c>
      <c r="J570">
        <v>0.13533126115810931</v>
      </c>
      <c r="K570">
        <v>1.56283301921373E-30</v>
      </c>
      <c r="L570">
        <v>1.7150570145916908E-30</v>
      </c>
      <c r="M570">
        <v>9.0228836027841541E-2</v>
      </c>
      <c r="N570">
        <v>3.020205893117744E-30</v>
      </c>
      <c r="O570">
        <v>3.3179726713124518E-30</v>
      </c>
      <c r="P570">
        <v>2.293912167415529E-2</v>
      </c>
      <c r="Q570">
        <v>1.190043905927858</v>
      </c>
      <c r="R570">
        <v>-24.367340761268061</v>
      </c>
      <c r="S570">
        <v>0.85613182968419621</v>
      </c>
      <c r="T570">
        <v>0.64926138671189026</v>
      </c>
      <c r="U570">
        <v>4.2625965936405663</v>
      </c>
      <c r="V570">
        <v>0.11023909988438001</v>
      </c>
      <c r="W570">
        <v>-19.29466366157725</v>
      </c>
      <c r="X570">
        <v>0.86618418642058082</v>
      </c>
      <c r="Z570" t="s">
        <v>392</v>
      </c>
      <c r="AA570">
        <v>140</v>
      </c>
      <c r="AB570" t="s">
        <v>1975</v>
      </c>
      <c r="AC570" t="str">
        <f>HYPERLINK("plots/20251231112652_3FT6Y119H04_05543_B21P_N_UFLEX98_M5358A8BA201511/dpll_52084/txpa_55151.png","plot")</f>
        <v>plot</v>
      </c>
    </row>
    <row r="571" spans="1:29" x14ac:dyDescent="0.35">
      <c r="A571" t="s">
        <v>47</v>
      </c>
      <c r="B571">
        <v>52084</v>
      </c>
      <c r="C571" t="s">
        <v>52</v>
      </c>
      <c r="D571">
        <v>55152</v>
      </c>
      <c r="E571" t="s">
        <v>285</v>
      </c>
      <c r="F571">
        <v>7121</v>
      </c>
      <c r="G571">
        <v>0.1495088428213204</v>
      </c>
      <c r="H571">
        <v>7.1067872457034617E-37</v>
      </c>
      <c r="I571">
        <v>7.8244107135106517E-37</v>
      </c>
      <c r="J571">
        <v>0.13894357955733369</v>
      </c>
      <c r="K571">
        <v>4.9484004321834518E-32</v>
      </c>
      <c r="L571">
        <v>5.5139319101472748E-32</v>
      </c>
      <c r="M571">
        <v>9.2210503000668659E-2</v>
      </c>
      <c r="N571">
        <v>1.9476212931575221E-31</v>
      </c>
      <c r="O571">
        <v>2.170206583804096E-31</v>
      </c>
      <c r="P571">
        <v>2.235289408177028E-2</v>
      </c>
      <c r="Q571">
        <v>0.98648036184955268</v>
      </c>
      <c r="R571">
        <v>-23.39692735713415</v>
      </c>
      <c r="S571">
        <v>0.71965062871584839</v>
      </c>
      <c r="T571">
        <v>0.55060675872364762</v>
      </c>
      <c r="U571">
        <v>4.26266948785283</v>
      </c>
      <c r="V571">
        <v>0.1103162732214714</v>
      </c>
      <c r="W571">
        <v>-19.191887618312041</v>
      </c>
      <c r="X571">
        <v>0.72788227821058715</v>
      </c>
      <c r="Z571" t="s">
        <v>392</v>
      </c>
      <c r="AA571">
        <v>140</v>
      </c>
      <c r="AB571" t="s">
        <v>1976</v>
      </c>
      <c r="AC571" t="str">
        <f>HYPERLINK("plots/20251231112652_3FT6Y119H04_05543_B21P_N_UFLEX98_M5358A8BA201511/dpll_52084/txpa_55152.png","plot")</f>
        <v>plot</v>
      </c>
    </row>
    <row r="572" spans="1:29" x14ac:dyDescent="0.35">
      <c r="A572" t="s">
        <v>47</v>
      </c>
      <c r="B572">
        <v>52084</v>
      </c>
      <c r="C572" t="s">
        <v>52</v>
      </c>
      <c r="D572">
        <v>55153</v>
      </c>
      <c r="E572" t="s">
        <v>286</v>
      </c>
      <c r="F572">
        <v>7139</v>
      </c>
      <c r="G572">
        <v>0.13689321341001809</v>
      </c>
      <c r="H572">
        <v>3.29301181217358E-31</v>
      </c>
      <c r="I572">
        <v>3.511160859667728E-31</v>
      </c>
      <c r="J572">
        <v>0.12750412434420039</v>
      </c>
      <c r="K572">
        <v>2.909024371765847E-27</v>
      </c>
      <c r="L572">
        <v>3.1380326733729461E-27</v>
      </c>
      <c r="M572">
        <v>8.485478556062491E-2</v>
      </c>
      <c r="N572">
        <v>6.1104336270462518E-27</v>
      </c>
      <c r="O572">
        <v>6.591467763643509E-27</v>
      </c>
      <c r="P572">
        <v>1.873975187772077E-2</v>
      </c>
      <c r="Q572">
        <v>0.97838254505522437</v>
      </c>
      <c r="R572">
        <v>-23.574255625611549</v>
      </c>
      <c r="S572">
        <v>0.78041232565417784</v>
      </c>
      <c r="T572">
        <v>0.59342838088618344</v>
      </c>
      <c r="U572">
        <v>4.2625965936405663</v>
      </c>
      <c r="V572">
        <v>0.11023909988438001</v>
      </c>
      <c r="W572">
        <v>-19.403805521781759</v>
      </c>
      <c r="X572">
        <v>0.78788428164389746</v>
      </c>
      <c r="Z572" t="s">
        <v>392</v>
      </c>
      <c r="AA572">
        <v>140</v>
      </c>
      <c r="AB572" t="s">
        <v>1977</v>
      </c>
      <c r="AC572" t="str">
        <f>HYPERLINK("plots/20251231112652_3FT6Y119H04_05543_B21P_N_UFLEX98_M5358A8BA201511/dpll_52084/txpa_55153.png","plot")</f>
        <v>plot</v>
      </c>
    </row>
    <row r="573" spans="1:29" x14ac:dyDescent="0.35">
      <c r="A573" t="s">
        <v>47</v>
      </c>
      <c r="B573">
        <v>52084</v>
      </c>
      <c r="C573" t="s">
        <v>52</v>
      </c>
      <c r="D573">
        <v>55154</v>
      </c>
      <c r="E573" t="s">
        <v>287</v>
      </c>
      <c r="F573">
        <v>7136</v>
      </c>
      <c r="G573">
        <v>0.123897899473579</v>
      </c>
      <c r="H573">
        <v>8.1992570762421466E-26</v>
      </c>
      <c r="I573">
        <v>8.5184904460138687E-26</v>
      </c>
      <c r="J573">
        <v>0.1170194521367016</v>
      </c>
      <c r="K573">
        <v>3.4919698839330017E-23</v>
      </c>
      <c r="L573">
        <v>3.6807250127942438E-23</v>
      </c>
      <c r="M573">
        <v>7.8293299130397592E-2</v>
      </c>
      <c r="N573">
        <v>3.6048605272776247E-23</v>
      </c>
      <c r="O573">
        <v>3.799717853076415E-23</v>
      </c>
      <c r="P573">
        <v>1.53506894939651E-2</v>
      </c>
      <c r="Q573">
        <v>0.86683326469262323</v>
      </c>
      <c r="R573">
        <v>-22.678486830614851</v>
      </c>
      <c r="S573">
        <v>0.76525948735786076</v>
      </c>
      <c r="T573">
        <v>0.58888610715238232</v>
      </c>
      <c r="U573">
        <v>4.2625875297085214</v>
      </c>
      <c r="V573">
        <v>0.1102368356817638</v>
      </c>
      <c r="W573">
        <v>-18.983534166199551</v>
      </c>
      <c r="X573">
        <v>0.77125565945357222</v>
      </c>
      <c r="Z573" t="s">
        <v>392</v>
      </c>
      <c r="AA573">
        <v>140</v>
      </c>
      <c r="AB573" t="s">
        <v>1978</v>
      </c>
      <c r="AC573" t="str">
        <f>HYPERLINK("plots/20251231112652_3FT6Y119H04_05543_B21P_N_UFLEX98_M5358A8BA201511/dpll_52084/txpa_55154.png","plot")</f>
        <v>plot</v>
      </c>
    </row>
    <row r="574" spans="1:29" x14ac:dyDescent="0.35">
      <c r="A574" t="s">
        <v>47</v>
      </c>
      <c r="B574">
        <v>52084</v>
      </c>
      <c r="C574" t="s">
        <v>52</v>
      </c>
      <c r="D574">
        <v>55155</v>
      </c>
      <c r="E574" t="s">
        <v>288</v>
      </c>
      <c r="F574">
        <v>7139</v>
      </c>
      <c r="G574">
        <v>0.1311168929245877</v>
      </c>
      <c r="H574">
        <v>9.5314948107158436E-29</v>
      </c>
      <c r="I574">
        <v>1.004671074643021E-28</v>
      </c>
      <c r="J574">
        <v>0.1272765539720562</v>
      </c>
      <c r="K574">
        <v>3.5962483332007838E-27</v>
      </c>
      <c r="L574">
        <v>3.8752346544799088E-27</v>
      </c>
      <c r="M574">
        <v>8.4413866276867824E-2</v>
      </c>
      <c r="N574">
        <v>1.0710726748105499E-26</v>
      </c>
      <c r="O574">
        <v>1.1541633286481381E-26</v>
      </c>
      <c r="P574">
        <v>1.71916396101978E-2</v>
      </c>
      <c r="Q574">
        <v>0.65181809704911686</v>
      </c>
      <c r="R574">
        <v>-11.24564104237364</v>
      </c>
      <c r="S574">
        <v>0.54325961968355874</v>
      </c>
      <c r="T574">
        <v>0.45145247090279012</v>
      </c>
      <c r="U574">
        <v>4.2625965936405663</v>
      </c>
      <c r="V574">
        <v>0.11023909988438001</v>
      </c>
      <c r="W574">
        <v>-8.4672034422187981</v>
      </c>
      <c r="X574">
        <v>0.5480288519982871</v>
      </c>
      <c r="Z574" t="s">
        <v>392</v>
      </c>
      <c r="AA574">
        <v>140</v>
      </c>
      <c r="AB574" t="s">
        <v>1979</v>
      </c>
      <c r="AC574" t="str">
        <f>HYPERLINK("plots/20251231112652_3FT6Y119H04_05543_B21P_N_UFLEX98_M5358A8BA201511/dpll_52084/txpa_55155.png","plot")</f>
        <v>plot</v>
      </c>
    </row>
    <row r="575" spans="1:29" x14ac:dyDescent="0.35">
      <c r="A575" t="s">
        <v>47</v>
      </c>
      <c r="B575">
        <v>52084</v>
      </c>
      <c r="C575" t="s">
        <v>52</v>
      </c>
      <c r="D575">
        <v>55156</v>
      </c>
      <c r="E575" t="s">
        <v>289</v>
      </c>
      <c r="F575">
        <v>7139</v>
      </c>
      <c r="G575">
        <v>0.24003703142839031</v>
      </c>
      <c r="H575">
        <v>4.2000381782801308E-94</v>
      </c>
      <c r="I575">
        <v>6.3946527218859653E-94</v>
      </c>
      <c r="J575">
        <v>0.2084499016283389</v>
      </c>
      <c r="K575">
        <v>6.4264681938402266E-71</v>
      </c>
      <c r="L575">
        <v>9.2694719040597295E-71</v>
      </c>
      <c r="M575">
        <v>0.13909239117279479</v>
      </c>
      <c r="N575">
        <v>1.651668995529437E-69</v>
      </c>
      <c r="O575">
        <v>2.362189508415866E-69</v>
      </c>
      <c r="P575">
        <v>5.7617776456954033E-2</v>
      </c>
      <c r="Q575">
        <v>0.81410219944222939</v>
      </c>
      <c r="R575">
        <v>-12.473128881492149</v>
      </c>
      <c r="S575">
        <v>0.36292715385549268</v>
      </c>
      <c r="T575">
        <v>0.2951761462410038</v>
      </c>
      <c r="U575">
        <v>4.2625965936405663</v>
      </c>
      <c r="V575">
        <v>0.11023909988438001</v>
      </c>
      <c r="W575">
        <v>-9.0029396192744073</v>
      </c>
      <c r="X575">
        <v>0.37388353432949012</v>
      </c>
      <c r="Z575" t="s">
        <v>392</v>
      </c>
      <c r="AA575">
        <v>140</v>
      </c>
      <c r="AB575" t="s">
        <v>1980</v>
      </c>
      <c r="AC575" t="str">
        <f>HYPERLINK("plots/20251231112652_3FT6Y119H04_05543_B21P_N_UFLEX98_M5358A8BA201511/dpll_52084/txpa_55156.png","plot")</f>
        <v>plot</v>
      </c>
    </row>
    <row r="576" spans="1:29" x14ac:dyDescent="0.35">
      <c r="A576" t="s">
        <v>47</v>
      </c>
      <c r="B576">
        <v>52084</v>
      </c>
      <c r="C576" t="s">
        <v>52</v>
      </c>
      <c r="D576">
        <v>55157</v>
      </c>
      <c r="E576" t="s">
        <v>290</v>
      </c>
      <c r="F576">
        <v>7139</v>
      </c>
      <c r="G576">
        <v>0.1705185723854899</v>
      </c>
      <c r="H576">
        <v>1.025585610286988E-47</v>
      </c>
      <c r="I576">
        <v>1.185796817367168E-47</v>
      </c>
      <c r="J576">
        <v>0.14530842838619629</v>
      </c>
      <c r="K576">
        <v>5.4551521011568019E-35</v>
      </c>
      <c r="L576">
        <v>6.2291939533479693E-35</v>
      </c>
      <c r="M576">
        <v>9.675482490261568E-2</v>
      </c>
      <c r="N576">
        <v>1.5063164799557071E-34</v>
      </c>
      <c r="O576">
        <v>1.721989752734033E-34</v>
      </c>
      <c r="P576">
        <v>2.9076583528385571E-2</v>
      </c>
      <c r="Q576">
        <v>0.79896452608309432</v>
      </c>
      <c r="R576">
        <v>-11.99359134237397</v>
      </c>
      <c r="S576">
        <v>0.50892470805817058</v>
      </c>
      <c r="T576">
        <v>0.44222812948476969</v>
      </c>
      <c r="U576">
        <v>4.2625965936405663</v>
      </c>
      <c r="V576">
        <v>0.11023909988438001</v>
      </c>
      <c r="W576">
        <v>-8.587927875052527</v>
      </c>
      <c r="X576">
        <v>0.51652514422789897</v>
      </c>
      <c r="Z576" t="s">
        <v>392</v>
      </c>
      <c r="AA576">
        <v>140</v>
      </c>
      <c r="AB576" t="s">
        <v>1981</v>
      </c>
      <c r="AC576" t="str">
        <f>HYPERLINK("plots/20251231112652_3FT6Y119H04_05543_B21P_N_UFLEX98_M5358A8BA201511/dpll_52084/txpa_55157.png","plot")</f>
        <v>plot</v>
      </c>
    </row>
    <row r="577" spans="1:29" x14ac:dyDescent="0.35">
      <c r="A577" t="s">
        <v>47</v>
      </c>
      <c r="B577">
        <v>52084</v>
      </c>
      <c r="C577" t="s">
        <v>52</v>
      </c>
      <c r="D577">
        <v>55158</v>
      </c>
      <c r="E577" t="s">
        <v>291</v>
      </c>
      <c r="F577">
        <v>7139</v>
      </c>
      <c r="G577">
        <v>0.21869655109217531</v>
      </c>
      <c r="H577">
        <v>4.7835928829380454E-78</v>
      </c>
      <c r="I577">
        <v>6.441650973836889E-78</v>
      </c>
      <c r="J577">
        <v>0.20575033180087129</v>
      </c>
      <c r="K577">
        <v>4.208837988908885E-69</v>
      </c>
      <c r="L577">
        <v>5.9688975115435092E-69</v>
      </c>
      <c r="M577">
        <v>0.1364427188477674</v>
      </c>
      <c r="N577">
        <v>5.8850701495755131E-67</v>
      </c>
      <c r="O577">
        <v>8.2996677770091382E-67</v>
      </c>
      <c r="P577">
        <v>4.7828181459612443E-2</v>
      </c>
      <c r="Q577">
        <v>0.85582620110910945</v>
      </c>
      <c r="R577">
        <v>-12.346704377681201</v>
      </c>
      <c r="S577">
        <v>0.42092676848693411</v>
      </c>
      <c r="T577">
        <v>0.32591908354575277</v>
      </c>
      <c r="U577">
        <v>4.2625965936405663</v>
      </c>
      <c r="V577">
        <v>0.11023909988438001</v>
      </c>
      <c r="W577">
        <v>-8.6986625280851655</v>
      </c>
      <c r="X577">
        <v>0.43139916746090928</v>
      </c>
      <c r="Z577" t="s">
        <v>392</v>
      </c>
      <c r="AA577">
        <v>140</v>
      </c>
      <c r="AB577" t="s">
        <v>1982</v>
      </c>
      <c r="AC577" t="str">
        <f>HYPERLINK("plots/20251231112652_3FT6Y119H04_05543_B21P_N_UFLEX98_M5358A8BA201511/dpll_52084/txpa_55158.png","plot")</f>
        <v>plot</v>
      </c>
    </row>
    <row r="578" spans="1:29" x14ac:dyDescent="0.35">
      <c r="A578" t="s">
        <v>47</v>
      </c>
      <c r="B578">
        <v>52084</v>
      </c>
      <c r="C578" t="s">
        <v>52</v>
      </c>
      <c r="D578">
        <v>55159</v>
      </c>
      <c r="E578" t="s">
        <v>292</v>
      </c>
      <c r="F578">
        <v>7139</v>
      </c>
      <c r="G578">
        <v>0.168710915008662</v>
      </c>
      <c r="H578">
        <v>9.8639122357273903E-47</v>
      </c>
      <c r="I578">
        <v>1.1353015899009731E-46</v>
      </c>
      <c r="J578">
        <v>0.13530223576590461</v>
      </c>
      <c r="K578">
        <v>1.6084417120023818E-30</v>
      </c>
      <c r="L578">
        <v>1.7631998875355838E-30</v>
      </c>
      <c r="M578">
        <v>8.9638818303297257E-2</v>
      </c>
      <c r="N578">
        <v>6.823818107308222E-30</v>
      </c>
      <c r="O578">
        <v>7.4561978025975617E-30</v>
      </c>
      <c r="P578">
        <v>2.846337284305997E-2</v>
      </c>
      <c r="Q578">
        <v>0.84488216458576226</v>
      </c>
      <c r="R578">
        <v>-12.37567390318679</v>
      </c>
      <c r="S578">
        <v>0.54411135582563908</v>
      </c>
      <c r="T578">
        <v>0.43664497231742039</v>
      </c>
      <c r="U578">
        <v>4.2625965936405663</v>
      </c>
      <c r="V578">
        <v>0.11023909988438001</v>
      </c>
      <c r="W578">
        <v>-8.7742820663958536</v>
      </c>
      <c r="X578">
        <v>0.5520629730893174</v>
      </c>
      <c r="Z578" t="s">
        <v>392</v>
      </c>
      <c r="AA578">
        <v>140</v>
      </c>
      <c r="AB578" t="s">
        <v>1983</v>
      </c>
      <c r="AC578" t="str">
        <f>HYPERLINK("plots/20251231112652_3FT6Y119H04_05543_B21P_N_UFLEX98_M5358A8BA201511/dpll_52084/txpa_55159.png","plot")</f>
        <v>plot</v>
      </c>
    </row>
    <row r="579" spans="1:29" x14ac:dyDescent="0.35">
      <c r="A579" t="s">
        <v>47</v>
      </c>
      <c r="B579">
        <v>52084</v>
      </c>
      <c r="C579" t="s">
        <v>52</v>
      </c>
      <c r="D579">
        <v>55160</v>
      </c>
      <c r="E579" t="s">
        <v>293</v>
      </c>
      <c r="F579">
        <v>7139</v>
      </c>
      <c r="G579">
        <v>0.23258727473600821</v>
      </c>
      <c r="H579">
        <v>2.6084808171328078E-88</v>
      </c>
      <c r="I579">
        <v>3.7893976340582628E-88</v>
      </c>
      <c r="J579">
        <v>0.225392324345321</v>
      </c>
      <c r="K579">
        <v>6.5975247766207903E-83</v>
      </c>
      <c r="L579">
        <v>1.063575536326468E-82</v>
      </c>
      <c r="M579">
        <v>0.14999455719232269</v>
      </c>
      <c r="N579">
        <v>1.584144311791497E-80</v>
      </c>
      <c r="O579">
        <v>2.4981684792481768E-80</v>
      </c>
      <c r="P579">
        <v>5.4096840369123357E-2</v>
      </c>
      <c r="Q579">
        <v>0.82698573508104323</v>
      </c>
      <c r="R579">
        <v>-12.214261416959189</v>
      </c>
      <c r="S579">
        <v>0.38118925108844631</v>
      </c>
      <c r="T579">
        <v>0.29393893711444508</v>
      </c>
      <c r="U579">
        <v>4.2625965936405663</v>
      </c>
      <c r="V579">
        <v>0.11023909988438001</v>
      </c>
      <c r="W579">
        <v>-8.6891548396133906</v>
      </c>
      <c r="X579">
        <v>0.39196539516631868</v>
      </c>
      <c r="Z579" t="s">
        <v>392</v>
      </c>
      <c r="AA579">
        <v>140</v>
      </c>
      <c r="AB579" t="s">
        <v>1984</v>
      </c>
      <c r="AC579" t="str">
        <f>HYPERLINK("plots/20251231112652_3FT6Y119H04_05543_B21P_N_UFLEX98_M5358A8BA201511/dpll_52084/txpa_55160.png","plot")</f>
        <v>plot</v>
      </c>
    </row>
    <row r="580" spans="1:29" x14ac:dyDescent="0.35">
      <c r="A580" t="s">
        <v>47</v>
      </c>
      <c r="B580">
        <v>52084</v>
      </c>
      <c r="C580" t="s">
        <v>52</v>
      </c>
      <c r="D580">
        <v>55161</v>
      </c>
      <c r="E580" t="s">
        <v>294</v>
      </c>
      <c r="F580">
        <v>7139</v>
      </c>
      <c r="G580">
        <v>0.1942413244496751</v>
      </c>
      <c r="H580">
        <v>1.204859031814869E-61</v>
      </c>
      <c r="I580">
        <v>1.4701889991098401E-61</v>
      </c>
      <c r="J580">
        <v>0.15028951829642809</v>
      </c>
      <c r="K580">
        <v>2.4517714412726879E-37</v>
      </c>
      <c r="L580">
        <v>2.8347733653939641E-37</v>
      </c>
      <c r="M580">
        <v>9.993044006316204E-2</v>
      </c>
      <c r="N580">
        <v>9.7181498722093479E-37</v>
      </c>
      <c r="O580">
        <v>1.1249091290434109E-36</v>
      </c>
      <c r="P580">
        <v>3.7729692123963959E-2</v>
      </c>
      <c r="Q580">
        <v>0.75007745067492104</v>
      </c>
      <c r="R580">
        <v>-12.018201007140821</v>
      </c>
      <c r="S580">
        <v>0.41755939619615912</v>
      </c>
      <c r="T580">
        <v>0.3442849902915821</v>
      </c>
      <c r="U580">
        <v>4.2625965936405663</v>
      </c>
      <c r="V580">
        <v>0.11023909988438001</v>
      </c>
      <c r="W580">
        <v>-8.8209234209273006</v>
      </c>
      <c r="X580">
        <v>0.42569655679729962</v>
      </c>
      <c r="Z580" t="s">
        <v>392</v>
      </c>
      <c r="AA580">
        <v>140</v>
      </c>
      <c r="AB580" t="s">
        <v>1985</v>
      </c>
      <c r="AC580" t="str">
        <f>HYPERLINK("plots/20251231112652_3FT6Y119H04_05543_B21P_N_UFLEX98_M5358A8BA201511/dpll_52084/txpa_55161.png","plot")</f>
        <v>plot</v>
      </c>
    </row>
    <row r="581" spans="1:29" x14ac:dyDescent="0.35">
      <c r="A581" t="s">
        <v>47</v>
      </c>
      <c r="B581">
        <v>52084</v>
      </c>
      <c r="C581" t="s">
        <v>52</v>
      </c>
      <c r="D581">
        <v>55162</v>
      </c>
      <c r="E581" t="s">
        <v>295</v>
      </c>
      <c r="F581">
        <v>7139</v>
      </c>
      <c r="G581">
        <v>0.14367708689937531</v>
      </c>
      <c r="H581">
        <v>3.0750005426110559E-34</v>
      </c>
      <c r="I581">
        <v>3.3241477081104591E-34</v>
      </c>
      <c r="J581">
        <v>0.14491993576419529</v>
      </c>
      <c r="K581">
        <v>8.2499921532587508E-35</v>
      </c>
      <c r="L581">
        <v>9.3888799589274671E-35</v>
      </c>
      <c r="M581">
        <v>9.6425881475472541E-2</v>
      </c>
      <c r="N581">
        <v>2.5158373748579901E-34</v>
      </c>
      <c r="O581">
        <v>2.8535336667852368E-34</v>
      </c>
      <c r="P581">
        <v>2.0643105299890632E-2</v>
      </c>
      <c r="Q581">
        <v>0.69494504735321672</v>
      </c>
      <c r="R581">
        <v>-11.295967994080531</v>
      </c>
      <c r="S581">
        <v>0.5276411790714387</v>
      </c>
      <c r="T581">
        <v>0.41238338113878031</v>
      </c>
      <c r="U581">
        <v>4.2625965936405663</v>
      </c>
      <c r="V581">
        <v>0.11023909988438001</v>
      </c>
      <c r="W581">
        <v>-8.33369760246533</v>
      </c>
      <c r="X581">
        <v>0.53321039660959069</v>
      </c>
      <c r="Z581" t="s">
        <v>392</v>
      </c>
      <c r="AA581">
        <v>140</v>
      </c>
      <c r="AB581" t="s">
        <v>1986</v>
      </c>
      <c r="AC581" t="str">
        <f>HYPERLINK("plots/20251231112652_3FT6Y119H04_05543_B21P_N_UFLEX98_M5358A8BA201511/dpll_52084/txpa_55162.png","plot")</f>
        <v>plot</v>
      </c>
    </row>
    <row r="582" spans="1:29" x14ac:dyDescent="0.35">
      <c r="A582" t="s">
        <v>47</v>
      </c>
      <c r="B582">
        <v>52084</v>
      </c>
      <c r="C582" t="s">
        <v>52</v>
      </c>
      <c r="D582">
        <v>55163</v>
      </c>
      <c r="E582" t="s">
        <v>296</v>
      </c>
      <c r="F582">
        <v>7139</v>
      </c>
      <c r="G582">
        <v>0.1267354424058226</v>
      </c>
      <c r="H582">
        <v>5.9453438944017587E-27</v>
      </c>
      <c r="I582">
        <v>6.2086289484277897E-27</v>
      </c>
      <c r="J582">
        <v>0.12956780420894989</v>
      </c>
      <c r="K582">
        <v>4.1772952315508686E-28</v>
      </c>
      <c r="L582">
        <v>4.520573494976074E-28</v>
      </c>
      <c r="M582">
        <v>8.6005127202615453E-2</v>
      </c>
      <c r="N582">
        <v>1.188017544948503E-27</v>
      </c>
      <c r="O582">
        <v>1.28564545419187E-27</v>
      </c>
      <c r="P582">
        <v>1.6061872361799581E-2</v>
      </c>
      <c r="Q582">
        <v>0.62908522631754715</v>
      </c>
      <c r="R582">
        <v>-5.2963945811915067</v>
      </c>
      <c r="S582">
        <v>0.54275087867621474</v>
      </c>
      <c r="T582">
        <v>0.45338360263385041</v>
      </c>
      <c r="U582">
        <v>4.2625965936405663</v>
      </c>
      <c r="V582">
        <v>0.11023909988438001</v>
      </c>
      <c r="W582">
        <v>-2.6148580383807252</v>
      </c>
      <c r="X582">
        <v>0.54720122314120523</v>
      </c>
      <c r="Z582" t="s">
        <v>392</v>
      </c>
      <c r="AA582">
        <v>140</v>
      </c>
      <c r="AB582" t="s">
        <v>1987</v>
      </c>
      <c r="AC582" t="str">
        <f>HYPERLINK("plots/20251231112652_3FT6Y119H04_05543_B21P_N_UFLEX98_M5358A8BA201511/dpll_52084/txpa_55163.png","plot")</f>
        <v>plot</v>
      </c>
    </row>
    <row r="583" spans="1:29" x14ac:dyDescent="0.35">
      <c r="A583" t="s">
        <v>47</v>
      </c>
      <c r="B583">
        <v>52084</v>
      </c>
      <c r="C583" t="s">
        <v>52</v>
      </c>
      <c r="D583">
        <v>55164</v>
      </c>
      <c r="E583" t="s">
        <v>297</v>
      </c>
      <c r="F583">
        <v>7139</v>
      </c>
      <c r="G583">
        <v>0.24238062370416399</v>
      </c>
      <c r="H583">
        <v>5.7364472003279522E-96</v>
      </c>
      <c r="I583">
        <v>8.8132688805038534E-96</v>
      </c>
      <c r="J583">
        <v>0.21221258168744289</v>
      </c>
      <c r="K583">
        <v>1.7126892587475609E-73</v>
      </c>
      <c r="L583">
        <v>2.531584414533566E-73</v>
      </c>
      <c r="M583">
        <v>0.14154966784276499</v>
      </c>
      <c r="N583">
        <v>6.29968428978085E-72</v>
      </c>
      <c r="O583">
        <v>9.2712334830737033E-72</v>
      </c>
      <c r="P583">
        <v>5.8748366747219567E-2</v>
      </c>
      <c r="Q583">
        <v>0.80259266100044946</v>
      </c>
      <c r="R583">
        <v>-6.5733240964123514</v>
      </c>
      <c r="S583">
        <v>0.35412402861410691</v>
      </c>
      <c r="T583">
        <v>0.28879093642454928</v>
      </c>
      <c r="U583">
        <v>4.2625965936405663</v>
      </c>
      <c r="V583">
        <v>0.11023909988438001</v>
      </c>
      <c r="W583">
        <v>-3.1521953535509168</v>
      </c>
      <c r="X583">
        <v>0.36503368615178178</v>
      </c>
      <c r="Z583" t="s">
        <v>392</v>
      </c>
      <c r="AA583">
        <v>140</v>
      </c>
      <c r="AB583" t="s">
        <v>1988</v>
      </c>
      <c r="AC583" t="str">
        <f>HYPERLINK("plots/20251231112652_3FT6Y119H04_05543_B21P_N_UFLEX98_M5358A8BA201511/dpll_52084/txpa_55164.png","plot")</f>
        <v>plot</v>
      </c>
    </row>
    <row r="584" spans="1:29" x14ac:dyDescent="0.35">
      <c r="A584" t="s">
        <v>47</v>
      </c>
      <c r="B584">
        <v>52084</v>
      </c>
      <c r="C584" t="s">
        <v>52</v>
      </c>
      <c r="D584">
        <v>55165</v>
      </c>
      <c r="E584" t="s">
        <v>298</v>
      </c>
      <c r="F584">
        <v>7139</v>
      </c>
      <c r="G584">
        <v>0.17141214456979631</v>
      </c>
      <c r="H584">
        <v>3.318535651913155E-48</v>
      </c>
      <c r="I584">
        <v>3.8589393933944258E-48</v>
      </c>
      <c r="J584">
        <v>0.15059948566177461</v>
      </c>
      <c r="K584">
        <v>1.7406332575706189E-37</v>
      </c>
      <c r="L584">
        <v>2.021766464119826E-37</v>
      </c>
      <c r="M584">
        <v>0.10040602776202689</v>
      </c>
      <c r="N584">
        <v>4.4685062394505291E-37</v>
      </c>
      <c r="O584">
        <v>5.1842852709414614E-37</v>
      </c>
      <c r="P584">
        <v>2.9382123306016739E-2</v>
      </c>
      <c r="Q584">
        <v>0.78286138703370645</v>
      </c>
      <c r="R584">
        <v>-6.0971296969868813</v>
      </c>
      <c r="S584">
        <v>0.49598971019452348</v>
      </c>
      <c r="T584">
        <v>0.4324194846482205</v>
      </c>
      <c r="U584">
        <v>4.2625965936405663</v>
      </c>
      <c r="V584">
        <v>0.11023909988438001</v>
      </c>
      <c r="W584">
        <v>-2.7601074153242751</v>
      </c>
      <c r="X584">
        <v>0.50347619684375577</v>
      </c>
      <c r="Z584" t="s">
        <v>392</v>
      </c>
      <c r="AA584">
        <v>140</v>
      </c>
      <c r="AB584" t="s">
        <v>1989</v>
      </c>
      <c r="AC584" t="str">
        <f>HYPERLINK("plots/20251231112652_3FT6Y119H04_05543_B21P_N_UFLEX98_M5358A8BA201511/dpll_52084/txpa_55165.png","plot")</f>
        <v>plot</v>
      </c>
    </row>
    <row r="585" spans="1:29" x14ac:dyDescent="0.35">
      <c r="A585" t="s">
        <v>47</v>
      </c>
      <c r="B585">
        <v>52084</v>
      </c>
      <c r="C585" t="s">
        <v>52</v>
      </c>
      <c r="D585">
        <v>55166</v>
      </c>
      <c r="E585" t="s">
        <v>299</v>
      </c>
      <c r="F585">
        <v>7139</v>
      </c>
      <c r="G585">
        <v>0.22178822344628579</v>
      </c>
      <c r="H585">
        <v>2.854618156992423E-80</v>
      </c>
      <c r="I585">
        <v>3.9010550016042002E-80</v>
      </c>
      <c r="J585">
        <v>0.2116568467710663</v>
      </c>
      <c r="K585">
        <v>4.1404122103098708E-73</v>
      </c>
      <c r="L585">
        <v>6.1022935774043739E-73</v>
      </c>
      <c r="M585">
        <v>0.14056643368317151</v>
      </c>
      <c r="N585">
        <v>5.875892574708035E-71</v>
      </c>
      <c r="O585">
        <v>8.5852378541123162E-71</v>
      </c>
      <c r="P585">
        <v>4.9190016059459607E-2</v>
      </c>
      <c r="Q585">
        <v>0.83973942005095159</v>
      </c>
      <c r="R585">
        <v>-6.4458160446276036</v>
      </c>
      <c r="S585">
        <v>0.4069660347721914</v>
      </c>
      <c r="T585">
        <v>0.3143092860593808</v>
      </c>
      <c r="U585">
        <v>4.2625965936405663</v>
      </c>
      <c r="V585">
        <v>0.11023909988438001</v>
      </c>
      <c r="W585">
        <v>-2.8663456531727132</v>
      </c>
      <c r="X585">
        <v>0.41738968988255559</v>
      </c>
      <c r="Z585" t="s">
        <v>392</v>
      </c>
      <c r="AA585">
        <v>140</v>
      </c>
      <c r="AB585" t="s">
        <v>1990</v>
      </c>
      <c r="AC585" t="str">
        <f>HYPERLINK("plots/20251231112652_3FT6Y119H04_05543_B21P_N_UFLEX98_M5358A8BA201511/dpll_52084/txpa_55166.png","plot")</f>
        <v>plot</v>
      </c>
    </row>
    <row r="586" spans="1:29" x14ac:dyDescent="0.35">
      <c r="A586" t="s">
        <v>47</v>
      </c>
      <c r="B586">
        <v>52084</v>
      </c>
      <c r="C586" t="s">
        <v>52</v>
      </c>
      <c r="D586">
        <v>55167</v>
      </c>
      <c r="E586" t="s">
        <v>300</v>
      </c>
      <c r="F586">
        <v>7139</v>
      </c>
      <c r="G586">
        <v>0.16660193941536749</v>
      </c>
      <c r="H586">
        <v>1.3400154719463211E-45</v>
      </c>
      <c r="I586">
        <v>1.5284315956733069E-45</v>
      </c>
      <c r="J586">
        <v>0.13533202728034491</v>
      </c>
      <c r="K586">
        <v>1.561646730905884E-30</v>
      </c>
      <c r="L586">
        <v>1.7150570145916908E-30</v>
      </c>
      <c r="M586">
        <v>8.9716008897146773E-2</v>
      </c>
      <c r="N586">
        <v>6.0738208382218433E-30</v>
      </c>
      <c r="O586">
        <v>6.6510305939059912E-30</v>
      </c>
      <c r="P586">
        <v>2.775620621696177E-2</v>
      </c>
      <c r="Q586">
        <v>0.81836041066314358</v>
      </c>
      <c r="R586">
        <v>-6.4258819974202313</v>
      </c>
      <c r="S586">
        <v>0.53389688623509524</v>
      </c>
      <c r="T586">
        <v>0.43040306629320918</v>
      </c>
      <c r="U586">
        <v>4.2625965936405663</v>
      </c>
      <c r="V586">
        <v>0.11023909988438001</v>
      </c>
      <c r="W586">
        <v>-2.93754169855722</v>
      </c>
      <c r="X586">
        <v>0.54150219000508848</v>
      </c>
      <c r="Z586" t="s">
        <v>392</v>
      </c>
      <c r="AA586">
        <v>140</v>
      </c>
      <c r="AB586" t="s">
        <v>1991</v>
      </c>
      <c r="AC586" t="str">
        <f>HYPERLINK("plots/20251231112652_3FT6Y119H04_05543_B21P_N_UFLEX98_M5358A8BA201511/dpll_52084/txpa_55167.png","plot")</f>
        <v>plot</v>
      </c>
    </row>
    <row r="587" spans="1:29" x14ac:dyDescent="0.35">
      <c r="A587" t="s">
        <v>47</v>
      </c>
      <c r="B587">
        <v>52084</v>
      </c>
      <c r="C587" t="s">
        <v>52</v>
      </c>
      <c r="D587">
        <v>55168</v>
      </c>
      <c r="E587" t="s">
        <v>301</v>
      </c>
      <c r="F587">
        <v>7139</v>
      </c>
      <c r="G587">
        <v>0.2346520105540135</v>
      </c>
      <c r="H587">
        <v>6.7786509437815513E-90</v>
      </c>
      <c r="I587">
        <v>1.0019755185123169E-89</v>
      </c>
      <c r="J587">
        <v>0.23330824968107519</v>
      </c>
      <c r="K587">
        <v>7.3216909416872043E-89</v>
      </c>
      <c r="L587">
        <v>1.241504116199135E-88</v>
      </c>
      <c r="M587">
        <v>0.15532381581023419</v>
      </c>
      <c r="N587">
        <v>3.1942423711805951E-86</v>
      </c>
      <c r="O587">
        <v>5.3360160862885059E-86</v>
      </c>
      <c r="P587">
        <v>5.5061566057040857E-2</v>
      </c>
      <c r="Q587">
        <v>0.8103056584076781</v>
      </c>
      <c r="R587">
        <v>-6.3192348943439498</v>
      </c>
      <c r="S587">
        <v>0.3700254437045335</v>
      </c>
      <c r="T587">
        <v>0.28384045927444529</v>
      </c>
      <c r="U587">
        <v>4.2625965936405663</v>
      </c>
      <c r="V587">
        <v>0.11023909988438001</v>
      </c>
      <c r="W587">
        <v>-2.865228755007704</v>
      </c>
      <c r="X587">
        <v>0.38068016635860241</v>
      </c>
      <c r="Z587" t="s">
        <v>392</v>
      </c>
      <c r="AA587">
        <v>140</v>
      </c>
      <c r="AB587" t="s">
        <v>1992</v>
      </c>
      <c r="AC587" t="str">
        <f>HYPERLINK("plots/20251231112652_3FT6Y119H04_05543_B21P_N_UFLEX98_M5358A8BA201511/dpll_52084/txpa_55168.png","plot")</f>
        <v>plot</v>
      </c>
    </row>
    <row r="588" spans="1:29" x14ac:dyDescent="0.35">
      <c r="A588" t="s">
        <v>47</v>
      </c>
      <c r="B588">
        <v>52084</v>
      </c>
      <c r="C588" t="s">
        <v>52</v>
      </c>
      <c r="D588">
        <v>55169</v>
      </c>
      <c r="E588" t="s">
        <v>302</v>
      </c>
      <c r="F588">
        <v>7139</v>
      </c>
      <c r="G588">
        <v>0.1909715772487949</v>
      </c>
      <c r="H588">
        <v>1.3046328020868031E-59</v>
      </c>
      <c r="I588">
        <v>1.565559362504164E-59</v>
      </c>
      <c r="J588">
        <v>0.14935524382722401</v>
      </c>
      <c r="K588">
        <v>6.8545580939951383E-37</v>
      </c>
      <c r="L588">
        <v>7.889355172884301E-37</v>
      </c>
      <c r="M588">
        <v>9.950415574923932E-2</v>
      </c>
      <c r="N588">
        <v>1.917506231366583E-36</v>
      </c>
      <c r="O588">
        <v>2.206982200460516E-36</v>
      </c>
      <c r="P588">
        <v>3.6470143316892453E-2</v>
      </c>
      <c r="Q588">
        <v>0.72309826829091961</v>
      </c>
      <c r="R588">
        <v>-6.0572483964020698</v>
      </c>
      <c r="S588">
        <v>0.40970042467160672</v>
      </c>
      <c r="T588">
        <v>0.33941242409289812</v>
      </c>
      <c r="U588">
        <v>4.2625965936405663</v>
      </c>
      <c r="V588">
        <v>0.11023909988438001</v>
      </c>
      <c r="W588">
        <v>-2.974972181117804</v>
      </c>
      <c r="X588">
        <v>0.41741134137723079</v>
      </c>
      <c r="Z588" t="s">
        <v>392</v>
      </c>
      <c r="AA588">
        <v>140</v>
      </c>
      <c r="AB588" t="s">
        <v>1993</v>
      </c>
      <c r="AC588" t="str">
        <f>HYPERLINK("plots/20251231112652_3FT6Y119H04_05543_B21P_N_UFLEX98_M5358A8BA201511/dpll_52084/txpa_55169.png","plot")</f>
        <v>plot</v>
      </c>
    </row>
    <row r="589" spans="1:29" x14ac:dyDescent="0.35">
      <c r="A589" t="s">
        <v>47</v>
      </c>
      <c r="B589">
        <v>52084</v>
      </c>
      <c r="C589" t="s">
        <v>52</v>
      </c>
      <c r="D589">
        <v>55170</v>
      </c>
      <c r="E589" t="s">
        <v>303</v>
      </c>
      <c r="F589">
        <v>7139</v>
      </c>
      <c r="G589">
        <v>0.14166924817546109</v>
      </c>
      <c r="H589">
        <v>2.513279273438314E-33</v>
      </c>
      <c r="I589">
        <v>2.6996453212568331E-33</v>
      </c>
      <c r="J589">
        <v>0.14539953999072891</v>
      </c>
      <c r="K589">
        <v>4.9499786850379333E-35</v>
      </c>
      <c r="L589">
        <v>5.6650997591743399E-35</v>
      </c>
      <c r="M589">
        <v>9.698840631809591E-2</v>
      </c>
      <c r="N589">
        <v>1.039403723350251E-34</v>
      </c>
      <c r="O589">
        <v>1.1895658865430639E-34</v>
      </c>
      <c r="P589">
        <v>2.0070175878600379E-2</v>
      </c>
      <c r="Q589">
        <v>0.68263425528529065</v>
      </c>
      <c r="R589">
        <v>-5.3883424645886304</v>
      </c>
      <c r="S589">
        <v>0.52579350348903064</v>
      </c>
      <c r="T589">
        <v>0.41255183357876668</v>
      </c>
      <c r="U589">
        <v>4.2625965936405663</v>
      </c>
      <c r="V589">
        <v>0.11023909988438001</v>
      </c>
      <c r="W589">
        <v>-2.478548013307186</v>
      </c>
      <c r="X589">
        <v>0.53118786767112469</v>
      </c>
      <c r="Z589" t="s">
        <v>392</v>
      </c>
      <c r="AA589">
        <v>140</v>
      </c>
      <c r="AB589" t="s">
        <v>1994</v>
      </c>
      <c r="AC589" t="str">
        <f>HYPERLINK("plots/20251231112652_3FT6Y119H04_05543_B21P_N_UFLEX98_M5358A8BA201511/dpll_52084/txpa_55170.png","plot")</f>
        <v>plot</v>
      </c>
    </row>
    <row r="590" spans="1:29" x14ac:dyDescent="0.35">
      <c r="A590" t="s">
        <v>47</v>
      </c>
      <c r="B590">
        <v>52084</v>
      </c>
      <c r="C590" t="s">
        <v>52</v>
      </c>
      <c r="D590">
        <v>55171</v>
      </c>
      <c r="E590" t="s">
        <v>304</v>
      </c>
      <c r="F590">
        <v>7139</v>
      </c>
      <c r="G590">
        <v>0.13141899525585829</v>
      </c>
      <c r="H590">
        <v>7.1302501901295253E-29</v>
      </c>
      <c r="I590">
        <v>7.5313267633243107E-29</v>
      </c>
      <c r="J590">
        <v>0.1372018971405074</v>
      </c>
      <c r="K590">
        <v>2.41542955980444E-31</v>
      </c>
      <c r="L590">
        <v>2.6767711187341012E-31</v>
      </c>
      <c r="M590">
        <v>9.131908389576511E-2</v>
      </c>
      <c r="N590">
        <v>5.8062000705105077E-31</v>
      </c>
      <c r="O590">
        <v>6.4273874142987499E-31</v>
      </c>
      <c r="P590">
        <v>1.7270952314059299E-2</v>
      </c>
      <c r="Q590">
        <v>0.63251369728716589</v>
      </c>
      <c r="R590">
        <v>-2.3716033184099521</v>
      </c>
      <c r="S590">
        <v>0.52593724627586436</v>
      </c>
      <c r="T590">
        <v>0.44002908817117581</v>
      </c>
      <c r="U590">
        <v>4.2625965936405663</v>
      </c>
      <c r="V590">
        <v>0.11023909988438001</v>
      </c>
      <c r="W590">
        <v>0.32454741307732171</v>
      </c>
      <c r="X590">
        <v>0.53057581605860094</v>
      </c>
      <c r="Z590" t="s">
        <v>392</v>
      </c>
      <c r="AA590">
        <v>140</v>
      </c>
      <c r="AB590" t="s">
        <v>1995</v>
      </c>
      <c r="AC590" t="str">
        <f>HYPERLINK("plots/20251231112652_3FT6Y119H04_05543_B21P_N_UFLEX98_M5358A8BA201511/dpll_52084/txpa_55171.png","plot")</f>
        <v>plot</v>
      </c>
    </row>
    <row r="591" spans="1:29" x14ac:dyDescent="0.35">
      <c r="A591" t="s">
        <v>47</v>
      </c>
      <c r="B591">
        <v>52084</v>
      </c>
      <c r="C591" t="s">
        <v>52</v>
      </c>
      <c r="D591">
        <v>55172</v>
      </c>
      <c r="E591" t="s">
        <v>305</v>
      </c>
      <c r="F591">
        <v>7139</v>
      </c>
      <c r="G591">
        <v>0.24973026400004511</v>
      </c>
      <c r="H591">
        <v>6.0131162990504833E-102</v>
      </c>
      <c r="I591">
        <v>9.7556798835795033E-102</v>
      </c>
      <c r="J591">
        <v>0.22083787780928141</v>
      </c>
      <c r="K591">
        <v>1.3895967907328401E-79</v>
      </c>
      <c r="L591">
        <v>2.1252656799443429E-79</v>
      </c>
      <c r="M591">
        <v>0.14737732391878991</v>
      </c>
      <c r="N591">
        <v>8.1450811912977308E-78</v>
      </c>
      <c r="O591">
        <v>1.253279564184507E-77</v>
      </c>
      <c r="P591">
        <v>6.2365204757532197E-2</v>
      </c>
      <c r="Q591">
        <v>0.80210949035822432</v>
      </c>
      <c r="R591">
        <v>-3.6059141722562988</v>
      </c>
      <c r="S591">
        <v>0.34283454452941953</v>
      </c>
      <c r="T591">
        <v>0.27968432157544693</v>
      </c>
      <c r="U591">
        <v>4.2625965936405663</v>
      </c>
      <c r="V591">
        <v>0.11023909988438001</v>
      </c>
      <c r="W591">
        <v>-0.18684499092856141</v>
      </c>
      <c r="X591">
        <v>0.35407734252743012</v>
      </c>
      <c r="Z591" t="s">
        <v>392</v>
      </c>
      <c r="AA591">
        <v>140</v>
      </c>
      <c r="AB591" t="s">
        <v>1996</v>
      </c>
      <c r="AC591" t="str">
        <f>HYPERLINK("plots/20251231112652_3FT6Y119H04_05543_B21P_N_UFLEX98_M5358A8BA201511/dpll_52084/txpa_55172.png","plot")</f>
        <v>plot</v>
      </c>
    </row>
    <row r="592" spans="1:29" x14ac:dyDescent="0.35">
      <c r="A592" t="s">
        <v>47</v>
      </c>
      <c r="B592">
        <v>52084</v>
      </c>
      <c r="C592" t="s">
        <v>52</v>
      </c>
      <c r="D592">
        <v>55173</v>
      </c>
      <c r="E592" t="s">
        <v>306</v>
      </c>
      <c r="F592">
        <v>7139</v>
      </c>
      <c r="G592">
        <v>0.17785898810884981</v>
      </c>
      <c r="H592">
        <v>8.0465444368022878E-52</v>
      </c>
      <c r="I592">
        <v>9.4874372778110694E-52</v>
      </c>
      <c r="J592">
        <v>0.1583653864580587</v>
      </c>
      <c r="K592">
        <v>2.5681510637906628E-41</v>
      </c>
      <c r="L592">
        <v>3.0528782868508002E-41</v>
      </c>
      <c r="M592">
        <v>0.10571455215676499</v>
      </c>
      <c r="N592">
        <v>6.5020092320581677E-41</v>
      </c>
      <c r="O592">
        <v>7.7292348901605884E-41</v>
      </c>
      <c r="P592">
        <v>3.163381965110397E-2</v>
      </c>
      <c r="Q592">
        <v>0.77997274278546791</v>
      </c>
      <c r="R592">
        <v>-3.141043863069116</v>
      </c>
      <c r="S592">
        <v>0.47569507480075113</v>
      </c>
      <c r="T592">
        <v>0.41433229011779621</v>
      </c>
      <c r="U592">
        <v>4.2625965936405663</v>
      </c>
      <c r="V592">
        <v>0.11023909988438001</v>
      </c>
      <c r="W592">
        <v>0.18366529346070881</v>
      </c>
      <c r="X592">
        <v>0.48343631105333362</v>
      </c>
      <c r="Z592" t="s">
        <v>392</v>
      </c>
      <c r="AA592">
        <v>140</v>
      </c>
      <c r="AB592" t="s">
        <v>1997</v>
      </c>
      <c r="AC592" t="str">
        <f>HYPERLINK("plots/20251231112652_3FT6Y119H04_05543_B21P_N_UFLEX98_M5358A8BA201511/dpll_52084/txpa_55173.png","plot")</f>
        <v>plot</v>
      </c>
    </row>
    <row r="593" spans="1:29" x14ac:dyDescent="0.35">
      <c r="A593" t="s">
        <v>47</v>
      </c>
      <c r="B593">
        <v>52084</v>
      </c>
      <c r="C593" t="s">
        <v>52</v>
      </c>
      <c r="D593">
        <v>55174</v>
      </c>
      <c r="E593" t="s">
        <v>307</v>
      </c>
      <c r="F593">
        <v>7139</v>
      </c>
      <c r="G593">
        <v>0.2299752476790583</v>
      </c>
      <c r="H593">
        <v>2.5094387229744969E-86</v>
      </c>
      <c r="I593">
        <v>3.5638247410310078E-86</v>
      </c>
      <c r="J593">
        <v>0.22195887120037389</v>
      </c>
      <c r="K593">
        <v>2.1467591972301531E-80</v>
      </c>
      <c r="L593">
        <v>3.3438000399253079E-80</v>
      </c>
      <c r="M593">
        <v>0.14755937356979049</v>
      </c>
      <c r="N593">
        <v>5.2843801379956116E-78</v>
      </c>
      <c r="O593">
        <v>8.1558013088699396E-78</v>
      </c>
      <c r="P593">
        <v>5.2888614545044198E-2</v>
      </c>
      <c r="Q593">
        <v>0.83586456941523857</v>
      </c>
      <c r="R593">
        <v>-3.4777164474373299</v>
      </c>
      <c r="S593">
        <v>0.38990660264352273</v>
      </c>
      <c r="T593">
        <v>0.30098623094052152</v>
      </c>
      <c r="U593">
        <v>4.2625965936405663</v>
      </c>
      <c r="V593">
        <v>0.11023909988438001</v>
      </c>
      <c r="W593">
        <v>8.5237018896904326E-2</v>
      </c>
      <c r="X593">
        <v>0.40067337110197881</v>
      </c>
      <c r="Z593" t="s">
        <v>392</v>
      </c>
      <c r="AA593">
        <v>140</v>
      </c>
      <c r="AB593" t="s">
        <v>1998</v>
      </c>
      <c r="AC593" t="str">
        <f>HYPERLINK("plots/20251231112652_3FT6Y119H04_05543_B21P_N_UFLEX98_M5358A8BA201511/dpll_52084/txpa_55174.png","plot")</f>
        <v>plot</v>
      </c>
    </row>
    <row r="594" spans="1:29" x14ac:dyDescent="0.35">
      <c r="A594" t="s">
        <v>47</v>
      </c>
      <c r="B594">
        <v>52084</v>
      </c>
      <c r="C594" t="s">
        <v>52</v>
      </c>
      <c r="D594">
        <v>55175</v>
      </c>
      <c r="E594" t="s">
        <v>308</v>
      </c>
      <c r="F594">
        <v>7139</v>
      </c>
      <c r="G594">
        <v>0.17184267847908249</v>
      </c>
      <c r="H594">
        <v>1.922583516687093E-48</v>
      </c>
      <c r="I594">
        <v>2.2459673800929861E-48</v>
      </c>
      <c r="J594">
        <v>0.14162109585882679</v>
      </c>
      <c r="K594">
        <v>2.6421648576174519E-33</v>
      </c>
      <c r="L594">
        <v>2.963667218610726E-33</v>
      </c>
      <c r="M594">
        <v>9.3954854971843263E-2</v>
      </c>
      <c r="N594">
        <v>1.12003147963805E-32</v>
      </c>
      <c r="O594">
        <v>1.256318495965688E-32</v>
      </c>
      <c r="P594">
        <v>2.952990614686531E-2</v>
      </c>
      <c r="Q594">
        <v>0.81219235382364696</v>
      </c>
      <c r="R594">
        <v>-3.4429795853208982</v>
      </c>
      <c r="S594">
        <v>0.51324435445174577</v>
      </c>
      <c r="T594">
        <v>0.4145938901667931</v>
      </c>
      <c r="U594">
        <v>4.2625965936405663</v>
      </c>
      <c r="V594">
        <v>0.11023909988438001</v>
      </c>
      <c r="W594">
        <v>1.9068775468693101E-2</v>
      </c>
      <c r="X594">
        <v>0.52103094999996435</v>
      </c>
      <c r="Z594" t="s">
        <v>392</v>
      </c>
      <c r="AA594">
        <v>140</v>
      </c>
      <c r="AB594" t="s">
        <v>1999</v>
      </c>
      <c r="AC594" t="str">
        <f>HYPERLINK("plots/20251231112652_3FT6Y119H04_05543_B21P_N_UFLEX98_M5358A8BA201511/dpll_52084/txpa_55175.png","plot")</f>
        <v>plot</v>
      </c>
    </row>
    <row r="595" spans="1:29" x14ac:dyDescent="0.35">
      <c r="A595" t="s">
        <v>47</v>
      </c>
      <c r="B595">
        <v>52084</v>
      </c>
      <c r="C595" t="s">
        <v>52</v>
      </c>
      <c r="D595">
        <v>55176</v>
      </c>
      <c r="E595" t="s">
        <v>309</v>
      </c>
      <c r="F595">
        <v>7139</v>
      </c>
      <c r="G595">
        <v>0.244054153506577</v>
      </c>
      <c r="H595">
        <v>2.5985197770984872E-97</v>
      </c>
      <c r="I595">
        <v>4.0662022437930041E-97</v>
      </c>
      <c r="J595">
        <v>0.2461272078597444</v>
      </c>
      <c r="K595">
        <v>5.4397371587440746E-99</v>
      </c>
      <c r="L595">
        <v>1.0102369009096139E-98</v>
      </c>
      <c r="M595">
        <v>0.16414604233491101</v>
      </c>
      <c r="N595">
        <v>4.503952702956141E-96</v>
      </c>
      <c r="O595">
        <v>8.318776030596588E-96</v>
      </c>
      <c r="P595">
        <v>5.9562429843811861E-2</v>
      </c>
      <c r="Q595">
        <v>0.8100136315940194</v>
      </c>
      <c r="R595">
        <v>-3.3757888518569432</v>
      </c>
      <c r="S595">
        <v>0.35479406725025597</v>
      </c>
      <c r="T595">
        <v>0.2716504725778473</v>
      </c>
      <c r="U595">
        <v>4.2625965936405663</v>
      </c>
      <c r="V595">
        <v>0.11023909988438001</v>
      </c>
      <c r="W595">
        <v>7.697249497814819E-2</v>
      </c>
      <c r="X595">
        <v>0.3658826221885878</v>
      </c>
      <c r="Z595" t="s">
        <v>392</v>
      </c>
      <c r="AA595">
        <v>140</v>
      </c>
      <c r="AB595" t="s">
        <v>2000</v>
      </c>
      <c r="AC595" t="str">
        <f>HYPERLINK("plots/20251231112652_3FT6Y119H04_05543_B21P_N_UFLEX98_M5358A8BA201511/dpll_52084/txpa_55176.png","plot")</f>
        <v>plot</v>
      </c>
    </row>
    <row r="596" spans="1:29" x14ac:dyDescent="0.35">
      <c r="A596" t="s">
        <v>47</v>
      </c>
      <c r="B596">
        <v>52084</v>
      </c>
      <c r="C596" t="s">
        <v>52</v>
      </c>
      <c r="D596">
        <v>55177</v>
      </c>
      <c r="E596" t="s">
        <v>310</v>
      </c>
      <c r="F596">
        <v>7139</v>
      </c>
      <c r="G596">
        <v>0.19788545774372421</v>
      </c>
      <c r="H596">
        <v>5.8857658504781097E-64</v>
      </c>
      <c r="I596">
        <v>7.3049774447794415E-64</v>
      </c>
      <c r="J596">
        <v>0.15687100664272319</v>
      </c>
      <c r="K596">
        <v>1.4533421517709611E-40</v>
      </c>
      <c r="L596">
        <v>1.7215992311866291E-40</v>
      </c>
      <c r="M596">
        <v>0.1045739656737471</v>
      </c>
      <c r="N596">
        <v>4.5077990024900274E-40</v>
      </c>
      <c r="O596">
        <v>5.3398460146318774E-40</v>
      </c>
      <c r="P596">
        <v>3.915865438644326E-2</v>
      </c>
      <c r="Q596">
        <v>0.72470294220336806</v>
      </c>
      <c r="R596">
        <v>-3.1068039867415611</v>
      </c>
      <c r="S596">
        <v>0.39571018215422288</v>
      </c>
      <c r="T596">
        <v>0.32812018662379988</v>
      </c>
      <c r="U596">
        <v>4.2625965936405663</v>
      </c>
      <c r="V596">
        <v>0.11023909988438001</v>
      </c>
      <c r="W596">
        <v>-1.768769390418826E-2</v>
      </c>
      <c r="X596">
        <v>0.40372143028077001</v>
      </c>
      <c r="Z596" t="s">
        <v>392</v>
      </c>
      <c r="AA596">
        <v>140</v>
      </c>
      <c r="AB596" t="s">
        <v>2001</v>
      </c>
      <c r="AC596" t="str">
        <f>HYPERLINK("plots/20251231112652_3FT6Y119H04_05543_B21P_N_UFLEX98_M5358A8BA201511/dpll_52084/txpa_55177.png","plot")</f>
        <v>plot</v>
      </c>
    </row>
    <row r="597" spans="1:29" x14ac:dyDescent="0.35">
      <c r="A597" t="s">
        <v>47</v>
      </c>
      <c r="B597">
        <v>52084</v>
      </c>
      <c r="C597" t="s">
        <v>52</v>
      </c>
      <c r="D597">
        <v>55178</v>
      </c>
      <c r="E597" t="s">
        <v>311</v>
      </c>
      <c r="F597">
        <v>7139</v>
      </c>
      <c r="G597">
        <v>0.1473562032488234</v>
      </c>
      <c r="H597">
        <v>6.0489641152467783E-36</v>
      </c>
      <c r="I597">
        <v>6.5811691125109792E-36</v>
      </c>
      <c r="J597">
        <v>0.15216207988324029</v>
      </c>
      <c r="K597">
        <v>3.0611906778048998E-38</v>
      </c>
      <c r="L597">
        <v>3.576091413933375E-38</v>
      </c>
      <c r="M597">
        <v>0.10169580998930031</v>
      </c>
      <c r="N597">
        <v>5.4379154218892304E-38</v>
      </c>
      <c r="O597">
        <v>6.3599149224863658E-38</v>
      </c>
      <c r="P597">
        <v>2.1713850635908558E-2</v>
      </c>
      <c r="Q597">
        <v>0.6868172121741698</v>
      </c>
      <c r="R597">
        <v>-2.4684510875350392</v>
      </c>
      <c r="S597">
        <v>0.50817224231857405</v>
      </c>
      <c r="T597">
        <v>0.40020499736053528</v>
      </c>
      <c r="U597">
        <v>4.2625965936405663</v>
      </c>
      <c r="V597">
        <v>0.11023909988438001</v>
      </c>
      <c r="W597">
        <v>0.45917362153228752</v>
      </c>
      <c r="X597">
        <v>0.51381692515061661</v>
      </c>
      <c r="Z597" t="s">
        <v>392</v>
      </c>
      <c r="AA597">
        <v>140</v>
      </c>
      <c r="AB597" t="s">
        <v>2002</v>
      </c>
      <c r="AC597" t="str">
        <f>HYPERLINK("plots/20251231112652_3FT6Y119H04_05543_B21P_N_UFLEX98_M5358A8BA201511/dpll_52084/txpa_55178.png","plot")</f>
        <v>plot</v>
      </c>
    </row>
    <row r="598" spans="1:29" x14ac:dyDescent="0.35">
      <c r="A598" t="s">
        <v>47</v>
      </c>
      <c r="B598">
        <v>52084</v>
      </c>
      <c r="C598" t="s">
        <v>52</v>
      </c>
      <c r="D598">
        <v>55179</v>
      </c>
      <c r="E598" t="s">
        <v>312</v>
      </c>
      <c r="F598">
        <v>7139</v>
      </c>
      <c r="G598">
        <v>0.14292729031629131</v>
      </c>
      <c r="H598">
        <v>6.7625430096901979E-34</v>
      </c>
      <c r="I598">
        <v>7.2794252779467726E-34</v>
      </c>
      <c r="J598">
        <v>0.15155534838175461</v>
      </c>
      <c r="K598">
        <v>6.0246531384568957E-38</v>
      </c>
      <c r="L598">
        <v>7.0299174711108084E-38</v>
      </c>
      <c r="M598">
        <v>0.1014380434807451</v>
      </c>
      <c r="N598">
        <v>8.2945718592342225E-38</v>
      </c>
      <c r="O598">
        <v>9.6785913294171495E-38</v>
      </c>
      <c r="P598">
        <v>2.0428210317157431E-2</v>
      </c>
      <c r="Q598">
        <v>0.64153861874266793</v>
      </c>
      <c r="R598">
        <v>0.9401024354124603</v>
      </c>
      <c r="S598">
        <v>0.48970103130794551</v>
      </c>
      <c r="T598">
        <v>0.40993851382953972</v>
      </c>
      <c r="U598">
        <v>4.2625965936405663</v>
      </c>
      <c r="V598">
        <v>0.11023909988438001</v>
      </c>
      <c r="W598">
        <v>3.6747227663538311</v>
      </c>
      <c r="X598">
        <v>0.49481550874402158</v>
      </c>
      <c r="Z598" t="s">
        <v>392</v>
      </c>
      <c r="AA598">
        <v>140</v>
      </c>
      <c r="AB598" t="s">
        <v>2003</v>
      </c>
      <c r="AC598" t="str">
        <f>HYPERLINK("plots/20251231112652_3FT6Y119H04_05543_B21P_N_UFLEX98_M5358A8BA201511/dpll_52084/txpa_55179.png","plot")</f>
        <v>plot</v>
      </c>
    </row>
    <row r="599" spans="1:29" x14ac:dyDescent="0.35">
      <c r="A599" t="s">
        <v>47</v>
      </c>
      <c r="B599">
        <v>52084</v>
      </c>
      <c r="C599" t="s">
        <v>52</v>
      </c>
      <c r="D599">
        <v>55180</v>
      </c>
      <c r="E599" t="s">
        <v>313</v>
      </c>
      <c r="F599">
        <v>7139</v>
      </c>
      <c r="G599">
        <v>0.26632602229823182</v>
      </c>
      <c r="H599">
        <v>3.3927918901597941E-116</v>
      </c>
      <c r="I599">
        <v>6.2211410065497848E-116</v>
      </c>
      <c r="J599">
        <v>0.24044165756359259</v>
      </c>
      <c r="K599">
        <v>2.0080356900682511E-94</v>
      </c>
      <c r="L599">
        <v>3.5534872421103082E-94</v>
      </c>
      <c r="M599">
        <v>0.16077086178775871</v>
      </c>
      <c r="N599">
        <v>3.0504796887487101E-92</v>
      </c>
      <c r="O599">
        <v>5.3982310722359379E-92</v>
      </c>
      <c r="P599">
        <v>7.092955015319824E-2</v>
      </c>
      <c r="Q599">
        <v>0.8030452623212877</v>
      </c>
      <c r="R599">
        <v>-0.20971401035566431</v>
      </c>
      <c r="S599">
        <v>0.32037305633463481</v>
      </c>
      <c r="T599">
        <v>0.26096201266040131</v>
      </c>
      <c r="U599">
        <v>4.2625965936405663</v>
      </c>
      <c r="V599">
        <v>0.11023909988438001</v>
      </c>
      <c r="W599">
        <v>3.213343989354251</v>
      </c>
      <c r="X599">
        <v>0.33240081506411029</v>
      </c>
      <c r="Z599" t="s">
        <v>392</v>
      </c>
      <c r="AA599">
        <v>140</v>
      </c>
      <c r="AB599" t="s">
        <v>2004</v>
      </c>
      <c r="AC599" t="str">
        <f>HYPERLINK("plots/20251231112652_3FT6Y119H04_05543_B21P_N_UFLEX98_M5358A8BA201511/dpll_52084/txpa_55180.png","plot")</f>
        <v>plot</v>
      </c>
    </row>
    <row r="600" spans="1:29" x14ac:dyDescent="0.35">
      <c r="A600" t="s">
        <v>47</v>
      </c>
      <c r="B600">
        <v>52084</v>
      </c>
      <c r="C600" t="s">
        <v>52</v>
      </c>
      <c r="D600">
        <v>55181</v>
      </c>
      <c r="E600" t="s">
        <v>314</v>
      </c>
      <c r="F600">
        <v>7139</v>
      </c>
      <c r="G600">
        <v>0.19315255715946841</v>
      </c>
      <c r="H600">
        <v>5.7877439778881148E-61</v>
      </c>
      <c r="I600">
        <v>7.0368973544107309E-61</v>
      </c>
      <c r="J600">
        <v>0.17441556173812719</v>
      </c>
      <c r="K600">
        <v>7.1474957638340613E-50</v>
      </c>
      <c r="L600">
        <v>8.8384886640582179E-50</v>
      </c>
      <c r="M600">
        <v>0.1167480817406526</v>
      </c>
      <c r="N600">
        <v>1.633455235754157E-49</v>
      </c>
      <c r="O600">
        <v>2.0199068403106282E-49</v>
      </c>
      <c r="P600">
        <v>3.7307910337241713E-2</v>
      </c>
      <c r="Q600">
        <v>0.7805344743761351</v>
      </c>
      <c r="R600">
        <v>0.2220080125915711</v>
      </c>
      <c r="S600">
        <v>0.43705950384939068</v>
      </c>
      <c r="T600">
        <v>0.37971724965741072</v>
      </c>
      <c r="U600">
        <v>4.2625965936405663</v>
      </c>
      <c r="V600">
        <v>0.11023909988438001</v>
      </c>
      <c r="W600">
        <v>3.5491116042863151</v>
      </c>
      <c r="X600">
        <v>0.44547905111560621</v>
      </c>
      <c r="Z600" t="s">
        <v>392</v>
      </c>
      <c r="AA600">
        <v>140</v>
      </c>
      <c r="AB600" t="s">
        <v>2005</v>
      </c>
      <c r="AC600" t="str">
        <f>HYPERLINK("plots/20251231112652_3FT6Y119H04_05543_B21P_N_UFLEX98_M5358A8BA201511/dpll_52084/txpa_55181.png","plot")</f>
        <v>plot</v>
      </c>
    </row>
    <row r="601" spans="1:29" x14ac:dyDescent="0.35">
      <c r="A601" t="s">
        <v>47</v>
      </c>
      <c r="B601">
        <v>52084</v>
      </c>
      <c r="C601" t="s">
        <v>52</v>
      </c>
      <c r="D601">
        <v>55182</v>
      </c>
      <c r="E601" t="s">
        <v>315</v>
      </c>
      <c r="F601">
        <v>7139</v>
      </c>
      <c r="G601">
        <v>0.24838101716098129</v>
      </c>
      <c r="H601">
        <v>7.7963355499776113E-101</v>
      </c>
      <c r="I601">
        <v>1.2528501184908561E-100</v>
      </c>
      <c r="J601">
        <v>0.24234170087610729</v>
      </c>
      <c r="K601">
        <v>6.1627764598971639E-96</v>
      </c>
      <c r="L601">
        <v>1.107988533747469E-95</v>
      </c>
      <c r="M601">
        <v>0.1614917219750544</v>
      </c>
      <c r="N601">
        <v>4.7045164979834421E-93</v>
      </c>
      <c r="O601">
        <v>8.4282327366699836E-93</v>
      </c>
      <c r="P601">
        <v>6.1693129685923713E-2</v>
      </c>
      <c r="Q601">
        <v>0.83397990504671982</v>
      </c>
      <c r="R601">
        <v>-9.1821758699223821E-2</v>
      </c>
      <c r="S601">
        <v>0.35852122573073641</v>
      </c>
      <c r="T601">
        <v>0.27700629550944322</v>
      </c>
      <c r="U601">
        <v>4.2625965936405663</v>
      </c>
      <c r="V601">
        <v>0.11023909988438001</v>
      </c>
      <c r="W601">
        <v>3.4630981437176072</v>
      </c>
      <c r="X601">
        <v>0.37014581510641209</v>
      </c>
      <c r="Z601" t="s">
        <v>392</v>
      </c>
      <c r="AA601">
        <v>140</v>
      </c>
      <c r="AB601" t="s">
        <v>2006</v>
      </c>
      <c r="AC601" t="str">
        <f>HYPERLINK("plots/20251231112652_3FT6Y119H04_05543_B21P_N_UFLEX98_M5358A8BA201511/dpll_52084/txpa_55182.png","plot")</f>
        <v>plot</v>
      </c>
    </row>
    <row r="602" spans="1:29" x14ac:dyDescent="0.35">
      <c r="A602" t="s">
        <v>47</v>
      </c>
      <c r="B602">
        <v>52084</v>
      </c>
      <c r="C602" t="s">
        <v>52</v>
      </c>
      <c r="D602">
        <v>55183</v>
      </c>
      <c r="E602" t="s">
        <v>316</v>
      </c>
      <c r="F602">
        <v>7139</v>
      </c>
      <c r="G602">
        <v>0.18578088346977711</v>
      </c>
      <c r="H602">
        <v>1.860592385740489E-56</v>
      </c>
      <c r="I602">
        <v>2.2117710189224582E-56</v>
      </c>
      <c r="J602">
        <v>0.1566042153355155</v>
      </c>
      <c r="K602">
        <v>1.9768564744240541E-40</v>
      </c>
      <c r="L602">
        <v>2.339011044417726E-40</v>
      </c>
      <c r="M602">
        <v>0.1040412155714459</v>
      </c>
      <c r="N602">
        <v>1.1044754827531841E-39</v>
      </c>
      <c r="O602">
        <v>1.306812298146708E-39</v>
      </c>
      <c r="P602">
        <v>3.4514536662810888E-2</v>
      </c>
      <c r="Q602">
        <v>0.81144984221896188</v>
      </c>
      <c r="R602">
        <v>-5.5253855694787017E-2</v>
      </c>
      <c r="S602">
        <v>0.47308455025386198</v>
      </c>
      <c r="T602">
        <v>0.38250930010913609</v>
      </c>
      <c r="U602">
        <v>4.2625965936405663</v>
      </c>
      <c r="V602">
        <v>0.11023909988438001</v>
      </c>
      <c r="W602">
        <v>3.403629477657935</v>
      </c>
      <c r="X602">
        <v>0.48150002592754881</v>
      </c>
      <c r="Z602" t="s">
        <v>392</v>
      </c>
      <c r="AA602">
        <v>140</v>
      </c>
      <c r="AB602" t="s">
        <v>2007</v>
      </c>
      <c r="AC602" t="str">
        <f>HYPERLINK("plots/20251231112652_3FT6Y119H04_05543_B21P_N_UFLEX98_M5358A8BA201511/dpll_52084/txpa_55183.png","plot")</f>
        <v>plot</v>
      </c>
    </row>
    <row r="603" spans="1:29" x14ac:dyDescent="0.35">
      <c r="A603" t="s">
        <v>47</v>
      </c>
      <c r="B603">
        <v>52084</v>
      </c>
      <c r="C603" t="s">
        <v>52</v>
      </c>
      <c r="D603">
        <v>55184</v>
      </c>
      <c r="E603" t="s">
        <v>317</v>
      </c>
      <c r="F603">
        <v>7139</v>
      </c>
      <c r="G603">
        <v>0.2641627315953437</v>
      </c>
      <c r="H603">
        <v>2.800365370683681E-114</v>
      </c>
      <c r="I603">
        <v>5.0979721469896808E-114</v>
      </c>
      <c r="J603">
        <v>0.26915684744758528</v>
      </c>
      <c r="K603">
        <v>9.8927933317715589E-119</v>
      </c>
      <c r="L603">
        <v>2.1074143778185628E-118</v>
      </c>
      <c r="M603">
        <v>0.1802391078611687</v>
      </c>
      <c r="N603">
        <v>1.9546514883916379E-115</v>
      </c>
      <c r="O603">
        <v>4.1206166512039933E-115</v>
      </c>
      <c r="P603">
        <v>6.9781948763913595E-2</v>
      </c>
      <c r="Q603">
        <v>0.81145539212227202</v>
      </c>
      <c r="R603">
        <v>-1.584902635110641E-2</v>
      </c>
      <c r="S603">
        <v>0.32658085709333728</v>
      </c>
      <c r="T603">
        <v>0.24991964054945071</v>
      </c>
      <c r="U603">
        <v>4.2625965936405663</v>
      </c>
      <c r="V603">
        <v>0.11023909988438001</v>
      </c>
      <c r="W603">
        <v>3.4430579640005599</v>
      </c>
      <c r="X603">
        <v>0.33863259773114279</v>
      </c>
      <c r="Z603" t="s">
        <v>392</v>
      </c>
      <c r="AA603">
        <v>140</v>
      </c>
      <c r="AB603" t="s">
        <v>2008</v>
      </c>
      <c r="AC603" t="str">
        <f>HYPERLINK("plots/20251231112652_3FT6Y119H04_05543_B21P_N_UFLEX98_M5358A8BA201511/dpll_52084/txpa_55184.png","plot")</f>
        <v>plot</v>
      </c>
    </row>
    <row r="604" spans="1:29" x14ac:dyDescent="0.35">
      <c r="A604" t="s">
        <v>47</v>
      </c>
      <c r="B604">
        <v>52084</v>
      </c>
      <c r="C604" t="s">
        <v>52</v>
      </c>
      <c r="D604">
        <v>55185</v>
      </c>
      <c r="E604" t="s">
        <v>318</v>
      </c>
      <c r="F604">
        <v>7139</v>
      </c>
      <c r="G604">
        <v>0.21441208749231841</v>
      </c>
      <c r="H604">
        <v>5.0774130938807248E-75</v>
      </c>
      <c r="I604">
        <v>6.7212752965992884E-75</v>
      </c>
      <c r="J604">
        <v>0.17363304942230481</v>
      </c>
      <c r="K604">
        <v>1.955947289486641E-49</v>
      </c>
      <c r="L604">
        <v>2.4128108899506738E-49</v>
      </c>
      <c r="M604">
        <v>0.1159086063238583</v>
      </c>
      <c r="N604">
        <v>7.8916242326312881E-49</v>
      </c>
      <c r="O604">
        <v>9.7112948687962694E-49</v>
      </c>
      <c r="P604">
        <v>4.5972543262813602E-2</v>
      </c>
      <c r="Q604">
        <v>0.72982921144632695</v>
      </c>
      <c r="R604">
        <v>0.25760068139320952</v>
      </c>
      <c r="S604">
        <v>0.36648622296864841</v>
      </c>
      <c r="T604">
        <v>0.30396242049245681</v>
      </c>
      <c r="U604">
        <v>4.2625965936405663</v>
      </c>
      <c r="V604">
        <v>0.11023909988438001</v>
      </c>
      <c r="W604">
        <v>3.3685681920437029</v>
      </c>
      <c r="X604">
        <v>0.37523871102673911</v>
      </c>
      <c r="Z604" t="s">
        <v>392</v>
      </c>
      <c r="AA604">
        <v>140</v>
      </c>
      <c r="AB604" t="s">
        <v>2009</v>
      </c>
      <c r="AC604" t="str">
        <f>HYPERLINK("plots/20251231112652_3FT6Y119H04_05543_B21P_N_UFLEX98_M5358A8BA201511/dpll_52084/txpa_55185.png","plot")</f>
        <v>plot</v>
      </c>
    </row>
    <row r="605" spans="1:29" x14ac:dyDescent="0.35">
      <c r="A605" t="s">
        <v>47</v>
      </c>
      <c r="B605">
        <v>52084</v>
      </c>
      <c r="C605" t="s">
        <v>52</v>
      </c>
      <c r="D605">
        <v>55186</v>
      </c>
      <c r="E605" t="s">
        <v>319</v>
      </c>
      <c r="F605">
        <v>7139</v>
      </c>
      <c r="G605">
        <v>0.1607127413266666</v>
      </c>
      <c r="H605">
        <v>1.630091415554468E-42</v>
      </c>
      <c r="I605">
        <v>1.8324974449803001E-42</v>
      </c>
      <c r="J605">
        <v>0.16649641031161111</v>
      </c>
      <c r="K605">
        <v>1.525505256639798E-45</v>
      </c>
      <c r="L605">
        <v>1.8415027740866129E-45</v>
      </c>
      <c r="M605">
        <v>0.1116329475729151</v>
      </c>
      <c r="N605">
        <v>2.0177116565059071E-45</v>
      </c>
      <c r="O605">
        <v>2.4414792597816109E-45</v>
      </c>
      <c r="P605">
        <v>2.582858522473205E-2</v>
      </c>
      <c r="Q605">
        <v>0.69547512591150606</v>
      </c>
      <c r="R605">
        <v>0.83896728657006081</v>
      </c>
      <c r="S605">
        <v>0.47081926284733372</v>
      </c>
      <c r="T605">
        <v>0.37208105632673988</v>
      </c>
      <c r="U605">
        <v>4.2625965936405663</v>
      </c>
      <c r="V605">
        <v>0.11023909988438001</v>
      </c>
      <c r="W605">
        <v>3.80349718924219</v>
      </c>
      <c r="X605">
        <v>0.47705335146155542</v>
      </c>
      <c r="Z605" t="s">
        <v>392</v>
      </c>
      <c r="AA605">
        <v>140</v>
      </c>
      <c r="AB605" t="s">
        <v>2010</v>
      </c>
      <c r="AC605" t="str">
        <f>HYPERLINK("plots/20251231112652_3FT6Y119H04_05543_B21P_N_UFLEX98_M5358A8BA201511/dpll_52084/txpa_55186.png","plot")</f>
        <v>plot</v>
      </c>
    </row>
    <row r="606" spans="1:29" x14ac:dyDescent="0.35">
      <c r="A606" t="s">
        <v>47</v>
      </c>
      <c r="B606">
        <v>52084</v>
      </c>
      <c r="C606" t="s">
        <v>52</v>
      </c>
      <c r="D606">
        <v>55187</v>
      </c>
      <c r="E606" t="s">
        <v>320</v>
      </c>
      <c r="F606">
        <v>7139</v>
      </c>
      <c r="G606">
        <v>0.1525711281933132</v>
      </c>
      <c r="H606">
        <v>1.9362691568565069E-38</v>
      </c>
      <c r="I606">
        <v>2.1623093888243371E-38</v>
      </c>
      <c r="J606">
        <v>0.16074790987139881</v>
      </c>
      <c r="K606">
        <v>1.5636248695576348E-42</v>
      </c>
      <c r="L606">
        <v>1.8653124914487561E-42</v>
      </c>
      <c r="M606">
        <v>0.1079298069290946</v>
      </c>
      <c r="N606">
        <v>1.424760220254195E-42</v>
      </c>
      <c r="O606">
        <v>1.7016570828477659E-42</v>
      </c>
      <c r="P606">
        <v>2.3277949158180419E-2</v>
      </c>
      <c r="Q606">
        <v>0.6493602751195755</v>
      </c>
      <c r="R606">
        <v>2.7711260578452892</v>
      </c>
      <c r="S606">
        <v>0.4636647659544334</v>
      </c>
      <c r="T606">
        <v>0.38776537412954548</v>
      </c>
      <c r="U606">
        <v>4.2625965936405663</v>
      </c>
      <c r="V606">
        <v>0.11023909988438001</v>
      </c>
      <c r="W606">
        <v>5.5390869546154926</v>
      </c>
      <c r="X606">
        <v>0.46919029227570969</v>
      </c>
      <c r="Z606" t="s">
        <v>392</v>
      </c>
      <c r="AA606">
        <v>140</v>
      </c>
      <c r="AB606" t="s">
        <v>2011</v>
      </c>
      <c r="AC606" t="str">
        <f>HYPERLINK("plots/20251231112652_3FT6Y119H04_05543_B21P_N_UFLEX98_M5358A8BA201511/dpll_52084/txpa_55187.png","plot")</f>
        <v>plot</v>
      </c>
    </row>
    <row r="607" spans="1:29" x14ac:dyDescent="0.35">
      <c r="A607" t="s">
        <v>47</v>
      </c>
      <c r="B607">
        <v>52084</v>
      </c>
      <c r="C607" t="s">
        <v>52</v>
      </c>
      <c r="D607">
        <v>55188</v>
      </c>
      <c r="E607" t="s">
        <v>321</v>
      </c>
      <c r="F607">
        <v>7139</v>
      </c>
      <c r="G607">
        <v>0.27883923533182181</v>
      </c>
      <c r="H607">
        <v>1.2283860186398791E-127</v>
      </c>
      <c r="I607">
        <v>2.451935871852042E-127</v>
      </c>
      <c r="J607">
        <v>0.25413423677647712</v>
      </c>
      <c r="K607">
        <v>1.2574377587733029E-105</v>
      </c>
      <c r="L607">
        <v>2.447297288668194E-105</v>
      </c>
      <c r="M607">
        <v>0.17015784815206461</v>
      </c>
      <c r="N607">
        <v>4.2661055264688559E-103</v>
      </c>
      <c r="O607">
        <v>8.3189057766142703E-103</v>
      </c>
      <c r="P607">
        <v>7.7751319160435109E-2</v>
      </c>
      <c r="Q607">
        <v>0.80374709320391624</v>
      </c>
      <c r="R607">
        <v>1.683109541408526</v>
      </c>
      <c r="S607">
        <v>0.30513694435376532</v>
      </c>
      <c r="T607">
        <v>0.2481452572409544</v>
      </c>
      <c r="U607">
        <v>4.2625965936405663</v>
      </c>
      <c r="V607">
        <v>0.11023909988438001</v>
      </c>
      <c r="W607">
        <v>5.1091591630480462</v>
      </c>
      <c r="X607">
        <v>0.31776143692277192</v>
      </c>
      <c r="Z607" t="s">
        <v>392</v>
      </c>
      <c r="AA607">
        <v>140</v>
      </c>
      <c r="AB607" t="s">
        <v>2012</v>
      </c>
      <c r="AC607" t="str">
        <f>HYPERLINK("plots/20251231112652_3FT6Y119H04_05543_B21P_N_UFLEX98_M5358A8BA201511/dpll_52084/txpa_55188.png","plot")</f>
        <v>plot</v>
      </c>
    </row>
    <row r="608" spans="1:29" x14ac:dyDescent="0.35">
      <c r="A608" t="s">
        <v>47</v>
      </c>
      <c r="B608">
        <v>52084</v>
      </c>
      <c r="C608" t="s">
        <v>52</v>
      </c>
      <c r="D608">
        <v>55189</v>
      </c>
      <c r="E608" t="s">
        <v>322</v>
      </c>
      <c r="F608">
        <v>7139</v>
      </c>
      <c r="G608">
        <v>0.2055649934399057</v>
      </c>
      <c r="H608">
        <v>5.5964447301401539E-69</v>
      </c>
      <c r="I608">
        <v>7.1291393924147183E-69</v>
      </c>
      <c r="J608">
        <v>0.18566820831757341</v>
      </c>
      <c r="K608">
        <v>2.1731663693421391E-56</v>
      </c>
      <c r="L608">
        <v>2.8142920798377121E-56</v>
      </c>
      <c r="M608">
        <v>0.1245100206540898</v>
      </c>
      <c r="N608">
        <v>4.5378736614860886E-56</v>
      </c>
      <c r="O608">
        <v>5.8916823210587641E-56</v>
      </c>
      <c r="P608">
        <v>4.2256966527948477E-2</v>
      </c>
      <c r="Q608">
        <v>0.78502114435559245</v>
      </c>
      <c r="R608">
        <v>2.0758904315132178</v>
      </c>
      <c r="S608">
        <v>0.41196653239690439</v>
      </c>
      <c r="T608">
        <v>0.35704568982603452</v>
      </c>
      <c r="U608">
        <v>4.2625965936405663</v>
      </c>
      <c r="V608">
        <v>0.11023909988438001</v>
      </c>
      <c r="W608">
        <v>5.4221188873791846</v>
      </c>
      <c r="X608">
        <v>0.42098619466191028</v>
      </c>
      <c r="Z608" t="s">
        <v>392</v>
      </c>
      <c r="AA608">
        <v>140</v>
      </c>
      <c r="AB608" t="s">
        <v>2013</v>
      </c>
      <c r="AC608" t="str">
        <f>HYPERLINK("plots/20251231112652_3FT6Y119H04_05543_B21P_N_UFLEX98_M5358A8BA201511/dpll_52084/txpa_55189.png","plot")</f>
        <v>plot</v>
      </c>
    </row>
    <row r="609" spans="1:29" x14ac:dyDescent="0.35">
      <c r="A609" t="s">
        <v>47</v>
      </c>
      <c r="B609">
        <v>52084</v>
      </c>
      <c r="C609" t="s">
        <v>52</v>
      </c>
      <c r="D609">
        <v>55190</v>
      </c>
      <c r="E609" t="s">
        <v>323</v>
      </c>
      <c r="F609">
        <v>7139</v>
      </c>
      <c r="G609">
        <v>0.26131292579403492</v>
      </c>
      <c r="H609">
        <v>8.8064368300530148E-112</v>
      </c>
      <c r="I609">
        <v>1.5449354577290239E-111</v>
      </c>
      <c r="J609">
        <v>0.25553443405910548</v>
      </c>
      <c r="K609">
        <v>8.2095417999543148E-107</v>
      </c>
      <c r="L609">
        <v>1.616402987408481E-106</v>
      </c>
      <c r="M609">
        <v>0.17058697149441091</v>
      </c>
      <c r="N609">
        <v>1.3153050992914819E-103</v>
      </c>
      <c r="O609">
        <v>2.5897463508379861E-103</v>
      </c>
      <c r="P609">
        <v>6.82844451870388E-2</v>
      </c>
      <c r="Q609">
        <v>0.83238797818401766</v>
      </c>
      <c r="R609">
        <v>1.7967246970084461</v>
      </c>
      <c r="S609">
        <v>0.33893141055526388</v>
      </c>
      <c r="T609">
        <v>0.26209410414245998</v>
      </c>
      <c r="U609">
        <v>4.2625965936405663</v>
      </c>
      <c r="V609">
        <v>0.11023909988438001</v>
      </c>
      <c r="W609">
        <v>5.3448588574029978</v>
      </c>
      <c r="X609">
        <v>0.35115638153281042</v>
      </c>
      <c r="Z609" t="s">
        <v>392</v>
      </c>
      <c r="AA609">
        <v>140</v>
      </c>
      <c r="AB609" t="s">
        <v>2014</v>
      </c>
      <c r="AC609" t="str">
        <f>HYPERLINK("plots/20251231112652_3FT6Y119H04_05543_B21P_N_UFLEX98_M5358A8BA201511/dpll_52084/txpa_55190.png","plot")</f>
        <v>plot</v>
      </c>
    </row>
    <row r="610" spans="1:29" x14ac:dyDescent="0.35">
      <c r="A610" t="s">
        <v>47</v>
      </c>
      <c r="B610">
        <v>52084</v>
      </c>
      <c r="C610" t="s">
        <v>52</v>
      </c>
      <c r="D610">
        <v>55191</v>
      </c>
      <c r="E610" t="s">
        <v>324</v>
      </c>
      <c r="F610">
        <v>7139</v>
      </c>
      <c r="G610">
        <v>0.19722062524485801</v>
      </c>
      <c r="H610">
        <v>1.56632716026006E-63</v>
      </c>
      <c r="I610">
        <v>1.939262198417217E-63</v>
      </c>
      <c r="J610">
        <v>0.16782508519951181</v>
      </c>
      <c r="K610">
        <v>2.9633748725818519E-46</v>
      </c>
      <c r="L610">
        <v>3.5857543207613327E-46</v>
      </c>
      <c r="M610">
        <v>0.11162785294253361</v>
      </c>
      <c r="N610">
        <v>2.0354757306640638E-45</v>
      </c>
      <c r="O610">
        <v>2.4600386065475101E-45</v>
      </c>
      <c r="P610">
        <v>3.8895975021972708E-2</v>
      </c>
      <c r="Q610">
        <v>0.81320558132687837</v>
      </c>
      <c r="R610">
        <v>1.8224267776105441</v>
      </c>
      <c r="S610">
        <v>0.44559309956008208</v>
      </c>
      <c r="T610">
        <v>0.36027402091866612</v>
      </c>
      <c r="U610">
        <v>4.2625965936405663</v>
      </c>
      <c r="V610">
        <v>0.11023909988438001</v>
      </c>
      <c r="W610">
        <v>5.2887941185039917</v>
      </c>
      <c r="X610">
        <v>0.45455210982689243</v>
      </c>
      <c r="Z610" t="s">
        <v>392</v>
      </c>
      <c r="AA610">
        <v>140</v>
      </c>
      <c r="AB610" t="s">
        <v>2015</v>
      </c>
      <c r="AC610" t="str">
        <f>HYPERLINK("plots/20251231112652_3FT6Y119H04_05543_B21P_N_UFLEX98_M5358A8BA201511/dpll_52084/txpa_55191.png","plot")</f>
        <v>plot</v>
      </c>
    </row>
    <row r="611" spans="1:29" x14ac:dyDescent="0.35">
      <c r="A611" t="s">
        <v>47</v>
      </c>
      <c r="B611">
        <v>52084</v>
      </c>
      <c r="C611" t="s">
        <v>52</v>
      </c>
      <c r="D611">
        <v>55192</v>
      </c>
      <c r="E611" t="s">
        <v>325</v>
      </c>
      <c r="F611">
        <v>7139</v>
      </c>
      <c r="G611">
        <v>0.27833807115749842</v>
      </c>
      <c r="H611">
        <v>3.62478895281674E-127</v>
      </c>
      <c r="I611">
        <v>7.1787812463987774E-127</v>
      </c>
      <c r="J611">
        <v>0.28356964065009649</v>
      </c>
      <c r="K611">
        <v>4.0264771850384978E-132</v>
      </c>
      <c r="L611">
        <v>9.9581655259244793E-132</v>
      </c>
      <c r="M611">
        <v>0.1904673502173492</v>
      </c>
      <c r="N611">
        <v>1.117788472181622E-128</v>
      </c>
      <c r="O611">
        <v>2.7577555007108629E-128</v>
      </c>
      <c r="P611">
        <v>7.7472081855676653E-2</v>
      </c>
      <c r="Q611">
        <v>0.81173797617262755</v>
      </c>
      <c r="R611">
        <v>1.8580828454817979</v>
      </c>
      <c r="S611">
        <v>0.30877224068562059</v>
      </c>
      <c r="T611">
        <v>0.23649389723851511</v>
      </c>
      <c r="U611">
        <v>4.2625965936405663</v>
      </c>
      <c r="V611">
        <v>0.11023909988438001</v>
      </c>
      <c r="W611">
        <v>5.3181943776439278</v>
      </c>
      <c r="X611">
        <v>0.32149846933660509</v>
      </c>
      <c r="Z611" t="s">
        <v>392</v>
      </c>
      <c r="AA611">
        <v>140</v>
      </c>
      <c r="AB611" t="s">
        <v>2016</v>
      </c>
      <c r="AC611" t="str">
        <f>HYPERLINK("plots/20251231112652_3FT6Y119H04_05543_B21P_N_UFLEX98_M5358A8BA201511/dpll_52084/txpa_55192.png","plot")</f>
        <v>plot</v>
      </c>
    </row>
    <row r="612" spans="1:29" x14ac:dyDescent="0.35">
      <c r="A612" t="s">
        <v>47</v>
      </c>
      <c r="B612">
        <v>52084</v>
      </c>
      <c r="C612" t="s">
        <v>52</v>
      </c>
      <c r="D612">
        <v>55193</v>
      </c>
      <c r="E612" t="s">
        <v>326</v>
      </c>
      <c r="F612">
        <v>7139</v>
      </c>
      <c r="G612">
        <v>0.22670587773656939</v>
      </c>
      <c r="H612">
        <v>7.03016379107348E-84</v>
      </c>
      <c r="I612">
        <v>9.8733879281835289E-84</v>
      </c>
      <c r="J612">
        <v>0.18555242511903561</v>
      </c>
      <c r="K612">
        <v>2.5488818607038242E-56</v>
      </c>
      <c r="L612">
        <v>3.2966405698388742E-56</v>
      </c>
      <c r="M612">
        <v>0.12398957875874921</v>
      </c>
      <c r="N612">
        <v>1.2871179926606989E-55</v>
      </c>
      <c r="O612">
        <v>1.66471638336473E-55</v>
      </c>
      <c r="P612">
        <v>5.1395555000308332E-2</v>
      </c>
      <c r="Q612">
        <v>0.73179717515796372</v>
      </c>
      <c r="R612">
        <v>2.1355609654360852</v>
      </c>
      <c r="S612">
        <v>0.3465578699392472</v>
      </c>
      <c r="T612">
        <v>0.28714503982828632</v>
      </c>
      <c r="U612">
        <v>4.2625965936405663</v>
      </c>
      <c r="V612">
        <v>0.11023909988438001</v>
      </c>
      <c r="W612">
        <v>5.2549171115002098</v>
      </c>
      <c r="X612">
        <v>0.35584724442428001</v>
      </c>
      <c r="Z612" t="s">
        <v>392</v>
      </c>
      <c r="AA612">
        <v>140</v>
      </c>
      <c r="AB612" t="s">
        <v>2017</v>
      </c>
      <c r="AC612" t="str">
        <f>HYPERLINK("plots/20251231112652_3FT6Y119H04_05543_B21P_N_UFLEX98_M5358A8BA201511/dpll_52084/txpa_55193.png","plot")</f>
        <v>plot</v>
      </c>
    </row>
    <row r="613" spans="1:29" x14ac:dyDescent="0.35">
      <c r="A613" t="s">
        <v>47</v>
      </c>
      <c r="B613">
        <v>52084</v>
      </c>
      <c r="C613" t="s">
        <v>52</v>
      </c>
      <c r="D613">
        <v>55194</v>
      </c>
      <c r="E613" t="s">
        <v>327</v>
      </c>
      <c r="F613">
        <v>7139</v>
      </c>
      <c r="G613">
        <v>0.17075586017649061</v>
      </c>
      <c r="H613">
        <v>7.6051584853892259E-48</v>
      </c>
      <c r="I613">
        <v>8.80323139747109E-48</v>
      </c>
      <c r="J613">
        <v>0.17580751203548439</v>
      </c>
      <c r="K613">
        <v>1.1784886221024779E-50</v>
      </c>
      <c r="L613">
        <v>1.4626529532581549E-50</v>
      </c>
      <c r="M613">
        <v>0.11802213743991651</v>
      </c>
      <c r="N613">
        <v>1.4639770733239481E-50</v>
      </c>
      <c r="O613">
        <v>1.819206804351082E-50</v>
      </c>
      <c r="P613">
        <v>2.9157563784613191E-2</v>
      </c>
      <c r="Q613">
        <v>0.69898355414922497</v>
      </c>
      <c r="R613">
        <v>2.6819718971923612</v>
      </c>
      <c r="S613">
        <v>0.44460153271154362</v>
      </c>
      <c r="T613">
        <v>0.35183339017113979</v>
      </c>
      <c r="U613">
        <v>4.2625965936405663</v>
      </c>
      <c r="V613">
        <v>0.11023909988438001</v>
      </c>
      <c r="W613">
        <v>5.6614568141196244</v>
      </c>
      <c r="X613">
        <v>0.45126016620309389</v>
      </c>
      <c r="Z613" t="s">
        <v>392</v>
      </c>
      <c r="AA613">
        <v>140</v>
      </c>
      <c r="AB613" t="s">
        <v>2018</v>
      </c>
      <c r="AC613" t="str">
        <f>HYPERLINK("plots/20251231112652_3FT6Y119H04_05543_B21P_N_UFLEX98_M5358A8BA201511/dpll_52084/txpa_55194.png","plot")</f>
        <v>plot</v>
      </c>
    </row>
    <row r="614" spans="1:29" x14ac:dyDescent="0.35">
      <c r="A614" t="s">
        <v>47</v>
      </c>
      <c r="B614">
        <v>52084</v>
      </c>
      <c r="C614" t="s">
        <v>52</v>
      </c>
      <c r="D614">
        <v>55195</v>
      </c>
      <c r="E614" t="s">
        <v>328</v>
      </c>
      <c r="F614">
        <v>7139</v>
      </c>
      <c r="G614">
        <v>0.16779869995175159</v>
      </c>
      <c r="H614">
        <v>3.0617942123132829E-46</v>
      </c>
      <c r="I614">
        <v>3.5080896398708124E-46</v>
      </c>
      <c r="J614">
        <v>0.17244533538428911</v>
      </c>
      <c r="K614">
        <v>8.9330307000122906E-49</v>
      </c>
      <c r="L614">
        <v>1.095295420775388E-48</v>
      </c>
      <c r="M614">
        <v>0.1162269077880167</v>
      </c>
      <c r="N614">
        <v>4.3455291130872783E-49</v>
      </c>
      <c r="O614">
        <v>5.3605432124945263E-49</v>
      </c>
      <c r="P614">
        <v>2.8156403705497959E-2</v>
      </c>
      <c r="Q614">
        <v>0.65980376207522751</v>
      </c>
      <c r="R614">
        <v>4.969396496400055</v>
      </c>
      <c r="S614">
        <v>0.42729678360043261</v>
      </c>
      <c r="T614">
        <v>0.3562978509460894</v>
      </c>
      <c r="U614">
        <v>4.2625965936405663</v>
      </c>
      <c r="V614">
        <v>0.11023909988438001</v>
      </c>
      <c r="W614">
        <v>7.7818737650931507</v>
      </c>
      <c r="X614">
        <v>0.4334728031409964</v>
      </c>
      <c r="Z614" t="s">
        <v>392</v>
      </c>
      <c r="AA614">
        <v>140</v>
      </c>
      <c r="AB614" t="s">
        <v>2019</v>
      </c>
      <c r="AC614" t="str">
        <f>HYPERLINK("plots/20251231112652_3FT6Y119H04_05543_B21P_N_UFLEX98_M5358A8BA201511/dpll_52084/txpa_55195.png","plot")</f>
        <v>plot</v>
      </c>
    </row>
    <row r="615" spans="1:29" x14ac:dyDescent="0.35">
      <c r="A615" t="s">
        <v>47</v>
      </c>
      <c r="B615">
        <v>52084</v>
      </c>
      <c r="C615" t="s">
        <v>52</v>
      </c>
      <c r="D615">
        <v>55196</v>
      </c>
      <c r="E615" t="s">
        <v>329</v>
      </c>
      <c r="F615">
        <v>7139</v>
      </c>
      <c r="G615">
        <v>0.29551046134939751</v>
      </c>
      <c r="H615">
        <v>7.7575581962973814E-144</v>
      </c>
      <c r="I615">
        <v>1.8378887876274641E-143</v>
      </c>
      <c r="J615">
        <v>0.27162558175144852</v>
      </c>
      <c r="K615">
        <v>5.742914422859974E-121</v>
      </c>
      <c r="L615">
        <v>1.2469625748993611E-120</v>
      </c>
      <c r="M615">
        <v>0.18212084781900009</v>
      </c>
      <c r="N615">
        <v>8.1011524649149329E-118</v>
      </c>
      <c r="O615">
        <v>1.77038116366891E-117</v>
      </c>
      <c r="P615">
        <v>8.7326432766933734E-2</v>
      </c>
      <c r="Q615">
        <v>0.80440649226513172</v>
      </c>
      <c r="R615">
        <v>3.96042716868125</v>
      </c>
      <c r="S615">
        <v>0.28665906688674297</v>
      </c>
      <c r="T615">
        <v>0.23219501735864759</v>
      </c>
      <c r="U615">
        <v>4.2625965936405663</v>
      </c>
      <c r="V615">
        <v>0.11023909988438001</v>
      </c>
      <c r="W615">
        <v>7.3892875425129576</v>
      </c>
      <c r="X615">
        <v>0.30008090828166029</v>
      </c>
      <c r="Z615" t="s">
        <v>392</v>
      </c>
      <c r="AA615">
        <v>140</v>
      </c>
      <c r="AB615" t="s">
        <v>2020</v>
      </c>
      <c r="AC615" t="str">
        <f>HYPERLINK("plots/20251231112652_3FT6Y119H04_05543_B21P_N_UFLEX98_M5358A8BA201511/dpll_52084/txpa_55196.png","plot")</f>
        <v>plot</v>
      </c>
    </row>
    <row r="616" spans="1:29" x14ac:dyDescent="0.35">
      <c r="A616" t="s">
        <v>47</v>
      </c>
      <c r="B616">
        <v>52084</v>
      </c>
      <c r="C616" t="s">
        <v>52</v>
      </c>
      <c r="D616">
        <v>55197</v>
      </c>
      <c r="E616" t="s">
        <v>330</v>
      </c>
      <c r="F616">
        <v>7139</v>
      </c>
      <c r="G616">
        <v>0.22361963776128499</v>
      </c>
      <c r="H616">
        <v>1.323812717687425E-81</v>
      </c>
      <c r="I616">
        <v>1.8238398039878379E-81</v>
      </c>
      <c r="J616">
        <v>0.19986057628528861</v>
      </c>
      <c r="K616">
        <v>3.1468977231779519E-65</v>
      </c>
      <c r="L616">
        <v>4.3532800699896916E-65</v>
      </c>
      <c r="M616">
        <v>0.1343815546592376</v>
      </c>
      <c r="N616">
        <v>5.1801918593638501E-65</v>
      </c>
      <c r="O616">
        <v>7.1660498572918748E-65</v>
      </c>
      <c r="P616">
        <v>5.0005742392488298E-2</v>
      </c>
      <c r="Q616">
        <v>0.79024171081732619</v>
      </c>
      <c r="R616">
        <v>4.3013711652039106</v>
      </c>
      <c r="S616">
        <v>0.37967826719762049</v>
      </c>
      <c r="T616">
        <v>0.32744608854864621</v>
      </c>
      <c r="U616">
        <v>4.2625965936405663</v>
      </c>
      <c r="V616">
        <v>0.11023909988438001</v>
      </c>
      <c r="W616">
        <v>7.669852789886539</v>
      </c>
      <c r="X616">
        <v>0.38957014582319849</v>
      </c>
      <c r="Z616" t="s">
        <v>392</v>
      </c>
      <c r="AA616">
        <v>140</v>
      </c>
      <c r="AB616" t="s">
        <v>2021</v>
      </c>
      <c r="AC616" t="str">
        <f>HYPERLINK("plots/20251231112652_3FT6Y119H04_05543_B21P_N_UFLEX98_M5358A8BA201511/dpll_52084/txpa_55197.png","plot")</f>
        <v>plot</v>
      </c>
    </row>
    <row r="617" spans="1:29" x14ac:dyDescent="0.35">
      <c r="A617" t="s">
        <v>47</v>
      </c>
      <c r="B617">
        <v>52084</v>
      </c>
      <c r="C617" t="s">
        <v>52</v>
      </c>
      <c r="D617">
        <v>55198</v>
      </c>
      <c r="E617" t="s">
        <v>331</v>
      </c>
      <c r="F617">
        <v>7139</v>
      </c>
      <c r="G617">
        <v>0.28032262296091748</v>
      </c>
      <c r="H617">
        <v>4.926830725537863E-129</v>
      </c>
      <c r="I617">
        <v>1.003173967007107E-128</v>
      </c>
      <c r="J617">
        <v>0.27288883841330119</v>
      </c>
      <c r="K617">
        <v>4.0340903160929752E-122</v>
      </c>
      <c r="L617">
        <v>8.9705429397330644E-122</v>
      </c>
      <c r="M617">
        <v>0.18277708145670199</v>
      </c>
      <c r="N617">
        <v>1.180856933762253E-118</v>
      </c>
      <c r="O617">
        <v>2.620107069660665E-118</v>
      </c>
      <c r="P617">
        <v>7.8580772943688731E-2</v>
      </c>
      <c r="Q617">
        <v>0.83413279158833409</v>
      </c>
      <c r="R617">
        <v>4.0482491973201</v>
      </c>
      <c r="S617">
        <v>0.3148552367110648</v>
      </c>
      <c r="T617">
        <v>0.2439350115031122</v>
      </c>
      <c r="U617">
        <v>4.2625965936405663</v>
      </c>
      <c r="V617">
        <v>0.11023909988438001</v>
      </c>
      <c r="W617">
        <v>7.6038207933884294</v>
      </c>
      <c r="X617">
        <v>0.32802935117214321</v>
      </c>
      <c r="Z617" t="s">
        <v>392</v>
      </c>
      <c r="AA617">
        <v>140</v>
      </c>
      <c r="AB617" t="s">
        <v>2022</v>
      </c>
      <c r="AC617" t="str">
        <f>HYPERLINK("plots/20251231112652_3FT6Y119H04_05543_B21P_N_UFLEX98_M5358A8BA201511/dpll_52084/txpa_55198.png","plot")</f>
        <v>plot</v>
      </c>
    </row>
    <row r="618" spans="1:29" x14ac:dyDescent="0.35">
      <c r="A618" t="s">
        <v>47</v>
      </c>
      <c r="B618">
        <v>52084</v>
      </c>
      <c r="C618" t="s">
        <v>52</v>
      </c>
      <c r="D618">
        <v>55199</v>
      </c>
      <c r="E618" t="s">
        <v>332</v>
      </c>
      <c r="F618">
        <v>7139</v>
      </c>
      <c r="G618">
        <v>0.21480734761509809</v>
      </c>
      <c r="H618">
        <v>2.6867533754801999E-75</v>
      </c>
      <c r="I618">
        <v>3.5612652584796378E-75</v>
      </c>
      <c r="J618">
        <v>0.18369257046870169</v>
      </c>
      <c r="K618">
        <v>3.2549682302501859E-55</v>
      </c>
      <c r="L618">
        <v>4.1568485963144698E-55</v>
      </c>
      <c r="M618">
        <v>0.1222999679899613</v>
      </c>
      <c r="N618">
        <v>3.6818853899351118E-54</v>
      </c>
      <c r="O618">
        <v>4.6784859466092778E-54</v>
      </c>
      <c r="P618">
        <v>4.6142196589433568E-2</v>
      </c>
      <c r="Q618">
        <v>0.81780557167215029</v>
      </c>
      <c r="R618">
        <v>4.0676504352968754</v>
      </c>
      <c r="S618">
        <v>0.40987175402202991</v>
      </c>
      <c r="T618">
        <v>0.33105122939505938</v>
      </c>
      <c r="U618">
        <v>4.2625965936405663</v>
      </c>
      <c r="V618">
        <v>0.11023909988438001</v>
      </c>
      <c r="W618">
        <v>7.553625679366859</v>
      </c>
      <c r="X618">
        <v>0.41969770169645759</v>
      </c>
      <c r="Z618" t="s">
        <v>392</v>
      </c>
      <c r="AA618">
        <v>140</v>
      </c>
      <c r="AB618" t="s">
        <v>2023</v>
      </c>
      <c r="AC618" t="str">
        <f>HYPERLINK("plots/20251231112652_3FT6Y119H04_05543_B21P_N_UFLEX98_M5358A8BA201511/dpll_52084/txpa_55199.png","plot")</f>
        <v>plot</v>
      </c>
    </row>
    <row r="619" spans="1:29" x14ac:dyDescent="0.35">
      <c r="A619" t="s">
        <v>47</v>
      </c>
      <c r="B619">
        <v>52084</v>
      </c>
      <c r="C619" t="s">
        <v>52</v>
      </c>
      <c r="D619">
        <v>55200</v>
      </c>
      <c r="E619" t="s">
        <v>333</v>
      </c>
      <c r="F619">
        <v>7139</v>
      </c>
      <c r="G619">
        <v>0.29842338703085958</v>
      </c>
      <c r="H619">
        <v>8.8082954320181503E-147</v>
      </c>
      <c r="I619">
        <v>2.1521955585702181E-146</v>
      </c>
      <c r="J619">
        <v>0.29973753701582601</v>
      </c>
      <c r="K619">
        <v>4.027847827236441E-148</v>
      </c>
      <c r="L619">
        <v>1.118969232004863E-147</v>
      </c>
      <c r="M619">
        <v>0.20220971138596161</v>
      </c>
      <c r="N619">
        <v>8.8621363940365944E-145</v>
      </c>
      <c r="O619">
        <v>2.468737995481623E-144</v>
      </c>
      <c r="P619">
        <v>8.9056517926970211E-2</v>
      </c>
      <c r="Q619">
        <v>0.81346275288740277</v>
      </c>
      <c r="R619">
        <v>4.1050502665147341</v>
      </c>
      <c r="S619">
        <v>0.28678456441500372</v>
      </c>
      <c r="T619">
        <v>0.22028789761343609</v>
      </c>
      <c r="U619">
        <v>4.2625965936405663</v>
      </c>
      <c r="V619">
        <v>0.11023909988438001</v>
      </c>
      <c r="W619">
        <v>7.5725138260260536</v>
      </c>
      <c r="X619">
        <v>0.3004972316680527</v>
      </c>
      <c r="Z619" t="s">
        <v>392</v>
      </c>
      <c r="AA619">
        <v>140</v>
      </c>
      <c r="AB619" t="s">
        <v>2024</v>
      </c>
      <c r="AC619" t="str">
        <f>HYPERLINK("plots/20251231112652_3FT6Y119H04_05543_B21P_N_UFLEX98_M5358A8BA201511/dpll_52084/txpa_55200.png","plot")</f>
        <v>plot</v>
      </c>
    </row>
    <row r="620" spans="1:29" x14ac:dyDescent="0.35">
      <c r="A620" t="s">
        <v>47</v>
      </c>
      <c r="B620">
        <v>52084</v>
      </c>
      <c r="C620" t="s">
        <v>52</v>
      </c>
      <c r="D620">
        <v>55201</v>
      </c>
      <c r="E620" t="s">
        <v>334</v>
      </c>
      <c r="F620">
        <v>7139</v>
      </c>
      <c r="G620">
        <v>0.24596594338198069</v>
      </c>
      <c r="H620">
        <v>7.3582170687401938E-99</v>
      </c>
      <c r="I620">
        <v>1.165817516828524E-98</v>
      </c>
      <c r="J620">
        <v>0.2025379882869906</v>
      </c>
      <c r="K620">
        <v>5.6491538259977642E-67</v>
      </c>
      <c r="L620">
        <v>7.8901404677158858E-67</v>
      </c>
      <c r="M620">
        <v>0.1354252585862947</v>
      </c>
      <c r="N620">
        <v>5.3627697895388924E-66</v>
      </c>
      <c r="O620">
        <v>7.4695722068577425E-66</v>
      </c>
      <c r="P620">
        <v>6.0499245303787752E-2</v>
      </c>
      <c r="Q620">
        <v>0.73886262616069409</v>
      </c>
      <c r="R620">
        <v>4.3746476338906621</v>
      </c>
      <c r="S620">
        <v>0.32095380347423108</v>
      </c>
      <c r="T620">
        <v>0.26511709822265889</v>
      </c>
      <c r="U620">
        <v>4.2625965936405663</v>
      </c>
      <c r="V620">
        <v>0.11023909988438001</v>
      </c>
      <c r="W620">
        <v>7.5241209473315598</v>
      </c>
      <c r="X620">
        <v>0.33114971010304189</v>
      </c>
      <c r="Z620" t="s">
        <v>392</v>
      </c>
      <c r="AA620">
        <v>140</v>
      </c>
      <c r="AB620" t="s">
        <v>2025</v>
      </c>
      <c r="AC620" t="str">
        <f>HYPERLINK("plots/20251231112652_3FT6Y119H04_05543_B21P_N_UFLEX98_M5358A8BA201511/dpll_52084/txpa_55201.png","plot")</f>
        <v>plot</v>
      </c>
    </row>
    <row r="621" spans="1:29" x14ac:dyDescent="0.35">
      <c r="A621" t="s">
        <v>47</v>
      </c>
      <c r="B621">
        <v>52084</v>
      </c>
      <c r="C621" t="s">
        <v>52</v>
      </c>
      <c r="D621">
        <v>55202</v>
      </c>
      <c r="E621" t="s">
        <v>335</v>
      </c>
      <c r="F621">
        <v>7139</v>
      </c>
      <c r="G621">
        <v>0.18696038173737661</v>
      </c>
      <c r="H621">
        <v>3.6395624488086331E-57</v>
      </c>
      <c r="I621">
        <v>4.3417839095199461E-57</v>
      </c>
      <c r="J621">
        <v>0.18865724568936379</v>
      </c>
      <c r="K621">
        <v>3.4139215936401319E-58</v>
      </c>
      <c r="L621">
        <v>4.5015819193122162E-58</v>
      </c>
      <c r="M621">
        <v>0.12682020651717871</v>
      </c>
      <c r="N621">
        <v>4.2140940836741361E-58</v>
      </c>
      <c r="O621">
        <v>5.585740393262188E-58</v>
      </c>
      <c r="P621">
        <v>3.4954184339385602E-2</v>
      </c>
      <c r="Q621">
        <v>0.70670544616392894</v>
      </c>
      <c r="R621">
        <v>4.8809497312921621</v>
      </c>
      <c r="S621">
        <v>0.40932479915351477</v>
      </c>
      <c r="T621">
        <v>0.32435381611422343</v>
      </c>
      <c r="U621">
        <v>4.2625965936405663</v>
      </c>
      <c r="V621">
        <v>0.11023909988438001</v>
      </c>
      <c r="W621">
        <v>7.8933499588177618</v>
      </c>
      <c r="X621">
        <v>0.41670096918146088</v>
      </c>
      <c r="Z621" t="s">
        <v>392</v>
      </c>
      <c r="AA621">
        <v>140</v>
      </c>
      <c r="AB621" t="s">
        <v>2026</v>
      </c>
      <c r="AC621" t="str">
        <f>HYPERLINK("plots/20251231112652_3FT6Y119H04_05543_B21P_N_UFLEX98_M5358A8BA201511/dpll_52084/txpa_55202.png","plot")</f>
        <v>plot</v>
      </c>
    </row>
    <row r="622" spans="1:29" x14ac:dyDescent="0.35">
      <c r="A622" t="s">
        <v>47</v>
      </c>
      <c r="B622">
        <v>52084</v>
      </c>
      <c r="C622" t="s">
        <v>52</v>
      </c>
      <c r="D622">
        <v>55203</v>
      </c>
      <c r="E622" t="s">
        <v>336</v>
      </c>
      <c r="F622">
        <v>7139</v>
      </c>
      <c r="G622">
        <v>0.17639992772097471</v>
      </c>
      <c r="H622">
        <v>5.4470503386389745E-51</v>
      </c>
      <c r="I622">
        <v>6.4001263538585399E-51</v>
      </c>
      <c r="J622">
        <v>0.1785121687411845</v>
      </c>
      <c r="K622">
        <v>3.3997900412004623E-52</v>
      </c>
      <c r="L622">
        <v>4.266568195268897E-52</v>
      </c>
      <c r="M622">
        <v>0.1205399542459233</v>
      </c>
      <c r="N622">
        <v>1.1541141259333401E-52</v>
      </c>
      <c r="O622">
        <v>1.4591916754319289E-52</v>
      </c>
      <c r="P622">
        <v>3.1116934499965089E-2</v>
      </c>
      <c r="Q622">
        <v>0.66486643270979928</v>
      </c>
      <c r="R622">
        <v>5.9334227627884584</v>
      </c>
      <c r="S622">
        <v>0.4089563219868711</v>
      </c>
      <c r="T622">
        <v>0.34023970082710647</v>
      </c>
      <c r="U622">
        <v>4.2625965936405663</v>
      </c>
      <c r="V622">
        <v>0.11023909988438001</v>
      </c>
      <c r="W622">
        <v>8.7674801540832039</v>
      </c>
      <c r="X622">
        <v>0.41550060724062299</v>
      </c>
      <c r="Z622" t="s">
        <v>392</v>
      </c>
      <c r="AA622">
        <v>140</v>
      </c>
      <c r="AB622" t="s">
        <v>2027</v>
      </c>
      <c r="AC622" t="str">
        <f>HYPERLINK("plots/20251231112652_3FT6Y119H04_05543_B21P_N_UFLEX98_M5358A8BA201511/dpll_52084/txpa_55203.png","plot")</f>
        <v>plot</v>
      </c>
    </row>
    <row r="623" spans="1:29" x14ac:dyDescent="0.35">
      <c r="A623" t="s">
        <v>47</v>
      </c>
      <c r="B623">
        <v>52084</v>
      </c>
      <c r="C623" t="s">
        <v>52</v>
      </c>
      <c r="D623">
        <v>55204</v>
      </c>
      <c r="E623" t="s">
        <v>337</v>
      </c>
      <c r="F623">
        <v>7139</v>
      </c>
      <c r="G623">
        <v>0.30391367004674069</v>
      </c>
      <c r="H623">
        <v>1.9979797165011738E-152</v>
      </c>
      <c r="I623">
        <v>5.2215243106499749E-152</v>
      </c>
      <c r="J623">
        <v>0.2805071387153884</v>
      </c>
      <c r="K623">
        <v>3.2977810352057679E-129</v>
      </c>
      <c r="L623">
        <v>7.9807875171805446E-129</v>
      </c>
      <c r="M623">
        <v>0.18823292813318429</v>
      </c>
      <c r="N623">
        <v>1.00610651394683E-125</v>
      </c>
      <c r="O623">
        <v>2.4004517768049071E-125</v>
      </c>
      <c r="P623">
        <v>9.2363518841279205E-2</v>
      </c>
      <c r="Q623">
        <v>0.80644429541502971</v>
      </c>
      <c r="R623">
        <v>4.9546755306911638</v>
      </c>
      <c r="S623">
        <v>0.27866687674287238</v>
      </c>
      <c r="T623">
        <v>0.22496130385967911</v>
      </c>
      <c r="U623">
        <v>4.2625965936405663</v>
      </c>
      <c r="V623">
        <v>0.11023909988438001</v>
      </c>
      <c r="W623">
        <v>8.3922222372881361</v>
      </c>
      <c r="X623">
        <v>0.29252285104442072</v>
      </c>
      <c r="Z623" t="s">
        <v>392</v>
      </c>
      <c r="AA623">
        <v>140</v>
      </c>
      <c r="AB623" t="s">
        <v>2028</v>
      </c>
      <c r="AC623" t="str">
        <f>HYPERLINK("plots/20251231112652_3FT6Y119H04_05543_B21P_N_UFLEX98_M5358A8BA201511/dpll_52084/txpa_55204.png","plot")</f>
        <v>plot</v>
      </c>
    </row>
    <row r="624" spans="1:29" x14ac:dyDescent="0.35">
      <c r="A624" t="s">
        <v>47</v>
      </c>
      <c r="B624">
        <v>52084</v>
      </c>
      <c r="C624" t="s">
        <v>52</v>
      </c>
      <c r="D624">
        <v>55205</v>
      </c>
      <c r="E624" t="s">
        <v>338</v>
      </c>
      <c r="F624">
        <v>7139</v>
      </c>
      <c r="G624">
        <v>0.2335987968351525</v>
      </c>
      <c r="H624">
        <v>4.3824208126554267E-89</v>
      </c>
      <c r="I624">
        <v>6.4216397457118544E-89</v>
      </c>
      <c r="J624">
        <v>0.20723171800170609</v>
      </c>
      <c r="K624">
        <v>4.272726052980681E-70</v>
      </c>
      <c r="L624">
        <v>6.1021749545386074E-70</v>
      </c>
      <c r="M624">
        <v>0.1395383786502685</v>
      </c>
      <c r="N624">
        <v>5.938065262336651E-70</v>
      </c>
      <c r="O624">
        <v>8.6140174191836397E-70</v>
      </c>
      <c r="P624">
        <v>5.4568397882830848E-2</v>
      </c>
      <c r="Q624">
        <v>0.79429699442178203</v>
      </c>
      <c r="R624">
        <v>5.2702680025980646</v>
      </c>
      <c r="S624">
        <v>0.36444551873096442</v>
      </c>
      <c r="T624">
        <v>0.31324222199398888</v>
      </c>
      <c r="U624">
        <v>4.2625965936405663</v>
      </c>
      <c r="V624">
        <v>0.11023909988438001</v>
      </c>
      <c r="W624">
        <v>8.656035665359294</v>
      </c>
      <c r="X624">
        <v>0.37484176670532021</v>
      </c>
      <c r="Z624" t="s">
        <v>392</v>
      </c>
      <c r="AA624">
        <v>140</v>
      </c>
      <c r="AB624" t="s">
        <v>2029</v>
      </c>
      <c r="AC624" t="str">
        <f>HYPERLINK("plots/20251231112652_3FT6Y119H04_05543_B21P_N_UFLEX98_M5358A8BA201511/dpll_52084/txpa_55205.png","plot")</f>
        <v>plot</v>
      </c>
    </row>
    <row r="625" spans="1:29" x14ac:dyDescent="0.35">
      <c r="A625" t="s">
        <v>47</v>
      </c>
      <c r="B625">
        <v>52084</v>
      </c>
      <c r="C625" t="s">
        <v>52</v>
      </c>
      <c r="D625">
        <v>55206</v>
      </c>
      <c r="E625" t="s">
        <v>339</v>
      </c>
      <c r="F625">
        <v>7139</v>
      </c>
      <c r="G625">
        <v>0.28981593108866721</v>
      </c>
      <c r="H625">
        <v>3.5298920593250242E-138</v>
      </c>
      <c r="I625">
        <v>7.7642311239817226E-138</v>
      </c>
      <c r="J625">
        <v>0.2812818630803412</v>
      </c>
      <c r="K625">
        <v>6.0916613864281741E-130</v>
      </c>
      <c r="L625">
        <v>1.4884203965875101E-129</v>
      </c>
      <c r="M625">
        <v>0.18871569815550299</v>
      </c>
      <c r="N625">
        <v>2.3288510759786798E-126</v>
      </c>
      <c r="O625">
        <v>5.6359307662109328E-126</v>
      </c>
      <c r="P625">
        <v>8.3993273912791072E-2</v>
      </c>
      <c r="Q625">
        <v>0.83575625074853288</v>
      </c>
      <c r="R625">
        <v>5.0332604978580164</v>
      </c>
      <c r="S625">
        <v>0.30423694347219321</v>
      </c>
      <c r="T625">
        <v>0.23594438548058769</v>
      </c>
      <c r="U625">
        <v>4.2625965936405663</v>
      </c>
      <c r="V625">
        <v>0.11023909988438001</v>
      </c>
      <c r="W625">
        <v>8.5957522454125233</v>
      </c>
      <c r="X625">
        <v>0.31790183672503181</v>
      </c>
      <c r="Z625" t="s">
        <v>392</v>
      </c>
      <c r="AA625">
        <v>140</v>
      </c>
      <c r="AB625" t="s">
        <v>2030</v>
      </c>
      <c r="AC625" t="str">
        <f>HYPERLINK("plots/20251231112652_3FT6Y119H04_05543_B21P_N_UFLEX98_M5358A8BA201511/dpll_52084/txpa_55206.png","plot")</f>
        <v>plot</v>
      </c>
    </row>
    <row r="626" spans="1:29" x14ac:dyDescent="0.35">
      <c r="A626" t="s">
        <v>47</v>
      </c>
      <c r="B626">
        <v>52084</v>
      </c>
      <c r="C626" t="s">
        <v>52</v>
      </c>
      <c r="D626">
        <v>55207</v>
      </c>
      <c r="E626" t="s">
        <v>340</v>
      </c>
      <c r="F626">
        <v>7139</v>
      </c>
      <c r="G626">
        <v>0.22447048492284949</v>
      </c>
      <c r="H626">
        <v>3.1484476370189802E-82</v>
      </c>
      <c r="I626">
        <v>4.3613741857066212E-82</v>
      </c>
      <c r="J626">
        <v>0.19220612930084549</v>
      </c>
      <c r="K626">
        <v>2.2472267675047499E-60</v>
      </c>
      <c r="L626">
        <v>2.986484852227807E-60</v>
      </c>
      <c r="M626">
        <v>0.12801151263747829</v>
      </c>
      <c r="N626">
        <v>3.649719412499345E-59</v>
      </c>
      <c r="O626">
        <v>4.8503479479349087E-59</v>
      </c>
      <c r="P626">
        <v>5.0386998601499207E-2</v>
      </c>
      <c r="Q626">
        <v>0.82134721627233565</v>
      </c>
      <c r="R626">
        <v>5.0468421523206244</v>
      </c>
      <c r="S626">
        <v>0.39304847007704569</v>
      </c>
      <c r="T626">
        <v>0.31714070075090828</v>
      </c>
      <c r="U626">
        <v>4.2625965936405663</v>
      </c>
      <c r="V626">
        <v>0.11023909988438001</v>
      </c>
      <c r="W626">
        <v>8.5479139985992436</v>
      </c>
      <c r="X626">
        <v>0.40336963608165971</v>
      </c>
      <c r="Z626" t="s">
        <v>392</v>
      </c>
      <c r="AA626">
        <v>140</v>
      </c>
      <c r="AB626" t="s">
        <v>2031</v>
      </c>
      <c r="AC626" t="str">
        <f>HYPERLINK("plots/20251231112652_3FT6Y119H04_05543_B21P_N_UFLEX98_M5358A8BA201511/dpll_52084/txpa_55207.png","plot")</f>
        <v>plot</v>
      </c>
    </row>
    <row r="627" spans="1:29" x14ac:dyDescent="0.35">
      <c r="A627" t="s">
        <v>47</v>
      </c>
      <c r="B627">
        <v>52084</v>
      </c>
      <c r="C627" t="s">
        <v>52</v>
      </c>
      <c r="D627">
        <v>55208</v>
      </c>
      <c r="E627" t="s">
        <v>341</v>
      </c>
      <c r="F627">
        <v>7139</v>
      </c>
      <c r="G627">
        <v>0.30861142352830789</v>
      </c>
      <c r="H627">
        <v>2.359699766215536E-157</v>
      </c>
      <c r="I627">
        <v>6.4148406513205191E-157</v>
      </c>
      <c r="J627">
        <v>0.30702174854776709</v>
      </c>
      <c r="K627">
        <v>1.123434303491407E-155</v>
      </c>
      <c r="L627">
        <v>3.4730560479886779E-155</v>
      </c>
      <c r="M627">
        <v>0.20757868220700321</v>
      </c>
      <c r="N627">
        <v>1.8439682665509339E-152</v>
      </c>
      <c r="O627">
        <v>5.6488937229082992E-152</v>
      </c>
      <c r="P627">
        <v>9.5241010732168632E-2</v>
      </c>
      <c r="Q627">
        <v>0.81499437732035906</v>
      </c>
      <c r="R627">
        <v>5.0882683144864096</v>
      </c>
      <c r="S627">
        <v>0.27689448601028721</v>
      </c>
      <c r="T627">
        <v>0.21305650276142041</v>
      </c>
      <c r="U627">
        <v>4.2625965936405663</v>
      </c>
      <c r="V627">
        <v>0.11023909988438001</v>
      </c>
      <c r="W627">
        <v>8.5622605710883875</v>
      </c>
      <c r="X627">
        <v>0.29112417660840761</v>
      </c>
      <c r="Z627" t="s">
        <v>392</v>
      </c>
      <c r="AA627">
        <v>140</v>
      </c>
      <c r="AB627" t="s">
        <v>2032</v>
      </c>
      <c r="AC627" t="str">
        <f>HYPERLINK("plots/20251231112652_3FT6Y119H04_05543_B21P_N_UFLEX98_M5358A8BA201511/dpll_52084/txpa_55208.png","plot")</f>
        <v>plot</v>
      </c>
    </row>
    <row r="628" spans="1:29" x14ac:dyDescent="0.35">
      <c r="A628" t="s">
        <v>47</v>
      </c>
      <c r="B628">
        <v>52084</v>
      </c>
      <c r="C628" t="s">
        <v>52</v>
      </c>
      <c r="D628">
        <v>55209</v>
      </c>
      <c r="E628" t="s">
        <v>342</v>
      </c>
      <c r="F628">
        <v>7139</v>
      </c>
      <c r="G628">
        <v>0.25598955569395399</v>
      </c>
      <c r="H628">
        <v>3.3689819001127953E-107</v>
      </c>
      <c r="I628">
        <v>5.6652531454633058E-107</v>
      </c>
      <c r="J628">
        <v>0.2110332245552273</v>
      </c>
      <c r="K628">
        <v>1.1115727858060221E-72</v>
      </c>
      <c r="L628">
        <v>1.6288075213978411E-72</v>
      </c>
      <c r="M628">
        <v>0.14110671704185621</v>
      </c>
      <c r="N628">
        <v>1.7155423765353911E-71</v>
      </c>
      <c r="O628">
        <v>2.517452923020096E-71</v>
      </c>
      <c r="P628">
        <v>6.5530652624387994E-2</v>
      </c>
      <c r="Q628">
        <v>0.74233280108045252</v>
      </c>
      <c r="R628">
        <v>5.3566820376725319</v>
      </c>
      <c r="S628">
        <v>0.30900405154356098</v>
      </c>
      <c r="T628">
        <v>0.25465057193711788</v>
      </c>
      <c r="U628">
        <v>4.2625965936405663</v>
      </c>
      <c r="V628">
        <v>0.11023909988438001</v>
      </c>
      <c r="W628">
        <v>8.5209473069057289</v>
      </c>
      <c r="X628">
        <v>0.31967749459120759</v>
      </c>
      <c r="Z628" t="s">
        <v>392</v>
      </c>
      <c r="AA628">
        <v>140</v>
      </c>
      <c r="AB628" t="s">
        <v>2033</v>
      </c>
      <c r="AC628" t="str">
        <f>HYPERLINK("plots/20251231112652_3FT6Y119H04_05543_B21P_N_UFLEX98_M5358A8BA201511/dpll_52084/txpa_55209.png","plot")</f>
        <v>plot</v>
      </c>
    </row>
    <row r="629" spans="1:29" x14ac:dyDescent="0.35">
      <c r="A629" t="s">
        <v>47</v>
      </c>
      <c r="B629">
        <v>52084</v>
      </c>
      <c r="C629" t="s">
        <v>52</v>
      </c>
      <c r="D629">
        <v>55210</v>
      </c>
      <c r="E629" t="s">
        <v>343</v>
      </c>
      <c r="F629">
        <v>7139</v>
      </c>
      <c r="G629">
        <v>0.19620247601589169</v>
      </c>
      <c r="H629">
        <v>6.9644709886438744E-63</v>
      </c>
      <c r="I629">
        <v>8.5703562894234081E-63</v>
      </c>
      <c r="J629">
        <v>0.19538281961394571</v>
      </c>
      <c r="K629">
        <v>2.301165280874567E-62</v>
      </c>
      <c r="L629">
        <v>3.1111754597424149E-62</v>
      </c>
      <c r="M629">
        <v>0.13139838800572581</v>
      </c>
      <c r="N629">
        <v>3.0764833513110518E-62</v>
      </c>
      <c r="O629">
        <v>4.1649587693316512E-62</v>
      </c>
      <c r="P629">
        <v>3.8495411594766583E-2</v>
      </c>
      <c r="Q629">
        <v>0.71147323359686843</v>
      </c>
      <c r="R629">
        <v>5.8395925884475899</v>
      </c>
      <c r="S629">
        <v>0.39195391094877108</v>
      </c>
      <c r="T629">
        <v>0.31091250129283099</v>
      </c>
      <c r="U629">
        <v>4.2625965936405663</v>
      </c>
      <c r="V629">
        <v>0.11023909988438001</v>
      </c>
      <c r="W629">
        <v>8.8723159704440402</v>
      </c>
      <c r="X629">
        <v>0.3997511675499717</v>
      </c>
      <c r="Z629" t="s">
        <v>392</v>
      </c>
      <c r="AA629">
        <v>140</v>
      </c>
      <c r="AB629" t="s">
        <v>2034</v>
      </c>
      <c r="AC629" t="str">
        <f>HYPERLINK("plots/20251231112652_3FT6Y119H04_05543_B21P_N_UFLEX98_M5358A8BA201511/dpll_52084/txpa_55210.png","plot")</f>
        <v>plot</v>
      </c>
    </row>
    <row r="630" spans="1:29" x14ac:dyDescent="0.35">
      <c r="A630" t="s">
        <v>47</v>
      </c>
      <c r="B630">
        <v>52084</v>
      </c>
      <c r="C630" t="s">
        <v>52</v>
      </c>
      <c r="D630">
        <v>55211</v>
      </c>
      <c r="E630" t="s">
        <v>344</v>
      </c>
      <c r="F630">
        <v>7139</v>
      </c>
      <c r="G630">
        <v>0.1871089272032585</v>
      </c>
      <c r="H630">
        <v>2.9612136142752233E-57</v>
      </c>
      <c r="I630">
        <v>3.5367144933746478E-57</v>
      </c>
      <c r="J630">
        <v>0.18627829361432521</v>
      </c>
      <c r="K630">
        <v>9.3628084497608213E-57</v>
      </c>
      <c r="L630">
        <v>1.2187275697121269E-56</v>
      </c>
      <c r="M630">
        <v>0.1259857440246093</v>
      </c>
      <c r="N630">
        <v>2.306284322779129E-57</v>
      </c>
      <c r="O630">
        <v>3.033167708557765E-57</v>
      </c>
      <c r="P630">
        <v>3.5009750639154277E-2</v>
      </c>
      <c r="Q630">
        <v>0.67439612117083247</v>
      </c>
      <c r="R630">
        <v>6.8451292786520579</v>
      </c>
      <c r="S630">
        <v>0.39028984988737558</v>
      </c>
      <c r="T630">
        <v>0.32360470482494191</v>
      </c>
      <c r="U630">
        <v>4.2625965936405663</v>
      </c>
      <c r="V630">
        <v>0.11023909988438001</v>
      </c>
      <c r="W630">
        <v>9.7198078875192593</v>
      </c>
      <c r="X630">
        <v>0.39733444296128267</v>
      </c>
      <c r="Z630" t="s">
        <v>392</v>
      </c>
      <c r="AA630">
        <v>140</v>
      </c>
      <c r="AB630" t="s">
        <v>2035</v>
      </c>
      <c r="AC630" t="str">
        <f>HYPERLINK("plots/20251231112652_3FT6Y119H04_05543_B21P_N_UFLEX98_M5358A8BA201511/dpll_52084/txpa_55211.png","plot")</f>
        <v>plot</v>
      </c>
    </row>
    <row r="631" spans="1:29" x14ac:dyDescent="0.35">
      <c r="A631" t="s">
        <v>47</v>
      </c>
      <c r="B631">
        <v>52084</v>
      </c>
      <c r="C631" t="s">
        <v>52</v>
      </c>
      <c r="D631">
        <v>55212</v>
      </c>
      <c r="E631" t="s">
        <v>345</v>
      </c>
      <c r="F631">
        <v>7139</v>
      </c>
      <c r="G631">
        <v>0.31342429155395041</v>
      </c>
      <c r="H631">
        <v>1.696499302383046E-162</v>
      </c>
      <c r="I631">
        <v>4.9150008360468825E-162</v>
      </c>
      <c r="J631">
        <v>0.29037980201690827</v>
      </c>
      <c r="K631">
        <v>9.8471613167515695E-139</v>
      </c>
      <c r="L631">
        <v>2.5537139578481049E-138</v>
      </c>
      <c r="M631">
        <v>0.1950428226414139</v>
      </c>
      <c r="N631">
        <v>7.728175159305948E-135</v>
      </c>
      <c r="O631">
        <v>1.9640024089063241E-134</v>
      </c>
      <c r="P631">
        <v>9.8234786536095672E-2</v>
      </c>
      <c r="Q631">
        <v>0.81169014891753977</v>
      </c>
      <c r="R631">
        <v>5.9026078308796537</v>
      </c>
      <c r="S631">
        <v>0.27108756749542129</v>
      </c>
      <c r="T631">
        <v>0.21792602492961491</v>
      </c>
      <c r="U631">
        <v>4.2625965936405663</v>
      </c>
      <c r="V631">
        <v>0.11023909988438001</v>
      </c>
      <c r="W631">
        <v>9.3625154947471625</v>
      </c>
      <c r="X631">
        <v>0.28549156467116282</v>
      </c>
      <c r="Z631" t="s">
        <v>392</v>
      </c>
      <c r="AA631">
        <v>140</v>
      </c>
      <c r="AB631" t="s">
        <v>2036</v>
      </c>
      <c r="AC631" t="str">
        <f>HYPERLINK("plots/20251231112652_3FT6Y119H04_05543_B21P_N_UFLEX98_M5358A8BA201511/dpll_52084/txpa_55212.png","plot")</f>
        <v>plot</v>
      </c>
    </row>
    <row r="632" spans="1:29" x14ac:dyDescent="0.35">
      <c r="A632" t="s">
        <v>47</v>
      </c>
      <c r="B632">
        <v>52084</v>
      </c>
      <c r="C632" t="s">
        <v>52</v>
      </c>
      <c r="D632">
        <v>55213</v>
      </c>
      <c r="E632" t="s">
        <v>346</v>
      </c>
      <c r="F632">
        <v>7139</v>
      </c>
      <c r="G632">
        <v>0.24536902500984109</v>
      </c>
      <c r="H632">
        <v>2.246710347662559E-98</v>
      </c>
      <c r="I632">
        <v>3.5485425117287152E-98</v>
      </c>
      <c r="J632">
        <v>0.21602334930645889</v>
      </c>
      <c r="K632">
        <v>3.7615397955285289E-76</v>
      </c>
      <c r="L632">
        <v>5.6674611480920186E-76</v>
      </c>
      <c r="M632">
        <v>0.14564777937831541</v>
      </c>
      <c r="N632">
        <v>4.7989672186740431E-76</v>
      </c>
      <c r="O632">
        <v>7.2412987496063687E-76</v>
      </c>
      <c r="P632">
        <v>6.0205958434280039E-2</v>
      </c>
      <c r="Q632">
        <v>0.80162807592649199</v>
      </c>
      <c r="R632">
        <v>6.1914087719030597</v>
      </c>
      <c r="S632">
        <v>0.34912002908333412</v>
      </c>
      <c r="T632">
        <v>0.29876183311088589</v>
      </c>
      <c r="U632">
        <v>4.2625965936405663</v>
      </c>
      <c r="V632">
        <v>0.11023909988438001</v>
      </c>
      <c r="W632">
        <v>9.6084258777139659</v>
      </c>
      <c r="X632">
        <v>0.36015449598269239</v>
      </c>
      <c r="Z632" t="s">
        <v>392</v>
      </c>
      <c r="AA632">
        <v>140</v>
      </c>
      <c r="AB632" t="s">
        <v>2037</v>
      </c>
      <c r="AC632" t="str">
        <f>HYPERLINK("plots/20251231112652_3FT6Y119H04_05543_B21P_N_UFLEX98_M5358A8BA201511/dpll_52084/txpa_55213.png","plot")</f>
        <v>plot</v>
      </c>
    </row>
    <row r="633" spans="1:29" x14ac:dyDescent="0.35">
      <c r="A633" t="s">
        <v>47</v>
      </c>
      <c r="B633">
        <v>52084</v>
      </c>
      <c r="C633" t="s">
        <v>52</v>
      </c>
      <c r="D633">
        <v>55214</v>
      </c>
      <c r="E633" t="s">
        <v>347</v>
      </c>
      <c r="F633">
        <v>7139</v>
      </c>
      <c r="G633">
        <v>0.30092325420178229</v>
      </c>
      <c r="H633">
        <v>2.4556111706886331E-149</v>
      </c>
      <c r="I633">
        <v>6.1940042962146106E-149</v>
      </c>
      <c r="J633">
        <v>0.29073720704036049</v>
      </c>
      <c r="K633">
        <v>4.3774195613730399E-139</v>
      </c>
      <c r="L633">
        <v>1.13812908595699E-138</v>
      </c>
      <c r="M633">
        <v>0.19551104113045101</v>
      </c>
      <c r="N633">
        <v>1.775220780515222E-135</v>
      </c>
      <c r="O633">
        <v>4.5341911119456809E-135</v>
      </c>
      <c r="P633">
        <v>9.0554804919390511E-2</v>
      </c>
      <c r="Q633">
        <v>0.84140820482563938</v>
      </c>
      <c r="R633">
        <v>5.9674364482148263</v>
      </c>
      <c r="S633">
        <v>0.29393039528592768</v>
      </c>
      <c r="T633">
        <v>0.228158108349134</v>
      </c>
      <c r="U633">
        <v>4.2625965936405663</v>
      </c>
      <c r="V633">
        <v>0.11023909988438001</v>
      </c>
      <c r="W633">
        <v>9.5540201959658209</v>
      </c>
      <c r="X633">
        <v>0.308238335988197</v>
      </c>
      <c r="Z633" t="s">
        <v>392</v>
      </c>
      <c r="AA633">
        <v>140</v>
      </c>
      <c r="AB633" t="s">
        <v>2038</v>
      </c>
      <c r="AC633" t="str">
        <f>HYPERLINK("plots/20251231112652_3FT6Y119H04_05543_B21P_N_UFLEX98_M5358A8BA201511/dpll_52084/txpa_55214.png","plot")</f>
        <v>plot</v>
      </c>
    </row>
    <row r="634" spans="1:29" x14ac:dyDescent="0.35">
      <c r="A634" t="s">
        <v>47</v>
      </c>
      <c r="B634">
        <v>52084</v>
      </c>
      <c r="C634" t="s">
        <v>52</v>
      </c>
      <c r="D634">
        <v>55215</v>
      </c>
      <c r="E634" t="s">
        <v>348</v>
      </c>
      <c r="F634">
        <v>7139</v>
      </c>
      <c r="G634">
        <v>0.23588396496952169</v>
      </c>
      <c r="H634">
        <v>7.5485900228457838E-91</v>
      </c>
      <c r="I634">
        <v>1.1289484193459619E-90</v>
      </c>
      <c r="J634">
        <v>0.20226278191373279</v>
      </c>
      <c r="K634">
        <v>8.5624130985221589E-67</v>
      </c>
      <c r="L634">
        <v>1.1926218244370151E-66</v>
      </c>
      <c r="M634">
        <v>0.13481803157916741</v>
      </c>
      <c r="N634">
        <v>2.010052500193845E-65</v>
      </c>
      <c r="O634">
        <v>2.7882260399405742E-65</v>
      </c>
      <c r="P634">
        <v>5.564124492974256E-2</v>
      </c>
      <c r="Q634">
        <v>0.82765718122068699</v>
      </c>
      <c r="R634">
        <v>5.98099647341013</v>
      </c>
      <c r="S634">
        <v>0.37585974363857411</v>
      </c>
      <c r="T634">
        <v>0.30288154665659572</v>
      </c>
      <c r="U634">
        <v>4.2625965936405663</v>
      </c>
      <c r="V634">
        <v>0.11023909988438001</v>
      </c>
      <c r="W634">
        <v>9.5089651547835832</v>
      </c>
      <c r="X634">
        <v>0.38680112352020529</v>
      </c>
      <c r="Z634" t="s">
        <v>392</v>
      </c>
      <c r="AA634">
        <v>140</v>
      </c>
      <c r="AB634" t="s">
        <v>2039</v>
      </c>
      <c r="AC634" t="str">
        <f>HYPERLINK("plots/20251231112652_3FT6Y119H04_05543_B21P_N_UFLEX98_M5358A8BA201511/dpll_52084/txpa_55215.png","plot")</f>
        <v>plot</v>
      </c>
    </row>
    <row r="635" spans="1:29" x14ac:dyDescent="0.35">
      <c r="A635" t="s">
        <v>47</v>
      </c>
      <c r="B635">
        <v>52084</v>
      </c>
      <c r="C635" t="s">
        <v>52</v>
      </c>
      <c r="D635">
        <v>55216</v>
      </c>
      <c r="E635" t="s">
        <v>349</v>
      </c>
      <c r="F635">
        <v>7139</v>
      </c>
      <c r="G635">
        <v>0.32039016543781412</v>
      </c>
      <c r="H635">
        <v>4.1079543724449496E-170</v>
      </c>
      <c r="I635">
        <v>1.301708041768494E-169</v>
      </c>
      <c r="J635">
        <v>0.31545008403115771</v>
      </c>
      <c r="K635">
        <v>1.0858347655765591E-164</v>
      </c>
      <c r="L635">
        <v>3.6947531956195657E-164</v>
      </c>
      <c r="M635">
        <v>0.21389829912550401</v>
      </c>
      <c r="N635">
        <v>9.2660651386592833E-162</v>
      </c>
      <c r="O635">
        <v>3.121524933754324E-161</v>
      </c>
      <c r="P635">
        <v>0.1026498581092699</v>
      </c>
      <c r="Q635">
        <v>0.8205193787523497</v>
      </c>
      <c r="R635">
        <v>6.0214039839843094</v>
      </c>
      <c r="S635">
        <v>0.26742122450892081</v>
      </c>
      <c r="T635">
        <v>0.20613744496069619</v>
      </c>
      <c r="U635">
        <v>4.2625965936405663</v>
      </c>
      <c r="V635">
        <v>0.11023909988438001</v>
      </c>
      <c r="W635">
        <v>9.5189470928701478</v>
      </c>
      <c r="X635">
        <v>0.28232239159945832</v>
      </c>
      <c r="Z635" t="s">
        <v>392</v>
      </c>
      <c r="AA635">
        <v>140</v>
      </c>
      <c r="AB635" t="s">
        <v>2040</v>
      </c>
      <c r="AC635" t="str">
        <f>HYPERLINK("plots/20251231112652_3FT6Y119H04_05543_B21P_N_UFLEX98_M5358A8BA201511/dpll_52084/txpa_55216.png","plot")</f>
        <v>plot</v>
      </c>
    </row>
    <row r="636" spans="1:29" x14ac:dyDescent="0.35">
      <c r="A636" t="s">
        <v>47</v>
      </c>
      <c r="B636">
        <v>52084</v>
      </c>
      <c r="C636" t="s">
        <v>52</v>
      </c>
      <c r="D636">
        <v>55217</v>
      </c>
      <c r="E636" t="s">
        <v>350</v>
      </c>
      <c r="F636">
        <v>7139</v>
      </c>
      <c r="G636">
        <v>0.26809354950300318</v>
      </c>
      <c r="H636">
        <v>8.9373245006350833E-118</v>
      </c>
      <c r="I636">
        <v>1.6537312123437911E-117</v>
      </c>
      <c r="J636">
        <v>0.22171064884880901</v>
      </c>
      <c r="K636">
        <v>3.24919326112368E-80</v>
      </c>
      <c r="L636">
        <v>5.0454547730159447E-80</v>
      </c>
      <c r="M636">
        <v>0.14823767510890881</v>
      </c>
      <c r="N636">
        <v>1.047373461407063E-78</v>
      </c>
      <c r="O636">
        <v>1.631392764772292E-78</v>
      </c>
      <c r="P636">
        <v>7.1874151285119245E-2</v>
      </c>
      <c r="Q636">
        <v>0.75049179423212886</v>
      </c>
      <c r="R636">
        <v>6.2863434223324406</v>
      </c>
      <c r="S636">
        <v>0.29728175541913759</v>
      </c>
      <c r="T636">
        <v>0.24426082312346681</v>
      </c>
      <c r="U636">
        <v>4.2625965936405663</v>
      </c>
      <c r="V636">
        <v>0.11023909988438001</v>
      </c>
      <c r="W636">
        <v>9.4853871879815106</v>
      </c>
      <c r="X636">
        <v>0.30859951692286602</v>
      </c>
      <c r="Z636" t="s">
        <v>392</v>
      </c>
      <c r="AA636">
        <v>140</v>
      </c>
      <c r="AB636" t="s">
        <v>2041</v>
      </c>
      <c r="AC636" t="str">
        <f>HYPERLINK("plots/20251231112652_3FT6Y119H04_05543_B21P_N_UFLEX98_M5358A8BA201511/dpll_52084/txpa_55217.png","plot")</f>
        <v>plot</v>
      </c>
    </row>
    <row r="637" spans="1:29" x14ac:dyDescent="0.35">
      <c r="A637" t="s">
        <v>47</v>
      </c>
      <c r="B637">
        <v>52084</v>
      </c>
      <c r="C637" t="s">
        <v>52</v>
      </c>
      <c r="D637">
        <v>55218</v>
      </c>
      <c r="E637" t="s">
        <v>351</v>
      </c>
      <c r="F637">
        <v>7139</v>
      </c>
      <c r="G637">
        <v>0.20736840296125719</v>
      </c>
      <c r="H637">
        <v>3.4566189459962077E-70</v>
      </c>
      <c r="I637">
        <v>4.4367235585318423E-70</v>
      </c>
      <c r="J637">
        <v>0.20353298199852579</v>
      </c>
      <c r="K637">
        <v>1.2496154696628739E-67</v>
      </c>
      <c r="L637">
        <v>1.7574342388878689E-67</v>
      </c>
      <c r="M637">
        <v>0.1369658379313988</v>
      </c>
      <c r="N637">
        <v>1.825813281212995E-67</v>
      </c>
      <c r="O637">
        <v>2.5785162495125031E-67</v>
      </c>
      <c r="P637">
        <v>4.300165454670235E-2</v>
      </c>
      <c r="Q637">
        <v>0.72013967679971025</v>
      </c>
      <c r="R637">
        <v>6.7483545980350428</v>
      </c>
      <c r="S637">
        <v>0.37448548509265489</v>
      </c>
      <c r="T637">
        <v>0.29740083779314402</v>
      </c>
      <c r="U637">
        <v>4.2625965936405663</v>
      </c>
      <c r="V637">
        <v>0.11023909988438001</v>
      </c>
      <c r="W637">
        <v>9.8180195313069056</v>
      </c>
      <c r="X637">
        <v>0.38283339519309728</v>
      </c>
      <c r="Z637" t="s">
        <v>392</v>
      </c>
      <c r="AA637">
        <v>140</v>
      </c>
      <c r="AB637" t="s">
        <v>2042</v>
      </c>
      <c r="AC637" t="str">
        <f>HYPERLINK("plots/20251231112652_3FT6Y119H04_05543_B21P_N_UFLEX98_M5358A8BA201511/dpll_52084/txpa_55218.png","plot")</f>
        <v>plot</v>
      </c>
    </row>
    <row r="638" spans="1:29" x14ac:dyDescent="0.35">
      <c r="A638" t="s">
        <v>47</v>
      </c>
      <c r="B638">
        <v>52084</v>
      </c>
      <c r="C638" t="s">
        <v>52</v>
      </c>
      <c r="D638">
        <v>55219</v>
      </c>
      <c r="E638" t="s">
        <v>352</v>
      </c>
      <c r="F638">
        <v>7139</v>
      </c>
      <c r="G638">
        <v>0.1984225613680346</v>
      </c>
      <c r="H638">
        <v>2.6623674444736821E-64</v>
      </c>
      <c r="I638">
        <v>3.3165117797252013E-64</v>
      </c>
      <c r="J638">
        <v>0.19507708292324069</v>
      </c>
      <c r="K638">
        <v>3.5889179158028128E-62</v>
      </c>
      <c r="L638">
        <v>4.832885480244425E-62</v>
      </c>
      <c r="M638">
        <v>0.13226636099063449</v>
      </c>
      <c r="N638">
        <v>4.8699983511543124E-63</v>
      </c>
      <c r="O638">
        <v>6.6462696205524538E-63</v>
      </c>
      <c r="P638">
        <v>3.9371512859851437E-2</v>
      </c>
      <c r="Q638">
        <v>0.68151275951863943</v>
      </c>
      <c r="R638">
        <v>7.7639528048501987</v>
      </c>
      <c r="S638">
        <v>0.37107860030979017</v>
      </c>
      <c r="T638">
        <v>0.3065564311299907</v>
      </c>
      <c r="U638">
        <v>4.2625965936405663</v>
      </c>
      <c r="V638">
        <v>0.11023909988438001</v>
      </c>
      <c r="W638">
        <v>10.66896677209693</v>
      </c>
      <c r="X638">
        <v>0.37863311838669739</v>
      </c>
      <c r="Z638" t="s">
        <v>392</v>
      </c>
      <c r="AA638">
        <v>140</v>
      </c>
      <c r="AB638" t="s">
        <v>2043</v>
      </c>
      <c r="AC638" t="str">
        <f>HYPERLINK("plots/20251231112652_3FT6Y119H04_05543_B21P_N_UFLEX98_M5358A8BA201511/dpll_52084/txpa_55219.png","plot")</f>
        <v>plot</v>
      </c>
    </row>
    <row r="639" spans="1:29" x14ac:dyDescent="0.35">
      <c r="A639" t="s">
        <v>47</v>
      </c>
      <c r="B639">
        <v>52084</v>
      </c>
      <c r="C639" t="s">
        <v>52</v>
      </c>
      <c r="D639">
        <v>55220</v>
      </c>
      <c r="E639" t="s">
        <v>353</v>
      </c>
      <c r="F639">
        <v>7139</v>
      </c>
      <c r="G639">
        <v>0.32193044469160459</v>
      </c>
      <c r="H639">
        <v>7.9786790472552463E-172</v>
      </c>
      <c r="I639">
        <v>2.6014085382369201E-171</v>
      </c>
      <c r="J639">
        <v>0.30066810964757262</v>
      </c>
      <c r="K639">
        <v>4.4881858353088004E-149</v>
      </c>
      <c r="L639">
        <v>1.2606704811643E-148</v>
      </c>
      <c r="M639">
        <v>0.20227298073794339</v>
      </c>
      <c r="N639">
        <v>7.2077642628357692E-145</v>
      </c>
      <c r="O639">
        <v>2.013408529618587E-144</v>
      </c>
      <c r="P639">
        <v>0.1036392112193343</v>
      </c>
      <c r="Q639">
        <v>0.81300105292116265</v>
      </c>
      <c r="R639">
        <v>6.8690337336083633</v>
      </c>
      <c r="S639">
        <v>0.2635577085190281</v>
      </c>
      <c r="T639">
        <v>0.2106881962727235</v>
      </c>
      <c r="U639">
        <v>4.2625965936405663</v>
      </c>
      <c r="V639">
        <v>0.11023909988438001</v>
      </c>
      <c r="W639">
        <v>10.334529252416299</v>
      </c>
      <c r="X639">
        <v>0.27839710644620308</v>
      </c>
      <c r="Z639" t="s">
        <v>392</v>
      </c>
      <c r="AA639">
        <v>140</v>
      </c>
      <c r="AB639" t="s">
        <v>2044</v>
      </c>
      <c r="AC639" t="str">
        <f>HYPERLINK("plots/20251231112652_3FT6Y119H04_05543_B21P_N_UFLEX98_M5358A8BA201511/dpll_52084/txpa_55220.png","plot")</f>
        <v>plot</v>
      </c>
    </row>
    <row r="640" spans="1:29" x14ac:dyDescent="0.35">
      <c r="A640" t="s">
        <v>47</v>
      </c>
      <c r="B640">
        <v>52084</v>
      </c>
      <c r="C640" t="s">
        <v>52</v>
      </c>
      <c r="D640">
        <v>55221</v>
      </c>
      <c r="E640" t="s">
        <v>354</v>
      </c>
      <c r="F640">
        <v>7139</v>
      </c>
      <c r="G640">
        <v>0.2575579935349287</v>
      </c>
      <c r="H640">
        <v>1.54328338454362E-108</v>
      </c>
      <c r="I640">
        <v>2.6300661376928249E-108</v>
      </c>
      <c r="J640">
        <v>0.22542432234342921</v>
      </c>
      <c r="K640">
        <v>6.2483752132152362E-83</v>
      </c>
      <c r="L640">
        <v>1.008893704808957E-82</v>
      </c>
      <c r="M640">
        <v>0.15212446394444951</v>
      </c>
      <c r="N640">
        <v>8.6900225397527483E-83</v>
      </c>
      <c r="O640">
        <v>1.4076170695382249E-82</v>
      </c>
      <c r="P640">
        <v>6.6336120033738372E-2</v>
      </c>
      <c r="Q640">
        <v>0.80468143061347464</v>
      </c>
      <c r="R640">
        <v>7.1299653364784383</v>
      </c>
      <c r="S640">
        <v>0.33277405936162552</v>
      </c>
      <c r="T640">
        <v>0.28291495540795691</v>
      </c>
      <c r="U640">
        <v>4.2625965936405663</v>
      </c>
      <c r="V640">
        <v>0.11023909988438001</v>
      </c>
      <c r="W640">
        <v>10.559997661577251</v>
      </c>
      <c r="X640">
        <v>0.34441701997680241</v>
      </c>
      <c r="Z640" t="s">
        <v>392</v>
      </c>
      <c r="AA640">
        <v>140</v>
      </c>
      <c r="AB640" t="s">
        <v>2045</v>
      </c>
      <c r="AC640" t="str">
        <f>HYPERLINK("plots/20251231112652_3FT6Y119H04_05543_B21P_N_UFLEX98_M5358A8BA201511/dpll_52084/txpa_55221.png","plot")</f>
        <v>plot</v>
      </c>
    </row>
    <row r="641" spans="1:29" x14ac:dyDescent="0.35">
      <c r="A641" t="s">
        <v>47</v>
      </c>
      <c r="B641">
        <v>52084</v>
      </c>
      <c r="C641" t="s">
        <v>52</v>
      </c>
      <c r="D641">
        <v>55222</v>
      </c>
      <c r="E641" t="s">
        <v>355</v>
      </c>
      <c r="F641">
        <v>7139</v>
      </c>
      <c r="G641">
        <v>0.31157631553689319</v>
      </c>
      <c r="H641">
        <v>1.6436583370304769E-160</v>
      </c>
      <c r="I641">
        <v>4.5913761811264581E-160</v>
      </c>
      <c r="J641">
        <v>0.30013223545291767</v>
      </c>
      <c r="K641">
        <v>1.589616280949098E-148</v>
      </c>
      <c r="L641">
        <v>4.4282167826439163E-148</v>
      </c>
      <c r="M641">
        <v>0.20236981938134951</v>
      </c>
      <c r="N641">
        <v>5.2615805296291002E-145</v>
      </c>
      <c r="O641">
        <v>1.4779065531977581E-144</v>
      </c>
      <c r="P641">
        <v>9.7079800403545621E-2</v>
      </c>
      <c r="Q641">
        <v>0.84301817175477689</v>
      </c>
      <c r="R641">
        <v>6.9192475788026853</v>
      </c>
      <c r="S641">
        <v>0.28340168144418038</v>
      </c>
      <c r="T641">
        <v>0.2199632360096514</v>
      </c>
      <c r="U641">
        <v>4.2625965936405663</v>
      </c>
      <c r="V641">
        <v>0.11023909988438001</v>
      </c>
      <c r="W641">
        <v>10.5126939661017</v>
      </c>
      <c r="X641">
        <v>0.29826902690046803</v>
      </c>
      <c r="Z641" t="s">
        <v>392</v>
      </c>
      <c r="AA641">
        <v>140</v>
      </c>
      <c r="AB641" t="s">
        <v>2046</v>
      </c>
      <c r="AC641" t="str">
        <f>HYPERLINK("plots/20251231112652_3FT6Y119H04_05543_B21P_N_UFLEX98_M5358A8BA201511/dpll_52084/txpa_55222.png","plot")</f>
        <v>plot</v>
      </c>
    </row>
    <row r="642" spans="1:29" x14ac:dyDescent="0.35">
      <c r="A642" t="s">
        <v>47</v>
      </c>
      <c r="B642">
        <v>52084</v>
      </c>
      <c r="C642" t="s">
        <v>52</v>
      </c>
      <c r="D642">
        <v>55223</v>
      </c>
      <c r="E642" t="s">
        <v>356</v>
      </c>
      <c r="F642">
        <v>7139</v>
      </c>
      <c r="G642">
        <v>0.24833553228568669</v>
      </c>
      <c r="H642">
        <v>8.4973937070881211E-101</v>
      </c>
      <c r="I642">
        <v>1.3611938734577181E-100</v>
      </c>
      <c r="J642">
        <v>0.21374420794212171</v>
      </c>
      <c r="K642">
        <v>1.484038623766914E-74</v>
      </c>
      <c r="L642">
        <v>2.2064738482399569E-74</v>
      </c>
      <c r="M642">
        <v>0.14255858901639271</v>
      </c>
      <c r="N642">
        <v>6.2265546624918968E-73</v>
      </c>
      <c r="O642">
        <v>9.2576633838222637E-73</v>
      </c>
      <c r="P642">
        <v>6.1670536595615368E-2</v>
      </c>
      <c r="Q642">
        <v>0.83124128282720611</v>
      </c>
      <c r="R642">
        <v>6.9268531158506574</v>
      </c>
      <c r="S642">
        <v>0.35741366782027351</v>
      </c>
      <c r="T642">
        <v>0.28771112256593401</v>
      </c>
      <c r="U642">
        <v>4.2625965936405663</v>
      </c>
      <c r="V642">
        <v>0.11023909988438001</v>
      </c>
      <c r="W642">
        <v>10.47009937652332</v>
      </c>
      <c r="X642">
        <v>0.36899790361127538</v>
      </c>
      <c r="Z642" t="s">
        <v>392</v>
      </c>
      <c r="AA642">
        <v>140</v>
      </c>
      <c r="AB642" t="s">
        <v>2047</v>
      </c>
      <c r="AC642" t="str">
        <f>HYPERLINK("plots/20251231112652_3FT6Y119H04_05543_B21P_N_UFLEX98_M5358A8BA201511/dpll_52084/txpa_55223.png","plot")</f>
        <v>plot</v>
      </c>
    </row>
    <row r="643" spans="1:29" x14ac:dyDescent="0.35">
      <c r="A643" t="s">
        <v>47</v>
      </c>
      <c r="B643">
        <v>52084</v>
      </c>
      <c r="C643" t="s">
        <v>52</v>
      </c>
      <c r="D643">
        <v>55224</v>
      </c>
      <c r="E643" t="s">
        <v>357</v>
      </c>
      <c r="F643">
        <v>7139</v>
      </c>
      <c r="G643">
        <v>0.3317485384585262</v>
      </c>
      <c r="H643">
        <v>5.6582986813432019E-183</v>
      </c>
      <c r="I643">
        <v>2.1329051534877351E-182</v>
      </c>
      <c r="J643">
        <v>0.32376224727068459</v>
      </c>
      <c r="K643">
        <v>7.1306744209461184E-174</v>
      </c>
      <c r="L643">
        <v>2.6879196516131461E-173</v>
      </c>
      <c r="M643">
        <v>0.22029594779659251</v>
      </c>
      <c r="N643">
        <v>1.8650441992329639E-171</v>
      </c>
      <c r="O643">
        <v>7.1096045790309239E-171</v>
      </c>
      <c r="P643">
        <v>0.1100570927693682</v>
      </c>
      <c r="Q643">
        <v>0.82233997485425947</v>
      </c>
      <c r="R643">
        <v>6.9706689848144032</v>
      </c>
      <c r="S643">
        <v>0.25776781872355609</v>
      </c>
      <c r="T643">
        <v>0.19897125168591401</v>
      </c>
      <c r="U643">
        <v>4.2625965936405663</v>
      </c>
      <c r="V643">
        <v>0.11023909988438001</v>
      </c>
      <c r="W643">
        <v>10.47597256044264</v>
      </c>
      <c r="X643">
        <v>0.27326124494203491</v>
      </c>
      <c r="Z643" t="s">
        <v>392</v>
      </c>
      <c r="AA643">
        <v>140</v>
      </c>
      <c r="AB643" t="s">
        <v>2048</v>
      </c>
      <c r="AC643" t="str">
        <f>HYPERLINK("plots/20251231112652_3FT6Y119H04_05543_B21P_N_UFLEX98_M5358A8BA201511/dpll_52084/txpa_55224.png","plot")</f>
        <v>plot</v>
      </c>
    </row>
    <row r="644" spans="1:29" x14ac:dyDescent="0.35">
      <c r="A644" t="s">
        <v>47</v>
      </c>
      <c r="B644">
        <v>52084</v>
      </c>
      <c r="C644" t="s">
        <v>52</v>
      </c>
      <c r="D644">
        <v>55225</v>
      </c>
      <c r="E644" t="s">
        <v>358</v>
      </c>
      <c r="F644">
        <v>7139</v>
      </c>
      <c r="G644">
        <v>0.28045830362899021</v>
      </c>
      <c r="H644">
        <v>3.6675690197119748E-129</v>
      </c>
      <c r="I644">
        <v>7.5129595676524079E-129</v>
      </c>
      <c r="J644">
        <v>0.23310682108411129</v>
      </c>
      <c r="K644">
        <v>1.04462260721362E-88</v>
      </c>
      <c r="L644">
        <v>1.7654122061910179E-88</v>
      </c>
      <c r="M644">
        <v>0.15587683854263401</v>
      </c>
      <c r="N644">
        <v>7.9342699701690861E-87</v>
      </c>
      <c r="O644">
        <v>1.340891624958575E-86</v>
      </c>
      <c r="P644">
        <v>7.8656860074450871E-2</v>
      </c>
      <c r="Q644">
        <v>0.75597033959083426</v>
      </c>
      <c r="R644">
        <v>7.2286885268723129</v>
      </c>
      <c r="S644">
        <v>0.28520188796561102</v>
      </c>
      <c r="T644">
        <v>0.23356374433608121</v>
      </c>
      <c r="U644">
        <v>4.2625965936405663</v>
      </c>
      <c r="V644">
        <v>0.11023909988438001</v>
      </c>
      <c r="W644">
        <v>10.45108512130551</v>
      </c>
      <c r="X644">
        <v>0.29714752138709127</v>
      </c>
      <c r="Z644" t="s">
        <v>392</v>
      </c>
      <c r="AA644">
        <v>140</v>
      </c>
      <c r="AB644" t="s">
        <v>2049</v>
      </c>
      <c r="AC644" t="str">
        <f>HYPERLINK("plots/20251231112652_3FT6Y119H04_05543_B21P_N_UFLEX98_M5358A8BA201511/dpll_52084/txpa_55225.png","plot")</f>
        <v>plot</v>
      </c>
    </row>
    <row r="645" spans="1:29" x14ac:dyDescent="0.35">
      <c r="A645" t="s">
        <v>47</v>
      </c>
      <c r="B645">
        <v>52084</v>
      </c>
      <c r="C645" t="s">
        <v>52</v>
      </c>
      <c r="D645">
        <v>55226</v>
      </c>
      <c r="E645" t="s">
        <v>359</v>
      </c>
      <c r="F645">
        <v>7139</v>
      </c>
      <c r="G645">
        <v>0.21873933342818419</v>
      </c>
      <c r="H645">
        <v>4.4587096624188614E-78</v>
      </c>
      <c r="I645">
        <v>6.0121430820381988E-78</v>
      </c>
      <c r="J645">
        <v>0.21133327256483109</v>
      </c>
      <c r="K645">
        <v>6.9143688325695326E-73</v>
      </c>
      <c r="L645">
        <v>1.01611159365587E-72</v>
      </c>
      <c r="M645">
        <v>0.14232557431348561</v>
      </c>
      <c r="N645">
        <v>1.0626185378748971E-72</v>
      </c>
      <c r="O645">
        <v>1.5775917970792759E-72</v>
      </c>
      <c r="P645">
        <v>4.784689598860635E-2</v>
      </c>
      <c r="Q645">
        <v>0.72505658778914428</v>
      </c>
      <c r="R645">
        <v>7.6713517409737726</v>
      </c>
      <c r="S645">
        <v>0.35653621659283158</v>
      </c>
      <c r="T645">
        <v>0.28388143614861833</v>
      </c>
      <c r="U645">
        <v>4.2625965936405663</v>
      </c>
      <c r="V645">
        <v>0.11023909988438001</v>
      </c>
      <c r="W645">
        <v>10.76197548228043</v>
      </c>
      <c r="X645">
        <v>0.36541020926790702</v>
      </c>
      <c r="Z645" t="s">
        <v>392</v>
      </c>
      <c r="AA645">
        <v>140</v>
      </c>
      <c r="AB645" t="s">
        <v>2050</v>
      </c>
      <c r="AC645" t="str">
        <f>HYPERLINK("plots/20251231112652_3FT6Y119H04_05543_B21P_N_UFLEX98_M5358A8BA201511/dpll_52084/txpa_55226.png","plot")</f>
        <v>plot</v>
      </c>
    </row>
    <row r="646" spans="1:29" x14ac:dyDescent="0.35">
      <c r="A646" t="s">
        <v>47</v>
      </c>
      <c r="B646">
        <v>52084</v>
      </c>
      <c r="C646" t="s">
        <v>52</v>
      </c>
      <c r="D646">
        <v>55227</v>
      </c>
      <c r="E646" t="s">
        <v>360</v>
      </c>
      <c r="F646">
        <v>7139</v>
      </c>
      <c r="G646">
        <v>0.20445489340781159</v>
      </c>
      <c r="H646">
        <v>3.066192507523336E-68</v>
      </c>
      <c r="I646">
        <v>3.8863990032858291E-68</v>
      </c>
      <c r="J646">
        <v>0.1995779456185012</v>
      </c>
      <c r="K646">
        <v>4.7942631792700206E-65</v>
      </c>
      <c r="L646">
        <v>6.6231374165937348E-65</v>
      </c>
      <c r="M646">
        <v>0.13542918342369609</v>
      </c>
      <c r="N646">
        <v>5.3170485847488554E-66</v>
      </c>
      <c r="O646">
        <v>7.4160760177927637E-66</v>
      </c>
      <c r="P646">
        <v>4.1801803438399607E-2</v>
      </c>
      <c r="Q646">
        <v>0.68517766986484219</v>
      </c>
      <c r="R646">
        <v>8.2083010762775999</v>
      </c>
      <c r="S646">
        <v>0.36160847899972948</v>
      </c>
      <c r="T646">
        <v>0.29821673889398781</v>
      </c>
      <c r="U646">
        <v>4.2625965936405663</v>
      </c>
      <c r="V646">
        <v>0.11023909988438001</v>
      </c>
      <c r="W646">
        <v>11.12893707788206</v>
      </c>
      <c r="X646">
        <v>0.36943781744619869</v>
      </c>
      <c r="Z646" t="s">
        <v>392</v>
      </c>
      <c r="AA646">
        <v>140</v>
      </c>
      <c r="AB646" t="s">
        <v>2051</v>
      </c>
      <c r="AC646" t="str">
        <f>HYPERLINK("plots/20251231112652_3FT6Y119H04_05543_B21P_N_UFLEX98_M5358A8BA201511/dpll_52084/txpa_55227.png","plot")</f>
        <v>plot</v>
      </c>
    </row>
    <row r="647" spans="1:29" x14ac:dyDescent="0.35">
      <c r="A647" t="s">
        <v>47</v>
      </c>
      <c r="B647">
        <v>52084</v>
      </c>
      <c r="C647" t="s">
        <v>52</v>
      </c>
      <c r="D647">
        <v>55228</v>
      </c>
      <c r="E647" t="s">
        <v>361</v>
      </c>
      <c r="F647">
        <v>7139</v>
      </c>
      <c r="G647">
        <v>0.32604124584272232</v>
      </c>
      <c r="H647">
        <v>1.9237745759225811E-176</v>
      </c>
      <c r="I647">
        <v>6.5902277702212763E-176</v>
      </c>
      <c r="J647">
        <v>0.3059126318551238</v>
      </c>
      <c r="K647">
        <v>1.6401753755143868E-154</v>
      </c>
      <c r="L647">
        <v>4.9498149725344887E-154</v>
      </c>
      <c r="M647">
        <v>0.20597670034083279</v>
      </c>
      <c r="N647">
        <v>3.7910419737574468E-150</v>
      </c>
      <c r="O647">
        <v>1.1306225180558969E-149</v>
      </c>
      <c r="P647">
        <v>0.1063028939906745</v>
      </c>
      <c r="Q647">
        <v>0.81422739819944134</v>
      </c>
      <c r="R647">
        <v>7.3392265636749929</v>
      </c>
      <c r="S647">
        <v>0.26023972010752572</v>
      </c>
      <c r="T647">
        <v>0.20729490778772541</v>
      </c>
      <c r="U647">
        <v>4.2625965936405663</v>
      </c>
      <c r="V647">
        <v>0.11023909988438001</v>
      </c>
      <c r="W647">
        <v>10.80994949768875</v>
      </c>
      <c r="X647">
        <v>0.27530165776021459</v>
      </c>
      <c r="Z647" t="s">
        <v>392</v>
      </c>
      <c r="AA647">
        <v>140</v>
      </c>
      <c r="AB647" t="s">
        <v>2052</v>
      </c>
      <c r="AC647" t="str">
        <f>HYPERLINK("plots/20251231112652_3FT6Y119H04_05543_B21P_N_UFLEX98_M5358A8BA201511/dpll_52084/txpa_55228.png","plot")</f>
        <v>plot</v>
      </c>
    </row>
    <row r="648" spans="1:29" x14ac:dyDescent="0.35">
      <c r="A648" t="s">
        <v>47</v>
      </c>
      <c r="B648">
        <v>52084</v>
      </c>
      <c r="C648" t="s">
        <v>52</v>
      </c>
      <c r="D648">
        <v>55229</v>
      </c>
      <c r="E648" t="s">
        <v>362</v>
      </c>
      <c r="F648">
        <v>7139</v>
      </c>
      <c r="G648">
        <v>0.26393729659446308</v>
      </c>
      <c r="H648">
        <v>4.4250380736780389E-114</v>
      </c>
      <c r="I648">
        <v>8.041198219909554E-114</v>
      </c>
      <c r="J648">
        <v>0.23032614045536329</v>
      </c>
      <c r="K648">
        <v>1.363334349398985E-86</v>
      </c>
      <c r="L648">
        <v>2.258857892631652E-86</v>
      </c>
      <c r="M648">
        <v>0.1554245392535229</v>
      </c>
      <c r="N648">
        <v>2.4634023325846191E-86</v>
      </c>
      <c r="O648">
        <v>4.1287437441996758E-86</v>
      </c>
      <c r="P648">
        <v>6.9662896533593574E-2</v>
      </c>
      <c r="Q648">
        <v>0.80501595563074546</v>
      </c>
      <c r="R648">
        <v>7.5914174788266076</v>
      </c>
      <c r="S648">
        <v>0.32428669785958991</v>
      </c>
      <c r="T648">
        <v>0.27430550480125859</v>
      </c>
      <c r="U648">
        <v>4.2625965936405663</v>
      </c>
      <c r="V648">
        <v>0.11023909988438001</v>
      </c>
      <c r="W648">
        <v>11.02287574912453</v>
      </c>
      <c r="X648">
        <v>0.33623226230755859</v>
      </c>
      <c r="Z648" t="s">
        <v>392</v>
      </c>
      <c r="AA648">
        <v>140</v>
      </c>
      <c r="AB648" t="s">
        <v>2053</v>
      </c>
      <c r="AC648" t="str">
        <f>HYPERLINK("plots/20251231112652_3FT6Y119H04_05543_B21P_N_UFLEX98_M5358A8BA201511/dpll_52084/txpa_55229.png","plot")</f>
        <v>plot</v>
      </c>
    </row>
    <row r="649" spans="1:29" x14ac:dyDescent="0.35">
      <c r="A649" t="s">
        <v>47</v>
      </c>
      <c r="B649">
        <v>52084</v>
      </c>
      <c r="C649" t="s">
        <v>52</v>
      </c>
      <c r="D649">
        <v>55230</v>
      </c>
      <c r="E649" t="s">
        <v>363</v>
      </c>
      <c r="F649">
        <v>7139</v>
      </c>
      <c r="G649">
        <v>0.31695205867750958</v>
      </c>
      <c r="H649">
        <v>2.500991414550832E-166</v>
      </c>
      <c r="I649">
        <v>7.4588391010427763E-166</v>
      </c>
      <c r="J649">
        <v>0.3048829975346603</v>
      </c>
      <c r="K649">
        <v>1.955487614471379E-153</v>
      </c>
      <c r="L649">
        <v>5.7143067466108891E-153</v>
      </c>
      <c r="M649">
        <v>0.20590501082255641</v>
      </c>
      <c r="N649">
        <v>4.8076079395620751E-150</v>
      </c>
      <c r="O649">
        <v>1.4212578573515869E-149</v>
      </c>
      <c r="P649">
        <v>0.10045860749991151</v>
      </c>
      <c r="Q649">
        <v>0.84335065306331669</v>
      </c>
      <c r="R649">
        <v>7.3850351432604544</v>
      </c>
      <c r="S649">
        <v>0.27818289604981572</v>
      </c>
      <c r="T649">
        <v>0.21579858299843399</v>
      </c>
      <c r="U649">
        <v>4.2625965936405663</v>
      </c>
      <c r="V649">
        <v>0.11023909988438001</v>
      </c>
      <c r="W649">
        <v>10.979898764252701</v>
      </c>
      <c r="X649">
        <v>0.29332580223180971</v>
      </c>
      <c r="Z649" t="s">
        <v>392</v>
      </c>
      <c r="AA649">
        <v>140</v>
      </c>
      <c r="AB649" t="s">
        <v>2054</v>
      </c>
      <c r="AC649" t="str">
        <f>HYPERLINK("plots/20251231112652_3FT6Y119H04_05543_B21P_N_UFLEX98_M5358A8BA201511/dpll_52084/txpa_55230.png","plot")</f>
        <v>plot</v>
      </c>
    </row>
    <row r="650" spans="1:29" x14ac:dyDescent="0.35">
      <c r="A650" t="s">
        <v>47</v>
      </c>
      <c r="B650">
        <v>52084</v>
      </c>
      <c r="C650" t="s">
        <v>52</v>
      </c>
      <c r="D650">
        <v>55231</v>
      </c>
      <c r="E650" t="s">
        <v>364</v>
      </c>
      <c r="F650">
        <v>7139</v>
      </c>
      <c r="G650">
        <v>0.25502694454107122</v>
      </c>
      <c r="H650">
        <v>2.2117015613139988E-106</v>
      </c>
      <c r="I650">
        <v>3.7007679590303548E-106</v>
      </c>
      <c r="J650">
        <v>0.21981581017540411</v>
      </c>
      <c r="K650">
        <v>7.5594548424657951E-79</v>
      </c>
      <c r="L650">
        <v>1.150944025564612E-78</v>
      </c>
      <c r="M650">
        <v>0.14665305220189179</v>
      </c>
      <c r="N650">
        <v>4.5056160189227041E-77</v>
      </c>
      <c r="O650">
        <v>6.8599018666480811E-77</v>
      </c>
      <c r="P650">
        <v>6.5038742441954595E-2</v>
      </c>
      <c r="Q650">
        <v>0.8319059256957495</v>
      </c>
      <c r="R650">
        <v>7.3923955696246484</v>
      </c>
      <c r="S650">
        <v>0.34768839646615868</v>
      </c>
      <c r="T650">
        <v>0.27984849336768891</v>
      </c>
      <c r="U650">
        <v>4.2625965936405663</v>
      </c>
      <c r="V650">
        <v>0.11023909988438001</v>
      </c>
      <c r="W650">
        <v>10.93847493472475</v>
      </c>
      <c r="X650">
        <v>0.35960341603203472</v>
      </c>
      <c r="Z650" t="s">
        <v>392</v>
      </c>
      <c r="AA650">
        <v>140</v>
      </c>
      <c r="AB650" t="s">
        <v>2055</v>
      </c>
      <c r="AC650" t="str">
        <f>HYPERLINK("plots/20251231112652_3FT6Y119H04_05543_B21P_N_UFLEX98_M5358A8BA201511/dpll_52084/txpa_55231.png","plot")</f>
        <v>plot</v>
      </c>
    </row>
    <row r="651" spans="1:29" x14ac:dyDescent="0.35">
      <c r="A651" t="s">
        <v>47</v>
      </c>
      <c r="B651">
        <v>52084</v>
      </c>
      <c r="C651" t="s">
        <v>52</v>
      </c>
      <c r="D651">
        <v>55232</v>
      </c>
      <c r="E651" t="s">
        <v>365</v>
      </c>
      <c r="F651">
        <v>7139</v>
      </c>
      <c r="G651">
        <v>0.33720888500368879</v>
      </c>
      <c r="H651">
        <v>2.3523747472875571E-189</v>
      </c>
      <c r="I651">
        <v>1.006459069092651E-188</v>
      </c>
      <c r="J651">
        <v>0.32755384065382848</v>
      </c>
      <c r="K651">
        <v>3.6881172058049701E-178</v>
      </c>
      <c r="L651">
        <v>1.438365710263938E-177</v>
      </c>
      <c r="M651">
        <v>0.22328397534758021</v>
      </c>
      <c r="N651">
        <v>4.4068406335172807E-176</v>
      </c>
      <c r="O651">
        <v>1.738730117660126E-175</v>
      </c>
      <c r="P651">
        <v>0.11370983212543111</v>
      </c>
      <c r="Q651">
        <v>0.82230651823347756</v>
      </c>
      <c r="R651">
        <v>7.4359259410580307</v>
      </c>
      <c r="S651">
        <v>0.25306257842954238</v>
      </c>
      <c r="T651">
        <v>0.19531735013430601</v>
      </c>
      <c r="U651">
        <v>4.2625965936405663</v>
      </c>
      <c r="V651">
        <v>0.11023909988438001</v>
      </c>
      <c r="W651">
        <v>10.94108690460849</v>
      </c>
      <c r="X651">
        <v>0.26882545042704148</v>
      </c>
      <c r="Z651" t="s">
        <v>392</v>
      </c>
      <c r="AA651">
        <v>140</v>
      </c>
      <c r="AB651" t="s">
        <v>2056</v>
      </c>
      <c r="AC651" t="str">
        <f>HYPERLINK("plots/20251231112652_3FT6Y119H04_05543_B21P_N_UFLEX98_M5358A8BA201511/dpll_52084/txpa_55232.png","plot")</f>
        <v>plot</v>
      </c>
    </row>
    <row r="652" spans="1:29" x14ac:dyDescent="0.35">
      <c r="A652" t="s">
        <v>47</v>
      </c>
      <c r="B652">
        <v>52084</v>
      </c>
      <c r="C652" t="s">
        <v>52</v>
      </c>
      <c r="D652">
        <v>55233</v>
      </c>
      <c r="E652" t="s">
        <v>366</v>
      </c>
      <c r="F652">
        <v>7139</v>
      </c>
      <c r="G652">
        <v>0.28654022875515811</v>
      </c>
      <c r="H652">
        <v>5.541510987999551E-135</v>
      </c>
      <c r="I652">
        <v>1.1904856232693951E-134</v>
      </c>
      <c r="J652">
        <v>0.23883439124344069</v>
      </c>
      <c r="K652">
        <v>3.7345524110895909E-93</v>
      </c>
      <c r="L652">
        <v>6.5290278359393891E-93</v>
      </c>
      <c r="M652">
        <v>0.15966987252701689</v>
      </c>
      <c r="N652">
        <v>5.205750633608561E-91</v>
      </c>
      <c r="O652">
        <v>9.1484075259602794E-91</v>
      </c>
      <c r="P652">
        <v>8.2105302695058308E-2</v>
      </c>
      <c r="Q652">
        <v>0.75801413067980861</v>
      </c>
      <c r="R652">
        <v>7.690765301539404</v>
      </c>
      <c r="S652">
        <v>0.27937874893854198</v>
      </c>
      <c r="T652">
        <v>0.2282099970747051</v>
      </c>
      <c r="U652">
        <v>4.2625965936405663</v>
      </c>
      <c r="V652">
        <v>0.11023909988438001</v>
      </c>
      <c r="W652">
        <v>10.921873752906571</v>
      </c>
      <c r="X652">
        <v>0.29162674933572907</v>
      </c>
      <c r="Z652" t="s">
        <v>392</v>
      </c>
      <c r="AA652">
        <v>140</v>
      </c>
      <c r="AB652" t="s">
        <v>2057</v>
      </c>
      <c r="AC652" t="str">
        <f>HYPERLINK("plots/20251231112652_3FT6Y119H04_05543_B21P_N_UFLEX98_M5358A8BA201511/dpll_52084/txpa_55233.png","plot")</f>
        <v>plot</v>
      </c>
    </row>
    <row r="653" spans="1:29" x14ac:dyDescent="0.35">
      <c r="A653" t="s">
        <v>47</v>
      </c>
      <c r="B653">
        <v>52084</v>
      </c>
      <c r="C653" t="s">
        <v>52</v>
      </c>
      <c r="D653">
        <v>55234</v>
      </c>
      <c r="E653" t="s">
        <v>367</v>
      </c>
      <c r="F653">
        <v>7139</v>
      </c>
      <c r="G653">
        <v>0.22496817558977331</v>
      </c>
      <c r="H653">
        <v>1.3553333237698019E-82</v>
      </c>
      <c r="I653">
        <v>1.880038290427605E-82</v>
      </c>
      <c r="J653">
        <v>0.21486343798736771</v>
      </c>
      <c r="K653">
        <v>2.4544687028495079E-75</v>
      </c>
      <c r="L653">
        <v>3.676264792746531E-75</v>
      </c>
      <c r="M653">
        <v>0.1447604673006746</v>
      </c>
      <c r="N653">
        <v>3.8209450640601661E-75</v>
      </c>
      <c r="O653">
        <v>5.7314175960902492E-75</v>
      </c>
      <c r="P653">
        <v>5.0610680028191073E-2</v>
      </c>
      <c r="Q653">
        <v>0.72816913928530846</v>
      </c>
      <c r="R653">
        <v>8.1157828157068082</v>
      </c>
      <c r="S653">
        <v>0.34764708560639468</v>
      </c>
      <c r="T653">
        <v>0.27741365991893102</v>
      </c>
      <c r="U653">
        <v>4.2625965936405663</v>
      </c>
      <c r="V653">
        <v>0.11023909988438001</v>
      </c>
      <c r="W653">
        <v>11.21967410841855</v>
      </c>
      <c r="X653">
        <v>0.35681807112474651</v>
      </c>
      <c r="Z653" t="s">
        <v>392</v>
      </c>
      <c r="AA653">
        <v>140</v>
      </c>
      <c r="AB653" t="s">
        <v>2058</v>
      </c>
      <c r="AC653" t="str">
        <f>HYPERLINK("plots/20251231112652_3FT6Y119H04_05543_B21P_N_UFLEX98_M5358A8BA201511/dpll_52084/txpa_55234.png","plot")</f>
        <v>plot</v>
      </c>
    </row>
    <row r="654" spans="1:29" x14ac:dyDescent="0.35">
      <c r="A654" t="s">
        <v>47</v>
      </c>
      <c r="B654">
        <v>52084</v>
      </c>
      <c r="C654" t="s">
        <v>52</v>
      </c>
      <c r="D654">
        <v>55235</v>
      </c>
      <c r="E654" t="s">
        <v>368</v>
      </c>
      <c r="F654">
        <v>7139</v>
      </c>
      <c r="G654">
        <v>0.21060669187726769</v>
      </c>
      <c r="H654">
        <v>2.18017969295071E-72</v>
      </c>
      <c r="I654">
        <v>2.8306046205531618E-72</v>
      </c>
      <c r="J654">
        <v>0.2043456562894628</v>
      </c>
      <c r="K654">
        <v>3.6228868361985229E-68</v>
      </c>
      <c r="L654">
        <v>5.1164446405366323E-68</v>
      </c>
      <c r="M654">
        <v>0.13883103351689671</v>
      </c>
      <c r="N654">
        <v>2.8998996502173281E-69</v>
      </c>
      <c r="O654">
        <v>4.1357218640230238E-69</v>
      </c>
      <c r="P654">
        <v>4.4355178663486393E-2</v>
      </c>
      <c r="Q654">
        <v>0.68940829299664286</v>
      </c>
      <c r="R654">
        <v>8.6263430323807704</v>
      </c>
      <c r="S654">
        <v>0.35274253488467272</v>
      </c>
      <c r="T654">
        <v>0.29048131272373418</v>
      </c>
      <c r="U654">
        <v>4.2625965936405663</v>
      </c>
      <c r="V654">
        <v>0.11023909988438001</v>
      </c>
      <c r="W654">
        <v>11.56501247373582</v>
      </c>
      <c r="X654">
        <v>0.36086103910252848</v>
      </c>
      <c r="Z654" t="s">
        <v>392</v>
      </c>
      <c r="AA654">
        <v>140</v>
      </c>
      <c r="AB654" t="s">
        <v>2059</v>
      </c>
      <c r="AC654" t="str">
        <f>HYPERLINK("plots/20251231112652_3FT6Y119H04_05543_B21P_N_UFLEX98_M5358A8BA201511/dpll_52084/txpa_55235.png","plot")</f>
        <v>plot</v>
      </c>
    </row>
    <row r="655" spans="1:29" x14ac:dyDescent="0.35">
      <c r="A655" t="s">
        <v>47</v>
      </c>
      <c r="B655">
        <v>52084</v>
      </c>
      <c r="C655" t="s">
        <v>52</v>
      </c>
      <c r="D655">
        <v>55236</v>
      </c>
      <c r="E655" t="s">
        <v>369</v>
      </c>
      <c r="F655">
        <v>7139</v>
      </c>
      <c r="G655">
        <v>0.32936016467154111</v>
      </c>
      <c r="H655">
        <v>3.1846739557813938E-180</v>
      </c>
      <c r="I655">
        <v>1.13706316590223E-179</v>
      </c>
      <c r="J655">
        <v>0.31098688057130403</v>
      </c>
      <c r="K655">
        <v>7.0203332359584283E-160</v>
      </c>
      <c r="L655">
        <v>2.2385590884471221E-159</v>
      </c>
      <c r="M655">
        <v>0.2096101026080579</v>
      </c>
      <c r="N655">
        <v>2.028731804157348E-155</v>
      </c>
      <c r="O655">
        <v>6.4285439044235966E-155</v>
      </c>
      <c r="P655">
        <v>0.1084781180724646</v>
      </c>
      <c r="Q655">
        <v>0.8133779541773789</v>
      </c>
      <c r="R655">
        <v>7.7999935048060518</v>
      </c>
      <c r="S655">
        <v>0.25703518017483618</v>
      </c>
      <c r="T655">
        <v>0.20379598254700179</v>
      </c>
      <c r="U655">
        <v>4.2625965936405663</v>
      </c>
      <c r="V655">
        <v>0.11023909988438001</v>
      </c>
      <c r="W655">
        <v>11.267095601624881</v>
      </c>
      <c r="X655">
        <v>0.27224316463326242</v>
      </c>
      <c r="Z655" t="s">
        <v>392</v>
      </c>
      <c r="AA655">
        <v>140</v>
      </c>
      <c r="AB655" t="s">
        <v>2060</v>
      </c>
      <c r="AC655" t="str">
        <f>HYPERLINK("plots/20251231112652_3FT6Y119H04_05543_B21P_N_UFLEX98_M5358A8BA201511/dpll_52084/txpa_55236.png","plot")</f>
        <v>plot</v>
      </c>
    </row>
    <row r="656" spans="1:29" x14ac:dyDescent="0.35">
      <c r="A656" t="s">
        <v>47</v>
      </c>
      <c r="B656">
        <v>52084</v>
      </c>
      <c r="C656" t="s">
        <v>52</v>
      </c>
      <c r="D656">
        <v>55237</v>
      </c>
      <c r="E656" t="s">
        <v>370</v>
      </c>
      <c r="F656">
        <v>7139</v>
      </c>
      <c r="G656">
        <v>0.2704716308190061</v>
      </c>
      <c r="H656">
        <v>6.4167787013315749E-120</v>
      </c>
      <c r="I656">
        <v>1.200482214603361E-119</v>
      </c>
      <c r="J656">
        <v>0.2356109343834295</v>
      </c>
      <c r="K656">
        <v>1.2291754314622601E-90</v>
      </c>
      <c r="L656">
        <v>2.1305707478679182E-90</v>
      </c>
      <c r="M656">
        <v>0.15896026951008191</v>
      </c>
      <c r="N656">
        <v>3.2113634921463951E-90</v>
      </c>
      <c r="O656">
        <v>5.5950559811622762E-90</v>
      </c>
      <c r="P656">
        <v>7.3154903077892727E-2</v>
      </c>
      <c r="Q656">
        <v>0.80414772392869149</v>
      </c>
      <c r="R656">
        <v>8.0377407601765931</v>
      </c>
      <c r="S656">
        <v>0.31551712441845953</v>
      </c>
      <c r="T656">
        <v>0.26511460205246401</v>
      </c>
      <c r="U656">
        <v>4.2625965936405663</v>
      </c>
      <c r="V656">
        <v>0.11023909988438001</v>
      </c>
      <c r="W656">
        <v>11.465498108978849</v>
      </c>
      <c r="X656">
        <v>0.32775533978013988</v>
      </c>
      <c r="Z656" t="s">
        <v>392</v>
      </c>
      <c r="AA656">
        <v>140</v>
      </c>
      <c r="AB656" t="s">
        <v>2061</v>
      </c>
      <c r="AC656" t="str">
        <f>HYPERLINK("plots/20251231112652_3FT6Y119H04_05543_B21P_N_UFLEX98_M5358A8BA201511/dpll_52084/txpa_55237.png","plot")</f>
        <v>plot</v>
      </c>
    </row>
    <row r="657" spans="1:29" x14ac:dyDescent="0.35">
      <c r="A657" t="s">
        <v>47</v>
      </c>
      <c r="B657">
        <v>52084</v>
      </c>
      <c r="C657" t="s">
        <v>52</v>
      </c>
      <c r="D657">
        <v>55238</v>
      </c>
      <c r="E657" t="s">
        <v>371</v>
      </c>
      <c r="F657">
        <v>7139</v>
      </c>
      <c r="G657">
        <v>0.32244455168456487</v>
      </c>
      <c r="H657">
        <v>2.1299293180369239E-172</v>
      </c>
      <c r="I657">
        <v>6.9894767912279648E-172</v>
      </c>
      <c r="J657">
        <v>0.31009912471577439</v>
      </c>
      <c r="K657">
        <v>6.2130296499704024E-159</v>
      </c>
      <c r="L657">
        <v>1.9565254860465799E-158</v>
      </c>
      <c r="M657">
        <v>0.2098751167010903</v>
      </c>
      <c r="N657">
        <v>8.2966765992822601E-156</v>
      </c>
      <c r="O657">
        <v>2.645544047695664E-155</v>
      </c>
      <c r="P657">
        <v>0.1039704889110601</v>
      </c>
      <c r="Q657">
        <v>0.84293522848814251</v>
      </c>
      <c r="R657">
        <v>7.8342681581223497</v>
      </c>
      <c r="S657">
        <v>0.27277562375544162</v>
      </c>
      <c r="T657">
        <v>0.21140031727426509</v>
      </c>
      <c r="U657">
        <v>4.2625965936405663</v>
      </c>
      <c r="V657">
        <v>0.11023909988438001</v>
      </c>
      <c r="W657">
        <v>11.42736099173554</v>
      </c>
      <c r="X657">
        <v>0.28818728790391052</v>
      </c>
      <c r="Z657" t="s">
        <v>392</v>
      </c>
      <c r="AA657">
        <v>140</v>
      </c>
      <c r="AB657" t="s">
        <v>2062</v>
      </c>
      <c r="AC657" t="str">
        <f>HYPERLINK("plots/20251231112652_3FT6Y119H04_05543_B21P_N_UFLEX98_M5358A8BA201511/dpll_52084/txpa_55238.png","plot")</f>
        <v>plot</v>
      </c>
    </row>
    <row r="658" spans="1:29" x14ac:dyDescent="0.35">
      <c r="A658" t="s">
        <v>47</v>
      </c>
      <c r="B658">
        <v>52084</v>
      </c>
      <c r="C658" t="s">
        <v>52</v>
      </c>
      <c r="D658">
        <v>55239</v>
      </c>
      <c r="E658" t="s">
        <v>372</v>
      </c>
      <c r="F658">
        <v>7139</v>
      </c>
      <c r="G658">
        <v>0.26225000672837367</v>
      </c>
      <c r="H658">
        <v>1.339544373545913E-112</v>
      </c>
      <c r="I658">
        <v>2.3829789382027288E-112</v>
      </c>
      <c r="J658">
        <v>0.22656792461864569</v>
      </c>
      <c r="K658">
        <v>8.8998787942435047E-84</v>
      </c>
      <c r="L658">
        <v>1.443916335578066E-83</v>
      </c>
      <c r="M658">
        <v>0.1512121334100682</v>
      </c>
      <c r="N658">
        <v>8.0603404036569345E-82</v>
      </c>
      <c r="O658">
        <v>1.295274987212065E-81</v>
      </c>
      <c r="P658">
        <v>6.8775066029032064E-2</v>
      </c>
      <c r="Q658">
        <v>0.83169442068774768</v>
      </c>
      <c r="R658">
        <v>7.8420558303894206</v>
      </c>
      <c r="S658">
        <v>0.33735007991088573</v>
      </c>
      <c r="T658">
        <v>0.27152201218085131</v>
      </c>
      <c r="U658">
        <v>4.2625965936405663</v>
      </c>
      <c r="V658">
        <v>0.11023909988438001</v>
      </c>
      <c r="W658">
        <v>11.387233634962881</v>
      </c>
      <c r="X658">
        <v>0.3496100742160953</v>
      </c>
      <c r="Z658" t="s">
        <v>392</v>
      </c>
      <c r="AA658">
        <v>140</v>
      </c>
      <c r="AB658" t="s">
        <v>2063</v>
      </c>
      <c r="AC658" t="str">
        <f>HYPERLINK("plots/20251231112652_3FT6Y119H04_05543_B21P_N_UFLEX98_M5358A8BA201511/dpll_52084/txpa_55239.png","plot")</f>
        <v>plot</v>
      </c>
    </row>
    <row r="659" spans="1:29" x14ac:dyDescent="0.35">
      <c r="A659" t="s">
        <v>47</v>
      </c>
      <c r="B659">
        <v>52084</v>
      </c>
      <c r="C659" t="s">
        <v>52</v>
      </c>
      <c r="D659">
        <v>55240</v>
      </c>
      <c r="E659" t="s">
        <v>373</v>
      </c>
      <c r="F659">
        <v>7139</v>
      </c>
      <c r="G659">
        <v>0.34260170139638652</v>
      </c>
      <c r="H659">
        <v>8.724745774269909E-196</v>
      </c>
      <c r="I659">
        <v>4.2128058167188987E-195</v>
      </c>
      <c r="J659">
        <v>0.33156337136369102</v>
      </c>
      <c r="K659">
        <v>9.2640837345307826E-183</v>
      </c>
      <c r="L659">
        <v>3.7575123627256858E-182</v>
      </c>
      <c r="M659">
        <v>0.2265400126157264</v>
      </c>
      <c r="N659">
        <v>3.4057142993859538E-181</v>
      </c>
      <c r="O659">
        <v>1.4038188209664051E-180</v>
      </c>
      <c r="P659">
        <v>0.1173759257996988</v>
      </c>
      <c r="Q659">
        <v>0.82140549646967309</v>
      </c>
      <c r="R659">
        <v>7.8846951202621494</v>
      </c>
      <c r="S659">
        <v>0.24829113460296909</v>
      </c>
      <c r="T659">
        <v>0.1915314929643257</v>
      </c>
      <c r="U659">
        <v>4.2625965936405663</v>
      </c>
      <c r="V659">
        <v>0.11023909988438001</v>
      </c>
      <c r="W659">
        <v>11.386015391511419</v>
      </c>
      <c r="X659">
        <v>0.26430400725340403</v>
      </c>
      <c r="Z659" t="s">
        <v>392</v>
      </c>
      <c r="AA659">
        <v>140</v>
      </c>
      <c r="AB659" t="s">
        <v>2064</v>
      </c>
      <c r="AC659" t="str">
        <f>HYPERLINK("plots/20251231112652_3FT6Y119H04_05543_B21P_N_UFLEX98_M5358A8BA201511/dpll_52084/txpa_55240.png","plot")</f>
        <v>plot</v>
      </c>
    </row>
    <row r="660" spans="1:29" x14ac:dyDescent="0.35">
      <c r="A660" t="s">
        <v>47</v>
      </c>
      <c r="B660">
        <v>52084</v>
      </c>
      <c r="C660" t="s">
        <v>52</v>
      </c>
      <c r="D660">
        <v>55241</v>
      </c>
      <c r="E660" t="s">
        <v>374</v>
      </c>
      <c r="F660">
        <v>7139</v>
      </c>
      <c r="G660">
        <v>0.29223602241136071</v>
      </c>
      <c r="H660">
        <v>1.4424591202441191E-140</v>
      </c>
      <c r="I660">
        <v>3.257580284916561E-140</v>
      </c>
      <c r="J660">
        <v>0.24467608348877301</v>
      </c>
      <c r="K660">
        <v>8.1779642090018493E-98</v>
      </c>
      <c r="L660">
        <v>1.5022564688275141E-97</v>
      </c>
      <c r="M660">
        <v>0.163542817933266</v>
      </c>
      <c r="N660">
        <v>2.1993802477155009E-95</v>
      </c>
      <c r="O660">
        <v>4.0401658898252132E-95</v>
      </c>
      <c r="P660">
        <v>8.5401892794813292E-2</v>
      </c>
      <c r="Q660">
        <v>0.75843146536048567</v>
      </c>
      <c r="R660">
        <v>8.1407610517981492</v>
      </c>
      <c r="S660">
        <v>0.2735917408437219</v>
      </c>
      <c r="T660">
        <v>0.2228443128265532</v>
      </c>
      <c r="U660">
        <v>4.2625965936405663</v>
      </c>
      <c r="V660">
        <v>0.11023909988438001</v>
      </c>
      <c r="W660">
        <v>11.37364843255358</v>
      </c>
      <c r="X660">
        <v>0.28610026024663349</v>
      </c>
      <c r="Z660" t="s">
        <v>392</v>
      </c>
      <c r="AA660">
        <v>140</v>
      </c>
      <c r="AB660" t="s">
        <v>2065</v>
      </c>
      <c r="AC660" t="str">
        <f>HYPERLINK("plots/20251231112652_3FT6Y119H04_05543_B21P_N_UFLEX98_M5358A8BA201511/dpll_52084/txpa_55241.png","plot")</f>
        <v>plot</v>
      </c>
    </row>
    <row r="661" spans="1:29" x14ac:dyDescent="0.35">
      <c r="A661" t="s">
        <v>47</v>
      </c>
      <c r="B661">
        <v>52084</v>
      </c>
      <c r="C661" t="s">
        <v>52</v>
      </c>
      <c r="D661">
        <v>55242</v>
      </c>
      <c r="E661" t="s">
        <v>375</v>
      </c>
      <c r="F661">
        <v>7139</v>
      </c>
      <c r="G661">
        <v>0.23116000703615319</v>
      </c>
      <c r="H661">
        <v>3.1850733370329428E-87</v>
      </c>
      <c r="I661">
        <v>4.5681249840896808E-87</v>
      </c>
      <c r="J661">
        <v>0.2177226048503797</v>
      </c>
      <c r="K661">
        <v>2.3623682200074621E-77</v>
      </c>
      <c r="L661">
        <v>3.5752856344590537E-77</v>
      </c>
      <c r="M661">
        <v>0.1467774564825631</v>
      </c>
      <c r="N661">
        <v>3.3595097839838149E-77</v>
      </c>
      <c r="O661">
        <v>5.1226209337738167E-77</v>
      </c>
      <c r="P661">
        <v>5.3434948852954377E-2</v>
      </c>
      <c r="Q661">
        <v>0.73082422362269783</v>
      </c>
      <c r="R661">
        <v>8.5400248294206911</v>
      </c>
      <c r="S661">
        <v>0.33906323941862437</v>
      </c>
      <c r="T661">
        <v>0.27144019489428101</v>
      </c>
      <c r="U661">
        <v>4.2625965936405663</v>
      </c>
      <c r="V661">
        <v>0.11023909988438001</v>
      </c>
      <c r="W661">
        <v>11.65523367558481</v>
      </c>
      <c r="X661">
        <v>0.34852657091876088</v>
      </c>
      <c r="Z661" t="s">
        <v>392</v>
      </c>
      <c r="AA661">
        <v>140</v>
      </c>
      <c r="AB661" t="s">
        <v>2066</v>
      </c>
      <c r="AC661" t="str">
        <f>HYPERLINK("plots/20251231112652_3FT6Y119H04_05543_B21P_N_UFLEX98_M5358A8BA201511/dpll_52084/txpa_55242.png","plot")</f>
        <v>plot</v>
      </c>
    </row>
    <row r="662" spans="1:29" x14ac:dyDescent="0.35">
      <c r="A662" t="s">
        <v>47</v>
      </c>
      <c r="B662">
        <v>52084</v>
      </c>
      <c r="C662" t="s">
        <v>52</v>
      </c>
      <c r="D662">
        <v>55243</v>
      </c>
      <c r="E662" t="s">
        <v>376</v>
      </c>
      <c r="F662">
        <v>7139</v>
      </c>
      <c r="G662">
        <v>0.23080401442323151</v>
      </c>
      <c r="H662">
        <v>5.9295257799256221E-87</v>
      </c>
      <c r="I662">
        <v>8.4922869220968662E-87</v>
      </c>
      <c r="J662">
        <v>0.22171888795563829</v>
      </c>
      <c r="K662">
        <v>3.2048278791372859E-80</v>
      </c>
      <c r="L662">
        <v>4.9841955052840609E-80</v>
      </c>
      <c r="M662">
        <v>0.15117753348123919</v>
      </c>
      <c r="N662">
        <v>8.7697366106897829E-82</v>
      </c>
      <c r="O662">
        <v>1.4026045620251479E-81</v>
      </c>
      <c r="P662">
        <v>5.3270493073879252E-2</v>
      </c>
      <c r="Q662">
        <v>0.72383032479402254</v>
      </c>
      <c r="R662">
        <v>9.7958341398002435</v>
      </c>
      <c r="S662">
        <v>0.33636562880233339</v>
      </c>
      <c r="T662">
        <v>0.27524308382649182</v>
      </c>
      <c r="U662">
        <v>4.2625965936405663</v>
      </c>
      <c r="V662">
        <v>0.11023909988438001</v>
      </c>
      <c r="W662">
        <v>12.88123081664099</v>
      </c>
      <c r="X662">
        <v>0.34572363775263631</v>
      </c>
      <c r="Z662" t="s">
        <v>392</v>
      </c>
      <c r="AA662">
        <v>140</v>
      </c>
      <c r="AB662" t="s">
        <v>2067</v>
      </c>
      <c r="AC662" t="str">
        <f>HYPERLINK("plots/20251231112652_3FT6Y119H04_05543_B21P_N_UFLEX98_M5358A8BA201511/dpll_52084/txpa_55243.png","plot")</f>
        <v>plot</v>
      </c>
    </row>
    <row r="663" spans="1:29" x14ac:dyDescent="0.35">
      <c r="A663" t="s">
        <v>47</v>
      </c>
      <c r="B663">
        <v>52084</v>
      </c>
      <c r="C663" t="s">
        <v>52</v>
      </c>
      <c r="D663">
        <v>55244</v>
      </c>
      <c r="E663" t="s">
        <v>377</v>
      </c>
      <c r="F663">
        <v>7139</v>
      </c>
      <c r="G663">
        <v>0.33760617786729841</v>
      </c>
      <c r="H663">
        <v>7.9822126728829675E-190</v>
      </c>
      <c r="I663">
        <v>3.4442398511929059E-189</v>
      </c>
      <c r="J663">
        <v>0.33439578187472818</v>
      </c>
      <c r="K663">
        <v>4.734401369757368E-186</v>
      </c>
      <c r="L663">
        <v>2.0170936928294001E-185</v>
      </c>
      <c r="M663">
        <v>0.22688554236288</v>
      </c>
      <c r="N663">
        <v>9.6598176552797925E-182</v>
      </c>
      <c r="O663">
        <v>4.047543430765996E-181</v>
      </c>
      <c r="P663">
        <v>0.11397793133416589</v>
      </c>
      <c r="Q663">
        <v>0.80939173120571173</v>
      </c>
      <c r="R663">
        <v>9.2605320023586</v>
      </c>
      <c r="S663">
        <v>0.24875733019318291</v>
      </c>
      <c r="T663">
        <v>0.19164583232767851</v>
      </c>
      <c r="U663">
        <v>4.2625965936405663</v>
      </c>
      <c r="V663">
        <v>0.11023909988438001</v>
      </c>
      <c r="W663">
        <v>12.71064243871691</v>
      </c>
      <c r="X663">
        <v>0.26429201167358302</v>
      </c>
      <c r="Z663" t="s">
        <v>392</v>
      </c>
      <c r="AA663">
        <v>140</v>
      </c>
      <c r="AB663" t="s">
        <v>2068</v>
      </c>
      <c r="AC663" t="str">
        <f>HYPERLINK("plots/20251231112652_3FT6Y119H04_05543_B21P_N_UFLEX98_M5358A8BA201511/dpll_52084/txpa_55244.png","plot")</f>
        <v>plot</v>
      </c>
    </row>
    <row r="664" spans="1:29" x14ac:dyDescent="0.35">
      <c r="A664" t="s">
        <v>47</v>
      </c>
      <c r="B664">
        <v>52084</v>
      </c>
      <c r="C664" t="s">
        <v>52</v>
      </c>
      <c r="D664">
        <v>55245</v>
      </c>
      <c r="E664" t="s">
        <v>378</v>
      </c>
      <c r="F664">
        <v>7139</v>
      </c>
      <c r="G664">
        <v>0.28994677522589463</v>
      </c>
      <c r="H664">
        <v>2.6255278886550921E-138</v>
      </c>
      <c r="I664">
        <v>5.7875766936875302E-138</v>
      </c>
      <c r="J664">
        <v>0.26518230563502032</v>
      </c>
      <c r="K664">
        <v>3.5165370621939218E-115</v>
      </c>
      <c r="L664">
        <v>7.306902830050486E-115</v>
      </c>
      <c r="M664">
        <v>0.17878416327413241</v>
      </c>
      <c r="N664">
        <v>1.301721100643192E-113</v>
      </c>
      <c r="O664">
        <v>2.7271594959756132E-113</v>
      </c>
      <c r="P664">
        <v>8.4069132463895427E-2</v>
      </c>
      <c r="Q664">
        <v>0.80148997762201646</v>
      </c>
      <c r="R664">
        <v>9.4176455465086164</v>
      </c>
      <c r="S664">
        <v>0.29161939195442249</v>
      </c>
      <c r="T664">
        <v>0.2347699617905564</v>
      </c>
      <c r="U664">
        <v>4.2625965936405663</v>
      </c>
      <c r="V664">
        <v>0.11023909988438001</v>
      </c>
      <c r="W664">
        <v>12.834073994957279</v>
      </c>
      <c r="X664">
        <v>0.30473018239491051</v>
      </c>
      <c r="Z664" t="s">
        <v>392</v>
      </c>
      <c r="AA664">
        <v>140</v>
      </c>
      <c r="AB664" t="s">
        <v>2069</v>
      </c>
      <c r="AC664" t="str">
        <f>HYPERLINK("plots/20251231112652_3FT6Y119H04_05543_B21P_N_UFLEX98_M5358A8BA201511/dpll_52084/txpa_55245.png","plot")</f>
        <v>plot</v>
      </c>
    </row>
    <row r="665" spans="1:29" x14ac:dyDescent="0.35">
      <c r="A665" t="s">
        <v>47</v>
      </c>
      <c r="B665">
        <v>52084</v>
      </c>
      <c r="C665" t="s">
        <v>52</v>
      </c>
      <c r="D665">
        <v>55246</v>
      </c>
      <c r="E665" t="s">
        <v>379</v>
      </c>
      <c r="F665">
        <v>7139</v>
      </c>
      <c r="G665">
        <v>0.34345483392680959</v>
      </c>
      <c r="H665">
        <v>8.158759913617007E-197</v>
      </c>
      <c r="I665">
        <v>4.1159117176157438E-196</v>
      </c>
      <c r="J665">
        <v>0.33695603934077861</v>
      </c>
      <c r="K665">
        <v>4.6759631644861439E-189</v>
      </c>
      <c r="L665">
        <v>2.0704919863707201E-188</v>
      </c>
      <c r="M665">
        <v>0.2310302176739322</v>
      </c>
      <c r="N665">
        <v>2.2937882064850511E-188</v>
      </c>
      <c r="O665">
        <v>1.015677397980717E-187</v>
      </c>
      <c r="P665">
        <v>0.1179612229476924</v>
      </c>
      <c r="Q665">
        <v>0.84275854912882275</v>
      </c>
      <c r="R665">
        <v>9.224532754358588</v>
      </c>
      <c r="S665">
        <v>0.25402859848625792</v>
      </c>
      <c r="T665">
        <v>0.19347258436019901</v>
      </c>
      <c r="U665">
        <v>4.2625965936405663</v>
      </c>
      <c r="V665">
        <v>0.11023909988438001</v>
      </c>
      <c r="W665">
        <v>12.81687247513657</v>
      </c>
      <c r="X665">
        <v>0.27050119753337237</v>
      </c>
      <c r="Z665" t="s">
        <v>392</v>
      </c>
      <c r="AA665">
        <v>140</v>
      </c>
      <c r="AB665" t="s">
        <v>2070</v>
      </c>
      <c r="AC665" t="str">
        <f>HYPERLINK("plots/20251231112652_3FT6Y119H04_05543_B21P_N_UFLEX98_M5358A8BA201511/dpll_52084/txpa_55246.png","plot")</f>
        <v>plot</v>
      </c>
    </row>
    <row r="666" spans="1:29" x14ac:dyDescent="0.35">
      <c r="A666" t="s">
        <v>47</v>
      </c>
      <c r="B666">
        <v>52084</v>
      </c>
      <c r="C666" t="s">
        <v>52</v>
      </c>
      <c r="D666">
        <v>55247</v>
      </c>
      <c r="E666" t="s">
        <v>380</v>
      </c>
      <c r="F666">
        <v>7139</v>
      </c>
      <c r="G666">
        <v>0.29228027331378431</v>
      </c>
      <c r="H666">
        <v>1.3037930561342901E-140</v>
      </c>
      <c r="I666">
        <v>2.9509958904468069E-140</v>
      </c>
      <c r="J666">
        <v>0.2596610575351489</v>
      </c>
      <c r="K666">
        <v>2.389674275271293E-110</v>
      </c>
      <c r="L666">
        <v>4.7982766636140407E-110</v>
      </c>
      <c r="M666">
        <v>0.17423528460670301</v>
      </c>
      <c r="N666">
        <v>5.2946651731332237E-108</v>
      </c>
      <c r="O666">
        <v>1.063126828823186E-107</v>
      </c>
      <c r="P666">
        <v>8.5427758168380455E-2</v>
      </c>
      <c r="Q666">
        <v>0.82779277864891299</v>
      </c>
      <c r="R666">
        <v>9.259971968360194</v>
      </c>
      <c r="S666">
        <v>0.29856326816010742</v>
      </c>
      <c r="T666">
        <v>0.23864888606867629</v>
      </c>
      <c r="U666">
        <v>4.2625965936405663</v>
      </c>
      <c r="V666">
        <v>0.11023909988438001</v>
      </c>
      <c r="W666">
        <v>12.78851864686931</v>
      </c>
      <c r="X666">
        <v>0.31221789200626932</v>
      </c>
      <c r="Z666" t="s">
        <v>392</v>
      </c>
      <c r="AA666">
        <v>140</v>
      </c>
      <c r="AB666" t="s">
        <v>2071</v>
      </c>
      <c r="AC666" t="str">
        <f>HYPERLINK("plots/20251231112652_3FT6Y119H04_05543_B21P_N_UFLEX98_M5358A8BA201511/dpll_52084/txpa_55247.png","plot")</f>
        <v>plot</v>
      </c>
    </row>
    <row r="667" spans="1:29" x14ac:dyDescent="0.35">
      <c r="A667" t="s">
        <v>47</v>
      </c>
      <c r="B667">
        <v>52084</v>
      </c>
      <c r="C667" t="s">
        <v>52</v>
      </c>
      <c r="D667">
        <v>55248</v>
      </c>
      <c r="E667" t="s">
        <v>381</v>
      </c>
      <c r="F667">
        <v>7139</v>
      </c>
      <c r="G667">
        <v>0.36007751478183281</v>
      </c>
      <c r="H667">
        <v>1.606232622183341E-217</v>
      </c>
      <c r="I667">
        <v>1.243297617476265E-216</v>
      </c>
      <c r="J667">
        <v>0.35229292658782918</v>
      </c>
      <c r="K667">
        <v>1.144397071991826E-207</v>
      </c>
      <c r="L667">
        <v>6.2054472245973868E-207</v>
      </c>
      <c r="M667">
        <v>0.24343490875104101</v>
      </c>
      <c r="N667">
        <v>6.6049885991066644E-209</v>
      </c>
      <c r="O667">
        <v>3.871363259823212E-208</v>
      </c>
      <c r="P667">
        <v>0.129655816651461</v>
      </c>
      <c r="Q667">
        <v>0.82259753473334041</v>
      </c>
      <c r="R667">
        <v>9.2521287466144333</v>
      </c>
      <c r="S667">
        <v>0.23493198928272321</v>
      </c>
      <c r="T667">
        <v>0.1787611416755131</v>
      </c>
      <c r="U667">
        <v>4.2625965936405663</v>
      </c>
      <c r="V667">
        <v>0.11023909988438001</v>
      </c>
      <c r="W667">
        <v>12.7585301961059</v>
      </c>
      <c r="X667">
        <v>0.25184136213297581</v>
      </c>
      <c r="Z667" t="s">
        <v>392</v>
      </c>
      <c r="AA667">
        <v>140</v>
      </c>
      <c r="AB667" t="s">
        <v>2072</v>
      </c>
      <c r="AC667" t="str">
        <f>HYPERLINK("plots/20251231112652_3FT6Y119H04_05543_B21P_N_UFLEX98_M5358A8BA201511/dpll_52084/txpa_55248.png","plot")</f>
        <v>plot</v>
      </c>
    </row>
    <row r="668" spans="1:29" x14ac:dyDescent="0.35">
      <c r="A668" t="s">
        <v>47</v>
      </c>
      <c r="B668">
        <v>52084</v>
      </c>
      <c r="C668" t="s">
        <v>52</v>
      </c>
      <c r="D668">
        <v>55249</v>
      </c>
      <c r="E668" t="s">
        <v>382</v>
      </c>
      <c r="F668">
        <v>7139</v>
      </c>
      <c r="G668">
        <v>0.31109827368368542</v>
      </c>
      <c r="H668">
        <v>5.3371100529186493E-160</v>
      </c>
      <c r="I668">
        <v>1.4786419654807411E-159</v>
      </c>
      <c r="J668">
        <v>0.27280695450343229</v>
      </c>
      <c r="K668">
        <v>4.7939711558035778E-122</v>
      </c>
      <c r="L668">
        <v>1.061372653271797E-121</v>
      </c>
      <c r="M668">
        <v>0.1823792809123074</v>
      </c>
      <c r="N668">
        <v>3.7981041452325612E-118</v>
      </c>
      <c r="O668">
        <v>8.3723426157952538E-118</v>
      </c>
      <c r="P668">
        <v>9.6782135888969237E-2</v>
      </c>
      <c r="Q668">
        <v>0.76444305833923176</v>
      </c>
      <c r="R668">
        <v>9.5277426592103023</v>
      </c>
      <c r="S668">
        <v>0.25742400264368748</v>
      </c>
      <c r="T668">
        <v>0.20493645004105121</v>
      </c>
      <c r="U668">
        <v>4.2625965936405663</v>
      </c>
      <c r="V668">
        <v>0.11023909988438001</v>
      </c>
      <c r="W668">
        <v>12.786255035719289</v>
      </c>
      <c r="X668">
        <v>0.27088390323201877</v>
      </c>
      <c r="Z668" t="s">
        <v>392</v>
      </c>
      <c r="AA668">
        <v>140</v>
      </c>
      <c r="AB668" t="s">
        <v>2073</v>
      </c>
      <c r="AC668" t="str">
        <f>HYPERLINK("plots/20251231112652_3FT6Y119H04_05543_B21P_N_UFLEX98_M5358A8BA201511/dpll_52084/txpa_55249.png","plot")</f>
        <v>plot</v>
      </c>
    </row>
    <row r="669" spans="1:29" x14ac:dyDescent="0.35">
      <c r="A669" t="s">
        <v>47</v>
      </c>
      <c r="B669">
        <v>52084</v>
      </c>
      <c r="C669" t="s">
        <v>52</v>
      </c>
      <c r="D669">
        <v>55250</v>
      </c>
      <c r="E669" t="s">
        <v>383</v>
      </c>
      <c r="F669">
        <v>7139</v>
      </c>
      <c r="G669">
        <v>0.25264320695134479</v>
      </c>
      <c r="H669">
        <v>2.256438918179745E-104</v>
      </c>
      <c r="I669">
        <v>3.7386095801213417E-104</v>
      </c>
      <c r="J669">
        <v>0.22538772804885199</v>
      </c>
      <c r="K669">
        <v>6.6492507059344481E-83</v>
      </c>
      <c r="L669">
        <v>1.070212732669449E-82</v>
      </c>
      <c r="M669">
        <v>0.15239059103890659</v>
      </c>
      <c r="N669">
        <v>4.5274612782126067E-83</v>
      </c>
      <c r="O669">
        <v>7.3453531777721337E-83</v>
      </c>
      <c r="P669">
        <v>6.3828590018660036E-2</v>
      </c>
      <c r="Q669">
        <v>0.75890183672147693</v>
      </c>
      <c r="R669">
        <v>9.7503564364465678</v>
      </c>
      <c r="S669">
        <v>0.32037668605963249</v>
      </c>
      <c r="T669">
        <v>0.26257927969141309</v>
      </c>
      <c r="U669">
        <v>4.2625965936405663</v>
      </c>
      <c r="V669">
        <v>0.11023909988438001</v>
      </c>
      <c r="W669">
        <v>12.9852488205631</v>
      </c>
      <c r="X669">
        <v>0.33114151926075802</v>
      </c>
      <c r="Z669" t="s">
        <v>392</v>
      </c>
      <c r="AA669">
        <v>140</v>
      </c>
      <c r="AB669" t="s">
        <v>2074</v>
      </c>
      <c r="AC669" t="str">
        <f>HYPERLINK("plots/20251231112652_3FT6Y119H04_05543_B21P_N_UFLEX98_M5358A8BA201511/dpll_52084/txpa_55250.png","plot")</f>
        <v>plot</v>
      </c>
    </row>
    <row r="670" spans="1:29" x14ac:dyDescent="0.35">
      <c r="A670" t="s">
        <v>47</v>
      </c>
      <c r="B670">
        <v>52084</v>
      </c>
      <c r="C670" t="s">
        <v>52</v>
      </c>
      <c r="D670">
        <v>55251</v>
      </c>
      <c r="E670" t="s">
        <v>384</v>
      </c>
      <c r="F670">
        <v>7139</v>
      </c>
      <c r="G670">
        <v>0.23606200257388421</v>
      </c>
      <c r="H670">
        <v>5.4908845898261679E-91</v>
      </c>
      <c r="I670">
        <v>8.2241609661502717E-91</v>
      </c>
      <c r="J670">
        <v>0.22848544024806439</v>
      </c>
      <c r="K670">
        <v>3.308411940487545E-85</v>
      </c>
      <c r="L670">
        <v>5.4195956504917127E-85</v>
      </c>
      <c r="M670">
        <v>0.15591084442909539</v>
      </c>
      <c r="N670">
        <v>7.2835002373729769E-87</v>
      </c>
      <c r="O670">
        <v>1.23296648425646E-86</v>
      </c>
      <c r="P670">
        <v>5.5725269059192492E-2</v>
      </c>
      <c r="Q670">
        <v>0.7516938746043853</v>
      </c>
      <c r="R670">
        <v>10.07675642210345</v>
      </c>
      <c r="S670">
        <v>0.3410902831692525</v>
      </c>
      <c r="T670">
        <v>0.27728439030443858</v>
      </c>
      <c r="U670">
        <v>4.2625965936405663</v>
      </c>
      <c r="V670">
        <v>0.11023909988438001</v>
      </c>
      <c r="W670">
        <v>13.28092417145259</v>
      </c>
      <c r="X670">
        <v>0.35103513153945048</v>
      </c>
      <c r="Z670" t="s">
        <v>392</v>
      </c>
      <c r="AA670">
        <v>140</v>
      </c>
      <c r="AB670" t="s">
        <v>2075</v>
      </c>
      <c r="AC670" t="str">
        <f>HYPERLINK("plots/20251231112652_3FT6Y119H04_05543_B21P_N_UFLEX98_M5358A8BA201511/dpll_52084/txpa_55251.png","plot")</f>
        <v>plot</v>
      </c>
    </row>
    <row r="671" spans="1:29" x14ac:dyDescent="0.35">
      <c r="A671" t="s">
        <v>47</v>
      </c>
      <c r="B671">
        <v>52084</v>
      </c>
      <c r="C671" t="s">
        <v>52</v>
      </c>
      <c r="D671">
        <v>55252</v>
      </c>
      <c r="E671" t="s">
        <v>385</v>
      </c>
      <c r="F671">
        <v>7139</v>
      </c>
      <c r="G671">
        <v>0.33901658552217212</v>
      </c>
      <c r="H671">
        <v>1.6989688896844761E-191</v>
      </c>
      <c r="I671">
        <v>7.52294521458541E-191</v>
      </c>
      <c r="J671">
        <v>0.3486760849913712</v>
      </c>
      <c r="K671">
        <v>3.4870765133666278E-203</v>
      </c>
      <c r="L671">
        <v>1.7679477922768811E-202</v>
      </c>
      <c r="M671">
        <v>0.2379576192421087</v>
      </c>
      <c r="N671">
        <v>1.0501961642747821E-199</v>
      </c>
      <c r="O671">
        <v>5.2980045302220358E-199</v>
      </c>
      <c r="P671">
        <v>0.11493224525911221</v>
      </c>
      <c r="Q671">
        <v>0.81261177143769991</v>
      </c>
      <c r="R671">
        <v>9.7284711710810114</v>
      </c>
      <c r="S671">
        <v>0.24857397791356639</v>
      </c>
      <c r="T671">
        <v>0.18745981424872249</v>
      </c>
      <c r="U671">
        <v>4.2625965936405663</v>
      </c>
      <c r="V671">
        <v>0.11023909988438001</v>
      </c>
      <c r="W671">
        <v>13.19230733996358</v>
      </c>
      <c r="X671">
        <v>0.26423955070152422</v>
      </c>
      <c r="Z671" t="s">
        <v>392</v>
      </c>
      <c r="AA671">
        <v>140</v>
      </c>
      <c r="AB671" t="s">
        <v>2076</v>
      </c>
      <c r="AC671" t="str">
        <f>HYPERLINK("plots/20251231112652_3FT6Y119H04_05543_B21P_N_UFLEX98_M5358A8BA201511/dpll_52084/txpa_55252.png","plot")</f>
        <v>plot</v>
      </c>
    </row>
    <row r="672" spans="1:29" x14ac:dyDescent="0.35">
      <c r="A672" t="s">
        <v>47</v>
      </c>
      <c r="B672">
        <v>52084</v>
      </c>
      <c r="C672" t="s">
        <v>52</v>
      </c>
      <c r="D672">
        <v>55253</v>
      </c>
      <c r="E672" t="s">
        <v>386</v>
      </c>
      <c r="F672">
        <v>7139</v>
      </c>
      <c r="G672">
        <v>0.28927322206011902</v>
      </c>
      <c r="H672">
        <v>1.2028253431361361E-137</v>
      </c>
      <c r="I672">
        <v>2.6342654383154248E-137</v>
      </c>
      <c r="J672">
        <v>0.27678880835045799</v>
      </c>
      <c r="K672">
        <v>1.013503841829898E-125</v>
      </c>
      <c r="L672">
        <v>2.3146236387736859E-125</v>
      </c>
      <c r="M672">
        <v>0.18665078990811931</v>
      </c>
      <c r="N672">
        <v>1.185815136340817E-123</v>
      </c>
      <c r="O672">
        <v>2.7265681366203821E-123</v>
      </c>
      <c r="P672">
        <v>8.3678997001042893E-2</v>
      </c>
      <c r="Q672">
        <v>0.80584655600463373</v>
      </c>
      <c r="R672">
        <v>9.8398596941562069</v>
      </c>
      <c r="S672">
        <v>0.29394980816769339</v>
      </c>
      <c r="T672">
        <v>0.23021539091876431</v>
      </c>
      <c r="U672">
        <v>4.2625965936405663</v>
      </c>
      <c r="V672">
        <v>0.11023909988438001</v>
      </c>
      <c r="W672">
        <v>13.27485847877854</v>
      </c>
      <c r="X672">
        <v>0.3070999740183899</v>
      </c>
      <c r="Z672" t="s">
        <v>392</v>
      </c>
      <c r="AA672">
        <v>140</v>
      </c>
      <c r="AB672" t="s">
        <v>2077</v>
      </c>
      <c r="AC672" t="str">
        <f>HYPERLINK("plots/20251231112652_3FT6Y119H04_05543_B21P_N_UFLEX98_M5358A8BA201511/dpll_52084/txpa_55253.png","plot")</f>
        <v>plot</v>
      </c>
    </row>
    <row r="673" spans="1:29" x14ac:dyDescent="0.35">
      <c r="A673" t="s">
        <v>47</v>
      </c>
      <c r="B673">
        <v>52084</v>
      </c>
      <c r="C673" t="s">
        <v>52</v>
      </c>
      <c r="D673">
        <v>55254</v>
      </c>
      <c r="E673" t="s">
        <v>387</v>
      </c>
      <c r="F673">
        <v>7139</v>
      </c>
      <c r="G673">
        <v>0.35123354353021108</v>
      </c>
      <c r="H673">
        <v>2.3880611804968991E-206</v>
      </c>
      <c r="I673">
        <v>1.4413654982284859E-205</v>
      </c>
      <c r="J673">
        <v>0.35311117297538008</v>
      </c>
      <c r="K673">
        <v>1.086325262947351E-208</v>
      </c>
      <c r="L673">
        <v>6.0193104733804039E-208</v>
      </c>
      <c r="M673">
        <v>0.2437940454312848</v>
      </c>
      <c r="N673">
        <v>1.6179783430807921E-209</v>
      </c>
      <c r="O673">
        <v>9.8241319753528331E-209</v>
      </c>
      <c r="P673">
        <v>0.1233650021007887</v>
      </c>
      <c r="Q673">
        <v>0.85024485346393075</v>
      </c>
      <c r="R673">
        <v>9.6422151440827459</v>
      </c>
      <c r="S673">
        <v>0.2498404010900506</v>
      </c>
      <c r="T673">
        <v>0.1870150076809641</v>
      </c>
      <c r="U673">
        <v>4.2625965936405663</v>
      </c>
      <c r="V673">
        <v>0.11023909988438001</v>
      </c>
      <c r="W673">
        <v>13.26646596021852</v>
      </c>
      <c r="X673">
        <v>0.26686012499010708</v>
      </c>
      <c r="Z673" t="s">
        <v>392</v>
      </c>
      <c r="AA673">
        <v>140</v>
      </c>
      <c r="AB673" t="s">
        <v>2078</v>
      </c>
      <c r="AC673" t="str">
        <f>HYPERLINK("plots/20251231112652_3FT6Y119H04_05543_B21P_N_UFLEX98_M5358A8BA201511/dpll_52084/txpa_55254.png","plot")</f>
        <v>plot</v>
      </c>
    </row>
    <row r="674" spans="1:29" x14ac:dyDescent="0.35">
      <c r="A674" t="s">
        <v>47</v>
      </c>
      <c r="B674">
        <v>52084</v>
      </c>
      <c r="C674" t="s">
        <v>52</v>
      </c>
      <c r="D674">
        <v>55255</v>
      </c>
      <c r="E674" t="s">
        <v>388</v>
      </c>
      <c r="F674">
        <v>7139</v>
      </c>
      <c r="G674">
        <v>0.30454058875305612</v>
      </c>
      <c r="H674">
        <v>4.448746775251701E-153</v>
      </c>
      <c r="I674">
        <v>1.1686604223070529E-152</v>
      </c>
      <c r="J674">
        <v>0.2760335182637868</v>
      </c>
      <c r="K674">
        <v>5.1007611752833687E-125</v>
      </c>
      <c r="L674">
        <v>1.1596797829007479E-124</v>
      </c>
      <c r="M674">
        <v>0.18570418261927199</v>
      </c>
      <c r="N674">
        <v>2.0183000759514851E-122</v>
      </c>
      <c r="O674">
        <v>4.58869120406907E-122</v>
      </c>
      <c r="P674">
        <v>9.274497019805801E-2</v>
      </c>
      <c r="Q674">
        <v>0.83127833587995303</v>
      </c>
      <c r="R674">
        <v>9.7029048642071469</v>
      </c>
      <c r="S674">
        <v>0.28659671690424432</v>
      </c>
      <c r="T674">
        <v>0.2273641430132336</v>
      </c>
      <c r="U674">
        <v>4.2625965936405663</v>
      </c>
      <c r="V674">
        <v>0.11023909988438001</v>
      </c>
      <c r="W674">
        <v>13.246309067096229</v>
      </c>
      <c r="X674">
        <v>0.30091021980357208</v>
      </c>
      <c r="Z674" t="s">
        <v>392</v>
      </c>
      <c r="AA674">
        <v>140</v>
      </c>
      <c r="AB674" t="s">
        <v>2079</v>
      </c>
      <c r="AC674" t="str">
        <f>HYPERLINK("plots/20251231112652_3FT6Y119H04_05543_B21P_N_UFLEX98_M5358A8BA201511/dpll_52084/txpa_55255.png","plot")</f>
        <v>plot</v>
      </c>
    </row>
    <row r="675" spans="1:29" x14ac:dyDescent="0.35">
      <c r="A675" t="s">
        <v>47</v>
      </c>
      <c r="B675">
        <v>52084</v>
      </c>
      <c r="C675" t="s">
        <v>52</v>
      </c>
      <c r="D675">
        <v>55256</v>
      </c>
      <c r="E675" t="s">
        <v>389</v>
      </c>
      <c r="F675">
        <v>7139</v>
      </c>
      <c r="G675">
        <v>0.36361484843901049</v>
      </c>
      <c r="H675">
        <v>4.3300309484959251E-222</v>
      </c>
      <c r="I675">
        <v>3.8855321962609451E-221</v>
      </c>
      <c r="J675">
        <v>0.3647585026634737</v>
      </c>
      <c r="K675">
        <v>1.4019873114810791E-223</v>
      </c>
      <c r="L675">
        <v>1.119381995151034E-222</v>
      </c>
      <c r="M675">
        <v>0.25324309460329891</v>
      </c>
      <c r="N675">
        <v>6.606545216569495E-226</v>
      </c>
      <c r="O675">
        <v>5.9283511943375822E-225</v>
      </c>
      <c r="P675">
        <v>0.13221575800532459</v>
      </c>
      <c r="Q675">
        <v>0.83422903705706264</v>
      </c>
      <c r="R675">
        <v>9.6369765682712849</v>
      </c>
      <c r="S675">
        <v>0.23558889317377321</v>
      </c>
      <c r="T675">
        <v>0.17665617059082769</v>
      </c>
      <c r="U675">
        <v>4.2625965936405663</v>
      </c>
      <c r="V675">
        <v>0.11023909988438001</v>
      </c>
      <c r="W675">
        <v>13.19295841994677</v>
      </c>
      <c r="X675">
        <v>0.25291777422562828</v>
      </c>
      <c r="Z675" t="s">
        <v>392</v>
      </c>
      <c r="AA675">
        <v>140</v>
      </c>
      <c r="AB675" t="s">
        <v>2080</v>
      </c>
      <c r="AC675" t="str">
        <f>HYPERLINK("plots/20251231112652_3FT6Y119H04_05543_B21P_N_UFLEX98_M5358A8BA201511/dpll_52084/txpa_55256.png","plot")</f>
        <v>plot</v>
      </c>
    </row>
    <row r="676" spans="1:29" x14ac:dyDescent="0.35">
      <c r="A676" t="s">
        <v>47</v>
      </c>
      <c r="B676">
        <v>52084</v>
      </c>
      <c r="C676" t="s">
        <v>52</v>
      </c>
      <c r="D676">
        <v>55257</v>
      </c>
      <c r="E676" t="s">
        <v>390</v>
      </c>
      <c r="F676">
        <v>7139</v>
      </c>
      <c r="G676">
        <v>0.31478328080508428</v>
      </c>
      <c r="H676">
        <v>5.7512649479358734E-164</v>
      </c>
      <c r="I676">
        <v>1.6903717846976741E-163</v>
      </c>
      <c r="J676">
        <v>0.28817857422199428</v>
      </c>
      <c r="K676">
        <v>1.4143626397775299E-136</v>
      </c>
      <c r="L676">
        <v>3.5411449795911491E-136</v>
      </c>
      <c r="M676">
        <v>0.19339166314038531</v>
      </c>
      <c r="N676">
        <v>1.342184383481951E-132</v>
      </c>
      <c r="O676">
        <v>3.3521550858391578E-132</v>
      </c>
      <c r="P676">
        <v>9.9088513874412573E-2</v>
      </c>
      <c r="Q676">
        <v>0.77439340240182752</v>
      </c>
      <c r="R676">
        <v>9.944734390962136</v>
      </c>
      <c r="S676">
        <v>0.25739273706983501</v>
      </c>
      <c r="T676">
        <v>0.20128636042292339</v>
      </c>
      <c r="U676">
        <v>4.2625965936405663</v>
      </c>
      <c r="V676">
        <v>0.11023909988438001</v>
      </c>
      <c r="W676">
        <v>13.24566107017789</v>
      </c>
      <c r="X676">
        <v>0.27119747725750598</v>
      </c>
      <c r="Z676" t="s">
        <v>392</v>
      </c>
      <c r="AA676">
        <v>140</v>
      </c>
      <c r="AB676" t="s">
        <v>2081</v>
      </c>
      <c r="AC676" t="str">
        <f>HYPERLINK("plots/20251231112652_3FT6Y119H04_05543_B21P_N_UFLEX98_M5358A8BA201511/dpll_52084/txpa_55257.png","plot")</f>
        <v>plot</v>
      </c>
    </row>
    <row r="677" spans="1:29" x14ac:dyDescent="0.35">
      <c r="A677" t="s">
        <v>47</v>
      </c>
      <c r="B677">
        <v>52084</v>
      </c>
      <c r="C677" t="s">
        <v>52</v>
      </c>
      <c r="D677">
        <v>55258</v>
      </c>
      <c r="E677" t="s">
        <v>391</v>
      </c>
      <c r="F677">
        <v>7139</v>
      </c>
      <c r="G677">
        <v>0.25801588096369288</v>
      </c>
      <c r="H677">
        <v>6.248411504293227E-109</v>
      </c>
      <c r="I677">
        <v>1.07570276152009E-108</v>
      </c>
      <c r="J677">
        <v>0.22909603104918691</v>
      </c>
      <c r="K677">
        <v>1.1522543131795471E-85</v>
      </c>
      <c r="L677">
        <v>1.8967303142273709E-85</v>
      </c>
      <c r="M677">
        <v>0.1551386297471499</v>
      </c>
      <c r="N677">
        <v>5.0333022114986073E-86</v>
      </c>
      <c r="O677">
        <v>8.3805721551060549E-86</v>
      </c>
      <c r="P677">
        <v>6.6572194829470535E-2</v>
      </c>
      <c r="Q677">
        <v>0.78456437030637605</v>
      </c>
      <c r="R677">
        <v>10.053555456949709</v>
      </c>
      <c r="S677">
        <v>0.32383795615839223</v>
      </c>
      <c r="T677">
        <v>0.26682653714969162</v>
      </c>
      <c r="U677">
        <v>4.2625965936405663</v>
      </c>
      <c r="V677">
        <v>0.11023909988438001</v>
      </c>
      <c r="W677">
        <v>13.39783686930943</v>
      </c>
      <c r="X677">
        <v>0.33521064541023687</v>
      </c>
      <c r="Z677" t="s">
        <v>392</v>
      </c>
      <c r="AA677">
        <v>140</v>
      </c>
      <c r="AB677" t="s">
        <v>2082</v>
      </c>
      <c r="AC677" t="str">
        <f>HYPERLINK("plots/20251231112652_3FT6Y119H04_05543_B21P_N_UFLEX98_M5358A8BA201511/dpll_52084/txpa_55258.png","plot")</f>
        <v>plot</v>
      </c>
    </row>
    <row r="678" spans="1:29" x14ac:dyDescent="0.35">
      <c r="A678" t="s">
        <v>47</v>
      </c>
      <c r="B678">
        <v>52094</v>
      </c>
      <c r="C678" t="s">
        <v>53</v>
      </c>
      <c r="D678">
        <v>53179</v>
      </c>
      <c r="E678" t="s">
        <v>54</v>
      </c>
      <c r="F678">
        <v>7128</v>
      </c>
      <c r="G678">
        <v>0.10112076899412591</v>
      </c>
      <c r="H678">
        <v>1.150242988333493E-17</v>
      </c>
      <c r="I678">
        <v>1.1651812089612E-17</v>
      </c>
      <c r="J678">
        <v>0.1001233554709036</v>
      </c>
      <c r="K678">
        <v>2.3919805554885041E-17</v>
      </c>
      <c r="L678">
        <v>2.423045238027316E-17</v>
      </c>
      <c r="M678">
        <v>6.6547905982648523E-2</v>
      </c>
      <c r="N678">
        <v>3.713257796863968E-17</v>
      </c>
      <c r="O678">
        <v>3.7614819240959668E-17</v>
      </c>
      <c r="P678">
        <v>1.022540992196337E-2</v>
      </c>
      <c r="Q678">
        <v>0.55816595755117171</v>
      </c>
      <c r="R678">
        <v>-21.615047940560149</v>
      </c>
      <c r="S678">
        <v>0.68182612650881469</v>
      </c>
      <c r="T678">
        <v>0.52116001389132505</v>
      </c>
      <c r="U678">
        <v>4.2554948735970823</v>
      </c>
      <c r="V678">
        <v>0.1241689397863896</v>
      </c>
      <c r="W678">
        <v>-19.23977556958474</v>
      </c>
      <c r="X678">
        <v>0.68538714512752552</v>
      </c>
      <c r="Z678" t="s">
        <v>392</v>
      </c>
      <c r="AA678">
        <v>140</v>
      </c>
      <c r="AB678" t="s">
        <v>2083</v>
      </c>
      <c r="AC678" t="str">
        <f>HYPERLINK("plots/20251231112652_3FT6Y119H04_05543_B21P_N_UFLEX98_M5358A8BA201511/dpll_52094/txpa_53179.png","plot")</f>
        <v>plot</v>
      </c>
    </row>
    <row r="679" spans="1:29" x14ac:dyDescent="0.35">
      <c r="A679" t="s">
        <v>47</v>
      </c>
      <c r="B679">
        <v>52094</v>
      </c>
      <c r="C679" t="s">
        <v>53</v>
      </c>
      <c r="D679">
        <v>53180</v>
      </c>
      <c r="E679" t="s">
        <v>55</v>
      </c>
      <c r="F679">
        <v>7127</v>
      </c>
      <c r="G679">
        <v>8.6184751862358119E-2</v>
      </c>
      <c r="H679">
        <v>3.1426700369855259E-13</v>
      </c>
      <c r="I679">
        <v>3.1613764062532969E-13</v>
      </c>
      <c r="J679">
        <v>8.2567078121452045E-2</v>
      </c>
      <c r="K679">
        <v>2.9279214888788491E-12</v>
      </c>
      <c r="L679">
        <v>2.945349592979319E-12</v>
      </c>
      <c r="M679">
        <v>5.5211873592456988E-2</v>
      </c>
      <c r="N679">
        <v>2.8131101779024758E-12</v>
      </c>
      <c r="O679">
        <v>2.8298548813423719E-12</v>
      </c>
      <c r="P679">
        <v>7.4278114535762411E-3</v>
      </c>
      <c r="Q679">
        <v>0.48067579661790788</v>
      </c>
      <c r="R679">
        <v>-21.140005957942389</v>
      </c>
      <c r="S679">
        <v>0.68986065297970811</v>
      </c>
      <c r="T679">
        <v>0.52729053881119581</v>
      </c>
      <c r="U679">
        <v>4.2555517054861793</v>
      </c>
      <c r="V679">
        <v>0.1241620788109218</v>
      </c>
      <c r="W679">
        <v>-19.09446525185913</v>
      </c>
      <c r="X679">
        <v>0.69248567585934895</v>
      </c>
      <c r="Z679" t="s">
        <v>392</v>
      </c>
      <c r="AA679">
        <v>140</v>
      </c>
      <c r="AB679" t="s">
        <v>2084</v>
      </c>
      <c r="AC679" t="str">
        <f>HYPERLINK("plots/20251231112652_3FT6Y119H04_05543_B21P_N_UFLEX98_M5358A8BA201511/dpll_52094/txpa_53180.png","plot")</f>
        <v>plot</v>
      </c>
    </row>
    <row r="680" spans="1:29" x14ac:dyDescent="0.35">
      <c r="A680" t="s">
        <v>47</v>
      </c>
      <c r="B680">
        <v>52094</v>
      </c>
      <c r="C680" t="s">
        <v>53</v>
      </c>
      <c r="D680">
        <v>53181</v>
      </c>
      <c r="E680" t="s">
        <v>56</v>
      </c>
      <c r="F680">
        <v>7134</v>
      </c>
      <c r="G680">
        <v>0.11568786024304641</v>
      </c>
      <c r="H680">
        <v>1.0976718325072061E-22</v>
      </c>
      <c r="I680">
        <v>1.126557933362659E-22</v>
      </c>
      <c r="J680">
        <v>0.1130155949147276</v>
      </c>
      <c r="K680">
        <v>1.02200161176373E-21</v>
      </c>
      <c r="L680">
        <v>1.071674906234149E-21</v>
      </c>
      <c r="M680">
        <v>7.540570920632475E-2</v>
      </c>
      <c r="N680">
        <v>1.3385934558898449E-21</v>
      </c>
      <c r="O680">
        <v>1.402204301934197E-21</v>
      </c>
      <c r="P680">
        <v>1.3383681007614631E-2</v>
      </c>
      <c r="Q680">
        <v>0.59370510721051584</v>
      </c>
      <c r="R680">
        <v>-21.41194029541629</v>
      </c>
      <c r="S680">
        <v>0.63296625184794031</v>
      </c>
      <c r="T680">
        <v>0.4841646672894046</v>
      </c>
      <c r="U680">
        <v>4.2555429872441826</v>
      </c>
      <c r="V680">
        <v>0.124180628043302</v>
      </c>
      <c r="W680">
        <v>-18.885402689935521</v>
      </c>
      <c r="X680">
        <v>0.63728962512597975</v>
      </c>
      <c r="Z680" t="s">
        <v>392</v>
      </c>
      <c r="AA680">
        <v>140</v>
      </c>
      <c r="AB680" t="s">
        <v>2085</v>
      </c>
      <c r="AC680" t="str">
        <f>HYPERLINK("plots/20251231112652_3FT6Y119H04_05543_B21P_N_UFLEX98_M5358A8BA201511/dpll_52094/txpa_53181.png","plot")</f>
        <v>plot</v>
      </c>
    </row>
    <row r="681" spans="1:29" x14ac:dyDescent="0.35">
      <c r="A681" t="s">
        <v>47</v>
      </c>
      <c r="B681">
        <v>52094</v>
      </c>
      <c r="C681" t="s">
        <v>53</v>
      </c>
      <c r="D681">
        <v>53182</v>
      </c>
      <c r="E681" t="s">
        <v>57</v>
      </c>
      <c r="F681">
        <v>7134</v>
      </c>
      <c r="G681">
        <v>0.1056549583042686</v>
      </c>
      <c r="H681">
        <v>3.6387418128082509E-19</v>
      </c>
      <c r="I681">
        <v>3.6933775757633299E-19</v>
      </c>
      <c r="J681">
        <v>0.1027168858844786</v>
      </c>
      <c r="K681">
        <v>3.399668128150132E-18</v>
      </c>
      <c r="L681">
        <v>3.450714196140375E-18</v>
      </c>
      <c r="M681">
        <v>6.8491913423665507E-2</v>
      </c>
      <c r="N681">
        <v>4.2670363733365669E-18</v>
      </c>
      <c r="O681">
        <v>4.3311059885518304E-18</v>
      </c>
      <c r="P681">
        <v>1.116297021427673E-2</v>
      </c>
      <c r="Q681">
        <v>0.54969774334182198</v>
      </c>
      <c r="R681">
        <v>-21.205065375183359</v>
      </c>
      <c r="S681">
        <v>0.64208905683496742</v>
      </c>
      <c r="T681">
        <v>0.49100376847012273</v>
      </c>
      <c r="U681">
        <v>4.2554628760863471</v>
      </c>
      <c r="V681">
        <v>0.1241164304565746</v>
      </c>
      <c r="W681">
        <v>-18.865847035323799</v>
      </c>
      <c r="X681">
        <v>0.64574841378613057</v>
      </c>
      <c r="Z681" t="s">
        <v>392</v>
      </c>
      <c r="AA681">
        <v>140</v>
      </c>
      <c r="AB681" t="s">
        <v>2086</v>
      </c>
      <c r="AC681" t="str">
        <f>HYPERLINK("plots/20251231112652_3FT6Y119H04_05543_B21P_N_UFLEX98_M5358A8BA201511/dpll_52094/txpa_53182.png","plot")</f>
        <v>plot</v>
      </c>
    </row>
    <row r="682" spans="1:29" x14ac:dyDescent="0.35">
      <c r="A682" t="s">
        <v>47</v>
      </c>
      <c r="B682">
        <v>52094</v>
      </c>
      <c r="C682" t="s">
        <v>53</v>
      </c>
      <c r="D682">
        <v>53183</v>
      </c>
      <c r="E682" t="s">
        <v>58</v>
      </c>
      <c r="F682">
        <v>7133</v>
      </c>
      <c r="G682">
        <v>0.1190750770875101</v>
      </c>
      <c r="H682">
        <v>6.0616899003622432E-24</v>
      </c>
      <c r="I682">
        <v>6.2464975192757261E-24</v>
      </c>
      <c r="J682">
        <v>0.11088964070075159</v>
      </c>
      <c r="K682">
        <v>5.8451485511453813E-21</v>
      </c>
      <c r="L682">
        <v>6.0665103693566187E-21</v>
      </c>
      <c r="M682">
        <v>7.3805945152480082E-2</v>
      </c>
      <c r="N682">
        <v>9.3129143890890243E-21</v>
      </c>
      <c r="O682">
        <v>9.665604084479295E-21</v>
      </c>
      <c r="P682">
        <v>1.417887398339647E-2</v>
      </c>
      <c r="Q682">
        <v>0.5706881493801621</v>
      </c>
      <c r="R682">
        <v>-20.993631870156591</v>
      </c>
      <c r="S682">
        <v>0.59072096388471129</v>
      </c>
      <c r="T682">
        <v>0.45247231746465882</v>
      </c>
      <c r="U682">
        <v>4.2554575227814384</v>
      </c>
      <c r="V682">
        <v>0.1241468729976876</v>
      </c>
      <c r="W682">
        <v>-18.565092691714561</v>
      </c>
      <c r="X682">
        <v>0.59499561902711351</v>
      </c>
      <c r="Z682" t="s">
        <v>392</v>
      </c>
      <c r="AA682">
        <v>140</v>
      </c>
      <c r="AB682" t="s">
        <v>2087</v>
      </c>
      <c r="AC682" t="str">
        <f>HYPERLINK("plots/20251231112652_3FT6Y119H04_05543_B21P_N_UFLEX98_M5358A8BA201511/dpll_52094/txpa_53183.png","plot")</f>
        <v>plot</v>
      </c>
    </row>
    <row r="683" spans="1:29" x14ac:dyDescent="0.35">
      <c r="A683" t="s">
        <v>47</v>
      </c>
      <c r="B683">
        <v>52094</v>
      </c>
      <c r="C683" t="s">
        <v>53</v>
      </c>
      <c r="D683">
        <v>53184</v>
      </c>
      <c r="E683" t="s">
        <v>59</v>
      </c>
      <c r="F683">
        <v>7130</v>
      </c>
      <c r="G683">
        <v>9.0277998581205318E-2</v>
      </c>
      <c r="H683">
        <v>2.218665322074249E-14</v>
      </c>
      <c r="I683">
        <v>2.242997643652332E-14</v>
      </c>
      <c r="J683">
        <v>9.8521427975035811E-2</v>
      </c>
      <c r="K683">
        <v>7.5611716602590795E-17</v>
      </c>
      <c r="L683">
        <v>7.6440957761741845E-17</v>
      </c>
      <c r="M683">
        <v>6.5929827250556322E-2</v>
      </c>
      <c r="N683">
        <v>7.1337019770459717E-17</v>
      </c>
      <c r="O683">
        <v>7.2191355336573013E-17</v>
      </c>
      <c r="P683">
        <v>8.1501170278281097E-3</v>
      </c>
      <c r="Q683">
        <v>0.45699465186474292</v>
      </c>
      <c r="R683">
        <v>-20.696724948083521</v>
      </c>
      <c r="S683">
        <v>0.62583439132243324</v>
      </c>
      <c r="T683">
        <v>0.48278466899397582</v>
      </c>
      <c r="U683">
        <v>4.2555329570827487</v>
      </c>
      <c r="V683">
        <v>0.12414742449172279</v>
      </c>
      <c r="W683">
        <v>-18.751969145862549</v>
      </c>
      <c r="X683">
        <v>0.62844447071416099</v>
      </c>
      <c r="Z683" t="s">
        <v>392</v>
      </c>
      <c r="AA683">
        <v>140</v>
      </c>
      <c r="AB683" t="s">
        <v>2088</v>
      </c>
      <c r="AC683" t="str">
        <f>HYPERLINK("plots/20251231112652_3FT6Y119H04_05543_B21P_N_UFLEX98_M5358A8BA201511/dpll_52094/txpa_53184.png","plot")</f>
        <v>plot</v>
      </c>
    </row>
    <row r="684" spans="1:29" x14ac:dyDescent="0.35">
      <c r="A684" t="s">
        <v>47</v>
      </c>
      <c r="B684">
        <v>52094</v>
      </c>
      <c r="C684" t="s">
        <v>53</v>
      </c>
      <c r="D684">
        <v>53185</v>
      </c>
      <c r="E684" t="s">
        <v>60</v>
      </c>
      <c r="F684">
        <v>7130</v>
      </c>
      <c r="G684">
        <v>0.11255231521835241</v>
      </c>
      <c r="H684">
        <v>1.535735343226566E-21</v>
      </c>
      <c r="I684">
        <v>1.5634895964174071E-21</v>
      </c>
      <c r="J684">
        <v>0.1081305431689956</v>
      </c>
      <c r="K684">
        <v>5.3994359587403461E-20</v>
      </c>
      <c r="L684">
        <v>5.5359232175558237E-20</v>
      </c>
      <c r="M684">
        <v>7.2428154973192591E-2</v>
      </c>
      <c r="N684">
        <v>4.8496457306777919E-20</v>
      </c>
      <c r="O684">
        <v>4.9823108114562119E-20</v>
      </c>
      <c r="P684">
        <v>1.2668023661011369E-2</v>
      </c>
      <c r="Q684">
        <v>0.57205754415425381</v>
      </c>
      <c r="R684">
        <v>-21.144684911889879</v>
      </c>
      <c r="S684">
        <v>0.62702197011458705</v>
      </c>
      <c r="T684">
        <v>0.48059788720580188</v>
      </c>
      <c r="U684">
        <v>4.2554876441795226</v>
      </c>
      <c r="V684">
        <v>0.12416418154671199</v>
      </c>
      <c r="W684">
        <v>-18.71030110098177</v>
      </c>
      <c r="X684">
        <v>0.63107592793393918</v>
      </c>
      <c r="Z684" t="s">
        <v>392</v>
      </c>
      <c r="AA684">
        <v>140</v>
      </c>
      <c r="AB684" t="s">
        <v>2089</v>
      </c>
      <c r="AC684" t="str">
        <f>HYPERLINK("plots/20251231112652_3FT6Y119H04_05543_B21P_N_UFLEX98_M5358A8BA201511/dpll_52094/txpa_53185.png","plot")</f>
        <v>plot</v>
      </c>
    </row>
    <row r="685" spans="1:29" x14ac:dyDescent="0.35">
      <c r="A685" t="s">
        <v>47</v>
      </c>
      <c r="B685">
        <v>52094</v>
      </c>
      <c r="C685" t="s">
        <v>53</v>
      </c>
      <c r="D685">
        <v>53186</v>
      </c>
      <c r="E685" t="s">
        <v>61</v>
      </c>
      <c r="F685">
        <v>7129</v>
      </c>
      <c r="G685">
        <v>0.13765422181888459</v>
      </c>
      <c r="H685">
        <v>1.686719340785412E-31</v>
      </c>
      <c r="I685">
        <v>1.8003509595330609E-31</v>
      </c>
      <c r="J685">
        <v>0.13686729408203721</v>
      </c>
      <c r="K685">
        <v>3.717444289618467E-31</v>
      </c>
      <c r="L685">
        <v>4.1106744925552076E-31</v>
      </c>
      <c r="M685">
        <v>9.1561197140613643E-2</v>
      </c>
      <c r="N685">
        <v>4.7413403992029946E-31</v>
      </c>
      <c r="O685">
        <v>5.2600866135578071E-31</v>
      </c>
      <c r="P685">
        <v>1.8948684784562689E-2</v>
      </c>
      <c r="Q685">
        <v>0.77212077878283469</v>
      </c>
      <c r="R685">
        <v>-22.519235923756771</v>
      </c>
      <c r="S685">
        <v>0.68962684468666824</v>
      </c>
      <c r="T685">
        <v>0.52156130874440254</v>
      </c>
      <c r="U685">
        <v>4.255490910085566</v>
      </c>
      <c r="V685">
        <v>0.12413751687182149</v>
      </c>
      <c r="W685">
        <v>-19.233482968158231</v>
      </c>
      <c r="X685">
        <v>0.69630378884673372</v>
      </c>
      <c r="Z685" t="s">
        <v>392</v>
      </c>
      <c r="AA685">
        <v>140</v>
      </c>
      <c r="AB685" t="s">
        <v>2090</v>
      </c>
      <c r="AC685" t="str">
        <f>HYPERLINK("plots/20251231112652_3FT6Y119H04_05543_B21P_N_UFLEX98_M5358A8BA201511/dpll_52094/txpa_53186.png","plot")</f>
        <v>plot</v>
      </c>
    </row>
    <row r="686" spans="1:29" x14ac:dyDescent="0.35">
      <c r="A686" t="s">
        <v>47</v>
      </c>
      <c r="B686">
        <v>52094</v>
      </c>
      <c r="C686" t="s">
        <v>53</v>
      </c>
      <c r="D686">
        <v>53187</v>
      </c>
      <c r="E686" t="s">
        <v>62</v>
      </c>
      <c r="F686">
        <v>7139</v>
      </c>
      <c r="G686">
        <v>0.2484452308849682</v>
      </c>
      <c r="H686">
        <v>6.9037381721169409E-101</v>
      </c>
      <c r="I686">
        <v>1.11117309627406E-100</v>
      </c>
      <c r="J686">
        <v>0.2352058688027753</v>
      </c>
      <c r="K686">
        <v>2.530804775949383E-90</v>
      </c>
      <c r="L686">
        <v>4.3643470115861807E-90</v>
      </c>
      <c r="M686">
        <v>0.15739910062888621</v>
      </c>
      <c r="N686">
        <v>1.7771156524200731E-88</v>
      </c>
      <c r="O686">
        <v>3.0490613731877399E-88</v>
      </c>
      <c r="P686">
        <v>6.172503274948514E-2</v>
      </c>
      <c r="Q686">
        <v>0.52519359507228158</v>
      </c>
      <c r="R686">
        <v>-10.71796123631364</v>
      </c>
      <c r="S686">
        <v>0.25418759728823959</v>
      </c>
      <c r="T686">
        <v>0.19828258008497771</v>
      </c>
      <c r="U686">
        <v>4.2555146084885838</v>
      </c>
      <c r="V686">
        <v>0.12414549193133841</v>
      </c>
      <c r="W686">
        <v>-8.4829922201989074</v>
      </c>
      <c r="X686">
        <v>0.26243376452504658</v>
      </c>
      <c r="Z686" t="s">
        <v>392</v>
      </c>
      <c r="AA686">
        <v>140</v>
      </c>
      <c r="AB686" t="s">
        <v>2091</v>
      </c>
      <c r="AC686" t="str">
        <f>HYPERLINK("plots/20251231112652_3FT6Y119H04_05543_B21P_N_UFLEX98_M5358A8BA201511/dpll_52094/txpa_53187.png","plot")</f>
        <v>plot</v>
      </c>
    </row>
    <row r="687" spans="1:29" x14ac:dyDescent="0.35">
      <c r="A687" t="s">
        <v>47</v>
      </c>
      <c r="B687">
        <v>52094</v>
      </c>
      <c r="C687" t="s">
        <v>53</v>
      </c>
      <c r="D687">
        <v>53188</v>
      </c>
      <c r="E687" t="s">
        <v>63</v>
      </c>
      <c r="F687">
        <v>7139</v>
      </c>
      <c r="G687">
        <v>0.1945481857245929</v>
      </c>
      <c r="H687">
        <v>7.728559591461031E-62</v>
      </c>
      <c r="I687">
        <v>9.4418788261945601E-62</v>
      </c>
      <c r="J687">
        <v>0.18568435129168809</v>
      </c>
      <c r="K687">
        <v>2.1253637321967329E-56</v>
      </c>
      <c r="L687">
        <v>2.7559064251246651E-56</v>
      </c>
      <c r="M687">
        <v>0.12388627318896291</v>
      </c>
      <c r="N687">
        <v>1.61051485068031E-55</v>
      </c>
      <c r="O687">
        <v>2.0803338325985149E-55</v>
      </c>
      <c r="P687">
        <v>3.784899656873069E-2</v>
      </c>
      <c r="Q687">
        <v>0.50992873219836921</v>
      </c>
      <c r="R687">
        <v>-10.59377912937674</v>
      </c>
      <c r="S687">
        <v>0.3191570566344793</v>
      </c>
      <c r="T687">
        <v>0.2567823007058363</v>
      </c>
      <c r="U687">
        <v>4.2555146084885838</v>
      </c>
      <c r="V687">
        <v>0.12414549193133841</v>
      </c>
      <c r="W687">
        <v>-8.4237699602185181</v>
      </c>
      <c r="X687">
        <v>0.3253967806120116</v>
      </c>
      <c r="Z687" t="s">
        <v>392</v>
      </c>
      <c r="AA687">
        <v>140</v>
      </c>
      <c r="AB687" t="s">
        <v>2092</v>
      </c>
      <c r="AC687" t="str">
        <f>HYPERLINK("plots/20251231112652_3FT6Y119H04_05543_B21P_N_UFLEX98_M5358A8BA201511/dpll_52094/txpa_53188.png","plot")</f>
        <v>plot</v>
      </c>
    </row>
    <row r="688" spans="1:29" x14ac:dyDescent="0.35">
      <c r="A688" t="s">
        <v>47</v>
      </c>
      <c r="B688">
        <v>52094</v>
      </c>
      <c r="C688" t="s">
        <v>53</v>
      </c>
      <c r="D688">
        <v>53189</v>
      </c>
      <c r="E688" t="s">
        <v>64</v>
      </c>
      <c r="F688">
        <v>7139</v>
      </c>
      <c r="G688">
        <v>0.2447883904885165</v>
      </c>
      <c r="H688">
        <v>6.6347939821148852E-98</v>
      </c>
      <c r="I688">
        <v>1.044670977929269E-97</v>
      </c>
      <c r="J688">
        <v>0.23444514134326611</v>
      </c>
      <c r="K688">
        <v>9.7875275534722831E-90</v>
      </c>
      <c r="L688">
        <v>1.6764447532467732E-89</v>
      </c>
      <c r="M688">
        <v>0.15682562181787199</v>
      </c>
      <c r="N688">
        <v>7.5532492497020372E-88</v>
      </c>
      <c r="O688">
        <v>1.291567409645509E-87</v>
      </c>
      <c r="P688">
        <v>5.9921356117958437E-2</v>
      </c>
      <c r="Q688">
        <v>0.50002943846509973</v>
      </c>
      <c r="R688">
        <v>-10.29366702480274</v>
      </c>
      <c r="S688">
        <v>0.24585972111776419</v>
      </c>
      <c r="T688">
        <v>0.19485542944483719</v>
      </c>
      <c r="U688">
        <v>4.2555146084885838</v>
      </c>
      <c r="V688">
        <v>0.12414549193133841</v>
      </c>
      <c r="W688">
        <v>-8.1657844447401597</v>
      </c>
      <c r="X688">
        <v>0.25359209435756652</v>
      </c>
      <c r="Z688" t="s">
        <v>392</v>
      </c>
      <c r="AA688">
        <v>140</v>
      </c>
      <c r="AB688" t="s">
        <v>2093</v>
      </c>
      <c r="AC688" t="str">
        <f>HYPERLINK("plots/20251231112652_3FT6Y119H04_05543_B21P_N_UFLEX98_M5358A8BA201511/dpll_52094/txpa_53189.png","plot")</f>
        <v>plot</v>
      </c>
    </row>
    <row r="689" spans="1:29" x14ac:dyDescent="0.35">
      <c r="A689" t="s">
        <v>47</v>
      </c>
      <c r="B689">
        <v>52094</v>
      </c>
      <c r="C689" t="s">
        <v>53</v>
      </c>
      <c r="D689">
        <v>53190</v>
      </c>
      <c r="E689" t="s">
        <v>65</v>
      </c>
      <c r="F689">
        <v>7139</v>
      </c>
      <c r="G689">
        <v>0.1993938505559632</v>
      </c>
      <c r="H689">
        <v>6.3047342925088643E-65</v>
      </c>
      <c r="I689">
        <v>7.8828613718914779E-65</v>
      </c>
      <c r="J689">
        <v>0.18676897611611321</v>
      </c>
      <c r="K689">
        <v>4.7463908912771421E-57</v>
      </c>
      <c r="L689">
        <v>6.2021138708183267E-57</v>
      </c>
      <c r="M689">
        <v>0.12522106955449669</v>
      </c>
      <c r="N689">
        <v>1.1065453742781579E-56</v>
      </c>
      <c r="O689">
        <v>1.440355596300453E-56</v>
      </c>
      <c r="P689">
        <v>3.9757907639533782E-2</v>
      </c>
      <c r="Q689">
        <v>0.48058654959882241</v>
      </c>
      <c r="R689">
        <v>-10.37867737031636</v>
      </c>
      <c r="S689">
        <v>0.29319108175868602</v>
      </c>
      <c r="T689">
        <v>0.23499417136832551</v>
      </c>
      <c r="U689">
        <v>4.2555146084885838</v>
      </c>
      <c r="V689">
        <v>0.12414549193133841</v>
      </c>
      <c r="W689">
        <v>-8.3335342878554428</v>
      </c>
      <c r="X689">
        <v>0.29922012865078312</v>
      </c>
      <c r="Z689" t="s">
        <v>392</v>
      </c>
      <c r="AA689">
        <v>140</v>
      </c>
      <c r="AB689" t="s">
        <v>2094</v>
      </c>
      <c r="AC689" t="str">
        <f>HYPERLINK("plots/20251231112652_3FT6Y119H04_05543_B21P_N_UFLEX98_M5358A8BA201511/dpll_52094/txpa_53190.png","plot")</f>
        <v>plot</v>
      </c>
    </row>
    <row r="690" spans="1:29" x14ac:dyDescent="0.35">
      <c r="A690" t="s">
        <v>47</v>
      </c>
      <c r="B690">
        <v>52094</v>
      </c>
      <c r="C690" t="s">
        <v>53</v>
      </c>
      <c r="D690">
        <v>53191</v>
      </c>
      <c r="E690" t="s">
        <v>66</v>
      </c>
      <c r="F690">
        <v>7139</v>
      </c>
      <c r="G690">
        <v>0.26279098096484138</v>
      </c>
      <c r="H690">
        <v>4.5008453065241548E-113</v>
      </c>
      <c r="I690">
        <v>8.0491307598156842E-113</v>
      </c>
      <c r="J690">
        <v>0.2436476099576268</v>
      </c>
      <c r="K690">
        <v>5.5227020358074175E-97</v>
      </c>
      <c r="L690">
        <v>1.007197817321712E-96</v>
      </c>
      <c r="M690">
        <v>0.16333826319037351</v>
      </c>
      <c r="N690">
        <v>3.9134553725545601E-95</v>
      </c>
      <c r="O690">
        <v>7.1628948515709817E-95</v>
      </c>
      <c r="P690">
        <v>6.905909967646362E-2</v>
      </c>
      <c r="Q690">
        <v>0.52539976754929363</v>
      </c>
      <c r="R690">
        <v>-10.222106246307041</v>
      </c>
      <c r="S690">
        <v>0.23946442882328001</v>
      </c>
      <c r="T690">
        <v>0.18880052734491881</v>
      </c>
      <c r="U690">
        <v>4.2555146084885838</v>
      </c>
      <c r="V690">
        <v>0.12414549193133841</v>
      </c>
      <c r="W690">
        <v>-7.9862598602045107</v>
      </c>
      <c r="X690">
        <v>0.2482049131349163</v>
      </c>
      <c r="Z690" t="s">
        <v>392</v>
      </c>
      <c r="AA690">
        <v>140</v>
      </c>
      <c r="AB690" t="s">
        <v>2095</v>
      </c>
      <c r="AC690" t="str">
        <f>HYPERLINK("plots/20251231112652_3FT6Y119H04_05543_B21P_N_UFLEX98_M5358A8BA201511/dpll_52094/txpa_53191.png","plot")</f>
        <v>plot</v>
      </c>
    </row>
    <row r="691" spans="1:29" x14ac:dyDescent="0.35">
      <c r="A691" t="s">
        <v>47</v>
      </c>
      <c r="B691">
        <v>52094</v>
      </c>
      <c r="C691" t="s">
        <v>53</v>
      </c>
      <c r="D691">
        <v>53192</v>
      </c>
      <c r="E691" t="s">
        <v>67</v>
      </c>
      <c r="F691">
        <v>7139</v>
      </c>
      <c r="G691">
        <v>0.2153364981191401</v>
      </c>
      <c r="H691">
        <v>1.143697007294197E-75</v>
      </c>
      <c r="I691">
        <v>1.5219275136434591E-75</v>
      </c>
      <c r="J691">
        <v>0.21503269958283691</v>
      </c>
      <c r="K691">
        <v>1.8680363566800341E-75</v>
      </c>
      <c r="L691">
        <v>2.802054535020051E-75</v>
      </c>
      <c r="M691">
        <v>0.14465325467545401</v>
      </c>
      <c r="N691">
        <v>5.0380182010749804E-75</v>
      </c>
      <c r="O691">
        <v>7.5347351856785115E-75</v>
      </c>
      <c r="P691">
        <v>4.6369807422214422E-2</v>
      </c>
      <c r="Q691">
        <v>0.50804437349406795</v>
      </c>
      <c r="R691">
        <v>-10.27399695172166</v>
      </c>
      <c r="S691">
        <v>0.28600559608594339</v>
      </c>
      <c r="T691">
        <v>0.22528769654089459</v>
      </c>
      <c r="U691">
        <v>4.2555146084885838</v>
      </c>
      <c r="V691">
        <v>0.12414549193133841</v>
      </c>
      <c r="W691">
        <v>-8.1120066985572201</v>
      </c>
      <c r="X691">
        <v>0.29289702034382448</v>
      </c>
      <c r="Z691" t="s">
        <v>392</v>
      </c>
      <c r="AA691">
        <v>140</v>
      </c>
      <c r="AB691" t="s">
        <v>2096</v>
      </c>
      <c r="AC691" t="str">
        <f>HYPERLINK("plots/20251231112652_3FT6Y119H04_05543_B21P_N_UFLEX98_M5358A8BA201511/dpll_52094/txpa_53192.png","plot")</f>
        <v>plot</v>
      </c>
    </row>
    <row r="692" spans="1:29" x14ac:dyDescent="0.35">
      <c r="A692" t="s">
        <v>47</v>
      </c>
      <c r="B692">
        <v>52094</v>
      </c>
      <c r="C692" t="s">
        <v>53</v>
      </c>
      <c r="D692">
        <v>53193</v>
      </c>
      <c r="E692" t="s">
        <v>68</v>
      </c>
      <c r="F692">
        <v>7139</v>
      </c>
      <c r="G692">
        <v>0.232737427744864</v>
      </c>
      <c r="H692">
        <v>2.002759616601338E-88</v>
      </c>
      <c r="I692">
        <v>2.9136273331904689E-88</v>
      </c>
      <c r="J692">
        <v>0.22142351819050499</v>
      </c>
      <c r="K692">
        <v>5.2445153922828342E-80</v>
      </c>
      <c r="L692">
        <v>8.106613731364015E-80</v>
      </c>
      <c r="M692">
        <v>0.14926173961108899</v>
      </c>
      <c r="N692">
        <v>9.2695772511012789E-80</v>
      </c>
      <c r="O692">
        <v>1.4527590931401389E-79</v>
      </c>
      <c r="P692">
        <v>5.4166710273295803E-2</v>
      </c>
      <c r="Q692">
        <v>0.52978944542185935</v>
      </c>
      <c r="R692">
        <v>-10.21820346275449</v>
      </c>
      <c r="S692">
        <v>0.274817828786178</v>
      </c>
      <c r="T692">
        <v>0.21896973014359461</v>
      </c>
      <c r="U692">
        <v>4.2555146084885838</v>
      </c>
      <c r="V692">
        <v>0.12414549193133841</v>
      </c>
      <c r="W692">
        <v>-7.9636767383387026</v>
      </c>
      <c r="X692">
        <v>0.28259731131010202</v>
      </c>
      <c r="Z692" t="s">
        <v>392</v>
      </c>
      <c r="AA692">
        <v>140</v>
      </c>
      <c r="AB692" t="s">
        <v>2097</v>
      </c>
      <c r="AC692" t="str">
        <f>HYPERLINK("plots/20251231112652_3FT6Y119H04_05543_B21P_N_UFLEX98_M5358A8BA201511/dpll_52094/txpa_53193.png","plot")</f>
        <v>plot</v>
      </c>
    </row>
    <row r="693" spans="1:29" x14ac:dyDescent="0.35">
      <c r="A693" t="s">
        <v>47</v>
      </c>
      <c r="B693">
        <v>52094</v>
      </c>
      <c r="C693" t="s">
        <v>53</v>
      </c>
      <c r="D693">
        <v>53194</v>
      </c>
      <c r="E693" t="s">
        <v>69</v>
      </c>
      <c r="F693">
        <v>7139</v>
      </c>
      <c r="G693">
        <v>0.28483669796999872</v>
      </c>
      <c r="H693">
        <v>2.447727637601499E-133</v>
      </c>
      <c r="I693">
        <v>5.1816196754236323E-133</v>
      </c>
      <c r="J693">
        <v>0.25773172863624638</v>
      </c>
      <c r="K693">
        <v>1.095335163068318E-108</v>
      </c>
      <c r="L693">
        <v>2.1863579829749501E-108</v>
      </c>
      <c r="M693">
        <v>0.17327370988396351</v>
      </c>
      <c r="N693">
        <v>8.1446744006607429E-107</v>
      </c>
      <c r="O693">
        <v>1.6289348801321491E-106</v>
      </c>
      <c r="P693">
        <v>8.1131944510452247E-2</v>
      </c>
      <c r="Q693">
        <v>0.61429041326655642</v>
      </c>
      <c r="R693">
        <v>-11.108131410505139</v>
      </c>
      <c r="S693">
        <v>0.25662851243121232</v>
      </c>
      <c r="T693">
        <v>0.20163670905058181</v>
      </c>
      <c r="U693">
        <v>4.2555146084885838</v>
      </c>
      <c r="V693">
        <v>0.12414549193133841</v>
      </c>
      <c r="W693">
        <v>-8.494009582994817</v>
      </c>
      <c r="X693">
        <v>0.26773721956190588</v>
      </c>
      <c r="Z693" t="s">
        <v>392</v>
      </c>
      <c r="AA693">
        <v>140</v>
      </c>
      <c r="AB693" t="s">
        <v>2098</v>
      </c>
      <c r="AC693" t="str">
        <f>HYPERLINK("plots/20251231112652_3FT6Y119H04_05543_B21P_N_UFLEX98_M5358A8BA201511/dpll_52094/txpa_53194.png","plot")</f>
        <v>plot</v>
      </c>
    </row>
    <row r="694" spans="1:29" x14ac:dyDescent="0.35">
      <c r="A694" t="s">
        <v>47</v>
      </c>
      <c r="B694">
        <v>52094</v>
      </c>
      <c r="C694" t="s">
        <v>53</v>
      </c>
      <c r="D694">
        <v>53195</v>
      </c>
      <c r="E694" t="s">
        <v>70</v>
      </c>
      <c r="F694">
        <v>7139</v>
      </c>
      <c r="G694">
        <v>0.25991514080886052</v>
      </c>
      <c r="H694">
        <v>1.44049943361501E-110</v>
      </c>
      <c r="I694">
        <v>2.509736126607595E-110</v>
      </c>
      <c r="J694">
        <v>0.25111871162370369</v>
      </c>
      <c r="K694">
        <v>4.235183343160824E-103</v>
      </c>
      <c r="L694">
        <v>8.102784735783161E-103</v>
      </c>
      <c r="M694">
        <v>0.16838119045912431</v>
      </c>
      <c r="N694">
        <v>5.4531913112007548E-101</v>
      </c>
      <c r="O694">
        <v>1.045280905398406E-100</v>
      </c>
      <c r="P694">
        <v>6.7555880421689765E-2</v>
      </c>
      <c r="Q694">
        <v>0.52422854350631654</v>
      </c>
      <c r="R694">
        <v>-4.7191284828170028</v>
      </c>
      <c r="S694">
        <v>0.2417692296014777</v>
      </c>
      <c r="T694">
        <v>0.18825492438422811</v>
      </c>
      <c r="U694">
        <v>4.2555146084885838</v>
      </c>
      <c r="V694">
        <v>0.12414549193133841</v>
      </c>
      <c r="W694">
        <v>-2.4882662577391801</v>
      </c>
      <c r="X694">
        <v>0.25039176330978141</v>
      </c>
      <c r="Z694" t="s">
        <v>392</v>
      </c>
      <c r="AA694">
        <v>140</v>
      </c>
      <c r="AB694" t="s">
        <v>2099</v>
      </c>
      <c r="AC694" t="str">
        <f>HYPERLINK("plots/20251231112652_3FT6Y119H04_05543_B21P_N_UFLEX98_M5358A8BA201511/dpll_52094/txpa_53195.png","plot")</f>
        <v>plot</v>
      </c>
    </row>
    <row r="695" spans="1:29" x14ac:dyDescent="0.35">
      <c r="A695" t="s">
        <v>47</v>
      </c>
      <c r="B695">
        <v>52094</v>
      </c>
      <c r="C695" t="s">
        <v>53</v>
      </c>
      <c r="D695">
        <v>53196</v>
      </c>
      <c r="E695" t="s">
        <v>71</v>
      </c>
      <c r="F695">
        <v>7139</v>
      </c>
      <c r="G695">
        <v>0.2000139301762037</v>
      </c>
      <c r="H695">
        <v>2.5035627620433371E-65</v>
      </c>
      <c r="I695">
        <v>3.1418473276137922E-65</v>
      </c>
      <c r="J695">
        <v>0.19370703693831129</v>
      </c>
      <c r="K695">
        <v>2.6056440478215729E-61</v>
      </c>
      <c r="L695">
        <v>3.471909414574343E-61</v>
      </c>
      <c r="M695">
        <v>0.12930679211831211</v>
      </c>
      <c r="N695">
        <v>2.5030261039076912E-60</v>
      </c>
      <c r="O695">
        <v>3.3395637754768398E-60</v>
      </c>
      <c r="P695">
        <v>4.0005572264531289E-2</v>
      </c>
      <c r="Q695">
        <v>0.50782917031743524</v>
      </c>
      <c r="R695">
        <v>-4.6023449629178916</v>
      </c>
      <c r="S695">
        <v>0.30881066507975868</v>
      </c>
      <c r="T695">
        <v>0.24898862373973671</v>
      </c>
      <c r="U695">
        <v>4.2555146084885838</v>
      </c>
      <c r="V695">
        <v>0.12414549193133841</v>
      </c>
      <c r="W695">
        <v>-2.441270510015408</v>
      </c>
      <c r="X695">
        <v>0.31520155676458012</v>
      </c>
      <c r="Z695" t="s">
        <v>392</v>
      </c>
      <c r="AA695">
        <v>140</v>
      </c>
      <c r="AB695" t="s">
        <v>2100</v>
      </c>
      <c r="AC695" t="str">
        <f>HYPERLINK("plots/20251231112652_3FT6Y119H04_05543_B21P_N_UFLEX98_M5358A8BA201511/dpll_52094/txpa_53196.png","plot")</f>
        <v>plot</v>
      </c>
    </row>
    <row r="696" spans="1:29" x14ac:dyDescent="0.35">
      <c r="A696" t="s">
        <v>47</v>
      </c>
      <c r="B696">
        <v>52094</v>
      </c>
      <c r="C696" t="s">
        <v>53</v>
      </c>
      <c r="D696">
        <v>53197</v>
      </c>
      <c r="E696" t="s">
        <v>72</v>
      </c>
      <c r="F696">
        <v>7139</v>
      </c>
      <c r="G696">
        <v>0.26122090801991088</v>
      </c>
      <c r="H696">
        <v>1.0590803588036051E-111</v>
      </c>
      <c r="I696">
        <v>1.8515646272876811E-111</v>
      </c>
      <c r="J696">
        <v>0.25421587828346698</v>
      </c>
      <c r="K696">
        <v>1.072964957566133E-105</v>
      </c>
      <c r="L696">
        <v>2.092281667253958E-105</v>
      </c>
      <c r="M696">
        <v>0.1703994768600357</v>
      </c>
      <c r="N696">
        <v>2.223793401275508E-103</v>
      </c>
      <c r="O696">
        <v>4.3615599785171478E-103</v>
      </c>
      <c r="P696">
        <v>6.8236362786746774E-2</v>
      </c>
      <c r="Q696">
        <v>0.50902051153591976</v>
      </c>
      <c r="R696">
        <v>-4.3485794783594072</v>
      </c>
      <c r="S696">
        <v>0.23349670788963631</v>
      </c>
      <c r="T696">
        <v>0.18503271006756569</v>
      </c>
      <c r="U696">
        <v>4.2555146084885838</v>
      </c>
      <c r="V696">
        <v>0.12414549193133841</v>
      </c>
      <c r="W696">
        <v>-2.1824352554979689</v>
      </c>
      <c r="X696">
        <v>0.2419124957752293</v>
      </c>
      <c r="Z696" t="s">
        <v>392</v>
      </c>
      <c r="AA696">
        <v>140</v>
      </c>
      <c r="AB696" t="s">
        <v>2101</v>
      </c>
      <c r="AC696" t="str">
        <f>HYPERLINK("plots/20251231112652_3FT6Y119H04_05543_B21P_N_UFLEX98_M5358A8BA201511/dpll_52094/txpa_53197.png","plot")</f>
        <v>plot</v>
      </c>
    </row>
    <row r="697" spans="1:29" x14ac:dyDescent="0.35">
      <c r="A697" t="s">
        <v>47</v>
      </c>
      <c r="B697">
        <v>52094</v>
      </c>
      <c r="C697" t="s">
        <v>53</v>
      </c>
      <c r="D697">
        <v>53198</v>
      </c>
      <c r="E697" t="s">
        <v>73</v>
      </c>
      <c r="F697">
        <v>7139</v>
      </c>
      <c r="G697">
        <v>0.20621161971466909</v>
      </c>
      <c r="H697">
        <v>2.0684134648662601E-69</v>
      </c>
      <c r="I697">
        <v>2.6415255080281961E-69</v>
      </c>
      <c r="J697">
        <v>0.1959127350571146</v>
      </c>
      <c r="K697">
        <v>1.0632545632662681E-62</v>
      </c>
      <c r="L697">
        <v>1.4413638063529351E-62</v>
      </c>
      <c r="M697">
        <v>0.1313440627327947</v>
      </c>
      <c r="N697">
        <v>3.4743355492592849E-62</v>
      </c>
      <c r="O697">
        <v>4.697301662598554E-62</v>
      </c>
      <c r="P697">
        <v>4.2523232105347288E-2</v>
      </c>
      <c r="Q697">
        <v>0.47932774241125198</v>
      </c>
      <c r="R697">
        <v>-4.4195614938781844</v>
      </c>
      <c r="S697">
        <v>0.28234759273593568</v>
      </c>
      <c r="T697">
        <v>0.2269195369724043</v>
      </c>
      <c r="U697">
        <v>4.2555146084885838</v>
      </c>
      <c r="V697">
        <v>0.12414549193133841</v>
      </c>
      <c r="W697">
        <v>-2.379775283793248</v>
      </c>
      <c r="X697">
        <v>0.28856947275968498</v>
      </c>
      <c r="Z697" t="s">
        <v>392</v>
      </c>
      <c r="AA697">
        <v>140</v>
      </c>
      <c r="AB697" t="s">
        <v>2102</v>
      </c>
      <c r="AC697" t="str">
        <f>HYPERLINK("plots/20251231112652_3FT6Y119H04_05543_B21P_N_UFLEX98_M5358A8BA201511/dpll_52094/txpa_53198.png","plot")</f>
        <v>plot</v>
      </c>
    </row>
    <row r="698" spans="1:29" x14ac:dyDescent="0.35">
      <c r="A698" t="s">
        <v>47</v>
      </c>
      <c r="B698">
        <v>52094</v>
      </c>
      <c r="C698" t="s">
        <v>53</v>
      </c>
      <c r="D698">
        <v>53199</v>
      </c>
      <c r="E698" t="s">
        <v>74</v>
      </c>
      <c r="F698">
        <v>7139</v>
      </c>
      <c r="G698">
        <v>0.27725641832510167</v>
      </c>
      <c r="H698">
        <v>3.7171379020848912E-126</v>
      </c>
      <c r="I698">
        <v>7.2623850341311736E-126</v>
      </c>
      <c r="J698">
        <v>0.2632728562649585</v>
      </c>
      <c r="K698">
        <v>1.699948872277401E-113</v>
      </c>
      <c r="L698">
        <v>3.4683061498778352E-113</v>
      </c>
      <c r="M698">
        <v>0.17686588755843119</v>
      </c>
      <c r="N698">
        <v>3.1859176875982681E-111</v>
      </c>
      <c r="O698">
        <v>6.5000413183594427E-111</v>
      </c>
      <c r="P698">
        <v>7.6871121502463807E-2</v>
      </c>
      <c r="Q698">
        <v>0.52802320088063648</v>
      </c>
      <c r="R698">
        <v>-4.2821963274449866</v>
      </c>
      <c r="S698">
        <v>0.22714495747854449</v>
      </c>
      <c r="T698">
        <v>0.1789772475866859</v>
      </c>
      <c r="U698">
        <v>4.2555146084885838</v>
      </c>
      <c r="V698">
        <v>0.12414549193133841</v>
      </c>
      <c r="W698">
        <v>-2.035185882476537</v>
      </c>
      <c r="X698">
        <v>0.23642987390691439</v>
      </c>
      <c r="Z698" t="s">
        <v>392</v>
      </c>
      <c r="AA698">
        <v>140</v>
      </c>
      <c r="AB698" t="s">
        <v>2103</v>
      </c>
      <c r="AC698" t="str">
        <f>HYPERLINK("plots/20251231112652_3FT6Y119H04_05543_B21P_N_UFLEX98_M5358A8BA201511/dpll_52094/txpa_53199.png","plot")</f>
        <v>plot</v>
      </c>
    </row>
    <row r="699" spans="1:29" x14ac:dyDescent="0.35">
      <c r="A699" t="s">
        <v>47</v>
      </c>
      <c r="B699">
        <v>52094</v>
      </c>
      <c r="C699" t="s">
        <v>53</v>
      </c>
      <c r="D699">
        <v>53200</v>
      </c>
      <c r="E699" t="s">
        <v>75</v>
      </c>
      <c r="F699">
        <v>7139</v>
      </c>
      <c r="G699">
        <v>0.22591347338386711</v>
      </c>
      <c r="H699">
        <v>2.7184596668551189E-83</v>
      </c>
      <c r="I699">
        <v>3.7968568900703719E-83</v>
      </c>
      <c r="J699">
        <v>0.23042407945235199</v>
      </c>
      <c r="K699">
        <v>1.1496472759620529E-86</v>
      </c>
      <c r="L699">
        <v>1.9079252664902149E-86</v>
      </c>
      <c r="M699">
        <v>0.15548035179212391</v>
      </c>
      <c r="N699">
        <v>2.161558844117761E-86</v>
      </c>
      <c r="O699">
        <v>3.6288421654559758E-86</v>
      </c>
      <c r="P699">
        <v>5.103689745636323E-2</v>
      </c>
      <c r="Q699">
        <v>0.51625788012815721</v>
      </c>
      <c r="R699">
        <v>-4.3405517510249334</v>
      </c>
      <c r="S699">
        <v>0.27634382132012503</v>
      </c>
      <c r="T699">
        <v>0.2172023636887308</v>
      </c>
      <c r="U699">
        <v>4.2555146084885838</v>
      </c>
      <c r="V699">
        <v>0.12414549193133841</v>
      </c>
      <c r="W699">
        <v>-2.143608800392212</v>
      </c>
      <c r="X699">
        <v>0.28369750388033682</v>
      </c>
      <c r="Z699" t="s">
        <v>392</v>
      </c>
      <c r="AA699">
        <v>140</v>
      </c>
      <c r="AB699" t="s">
        <v>2104</v>
      </c>
      <c r="AC699" t="str">
        <f>HYPERLINK("plots/20251231112652_3FT6Y119H04_05543_B21P_N_UFLEX98_M5358A8BA201511/dpll_52094/txpa_53200.png","plot")</f>
        <v>plot</v>
      </c>
    </row>
    <row r="700" spans="1:29" x14ac:dyDescent="0.35">
      <c r="A700" t="s">
        <v>47</v>
      </c>
      <c r="B700">
        <v>52094</v>
      </c>
      <c r="C700" t="s">
        <v>53</v>
      </c>
      <c r="D700">
        <v>53201</v>
      </c>
      <c r="E700" t="s">
        <v>76</v>
      </c>
      <c r="F700">
        <v>7139</v>
      </c>
      <c r="G700">
        <v>0.2419746708364941</v>
      </c>
      <c r="H700">
        <v>1.2108194458141979E-95</v>
      </c>
      <c r="I700">
        <v>1.8574446566650479E-95</v>
      </c>
      <c r="J700">
        <v>0.233725509834628</v>
      </c>
      <c r="K700">
        <v>3.5027405236544408E-89</v>
      </c>
      <c r="L700">
        <v>5.9593605553449711E-89</v>
      </c>
      <c r="M700">
        <v>0.15769853386431601</v>
      </c>
      <c r="N700">
        <v>8.0715829713497818E-89</v>
      </c>
      <c r="O700">
        <v>1.3895730276653109E-88</v>
      </c>
      <c r="P700">
        <v>5.8551741326429679E-2</v>
      </c>
      <c r="Q700">
        <v>0.52895486868964658</v>
      </c>
      <c r="R700">
        <v>-4.2343704134108862</v>
      </c>
      <c r="S700">
        <v>0.2632979476861812</v>
      </c>
      <c r="T700">
        <v>0.2100341812270432</v>
      </c>
      <c r="U700">
        <v>4.2555146084885838</v>
      </c>
      <c r="V700">
        <v>0.12414549193133841</v>
      </c>
      <c r="W700">
        <v>-1.983395242470934</v>
      </c>
      <c r="X700">
        <v>0.27138114148866871</v>
      </c>
      <c r="Z700" t="s">
        <v>392</v>
      </c>
      <c r="AA700">
        <v>140</v>
      </c>
      <c r="AB700" t="s">
        <v>2105</v>
      </c>
      <c r="AC700" t="str">
        <f>HYPERLINK("plots/20251231112652_3FT6Y119H04_05543_B21P_N_UFLEX98_M5358A8BA201511/dpll_52094/txpa_53201.png","plot")</f>
        <v>plot</v>
      </c>
    </row>
    <row r="701" spans="1:29" x14ac:dyDescent="0.35">
      <c r="A701" t="s">
        <v>47</v>
      </c>
      <c r="B701">
        <v>52094</v>
      </c>
      <c r="C701" t="s">
        <v>53</v>
      </c>
      <c r="D701">
        <v>53202</v>
      </c>
      <c r="E701" t="s">
        <v>77</v>
      </c>
      <c r="F701">
        <v>7139</v>
      </c>
      <c r="G701">
        <v>0.29255052022666611</v>
      </c>
      <c r="H701">
        <v>7.0301643393778724E-141</v>
      </c>
      <c r="I701">
        <v>1.6019295820514969E-140</v>
      </c>
      <c r="J701">
        <v>0.26819976686049601</v>
      </c>
      <c r="K701">
        <v>7.1765482747754883E-118</v>
      </c>
      <c r="L701">
        <v>1.5128939606283459E-117</v>
      </c>
      <c r="M701">
        <v>0.18063228093549921</v>
      </c>
      <c r="N701">
        <v>6.3178329435949122E-116</v>
      </c>
      <c r="O701">
        <v>1.3430361854937611E-115</v>
      </c>
      <c r="P701">
        <v>8.5585806884892979E-2</v>
      </c>
      <c r="Q701">
        <v>0.60399277038756194</v>
      </c>
      <c r="R701">
        <v>-5.0659936095637104</v>
      </c>
      <c r="S701">
        <v>0.24507718273519691</v>
      </c>
      <c r="T701">
        <v>0.19294824841850919</v>
      </c>
      <c r="U701">
        <v>4.2555146084885838</v>
      </c>
      <c r="V701">
        <v>0.12414549193133841</v>
      </c>
      <c r="W701">
        <v>-2.4956935517579488</v>
      </c>
      <c r="X701">
        <v>0.25630779786219321</v>
      </c>
      <c r="Z701" t="s">
        <v>392</v>
      </c>
      <c r="AA701">
        <v>140</v>
      </c>
      <c r="AB701" t="s">
        <v>2106</v>
      </c>
      <c r="AC701" t="str">
        <f>HYPERLINK("plots/20251231112652_3FT6Y119H04_05543_B21P_N_UFLEX98_M5358A8BA201511/dpll_52094/txpa_53202.png","plot")</f>
        <v>plot</v>
      </c>
    </row>
    <row r="702" spans="1:29" x14ac:dyDescent="0.35">
      <c r="A702" t="s">
        <v>47</v>
      </c>
      <c r="B702">
        <v>52094</v>
      </c>
      <c r="C702" t="s">
        <v>53</v>
      </c>
      <c r="D702">
        <v>53203</v>
      </c>
      <c r="E702" t="s">
        <v>78</v>
      </c>
      <c r="F702">
        <v>7139</v>
      </c>
      <c r="G702">
        <v>0.27065883864267759</v>
      </c>
      <c r="H702">
        <v>4.3412823440251142E-120</v>
      </c>
      <c r="I702">
        <v>8.1822682097425015E-120</v>
      </c>
      <c r="J702">
        <v>0.26572725243099832</v>
      </c>
      <c r="K702">
        <v>1.1557342936145909E-115</v>
      </c>
      <c r="L702">
        <v>2.4163187087117432E-115</v>
      </c>
      <c r="M702">
        <v>0.17867191442746511</v>
      </c>
      <c r="N702">
        <v>1.8117487908657549E-113</v>
      </c>
      <c r="O702">
        <v>3.7878624204904651E-113</v>
      </c>
      <c r="P702">
        <v>7.3256206935402982E-2</v>
      </c>
      <c r="Q702">
        <v>0.52869990005204326</v>
      </c>
      <c r="R702">
        <v>-1.715340554804623</v>
      </c>
      <c r="S702">
        <v>0.23343576297816709</v>
      </c>
      <c r="T702">
        <v>0.1815297228987259</v>
      </c>
      <c r="U702">
        <v>4.2555146084885838</v>
      </c>
      <c r="V702">
        <v>0.12414549193133841</v>
      </c>
      <c r="W702">
        <v>0.53454959337330155</v>
      </c>
      <c r="X702">
        <v>0.24250347598166669</v>
      </c>
      <c r="Z702" t="s">
        <v>392</v>
      </c>
      <c r="AA702">
        <v>140</v>
      </c>
      <c r="AB702" t="s">
        <v>2107</v>
      </c>
      <c r="AC702" t="str">
        <f>HYPERLINK("plots/20251231112652_3FT6Y119H04_05543_B21P_N_UFLEX98_M5358A8BA201511/dpll_52094/txpa_53203.png","plot")</f>
        <v>plot</v>
      </c>
    </row>
    <row r="703" spans="1:29" x14ac:dyDescent="0.35">
      <c r="A703" t="s">
        <v>47</v>
      </c>
      <c r="B703">
        <v>52094</v>
      </c>
      <c r="C703" t="s">
        <v>53</v>
      </c>
      <c r="D703">
        <v>53204</v>
      </c>
      <c r="E703" t="s">
        <v>79</v>
      </c>
      <c r="F703">
        <v>7139</v>
      </c>
      <c r="G703">
        <v>0.2107813681073854</v>
      </c>
      <c r="H703">
        <v>1.654860666748335E-72</v>
      </c>
      <c r="I703">
        <v>2.154080508450336E-72</v>
      </c>
      <c r="J703">
        <v>0.20668876133586461</v>
      </c>
      <c r="K703">
        <v>9.9019816992041881E-70</v>
      </c>
      <c r="L703">
        <v>1.4121813562578121E-69</v>
      </c>
      <c r="M703">
        <v>0.13802919567646341</v>
      </c>
      <c r="N703">
        <v>1.7384975950954399E-68</v>
      </c>
      <c r="O703">
        <v>2.462062236629576E-68</v>
      </c>
      <c r="P703">
        <v>4.4428785141221117E-2</v>
      </c>
      <c r="Q703">
        <v>0.51757545001988181</v>
      </c>
      <c r="R703">
        <v>-1.620472187372141</v>
      </c>
      <c r="S703">
        <v>0.29797066715530812</v>
      </c>
      <c r="T703">
        <v>0.2402482708170077</v>
      </c>
      <c r="U703">
        <v>4.2555146084885838</v>
      </c>
      <c r="V703">
        <v>0.12414549193133841</v>
      </c>
      <c r="W703">
        <v>0.58207770118251845</v>
      </c>
      <c r="X703">
        <v>0.30484031596932548</v>
      </c>
      <c r="Z703" t="s">
        <v>392</v>
      </c>
      <c r="AA703">
        <v>140</v>
      </c>
      <c r="AB703" t="s">
        <v>2108</v>
      </c>
      <c r="AC703" t="str">
        <f>HYPERLINK("plots/20251231112652_3FT6Y119H04_05543_B21P_N_UFLEX98_M5358A8BA201511/dpll_52094/txpa_53204.png","plot")</f>
        <v>plot</v>
      </c>
    </row>
    <row r="704" spans="1:29" x14ac:dyDescent="0.35">
      <c r="A704" t="s">
        <v>47</v>
      </c>
      <c r="B704">
        <v>52094</v>
      </c>
      <c r="C704" t="s">
        <v>53</v>
      </c>
      <c r="D704">
        <v>53205</v>
      </c>
      <c r="E704" t="s">
        <v>80</v>
      </c>
      <c r="F704">
        <v>7139</v>
      </c>
      <c r="G704">
        <v>0.27634162104785009</v>
      </c>
      <c r="H704">
        <v>2.6400816412538867E-125</v>
      </c>
      <c r="I704">
        <v>5.1284344525506547E-125</v>
      </c>
      <c r="J704">
        <v>0.27199146092733217</v>
      </c>
      <c r="K704">
        <v>2.6650877542681882E-121</v>
      </c>
      <c r="L704">
        <v>5.8116107157590166E-121</v>
      </c>
      <c r="M704">
        <v>0.18267850867024271</v>
      </c>
      <c r="N704">
        <v>1.589623336884479E-118</v>
      </c>
      <c r="O704">
        <v>3.5193844183424939E-118</v>
      </c>
      <c r="P704">
        <v>7.6364691523353581E-2</v>
      </c>
      <c r="Q704">
        <v>0.51955342592622944</v>
      </c>
      <c r="R704">
        <v>-1.3835924067997361</v>
      </c>
      <c r="S704">
        <v>0.22430280771716829</v>
      </c>
      <c r="T704">
        <v>0.17738105544597049</v>
      </c>
      <c r="U704">
        <v>4.2555146084885838</v>
      </c>
      <c r="V704">
        <v>0.12414549193133841</v>
      </c>
      <c r="W704">
        <v>0.82737478711962464</v>
      </c>
      <c r="X704">
        <v>0.23340753159675259</v>
      </c>
      <c r="Z704" t="s">
        <v>392</v>
      </c>
      <c r="AA704">
        <v>140</v>
      </c>
      <c r="AB704" t="s">
        <v>2109</v>
      </c>
      <c r="AC704" t="str">
        <f>HYPERLINK("plots/20251231112652_3FT6Y119H04_05543_B21P_N_UFLEX98_M5358A8BA201511/dpll_52094/txpa_53205.png","plot")</f>
        <v>plot</v>
      </c>
    </row>
    <row r="705" spans="1:29" x14ac:dyDescent="0.35">
      <c r="A705" t="s">
        <v>47</v>
      </c>
      <c r="B705">
        <v>52094</v>
      </c>
      <c r="C705" t="s">
        <v>53</v>
      </c>
      <c r="D705">
        <v>53206</v>
      </c>
      <c r="E705" t="s">
        <v>81</v>
      </c>
      <c r="F705">
        <v>7139</v>
      </c>
      <c r="G705">
        <v>0.21737967871803349</v>
      </c>
      <c r="H705">
        <v>4.1376673334138143E-77</v>
      </c>
      <c r="I705">
        <v>5.5423971942953864E-77</v>
      </c>
      <c r="J705">
        <v>0.20956198981912569</v>
      </c>
      <c r="K705">
        <v>1.1280461616226511E-71</v>
      </c>
      <c r="L705">
        <v>1.6410886770234829E-71</v>
      </c>
      <c r="M705">
        <v>0.14060602992578</v>
      </c>
      <c r="N705">
        <v>5.3638796562057844E-71</v>
      </c>
      <c r="O705">
        <v>7.8484472891669046E-71</v>
      </c>
      <c r="P705">
        <v>4.7253924719555453E-2</v>
      </c>
      <c r="Q705">
        <v>0.48981051399227538</v>
      </c>
      <c r="R705">
        <v>-1.449132834711484</v>
      </c>
      <c r="S705">
        <v>0.27302239965020519</v>
      </c>
      <c r="T705">
        <v>0.21950710127527451</v>
      </c>
      <c r="U705">
        <v>4.2555146084885838</v>
      </c>
      <c r="V705">
        <v>0.12414549193133841</v>
      </c>
      <c r="W705">
        <v>0.63526296297394591</v>
      </c>
      <c r="X705">
        <v>0.27973068858744338</v>
      </c>
      <c r="Z705" t="s">
        <v>392</v>
      </c>
      <c r="AA705">
        <v>140</v>
      </c>
      <c r="AB705" t="s">
        <v>2110</v>
      </c>
      <c r="AC705" t="str">
        <f>HYPERLINK("plots/20251231112652_3FT6Y119H04_05543_B21P_N_UFLEX98_M5358A8BA201511/dpll_52094/txpa_53206.png","plot")</f>
        <v>plot</v>
      </c>
    </row>
    <row r="706" spans="1:29" x14ac:dyDescent="0.35">
      <c r="A706" t="s">
        <v>47</v>
      </c>
      <c r="B706">
        <v>52094</v>
      </c>
      <c r="C706" t="s">
        <v>53</v>
      </c>
      <c r="D706">
        <v>53207</v>
      </c>
      <c r="E706" t="s">
        <v>82</v>
      </c>
      <c r="F706">
        <v>7139</v>
      </c>
      <c r="G706">
        <v>0.29387921539230533</v>
      </c>
      <c r="H706">
        <v>3.3407940057723857E-142</v>
      </c>
      <c r="I706">
        <v>7.76964477489266E-142</v>
      </c>
      <c r="J706">
        <v>0.2828868367257667</v>
      </c>
      <c r="K706">
        <v>1.8099591736774671E-131</v>
      </c>
      <c r="L706">
        <v>4.465446720459736E-131</v>
      </c>
      <c r="M706">
        <v>0.1905454032046163</v>
      </c>
      <c r="N706">
        <v>8.8585208700785681E-129</v>
      </c>
      <c r="O706">
        <v>2.1908634542096749E-128</v>
      </c>
      <c r="P706">
        <v>8.6364993239596982E-2</v>
      </c>
      <c r="Q706">
        <v>0.54158117789493965</v>
      </c>
      <c r="R706">
        <v>-1.34173985560392</v>
      </c>
      <c r="S706">
        <v>0.21866616644525591</v>
      </c>
      <c r="T706">
        <v>0.1722740507221335</v>
      </c>
      <c r="U706">
        <v>4.2555146084885838</v>
      </c>
      <c r="V706">
        <v>0.12414549193133841</v>
      </c>
      <c r="W706">
        <v>0.96296675861044956</v>
      </c>
      <c r="X706">
        <v>0.22878399774127539</v>
      </c>
      <c r="Z706" t="s">
        <v>392</v>
      </c>
      <c r="AA706">
        <v>140</v>
      </c>
      <c r="AB706" t="s">
        <v>2111</v>
      </c>
      <c r="AC706" t="str">
        <f>HYPERLINK("plots/20251231112652_3FT6Y119H04_05543_B21P_N_UFLEX98_M5358A8BA201511/dpll_52094/txpa_53207.png","plot")</f>
        <v>plot</v>
      </c>
    </row>
    <row r="707" spans="1:29" x14ac:dyDescent="0.35">
      <c r="A707" t="s">
        <v>47</v>
      </c>
      <c r="B707">
        <v>52094</v>
      </c>
      <c r="C707" t="s">
        <v>53</v>
      </c>
      <c r="D707">
        <v>53208</v>
      </c>
      <c r="E707" t="s">
        <v>83</v>
      </c>
      <c r="F707">
        <v>7139</v>
      </c>
      <c r="G707">
        <v>0.23811225977821629</v>
      </c>
      <c r="H707">
        <v>1.378813356227698E-92</v>
      </c>
      <c r="I707">
        <v>2.086741407783411E-92</v>
      </c>
      <c r="J707">
        <v>0.24566120661388671</v>
      </c>
      <c r="K707">
        <v>1.3014378863082189E-98</v>
      </c>
      <c r="L707">
        <v>2.4077917993950069E-98</v>
      </c>
      <c r="M707">
        <v>0.1660049537230171</v>
      </c>
      <c r="N707">
        <v>3.2319625980125819E-98</v>
      </c>
      <c r="O707">
        <v>6.0576896014505696E-98</v>
      </c>
      <c r="P707">
        <v>5.6697448256688737E-2</v>
      </c>
      <c r="Q707">
        <v>0.52516822339248748</v>
      </c>
      <c r="R707">
        <v>-1.3741596971049199</v>
      </c>
      <c r="S707">
        <v>0.26591493052316051</v>
      </c>
      <c r="T707">
        <v>0.20902442071868391</v>
      </c>
      <c r="U707">
        <v>4.2555146084885838</v>
      </c>
      <c r="V707">
        <v>0.12414549193133841</v>
      </c>
      <c r="W707">
        <v>0.86070134945580612</v>
      </c>
      <c r="X707">
        <v>0.27380894835273811</v>
      </c>
      <c r="Z707" t="s">
        <v>392</v>
      </c>
      <c r="AA707">
        <v>140</v>
      </c>
      <c r="AB707" t="s">
        <v>2112</v>
      </c>
      <c r="AC707" t="str">
        <f>HYPERLINK("plots/20251231112652_3FT6Y119H04_05543_B21P_N_UFLEX98_M5358A8BA201511/dpll_52094/txpa_53208.png","plot")</f>
        <v>plot</v>
      </c>
    </row>
    <row r="708" spans="1:29" x14ac:dyDescent="0.35">
      <c r="A708" t="s">
        <v>47</v>
      </c>
      <c r="B708">
        <v>52094</v>
      </c>
      <c r="C708" t="s">
        <v>53</v>
      </c>
      <c r="D708">
        <v>53209</v>
      </c>
      <c r="E708" t="s">
        <v>84</v>
      </c>
      <c r="F708">
        <v>7139</v>
      </c>
      <c r="G708">
        <v>0.25638087657543862</v>
      </c>
      <c r="H708">
        <v>1.564152731747047E-107</v>
      </c>
      <c r="I708">
        <v>2.6434181166525091E-107</v>
      </c>
      <c r="J708">
        <v>0.2501713718803863</v>
      </c>
      <c r="K708">
        <v>2.5931070523408689E-102</v>
      </c>
      <c r="L708">
        <v>4.9332280507948233E-102</v>
      </c>
      <c r="M708">
        <v>0.16900042369772031</v>
      </c>
      <c r="N708">
        <v>1.007947450764546E-101</v>
      </c>
      <c r="O708">
        <v>1.9467785049052369E-101</v>
      </c>
      <c r="P708">
        <v>6.573115387359027E-2</v>
      </c>
      <c r="Q708">
        <v>0.53868614254008051</v>
      </c>
      <c r="R708">
        <v>-1.274540948535442</v>
      </c>
      <c r="S708">
        <v>0.25210800966433511</v>
      </c>
      <c r="T708">
        <v>0.20069055006322589</v>
      </c>
      <c r="U708">
        <v>4.2555146084885838</v>
      </c>
      <c r="V708">
        <v>0.12414549193133841</v>
      </c>
      <c r="W708">
        <v>1.017845800434235</v>
      </c>
      <c r="X708">
        <v>0.26084416691100459</v>
      </c>
      <c r="Z708" t="s">
        <v>392</v>
      </c>
      <c r="AA708">
        <v>140</v>
      </c>
      <c r="AB708" t="s">
        <v>2113</v>
      </c>
      <c r="AC708" t="str">
        <f>HYPERLINK("plots/20251231112652_3FT6Y119H04_05543_B21P_N_UFLEX98_M5358A8BA201511/dpll_52094/txpa_53209.png","plot")</f>
        <v>plot</v>
      </c>
    </row>
    <row r="709" spans="1:29" x14ac:dyDescent="0.35">
      <c r="A709" t="s">
        <v>47</v>
      </c>
      <c r="B709">
        <v>52094</v>
      </c>
      <c r="C709" t="s">
        <v>53</v>
      </c>
      <c r="D709">
        <v>53210</v>
      </c>
      <c r="E709" t="s">
        <v>85</v>
      </c>
      <c r="F709">
        <v>7139</v>
      </c>
      <c r="G709">
        <v>0.30172493180331039</v>
      </c>
      <c r="H709">
        <v>3.6769767989697889E-150</v>
      </c>
      <c r="I709">
        <v>9.367976065717001E-150</v>
      </c>
      <c r="J709">
        <v>0.28041983953764299</v>
      </c>
      <c r="K709">
        <v>3.9877325748869099E-129</v>
      </c>
      <c r="L709">
        <v>9.6275257879412538E-129</v>
      </c>
      <c r="M709">
        <v>0.1891258296960468</v>
      </c>
      <c r="N709">
        <v>6.7550268575816369E-127</v>
      </c>
      <c r="O709">
        <v>1.6505053574910311E-126</v>
      </c>
      <c r="P709">
        <v>9.1037934471712337E-2</v>
      </c>
      <c r="Q709">
        <v>0.60289636743720809</v>
      </c>
      <c r="R709">
        <v>-2.034873768333362</v>
      </c>
      <c r="S709">
        <v>0.23648569930857019</v>
      </c>
      <c r="T709">
        <v>0.1860764383617329</v>
      </c>
      <c r="U709">
        <v>4.2555146084885838</v>
      </c>
      <c r="V709">
        <v>0.12414549193133841</v>
      </c>
      <c r="W709">
        <v>0.53076053070037821</v>
      </c>
      <c r="X709">
        <v>0.24806324645356331</v>
      </c>
      <c r="Z709" t="s">
        <v>392</v>
      </c>
      <c r="AA709">
        <v>140</v>
      </c>
      <c r="AB709" t="s">
        <v>2114</v>
      </c>
      <c r="AC709" t="str">
        <f>HYPERLINK("plots/20251231112652_3FT6Y119H04_05543_B21P_N_UFLEX98_M5358A8BA201511/dpll_52094/txpa_53210.png","plot")</f>
        <v>plot</v>
      </c>
    </row>
    <row r="710" spans="1:29" x14ac:dyDescent="0.35">
      <c r="A710" t="s">
        <v>47</v>
      </c>
      <c r="B710">
        <v>52094</v>
      </c>
      <c r="C710" t="s">
        <v>53</v>
      </c>
      <c r="D710">
        <v>53211</v>
      </c>
      <c r="E710" t="s">
        <v>86</v>
      </c>
      <c r="F710">
        <v>7139</v>
      </c>
      <c r="G710">
        <v>0.29170936142831211</v>
      </c>
      <c r="H710">
        <v>4.7964857715932676E-140</v>
      </c>
      <c r="I710">
        <v>1.07841165685046E-139</v>
      </c>
      <c r="J710">
        <v>0.29495508382800928</v>
      </c>
      <c r="K710">
        <v>2.8008402211516551E-143</v>
      </c>
      <c r="L710">
        <v>7.4935408555350344E-143</v>
      </c>
      <c r="M710">
        <v>0.19906322780764399</v>
      </c>
      <c r="N710">
        <v>2.2786958577489E-140</v>
      </c>
      <c r="O710">
        <v>6.0965635877503559E-140</v>
      </c>
      <c r="P710">
        <v>8.5094351544913627E-2</v>
      </c>
      <c r="Q710">
        <v>0.53887079284441197</v>
      </c>
      <c r="R710">
        <v>1.681119051677445</v>
      </c>
      <c r="S710">
        <v>0.21934259014926319</v>
      </c>
      <c r="T710">
        <v>0.16988350959516091</v>
      </c>
      <c r="U710">
        <v>4.2555146084885838</v>
      </c>
      <c r="V710">
        <v>0.12414549193133841</v>
      </c>
      <c r="W710">
        <v>3.9742915827146659</v>
      </c>
      <c r="X710">
        <v>0.2293323030071498</v>
      </c>
      <c r="Z710" t="s">
        <v>392</v>
      </c>
      <c r="AA710">
        <v>140</v>
      </c>
      <c r="AB710" t="s">
        <v>2115</v>
      </c>
      <c r="AC710" t="str">
        <f>HYPERLINK("plots/20251231112652_3FT6Y119H04_05543_B21P_N_UFLEX98_M5358A8BA201511/dpll_52094/txpa_53211.png","plot")</f>
        <v>plot</v>
      </c>
    </row>
    <row r="711" spans="1:29" x14ac:dyDescent="0.35">
      <c r="A711" t="s">
        <v>47</v>
      </c>
      <c r="B711">
        <v>52094</v>
      </c>
      <c r="C711" t="s">
        <v>53</v>
      </c>
      <c r="D711">
        <v>53212</v>
      </c>
      <c r="E711" t="s">
        <v>87</v>
      </c>
      <c r="F711">
        <v>7139</v>
      </c>
      <c r="G711">
        <v>0.22902921413734659</v>
      </c>
      <c r="H711">
        <v>1.2934239264182911E-85</v>
      </c>
      <c r="I711">
        <v>1.829193669997416E-85</v>
      </c>
      <c r="J711">
        <v>0.2285419449277451</v>
      </c>
      <c r="K711">
        <v>3.0011377880024899E-85</v>
      </c>
      <c r="L711">
        <v>4.9241969531302988E-85</v>
      </c>
      <c r="M711">
        <v>0.15273952869591581</v>
      </c>
      <c r="N711">
        <v>1.92477144357768E-83</v>
      </c>
      <c r="O711">
        <v>3.132774067075068E-83</v>
      </c>
      <c r="P711">
        <v>5.2454380928370577E-2</v>
      </c>
      <c r="Q711">
        <v>0.52935910162850763</v>
      </c>
      <c r="R711">
        <v>1.776754642801269</v>
      </c>
      <c r="S711">
        <v>0.27929303168865732</v>
      </c>
      <c r="T711">
        <v>0.22482805412480261</v>
      </c>
      <c r="U711">
        <v>4.2555146084885838</v>
      </c>
      <c r="V711">
        <v>0.12414549193133841</v>
      </c>
      <c r="W711">
        <v>4.0294500329177758</v>
      </c>
      <c r="X711">
        <v>0.28693957811247722</v>
      </c>
      <c r="Z711" t="s">
        <v>392</v>
      </c>
      <c r="AA711">
        <v>140</v>
      </c>
      <c r="AB711" t="s">
        <v>2116</v>
      </c>
      <c r="AC711" t="str">
        <f>HYPERLINK("plots/20251231112652_3FT6Y119H04_05543_B21P_N_UFLEX98_M5358A8BA201511/dpll_52094/txpa_53212.png","plot")</f>
        <v>plot</v>
      </c>
    </row>
    <row r="712" spans="1:29" x14ac:dyDescent="0.35">
      <c r="A712" t="s">
        <v>47</v>
      </c>
      <c r="B712">
        <v>52094</v>
      </c>
      <c r="C712" t="s">
        <v>53</v>
      </c>
      <c r="D712">
        <v>53213</v>
      </c>
      <c r="E712" t="s">
        <v>88</v>
      </c>
      <c r="F712">
        <v>7139</v>
      </c>
      <c r="G712">
        <v>0.30148966830318841</v>
      </c>
      <c r="H712">
        <v>6.4235287621286718E-150</v>
      </c>
      <c r="I712">
        <v>1.6283645411996181E-149</v>
      </c>
      <c r="J712">
        <v>0.30364860983815589</v>
      </c>
      <c r="K712">
        <v>3.7663407020850758E-152</v>
      </c>
      <c r="L712">
        <v>1.0911627062612191E-151</v>
      </c>
      <c r="M712">
        <v>0.2046456318347212</v>
      </c>
      <c r="N712">
        <v>3.082091764078828E-148</v>
      </c>
      <c r="O712">
        <v>8.9038206517832817E-148</v>
      </c>
      <c r="P712">
        <v>9.0896020093566565E-2</v>
      </c>
      <c r="Q712">
        <v>0.53517019813487654</v>
      </c>
      <c r="R712">
        <v>1.9671403435767769</v>
      </c>
      <c r="S712">
        <v>0.21010036220753439</v>
      </c>
      <c r="T712">
        <v>0.16519222076335649</v>
      </c>
      <c r="U712">
        <v>4.2555146084885838</v>
      </c>
      <c r="V712">
        <v>0.12414549193133841</v>
      </c>
      <c r="W712">
        <v>4.2445649397674741</v>
      </c>
      <c r="X712">
        <v>0.220368969485325</v>
      </c>
      <c r="Z712" t="s">
        <v>392</v>
      </c>
      <c r="AA712">
        <v>140</v>
      </c>
      <c r="AB712" t="s">
        <v>2117</v>
      </c>
      <c r="AC712" t="str">
        <f>HYPERLINK("plots/20251231112652_3FT6Y119H04_05543_B21P_N_UFLEX98_M5358A8BA201511/dpll_52094/txpa_53213.png","plot")</f>
        <v>plot</v>
      </c>
    </row>
    <row r="713" spans="1:29" x14ac:dyDescent="0.35">
      <c r="A713" t="s">
        <v>47</v>
      </c>
      <c r="B713">
        <v>52094</v>
      </c>
      <c r="C713" t="s">
        <v>53</v>
      </c>
      <c r="D713">
        <v>53214</v>
      </c>
      <c r="E713" t="s">
        <v>89</v>
      </c>
      <c r="F713">
        <v>7139</v>
      </c>
      <c r="G713">
        <v>0.23737612076100609</v>
      </c>
      <c r="H713">
        <v>5.1976179640876238E-92</v>
      </c>
      <c r="I713">
        <v>7.8079772082738525E-92</v>
      </c>
      <c r="J713">
        <v>0.2330910613892517</v>
      </c>
      <c r="K713">
        <v>1.0740618938018311E-88</v>
      </c>
      <c r="L713">
        <v>1.812144359925218E-88</v>
      </c>
      <c r="M713">
        <v>0.15655539225992529</v>
      </c>
      <c r="N713">
        <v>1.443867294746728E-87</v>
      </c>
      <c r="O713">
        <v>2.4606410703750971E-87</v>
      </c>
      <c r="P713">
        <v>5.6347422707543761E-2</v>
      </c>
      <c r="Q713">
        <v>0.50514243155286831</v>
      </c>
      <c r="R713">
        <v>1.926860176993195</v>
      </c>
      <c r="S713">
        <v>0.25661581729979732</v>
      </c>
      <c r="T713">
        <v>0.20621737647139429</v>
      </c>
      <c r="U713">
        <v>4.2555146084885838</v>
      </c>
      <c r="V713">
        <v>0.12414549193133841</v>
      </c>
      <c r="W713">
        <v>4.0765011738338703</v>
      </c>
      <c r="X713">
        <v>0.26418476913127159</v>
      </c>
      <c r="Z713" t="s">
        <v>392</v>
      </c>
      <c r="AA713">
        <v>140</v>
      </c>
      <c r="AB713" t="s">
        <v>2118</v>
      </c>
      <c r="AC713" t="str">
        <f>HYPERLINK("plots/20251231112652_3FT6Y119H04_05543_B21P_N_UFLEX98_M5358A8BA201511/dpll_52094/txpa_53214.png","plot")</f>
        <v>plot</v>
      </c>
    </row>
    <row r="714" spans="1:29" x14ac:dyDescent="0.35">
      <c r="A714" t="s">
        <v>47</v>
      </c>
      <c r="B714">
        <v>52094</v>
      </c>
      <c r="C714" t="s">
        <v>53</v>
      </c>
      <c r="D714">
        <v>53215</v>
      </c>
      <c r="E714" t="s">
        <v>90</v>
      </c>
      <c r="F714">
        <v>7139</v>
      </c>
      <c r="G714">
        <v>0.31910749066981609</v>
      </c>
      <c r="H714">
        <v>1.074903018049721E-168</v>
      </c>
      <c r="I714">
        <v>3.3230233545805392E-168</v>
      </c>
      <c r="J714">
        <v>0.31260443068631671</v>
      </c>
      <c r="K714">
        <v>1.295755585788795E-161</v>
      </c>
      <c r="L714">
        <v>4.2520911455981816E-161</v>
      </c>
      <c r="M714">
        <v>0.21137028338898739</v>
      </c>
      <c r="N714">
        <v>5.2726800238181038E-158</v>
      </c>
      <c r="O714">
        <v>1.713621007740884E-157</v>
      </c>
      <c r="P714">
        <v>0.10182959060158681</v>
      </c>
      <c r="Q714">
        <v>0.55843732807803836</v>
      </c>
      <c r="R714">
        <v>1.9921147771703309</v>
      </c>
      <c r="S714">
        <v>0.20588151133595081</v>
      </c>
      <c r="T714">
        <v>0.16223729275520121</v>
      </c>
      <c r="U714">
        <v>4.2555146084885838</v>
      </c>
      <c r="V714">
        <v>0.12414549193133841</v>
      </c>
      <c r="W714">
        <v>4.368552984731755</v>
      </c>
      <c r="X714">
        <v>0.21725430719770891</v>
      </c>
      <c r="Z714" t="s">
        <v>392</v>
      </c>
      <c r="AA714">
        <v>140</v>
      </c>
      <c r="AB714" t="s">
        <v>2119</v>
      </c>
      <c r="AC714" t="str">
        <f>HYPERLINK("plots/20251231112652_3FT6Y119H04_05543_B21P_N_UFLEX98_M5358A8BA201511/dpll_52094/txpa_53215.png","plot")</f>
        <v>plot</v>
      </c>
    </row>
    <row r="715" spans="1:29" x14ac:dyDescent="0.35">
      <c r="A715" t="s">
        <v>47</v>
      </c>
      <c r="B715">
        <v>52094</v>
      </c>
      <c r="C715" t="s">
        <v>53</v>
      </c>
      <c r="D715">
        <v>53216</v>
      </c>
      <c r="E715" t="s">
        <v>91</v>
      </c>
      <c r="F715">
        <v>7139</v>
      </c>
      <c r="G715">
        <v>0.26262626292391489</v>
      </c>
      <c r="H715">
        <v>6.2753098906195426E-113</v>
      </c>
      <c r="I715">
        <v>1.120275392445108E-112</v>
      </c>
      <c r="J715">
        <v>0.27376419765287391</v>
      </c>
      <c r="K715">
        <v>6.3516496119975401E-123</v>
      </c>
      <c r="L715">
        <v>1.424905466054315E-122</v>
      </c>
      <c r="M715">
        <v>0.18542069431079269</v>
      </c>
      <c r="N715">
        <v>4.7184732349693282E-122</v>
      </c>
      <c r="O715">
        <v>1.06559729627147E-121</v>
      </c>
      <c r="P715">
        <v>6.8972553977381265E-2</v>
      </c>
      <c r="Q715">
        <v>0.54351654824223106</v>
      </c>
      <c r="R715">
        <v>1.9622819570066199</v>
      </c>
      <c r="S715">
        <v>0.24788850829423581</v>
      </c>
      <c r="T715">
        <v>0.1947273510102048</v>
      </c>
      <c r="U715">
        <v>4.2555146084885838</v>
      </c>
      <c r="V715">
        <v>0.12414549193133841</v>
      </c>
      <c r="W715">
        <v>4.275224568006724</v>
      </c>
      <c r="X715">
        <v>0.25692453033116092</v>
      </c>
      <c r="Z715" t="s">
        <v>392</v>
      </c>
      <c r="AA715">
        <v>140</v>
      </c>
      <c r="AB715" t="s">
        <v>2120</v>
      </c>
      <c r="AC715" t="str">
        <f>HYPERLINK("plots/20251231112652_3FT6Y119H04_05543_B21P_N_UFLEX98_M5358A8BA201511/dpll_52094/txpa_53216.png","plot")</f>
        <v>plot</v>
      </c>
    </row>
    <row r="716" spans="1:29" x14ac:dyDescent="0.35">
      <c r="A716" t="s">
        <v>47</v>
      </c>
      <c r="B716">
        <v>52094</v>
      </c>
      <c r="C716" t="s">
        <v>53</v>
      </c>
      <c r="D716">
        <v>53217</v>
      </c>
      <c r="E716" t="s">
        <v>92</v>
      </c>
      <c r="F716">
        <v>7139</v>
      </c>
      <c r="G716">
        <v>0.28035152351195192</v>
      </c>
      <c r="H716">
        <v>4.6266733760127321E-129</v>
      </c>
      <c r="I716">
        <v>9.4395307913016292E-129</v>
      </c>
      <c r="J716">
        <v>0.27719918321959158</v>
      </c>
      <c r="K716">
        <v>4.2031389688758512E-126</v>
      </c>
      <c r="L716">
        <v>9.6424952815387153E-126</v>
      </c>
      <c r="M716">
        <v>0.18768342948177291</v>
      </c>
      <c r="N716">
        <v>5.3117789520964736E-125</v>
      </c>
      <c r="O716">
        <v>1.246792559589311E-124</v>
      </c>
      <c r="P716">
        <v>7.8596976735472529E-2</v>
      </c>
      <c r="Q716">
        <v>0.55168087756598738</v>
      </c>
      <c r="R716">
        <v>2.0723692393015631</v>
      </c>
      <c r="S716">
        <v>0.2344824596873403</v>
      </c>
      <c r="T716">
        <v>0.1860691141823754</v>
      </c>
      <c r="U716">
        <v>4.2555146084885838</v>
      </c>
      <c r="V716">
        <v>0.12414549193133841</v>
      </c>
      <c r="W716">
        <v>4.4200552730074243</v>
      </c>
      <c r="X716">
        <v>0.24429577937222149</v>
      </c>
      <c r="Z716" t="s">
        <v>392</v>
      </c>
      <c r="AA716">
        <v>140</v>
      </c>
      <c r="AB716" t="s">
        <v>2121</v>
      </c>
      <c r="AC716" t="str">
        <f>HYPERLINK("plots/20251231112652_3FT6Y119H04_05543_B21P_N_UFLEX98_M5358A8BA201511/dpll_52094/txpa_53217.png","plot")</f>
        <v>plot</v>
      </c>
    </row>
    <row r="717" spans="1:29" x14ac:dyDescent="0.35">
      <c r="A717" t="s">
        <v>47</v>
      </c>
      <c r="B717">
        <v>52094</v>
      </c>
      <c r="C717" t="s">
        <v>53</v>
      </c>
      <c r="D717">
        <v>53218</v>
      </c>
      <c r="E717" t="s">
        <v>93</v>
      </c>
      <c r="F717">
        <v>7139</v>
      </c>
      <c r="G717">
        <v>0.32139592763019692</v>
      </c>
      <c r="H717">
        <v>3.1410537422813542E-171</v>
      </c>
      <c r="I717">
        <v>1.0079204097067379E-170</v>
      </c>
      <c r="J717">
        <v>0.30516538098240231</v>
      </c>
      <c r="K717">
        <v>9.9195007183786761E-154</v>
      </c>
      <c r="L717">
        <v>2.9410449498350808E-153</v>
      </c>
      <c r="M717">
        <v>0.2066243270387858</v>
      </c>
      <c r="N717">
        <v>4.4444416513342781E-151</v>
      </c>
      <c r="O717">
        <v>1.3412689983490949E-150</v>
      </c>
      <c r="P717">
        <v>0.1032953422972748</v>
      </c>
      <c r="Q717">
        <v>0.60426564938482596</v>
      </c>
      <c r="R717">
        <v>1.405636959514287</v>
      </c>
      <c r="S717">
        <v>0.22101043759125491</v>
      </c>
      <c r="T717">
        <v>0.17387305538162859</v>
      </c>
      <c r="U717">
        <v>4.2555146084885838</v>
      </c>
      <c r="V717">
        <v>0.12414549193133841</v>
      </c>
      <c r="W717">
        <v>3.9770982578792551</v>
      </c>
      <c r="X717">
        <v>0.23340947986871949</v>
      </c>
      <c r="Z717" t="s">
        <v>392</v>
      </c>
      <c r="AA717">
        <v>140</v>
      </c>
      <c r="AB717" t="s">
        <v>2122</v>
      </c>
      <c r="AC717" t="str">
        <f>HYPERLINK("plots/20251231112652_3FT6Y119H04_05543_B21P_N_UFLEX98_M5358A8BA201511/dpll_52094/txpa_53218.png","plot")</f>
        <v>plot</v>
      </c>
    </row>
    <row r="718" spans="1:29" x14ac:dyDescent="0.35">
      <c r="A718" t="s">
        <v>47</v>
      </c>
      <c r="B718">
        <v>52094</v>
      </c>
      <c r="C718" t="s">
        <v>53</v>
      </c>
      <c r="D718">
        <v>53219</v>
      </c>
      <c r="E718" t="s">
        <v>94</v>
      </c>
      <c r="F718">
        <v>7139</v>
      </c>
      <c r="G718">
        <v>0.30450730909663198</v>
      </c>
      <c r="H718">
        <v>4.8184584016464349E-153</v>
      </c>
      <c r="I718">
        <v>1.2625108060127869E-152</v>
      </c>
      <c r="J718">
        <v>0.31293251472643241</v>
      </c>
      <c r="K718">
        <v>5.7480685476149877E-162</v>
      </c>
      <c r="L718">
        <v>1.8985477222415629E-161</v>
      </c>
      <c r="M718">
        <v>0.21172066666485609</v>
      </c>
      <c r="N718">
        <v>1.5998062726926879E-158</v>
      </c>
      <c r="O718">
        <v>5.2160886190044548E-158</v>
      </c>
      <c r="P718">
        <v>9.2724701293271802E-2</v>
      </c>
      <c r="Q718">
        <v>0.54712784352872645</v>
      </c>
      <c r="R718">
        <v>3.5477695064127688</v>
      </c>
      <c r="S718">
        <v>0.21245217096920099</v>
      </c>
      <c r="T718">
        <v>0.16395223940785739</v>
      </c>
      <c r="U718">
        <v>4.2555146084885838</v>
      </c>
      <c r="V718">
        <v>0.12414549193133841</v>
      </c>
      <c r="W718">
        <v>5.8760800372601203</v>
      </c>
      <c r="X718">
        <v>0.2230601803474323</v>
      </c>
      <c r="Z718" t="s">
        <v>392</v>
      </c>
      <c r="AA718">
        <v>140</v>
      </c>
      <c r="AB718" t="s">
        <v>2123</v>
      </c>
      <c r="AC718" t="str">
        <f>HYPERLINK("plots/20251231112652_3FT6Y119H04_05543_B21P_N_UFLEX98_M5358A8BA201511/dpll_52094/txpa_53219.png","plot")</f>
        <v>plot</v>
      </c>
    </row>
    <row r="719" spans="1:29" x14ac:dyDescent="0.35">
      <c r="A719" t="s">
        <v>47</v>
      </c>
      <c r="B719">
        <v>52094</v>
      </c>
      <c r="C719" t="s">
        <v>53</v>
      </c>
      <c r="D719">
        <v>53220</v>
      </c>
      <c r="E719" t="s">
        <v>95</v>
      </c>
      <c r="F719">
        <v>7139</v>
      </c>
      <c r="G719">
        <v>0.24137877284884551</v>
      </c>
      <c r="H719">
        <v>3.6159020752333021E-95</v>
      </c>
      <c r="I719">
        <v>5.5218745546484462E-95</v>
      </c>
      <c r="J719">
        <v>0.24307168037062879</v>
      </c>
      <c r="K719">
        <v>1.6030645028426491E-96</v>
      </c>
      <c r="L719">
        <v>2.907884447016899E-96</v>
      </c>
      <c r="M719">
        <v>0.16263089232559089</v>
      </c>
      <c r="N719">
        <v>2.4110997925286131E-94</v>
      </c>
      <c r="O719">
        <v>4.3736228794705058E-94</v>
      </c>
      <c r="P719">
        <v>5.8263711982014549E-2</v>
      </c>
      <c r="Q719">
        <v>0.5387200567774767</v>
      </c>
      <c r="R719">
        <v>3.6493409869091908</v>
      </c>
      <c r="S719">
        <v>0.26886189608532579</v>
      </c>
      <c r="T719">
        <v>0.21618542396551629</v>
      </c>
      <c r="U719">
        <v>4.2555146084885838</v>
      </c>
      <c r="V719">
        <v>0.12414549193133841</v>
      </c>
      <c r="W719">
        <v>5.9418720584115423</v>
      </c>
      <c r="X719">
        <v>0.27707352089240811</v>
      </c>
      <c r="Z719" t="s">
        <v>392</v>
      </c>
      <c r="AA719">
        <v>140</v>
      </c>
      <c r="AB719" t="s">
        <v>2124</v>
      </c>
      <c r="AC719" t="str">
        <f>HYPERLINK("plots/20251231112652_3FT6Y119H04_05543_B21P_N_UFLEX98_M5358A8BA201511/dpll_52094/txpa_53220.png","plot")</f>
        <v>plot</v>
      </c>
    </row>
    <row r="720" spans="1:29" x14ac:dyDescent="0.35">
      <c r="A720" t="s">
        <v>47</v>
      </c>
      <c r="B720">
        <v>52094</v>
      </c>
      <c r="C720" t="s">
        <v>53</v>
      </c>
      <c r="D720">
        <v>53221</v>
      </c>
      <c r="E720" t="s">
        <v>96</v>
      </c>
      <c r="F720">
        <v>7139</v>
      </c>
      <c r="G720">
        <v>0.31709529706550388</v>
      </c>
      <c r="H720">
        <v>1.743568515660686E-166</v>
      </c>
      <c r="I720">
        <v>5.2152757371089549E-166</v>
      </c>
      <c r="J720">
        <v>0.32304126991998472</v>
      </c>
      <c r="K720">
        <v>4.5837670969026467E-173</v>
      </c>
      <c r="L720">
        <v>1.7151069506491819E-172</v>
      </c>
      <c r="M720">
        <v>0.21827496866970961</v>
      </c>
      <c r="N720">
        <v>2.3224177971927779E-168</v>
      </c>
      <c r="O720">
        <v>8.4709771451563911E-168</v>
      </c>
      <c r="P720">
        <v>0.1005494274210602</v>
      </c>
      <c r="Q720">
        <v>0.54734719455534775</v>
      </c>
      <c r="R720">
        <v>3.804517795634585</v>
      </c>
      <c r="S720">
        <v>0.20321805076919719</v>
      </c>
      <c r="T720">
        <v>0.1589239217856227</v>
      </c>
      <c r="U720">
        <v>4.2555146084885838</v>
      </c>
      <c r="V720">
        <v>0.12414549193133841</v>
      </c>
      <c r="W720">
        <v>6.1337617779801104</v>
      </c>
      <c r="X720">
        <v>0.21429105809561941</v>
      </c>
      <c r="Z720" t="s">
        <v>392</v>
      </c>
      <c r="AA720">
        <v>140</v>
      </c>
      <c r="AB720" t="s">
        <v>2125</v>
      </c>
      <c r="AC720" t="str">
        <f>HYPERLINK("plots/20251231112652_3FT6Y119H04_05543_B21P_N_UFLEX98_M5358A8BA201511/dpll_52094/txpa_53221.png","plot")</f>
        <v>plot</v>
      </c>
    </row>
    <row r="721" spans="1:29" x14ac:dyDescent="0.35">
      <c r="A721" t="s">
        <v>47</v>
      </c>
      <c r="B721">
        <v>52094</v>
      </c>
      <c r="C721" t="s">
        <v>53</v>
      </c>
      <c r="D721">
        <v>53222</v>
      </c>
      <c r="E721" t="s">
        <v>97</v>
      </c>
      <c r="F721">
        <v>7139</v>
      </c>
      <c r="G721">
        <v>0.25108914283131578</v>
      </c>
      <c r="H721">
        <v>4.4821419689515863E-103</v>
      </c>
      <c r="I721">
        <v>7.3541941043962916E-103</v>
      </c>
      <c r="J721">
        <v>0.24860928814404379</v>
      </c>
      <c r="K721">
        <v>5.059432626615814E-101</v>
      </c>
      <c r="L721">
        <v>9.5713893346799177E-101</v>
      </c>
      <c r="M721">
        <v>0.16715423096117421</v>
      </c>
      <c r="N721">
        <v>1.4784158786542861E-99</v>
      </c>
      <c r="O721">
        <v>2.7916456256153558E-99</v>
      </c>
      <c r="P721">
        <v>6.3045757647764891E-2</v>
      </c>
      <c r="Q721">
        <v>0.51689977667372189</v>
      </c>
      <c r="R721">
        <v>3.7885144584854831</v>
      </c>
      <c r="S721">
        <v>0.24736493462955669</v>
      </c>
      <c r="T721">
        <v>0.1984924169794654</v>
      </c>
      <c r="U721">
        <v>4.2555146084885838</v>
      </c>
      <c r="V721">
        <v>0.12414549193133841</v>
      </c>
      <c r="W721">
        <v>5.9881890092449934</v>
      </c>
      <c r="X721">
        <v>0.25556970058824369</v>
      </c>
      <c r="Z721" t="s">
        <v>392</v>
      </c>
      <c r="AA721">
        <v>140</v>
      </c>
      <c r="AB721" t="s">
        <v>2126</v>
      </c>
      <c r="AC721" t="str">
        <f>HYPERLINK("plots/20251231112652_3FT6Y119H04_05543_B21P_N_UFLEX98_M5358A8BA201511/dpll_52094/txpa_53222.png","plot")</f>
        <v>plot</v>
      </c>
    </row>
    <row r="722" spans="1:29" x14ac:dyDescent="0.35">
      <c r="A722" t="s">
        <v>47</v>
      </c>
      <c r="B722">
        <v>52094</v>
      </c>
      <c r="C722" t="s">
        <v>53</v>
      </c>
      <c r="D722">
        <v>53223</v>
      </c>
      <c r="E722" t="s">
        <v>98</v>
      </c>
      <c r="F722">
        <v>7139</v>
      </c>
      <c r="G722">
        <v>0.33357785454538308</v>
      </c>
      <c r="H722">
        <v>4.259543431059326E-185</v>
      </c>
      <c r="I722">
        <v>1.6740996275558739E-184</v>
      </c>
      <c r="J722">
        <v>0.3292042647846945</v>
      </c>
      <c r="K722">
        <v>4.805479348907785E-180</v>
      </c>
      <c r="L722">
        <v>1.8960140310476628E-179</v>
      </c>
      <c r="M722">
        <v>0.22317557435881799</v>
      </c>
      <c r="N722">
        <v>6.519627382377147E-176</v>
      </c>
      <c r="O722">
        <v>2.562365180515669E-175</v>
      </c>
      <c r="P722">
        <v>0.1112741850431008</v>
      </c>
      <c r="Q722">
        <v>0.56980813004250008</v>
      </c>
      <c r="R722">
        <v>3.828568832721821</v>
      </c>
      <c r="S722">
        <v>0.1999014123868251</v>
      </c>
      <c r="T722">
        <v>0.15742240455965689</v>
      </c>
      <c r="U722">
        <v>4.2555146084885838</v>
      </c>
      <c r="V722">
        <v>0.12414549193133841</v>
      </c>
      <c r="W722">
        <v>6.2533956541532429</v>
      </c>
      <c r="X722">
        <v>0.21206177102796309</v>
      </c>
      <c r="Z722" t="s">
        <v>392</v>
      </c>
      <c r="AA722">
        <v>140</v>
      </c>
      <c r="AB722" t="s">
        <v>2127</v>
      </c>
      <c r="AC722" t="str">
        <f>HYPERLINK("plots/20251231112652_3FT6Y119H04_05543_B21P_N_UFLEX98_M5358A8BA201511/dpll_52094/txpa_53223.png","plot")</f>
        <v>plot</v>
      </c>
    </row>
    <row r="723" spans="1:29" x14ac:dyDescent="0.35">
      <c r="A723" t="s">
        <v>47</v>
      </c>
      <c r="B723">
        <v>52094</v>
      </c>
      <c r="C723" t="s">
        <v>53</v>
      </c>
      <c r="D723">
        <v>53224</v>
      </c>
      <c r="E723" t="s">
        <v>99</v>
      </c>
      <c r="F723">
        <v>7139</v>
      </c>
      <c r="G723">
        <v>0.27794336403426839</v>
      </c>
      <c r="H723">
        <v>8.4861679376159312E-127</v>
      </c>
      <c r="I723">
        <v>1.6741195114285129E-126</v>
      </c>
      <c r="J723">
        <v>0.29002940870820731</v>
      </c>
      <c r="K723">
        <v>2.1777097998502569E-138</v>
      </c>
      <c r="L723">
        <v>5.5762569117377788E-138</v>
      </c>
      <c r="M723">
        <v>0.1967577302475069</v>
      </c>
      <c r="N723">
        <v>3.4903680572702241E-137</v>
      </c>
      <c r="O723">
        <v>9.1217350775051729E-137</v>
      </c>
      <c r="P723">
        <v>7.7252513610685844E-2</v>
      </c>
      <c r="Q723">
        <v>0.55389323650185573</v>
      </c>
      <c r="R723">
        <v>3.8079715094685609</v>
      </c>
      <c r="S723">
        <v>0.23763572035468311</v>
      </c>
      <c r="T723">
        <v>0.1865920342639773</v>
      </c>
      <c r="U723">
        <v>4.2555146084885838</v>
      </c>
      <c r="V723">
        <v>0.12414549193133841</v>
      </c>
      <c r="W723">
        <v>6.16507226894523</v>
      </c>
      <c r="X723">
        <v>0.24740057587590411</v>
      </c>
      <c r="Z723" t="s">
        <v>392</v>
      </c>
      <c r="AA723">
        <v>140</v>
      </c>
      <c r="AB723" t="s">
        <v>2128</v>
      </c>
      <c r="AC723" t="str">
        <f>HYPERLINK("plots/20251231112652_3FT6Y119H04_05543_B21P_N_UFLEX98_M5358A8BA201511/dpll_52094/txpa_53224.png","plot")</f>
        <v>plot</v>
      </c>
    </row>
    <row r="724" spans="1:29" x14ac:dyDescent="0.35">
      <c r="A724" t="s">
        <v>47</v>
      </c>
      <c r="B724">
        <v>52094</v>
      </c>
      <c r="C724" t="s">
        <v>53</v>
      </c>
      <c r="D724">
        <v>53225</v>
      </c>
      <c r="E724" t="s">
        <v>100</v>
      </c>
      <c r="F724">
        <v>7139</v>
      </c>
      <c r="G724">
        <v>0.29604708067904878</v>
      </c>
      <c r="H724">
        <v>2.2377407198303449E-144</v>
      </c>
      <c r="I724">
        <v>5.3389860939011042E-144</v>
      </c>
      <c r="J724">
        <v>0.29382442273990311</v>
      </c>
      <c r="K724">
        <v>3.7892456503320453E-142</v>
      </c>
      <c r="L724">
        <v>1.000597679540806E-141</v>
      </c>
      <c r="M724">
        <v>0.199289170117598</v>
      </c>
      <c r="N724">
        <v>1.1019325166673541E-140</v>
      </c>
      <c r="O724">
        <v>2.9638184931052979E-140</v>
      </c>
      <c r="P724">
        <v>8.7643873978587222E-2</v>
      </c>
      <c r="Q724">
        <v>0.56174425031103836</v>
      </c>
      <c r="R724">
        <v>3.9091130097984541</v>
      </c>
      <c r="S724">
        <v>0.22498863655722981</v>
      </c>
      <c r="T724">
        <v>0.17791588281122761</v>
      </c>
      <c r="U724">
        <v>4.2555146084885838</v>
      </c>
      <c r="V724">
        <v>0.12414549193133841</v>
      </c>
      <c r="W724">
        <v>6.2996238732315453</v>
      </c>
      <c r="X724">
        <v>0.23556393846041421</v>
      </c>
      <c r="Z724" t="s">
        <v>392</v>
      </c>
      <c r="AA724">
        <v>140</v>
      </c>
      <c r="AB724" t="s">
        <v>2129</v>
      </c>
      <c r="AC724" t="str">
        <f>HYPERLINK("plots/20251231112652_3FT6Y119H04_05543_B21P_N_UFLEX98_M5358A8BA201511/dpll_52094/txpa_53225.png","plot")</f>
        <v>plot</v>
      </c>
    </row>
    <row r="725" spans="1:29" x14ac:dyDescent="0.35">
      <c r="A725" t="s">
        <v>47</v>
      </c>
      <c r="B725">
        <v>52094</v>
      </c>
      <c r="C725" t="s">
        <v>53</v>
      </c>
      <c r="D725">
        <v>53226</v>
      </c>
      <c r="E725" t="s">
        <v>101</v>
      </c>
      <c r="F725">
        <v>7139</v>
      </c>
      <c r="G725">
        <v>0.33310580624292258</v>
      </c>
      <c r="H725">
        <v>1.508940982620035E-184</v>
      </c>
      <c r="I725">
        <v>5.8399471617431886E-184</v>
      </c>
      <c r="J725">
        <v>0.31952316889319582</v>
      </c>
      <c r="K725">
        <v>3.73836798686303E-169</v>
      </c>
      <c r="L725">
        <v>1.311662677743637E-168</v>
      </c>
      <c r="M725">
        <v>0.21683906858152249</v>
      </c>
      <c r="N725">
        <v>3.5199059424020927E-166</v>
      </c>
      <c r="O725">
        <v>1.2656683069488381E-165</v>
      </c>
      <c r="P725">
        <v>0.1109594781527475</v>
      </c>
      <c r="Q725">
        <v>0.60645378898197588</v>
      </c>
      <c r="R725">
        <v>3.304391117815098</v>
      </c>
      <c r="S725">
        <v>0.21309674875743881</v>
      </c>
      <c r="T725">
        <v>0.16752242742135279</v>
      </c>
      <c r="U725">
        <v>4.2555146084885838</v>
      </c>
      <c r="V725">
        <v>0.12414549193133841</v>
      </c>
      <c r="W725">
        <v>5.885164076201149</v>
      </c>
      <c r="X725">
        <v>0.22601978877512011</v>
      </c>
      <c r="Z725" t="s">
        <v>392</v>
      </c>
      <c r="AA725">
        <v>140</v>
      </c>
      <c r="AB725" t="s">
        <v>2130</v>
      </c>
      <c r="AC725" t="str">
        <f>HYPERLINK("plots/20251231112652_3FT6Y119H04_05543_B21P_N_UFLEX98_M5358A8BA201511/dpll_52094/txpa_53226.png","plot")</f>
        <v>plot</v>
      </c>
    </row>
    <row r="726" spans="1:29" x14ac:dyDescent="0.35">
      <c r="A726" t="s">
        <v>47</v>
      </c>
      <c r="B726">
        <v>52094</v>
      </c>
      <c r="C726" t="s">
        <v>53</v>
      </c>
      <c r="D726">
        <v>53227</v>
      </c>
      <c r="E726" t="s">
        <v>102</v>
      </c>
      <c r="F726">
        <v>7139</v>
      </c>
      <c r="G726">
        <v>0.31841624977309108</v>
      </c>
      <c r="H726">
        <v>6.2017342471935307E-168</v>
      </c>
      <c r="I726">
        <v>1.89414413453441E-167</v>
      </c>
      <c r="J726">
        <v>0.3346021650699732</v>
      </c>
      <c r="K726">
        <v>2.716824131422387E-186</v>
      </c>
      <c r="L726">
        <v>1.162388046102236E-185</v>
      </c>
      <c r="M726">
        <v>0.22712151805434549</v>
      </c>
      <c r="N726">
        <v>4.0871847787270652E-182</v>
      </c>
      <c r="O726">
        <v>1.741346792281195E-181</v>
      </c>
      <c r="P726">
        <v>0.1013889081195596</v>
      </c>
      <c r="Q726">
        <v>0.56224337986306649</v>
      </c>
      <c r="R726">
        <v>5.7543787016205279</v>
      </c>
      <c r="S726">
        <v>0.20778564920390599</v>
      </c>
      <c r="T726">
        <v>0.1588399329466601</v>
      </c>
      <c r="U726">
        <v>4.2555146084885838</v>
      </c>
      <c r="V726">
        <v>0.12414549193133841</v>
      </c>
      <c r="W726">
        <v>8.1470136181538031</v>
      </c>
      <c r="X726">
        <v>0.21920985825308659</v>
      </c>
      <c r="Z726" t="s">
        <v>392</v>
      </c>
      <c r="AA726">
        <v>140</v>
      </c>
      <c r="AB726" t="s">
        <v>2131</v>
      </c>
      <c r="AC726" t="str">
        <f>HYPERLINK("plots/20251231112652_3FT6Y119H04_05543_B21P_N_UFLEX98_M5358A8BA201511/dpll_52094/txpa_53227.png","plot")</f>
        <v>plot</v>
      </c>
    </row>
    <row r="727" spans="1:29" x14ac:dyDescent="0.35">
      <c r="A727" t="s">
        <v>47</v>
      </c>
      <c r="B727">
        <v>52094</v>
      </c>
      <c r="C727" t="s">
        <v>53</v>
      </c>
      <c r="D727">
        <v>53228</v>
      </c>
      <c r="E727" t="s">
        <v>103</v>
      </c>
      <c r="F727">
        <v>7139</v>
      </c>
      <c r="G727">
        <v>0.25778106750395252</v>
      </c>
      <c r="H727">
        <v>9.9366640836872947E-109</v>
      </c>
      <c r="I727">
        <v>1.701989422442385E-108</v>
      </c>
      <c r="J727">
        <v>0.2607610794025978</v>
      </c>
      <c r="K727">
        <v>2.6598843014026241E-111</v>
      </c>
      <c r="L727">
        <v>5.3620729256903792E-111</v>
      </c>
      <c r="M727">
        <v>0.17482881463548319</v>
      </c>
      <c r="N727">
        <v>1.000607220941122E-108</v>
      </c>
      <c r="O727">
        <v>2.0171286720363769E-108</v>
      </c>
      <c r="P727">
        <v>6.6451078763477292E-2</v>
      </c>
      <c r="Q727">
        <v>0.55476193398272611</v>
      </c>
      <c r="R727">
        <v>5.8700785359902854</v>
      </c>
      <c r="S727">
        <v>0.2581218154430357</v>
      </c>
      <c r="T727">
        <v>0.20667339321865541</v>
      </c>
      <c r="U727">
        <v>4.2555146084885838</v>
      </c>
      <c r="V727">
        <v>0.12414549193133841</v>
      </c>
      <c r="W727">
        <v>8.2308760502871543</v>
      </c>
      <c r="X727">
        <v>0.2671693226579186</v>
      </c>
      <c r="Z727" t="s">
        <v>392</v>
      </c>
      <c r="AA727">
        <v>140</v>
      </c>
      <c r="AB727" t="s">
        <v>2132</v>
      </c>
      <c r="AC727" t="str">
        <f>HYPERLINK("plots/20251231112652_3FT6Y119H04_05543_B21P_N_UFLEX98_M5358A8BA201511/dpll_52094/txpa_53228.png","plot")</f>
        <v>plot</v>
      </c>
    </row>
    <row r="728" spans="1:29" x14ac:dyDescent="0.35">
      <c r="A728" t="s">
        <v>47</v>
      </c>
      <c r="B728">
        <v>52094</v>
      </c>
      <c r="C728" t="s">
        <v>53</v>
      </c>
      <c r="D728">
        <v>53229</v>
      </c>
      <c r="E728" t="s">
        <v>104</v>
      </c>
      <c r="F728">
        <v>7139</v>
      </c>
      <c r="G728">
        <v>0.33533880976168118</v>
      </c>
      <c r="H728">
        <v>3.7291951930347248E-187</v>
      </c>
      <c r="I728">
        <v>1.5247596474746821E-186</v>
      </c>
      <c r="J728">
        <v>0.346951220295247</v>
      </c>
      <c r="K728">
        <v>4.5714024083215761E-201</v>
      </c>
      <c r="L728">
        <v>2.2073343057324181E-200</v>
      </c>
      <c r="M728">
        <v>0.2354895635163092</v>
      </c>
      <c r="N728">
        <v>1.259717075874201E-195</v>
      </c>
      <c r="O728">
        <v>6.0252505421530173E-195</v>
      </c>
      <c r="P728">
        <v>0.112452117332381</v>
      </c>
      <c r="Q728">
        <v>0.56820942298343124</v>
      </c>
      <c r="R728">
        <v>5.9673796736470086</v>
      </c>
      <c r="S728">
        <v>0.19816230433170051</v>
      </c>
      <c r="T728">
        <v>0.153305111988017</v>
      </c>
      <c r="U728">
        <v>4.2555146084885838</v>
      </c>
      <c r="V728">
        <v>0.12414549193133841</v>
      </c>
      <c r="W728">
        <v>8.3854031738338701</v>
      </c>
      <c r="X728">
        <v>0.21035632107846949</v>
      </c>
      <c r="Z728" t="s">
        <v>392</v>
      </c>
      <c r="AA728">
        <v>140</v>
      </c>
      <c r="AB728" t="s">
        <v>2133</v>
      </c>
      <c r="AC728" t="str">
        <f>HYPERLINK("plots/20251231112652_3FT6Y119H04_05543_B21P_N_UFLEX98_M5358A8BA201511/dpll_52094/txpa_53229.png","plot")</f>
        <v>plot</v>
      </c>
    </row>
    <row r="729" spans="1:29" x14ac:dyDescent="0.35">
      <c r="A729" t="s">
        <v>47</v>
      </c>
      <c r="B729">
        <v>52094</v>
      </c>
      <c r="C729" t="s">
        <v>53</v>
      </c>
      <c r="D729">
        <v>53230</v>
      </c>
      <c r="E729" t="s">
        <v>105</v>
      </c>
      <c r="F729">
        <v>7139</v>
      </c>
      <c r="G729">
        <v>0.27081353359082161</v>
      </c>
      <c r="H729">
        <v>3.1425978198990171E-120</v>
      </c>
      <c r="I729">
        <v>5.9340673917646252E-120</v>
      </c>
      <c r="J729">
        <v>0.26917008357530819</v>
      </c>
      <c r="K729">
        <v>9.6248150216883579E-119</v>
      </c>
      <c r="L729">
        <v>2.054644722524631E-118</v>
      </c>
      <c r="M729">
        <v>0.18149767553155621</v>
      </c>
      <c r="N729">
        <v>5.0124956154039769E-117</v>
      </c>
      <c r="O729">
        <v>1.07912325987678E-116</v>
      </c>
      <c r="P729">
        <v>7.3339969975947036E-2</v>
      </c>
      <c r="Q729">
        <v>0.53872486279629517</v>
      </c>
      <c r="R729">
        <v>5.9839044930833598</v>
      </c>
      <c r="S729">
        <v>0.23771544794568419</v>
      </c>
      <c r="T729">
        <v>0.1899309312494098</v>
      </c>
      <c r="U729">
        <v>4.2555146084885838</v>
      </c>
      <c r="V729">
        <v>0.12414549193133841</v>
      </c>
      <c r="W729">
        <v>8.2764560166690018</v>
      </c>
      <c r="X729">
        <v>0.24696056441750719</v>
      </c>
      <c r="Z729" t="s">
        <v>392</v>
      </c>
      <c r="AA729">
        <v>140</v>
      </c>
      <c r="AB729" t="s">
        <v>2134</v>
      </c>
      <c r="AC729" t="str">
        <f>HYPERLINK("plots/20251231112652_3FT6Y119H04_05543_B21P_N_UFLEX98_M5358A8BA201511/dpll_52094/txpa_53230.png","plot")</f>
        <v>plot</v>
      </c>
    </row>
    <row r="730" spans="1:29" x14ac:dyDescent="0.35">
      <c r="A730" t="s">
        <v>47</v>
      </c>
      <c r="B730">
        <v>52094</v>
      </c>
      <c r="C730" t="s">
        <v>53</v>
      </c>
      <c r="D730">
        <v>53231</v>
      </c>
      <c r="E730" t="s">
        <v>106</v>
      </c>
      <c r="F730">
        <v>7139</v>
      </c>
      <c r="G730">
        <v>0.35153279273736449</v>
      </c>
      <c r="H730">
        <v>1.013547240590577E-206</v>
      </c>
      <c r="I730">
        <v>6.1541131853823073E-206</v>
      </c>
      <c r="J730">
        <v>0.34857722447629458</v>
      </c>
      <c r="K730">
        <v>4.6152181673920022E-203</v>
      </c>
      <c r="L730">
        <v>2.3282742396693982E-202</v>
      </c>
      <c r="M730">
        <v>0.2373025091733281</v>
      </c>
      <c r="N730">
        <v>1.283818934304747E-198</v>
      </c>
      <c r="O730">
        <v>6.3193805795389011E-198</v>
      </c>
      <c r="P730">
        <v>0.1235753043697309</v>
      </c>
      <c r="Q730">
        <v>0.59093226447481639</v>
      </c>
      <c r="R730">
        <v>5.9892004349924894</v>
      </c>
      <c r="S730">
        <v>0.19535732332684269</v>
      </c>
      <c r="T730">
        <v>0.1528848184878073</v>
      </c>
      <c r="U730">
        <v>4.2555146084885838</v>
      </c>
      <c r="V730">
        <v>0.12414549193133841</v>
      </c>
      <c r="W730">
        <v>8.50392131909231</v>
      </c>
      <c r="X730">
        <v>0.20869056368842209</v>
      </c>
      <c r="Z730" t="s">
        <v>392</v>
      </c>
      <c r="AA730">
        <v>140</v>
      </c>
      <c r="AB730" t="s">
        <v>2135</v>
      </c>
      <c r="AC730" t="str">
        <f>HYPERLINK("plots/20251231112652_3FT6Y119H04_05543_B21P_N_UFLEX98_M5358A8BA201511/dpll_52094/txpa_53231.png","plot")</f>
        <v>plot</v>
      </c>
    </row>
    <row r="731" spans="1:29" x14ac:dyDescent="0.35">
      <c r="A731" t="s">
        <v>47</v>
      </c>
      <c r="B731">
        <v>52094</v>
      </c>
      <c r="C731" t="s">
        <v>53</v>
      </c>
      <c r="D731">
        <v>53232</v>
      </c>
      <c r="E731" t="s">
        <v>107</v>
      </c>
      <c r="F731">
        <v>7139</v>
      </c>
      <c r="G731">
        <v>0.29937971024341309</v>
      </c>
      <c r="H731">
        <v>9.3451289955699132E-148</v>
      </c>
      <c r="I731">
        <v>2.2999904858028859E-147</v>
      </c>
      <c r="J731">
        <v>0.31152701579043968</v>
      </c>
      <c r="K731">
        <v>1.856116560191645E-160</v>
      </c>
      <c r="L731">
        <v>5.9939560255870321E-160</v>
      </c>
      <c r="M731">
        <v>0.21206349313560521</v>
      </c>
      <c r="N731">
        <v>4.9625840730437924E-159</v>
      </c>
      <c r="O731">
        <v>1.6444641340086291E-158</v>
      </c>
      <c r="P731">
        <v>8.9628210905430009E-2</v>
      </c>
      <c r="Q731">
        <v>0.57379881725685233</v>
      </c>
      <c r="R731">
        <v>5.980533115446887</v>
      </c>
      <c r="S731">
        <v>0.227011163806625</v>
      </c>
      <c r="T731">
        <v>0.1778175302011934</v>
      </c>
      <c r="U731">
        <v>4.2555146084885838</v>
      </c>
      <c r="V731">
        <v>0.12414549193133841</v>
      </c>
      <c r="W731">
        <v>8.4223423646168936</v>
      </c>
      <c r="X731">
        <v>0.23794042816079369</v>
      </c>
      <c r="Z731" t="s">
        <v>392</v>
      </c>
      <c r="AA731">
        <v>140</v>
      </c>
      <c r="AB731" t="s">
        <v>2136</v>
      </c>
      <c r="AC731" t="str">
        <f>HYPERLINK("plots/20251231112652_3FT6Y119H04_05543_B21P_N_UFLEX98_M5358A8BA201511/dpll_52094/txpa_53232.png","plot")</f>
        <v>plot</v>
      </c>
    </row>
    <row r="732" spans="1:29" x14ac:dyDescent="0.35">
      <c r="A732" t="s">
        <v>47</v>
      </c>
      <c r="B732">
        <v>52094</v>
      </c>
      <c r="C732" t="s">
        <v>53</v>
      </c>
      <c r="D732">
        <v>53233</v>
      </c>
      <c r="E732" t="s">
        <v>108</v>
      </c>
      <c r="F732">
        <v>7139</v>
      </c>
      <c r="G732">
        <v>0.31666916177530557</v>
      </c>
      <c r="H732">
        <v>5.0967006043649479E-166</v>
      </c>
      <c r="I732">
        <v>1.5155584788346211E-165</v>
      </c>
      <c r="J732">
        <v>0.31457055840734699</v>
      </c>
      <c r="K732">
        <v>9.7800283589252915E-164</v>
      </c>
      <c r="L732">
        <v>3.2946673607808123E-163</v>
      </c>
      <c r="M732">
        <v>0.21402694373815639</v>
      </c>
      <c r="N732">
        <v>5.958970857918483E-162</v>
      </c>
      <c r="O732">
        <v>2.0141321499764469E-161</v>
      </c>
      <c r="P732">
        <v>0.1002793580194747</v>
      </c>
      <c r="Q732">
        <v>0.58093393121320902</v>
      </c>
      <c r="R732">
        <v>6.0702194285755731</v>
      </c>
      <c r="S732">
        <v>0.21601074154898589</v>
      </c>
      <c r="T732">
        <v>0.16976000427872631</v>
      </c>
      <c r="U732">
        <v>4.2555146084885838</v>
      </c>
      <c r="V732">
        <v>0.12414549193133841</v>
      </c>
      <c r="W732">
        <v>8.5423922594200867</v>
      </c>
      <c r="X732">
        <v>0.22774661184483599</v>
      </c>
      <c r="Z732" t="s">
        <v>392</v>
      </c>
      <c r="AA732">
        <v>140</v>
      </c>
      <c r="AB732" t="s">
        <v>2137</v>
      </c>
      <c r="AC732" t="str">
        <f>HYPERLINK("plots/20251231112652_3FT6Y119H04_05543_B21P_N_UFLEX98_M5358A8BA201511/dpll_52094/txpa_53233.png","plot")</f>
        <v>plot</v>
      </c>
    </row>
    <row r="733" spans="1:29" x14ac:dyDescent="0.35">
      <c r="A733" t="s">
        <v>47</v>
      </c>
      <c r="B733">
        <v>52094</v>
      </c>
      <c r="C733" t="s">
        <v>53</v>
      </c>
      <c r="D733">
        <v>53234</v>
      </c>
      <c r="E733" t="s">
        <v>109</v>
      </c>
      <c r="F733">
        <v>7139</v>
      </c>
      <c r="G733">
        <v>0.34756964325061002</v>
      </c>
      <c r="H733">
        <v>7.9865406880851771E-202</v>
      </c>
      <c r="I733">
        <v>4.3774877068747943E-201</v>
      </c>
      <c r="J733">
        <v>0.33614822504475689</v>
      </c>
      <c r="K733">
        <v>4.180555748705438E-188</v>
      </c>
      <c r="L733">
        <v>1.8351010948862829E-187</v>
      </c>
      <c r="M733">
        <v>0.2289347617607273</v>
      </c>
      <c r="N733">
        <v>5.3096859934217372E-185</v>
      </c>
      <c r="O733">
        <v>2.2910730201402731E-184</v>
      </c>
      <c r="P733">
        <v>0.12080465690935629</v>
      </c>
      <c r="Q733">
        <v>0.61484508466122134</v>
      </c>
      <c r="R733">
        <v>5.5504320801995366</v>
      </c>
      <c r="S733">
        <v>0.20590509419258279</v>
      </c>
      <c r="T733">
        <v>0.1609675880886938</v>
      </c>
      <c r="U733">
        <v>4.2555146084885838</v>
      </c>
      <c r="V733">
        <v>0.12414549193133841</v>
      </c>
      <c r="W733">
        <v>8.166914319932765</v>
      </c>
      <c r="X733">
        <v>0.21961136991988661</v>
      </c>
      <c r="Z733" t="s">
        <v>392</v>
      </c>
      <c r="AA733">
        <v>140</v>
      </c>
      <c r="AB733" t="s">
        <v>2138</v>
      </c>
      <c r="AC733" t="str">
        <f>HYPERLINK("plots/20251231112652_3FT6Y119H04_05543_B21P_N_UFLEX98_M5358A8BA201511/dpll_52094/txpa_53234.png","plot")</f>
        <v>plot</v>
      </c>
    </row>
    <row r="734" spans="1:29" x14ac:dyDescent="0.35">
      <c r="A734" t="s">
        <v>47</v>
      </c>
      <c r="B734">
        <v>52094</v>
      </c>
      <c r="C734" t="s">
        <v>53</v>
      </c>
      <c r="D734">
        <v>53235</v>
      </c>
      <c r="E734" t="s">
        <v>110</v>
      </c>
      <c r="F734">
        <v>7139</v>
      </c>
      <c r="G734">
        <v>0.32367975004003768</v>
      </c>
      <c r="H734">
        <v>8.8248682033969697E-174</v>
      </c>
      <c r="I734">
        <v>2.9435580125804368E-173</v>
      </c>
      <c r="J734">
        <v>0.34417667444812922</v>
      </c>
      <c r="K734">
        <v>1.09230209116203E-197</v>
      </c>
      <c r="L734">
        <v>5.0575083125036461E-197</v>
      </c>
      <c r="M734">
        <v>0.2340467698941521</v>
      </c>
      <c r="N734">
        <v>2.912492606237371E-193</v>
      </c>
      <c r="O734">
        <v>1.342394319420315E-192</v>
      </c>
      <c r="P734">
        <v>0.10476858058598131</v>
      </c>
      <c r="Q734">
        <v>0.57120576451246863</v>
      </c>
      <c r="R734">
        <v>6.7081186874321928</v>
      </c>
      <c r="S734">
        <v>0.20727419833558289</v>
      </c>
      <c r="T734">
        <v>0.15733782838200339</v>
      </c>
      <c r="U734">
        <v>4.2555146084885838</v>
      </c>
      <c r="V734">
        <v>0.12414549193133841</v>
      </c>
      <c r="W734">
        <v>9.1388931627678929</v>
      </c>
      <c r="X734">
        <v>0.21908266000775489</v>
      </c>
      <c r="Z734" t="s">
        <v>392</v>
      </c>
      <c r="AA734">
        <v>140</v>
      </c>
      <c r="AB734" t="s">
        <v>2139</v>
      </c>
      <c r="AC734" t="str">
        <f>HYPERLINK("plots/20251231112652_3FT6Y119H04_05543_B21P_N_UFLEX98_M5358A8BA201511/dpll_52094/txpa_53235.png","plot")</f>
        <v>plot</v>
      </c>
    </row>
    <row r="735" spans="1:29" x14ac:dyDescent="0.35">
      <c r="A735" t="s">
        <v>47</v>
      </c>
      <c r="B735">
        <v>52094</v>
      </c>
      <c r="C735" t="s">
        <v>53</v>
      </c>
      <c r="D735">
        <v>53236</v>
      </c>
      <c r="E735" t="s">
        <v>111</v>
      </c>
      <c r="F735">
        <v>7139</v>
      </c>
      <c r="G735">
        <v>0.26562259932972437</v>
      </c>
      <c r="H735">
        <v>1.431371610847997E-115</v>
      </c>
      <c r="I735">
        <v>2.6151546187385021E-115</v>
      </c>
      <c r="J735">
        <v>0.26922436509274777</v>
      </c>
      <c r="K735">
        <v>8.5995241360340132E-119</v>
      </c>
      <c r="L735">
        <v>1.839645036695884E-118</v>
      </c>
      <c r="M735">
        <v>0.18071519060128441</v>
      </c>
      <c r="N735">
        <v>4.8967783967535602E-116</v>
      </c>
      <c r="O735">
        <v>1.043137246703384E-115</v>
      </c>
      <c r="P735">
        <v>7.0555365274679288E-2</v>
      </c>
      <c r="Q735">
        <v>0.56442026827726355</v>
      </c>
      <c r="R735">
        <v>6.8311659487677643</v>
      </c>
      <c r="S735">
        <v>0.25430205838723502</v>
      </c>
      <c r="T735">
        <v>0.20303308631523739</v>
      </c>
      <c r="U735">
        <v>4.2555146084885838</v>
      </c>
      <c r="V735">
        <v>0.12414549193133841</v>
      </c>
      <c r="W735">
        <v>9.2330646457487049</v>
      </c>
      <c r="X735">
        <v>0.26379619820796518</v>
      </c>
      <c r="Z735" t="s">
        <v>392</v>
      </c>
      <c r="AA735">
        <v>140</v>
      </c>
      <c r="AB735" t="s">
        <v>2140</v>
      </c>
      <c r="AC735" t="str">
        <f>HYPERLINK("plots/20251231112652_3FT6Y119H04_05543_B21P_N_UFLEX98_M5358A8BA201511/dpll_52094/txpa_53236.png","plot")</f>
        <v>plot</v>
      </c>
    </row>
    <row r="736" spans="1:29" x14ac:dyDescent="0.35">
      <c r="A736" t="s">
        <v>47</v>
      </c>
      <c r="B736">
        <v>52094</v>
      </c>
      <c r="C736" t="s">
        <v>53</v>
      </c>
      <c r="D736">
        <v>53237</v>
      </c>
      <c r="E736" t="s">
        <v>112</v>
      </c>
      <c r="F736">
        <v>7139</v>
      </c>
      <c r="G736">
        <v>0.34322106109445227</v>
      </c>
      <c r="H736">
        <v>1.562949118977622E-196</v>
      </c>
      <c r="I736">
        <v>7.8070463381443778E-196</v>
      </c>
      <c r="J736">
        <v>0.35797345036398032</v>
      </c>
      <c r="K736">
        <v>7.8753489674964237E-215</v>
      </c>
      <c r="L736">
        <v>5.0863718809180722E-214</v>
      </c>
      <c r="M736">
        <v>0.24355925736435549</v>
      </c>
      <c r="N736">
        <v>4.0602686945127101E-209</v>
      </c>
      <c r="O736">
        <v>2.407668103061923E-208</v>
      </c>
      <c r="P736">
        <v>0.1178006967788018</v>
      </c>
      <c r="Q736">
        <v>0.58116699341429456</v>
      </c>
      <c r="R736">
        <v>6.8941650435980657</v>
      </c>
      <c r="S736">
        <v>0.1974289797866586</v>
      </c>
      <c r="T736">
        <v>0.15160857102199579</v>
      </c>
      <c r="U736">
        <v>4.2555146084885838</v>
      </c>
      <c r="V736">
        <v>0.12414549193133841</v>
      </c>
      <c r="W736">
        <v>9.3673296740439849</v>
      </c>
      <c r="X736">
        <v>0.21021222317070881</v>
      </c>
      <c r="Z736" t="s">
        <v>392</v>
      </c>
      <c r="AA736">
        <v>140</v>
      </c>
      <c r="AB736" t="s">
        <v>2141</v>
      </c>
      <c r="AC736" t="str">
        <f>HYPERLINK("plots/20251231112652_3FT6Y119H04_05543_B21P_N_UFLEX98_M5358A8BA201511/dpll_52094/txpa_53237.png","plot")</f>
        <v>plot</v>
      </c>
    </row>
    <row r="737" spans="1:29" x14ac:dyDescent="0.35">
      <c r="A737" t="s">
        <v>47</v>
      </c>
      <c r="B737">
        <v>52094</v>
      </c>
      <c r="C737" t="s">
        <v>53</v>
      </c>
      <c r="D737">
        <v>53238</v>
      </c>
      <c r="E737" t="s">
        <v>113</v>
      </c>
      <c r="F737">
        <v>7139</v>
      </c>
      <c r="G737">
        <v>0.28031156781640848</v>
      </c>
      <c r="H737">
        <v>5.046719994181949E-129</v>
      </c>
      <c r="I737">
        <v>1.025525866553206E-128</v>
      </c>
      <c r="J737">
        <v>0.27917856733769109</v>
      </c>
      <c r="K737">
        <v>5.8963029800762534E-128</v>
      </c>
      <c r="L737">
        <v>1.393671613472569E-127</v>
      </c>
      <c r="M737">
        <v>0.1885208631753359</v>
      </c>
      <c r="N737">
        <v>4.205937559693015E-126</v>
      </c>
      <c r="O737">
        <v>1.013021540505634E-125</v>
      </c>
      <c r="P737">
        <v>7.8574575051692977E-2</v>
      </c>
      <c r="Q737">
        <v>0.55128618432379994</v>
      </c>
      <c r="R737">
        <v>6.9324375356432446</v>
      </c>
      <c r="S737">
        <v>0.23435095019395111</v>
      </c>
      <c r="T737">
        <v>0.18671409341434289</v>
      </c>
      <c r="U737">
        <v>4.2555146084885838</v>
      </c>
      <c r="V737">
        <v>0.12414549193133841</v>
      </c>
      <c r="W737">
        <v>9.2784439464911053</v>
      </c>
      <c r="X737">
        <v>0.2441557980677185</v>
      </c>
      <c r="Z737" t="s">
        <v>392</v>
      </c>
      <c r="AA737">
        <v>140</v>
      </c>
      <c r="AB737" t="s">
        <v>2142</v>
      </c>
      <c r="AC737" t="str">
        <f>HYPERLINK("plots/20251231112652_3FT6Y119H04_05543_B21P_N_UFLEX98_M5358A8BA201511/dpll_52094/txpa_53238.png","plot")</f>
        <v>plot</v>
      </c>
    </row>
    <row r="738" spans="1:29" x14ac:dyDescent="0.35">
      <c r="A738" t="s">
        <v>47</v>
      </c>
      <c r="B738">
        <v>52094</v>
      </c>
      <c r="C738" t="s">
        <v>53</v>
      </c>
      <c r="D738">
        <v>53239</v>
      </c>
      <c r="E738" t="s">
        <v>114</v>
      </c>
      <c r="F738">
        <v>7139</v>
      </c>
      <c r="G738">
        <v>0.35819987248634649</v>
      </c>
      <c r="H738">
        <v>4.0525030398744561E-215</v>
      </c>
      <c r="I738">
        <v>2.8536375572449301E-214</v>
      </c>
      <c r="J738">
        <v>0.3563025799625345</v>
      </c>
      <c r="K738">
        <v>1.0430503213223461E-212</v>
      </c>
      <c r="L738">
        <v>6.3714037700051735E-212</v>
      </c>
      <c r="M738">
        <v>0.2430434294227013</v>
      </c>
      <c r="N738">
        <v>3.0516737662013718E-208</v>
      </c>
      <c r="O738">
        <v>1.7482470050441761E-207</v>
      </c>
      <c r="P738">
        <v>0.1283071486492349</v>
      </c>
      <c r="Q738">
        <v>0.60186446634345281</v>
      </c>
      <c r="R738">
        <v>6.9254936463098407</v>
      </c>
      <c r="S738">
        <v>0.19474017390285009</v>
      </c>
      <c r="T738">
        <v>0.1516802597660887</v>
      </c>
      <c r="U738">
        <v>4.2555146084885838</v>
      </c>
      <c r="V738">
        <v>0.12414549193133841</v>
      </c>
      <c r="W738">
        <v>9.4867366751645896</v>
      </c>
      <c r="X738">
        <v>0.20859516149897139</v>
      </c>
      <c r="Z738" t="s">
        <v>392</v>
      </c>
      <c r="AA738">
        <v>140</v>
      </c>
      <c r="AB738" t="s">
        <v>2143</v>
      </c>
      <c r="AC738" t="str">
        <f>HYPERLINK("plots/20251231112652_3FT6Y119H04_05543_B21P_N_UFLEX98_M5358A8BA201511/dpll_52094/txpa_53239.png","plot")</f>
        <v>plot</v>
      </c>
    </row>
    <row r="739" spans="1:29" x14ac:dyDescent="0.35">
      <c r="A739" t="s">
        <v>47</v>
      </c>
      <c r="B739">
        <v>52094</v>
      </c>
      <c r="C739" t="s">
        <v>53</v>
      </c>
      <c r="D739">
        <v>53240</v>
      </c>
      <c r="E739" t="s">
        <v>115</v>
      </c>
      <c r="F739">
        <v>7139</v>
      </c>
      <c r="G739">
        <v>0.30931530333408991</v>
      </c>
      <c r="H739">
        <v>4.2331445113286673E-158</v>
      </c>
      <c r="I739">
        <v>1.153873261958943E-157</v>
      </c>
      <c r="J739">
        <v>0.32152713142059169</v>
      </c>
      <c r="K739">
        <v>2.2444106624479128E-171</v>
      </c>
      <c r="L739">
        <v>8.1571054183590811E-171</v>
      </c>
      <c r="M739">
        <v>0.21928395023817901</v>
      </c>
      <c r="N739">
        <v>6.6575668510346581E-170</v>
      </c>
      <c r="O739">
        <v>2.4910600689849239E-169</v>
      </c>
      <c r="P739">
        <v>9.5675956876660057E-2</v>
      </c>
      <c r="Q739">
        <v>0.58535233848038237</v>
      </c>
      <c r="R739">
        <v>6.9167977657881634</v>
      </c>
      <c r="S739">
        <v>0.22339761065903829</v>
      </c>
      <c r="T739">
        <v>0.1745541094470445</v>
      </c>
      <c r="U739">
        <v>4.2555146084885838</v>
      </c>
      <c r="V739">
        <v>0.12414549193133841</v>
      </c>
      <c r="W739">
        <v>9.4077731933043847</v>
      </c>
      <c r="X739">
        <v>0.23493455781370459</v>
      </c>
      <c r="Z739" t="s">
        <v>392</v>
      </c>
      <c r="AA739">
        <v>140</v>
      </c>
      <c r="AB739" t="s">
        <v>2144</v>
      </c>
      <c r="AC739" t="str">
        <f>HYPERLINK("plots/20251231112652_3FT6Y119H04_05543_B21P_N_UFLEX98_M5358A8BA201511/dpll_52094/txpa_53240.png","plot")</f>
        <v>plot</v>
      </c>
    </row>
    <row r="740" spans="1:29" x14ac:dyDescent="0.35">
      <c r="A740" t="s">
        <v>47</v>
      </c>
      <c r="B740">
        <v>52094</v>
      </c>
      <c r="C740" t="s">
        <v>53</v>
      </c>
      <c r="D740">
        <v>53241</v>
      </c>
      <c r="E740" t="s">
        <v>116</v>
      </c>
      <c r="F740">
        <v>7139</v>
      </c>
      <c r="G740">
        <v>0.32614143673175</v>
      </c>
      <c r="H740">
        <v>1.481510131808173E-176</v>
      </c>
      <c r="I740">
        <v>5.0923771988253807E-176</v>
      </c>
      <c r="J740">
        <v>0.32411285877913698</v>
      </c>
      <c r="K740">
        <v>2.879741075354653E-174</v>
      </c>
      <c r="L740">
        <v>1.0895736755259771E-173</v>
      </c>
      <c r="M740">
        <v>0.2209503332316014</v>
      </c>
      <c r="N740">
        <v>1.8308917647824219E-172</v>
      </c>
      <c r="O740">
        <v>7.0322888238233957E-172</v>
      </c>
      <c r="P740">
        <v>0.1063682367534501</v>
      </c>
      <c r="Q740">
        <v>0.59216193858755473</v>
      </c>
      <c r="R740">
        <v>7.0002964875743672</v>
      </c>
      <c r="S740">
        <v>0.21306609311837599</v>
      </c>
      <c r="T740">
        <v>0.16669275015085139</v>
      </c>
      <c r="U740">
        <v>4.2555146084885838</v>
      </c>
      <c r="V740">
        <v>0.12414549193133841</v>
      </c>
      <c r="W740">
        <v>9.5202502678246255</v>
      </c>
      <c r="X740">
        <v>0.22540599534254249</v>
      </c>
      <c r="Z740" t="s">
        <v>392</v>
      </c>
      <c r="AA740">
        <v>140</v>
      </c>
      <c r="AB740" t="s">
        <v>2145</v>
      </c>
      <c r="AC740" t="str">
        <f>HYPERLINK("plots/20251231112652_3FT6Y119H04_05543_B21P_N_UFLEX98_M5358A8BA201511/dpll_52094/txpa_53241.png","plot")</f>
        <v>plot</v>
      </c>
    </row>
    <row r="741" spans="1:29" x14ac:dyDescent="0.35">
      <c r="A741" t="s">
        <v>47</v>
      </c>
      <c r="B741">
        <v>52094</v>
      </c>
      <c r="C741" t="s">
        <v>53</v>
      </c>
      <c r="D741">
        <v>53242</v>
      </c>
      <c r="E741" t="s">
        <v>117</v>
      </c>
      <c r="F741">
        <v>7139</v>
      </c>
      <c r="G741">
        <v>0.35375680688878181</v>
      </c>
      <c r="H741">
        <v>1.6862426215733291E-209</v>
      </c>
      <c r="I741">
        <v>1.096057704022664E-208</v>
      </c>
      <c r="J741">
        <v>0.34326236212114969</v>
      </c>
      <c r="K741">
        <v>1.393427791005882E-196</v>
      </c>
      <c r="L741">
        <v>6.3360348882509607E-196</v>
      </c>
      <c r="M741">
        <v>0.2342168627225153</v>
      </c>
      <c r="N741">
        <v>1.5364654225060131E-193</v>
      </c>
      <c r="O741">
        <v>7.1140453809182516E-193</v>
      </c>
      <c r="P741">
        <v>0.1251438784201469</v>
      </c>
      <c r="Q741">
        <v>0.62161494746369095</v>
      </c>
      <c r="R741">
        <v>6.5190743013606181</v>
      </c>
      <c r="S741">
        <v>0.20402599097088281</v>
      </c>
      <c r="T741">
        <v>0.1588667844035416</v>
      </c>
      <c r="U741">
        <v>4.2555146084885838</v>
      </c>
      <c r="V741">
        <v>0.12414549193133841</v>
      </c>
      <c r="W741">
        <v>9.1643657911472189</v>
      </c>
      <c r="X741">
        <v>0.21814617257390281</v>
      </c>
      <c r="Z741" t="s">
        <v>392</v>
      </c>
      <c r="AA741">
        <v>140</v>
      </c>
      <c r="AB741" t="s">
        <v>2146</v>
      </c>
      <c r="AC741" t="str">
        <f>HYPERLINK("plots/20251231112652_3FT6Y119H04_05543_B21P_N_UFLEX98_M5358A8BA201511/dpll_52094/txpa_53242.png","plot")</f>
        <v>plot</v>
      </c>
    </row>
    <row r="742" spans="1:29" x14ac:dyDescent="0.35">
      <c r="A742" t="s">
        <v>47</v>
      </c>
      <c r="B742">
        <v>52094</v>
      </c>
      <c r="C742" t="s">
        <v>53</v>
      </c>
      <c r="D742">
        <v>53243</v>
      </c>
      <c r="E742" t="s">
        <v>118</v>
      </c>
      <c r="F742">
        <v>7139</v>
      </c>
      <c r="G742">
        <v>0.32959378791027261</v>
      </c>
      <c r="H742">
        <v>1.7183852530198931E-180</v>
      </c>
      <c r="I742">
        <v>6.1788746331991914E-180</v>
      </c>
      <c r="J742">
        <v>0.35397674824748132</v>
      </c>
      <c r="K742">
        <v>8.9305799214594628E-210</v>
      </c>
      <c r="L742">
        <v>5.0030983648397215E-209</v>
      </c>
      <c r="M742">
        <v>0.2412776933326905</v>
      </c>
      <c r="N742">
        <v>2.946886490092599E-205</v>
      </c>
      <c r="O742">
        <v>1.6239907070401609E-204</v>
      </c>
      <c r="P742">
        <v>0.1086320650290417</v>
      </c>
      <c r="Q742">
        <v>0.58462589615450589</v>
      </c>
      <c r="R742">
        <v>7.6073398704462711</v>
      </c>
      <c r="S742">
        <v>0.20788735285629281</v>
      </c>
      <c r="T742">
        <v>0.15669755339269431</v>
      </c>
      <c r="U742">
        <v>4.2555146084885838</v>
      </c>
      <c r="V742">
        <v>0.12414549193133841</v>
      </c>
      <c r="W742">
        <v>10.0952239120325</v>
      </c>
      <c r="X742">
        <v>0.22020642419892711</v>
      </c>
      <c r="Z742" t="s">
        <v>392</v>
      </c>
      <c r="AA742">
        <v>140</v>
      </c>
      <c r="AB742" t="s">
        <v>2147</v>
      </c>
      <c r="AC742" t="str">
        <f>HYPERLINK("plots/20251231112652_3FT6Y119H04_05543_B21P_N_UFLEX98_M5358A8BA201511/dpll_52094/txpa_53243.png","plot")</f>
        <v>plot</v>
      </c>
    </row>
    <row r="743" spans="1:29" x14ac:dyDescent="0.35">
      <c r="A743" t="s">
        <v>47</v>
      </c>
      <c r="B743">
        <v>52094</v>
      </c>
      <c r="C743" t="s">
        <v>53</v>
      </c>
      <c r="D743">
        <v>53244</v>
      </c>
      <c r="E743" t="s">
        <v>119</v>
      </c>
      <c r="F743">
        <v>7139</v>
      </c>
      <c r="G743">
        <v>0.27476718244632542</v>
      </c>
      <c r="H743">
        <v>7.5737279457292241E-124</v>
      </c>
      <c r="I743">
        <v>1.462811454660844E-123</v>
      </c>
      <c r="J743">
        <v>0.27906756621496992</v>
      </c>
      <c r="K743">
        <v>7.4972082917318607E-128</v>
      </c>
      <c r="L743">
        <v>1.7638443637624379E-127</v>
      </c>
      <c r="M743">
        <v>0.18760434187900171</v>
      </c>
      <c r="N743">
        <v>6.7260543981675983E-125</v>
      </c>
      <c r="O743">
        <v>1.5714790690649641E-124</v>
      </c>
      <c r="P743">
        <v>7.5497004549492278E-2</v>
      </c>
      <c r="Q743">
        <v>0.57896204149549912</v>
      </c>
      <c r="R743">
        <v>7.7351693029087851</v>
      </c>
      <c r="S743">
        <v>0.25150112179548167</v>
      </c>
      <c r="T743">
        <v>0.20016550053456381</v>
      </c>
      <c r="U743">
        <v>4.2555146084885838</v>
      </c>
      <c r="V743">
        <v>0.12414549193133841</v>
      </c>
      <c r="W743">
        <v>10.19895072825325</v>
      </c>
      <c r="X743">
        <v>0.26158701636455889</v>
      </c>
      <c r="Z743" t="s">
        <v>392</v>
      </c>
      <c r="AA743">
        <v>140</v>
      </c>
      <c r="AB743" t="s">
        <v>2148</v>
      </c>
      <c r="AC743" t="str">
        <f>HYPERLINK("plots/20251231112652_3FT6Y119H04_05543_B21P_N_UFLEX98_M5358A8BA201511/dpll_52094/txpa_53244.png","plot")</f>
        <v>plot</v>
      </c>
    </row>
    <row r="744" spans="1:29" x14ac:dyDescent="0.35">
      <c r="A744" t="s">
        <v>47</v>
      </c>
      <c r="B744">
        <v>52094</v>
      </c>
      <c r="C744" t="s">
        <v>53</v>
      </c>
      <c r="D744">
        <v>53245</v>
      </c>
      <c r="E744" t="s">
        <v>120</v>
      </c>
      <c r="F744">
        <v>7139</v>
      </c>
      <c r="G744">
        <v>0.35104219058654018</v>
      </c>
      <c r="H744">
        <v>4.1289031837653189E-206</v>
      </c>
      <c r="I744">
        <v>2.462769310787079E-205</v>
      </c>
      <c r="J744">
        <v>0.36846402215508978</v>
      </c>
      <c r="K744">
        <v>1.89594121878456E-228</v>
      </c>
      <c r="L744">
        <v>1.6431490562799519E-227</v>
      </c>
      <c r="M744">
        <v>0.25152813569420568</v>
      </c>
      <c r="N744">
        <v>6.9404368266301312E-223</v>
      </c>
      <c r="O744">
        <v>5.8162007786801255E-222</v>
      </c>
      <c r="P744">
        <v>0.1232306195717968</v>
      </c>
      <c r="Q744">
        <v>0.59735092036070947</v>
      </c>
      <c r="R744">
        <v>7.7705091052144324</v>
      </c>
      <c r="S744">
        <v>0.19779415013039209</v>
      </c>
      <c r="T744">
        <v>0.15077256879903911</v>
      </c>
      <c r="U744">
        <v>4.2555146084885838</v>
      </c>
      <c r="V744">
        <v>0.12414549193133841</v>
      </c>
      <c r="W744">
        <v>10.312544673203529</v>
      </c>
      <c r="X744">
        <v>0.21125216812232769</v>
      </c>
      <c r="Z744" t="s">
        <v>392</v>
      </c>
      <c r="AA744">
        <v>140</v>
      </c>
      <c r="AB744" t="s">
        <v>2149</v>
      </c>
      <c r="AC744" t="str">
        <f>HYPERLINK("plots/20251231112652_3FT6Y119H04_05543_B21P_N_UFLEX98_M5358A8BA201511/dpll_52094/txpa_53245.png","plot")</f>
        <v>plot</v>
      </c>
    </row>
    <row r="745" spans="1:29" x14ac:dyDescent="0.35">
      <c r="A745" t="s">
        <v>47</v>
      </c>
      <c r="B745">
        <v>52094</v>
      </c>
      <c r="C745" t="s">
        <v>53</v>
      </c>
      <c r="D745">
        <v>53246</v>
      </c>
      <c r="E745" t="s">
        <v>121</v>
      </c>
      <c r="F745">
        <v>7139</v>
      </c>
      <c r="G745">
        <v>0.29087715546493192</v>
      </c>
      <c r="H745">
        <v>3.1857406865126551E-139</v>
      </c>
      <c r="I745">
        <v>7.0996506727996319E-139</v>
      </c>
      <c r="J745">
        <v>0.2900066642007092</v>
      </c>
      <c r="K745">
        <v>2.2927529200661429E-138</v>
      </c>
      <c r="L745">
        <v>5.8413353290127375E-138</v>
      </c>
      <c r="M745">
        <v>0.19617713044738541</v>
      </c>
      <c r="N745">
        <v>2.1824403819777542E-136</v>
      </c>
      <c r="O745">
        <v>5.6167374297600069E-136</v>
      </c>
      <c r="P745">
        <v>8.4609519571370181E-2</v>
      </c>
      <c r="Q745">
        <v>0.5682318916929614</v>
      </c>
      <c r="R745">
        <v>7.8259591724473214</v>
      </c>
      <c r="S745">
        <v>0.232016953764869</v>
      </c>
      <c r="T745">
        <v>0.18427460861731379</v>
      </c>
      <c r="U745">
        <v>4.2555146084885838</v>
      </c>
      <c r="V745">
        <v>0.12414549193133841</v>
      </c>
      <c r="W745">
        <v>10.244078288555819</v>
      </c>
      <c r="X745">
        <v>0.2425196561501797</v>
      </c>
      <c r="Z745" t="s">
        <v>392</v>
      </c>
      <c r="AA745">
        <v>140</v>
      </c>
      <c r="AB745" t="s">
        <v>2150</v>
      </c>
      <c r="AC745" t="str">
        <f>HYPERLINK("plots/20251231112652_3FT6Y119H04_05543_B21P_N_UFLEX98_M5358A8BA201511/dpll_52094/txpa_53246.png","plot")</f>
        <v>plot</v>
      </c>
    </row>
    <row r="746" spans="1:29" x14ac:dyDescent="0.35">
      <c r="A746" t="s">
        <v>47</v>
      </c>
      <c r="B746">
        <v>52094</v>
      </c>
      <c r="C746" t="s">
        <v>53</v>
      </c>
      <c r="D746">
        <v>53247</v>
      </c>
      <c r="E746" t="s">
        <v>122</v>
      </c>
      <c r="F746">
        <v>7139</v>
      </c>
      <c r="G746">
        <v>0.36572553897403443</v>
      </c>
      <c r="H746">
        <v>7.626029778918568E-225</v>
      </c>
      <c r="I746">
        <v>7.507567180411095E-224</v>
      </c>
      <c r="J746">
        <v>0.36471962220883392</v>
      </c>
      <c r="K746">
        <v>1.5757624052468931E-223</v>
      </c>
      <c r="L746">
        <v>1.248299280406523E-222</v>
      </c>
      <c r="M746">
        <v>0.24942670194926919</v>
      </c>
      <c r="N746">
        <v>3.2734180585614601E-219</v>
      </c>
      <c r="O746">
        <v>2.5337755048712371E-218</v>
      </c>
      <c r="P746">
        <v>0.13375516985784799</v>
      </c>
      <c r="Q746">
        <v>0.61768743160338335</v>
      </c>
      <c r="R746">
        <v>7.8048347558200319</v>
      </c>
      <c r="S746">
        <v>0.19513462512967689</v>
      </c>
      <c r="T746">
        <v>0.15110483861252211</v>
      </c>
      <c r="U746">
        <v>4.2555146084885838</v>
      </c>
      <c r="V746">
        <v>0.12414549193133841</v>
      </c>
      <c r="W746">
        <v>10.433412644488021</v>
      </c>
      <c r="X746">
        <v>0.20967392726065881</v>
      </c>
      <c r="Z746" t="s">
        <v>392</v>
      </c>
      <c r="AA746">
        <v>140</v>
      </c>
      <c r="AB746" t="s">
        <v>2151</v>
      </c>
      <c r="AC746" t="str">
        <f>HYPERLINK("plots/20251231112652_3FT6Y119H04_05543_B21P_N_UFLEX98_M5358A8BA201511/dpll_52094/txpa_53247.png","plot")</f>
        <v>plot</v>
      </c>
    </row>
    <row r="747" spans="1:29" x14ac:dyDescent="0.35">
      <c r="A747" t="s">
        <v>47</v>
      </c>
      <c r="B747">
        <v>52094</v>
      </c>
      <c r="C747" t="s">
        <v>53</v>
      </c>
      <c r="D747">
        <v>53248</v>
      </c>
      <c r="E747" t="s">
        <v>123</v>
      </c>
      <c r="F747">
        <v>7139</v>
      </c>
      <c r="G747">
        <v>0.32033261024174758</v>
      </c>
      <c r="H747">
        <v>4.7576322835821363E-170</v>
      </c>
      <c r="I747">
        <v>1.502878235374544E-169</v>
      </c>
      <c r="J747">
        <v>0.33232307285772111</v>
      </c>
      <c r="K747">
        <v>1.222868513358023E-183</v>
      </c>
      <c r="L747">
        <v>4.9999543247783699E-183</v>
      </c>
      <c r="M747">
        <v>0.22711377991964241</v>
      </c>
      <c r="N747">
        <v>4.2029909199335363E-182</v>
      </c>
      <c r="O747">
        <v>1.783193637160086E-181</v>
      </c>
      <c r="P747">
        <v>0.10261298118429139</v>
      </c>
      <c r="Q747">
        <v>0.60106120346665926</v>
      </c>
      <c r="R747">
        <v>7.7991118773809394</v>
      </c>
      <c r="S747">
        <v>0.2206520516930108</v>
      </c>
      <c r="T747">
        <v>0.1719412074816809</v>
      </c>
      <c r="U747">
        <v>4.2555146084885838</v>
      </c>
      <c r="V747">
        <v>0.12414549193133841</v>
      </c>
      <c r="W747">
        <v>10.35693660932904</v>
      </c>
      <c r="X747">
        <v>0.23294237426810041</v>
      </c>
      <c r="Z747" t="s">
        <v>392</v>
      </c>
      <c r="AA747">
        <v>140</v>
      </c>
      <c r="AB747" t="s">
        <v>2152</v>
      </c>
      <c r="AC747" t="str">
        <f>HYPERLINK("plots/20251231112652_3FT6Y119H04_05543_B21P_N_UFLEX98_M5358A8BA201511/dpll_52094/txpa_53248.png","plot")</f>
        <v>plot</v>
      </c>
    </row>
    <row r="748" spans="1:29" x14ac:dyDescent="0.35">
      <c r="A748" t="s">
        <v>47</v>
      </c>
      <c r="B748">
        <v>52094</v>
      </c>
      <c r="C748" t="s">
        <v>53</v>
      </c>
      <c r="D748">
        <v>53249</v>
      </c>
      <c r="E748" t="s">
        <v>124</v>
      </c>
      <c r="F748">
        <v>7139</v>
      </c>
      <c r="G748">
        <v>0.33644469234129681</v>
      </c>
      <c r="H748">
        <v>1.8724783141494399E-188</v>
      </c>
      <c r="I748">
        <v>7.8135514837347013E-188</v>
      </c>
      <c r="J748">
        <v>0.33428897238282951</v>
      </c>
      <c r="K748">
        <v>6.3098950151079892E-186</v>
      </c>
      <c r="L748">
        <v>2.677085165405649E-185</v>
      </c>
      <c r="M748">
        <v>0.22838293395719239</v>
      </c>
      <c r="N748">
        <v>4.0337296988281758E-184</v>
      </c>
      <c r="O748">
        <v>1.725823592663194E-183</v>
      </c>
      <c r="P748">
        <v>0.1131950310046299</v>
      </c>
      <c r="Q748">
        <v>0.60766344362677804</v>
      </c>
      <c r="R748">
        <v>7.8760109468102</v>
      </c>
      <c r="S748">
        <v>0.21113684254262141</v>
      </c>
      <c r="T748">
        <v>0.16441826460137959</v>
      </c>
      <c r="U748">
        <v>4.2555146084885838</v>
      </c>
      <c r="V748">
        <v>0.12414549193133841</v>
      </c>
      <c r="W748">
        <v>10.461931608208429</v>
      </c>
      <c r="X748">
        <v>0.22422311558183489</v>
      </c>
      <c r="Z748" t="s">
        <v>392</v>
      </c>
      <c r="AA748">
        <v>140</v>
      </c>
      <c r="AB748" t="s">
        <v>2153</v>
      </c>
      <c r="AC748" t="str">
        <f>HYPERLINK("plots/20251231112652_3FT6Y119H04_05543_B21P_N_UFLEX98_M5358A8BA201511/dpll_52094/txpa_53249.png","plot")</f>
        <v>plot</v>
      </c>
    </row>
    <row r="749" spans="1:29" x14ac:dyDescent="0.35">
      <c r="A749" t="s">
        <v>47</v>
      </c>
      <c r="B749">
        <v>52094</v>
      </c>
      <c r="C749" t="s">
        <v>53</v>
      </c>
      <c r="D749">
        <v>53250</v>
      </c>
      <c r="E749" t="s">
        <v>125</v>
      </c>
      <c r="F749">
        <v>7139</v>
      </c>
      <c r="G749">
        <v>0.36029022291201268</v>
      </c>
      <c r="H749">
        <v>8.5641184461369142E-218</v>
      </c>
      <c r="I749">
        <v>6.7317954297541321E-217</v>
      </c>
      <c r="J749">
        <v>0.3506546621465001</v>
      </c>
      <c r="K749">
        <v>1.2499669465414119E-205</v>
      </c>
      <c r="L749">
        <v>6.5333323906855243E-205</v>
      </c>
      <c r="M749">
        <v>0.23973868838972451</v>
      </c>
      <c r="N749">
        <v>1.1293854032292551E-202</v>
      </c>
      <c r="O749">
        <v>5.9336621703340142E-202</v>
      </c>
      <c r="P749">
        <v>0.12980904472598781</v>
      </c>
      <c r="Q749">
        <v>0.63228778921003226</v>
      </c>
      <c r="R749">
        <v>7.4355886638650706</v>
      </c>
      <c r="S749">
        <v>0.20322172564968391</v>
      </c>
      <c r="T749">
        <v>0.15757053962743389</v>
      </c>
      <c r="U749">
        <v>4.2555146084885838</v>
      </c>
      <c r="V749">
        <v>0.12414549193133841</v>
      </c>
      <c r="W749">
        <v>10.12629858761731</v>
      </c>
      <c r="X749">
        <v>0.2178679121493326</v>
      </c>
      <c r="Z749" t="s">
        <v>392</v>
      </c>
      <c r="AA749">
        <v>140</v>
      </c>
      <c r="AB749" t="s">
        <v>2154</v>
      </c>
      <c r="AC749" t="str">
        <f>HYPERLINK("plots/20251231112652_3FT6Y119H04_05543_B21P_N_UFLEX98_M5358A8BA201511/dpll_52094/txpa_53250.png","plot")</f>
        <v>plot</v>
      </c>
    </row>
    <row r="750" spans="1:29" x14ac:dyDescent="0.35">
      <c r="A750" t="s">
        <v>47</v>
      </c>
      <c r="B750">
        <v>52094</v>
      </c>
      <c r="C750" t="s">
        <v>53</v>
      </c>
      <c r="D750">
        <v>53251</v>
      </c>
      <c r="E750" t="s">
        <v>126</v>
      </c>
      <c r="F750">
        <v>7139</v>
      </c>
      <c r="G750">
        <v>0.33325572857348762</v>
      </c>
      <c r="H750">
        <v>1.009989940604906E-184</v>
      </c>
      <c r="I750">
        <v>3.923868964648944E-184</v>
      </c>
      <c r="J750">
        <v>0.36220887465415152</v>
      </c>
      <c r="K750">
        <v>2.881345995712037E-220</v>
      </c>
      <c r="L750">
        <v>2.1019315393179889E-219</v>
      </c>
      <c r="M750">
        <v>0.2475019716475409</v>
      </c>
      <c r="N750">
        <v>7.1186584839455048E-216</v>
      </c>
      <c r="O750">
        <v>5.1930357573530513E-215</v>
      </c>
      <c r="P750">
        <v>0.111059380627046</v>
      </c>
      <c r="Q750">
        <v>0.59542561481759959</v>
      </c>
      <c r="R750">
        <v>8.5159841122331628</v>
      </c>
      <c r="S750">
        <v>0.2091157772546634</v>
      </c>
      <c r="T750">
        <v>0.15642318350839679</v>
      </c>
      <c r="U750">
        <v>4.2555146084885838</v>
      </c>
      <c r="V750">
        <v>0.12414549193133841</v>
      </c>
      <c r="W750">
        <v>11.049826514357751</v>
      </c>
      <c r="X750">
        <v>0.2218098580824551</v>
      </c>
      <c r="Z750" t="s">
        <v>392</v>
      </c>
      <c r="AA750">
        <v>140</v>
      </c>
      <c r="AB750" t="s">
        <v>2155</v>
      </c>
      <c r="AC750" t="str">
        <f>HYPERLINK("plots/20251231112652_3FT6Y119H04_05543_B21P_N_UFLEX98_M5358A8BA201511/dpll_52094/txpa_53251.png","plot")</f>
        <v>plot</v>
      </c>
    </row>
    <row r="751" spans="1:29" x14ac:dyDescent="0.35">
      <c r="A751" t="s">
        <v>47</v>
      </c>
      <c r="B751">
        <v>52094</v>
      </c>
      <c r="C751" t="s">
        <v>53</v>
      </c>
      <c r="D751">
        <v>53252</v>
      </c>
      <c r="E751" t="s">
        <v>127</v>
      </c>
      <c r="F751">
        <v>7139</v>
      </c>
      <c r="G751">
        <v>0.28301737051477249</v>
      </c>
      <c r="H751">
        <v>1.35838905429733E-131</v>
      </c>
      <c r="I751">
        <v>2.8458812005320099E-131</v>
      </c>
      <c r="J751">
        <v>0.28867429205193468</v>
      </c>
      <c r="K751">
        <v>4.6391150916373927E-137</v>
      </c>
      <c r="L751">
        <v>1.164371956168395E-136</v>
      </c>
      <c r="M751">
        <v>0.19444386825584359</v>
      </c>
      <c r="N751">
        <v>5.0474795625671827E-134</v>
      </c>
      <c r="O751">
        <v>1.2668673951591889E-133</v>
      </c>
      <c r="P751">
        <v>8.0098832013096047E-2</v>
      </c>
      <c r="Q751">
        <v>0.59105945612479349</v>
      </c>
      <c r="R751">
        <v>8.6462726376209531</v>
      </c>
      <c r="S751">
        <v>0.24865042041550761</v>
      </c>
      <c r="T751">
        <v>0.1970772532589799</v>
      </c>
      <c r="U751">
        <v>4.2555146084885838</v>
      </c>
      <c r="V751">
        <v>0.12414549193133841</v>
      </c>
      <c r="W751">
        <v>11.16153478764533</v>
      </c>
      <c r="X751">
        <v>0.25926806827375198</v>
      </c>
      <c r="Z751" t="s">
        <v>392</v>
      </c>
      <c r="AA751">
        <v>140</v>
      </c>
      <c r="AB751" t="s">
        <v>2156</v>
      </c>
      <c r="AC751" t="str">
        <f>HYPERLINK("plots/20251231112652_3FT6Y119H04_05543_B21P_N_UFLEX98_M5358A8BA201511/dpll_52094/txpa_53252.png","plot")</f>
        <v>plot</v>
      </c>
    </row>
    <row r="752" spans="1:29" x14ac:dyDescent="0.35">
      <c r="A752" t="s">
        <v>47</v>
      </c>
      <c r="B752">
        <v>52094</v>
      </c>
      <c r="C752" t="s">
        <v>53</v>
      </c>
      <c r="D752">
        <v>53253</v>
      </c>
      <c r="E752" t="s">
        <v>128</v>
      </c>
      <c r="F752">
        <v>7139</v>
      </c>
      <c r="G752">
        <v>0.35614058301203899</v>
      </c>
      <c r="H752">
        <v>1.672490545018051E-212</v>
      </c>
      <c r="I752">
        <v>1.1536771514614309E-211</v>
      </c>
      <c r="J752">
        <v>0.37781650651912962</v>
      </c>
      <c r="K752">
        <v>5.0128784756928107E-241</v>
      </c>
      <c r="L752">
        <v>5.4656545960779684E-240</v>
      </c>
      <c r="M752">
        <v>0.25884892594327269</v>
      </c>
      <c r="N752">
        <v>6.3528968115668597E-236</v>
      </c>
      <c r="O752">
        <v>6.9267068461599943E-235</v>
      </c>
      <c r="P752">
        <v>0.1268361148681551</v>
      </c>
      <c r="Q752">
        <v>0.61070820508845713</v>
      </c>
      <c r="R752">
        <v>8.6550029378603419</v>
      </c>
      <c r="S752">
        <v>0.19891187284166109</v>
      </c>
      <c r="T752">
        <v>0.15033721178380269</v>
      </c>
      <c r="U752">
        <v>4.2555146084885838</v>
      </c>
      <c r="V752">
        <v>0.12414549193133841</v>
      </c>
      <c r="W752">
        <v>11.253880626138111</v>
      </c>
      <c r="X752">
        <v>0.21288410858991669</v>
      </c>
      <c r="Z752" t="s">
        <v>392</v>
      </c>
      <c r="AA752">
        <v>140</v>
      </c>
      <c r="AB752" t="s">
        <v>2157</v>
      </c>
      <c r="AC752" t="str">
        <f>HYPERLINK("plots/20251231112652_3FT6Y119H04_05543_B21P_N_UFLEX98_M5358A8BA201511/dpll_52094/txpa_53253.png","plot")</f>
        <v>plot</v>
      </c>
    </row>
    <row r="753" spans="1:29" x14ac:dyDescent="0.35">
      <c r="A753" t="s">
        <v>47</v>
      </c>
      <c r="B753">
        <v>52094</v>
      </c>
      <c r="C753" t="s">
        <v>53</v>
      </c>
      <c r="D753">
        <v>53254</v>
      </c>
      <c r="E753" t="s">
        <v>129</v>
      </c>
      <c r="F753">
        <v>7139</v>
      </c>
      <c r="G753">
        <v>0.30037749700012067</v>
      </c>
      <c r="H753">
        <v>8.9138894178142477E-149</v>
      </c>
      <c r="I753">
        <v>2.2099471563969801E-148</v>
      </c>
      <c r="J753">
        <v>0.30098470254696108</v>
      </c>
      <c r="K753">
        <v>2.123449241290646E-149</v>
      </c>
      <c r="L753">
        <v>6.0144623761695957E-149</v>
      </c>
      <c r="M753">
        <v>0.20399140120862261</v>
      </c>
      <c r="N753">
        <v>2.6356715107206342E-147</v>
      </c>
      <c r="O753">
        <v>7.5710224132315088E-147</v>
      </c>
      <c r="P753">
        <v>9.0226640704057504E-2</v>
      </c>
      <c r="Q753">
        <v>0.58395878093879816</v>
      </c>
      <c r="R753">
        <v>8.72161676798091</v>
      </c>
      <c r="S753">
        <v>0.23018760878199379</v>
      </c>
      <c r="T753">
        <v>0.18208344893213549</v>
      </c>
      <c r="U753">
        <v>4.2555146084885838</v>
      </c>
      <c r="V753">
        <v>0.12414549193133841</v>
      </c>
      <c r="W753">
        <v>11.206661891021151</v>
      </c>
      <c r="X753">
        <v>0.2413491385050148</v>
      </c>
      <c r="Z753" t="s">
        <v>392</v>
      </c>
      <c r="AA753">
        <v>140</v>
      </c>
      <c r="AB753" t="s">
        <v>2158</v>
      </c>
      <c r="AC753" t="str">
        <f>HYPERLINK("plots/20251231112652_3FT6Y119H04_05543_B21P_N_UFLEX98_M5358A8BA201511/dpll_52094/txpa_53254.png","plot")</f>
        <v>plot</v>
      </c>
    </row>
    <row r="754" spans="1:29" x14ac:dyDescent="0.35">
      <c r="A754" t="s">
        <v>47</v>
      </c>
      <c r="B754">
        <v>52094</v>
      </c>
      <c r="C754" t="s">
        <v>53</v>
      </c>
      <c r="D754">
        <v>53255</v>
      </c>
      <c r="E754" t="s">
        <v>130</v>
      </c>
      <c r="F754">
        <v>7139</v>
      </c>
      <c r="G754">
        <v>0.3713768853025517</v>
      </c>
      <c r="H754">
        <v>2.5412847320838351E-232</v>
      </c>
      <c r="I754">
        <v>3.1425155101622052E-231</v>
      </c>
      <c r="J754">
        <v>0.37252276201699841</v>
      </c>
      <c r="K754">
        <v>7.4224891567290155E-234</v>
      </c>
      <c r="L754">
        <v>7.1680038142125917E-233</v>
      </c>
      <c r="M754">
        <v>0.25559085782007018</v>
      </c>
      <c r="N754">
        <v>4.4840480271585096E-230</v>
      </c>
      <c r="O754">
        <v>4.2493688780735803E-229</v>
      </c>
      <c r="P754">
        <v>0.13792079093702461</v>
      </c>
      <c r="Q754">
        <v>0.63228316121399009</v>
      </c>
      <c r="R754">
        <v>8.6860467157027941</v>
      </c>
      <c r="S754">
        <v>0.19623246829618271</v>
      </c>
      <c r="T754">
        <v>0.15094570321402101</v>
      </c>
      <c r="U754">
        <v>4.2555146084885838</v>
      </c>
      <c r="V754">
        <v>0.12414549193133841</v>
      </c>
      <c r="W754">
        <v>11.37673694495027</v>
      </c>
      <c r="X754">
        <v>0.21136238466986021</v>
      </c>
      <c r="Z754" t="s">
        <v>392</v>
      </c>
      <c r="AA754">
        <v>140</v>
      </c>
      <c r="AB754" t="s">
        <v>2159</v>
      </c>
      <c r="AC754" t="str">
        <f>HYPERLINK("plots/20251231112652_3FT6Y119H04_05543_B21P_N_UFLEX98_M5358A8BA201511/dpll_52094/txpa_53255.png","plot")</f>
        <v>plot</v>
      </c>
    </row>
    <row r="755" spans="1:29" x14ac:dyDescent="0.35">
      <c r="A755" t="s">
        <v>47</v>
      </c>
      <c r="B755">
        <v>52094</v>
      </c>
      <c r="C755" t="s">
        <v>53</v>
      </c>
      <c r="D755">
        <v>53256</v>
      </c>
      <c r="E755" t="s">
        <v>131</v>
      </c>
      <c r="F755">
        <v>7139</v>
      </c>
      <c r="G755">
        <v>0.32978529729446732</v>
      </c>
      <c r="H755">
        <v>1.035859697446573E-180</v>
      </c>
      <c r="I755">
        <v>3.7379421110705521E-180</v>
      </c>
      <c r="J755">
        <v>0.34238914165562601</v>
      </c>
      <c r="K755">
        <v>1.572747346658615E-195</v>
      </c>
      <c r="L755">
        <v>7.0254000419023578E-195</v>
      </c>
      <c r="M755">
        <v>0.23452207936712821</v>
      </c>
      <c r="N755">
        <v>4.867447117024255E-194</v>
      </c>
      <c r="O755">
        <v>2.3063511105899982E-193</v>
      </c>
      <c r="P755">
        <v>0.1087583423116002</v>
      </c>
      <c r="Q755">
        <v>0.61519066028136393</v>
      </c>
      <c r="R755">
        <v>8.6852183053864174</v>
      </c>
      <c r="S755">
        <v>0.21861336902524231</v>
      </c>
      <c r="T755">
        <v>0.16975639728053529</v>
      </c>
      <c r="U755">
        <v>4.2555146084885838</v>
      </c>
      <c r="V755">
        <v>0.12414549193133841</v>
      </c>
      <c r="W755">
        <v>11.3031711472195</v>
      </c>
      <c r="X755">
        <v>0.23158445139535969</v>
      </c>
      <c r="Z755" t="s">
        <v>392</v>
      </c>
      <c r="AA755">
        <v>140</v>
      </c>
      <c r="AB755" t="s">
        <v>2160</v>
      </c>
      <c r="AC755" t="str">
        <f>HYPERLINK("plots/20251231112652_3FT6Y119H04_05543_B21P_N_UFLEX98_M5358A8BA201511/dpll_52094/txpa_53256.png","plot")</f>
        <v>plot</v>
      </c>
    </row>
    <row r="756" spans="1:29" x14ac:dyDescent="0.35">
      <c r="A756" t="s">
        <v>47</v>
      </c>
      <c r="B756">
        <v>52094</v>
      </c>
      <c r="C756" t="s">
        <v>53</v>
      </c>
      <c r="D756">
        <v>53257</v>
      </c>
      <c r="E756" t="s">
        <v>132</v>
      </c>
      <c r="F756">
        <v>7139</v>
      </c>
      <c r="G756">
        <v>0.34496736591406868</v>
      </c>
      <c r="H756">
        <v>1.1997758174583911E-198</v>
      </c>
      <c r="I756">
        <v>6.270993190220663E-198</v>
      </c>
      <c r="J756">
        <v>0.34387159801444039</v>
      </c>
      <c r="K756">
        <v>2.556859418365347E-197</v>
      </c>
      <c r="L756">
        <v>1.178479750101119E-196</v>
      </c>
      <c r="M756">
        <v>0.23542319205411411</v>
      </c>
      <c r="N756">
        <v>1.6196325377891799E-195</v>
      </c>
      <c r="O756">
        <v>7.7103633489118723E-195</v>
      </c>
      <c r="P756">
        <v>0.119002483545691</v>
      </c>
      <c r="Q756">
        <v>0.62044484223334995</v>
      </c>
      <c r="R756">
        <v>8.7590746617604722</v>
      </c>
      <c r="S756">
        <v>0.20956224518966701</v>
      </c>
      <c r="T756">
        <v>0.16214380330575889</v>
      </c>
      <c r="U756">
        <v>4.2555146084885838</v>
      </c>
      <c r="V756">
        <v>0.12414549193133841</v>
      </c>
      <c r="W756">
        <v>11.39938675164589</v>
      </c>
      <c r="X756">
        <v>0.22328323710048531</v>
      </c>
      <c r="Z756" t="s">
        <v>392</v>
      </c>
      <c r="AA756">
        <v>140</v>
      </c>
      <c r="AB756" t="s">
        <v>2161</v>
      </c>
      <c r="AC756" t="str">
        <f>HYPERLINK("plots/20251231112652_3FT6Y119H04_05543_B21P_N_UFLEX98_M5358A8BA201511/dpll_52094/txpa_53257.png","plot")</f>
        <v>plot</v>
      </c>
    </row>
    <row r="757" spans="1:29" x14ac:dyDescent="0.35">
      <c r="A757" t="s">
        <v>47</v>
      </c>
      <c r="B757">
        <v>52094</v>
      </c>
      <c r="C757" t="s">
        <v>53</v>
      </c>
      <c r="D757">
        <v>53258</v>
      </c>
      <c r="E757" t="s">
        <v>133</v>
      </c>
      <c r="F757">
        <v>7139</v>
      </c>
      <c r="G757">
        <v>0.36482958343950872</v>
      </c>
      <c r="H757">
        <v>1.132273702545154E-223</v>
      </c>
      <c r="I757">
        <v>1.073014518112884E-222</v>
      </c>
      <c r="J757">
        <v>0.35646005894977317</v>
      </c>
      <c r="K757">
        <v>6.5894712569988636E-213</v>
      </c>
      <c r="L757">
        <v>4.0742218625590529E-212</v>
      </c>
      <c r="M757">
        <v>0.2442033916028247</v>
      </c>
      <c r="N757">
        <v>3.2550510530855612E-210</v>
      </c>
      <c r="O757">
        <v>2.000376828987127E-209</v>
      </c>
      <c r="P757">
        <v>0.13310062495264541</v>
      </c>
      <c r="Q757">
        <v>0.64102464158696226</v>
      </c>
      <c r="R757">
        <v>8.3592265417104503</v>
      </c>
      <c r="S757">
        <v>0.20308112318659399</v>
      </c>
      <c r="T757">
        <v>0.1568363798365108</v>
      </c>
      <c r="U757">
        <v>4.2555146084885838</v>
      </c>
      <c r="V757">
        <v>0.12414549193133841</v>
      </c>
      <c r="W757">
        <v>11.08711626838493</v>
      </c>
      <c r="X757">
        <v>0.21813011631256121</v>
      </c>
      <c r="Z757" t="s">
        <v>392</v>
      </c>
      <c r="AA757">
        <v>140</v>
      </c>
      <c r="AB757" t="s">
        <v>2162</v>
      </c>
      <c r="AC757" t="str">
        <f>HYPERLINK("plots/20251231112652_3FT6Y119H04_05543_B21P_N_UFLEX98_M5358A8BA201511/dpll_52094/txpa_53258.png","plot")</f>
        <v>plot</v>
      </c>
    </row>
    <row r="758" spans="1:29" x14ac:dyDescent="0.35">
      <c r="A758" t="s">
        <v>47</v>
      </c>
      <c r="B758">
        <v>52094</v>
      </c>
      <c r="C758" t="s">
        <v>53</v>
      </c>
      <c r="D758">
        <v>53259</v>
      </c>
      <c r="E758" t="s">
        <v>134</v>
      </c>
      <c r="F758">
        <v>7139</v>
      </c>
      <c r="G758">
        <v>0.33450468236672598</v>
      </c>
      <c r="H758">
        <v>3.5319487279497491E-186</v>
      </c>
      <c r="I758">
        <v>1.409998429189388E-185</v>
      </c>
      <c r="J758">
        <v>0.36634434682038752</v>
      </c>
      <c r="K758">
        <v>1.1772871202135679E-225</v>
      </c>
      <c r="L758">
        <v>9.8658606603021318E-225</v>
      </c>
      <c r="M758">
        <v>0.25067126669296719</v>
      </c>
      <c r="N758">
        <v>2.2013614169818449E-221</v>
      </c>
      <c r="O758">
        <v>1.829656128540648E-220</v>
      </c>
      <c r="P758">
        <v>0.11189338252526421</v>
      </c>
      <c r="Q758">
        <v>0.60139007745438455</v>
      </c>
      <c r="R758">
        <v>8.9567719551489713</v>
      </c>
      <c r="S758">
        <v>0.21032318241935891</v>
      </c>
      <c r="T758">
        <v>0.15642025869707329</v>
      </c>
      <c r="U758">
        <v>4.2555146084885838</v>
      </c>
      <c r="V758">
        <v>0.12414549193133841</v>
      </c>
      <c r="W758">
        <v>11.515996215156189</v>
      </c>
      <c r="X758">
        <v>0.2231952822900958</v>
      </c>
      <c r="Z758" t="s">
        <v>392</v>
      </c>
      <c r="AA758">
        <v>140</v>
      </c>
      <c r="AB758" t="s">
        <v>2163</v>
      </c>
      <c r="AC758" t="str">
        <f>HYPERLINK("plots/20251231112652_3FT6Y119H04_05543_B21P_N_UFLEX98_M5358A8BA201511/dpll_52094/txpa_53259.png","plot")</f>
        <v>plot</v>
      </c>
    </row>
    <row r="759" spans="1:29" x14ac:dyDescent="0.35">
      <c r="A759" t="s">
        <v>47</v>
      </c>
      <c r="B759">
        <v>52094</v>
      </c>
      <c r="C759" t="s">
        <v>53</v>
      </c>
      <c r="D759">
        <v>53260</v>
      </c>
      <c r="E759" t="s">
        <v>135</v>
      </c>
      <c r="F759">
        <v>7139</v>
      </c>
      <c r="G759">
        <v>0.28762652456434612</v>
      </c>
      <c r="H759">
        <v>4.8814379739951369E-136</v>
      </c>
      <c r="I759">
        <v>1.0553897879810381E-135</v>
      </c>
      <c r="J759">
        <v>0.29426151986240889</v>
      </c>
      <c r="K759">
        <v>1.3862246682492461E-142</v>
      </c>
      <c r="L759">
        <v>3.6796644335202503E-142</v>
      </c>
      <c r="M759">
        <v>0.19848236620252671</v>
      </c>
      <c r="N759">
        <v>1.451859500729621E-139</v>
      </c>
      <c r="O759">
        <v>3.8438264588507449E-139</v>
      </c>
      <c r="P759">
        <v>8.2729017632964363E-2</v>
      </c>
      <c r="Q759">
        <v>0.59751942486544662</v>
      </c>
      <c r="R759">
        <v>9.0872402764049944</v>
      </c>
      <c r="S759">
        <v>0.24698606829891001</v>
      </c>
      <c r="T759">
        <v>0.1950556499194071</v>
      </c>
      <c r="U759">
        <v>4.2555146084885838</v>
      </c>
      <c r="V759">
        <v>0.12414549193133841</v>
      </c>
      <c r="W759">
        <v>11.629992917775599</v>
      </c>
      <c r="X759">
        <v>0.2579016071303129</v>
      </c>
      <c r="Z759" t="s">
        <v>392</v>
      </c>
      <c r="AA759">
        <v>140</v>
      </c>
      <c r="AB759" t="s">
        <v>2164</v>
      </c>
      <c r="AC759" t="str">
        <f>HYPERLINK("plots/20251231112652_3FT6Y119H04_05543_B21P_N_UFLEX98_M5358A8BA201511/dpll_52094/txpa_53260.png","plot")</f>
        <v>plot</v>
      </c>
    </row>
    <row r="760" spans="1:29" x14ac:dyDescent="0.35">
      <c r="A760" t="s">
        <v>47</v>
      </c>
      <c r="B760">
        <v>52094</v>
      </c>
      <c r="C760" t="s">
        <v>53</v>
      </c>
      <c r="D760">
        <v>53261</v>
      </c>
      <c r="E760" t="s">
        <v>136</v>
      </c>
      <c r="F760">
        <v>7139</v>
      </c>
      <c r="G760">
        <v>0.35819203757162782</v>
      </c>
      <c r="H760">
        <v>4.1467886221099422E-215</v>
      </c>
      <c r="I760">
        <v>2.8998921812548149E-214</v>
      </c>
      <c r="J760">
        <v>0.38273453678873071</v>
      </c>
      <c r="K760">
        <v>8.2720897424398513E-248</v>
      </c>
      <c r="L760">
        <v>1.035543086275804E-246</v>
      </c>
      <c r="M760">
        <v>0.26277658633536582</v>
      </c>
      <c r="N760">
        <v>4.5119524949721509E-243</v>
      </c>
      <c r="O760">
        <v>5.4465712260735257E-242</v>
      </c>
      <c r="P760">
        <v>0.1283015357797144</v>
      </c>
      <c r="Q760">
        <v>0.61849915064442862</v>
      </c>
      <c r="R760">
        <v>9.0789660417296769</v>
      </c>
      <c r="S760">
        <v>0.2001275391208017</v>
      </c>
      <c r="T760">
        <v>0.150338097724113</v>
      </c>
      <c r="U760">
        <v>4.2555146084885838</v>
      </c>
      <c r="V760">
        <v>0.12414549193133841</v>
      </c>
      <c r="W760">
        <v>11.71099821263482</v>
      </c>
      <c r="X760">
        <v>0.21436512613855371</v>
      </c>
      <c r="Z760" t="s">
        <v>392</v>
      </c>
      <c r="AA760">
        <v>140</v>
      </c>
      <c r="AB760" t="s">
        <v>2165</v>
      </c>
      <c r="AC760" t="str">
        <f>HYPERLINK("plots/20251231112652_3FT6Y119H04_05543_B21P_N_UFLEX98_M5358A8BA201511/dpll_52094/txpa_53261.png","plot")</f>
        <v>plot</v>
      </c>
    </row>
    <row r="761" spans="1:29" x14ac:dyDescent="0.35">
      <c r="A761" t="s">
        <v>47</v>
      </c>
      <c r="B761">
        <v>52094</v>
      </c>
      <c r="C761" t="s">
        <v>53</v>
      </c>
      <c r="D761">
        <v>53262</v>
      </c>
      <c r="E761" t="s">
        <v>137</v>
      </c>
      <c r="F761">
        <v>7139</v>
      </c>
      <c r="G761">
        <v>0.30563853149477882</v>
      </c>
      <c r="H761">
        <v>3.1758296112917802E-154</v>
      </c>
      <c r="I761">
        <v>8.4744505943417505E-154</v>
      </c>
      <c r="J761">
        <v>0.30723499388964509</v>
      </c>
      <c r="K761">
        <v>6.7004246198822528E-156</v>
      </c>
      <c r="L761">
        <v>2.0841198050799402E-155</v>
      </c>
      <c r="M761">
        <v>0.20848872780302169</v>
      </c>
      <c r="N761">
        <v>8.796261759344012E-154</v>
      </c>
      <c r="O761">
        <v>2.7360151607284748E-153</v>
      </c>
      <c r="P761">
        <v>9.3414911934284903E-2</v>
      </c>
      <c r="Q761">
        <v>0.59278384263918094</v>
      </c>
      <c r="R761">
        <v>9.1519887706722258</v>
      </c>
      <c r="S761">
        <v>0.2292414113295205</v>
      </c>
      <c r="T761">
        <v>0.18071679604928029</v>
      </c>
      <c r="U761">
        <v>4.2555146084885838</v>
      </c>
      <c r="V761">
        <v>0.12414549193133841</v>
      </c>
      <c r="W761">
        <v>11.674589072699259</v>
      </c>
      <c r="X761">
        <v>0.2407793330031994</v>
      </c>
      <c r="Z761" t="s">
        <v>392</v>
      </c>
      <c r="AA761">
        <v>140</v>
      </c>
      <c r="AB761" t="s">
        <v>2166</v>
      </c>
      <c r="AC761" t="str">
        <f>HYPERLINK("plots/20251231112652_3FT6Y119H04_05543_B21P_N_UFLEX98_M5358A8BA201511/dpll_52094/txpa_53262.png","plot")</f>
        <v>plot</v>
      </c>
    </row>
    <row r="762" spans="1:29" x14ac:dyDescent="0.35">
      <c r="A762" t="s">
        <v>47</v>
      </c>
      <c r="B762">
        <v>52094</v>
      </c>
      <c r="C762" t="s">
        <v>53</v>
      </c>
      <c r="D762">
        <v>53263</v>
      </c>
      <c r="E762" t="s">
        <v>138</v>
      </c>
      <c r="F762">
        <v>7139</v>
      </c>
      <c r="G762">
        <v>0.37319092688821481</v>
      </c>
      <c r="H762">
        <v>9.3949352078446961E-235</v>
      </c>
      <c r="I762">
        <v>1.287360040642503E-233</v>
      </c>
      <c r="J762">
        <v>0.37646437796274379</v>
      </c>
      <c r="K762">
        <v>3.5021463451250999E-239</v>
      </c>
      <c r="L762">
        <v>3.6610065917080942E-238</v>
      </c>
      <c r="M762">
        <v>0.25875333697908609</v>
      </c>
      <c r="N762">
        <v>9.454831164448314E-236</v>
      </c>
      <c r="O762">
        <v>1.009178821131641E-234</v>
      </c>
      <c r="P762">
        <v>0.13927146791168479</v>
      </c>
      <c r="Q762">
        <v>0.63933868086228085</v>
      </c>
      <c r="R762">
        <v>9.1137509200675186</v>
      </c>
      <c r="S762">
        <v>0.1973029317058563</v>
      </c>
      <c r="T762">
        <v>0.1508983339603267</v>
      </c>
      <c r="U762">
        <v>4.2555146084885838</v>
      </c>
      <c r="V762">
        <v>0.12414549193133841</v>
      </c>
      <c r="W762">
        <v>11.834466016248779</v>
      </c>
      <c r="X762">
        <v>0.2126820598458857</v>
      </c>
      <c r="Z762" t="s">
        <v>392</v>
      </c>
      <c r="AA762">
        <v>140</v>
      </c>
      <c r="AB762" t="s">
        <v>2167</v>
      </c>
      <c r="AC762" t="str">
        <f>HYPERLINK("plots/20251231112652_3FT6Y119H04_05543_B21P_N_UFLEX98_M5358A8BA201511/dpll_52094/txpa_53263.png","plot")</f>
        <v>plot</v>
      </c>
    </row>
    <row r="763" spans="1:29" x14ac:dyDescent="0.35">
      <c r="A763" t="s">
        <v>47</v>
      </c>
      <c r="B763">
        <v>52094</v>
      </c>
      <c r="C763" t="s">
        <v>53</v>
      </c>
      <c r="D763">
        <v>53264</v>
      </c>
      <c r="E763" t="s">
        <v>139</v>
      </c>
      <c r="F763">
        <v>7139</v>
      </c>
      <c r="G763">
        <v>0.33446816172167187</v>
      </c>
      <c r="H763">
        <v>3.8966795043977741E-186</v>
      </c>
      <c r="I763">
        <v>1.549503144101703E-185</v>
      </c>
      <c r="J763">
        <v>0.34763615452790109</v>
      </c>
      <c r="K763">
        <v>6.6186125486000667E-202</v>
      </c>
      <c r="L763">
        <v>3.2421609296040911E-201</v>
      </c>
      <c r="M763">
        <v>0.23843223207548381</v>
      </c>
      <c r="N763">
        <v>1.7105205872192561E-200</v>
      </c>
      <c r="O763">
        <v>8.804405459087947E-200</v>
      </c>
      <c r="P763">
        <v>0.11186895120547451</v>
      </c>
      <c r="Q763">
        <v>0.62268712428064954</v>
      </c>
      <c r="R763">
        <v>9.1118650252626949</v>
      </c>
      <c r="S763">
        <v>0.2177981384672725</v>
      </c>
      <c r="T763">
        <v>0.16860095176283821</v>
      </c>
      <c r="U763">
        <v>4.2555146084885838</v>
      </c>
      <c r="V763">
        <v>0.12414549193133841</v>
      </c>
      <c r="W763">
        <v>11.761719179156749</v>
      </c>
      <c r="X763">
        <v>0.23112453802840621</v>
      </c>
      <c r="Z763" t="s">
        <v>392</v>
      </c>
      <c r="AA763">
        <v>140</v>
      </c>
      <c r="AB763" t="s">
        <v>2168</v>
      </c>
      <c r="AC763" t="str">
        <f>HYPERLINK("plots/20251231112652_3FT6Y119H04_05543_B21P_N_UFLEX98_M5358A8BA201511/dpll_52094/txpa_53264.png","plot")</f>
        <v>plot</v>
      </c>
    </row>
    <row r="764" spans="1:29" x14ac:dyDescent="0.35">
      <c r="A764" t="s">
        <v>47</v>
      </c>
      <c r="B764">
        <v>52094</v>
      </c>
      <c r="C764" t="s">
        <v>53</v>
      </c>
      <c r="D764">
        <v>53265</v>
      </c>
      <c r="E764" t="s">
        <v>140</v>
      </c>
      <c r="F764">
        <v>7139</v>
      </c>
      <c r="G764">
        <v>0.3490813090130222</v>
      </c>
      <c r="H764">
        <v>1.10416418709502E-203</v>
      </c>
      <c r="I764">
        <v>6.1857595895820458E-203</v>
      </c>
      <c r="J764">
        <v>0.34922466907010968</v>
      </c>
      <c r="K764">
        <v>7.3479985109580449E-204</v>
      </c>
      <c r="L764">
        <v>3.744156025181637E-203</v>
      </c>
      <c r="M764">
        <v>0.23938473628222359</v>
      </c>
      <c r="N764">
        <v>4.4123932530136186E-202</v>
      </c>
      <c r="O764">
        <v>2.2944444915670819E-201</v>
      </c>
      <c r="P764">
        <v>0.1218577603022451</v>
      </c>
      <c r="Q764">
        <v>0.62735799641260759</v>
      </c>
      <c r="R764">
        <v>9.1837346358213452</v>
      </c>
      <c r="S764">
        <v>0.20906041614371229</v>
      </c>
      <c r="T764">
        <v>0.1609936284221436</v>
      </c>
      <c r="U764">
        <v>4.2555146084885838</v>
      </c>
      <c r="V764">
        <v>0.12414549193133841</v>
      </c>
      <c r="W764">
        <v>11.853465754307329</v>
      </c>
      <c r="X764">
        <v>0.2231103902466362</v>
      </c>
      <c r="Z764" t="s">
        <v>392</v>
      </c>
      <c r="AA764">
        <v>140</v>
      </c>
      <c r="AB764" t="s">
        <v>2169</v>
      </c>
      <c r="AC764" t="str">
        <f>HYPERLINK("plots/20251231112652_3FT6Y119H04_05543_B21P_N_UFLEX98_M5358A8BA201511/dpll_52094/txpa_53265.png","plot")</f>
        <v>plot</v>
      </c>
    </row>
    <row r="765" spans="1:29" x14ac:dyDescent="0.35">
      <c r="A765" t="s">
        <v>47</v>
      </c>
      <c r="B765">
        <v>52094</v>
      </c>
      <c r="C765" t="s">
        <v>53</v>
      </c>
      <c r="D765">
        <v>53266</v>
      </c>
      <c r="E765" t="s">
        <v>141</v>
      </c>
      <c r="F765">
        <v>7139</v>
      </c>
      <c r="G765">
        <v>0.36626150126486418</v>
      </c>
      <c r="H765">
        <v>1.5122312138084039E-225</v>
      </c>
      <c r="I765">
        <v>1.5182202483185371E-224</v>
      </c>
      <c r="J765">
        <v>0.35890871190871693</v>
      </c>
      <c r="K765">
        <v>5.0451230248741452E-216</v>
      </c>
      <c r="L765">
        <v>3.3879170511406512E-215</v>
      </c>
      <c r="M765">
        <v>0.24612531673785229</v>
      </c>
      <c r="N765">
        <v>1.6742828285008909E-213</v>
      </c>
      <c r="O765">
        <v>1.124319727218479E-212</v>
      </c>
      <c r="P765">
        <v>0.13414748730879211</v>
      </c>
      <c r="Q765">
        <v>0.64511675824236514</v>
      </c>
      <c r="R765">
        <v>8.8104241211902572</v>
      </c>
      <c r="S765">
        <v>0.2034555530790717</v>
      </c>
      <c r="T765">
        <v>0.1566402405478243</v>
      </c>
      <c r="U765">
        <v>4.2555146084885838</v>
      </c>
      <c r="V765">
        <v>0.12414549193133841</v>
      </c>
      <c r="W765">
        <v>11.55572791007144</v>
      </c>
      <c r="X765">
        <v>0.21866436147006441</v>
      </c>
      <c r="Z765" t="s">
        <v>392</v>
      </c>
      <c r="AA765">
        <v>140</v>
      </c>
      <c r="AB765" t="s">
        <v>2170</v>
      </c>
      <c r="AC765" t="str">
        <f>HYPERLINK("plots/20251231112652_3FT6Y119H04_05543_B21P_N_UFLEX98_M5358A8BA201511/dpll_52094/txpa_53266.png","plot")</f>
        <v>plot</v>
      </c>
    </row>
    <row r="766" spans="1:29" x14ac:dyDescent="0.35">
      <c r="A766" t="s">
        <v>47</v>
      </c>
      <c r="B766">
        <v>52094</v>
      </c>
      <c r="C766" t="s">
        <v>53</v>
      </c>
      <c r="D766">
        <v>53267</v>
      </c>
      <c r="E766" t="s">
        <v>142</v>
      </c>
      <c r="F766">
        <v>7139</v>
      </c>
      <c r="G766">
        <v>0.33527237762128809</v>
      </c>
      <c r="H766">
        <v>4.4615896012594282E-187</v>
      </c>
      <c r="I766">
        <v>1.8168882954526339E-186</v>
      </c>
      <c r="J766">
        <v>0.37055705075561512</v>
      </c>
      <c r="K766">
        <v>3.1558348199252627E-231</v>
      </c>
      <c r="L766">
        <v>2.857157595896623E-230</v>
      </c>
      <c r="M766">
        <v>0.25392556906730968</v>
      </c>
      <c r="N766">
        <v>4.0969348462261112E-227</v>
      </c>
      <c r="O766">
        <v>3.8112770037369509E-226</v>
      </c>
      <c r="P766">
        <v>0.1124075671958316</v>
      </c>
      <c r="Q766">
        <v>0.60706122006254026</v>
      </c>
      <c r="R766">
        <v>9.3791244322310838</v>
      </c>
      <c r="S766">
        <v>0.21175908228327739</v>
      </c>
      <c r="T766">
        <v>0.15653514940736241</v>
      </c>
      <c r="U766">
        <v>4.2555146084885838</v>
      </c>
      <c r="V766">
        <v>0.12414549193133841</v>
      </c>
      <c r="W766">
        <v>11.962482322454131</v>
      </c>
      <c r="X766">
        <v>0.22478414217061141</v>
      </c>
      <c r="Z766" t="s">
        <v>392</v>
      </c>
      <c r="AA766">
        <v>140</v>
      </c>
      <c r="AB766" t="s">
        <v>2171</v>
      </c>
      <c r="AC766" t="str">
        <f>HYPERLINK("plots/20251231112652_3FT6Y119H04_05543_B21P_N_UFLEX98_M5358A8BA201511/dpll_52094/txpa_53267.png","plot")</f>
        <v>plot</v>
      </c>
    </row>
    <row r="767" spans="1:29" x14ac:dyDescent="0.35">
      <c r="A767" t="s">
        <v>47</v>
      </c>
      <c r="B767">
        <v>52094</v>
      </c>
      <c r="C767" t="s">
        <v>53</v>
      </c>
      <c r="D767">
        <v>53268</v>
      </c>
      <c r="E767" t="s">
        <v>143</v>
      </c>
      <c r="F767">
        <v>7139</v>
      </c>
      <c r="G767">
        <v>0.29302352900413409</v>
      </c>
      <c r="H767">
        <v>2.3809879691155389E-141</v>
      </c>
      <c r="I767">
        <v>5.4499363446572392E-141</v>
      </c>
      <c r="J767">
        <v>0.30131647715316362</v>
      </c>
      <c r="K767">
        <v>9.6825016282093215E-150</v>
      </c>
      <c r="L767">
        <v>2.7578810817427681E-149</v>
      </c>
      <c r="M767">
        <v>0.20348545435936879</v>
      </c>
      <c r="N767">
        <v>1.3818613003754379E-146</v>
      </c>
      <c r="O767">
        <v>3.9359757263502658E-146</v>
      </c>
      <c r="P767">
        <v>8.5862788550036609E-2</v>
      </c>
      <c r="Q767">
        <v>0.60412403067730835</v>
      </c>
      <c r="R767">
        <v>9.506868913591509</v>
      </c>
      <c r="S767">
        <v>0.24469767641797821</v>
      </c>
      <c r="T767">
        <v>0.19230256822891981</v>
      </c>
      <c r="U767">
        <v>4.2555146084885838</v>
      </c>
      <c r="V767">
        <v>0.12414549193133841</v>
      </c>
      <c r="W767">
        <v>12.0777275514778</v>
      </c>
      <c r="X767">
        <v>0.25594966803815711</v>
      </c>
      <c r="Z767" t="s">
        <v>392</v>
      </c>
      <c r="AA767">
        <v>140</v>
      </c>
      <c r="AB767" t="s">
        <v>2172</v>
      </c>
      <c r="AC767" t="str">
        <f>HYPERLINK("plots/20251231112652_3FT6Y119H04_05543_B21P_N_UFLEX98_M5358A8BA201511/dpll_52094/txpa_53268.png","plot")</f>
        <v>plot</v>
      </c>
    </row>
    <row r="768" spans="1:29" x14ac:dyDescent="0.35">
      <c r="A768" t="s">
        <v>47</v>
      </c>
      <c r="B768">
        <v>52094</v>
      </c>
      <c r="C768" t="s">
        <v>53</v>
      </c>
      <c r="D768">
        <v>53269</v>
      </c>
      <c r="E768" t="s">
        <v>144</v>
      </c>
      <c r="F768">
        <v>7139</v>
      </c>
      <c r="G768">
        <v>0.35996837704774992</v>
      </c>
      <c r="H768">
        <v>2.2175046733427421E-217</v>
      </c>
      <c r="I768">
        <v>1.7034467717951069E-216</v>
      </c>
      <c r="J768">
        <v>0.38832149880113259</v>
      </c>
      <c r="K768">
        <v>1.173468735716995E-255</v>
      </c>
      <c r="L768">
        <v>1.6526351361347669E-254</v>
      </c>
      <c r="M768">
        <v>0.26735110520204541</v>
      </c>
      <c r="N768">
        <v>1.5577529160054349E-251</v>
      </c>
      <c r="O768">
        <v>2.2565163668993021E-250</v>
      </c>
      <c r="P768">
        <v>0.12957723247439101</v>
      </c>
      <c r="Q768">
        <v>0.62666001365893864</v>
      </c>
      <c r="R768">
        <v>9.4805579554697328</v>
      </c>
      <c r="S768">
        <v>0.20161985103835631</v>
      </c>
      <c r="T768">
        <v>0.1502990906568413</v>
      </c>
      <c r="U768">
        <v>4.2555146084885838</v>
      </c>
      <c r="V768">
        <v>0.12414549193133841</v>
      </c>
      <c r="W768">
        <v>12.147318798151</v>
      </c>
      <c r="X768">
        <v>0.21612180577481219</v>
      </c>
      <c r="Z768" t="s">
        <v>392</v>
      </c>
      <c r="AA768">
        <v>140</v>
      </c>
      <c r="AB768" t="s">
        <v>2173</v>
      </c>
      <c r="AC768" t="str">
        <f>HYPERLINK("plots/20251231112652_3FT6Y119H04_05543_B21P_N_UFLEX98_M5358A8BA201511/dpll_52094/txpa_53269.png","plot")</f>
        <v>plot</v>
      </c>
    </row>
    <row r="769" spans="1:29" x14ac:dyDescent="0.35">
      <c r="A769" t="s">
        <v>47</v>
      </c>
      <c r="B769">
        <v>52094</v>
      </c>
      <c r="C769" t="s">
        <v>53</v>
      </c>
      <c r="D769">
        <v>53270</v>
      </c>
      <c r="E769" t="s">
        <v>145</v>
      </c>
      <c r="F769">
        <v>7139</v>
      </c>
      <c r="G769">
        <v>0.31187415857572731</v>
      </c>
      <c r="H769">
        <v>7.8821457353263258E-161</v>
      </c>
      <c r="I769">
        <v>2.2139877494794719E-160</v>
      </c>
      <c r="J769">
        <v>0.31537086930142888</v>
      </c>
      <c r="K769">
        <v>1.323948035774226E-164</v>
      </c>
      <c r="L769">
        <v>4.4899107300169399E-164</v>
      </c>
      <c r="M769">
        <v>0.21435547144275779</v>
      </c>
      <c r="N769">
        <v>1.9239763186501979E-162</v>
      </c>
      <c r="O769">
        <v>6.5466845205077214E-162</v>
      </c>
      <c r="P769">
        <v>9.7265490787317874E-2</v>
      </c>
      <c r="Q769">
        <v>0.60251810871163325</v>
      </c>
      <c r="R769">
        <v>9.5570837350069269</v>
      </c>
      <c r="S769">
        <v>0.22786166677604441</v>
      </c>
      <c r="T769">
        <v>0.17885395016509389</v>
      </c>
      <c r="U769">
        <v>4.2555146084885838</v>
      </c>
      <c r="V769">
        <v>0.12414549193133841</v>
      </c>
      <c r="W769">
        <v>12.121108348508191</v>
      </c>
      <c r="X769">
        <v>0.23984002825095521</v>
      </c>
      <c r="Z769" t="s">
        <v>392</v>
      </c>
      <c r="AA769">
        <v>140</v>
      </c>
      <c r="AB769" t="s">
        <v>2174</v>
      </c>
      <c r="AC769" t="str">
        <f>HYPERLINK("plots/20251231112652_3FT6Y119H04_05543_B21P_N_UFLEX98_M5358A8BA201511/dpll_52094/txpa_53270.png","plot")</f>
        <v>plot</v>
      </c>
    </row>
    <row r="770" spans="1:29" x14ac:dyDescent="0.35">
      <c r="A770" t="s">
        <v>47</v>
      </c>
      <c r="B770">
        <v>52094</v>
      </c>
      <c r="C770" t="s">
        <v>53</v>
      </c>
      <c r="D770">
        <v>53271</v>
      </c>
      <c r="E770" t="s">
        <v>146</v>
      </c>
      <c r="F770">
        <v>7139</v>
      </c>
      <c r="G770">
        <v>0.37520919282673842</v>
      </c>
      <c r="H770">
        <v>1.772139563925522E-237</v>
      </c>
      <c r="I770">
        <v>2.7645377197238141E-236</v>
      </c>
      <c r="J770">
        <v>0.38129607865815113</v>
      </c>
      <c r="K770">
        <v>8.1947338297701581E-246</v>
      </c>
      <c r="L770">
        <v>1.001139771492402E-244</v>
      </c>
      <c r="M770">
        <v>0.26272519059570959</v>
      </c>
      <c r="N770">
        <v>5.6030692906866152E-243</v>
      </c>
      <c r="O770">
        <v>6.6841320714779151E-242</v>
      </c>
      <c r="P770">
        <v>0.14078193838169259</v>
      </c>
      <c r="Q770">
        <v>0.64772736508954676</v>
      </c>
      <c r="R770">
        <v>9.5142193619618833</v>
      </c>
      <c r="S770">
        <v>0.1986419677096096</v>
      </c>
      <c r="T770">
        <v>0.1508325901270845</v>
      </c>
      <c r="U770">
        <v>4.2555146084885838</v>
      </c>
      <c r="V770">
        <v>0.12414549193133841</v>
      </c>
      <c r="W770">
        <v>12.270632626418269</v>
      </c>
      <c r="X770">
        <v>0.21431359869043429</v>
      </c>
      <c r="Z770" t="s">
        <v>392</v>
      </c>
      <c r="AA770">
        <v>140</v>
      </c>
      <c r="AB770" t="s">
        <v>2175</v>
      </c>
      <c r="AC770" t="str">
        <f>HYPERLINK("plots/20251231112652_3FT6Y119H04_05543_B21P_N_UFLEX98_M5358A8BA201511/dpll_52094/txpa_53271.png","plot")</f>
        <v>plot</v>
      </c>
    </row>
    <row r="771" spans="1:29" x14ac:dyDescent="0.35">
      <c r="A771" t="s">
        <v>47</v>
      </c>
      <c r="B771">
        <v>52094</v>
      </c>
      <c r="C771" t="s">
        <v>53</v>
      </c>
      <c r="D771">
        <v>53272</v>
      </c>
      <c r="E771" t="s">
        <v>147</v>
      </c>
      <c r="F771">
        <v>7139</v>
      </c>
      <c r="G771">
        <v>0.33970300919643992</v>
      </c>
      <c r="H771">
        <v>2.5900522801637801E-192</v>
      </c>
      <c r="I771">
        <v>1.162085403577908E-191</v>
      </c>
      <c r="J771">
        <v>0.35427568113259889</v>
      </c>
      <c r="K771">
        <v>3.7613743677210058E-210</v>
      </c>
      <c r="L771">
        <v>2.130745032887765E-209</v>
      </c>
      <c r="M771">
        <v>0.24342795830000161</v>
      </c>
      <c r="N771">
        <v>6.7952991213640795E-209</v>
      </c>
      <c r="O771">
        <v>3.9600191431397567E-208</v>
      </c>
      <c r="P771">
        <v>0.1153981344571165</v>
      </c>
      <c r="Q771">
        <v>0.63121748901369079</v>
      </c>
      <c r="R771">
        <v>9.5127473891915617</v>
      </c>
      <c r="S771">
        <v>0.21694721996129451</v>
      </c>
      <c r="T771">
        <v>0.16721789674747081</v>
      </c>
      <c r="U771">
        <v>4.2555146084885838</v>
      </c>
      <c r="V771">
        <v>0.12414549193133841</v>
      </c>
      <c r="W771">
        <v>12.198902634822799</v>
      </c>
      <c r="X771">
        <v>0.23068034008481211</v>
      </c>
      <c r="Z771" t="s">
        <v>392</v>
      </c>
      <c r="AA771">
        <v>140</v>
      </c>
      <c r="AB771" t="s">
        <v>2176</v>
      </c>
      <c r="AC771" t="str">
        <f>HYPERLINK("plots/20251231112652_3FT6Y119H04_05543_B21P_N_UFLEX98_M5358A8BA201511/dpll_52094/txpa_53272.png","plot")</f>
        <v>plot</v>
      </c>
    </row>
    <row r="772" spans="1:29" x14ac:dyDescent="0.35">
      <c r="A772" t="s">
        <v>47</v>
      </c>
      <c r="B772">
        <v>52094</v>
      </c>
      <c r="C772" t="s">
        <v>53</v>
      </c>
      <c r="D772">
        <v>53273</v>
      </c>
      <c r="E772" t="s">
        <v>148</v>
      </c>
      <c r="F772">
        <v>7139</v>
      </c>
      <c r="G772">
        <v>0.35389338054892799</v>
      </c>
      <c r="H772">
        <v>1.136416041183269E-209</v>
      </c>
      <c r="I772">
        <v>7.4343604242569958E-209</v>
      </c>
      <c r="J772">
        <v>0.35613808178480538</v>
      </c>
      <c r="K772">
        <v>1.684724238052745E-212</v>
      </c>
      <c r="L772">
        <v>1.02294034573981E-211</v>
      </c>
      <c r="M772">
        <v>0.24461682551785671</v>
      </c>
      <c r="N772">
        <v>6.416122301141348E-211</v>
      </c>
      <c r="O772">
        <v>4.0409614989797061E-210</v>
      </c>
      <c r="P772">
        <v>0.1252405247963484</v>
      </c>
      <c r="Q772">
        <v>0.6355917342343741</v>
      </c>
      <c r="R772">
        <v>9.5811107454850273</v>
      </c>
      <c r="S772">
        <v>0.2085214150816197</v>
      </c>
      <c r="T772">
        <v>0.15948342505143759</v>
      </c>
      <c r="U772">
        <v>4.2555146084885838</v>
      </c>
      <c r="V772">
        <v>0.12414549193133841</v>
      </c>
      <c r="W772">
        <v>12.285880655553999</v>
      </c>
      <c r="X772">
        <v>0.22296503085654529</v>
      </c>
      <c r="Z772" t="s">
        <v>392</v>
      </c>
      <c r="AA772">
        <v>140</v>
      </c>
      <c r="AB772" t="s">
        <v>2177</v>
      </c>
      <c r="AC772" t="str">
        <f>HYPERLINK("plots/20251231112652_3FT6Y119H04_05543_B21P_N_UFLEX98_M5358A8BA201511/dpll_52094/txpa_53273.png","plot")</f>
        <v>plot</v>
      </c>
    </row>
    <row r="773" spans="1:29" x14ac:dyDescent="0.35">
      <c r="A773" t="s">
        <v>47</v>
      </c>
      <c r="B773">
        <v>52094</v>
      </c>
      <c r="C773" t="s">
        <v>53</v>
      </c>
      <c r="D773">
        <v>53274</v>
      </c>
      <c r="E773" t="s">
        <v>149</v>
      </c>
      <c r="F773">
        <v>7139</v>
      </c>
      <c r="G773">
        <v>0.36747865955667358</v>
      </c>
      <c r="H773">
        <v>3.7917968491871448E-227</v>
      </c>
      <c r="I773">
        <v>4.1792195707345277E-226</v>
      </c>
      <c r="J773">
        <v>0.3614325794227633</v>
      </c>
      <c r="K773">
        <v>2.8991567333542287E-219</v>
      </c>
      <c r="L773">
        <v>2.070242906775485E-218</v>
      </c>
      <c r="M773">
        <v>0.24808156277797139</v>
      </c>
      <c r="N773">
        <v>7.0835715431802609E-217</v>
      </c>
      <c r="O773">
        <v>5.2814276064594013E-216</v>
      </c>
      <c r="P773">
        <v>0.13504056522956959</v>
      </c>
      <c r="Q773">
        <v>0.64904686228737429</v>
      </c>
      <c r="R773">
        <v>9.2428337741186155</v>
      </c>
      <c r="S773">
        <v>0.20391178945443111</v>
      </c>
      <c r="T773">
        <v>0.1564216227581364</v>
      </c>
      <c r="U773">
        <v>4.2555146084885838</v>
      </c>
      <c r="V773">
        <v>0.12414549193133841</v>
      </c>
      <c r="W773">
        <v>12.004862178176211</v>
      </c>
      <c r="X773">
        <v>0.2192678129999846</v>
      </c>
      <c r="Z773" t="s">
        <v>392</v>
      </c>
      <c r="AA773">
        <v>140</v>
      </c>
      <c r="AB773" t="s">
        <v>2178</v>
      </c>
      <c r="AC773" t="str">
        <f>HYPERLINK("plots/20251231112652_3FT6Y119H04_05543_B21P_N_UFLEX98_M5358A8BA201511/dpll_52094/txpa_53274.png","plot")</f>
        <v>plot</v>
      </c>
    </row>
    <row r="774" spans="1:29" x14ac:dyDescent="0.35">
      <c r="A774" t="s">
        <v>47</v>
      </c>
      <c r="B774">
        <v>52094</v>
      </c>
      <c r="C774" t="s">
        <v>53</v>
      </c>
      <c r="D774">
        <v>53275</v>
      </c>
      <c r="E774" t="s">
        <v>150</v>
      </c>
      <c r="F774">
        <v>7139</v>
      </c>
      <c r="G774">
        <v>0.33910101185366098</v>
      </c>
      <c r="H774">
        <v>1.348422970070889E-191</v>
      </c>
      <c r="I774">
        <v>5.9969337353152701E-191</v>
      </c>
      <c r="J774">
        <v>0.39351936935150073</v>
      </c>
      <c r="K774">
        <v>4.2596868779860271E-263</v>
      </c>
      <c r="L774">
        <v>7.0808565479964445E-262</v>
      </c>
      <c r="M774">
        <v>0.27243798094015359</v>
      </c>
      <c r="N774">
        <v>4.0942398718717837E-261</v>
      </c>
      <c r="O774">
        <v>7.1578607415137741E-260</v>
      </c>
      <c r="P774">
        <v>0.11498949624017681</v>
      </c>
      <c r="Q774">
        <v>0.63803420428247726</v>
      </c>
      <c r="R774">
        <v>10.64921430758022</v>
      </c>
      <c r="S774">
        <v>0.2197301351487817</v>
      </c>
      <c r="T774">
        <v>0.1571579650570136</v>
      </c>
      <c r="U774">
        <v>4.2555146084885838</v>
      </c>
      <c r="V774">
        <v>0.12414549193133841</v>
      </c>
      <c r="W774">
        <v>13.364378184619691</v>
      </c>
      <c r="X774">
        <v>0.2335854727376952</v>
      </c>
      <c r="Z774" t="s">
        <v>392</v>
      </c>
      <c r="AA774">
        <v>140</v>
      </c>
      <c r="AB774" t="s">
        <v>2179</v>
      </c>
      <c r="AC774" t="str">
        <f>HYPERLINK("plots/20251231112652_3FT6Y119H04_05543_B21P_N_UFLEX98_M5358A8BA201511/dpll_52094/txpa_53275.png","plot")</f>
        <v>plot</v>
      </c>
    </row>
    <row r="775" spans="1:29" x14ac:dyDescent="0.35">
      <c r="A775" t="s">
        <v>47</v>
      </c>
      <c r="B775">
        <v>52094</v>
      </c>
      <c r="C775" t="s">
        <v>53</v>
      </c>
      <c r="D775">
        <v>53276</v>
      </c>
      <c r="E775" t="s">
        <v>151</v>
      </c>
      <c r="F775">
        <v>7139</v>
      </c>
      <c r="G775">
        <v>0.3303620390021822</v>
      </c>
      <c r="H775">
        <v>2.2508339591823129E-181</v>
      </c>
      <c r="I775">
        <v>8.2098763834923207E-181</v>
      </c>
      <c r="J775">
        <v>0.360250991991453</v>
      </c>
      <c r="K775">
        <v>9.6177274181329542E-218</v>
      </c>
      <c r="L775">
        <v>6.6797093164293254E-217</v>
      </c>
      <c r="M775">
        <v>0.24685164569606041</v>
      </c>
      <c r="N775">
        <v>9.4205266755752967E-215</v>
      </c>
      <c r="O775">
        <v>6.6800098244988469E-214</v>
      </c>
      <c r="P775">
        <v>0.10913907681367931</v>
      </c>
      <c r="Q775">
        <v>0.6509086574254016</v>
      </c>
      <c r="R775">
        <v>10.67592766717704</v>
      </c>
      <c r="S775">
        <v>0.2308529343889717</v>
      </c>
      <c r="T775">
        <v>0.17428272107669829</v>
      </c>
      <c r="U775">
        <v>4.2555146084885838</v>
      </c>
      <c r="V775">
        <v>0.12414549193133841</v>
      </c>
      <c r="W775">
        <v>13.44587896764253</v>
      </c>
      <c r="X775">
        <v>0.2446024843608309</v>
      </c>
      <c r="Z775" t="s">
        <v>392</v>
      </c>
      <c r="AA775">
        <v>140</v>
      </c>
      <c r="AB775" t="s">
        <v>2180</v>
      </c>
      <c r="AC775" t="str">
        <f>HYPERLINK("plots/20251231112652_3FT6Y119H04_05543_B21P_N_UFLEX98_M5358A8BA201511/dpll_52094/txpa_53276.png","plot")</f>
        <v>plot</v>
      </c>
    </row>
    <row r="776" spans="1:29" x14ac:dyDescent="0.35">
      <c r="A776" t="s">
        <v>47</v>
      </c>
      <c r="B776">
        <v>52094</v>
      </c>
      <c r="C776" t="s">
        <v>53</v>
      </c>
      <c r="D776">
        <v>53277</v>
      </c>
      <c r="E776" t="s">
        <v>152</v>
      </c>
      <c r="F776">
        <v>7139</v>
      </c>
      <c r="G776">
        <v>0.36912147070591977</v>
      </c>
      <c r="H776">
        <v>2.554006038003791E-229</v>
      </c>
      <c r="I776">
        <v>2.9429115028816423E-228</v>
      </c>
      <c r="J776">
        <v>0.42141818081411753</v>
      </c>
      <c r="K776">
        <v>2.1720926954912929E-305</v>
      </c>
      <c r="L776">
        <v>1.101250996614085E-303</v>
      </c>
      <c r="M776">
        <v>0.29597463165990751</v>
      </c>
      <c r="N776">
        <v>8.6371549046195765E-308</v>
      </c>
      <c r="O776">
        <v>3.9809432151292053E-306</v>
      </c>
      <c r="P776">
        <v>0.13625066013610121</v>
      </c>
      <c r="Q776">
        <v>0.67746009028217413</v>
      </c>
      <c r="R776">
        <v>10.59328244456414</v>
      </c>
      <c r="S776">
        <v>0.21174287566335781</v>
      </c>
      <c r="T776">
        <v>0.15054842180535391</v>
      </c>
      <c r="U776">
        <v>4.2555146084885838</v>
      </c>
      <c r="V776">
        <v>0.12414549193133841</v>
      </c>
      <c r="W776">
        <v>13.476223755427929</v>
      </c>
      <c r="X776">
        <v>0.2278480739987489</v>
      </c>
      <c r="Z776" t="s">
        <v>392</v>
      </c>
      <c r="AA776">
        <v>140</v>
      </c>
      <c r="AB776" t="s">
        <v>2181</v>
      </c>
      <c r="AC776" t="str">
        <f>HYPERLINK("plots/20251231112652_3FT6Y119H04_05543_B21P_N_UFLEX98_M5358A8BA201511/dpll_52094/txpa_53277.png","plot")</f>
        <v>plot</v>
      </c>
    </row>
    <row r="777" spans="1:29" x14ac:dyDescent="0.35">
      <c r="A777" t="s">
        <v>47</v>
      </c>
      <c r="B777">
        <v>52094</v>
      </c>
      <c r="C777" t="s">
        <v>53</v>
      </c>
      <c r="D777">
        <v>53278</v>
      </c>
      <c r="E777" t="s">
        <v>153</v>
      </c>
      <c r="F777">
        <v>7139</v>
      </c>
      <c r="G777">
        <v>0.34987409471452818</v>
      </c>
      <c r="H777">
        <v>1.158260024555731E-204</v>
      </c>
      <c r="I777">
        <v>6.5981778926938841E-204</v>
      </c>
      <c r="J777">
        <v>0.37304873750451828</v>
      </c>
      <c r="K777">
        <v>1.4591441019425169E-234</v>
      </c>
      <c r="L777">
        <v>1.4364777857958381E-233</v>
      </c>
      <c r="M777">
        <v>0.25739043644519971</v>
      </c>
      <c r="N777">
        <v>2.692519188315857E-233</v>
      </c>
      <c r="O777">
        <v>2.78593311933906E-232</v>
      </c>
      <c r="P777">
        <v>0.12241188215231071</v>
      </c>
      <c r="Q777">
        <v>0.66506995283018666</v>
      </c>
      <c r="R777">
        <v>10.64655881907259</v>
      </c>
      <c r="S777">
        <v>0.22105555926923151</v>
      </c>
      <c r="T777">
        <v>0.1677344256937362</v>
      </c>
      <c r="U777">
        <v>4.2555146084885838</v>
      </c>
      <c r="V777">
        <v>0.12414549193133841</v>
      </c>
      <c r="W777">
        <v>13.476773719008261</v>
      </c>
      <c r="X777">
        <v>0.23598613818557471</v>
      </c>
      <c r="Z777" t="s">
        <v>392</v>
      </c>
      <c r="AA777">
        <v>140</v>
      </c>
      <c r="AB777" t="s">
        <v>2182</v>
      </c>
      <c r="AC777" t="str">
        <f>HYPERLINK("plots/20251231112652_3FT6Y119H04_05543_B21P_N_UFLEX98_M5358A8BA201511/dpll_52094/txpa_53278.png","plot")</f>
        <v>plot</v>
      </c>
    </row>
    <row r="778" spans="1:29" x14ac:dyDescent="0.35">
      <c r="A778" t="s">
        <v>47</v>
      </c>
      <c r="B778">
        <v>52094</v>
      </c>
      <c r="C778" t="s">
        <v>53</v>
      </c>
      <c r="D778">
        <v>53279</v>
      </c>
      <c r="E778" t="s">
        <v>154</v>
      </c>
      <c r="F778">
        <v>7139</v>
      </c>
      <c r="G778">
        <v>0.38680013247362022</v>
      </c>
      <c r="H778">
        <v>1.6663652066680209E-253</v>
      </c>
      <c r="I778">
        <v>4.0230817132413651E-252</v>
      </c>
      <c r="J778">
        <v>0.41401535072676682</v>
      </c>
      <c r="K778">
        <v>9.0249306391110304E-294</v>
      </c>
      <c r="L778">
        <v>3.155613678640891E-292</v>
      </c>
      <c r="M778">
        <v>0.29084552972688871</v>
      </c>
      <c r="N778">
        <v>2.7362029032738811E-297</v>
      </c>
      <c r="O778">
        <v>9.5672749790335005E-296</v>
      </c>
      <c r="P778">
        <v>0.1496143424816101</v>
      </c>
      <c r="Q778">
        <v>0.70054001954083156</v>
      </c>
      <c r="R778">
        <v>10.60884607777008</v>
      </c>
      <c r="S778">
        <v>0.20732650849718851</v>
      </c>
      <c r="T778">
        <v>0.1507193594066607</v>
      </c>
      <c r="U778">
        <v>4.2555146084885838</v>
      </c>
      <c r="V778">
        <v>0.12414549193133841</v>
      </c>
      <c r="W778">
        <v>13.59000436475697</v>
      </c>
      <c r="X778">
        <v>0.22484192233159919</v>
      </c>
      <c r="Z778" t="s">
        <v>392</v>
      </c>
      <c r="AA778">
        <v>140</v>
      </c>
      <c r="AB778" t="s">
        <v>2183</v>
      </c>
      <c r="AC778" t="str">
        <f>HYPERLINK("plots/20251231112652_3FT6Y119H04_05543_B21P_N_UFLEX98_M5358A8BA201511/dpll_52094/txpa_53279.png","plot")</f>
        <v>plot</v>
      </c>
    </row>
    <row r="779" spans="1:29" x14ac:dyDescent="0.35">
      <c r="A779" t="s">
        <v>47</v>
      </c>
      <c r="B779">
        <v>52094</v>
      </c>
      <c r="C779" t="s">
        <v>53</v>
      </c>
      <c r="D779">
        <v>53280</v>
      </c>
      <c r="E779" t="s">
        <v>155</v>
      </c>
      <c r="F779">
        <v>7139</v>
      </c>
      <c r="G779">
        <v>0.36900357647287862</v>
      </c>
      <c r="H779">
        <v>3.6600677811067357E-229</v>
      </c>
      <c r="I779">
        <v>4.1700098090362139E-228</v>
      </c>
      <c r="J779">
        <v>0.39697475128136089</v>
      </c>
      <c r="K779">
        <v>4.0612866785249301E-268</v>
      </c>
      <c r="L779">
        <v>7.6261938741190359E-267</v>
      </c>
      <c r="M779">
        <v>0.27717914290054357</v>
      </c>
      <c r="N779">
        <v>3.3092760948765971E-270</v>
      </c>
      <c r="O779">
        <v>6.5796195298134695E-269</v>
      </c>
      <c r="P779">
        <v>0.13616363944977561</v>
      </c>
      <c r="Q779">
        <v>0.6875022232186847</v>
      </c>
      <c r="R779">
        <v>10.595509260432451</v>
      </c>
      <c r="S779">
        <v>0.2149610655500486</v>
      </c>
      <c r="T779">
        <v>0.160631253859537</v>
      </c>
      <c r="U779">
        <v>4.2555146084885838</v>
      </c>
      <c r="V779">
        <v>0.12414549193133841</v>
      </c>
      <c r="W779">
        <v>13.521185014707941</v>
      </c>
      <c r="X779">
        <v>0.231299388805912</v>
      </c>
      <c r="Z779" t="s">
        <v>392</v>
      </c>
      <c r="AA779">
        <v>140</v>
      </c>
      <c r="AB779" t="s">
        <v>2184</v>
      </c>
      <c r="AC779" t="str">
        <f>HYPERLINK("plots/20251231112652_3FT6Y119H04_05543_B21P_N_UFLEX98_M5358A8BA201511/dpll_52094/txpa_53280.png","plot")</f>
        <v>plot</v>
      </c>
    </row>
    <row r="780" spans="1:29" x14ac:dyDescent="0.35">
      <c r="A780" t="s">
        <v>47</v>
      </c>
      <c r="B780">
        <v>52094</v>
      </c>
      <c r="C780" t="s">
        <v>53</v>
      </c>
      <c r="D780">
        <v>53281</v>
      </c>
      <c r="E780" t="s">
        <v>156</v>
      </c>
      <c r="F780">
        <v>7139</v>
      </c>
      <c r="G780">
        <v>0.37702807401183441</v>
      </c>
      <c r="H780">
        <v>5.977847751200318E-240</v>
      </c>
      <c r="I780">
        <v>9.9369469175690532E-239</v>
      </c>
      <c r="J780">
        <v>0.40083028278706379</v>
      </c>
      <c r="K780">
        <v>8.6155387267044917E-274</v>
      </c>
      <c r="L780">
        <v>1.899164406277903E-272</v>
      </c>
      <c r="M780">
        <v>0.28015409575630129</v>
      </c>
      <c r="N780">
        <v>5.4330994037197743E-276</v>
      </c>
      <c r="O780">
        <v>1.3117054274694881E-274</v>
      </c>
      <c r="P780">
        <v>0.14215016859307331</v>
      </c>
      <c r="Q780">
        <v>0.68789868483052286</v>
      </c>
      <c r="R780">
        <v>10.663210761922389</v>
      </c>
      <c r="S780">
        <v>0.20977655993935279</v>
      </c>
      <c r="T780">
        <v>0.15340132617919769</v>
      </c>
      <c r="U780">
        <v>4.2555146084885838</v>
      </c>
      <c r="V780">
        <v>0.12414549193133841</v>
      </c>
      <c r="W780">
        <v>13.590573664378759</v>
      </c>
      <c r="X780">
        <v>0.2265070601202111</v>
      </c>
      <c r="Z780" t="s">
        <v>392</v>
      </c>
      <c r="AA780">
        <v>140</v>
      </c>
      <c r="AB780" t="s">
        <v>2185</v>
      </c>
      <c r="AC780" t="str">
        <f>HYPERLINK("plots/20251231112652_3FT6Y119H04_05543_B21P_N_UFLEX98_M5358A8BA201511/dpll_52094/txpa_53281.png","plot")</f>
        <v>plot</v>
      </c>
    </row>
    <row r="781" spans="1:29" x14ac:dyDescent="0.35">
      <c r="A781" t="s">
        <v>47</v>
      </c>
      <c r="B781">
        <v>52094</v>
      </c>
      <c r="C781" t="s">
        <v>53</v>
      </c>
      <c r="D781">
        <v>53282</v>
      </c>
      <c r="E781" t="s">
        <v>157</v>
      </c>
      <c r="F781">
        <v>7139</v>
      </c>
      <c r="G781">
        <v>0.37354570367558732</v>
      </c>
      <c r="H781">
        <v>3.128957322374794E-235</v>
      </c>
      <c r="I781">
        <v>4.406614895677835E-234</v>
      </c>
      <c r="J781">
        <v>0.3801320762877255</v>
      </c>
      <c r="K781">
        <v>3.3210564436927407E-244</v>
      </c>
      <c r="L781">
        <v>3.9157572487260932E-243</v>
      </c>
      <c r="M781">
        <v>0.26295262317177442</v>
      </c>
      <c r="N781">
        <v>2.1436974264016209E-243</v>
      </c>
      <c r="O781">
        <v>2.6508648663063949E-242</v>
      </c>
      <c r="P781">
        <v>0.1395363927344897</v>
      </c>
      <c r="Q781">
        <v>0.67334766374835153</v>
      </c>
      <c r="R781">
        <v>10.54530869426476</v>
      </c>
      <c r="S781">
        <v>0.20756895547187701</v>
      </c>
      <c r="T781">
        <v>0.1558823294145758</v>
      </c>
      <c r="U781">
        <v>4.2555146084885838</v>
      </c>
      <c r="V781">
        <v>0.12414549193133841</v>
      </c>
      <c r="W781">
        <v>13.41074951393753</v>
      </c>
      <c r="X781">
        <v>0.22378272895210299</v>
      </c>
      <c r="Z781" t="s">
        <v>392</v>
      </c>
      <c r="AA781">
        <v>140</v>
      </c>
      <c r="AB781" t="s">
        <v>2186</v>
      </c>
      <c r="AC781" t="str">
        <f>HYPERLINK("plots/20251231112652_3FT6Y119H04_05543_B21P_N_UFLEX98_M5358A8BA201511/dpll_52094/txpa_53282.png","plot")</f>
        <v>plot</v>
      </c>
    </row>
    <row r="782" spans="1:29" x14ac:dyDescent="0.35">
      <c r="A782" t="s">
        <v>47</v>
      </c>
      <c r="B782">
        <v>52094</v>
      </c>
      <c r="C782" t="s">
        <v>53</v>
      </c>
      <c r="D782">
        <v>53283</v>
      </c>
      <c r="E782" t="s">
        <v>158</v>
      </c>
      <c r="F782">
        <v>7139</v>
      </c>
      <c r="G782">
        <v>0.34331224619791029</v>
      </c>
      <c r="H782">
        <v>1.212975844023135E-196</v>
      </c>
      <c r="I782">
        <v>6.0888985437596994E-196</v>
      </c>
      <c r="J782">
        <v>0.40863697269033727</v>
      </c>
      <c r="K782">
        <v>1.639286621055039E-285</v>
      </c>
      <c r="L782">
        <v>4.4925314425670543E-284</v>
      </c>
      <c r="M782">
        <v>0.2853344448499292</v>
      </c>
      <c r="N782">
        <v>3.2686021466118678E-286</v>
      </c>
      <c r="O782">
        <v>8.9577366936876601E-285</v>
      </c>
      <c r="P782">
        <v>0.1178632983894546</v>
      </c>
      <c r="Q782">
        <v>0.66263085672429956</v>
      </c>
      <c r="R782">
        <v>11.001451956688101</v>
      </c>
      <c r="S782">
        <v>0.22503539950543461</v>
      </c>
      <c r="T782">
        <v>0.15781147798252351</v>
      </c>
      <c r="U782">
        <v>4.2555146084885838</v>
      </c>
      <c r="V782">
        <v>0.12414549193133841</v>
      </c>
      <c r="W782">
        <v>13.821287247513659</v>
      </c>
      <c r="X782">
        <v>0.2396146207656692</v>
      </c>
      <c r="Z782" t="s">
        <v>392</v>
      </c>
      <c r="AA782">
        <v>140</v>
      </c>
      <c r="AB782" t="s">
        <v>2187</v>
      </c>
      <c r="AC782" t="str">
        <f>HYPERLINK("plots/20251231112652_3FT6Y119H04_05543_B21P_N_UFLEX98_M5358A8BA201511/dpll_52094/txpa_53283.png","plot")</f>
        <v>plot</v>
      </c>
    </row>
    <row r="783" spans="1:29" x14ac:dyDescent="0.35">
      <c r="A783" t="s">
        <v>47</v>
      </c>
      <c r="B783">
        <v>52094</v>
      </c>
      <c r="C783" t="s">
        <v>53</v>
      </c>
      <c r="D783">
        <v>53284</v>
      </c>
      <c r="E783" t="s">
        <v>159</v>
      </c>
      <c r="F783">
        <v>7139</v>
      </c>
      <c r="G783">
        <v>0.35285273400999417</v>
      </c>
      <c r="H783">
        <v>2.287056208769039E-208</v>
      </c>
      <c r="I783">
        <v>1.4494218723073791E-207</v>
      </c>
      <c r="J783">
        <v>0.4016604602987584</v>
      </c>
      <c r="K783">
        <v>5.0557108058388897E-275</v>
      </c>
      <c r="L783">
        <v>1.192207152818752E-273</v>
      </c>
      <c r="M783">
        <v>0.27946031040873309</v>
      </c>
      <c r="N783">
        <v>1.228206449974665E-274</v>
      </c>
      <c r="O783">
        <v>2.830457591532523E-273</v>
      </c>
      <c r="P783">
        <v>0.1245050518983277</v>
      </c>
      <c r="Q783">
        <v>0.68754308579237267</v>
      </c>
      <c r="R783">
        <v>10.94549531592444</v>
      </c>
      <c r="S783">
        <v>0.22632565656829909</v>
      </c>
      <c r="T783">
        <v>0.16552496634221661</v>
      </c>
      <c r="U783">
        <v>4.2555146084885838</v>
      </c>
      <c r="V783">
        <v>0.12414549193133841</v>
      </c>
      <c r="W783">
        <v>13.871344961479201</v>
      </c>
      <c r="X783">
        <v>0.24190084526103431</v>
      </c>
      <c r="Z783" t="s">
        <v>392</v>
      </c>
      <c r="AA783">
        <v>140</v>
      </c>
      <c r="AB783" t="s">
        <v>2188</v>
      </c>
      <c r="AC783" t="str">
        <f>HYPERLINK("plots/20251231112652_3FT6Y119H04_05543_B21P_N_UFLEX98_M5358A8BA201511/dpll_52094/txpa_53284.png","plot")</f>
        <v>plot</v>
      </c>
    </row>
    <row r="784" spans="1:29" x14ac:dyDescent="0.35">
      <c r="A784" t="s">
        <v>47</v>
      </c>
      <c r="B784">
        <v>52094</v>
      </c>
      <c r="C784" t="s">
        <v>53</v>
      </c>
      <c r="D784">
        <v>53285</v>
      </c>
      <c r="E784" t="s">
        <v>160</v>
      </c>
      <c r="F784">
        <v>7139</v>
      </c>
      <c r="G784">
        <v>0.37451181744033141</v>
      </c>
      <c r="H784">
        <v>1.556193256087096E-236</v>
      </c>
      <c r="I784">
        <v>2.3205587671651689E-235</v>
      </c>
      <c r="J784">
        <v>0.43788028304656779</v>
      </c>
      <c r="K784">
        <v>0</v>
      </c>
      <c r="L784">
        <v>0</v>
      </c>
      <c r="M784">
        <v>0.3115384303662237</v>
      </c>
      <c r="N784">
        <v>0</v>
      </c>
      <c r="O784">
        <v>0</v>
      </c>
      <c r="P784">
        <v>0.14025910140246009</v>
      </c>
      <c r="Q784">
        <v>0.7130859264401338</v>
      </c>
      <c r="R784">
        <v>10.85358961020753</v>
      </c>
      <c r="S784">
        <v>0.21915968482703271</v>
      </c>
      <c r="T784">
        <v>0.15231169899314589</v>
      </c>
      <c r="U784">
        <v>4.2555146084885838</v>
      </c>
      <c r="V784">
        <v>0.12414549193133841</v>
      </c>
      <c r="W784">
        <v>13.88813718728113</v>
      </c>
      <c r="X784">
        <v>0.2363781301542747</v>
      </c>
      <c r="Z784" t="s">
        <v>392</v>
      </c>
      <c r="AA784">
        <v>140</v>
      </c>
      <c r="AB784" t="s">
        <v>2189</v>
      </c>
      <c r="AC784" t="str">
        <f>HYPERLINK("plots/20251231112652_3FT6Y119H04_05543_B21P_N_UFLEX98_M5358A8BA201511/dpll_52094/txpa_53285.png","plot")</f>
        <v>plot</v>
      </c>
    </row>
    <row r="785" spans="1:29" x14ac:dyDescent="0.35">
      <c r="A785" t="s">
        <v>47</v>
      </c>
      <c r="B785">
        <v>52094</v>
      </c>
      <c r="C785" t="s">
        <v>53</v>
      </c>
      <c r="D785">
        <v>53286</v>
      </c>
      <c r="E785" t="s">
        <v>161</v>
      </c>
      <c r="F785">
        <v>7139</v>
      </c>
      <c r="G785">
        <v>0.37159226550507679</v>
      </c>
      <c r="H785">
        <v>1.309489853851861E-232</v>
      </c>
      <c r="I785">
        <v>1.6392872985256631E-231</v>
      </c>
      <c r="J785">
        <v>0.40918876408953792</v>
      </c>
      <c r="K785">
        <v>2.3674507065710251E-286</v>
      </c>
      <c r="L785">
        <v>6.668319490175053E-285</v>
      </c>
      <c r="M785">
        <v>0.28633845410088499</v>
      </c>
      <c r="N785">
        <v>3.2523920094485671E-288</v>
      </c>
      <c r="O785">
        <v>9.422644278802421E-287</v>
      </c>
      <c r="P785">
        <v>0.13808081178319551</v>
      </c>
      <c r="Q785">
        <v>0.70897937219437435</v>
      </c>
      <c r="R785">
        <v>10.8764261371446</v>
      </c>
      <c r="S785">
        <v>0.21988760190248621</v>
      </c>
      <c r="T785">
        <v>0.16256234371425879</v>
      </c>
      <c r="U785">
        <v>4.2555146084885838</v>
      </c>
      <c r="V785">
        <v>0.12414549193133841</v>
      </c>
      <c r="W785">
        <v>13.893498212634819</v>
      </c>
      <c r="X785">
        <v>0.2368633610029742</v>
      </c>
      <c r="Z785" t="s">
        <v>392</v>
      </c>
      <c r="AA785">
        <v>140</v>
      </c>
      <c r="AB785" t="s">
        <v>2190</v>
      </c>
      <c r="AC785" t="str">
        <f>HYPERLINK("plots/20251231112652_3FT6Y119H04_05543_B21P_N_UFLEX98_M5358A8BA201511/dpll_52094/txpa_53286.png","plot")</f>
        <v>plot</v>
      </c>
    </row>
    <row r="786" spans="1:29" x14ac:dyDescent="0.35">
      <c r="A786" t="s">
        <v>47</v>
      </c>
      <c r="B786">
        <v>52094</v>
      </c>
      <c r="C786" t="s">
        <v>53</v>
      </c>
      <c r="D786">
        <v>53287</v>
      </c>
      <c r="E786" t="s">
        <v>162</v>
      </c>
      <c r="F786">
        <v>7139</v>
      </c>
      <c r="G786">
        <v>0.39331319514215007</v>
      </c>
      <c r="H786">
        <v>8.4538707198111959E-263</v>
      </c>
      <c r="I786">
        <v>3.1748981147735379E-261</v>
      </c>
      <c r="J786">
        <v>0.43130253396877599</v>
      </c>
      <c r="K786">
        <v>0</v>
      </c>
      <c r="L786">
        <v>0</v>
      </c>
      <c r="M786">
        <v>0.30690819492986832</v>
      </c>
      <c r="N786">
        <v>0</v>
      </c>
      <c r="O786">
        <v>0</v>
      </c>
      <c r="P786">
        <v>0.154695269472927</v>
      </c>
      <c r="Q786">
        <v>0.73631481352512906</v>
      </c>
      <c r="R786">
        <v>10.85896554675303</v>
      </c>
      <c r="S786">
        <v>0.21366441865015931</v>
      </c>
      <c r="T786">
        <v>0.15200337330366329</v>
      </c>
      <c r="U786">
        <v>4.2555146084885838</v>
      </c>
      <c r="V786">
        <v>0.12414549193133841</v>
      </c>
      <c r="W786">
        <v>13.992363992155759</v>
      </c>
      <c r="X786">
        <v>0.2324106230617857</v>
      </c>
      <c r="Z786" t="s">
        <v>392</v>
      </c>
      <c r="AA786">
        <v>140</v>
      </c>
      <c r="AB786" t="s">
        <v>2191</v>
      </c>
      <c r="AC786" t="str">
        <f>HYPERLINK("plots/20251231112652_3FT6Y119H04_05543_B21P_N_UFLEX98_M5358A8BA201511/dpll_52094/txpa_53287.png","plot")</f>
        <v>plot</v>
      </c>
    </row>
    <row r="787" spans="1:29" x14ac:dyDescent="0.35">
      <c r="A787" t="s">
        <v>47</v>
      </c>
      <c r="B787">
        <v>52094</v>
      </c>
      <c r="C787" t="s">
        <v>53</v>
      </c>
      <c r="D787">
        <v>53288</v>
      </c>
      <c r="E787" t="s">
        <v>163</v>
      </c>
      <c r="F787">
        <v>7139</v>
      </c>
      <c r="G787">
        <v>0.38413988967879042</v>
      </c>
      <c r="H787">
        <v>9.075883457752283E-250</v>
      </c>
      <c r="I787">
        <v>1.9172803804501698E-248</v>
      </c>
      <c r="J787">
        <v>0.42136876101485071</v>
      </c>
      <c r="K787">
        <v>2.6026454959478312E-305</v>
      </c>
      <c r="L787">
        <v>1.256705968043381E-303</v>
      </c>
      <c r="M787">
        <v>0.29813463112834598</v>
      </c>
      <c r="N787">
        <v>0</v>
      </c>
      <c r="O787">
        <v>0</v>
      </c>
      <c r="P787">
        <v>0.14756345484243319</v>
      </c>
      <c r="Q787">
        <v>0.72711533596497369</v>
      </c>
      <c r="R787">
        <v>10.828556831398419</v>
      </c>
      <c r="S787">
        <v>0.2169429103528836</v>
      </c>
      <c r="T787">
        <v>0.15843155915274279</v>
      </c>
      <c r="U787">
        <v>4.2555146084885838</v>
      </c>
      <c r="V787">
        <v>0.12414549193133841</v>
      </c>
      <c r="W787">
        <v>13.92280676565345</v>
      </c>
      <c r="X787">
        <v>0.23498754880591111</v>
      </c>
      <c r="Z787" t="s">
        <v>392</v>
      </c>
      <c r="AA787">
        <v>140</v>
      </c>
      <c r="AB787" t="s">
        <v>2192</v>
      </c>
      <c r="AC787" t="str">
        <f>HYPERLINK("plots/20251231112652_3FT6Y119H04_05543_B21P_N_UFLEX98_M5358A8BA201511/dpll_52094/txpa_53288.png","plot")</f>
        <v>plot</v>
      </c>
    </row>
    <row r="788" spans="1:29" x14ac:dyDescent="0.35">
      <c r="A788" t="s">
        <v>47</v>
      </c>
      <c r="B788">
        <v>52094</v>
      </c>
      <c r="C788" t="s">
        <v>53</v>
      </c>
      <c r="D788">
        <v>53289</v>
      </c>
      <c r="E788" t="s">
        <v>164</v>
      </c>
      <c r="F788">
        <v>7139</v>
      </c>
      <c r="G788">
        <v>0.38678521856811687</v>
      </c>
      <c r="H788">
        <v>1.7490918567264739E-253</v>
      </c>
      <c r="I788">
        <v>4.1246026574898719E-252</v>
      </c>
      <c r="J788">
        <v>0.4223679385670957</v>
      </c>
      <c r="K788">
        <v>6.6832295612988519E-307</v>
      </c>
      <c r="L788">
        <v>5.2129190578131049E-305</v>
      </c>
      <c r="M788">
        <v>0.29902255022809421</v>
      </c>
      <c r="N788">
        <v>0</v>
      </c>
      <c r="O788">
      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    <c r="T788">
        <v>0.15263141819045201</v>
      </c>
      <c r="U788">
        <v>4.2555146084885838</v>
      </c>
      <c r="V788">
        <v>0.12414549193133841</v>
      </c>
      <c r="W788">
        <v>13.98541583274968</v>
      </c>
      <c r="X788">
        <v>0.23218908633510391</v>
      </c>
      <c r="Z788" t="s">
        <v>392</v>
      </c>
      <c r="AA788">
        <v>140</v>
      </c>
      <c r="AB788" t="s">
        <v>2193</v>
      </c>
      <c r="AC788" t="str">
        <f>HYPERLINK("plots/20251231112652_3FT6Y119H04_05543_B21P_N_UFLEX98_M5358A8BA201511/dpll_52094/txpa_53289.png","plot")</f>
        <v>plot</v>
      </c>
    </row>
    <row r="789" spans="1:29" x14ac:dyDescent="0.35">
      <c r="A789" t="s">
        <v>47</v>
      </c>
      <c r="B789">
        <v>52094</v>
      </c>
      <c r="C789" t="s">
        <v>53</v>
      </c>
      <c r="D789">
        <v>53290</v>
      </c>
      <c r="E789" t="s">
        <v>165</v>
      </c>
      <c r="F789">
        <v>7139</v>
      </c>
      <c r="G789">
        <v>0.3786494413225131</v>
      </c>
      <c r="H789">
        <v>3.6275822977989712E-242</v>
      </c>
      <c r="I789">
        <v>6.3420145689106152E-241</v>
      </c>
      <c r="J789">
        <v>0.39553363000004937</v>
      </c>
      <c r="K789">
        <v>5.1278447510303118E-266</v>
      </c>
      <c r="L789">
        <v>9.1221659255170816E-265</v>
      </c>
      <c r="M789">
        <v>0.27567041203526721</v>
      </c>
      <c r="N789">
        <v>2.690309334587653E-267</v>
      </c>
      <c r="O789">
        <v>4.8713815451283569E-266</v>
      </c>
      <c r="P789">
        <v>0.1433753994138513</v>
      </c>
      <c r="Q789">
        <v>0.69538557144208513</v>
      </c>
      <c r="R789">
        <v>10.90538781828511</v>
      </c>
      <c r="S789">
        <v>0.2110008285199281</v>
      </c>
      <c r="T789">
        <v>0.15589286595106561</v>
      </c>
      <c r="U789">
        <v>4.2555146084885838</v>
      </c>
      <c r="V789">
        <v>0.12414549193133841</v>
      </c>
      <c r="W789">
        <v>13.864611276089089</v>
      </c>
      <c r="X789">
        <v>0.22799184265823899</v>
      </c>
      <c r="Z789" t="s">
        <v>392</v>
      </c>
      <c r="AA789">
        <v>140</v>
      </c>
      <c r="AB789" t="s">
        <v>2194</v>
      </c>
      <c r="AC789" t="str">
        <f>HYPERLINK("plots/20251231112652_3FT6Y119H04_05543_B21P_N_UFLEX98_M5358A8BA201511/dpll_52094/txpa_53290.png","plot")</f>
        <v>plot</v>
      </c>
    </row>
    <row r="790" spans="1:29" x14ac:dyDescent="0.35">
      <c r="A790" t="s">
        <v>47</v>
      </c>
      <c r="B790">
        <v>52094</v>
      </c>
      <c r="C790" t="s">
        <v>53</v>
      </c>
      <c r="D790">
        <v>54146</v>
      </c>
      <c r="E790" t="s">
        <v>166</v>
      </c>
      <c r="F790">
        <v>7139</v>
      </c>
      <c r="G790">
        <v>-9.0019985315838453E-3</v>
      </c>
      <c r="H790">
        <v>0.44696502526589837</v>
      </c>
      <c r="I790">
        <v>0.44696502526589837</v>
      </c>
      <c r="J790">
        <v>-4.7283862138239744E-3</v>
      </c>
      <c r="K790">
        <v>0.68956465341446216</v>
      </c>
      <c r="L790">
        <v>0.6907770041139295</v>
      </c>
      <c r="M790">
        <v>-3.1101048795703231E-3</v>
      </c>
      <c r="N790">
        <v>0.69353193742166208</v>
      </c>
      <c r="O790">
        <v>0.69421656914665875</v>
      </c>
      <c r="P790">
        <v>8.1035977562637703E-5</v>
      </c>
      <c r="Q790">
        <v>-0.33112106794118401</v>
      </c>
      <c r="R790">
        <v>-10.024356363927041</v>
      </c>
      <c r="S790">
        <v>4.5659464470969029</v>
      </c>
      <c r="T790">
        <v>3.4657794907000081</v>
      </c>
      <c r="U790">
        <v>4.2555146084885838</v>
      </c>
      <c r="V790">
        <v>0.12414549193133841</v>
      </c>
      <c r="W790">
        <v>-11.43344690572909</v>
      </c>
      <c r="X790">
        <v>4.5664512968050834</v>
      </c>
      <c r="Z790" t="s">
        <v>392</v>
      </c>
      <c r="AA790">
        <v>140</v>
      </c>
      <c r="AB790" t="s">
        <v>2195</v>
      </c>
      <c r="AC790" t="str">
        <f>HYPERLINK("plots/20251231112652_3FT6Y119H04_05543_B21P_N_UFLEX98_M5358A8BA201511/dpll_52094/txpa_54146.png","plot")</f>
        <v>plot</v>
      </c>
    </row>
    <row r="791" spans="1:29" x14ac:dyDescent="0.35">
      <c r="A791" t="s">
        <v>47</v>
      </c>
      <c r="B791">
        <v>52094</v>
      </c>
      <c r="C791" t="s">
        <v>53</v>
      </c>
      <c r="D791">
        <v>54147</v>
      </c>
      <c r="E791" t="s">
        <v>167</v>
      </c>
      <c r="F791">
        <v>7139</v>
      </c>
      <c r="G791">
        <v>0.1225405162741591</v>
      </c>
      <c r="H791">
        <v>2.720937668632217E-25</v>
      </c>
      <c r="I791">
        <v>2.8210948834284939E-25</v>
      </c>
      <c r="J791">
        <v>0.10866215000571421</v>
      </c>
      <c r="K791">
        <v>3.3595436170131353E-20</v>
      </c>
      <c r="L791">
        <v>3.4514460259891782E-20</v>
      </c>
      <c r="M791">
        <v>7.208776063423708E-2</v>
      </c>
      <c r="N791">
        <v>6.8145163144513221E-20</v>
      </c>
      <c r="O791">
        <v>6.9867740574859865E-20</v>
      </c>
      <c r="P791">
        <v>1.5016178128737449E-2</v>
      </c>
      <c r="Q791">
        <v>0.85348224876072698</v>
      </c>
      <c r="R791">
        <v>-23.02162669176456</v>
      </c>
      <c r="S791">
        <v>0.85808413089051427</v>
      </c>
      <c r="T791">
        <v>0.65599472116280577</v>
      </c>
      <c r="U791">
        <v>4.2555146084885838</v>
      </c>
      <c r="V791">
        <v>0.12414549193133841</v>
      </c>
      <c r="W791">
        <v>-19.389620514077599</v>
      </c>
      <c r="X791">
        <v>0.86466074118710867</v>
      </c>
      <c r="Z791" t="s">
        <v>392</v>
      </c>
      <c r="AA791">
        <v>140</v>
      </c>
      <c r="AB791" t="s">
        <v>2196</v>
      </c>
      <c r="AC791" t="str">
        <f>HYPERLINK("plots/20251231112652_3FT6Y119H04_05543_B21P_N_UFLEX98_M5358A8BA201511/dpll_52094/txpa_54147.png","plot")</f>
        <v>plot</v>
      </c>
    </row>
    <row r="792" spans="1:29" x14ac:dyDescent="0.35">
      <c r="A792" t="s">
        <v>47</v>
      </c>
      <c r="B792">
        <v>52094</v>
      </c>
      <c r="C792" t="s">
        <v>53</v>
      </c>
      <c r="D792">
        <v>54148</v>
      </c>
      <c r="E792" t="s">
        <v>168</v>
      </c>
      <c r="F792">
        <v>7131</v>
      </c>
      <c r="G792">
        <v>0.12874926161628009</v>
      </c>
      <c r="H792">
        <v>9.6856863533368205E-28</v>
      </c>
      <c r="I792">
        <v>1.0135486029188379E-27</v>
      </c>
      <c r="J792">
        <v>0.1245963300166306</v>
      </c>
      <c r="K792">
        <v>4.5231049692291592E-26</v>
      </c>
      <c r="L792">
        <v>4.7975192874459911E-26</v>
      </c>
      <c r="M792">
        <v>8.2694006025910219E-2</v>
      </c>
      <c r="N792">
        <v>1.21763640201357E-25</v>
      </c>
      <c r="O792">
        <v>1.291509740211047E-25</v>
      </c>
      <c r="P792">
        <v>1.6576372366737341E-2</v>
      </c>
      <c r="Q792">
        <v>0.71689542848326282</v>
      </c>
      <c r="R792">
        <v>-21.947655517864639</v>
      </c>
      <c r="S792">
        <v>0.68547925701086276</v>
      </c>
      <c r="T792">
        <v>0.5217855286131472</v>
      </c>
      <c r="U792">
        <v>4.2554765860328141</v>
      </c>
      <c r="V792">
        <v>0.1241490462356829</v>
      </c>
      <c r="W792">
        <v>-18.89692380732016</v>
      </c>
      <c r="X792">
        <v>0.6912807310862602</v>
      </c>
      <c r="Z792" t="s">
        <v>392</v>
      </c>
      <c r="AA792">
        <v>140</v>
      </c>
      <c r="AB792" t="s">
        <v>2197</v>
      </c>
      <c r="AC792" t="str">
        <f>HYPERLINK("plots/20251231112652_3FT6Y119H04_05543_B21P_N_UFLEX98_M5358A8BA201511/dpll_52094/txpa_54148.png","plot")</f>
        <v>plot</v>
      </c>
    </row>
    <row r="793" spans="1:29" x14ac:dyDescent="0.35">
      <c r="A793" t="s">
        <v>47</v>
      </c>
      <c r="B793">
        <v>52094</v>
      </c>
      <c r="C793" t="s">
        <v>53</v>
      </c>
      <c r="D793">
        <v>54149</v>
      </c>
      <c r="E793" t="s">
        <v>169</v>
      </c>
      <c r="F793">
        <v>7134</v>
      </c>
      <c r="G793">
        <v>0.13629657913410911</v>
      </c>
      <c r="H793">
        <v>6.2716256947730959E-31</v>
      </c>
      <c r="I793">
        <v>6.6590873869109103E-31</v>
      </c>
      <c r="J793">
        <v>0.1346143132525929</v>
      </c>
      <c r="K793">
        <v>3.3242641779688741E-30</v>
      </c>
      <c r="L793">
        <v>3.6323317634271967E-30</v>
      </c>
      <c r="M793">
        <v>8.9843910607531344E-2</v>
      </c>
      <c r="N793">
        <v>5.5442935735551227E-30</v>
      </c>
      <c r="O793">
        <v>6.0777445227944809E-30</v>
      </c>
      <c r="P793">
        <v>1.8576757483660479E-2</v>
      </c>
      <c r="Q793">
        <v>0.7461609623857185</v>
      </c>
      <c r="R793">
        <v>-21.688582670925239</v>
      </c>
      <c r="S793">
        <v>0.67339262642020614</v>
      </c>
      <c r="T793">
        <v>0.51519328017215915</v>
      </c>
      <c r="U793">
        <v>4.255525599243061</v>
      </c>
      <c r="V793">
        <v>0.1241718236606394</v>
      </c>
      <c r="W793">
        <v>-18.513275594336982</v>
      </c>
      <c r="X793">
        <v>0.67978351351465127</v>
      </c>
      <c r="Z793" t="s">
        <v>392</v>
      </c>
      <c r="AA793">
        <v>140</v>
      </c>
      <c r="AB793" t="s">
        <v>2198</v>
      </c>
      <c r="AC793" t="str">
        <f>HYPERLINK("plots/20251231112652_3FT6Y119H04_05543_B21P_N_UFLEX98_M5358A8BA201511/dpll_52094/txpa_54149.png","plot")</f>
        <v>plot</v>
      </c>
    </row>
    <row r="794" spans="1:29" x14ac:dyDescent="0.35">
      <c r="A794" t="s">
        <v>47</v>
      </c>
      <c r="B794">
        <v>52094</v>
      </c>
      <c r="C794" t="s">
        <v>53</v>
      </c>
      <c r="D794">
        <v>54150</v>
      </c>
      <c r="E794" t="s">
        <v>170</v>
      </c>
      <c r="F794">
        <v>7135</v>
      </c>
      <c r="G794">
        <v>0.15931074169407811</v>
      </c>
      <c r="H794">
        <v>8.9545148024888371E-42</v>
      </c>
      <c r="I794">
        <v>1.002194040808353E-41</v>
      </c>
      <c r="J794">
        <v>0.15040893298745461</v>
      </c>
      <c r="K794">
        <v>2.2500847912396381E-37</v>
      </c>
      <c r="L794">
        <v>2.6075268323622768E-37</v>
      </c>
      <c r="M794">
        <v>9.9972122970529848E-2</v>
      </c>
      <c r="N794">
        <v>1.0080244428490179E-36</v>
      </c>
      <c r="O794">
        <v>1.16549234327127E-36</v>
      </c>
      <c r="P794">
        <v>2.537991241911727E-2</v>
      </c>
      <c r="Q794">
        <v>0.8633656162962472</v>
      </c>
      <c r="R794">
        <v>-22.54568045091839</v>
      </c>
      <c r="S794">
        <v>0.66424078757227012</v>
      </c>
      <c r="T794">
        <v>0.51214957593527544</v>
      </c>
      <c r="U794">
        <v>4.255530948283111</v>
      </c>
      <c r="V794">
        <v>0.1241619737312625</v>
      </c>
      <c r="W794">
        <v>-18.871601351086191</v>
      </c>
      <c r="X794">
        <v>0.67288104889310585</v>
      </c>
      <c r="Z794" t="s">
        <v>392</v>
      </c>
      <c r="AA794">
        <v>140</v>
      </c>
      <c r="AB794" t="s">
        <v>2199</v>
      </c>
      <c r="AC794" t="str">
        <f>HYPERLINK("plots/20251231112652_3FT6Y119H04_05543_B21P_N_UFLEX98_M5358A8BA201511/dpll_52094/txpa_54150.png","plot")</f>
        <v>plot</v>
      </c>
    </row>
    <row r="795" spans="1:29" x14ac:dyDescent="0.35">
      <c r="A795" t="s">
        <v>47</v>
      </c>
      <c r="B795">
        <v>52094</v>
      </c>
      <c r="C795" t="s">
        <v>53</v>
      </c>
      <c r="D795">
        <v>54151</v>
      </c>
      <c r="E795" t="s">
        <v>171</v>
      </c>
      <c r="F795">
        <v>7133</v>
      </c>
      <c r="G795">
        <v>0.14895348816079429</v>
      </c>
      <c r="H795">
        <v>1.138966864021772E-36</v>
      </c>
      <c r="I795">
        <v>1.249905194932984E-36</v>
      </c>
      <c r="J795">
        <v>0.14188574934067241</v>
      </c>
      <c r="K795">
        <v>2.1338839490425159E-33</v>
      </c>
      <c r="L795">
        <v>2.4015075741721541E-33</v>
      </c>
      <c r="M795">
        <v>9.4236621988597793E-2</v>
      </c>
      <c r="N795">
        <v>8.2091674325075713E-33</v>
      </c>
      <c r="O795">
        <v>9.2284875571648317E-33</v>
      </c>
      <c r="P795">
        <v>2.218714163526788E-2</v>
      </c>
      <c r="Q795">
        <v>0.77446239203703426</v>
      </c>
      <c r="R795">
        <v>-21.886992267633691</v>
      </c>
      <c r="S795">
        <v>0.63830784776395744</v>
      </c>
      <c r="T795">
        <v>0.49104847944220331</v>
      </c>
      <c r="U795">
        <v>4.255583845646993</v>
      </c>
      <c r="V795">
        <v>0.1241603995191787</v>
      </c>
      <c r="W795">
        <v>-18.591202623019761</v>
      </c>
      <c r="X795">
        <v>0.64555426794769377</v>
      </c>
      <c r="Z795" t="s">
        <v>392</v>
      </c>
      <c r="AA795">
        <v>140</v>
      </c>
      <c r="AB795" t="s">
        <v>2200</v>
      </c>
      <c r="AC795" t="str">
        <f>HYPERLINK("plots/20251231112652_3FT6Y119H04_05543_B21P_N_UFLEX98_M5358A8BA201511/dpll_52094/txpa_54151.png","plot")</f>
        <v>plot</v>
      </c>
    </row>
    <row r="796" spans="1:29" x14ac:dyDescent="0.35">
      <c r="A796" t="s">
        <v>47</v>
      </c>
      <c r="B796">
        <v>52094</v>
      </c>
      <c r="C796" t="s">
        <v>53</v>
      </c>
      <c r="D796">
        <v>54152</v>
      </c>
      <c r="E796" t="s">
        <v>172</v>
      </c>
      <c r="F796">
        <v>7135</v>
      </c>
      <c r="G796">
        <v>0.1486650059037993</v>
      </c>
      <c r="H796">
        <v>1.525933835225227E-36</v>
      </c>
      <c r="I796">
        <v>1.6673458070241159E-36</v>
      </c>
      <c r="J796">
        <v>0.14087112438414509</v>
      </c>
      <c r="K796">
        <v>5.9811792658964017E-33</v>
      </c>
      <c r="L796">
        <v>6.6941675227582235E-33</v>
      </c>
      <c r="M796">
        <v>9.3527127006091892E-2</v>
      </c>
      <c r="N796">
        <v>2.3683753730739429E-32</v>
      </c>
      <c r="O796">
        <v>2.6506982652284519E-32</v>
      </c>
      <c r="P796">
        <v>2.2101283980376678E-2</v>
      </c>
      <c r="Q796">
        <v>0.7626349324679893</v>
      </c>
      <c r="R796">
        <v>-21.984520338072819</v>
      </c>
      <c r="S796">
        <v>0.62986519769104066</v>
      </c>
      <c r="T796">
        <v>0.47968204698419581</v>
      </c>
      <c r="U796">
        <v>4.255513099088998</v>
      </c>
      <c r="V796">
        <v>0.12417185502289731</v>
      </c>
      <c r="W796">
        <v>-18.739117393132439</v>
      </c>
      <c r="X796">
        <v>0.63698779476786127</v>
      </c>
      <c r="Z796" t="s">
        <v>392</v>
      </c>
      <c r="AA796">
        <v>140</v>
      </c>
      <c r="AB796" t="s">
        <v>2201</v>
      </c>
      <c r="AC796" t="str">
        <f>HYPERLINK("plots/20251231112652_3FT6Y119H04_05543_B21P_N_UFLEX98_M5358A8BA201511/dpll_52094/txpa_54152.png","plot")</f>
        <v>plot</v>
      </c>
    </row>
    <row r="797" spans="1:29" x14ac:dyDescent="0.35">
      <c r="A797" t="s">
        <v>47</v>
      </c>
      <c r="B797">
        <v>52094</v>
      </c>
      <c r="C797" t="s">
        <v>53</v>
      </c>
      <c r="D797">
        <v>54153</v>
      </c>
      <c r="E797" t="s">
        <v>173</v>
      </c>
      <c r="F797">
        <v>7129</v>
      </c>
      <c r="G797">
        <v>0.13609300838926211</v>
      </c>
      <c r="H797">
        <v>8.0531664288138818E-31</v>
      </c>
      <c r="I797">
        <v>8.5417476556666075E-31</v>
      </c>
      <c r="J797">
        <v>0.1204122669234375</v>
      </c>
      <c r="K797">
        <v>1.9388389726961299E-24</v>
      </c>
      <c r="L797">
        <v>2.0500341171156158E-24</v>
      </c>
      <c r="M797">
        <v>7.9996999071194355E-2</v>
      </c>
      <c r="N797">
        <v>4.2958591686662124E-24</v>
      </c>
      <c r="O797">
        <v>4.5422327393405001E-24</v>
      </c>
      <c r="P797">
        <v>1.8521306932439752E-2</v>
      </c>
      <c r="Q797">
        <v>0.70743847334838417</v>
      </c>
      <c r="R797">
        <v>-21.738801649563449</v>
      </c>
      <c r="S797">
        <v>0.63948729061684506</v>
      </c>
      <c r="T797">
        <v>0.48708723110032448</v>
      </c>
      <c r="U797">
        <v>4.2555398875017536</v>
      </c>
      <c r="V797">
        <v>0.1241849826844876</v>
      </c>
      <c r="W797">
        <v>-18.728269008276051</v>
      </c>
      <c r="X797">
        <v>0.64553819187996753</v>
      </c>
      <c r="Z797" t="s">
        <v>392</v>
      </c>
      <c r="AA797">
        <v>140</v>
      </c>
      <c r="AB797" t="s">
        <v>2202</v>
      </c>
      <c r="AC797" t="str">
        <f>HYPERLINK("plots/20251231112652_3FT6Y119H04_05543_B21P_N_UFLEX98_M5358A8BA201511/dpll_52094/txpa_54153.png","plot")</f>
        <v>plot</v>
      </c>
    </row>
    <row r="798" spans="1:29" x14ac:dyDescent="0.35">
      <c r="A798" t="s">
        <v>47</v>
      </c>
      <c r="B798">
        <v>52094</v>
      </c>
      <c r="C798" t="s">
        <v>53</v>
      </c>
      <c r="D798">
        <v>54154</v>
      </c>
      <c r="E798" t="s">
        <v>174</v>
      </c>
      <c r="F798">
        <v>7139</v>
      </c>
      <c r="G798">
        <v>0.1132591029714361</v>
      </c>
      <c r="H798">
        <v>8.0896678538120129E-22</v>
      </c>
      <c r="I798">
        <v>8.2524378307498796E-22</v>
      </c>
      <c r="J798">
        <v>0.1051762215572897</v>
      </c>
      <c r="K798">
        <v>5.1135325377002378E-19</v>
      </c>
      <c r="L798">
        <v>5.2164205163259965E-19</v>
      </c>
      <c r="M798">
        <v>6.9821593060328202E-2</v>
      </c>
      <c r="N798">
        <v>9.2944344614066151E-19</v>
      </c>
      <c r="O798">
        <v>9.4814452151572496E-19</v>
      </c>
      <c r="P798">
        <v>1.2827624405894361E-2</v>
      </c>
      <c r="Q798">
        <v>0.79349183229619613</v>
      </c>
      <c r="R798">
        <v>-23.076516680775061</v>
      </c>
      <c r="S798">
        <v>0.86410471448258608</v>
      </c>
      <c r="T798">
        <v>0.66134462712677222</v>
      </c>
      <c r="U798">
        <v>4.2555146084885838</v>
      </c>
      <c r="V798">
        <v>0.12414549193133841</v>
      </c>
      <c r="W798">
        <v>-19.69980059672223</v>
      </c>
      <c r="X798">
        <v>0.86976173463738371</v>
      </c>
      <c r="Z798" t="s">
        <v>392</v>
      </c>
      <c r="AA798">
        <v>140</v>
      </c>
      <c r="AB798" t="s">
        <v>2203</v>
      </c>
      <c r="AC798" t="str">
        <f>HYPERLINK("plots/20251231112652_3FT6Y119H04_05543_B21P_N_UFLEX98_M5358A8BA201511/dpll_52094/txpa_54154.png","plot")</f>
        <v>plot</v>
      </c>
    </row>
    <row r="799" spans="1:29" x14ac:dyDescent="0.35">
      <c r="A799" t="s">
        <v>47</v>
      </c>
      <c r="B799">
        <v>52094</v>
      </c>
      <c r="C799" t="s">
        <v>53</v>
      </c>
      <c r="D799">
        <v>54155</v>
      </c>
      <c r="E799" t="s">
        <v>175</v>
      </c>
      <c r="F799">
        <v>7139</v>
      </c>
      <c r="G799">
        <v>0.1482578001177666</v>
      </c>
      <c r="H799">
        <v>2.273969723503847E-36</v>
      </c>
      <c r="I799">
        <v>2.479360537239678E-36</v>
      </c>
      <c r="J799">
        <v>0.1106297694809789</v>
      </c>
      <c r="K799">
        <v>6.9473151830971737E-21</v>
      </c>
      <c r="L799">
        <v>7.1883444853678923E-21</v>
      </c>
      <c r="M799">
        <v>7.326341262081644E-2</v>
      </c>
      <c r="N799">
        <v>1.6556838119375771E-20</v>
      </c>
      <c r="O799">
        <v>1.7096368485791271E-20</v>
      </c>
      <c r="P799">
        <v>2.1980375295759639E-2</v>
      </c>
      <c r="Q799">
        <v>0.654801037477863</v>
      </c>
      <c r="R799">
        <v>-11.61389246440576</v>
      </c>
      <c r="S799">
        <v>0.54220825632743352</v>
      </c>
      <c r="T799">
        <v>0.4491406652391578</v>
      </c>
      <c r="U799">
        <v>4.2555146084885838</v>
      </c>
      <c r="V799">
        <v>0.12414549193133841</v>
      </c>
      <c r="W799">
        <v>-8.8273770837652332</v>
      </c>
      <c r="X799">
        <v>0.54830570027524972</v>
      </c>
      <c r="Z799" t="s">
        <v>392</v>
      </c>
      <c r="AA799">
        <v>140</v>
      </c>
      <c r="AB799" t="s">
        <v>2204</v>
      </c>
      <c r="AC799" t="str">
        <f>HYPERLINK("plots/20251231112652_3FT6Y119H04_05543_B21P_N_UFLEX98_M5358A8BA201511/dpll_52094/txpa_54155.png","plot")</f>
        <v>plot</v>
      </c>
    </row>
    <row r="800" spans="1:29" x14ac:dyDescent="0.35">
      <c r="A800" t="s">
        <v>47</v>
      </c>
      <c r="B800">
        <v>52094</v>
      </c>
      <c r="C800" t="s">
        <v>53</v>
      </c>
      <c r="D800">
        <v>54156</v>
      </c>
      <c r="E800" t="s">
        <v>176</v>
      </c>
      <c r="F800">
        <v>7139</v>
      </c>
      <c r="G800">
        <v>0.24411734383424691</v>
      </c>
      <c r="H800">
        <v>2.3108845817858381E-97</v>
      </c>
      <c r="I800">
        <v>3.6216954651172168E-97</v>
      </c>
      <c r="J800">
        <v>0.22206287203040939</v>
      </c>
      <c r="K800">
        <v>1.8042802749097009E-80</v>
      </c>
      <c r="L800">
        <v>2.8146772288591339E-80</v>
      </c>
      <c r="M800">
        <v>0.147188161183852</v>
      </c>
      <c r="N800">
        <v>1.301346576647871E-77</v>
      </c>
      <c r="O800">
        <v>1.990294764284979E-77</v>
      </c>
      <c r="P800">
        <v>5.9593277560687899E-2</v>
      </c>
      <c r="Q800">
        <v>0.68693072836766533</v>
      </c>
      <c r="R800">
        <v>-11.18810477816373</v>
      </c>
      <c r="S800">
        <v>0.33874485307377028</v>
      </c>
      <c r="T800">
        <v>0.26574198176217517</v>
      </c>
      <c r="U800">
        <v>4.2555146084885838</v>
      </c>
      <c r="V800">
        <v>0.12414549193133841</v>
      </c>
      <c r="W800">
        <v>-8.2648610285754316</v>
      </c>
      <c r="X800">
        <v>0.34933754339822798</v>
      </c>
      <c r="Z800" t="s">
        <v>392</v>
      </c>
      <c r="AA800">
        <v>140</v>
      </c>
      <c r="AB800" t="s">
        <v>2205</v>
      </c>
      <c r="AC800" t="str">
        <f>HYPERLINK("plots/20251231112652_3FT6Y119H04_05543_B21P_N_UFLEX98_M5358A8BA201511/dpll_52094/txpa_54156.png","plot")</f>
        <v>plot</v>
      </c>
    </row>
    <row r="801" spans="1:29" x14ac:dyDescent="0.35">
      <c r="A801" t="s">
        <v>47</v>
      </c>
      <c r="B801">
        <v>52094</v>
      </c>
      <c r="C801" t="s">
        <v>53</v>
      </c>
      <c r="D801">
        <v>54157</v>
      </c>
      <c r="E801" t="s">
        <v>177</v>
      </c>
      <c r="F801">
        <v>7139</v>
      </c>
      <c r="G801">
        <v>0.19313388151149891</v>
      </c>
      <c r="H801">
        <v>5.9451740773107467E-61</v>
      </c>
      <c r="I801">
        <v>7.2110125770252357E-61</v>
      </c>
      <c r="J801">
        <v>0.16375150588094969</v>
      </c>
      <c r="K801">
        <v>4.3133679421606099E-44</v>
      </c>
      <c r="L801">
        <v>5.1699232781925047E-44</v>
      </c>
      <c r="M801">
        <v>0.1089657023665848</v>
      </c>
      <c r="N801">
        <v>2.3483876738209419E-43</v>
      </c>
      <c r="O801">
        <v>2.8147341622392849E-43</v>
      </c>
      <c r="P801">
        <v>3.7300696187697678E-2</v>
      </c>
      <c r="Q801">
        <v>0.62320864635519169</v>
      </c>
      <c r="R801">
        <v>-10.5467918777456</v>
      </c>
      <c r="S801">
        <v>0.39302562291614201</v>
      </c>
      <c r="T801">
        <v>0.3181444472706409</v>
      </c>
      <c r="U801">
        <v>4.2555146084885838</v>
      </c>
      <c r="V801">
        <v>0.12414549193133841</v>
      </c>
      <c r="W801">
        <v>-7.8947183790446838</v>
      </c>
      <c r="X801">
        <v>0.40059539720389442</v>
      </c>
      <c r="Z801" t="s">
        <v>392</v>
      </c>
      <c r="AA801">
        <v>140</v>
      </c>
      <c r="AB801" t="s">
        <v>2206</v>
      </c>
      <c r="AC801" t="str">
        <f>HYPERLINK("plots/20251231112652_3FT6Y119H04_05543_B21P_N_UFLEX98_M5358A8BA201511/dpll_52094/txpa_54157.png","plot")</f>
        <v>plot</v>
      </c>
    </row>
    <row r="802" spans="1:29" x14ac:dyDescent="0.35">
      <c r="A802" t="s">
        <v>47</v>
      </c>
      <c r="B802">
        <v>52094</v>
      </c>
      <c r="C802" t="s">
        <v>53</v>
      </c>
      <c r="D802">
        <v>54158</v>
      </c>
      <c r="E802" t="s">
        <v>178</v>
      </c>
      <c r="F802">
        <v>7139</v>
      </c>
      <c r="G802">
        <v>0.27969842811267059</v>
      </c>
      <c r="H802">
        <v>1.9114661469909201E-128</v>
      </c>
      <c r="I802">
        <v>3.8533333460214581E-128</v>
      </c>
      <c r="J802">
        <v>0.24623044386685289</v>
      </c>
      <c r="K802">
        <v>4.482711679398301E-99</v>
      </c>
      <c r="L802">
        <v>8.34031127139427E-99</v>
      </c>
      <c r="M802">
        <v>0.16444410497661641</v>
      </c>
      <c r="N802">
        <v>2.101226897826394E-96</v>
      </c>
      <c r="O802">
        <v>3.9022785245347309E-96</v>
      </c>
      <c r="P802">
        <v>7.823121068869876E-2</v>
      </c>
      <c r="Q802">
        <v>0.75042276707329036</v>
      </c>
      <c r="R802">
        <v>-11.459071859561149</v>
      </c>
      <c r="S802">
        <v>0.31976248477386232</v>
      </c>
      <c r="T802">
        <v>0.25488065360047751</v>
      </c>
      <c r="U802">
        <v>4.2555146084885838</v>
      </c>
      <c r="V802">
        <v>0.12414549193133841</v>
      </c>
      <c r="W802">
        <v>-8.2656368117383376</v>
      </c>
      <c r="X802">
        <v>0.33307875272456527</v>
      </c>
      <c r="Z802" t="s">
        <v>392</v>
      </c>
      <c r="AA802">
        <v>140</v>
      </c>
      <c r="AB802" t="s">
        <v>2207</v>
      </c>
      <c r="AC802" t="str">
        <f>HYPERLINK("plots/20251231112652_3FT6Y119H04_05543_B21P_N_UFLEX98_M5358A8BA201511/dpll_52094/txpa_54158.png","plot")</f>
        <v>plot</v>
      </c>
    </row>
    <row r="803" spans="1:29" x14ac:dyDescent="0.35">
      <c r="A803" t="s">
        <v>47</v>
      </c>
      <c r="B803">
        <v>52094</v>
      </c>
      <c r="C803" t="s">
        <v>53</v>
      </c>
      <c r="D803">
        <v>54159</v>
      </c>
      <c r="E803" t="s">
        <v>179</v>
      </c>
      <c r="F803">
        <v>7139</v>
      </c>
      <c r="G803">
        <v>0.21787124644239489</v>
      </c>
      <c r="H803">
        <v>1.8523022523239669E-77</v>
      </c>
      <c r="I803">
        <v>2.4844371479583371E-77</v>
      </c>
      <c r="J803">
        <v>0.17828588316540561</v>
      </c>
      <c r="K803">
        <v>4.5839297003613823E-52</v>
      </c>
      <c r="L803">
        <v>5.7454940867323133E-52</v>
      </c>
      <c r="M803">
        <v>0.1182525625880345</v>
      </c>
      <c r="N803">
        <v>9.56832176632419E-51</v>
      </c>
      <c r="O803">
        <v>1.191926077524905E-50</v>
      </c>
      <c r="P803">
        <v>4.7467880026362763E-2</v>
      </c>
      <c r="Q803">
        <v>0.6379299540699308</v>
      </c>
      <c r="R803">
        <v>-10.717239743849801</v>
      </c>
      <c r="S803">
        <v>0.35474266649371028</v>
      </c>
      <c r="T803">
        <v>0.28693193749903961</v>
      </c>
      <c r="U803">
        <v>4.2555146084885838</v>
      </c>
      <c r="V803">
        <v>0.12414549193133841</v>
      </c>
      <c r="W803">
        <v>-8.0025195051127618</v>
      </c>
      <c r="X803">
        <v>0.36349967817661122</v>
      </c>
      <c r="Z803" t="s">
        <v>392</v>
      </c>
      <c r="AA803">
        <v>140</v>
      </c>
      <c r="AB803" t="s">
        <v>2208</v>
      </c>
      <c r="AC803" t="str">
        <f>HYPERLINK("plots/20251231112652_3FT6Y119H04_05543_B21P_N_UFLEX98_M5358A8BA201511/dpll_52094/txpa_54159.png","plot")</f>
        <v>plot</v>
      </c>
    </row>
    <row r="804" spans="1:29" x14ac:dyDescent="0.35">
      <c r="A804" t="s">
        <v>47</v>
      </c>
      <c r="B804">
        <v>52094</v>
      </c>
      <c r="C804" t="s">
        <v>53</v>
      </c>
      <c r="D804">
        <v>54160</v>
      </c>
      <c r="E804" t="s">
        <v>180</v>
      </c>
      <c r="F804">
        <v>7139</v>
      </c>
      <c r="G804">
        <v>0.28149887376883881</v>
      </c>
      <c r="H804">
        <v>3.7918640398555244E-130</v>
      </c>
      <c r="I804">
        <v>7.8468370130887769E-130</v>
      </c>
      <c r="J804">
        <v>0.2396585645818097</v>
      </c>
      <c r="K804">
        <v>8.3650748236898541E-94</v>
      </c>
      <c r="L804">
        <v>1.4700495444058079E-93</v>
      </c>
      <c r="M804">
        <v>0.15925749983088039</v>
      </c>
      <c r="N804">
        <v>1.547207436247604E-90</v>
      </c>
      <c r="O804">
        <v>2.709617168143472E-90</v>
      </c>
      <c r="P804">
        <v>7.9241615933124648E-2</v>
      </c>
      <c r="Q804">
        <v>0.67375244914468169</v>
      </c>
      <c r="R804">
        <v>-10.985149179446539</v>
      </c>
      <c r="S804">
        <v>0.28509990384728179</v>
      </c>
      <c r="T804">
        <v>0.22678934455577221</v>
      </c>
      <c r="U804">
        <v>4.2555146084885838</v>
      </c>
      <c r="V804">
        <v>0.12414549193133841</v>
      </c>
      <c r="W804">
        <v>-8.1179857896063883</v>
      </c>
      <c r="X804">
        <v>0.29713557329432427</v>
      </c>
      <c r="Z804" t="s">
        <v>392</v>
      </c>
      <c r="AA804">
        <v>140</v>
      </c>
      <c r="AB804" t="s">
        <v>2209</v>
      </c>
      <c r="AC804" t="str">
        <f>HYPERLINK("plots/20251231112652_3FT6Y119H04_05543_B21P_N_UFLEX98_M5358A8BA201511/dpll_52094/txpa_54160.png","plot")</f>
        <v>plot</v>
      </c>
    </row>
    <row r="805" spans="1:29" x14ac:dyDescent="0.35">
      <c r="A805" t="s">
        <v>47</v>
      </c>
      <c r="B805">
        <v>52094</v>
      </c>
      <c r="C805" t="s">
        <v>53</v>
      </c>
      <c r="D805">
        <v>54161</v>
      </c>
      <c r="E805" t="s">
        <v>181</v>
      </c>
      <c r="F805">
        <v>7139</v>
      </c>
      <c r="G805">
        <v>0.20703678087068089</v>
      </c>
      <c r="H805">
        <v>5.7793110093180409E-70</v>
      </c>
      <c r="I805">
        <v>7.4086237211738233E-70</v>
      </c>
      <c r="J805">
        <v>0.17718105997652131</v>
      </c>
      <c r="K805">
        <v>1.9606956102401711E-51</v>
      </c>
      <c r="L805">
        <v>2.4364526333131541E-51</v>
      </c>
      <c r="M805">
        <v>0.1178285439253238</v>
      </c>
      <c r="N805">
        <v>2.1463987199009241E-50</v>
      </c>
      <c r="O805">
        <v>2.6639514100116732E-50</v>
      </c>
      <c r="P805">
        <v>4.2864228633294338E-2</v>
      </c>
      <c r="Q805">
        <v>0.56950432782218974</v>
      </c>
      <c r="R805">
        <v>-10.504827372413111</v>
      </c>
      <c r="S805">
        <v>0.33406950281261533</v>
      </c>
      <c r="T805">
        <v>0.26442127870107268</v>
      </c>
      <c r="U805">
        <v>4.2555146084885838</v>
      </c>
      <c r="V805">
        <v>0.12414549193133841</v>
      </c>
      <c r="W805">
        <v>-8.0812933857683138</v>
      </c>
      <c r="X805">
        <v>0.34149195441110231</v>
      </c>
      <c r="Z805" t="s">
        <v>392</v>
      </c>
      <c r="AA805">
        <v>140</v>
      </c>
      <c r="AB805" t="s">
        <v>2210</v>
      </c>
      <c r="AC805" t="str">
        <f>HYPERLINK("plots/20251231112652_3FT6Y119H04_05543_B21P_N_UFLEX98_M5358A8BA201511/dpll_52094/txpa_54161.png","plot")</f>
        <v>plot</v>
      </c>
    </row>
    <row r="806" spans="1:29" x14ac:dyDescent="0.35">
      <c r="A806" t="s">
        <v>47</v>
      </c>
      <c r="B806">
        <v>52094</v>
      </c>
      <c r="C806" t="s">
        <v>53</v>
      </c>
      <c r="D806">
        <v>54162</v>
      </c>
      <c r="E806" t="s">
        <v>182</v>
      </c>
      <c r="F806">
        <v>7139</v>
      </c>
      <c r="G806">
        <v>0.16272466674694391</v>
      </c>
      <c r="H806">
        <v>1.4835070483184831E-43</v>
      </c>
      <c r="I806">
        <v>1.6797596919650201E-43</v>
      </c>
      <c r="J806">
        <v>0.1264939034474952</v>
      </c>
      <c r="K806">
        <v>7.4358029941991304E-27</v>
      </c>
      <c r="L806">
        <v>7.9367413011767553E-27</v>
      </c>
      <c r="M806">
        <v>8.3816627456476667E-2</v>
      </c>
      <c r="N806">
        <v>2.4187556197435659E-26</v>
      </c>
      <c r="O806">
        <v>2.578988641871689E-26</v>
      </c>
      <c r="P806">
        <v>2.647931716790396E-2</v>
      </c>
      <c r="Q806">
        <v>0.6861716449900469</v>
      </c>
      <c r="R806">
        <v>-11.913330450921331</v>
      </c>
      <c r="S806">
        <v>0.51647880355775633</v>
      </c>
      <c r="T806">
        <v>0.42657939471318718</v>
      </c>
      <c r="U806">
        <v>4.2555146084885838</v>
      </c>
      <c r="V806">
        <v>0.12414549193133841</v>
      </c>
      <c r="W806">
        <v>-8.9933169917355382</v>
      </c>
      <c r="X806">
        <v>0.52349233905083337</v>
      </c>
      <c r="Z806" t="s">
        <v>392</v>
      </c>
      <c r="AA806">
        <v>140</v>
      </c>
      <c r="AB806" t="s">
        <v>2211</v>
      </c>
      <c r="AC806" t="str">
        <f>HYPERLINK("plots/20251231112652_3FT6Y119H04_05543_B21P_N_UFLEX98_M5358A8BA201511/dpll_52094/txpa_54162.png","plot")</f>
        <v>plot</v>
      </c>
    </row>
    <row r="807" spans="1:29" x14ac:dyDescent="0.35">
      <c r="A807" t="s">
        <v>47</v>
      </c>
      <c r="B807">
        <v>52094</v>
      </c>
      <c r="C807" t="s">
        <v>53</v>
      </c>
      <c r="D807">
        <v>54163</v>
      </c>
      <c r="E807" t="s">
        <v>183</v>
      </c>
      <c r="F807">
        <v>7139</v>
      </c>
      <c r="G807">
        <v>0.14416583130824259</v>
      </c>
      <c r="H807">
        <v>1.835492308085099E-34</v>
      </c>
      <c r="I807">
        <v>1.9884500004255241E-34</v>
      </c>
      <c r="J807">
        <v>0.10752943681473651</v>
      </c>
      <c r="K807">
        <v>8.2173153040872194E-20</v>
      </c>
      <c r="L807">
        <v>8.3995541515568954E-20</v>
      </c>
      <c r="M807">
        <v>7.1207576705538997E-2</v>
      </c>
      <c r="N807">
        <v>1.841167459174782E-19</v>
      </c>
      <c r="O807">
        <v>1.881999802019384E-19</v>
      </c>
      <c r="P807">
        <v>2.0783786916796679E-2</v>
      </c>
      <c r="Q807">
        <v>0.62986583177991851</v>
      </c>
      <c r="R807">
        <v>-5.6091362137884966</v>
      </c>
      <c r="S807">
        <v>0.53669251896972003</v>
      </c>
      <c r="T807">
        <v>0.44681327905557128</v>
      </c>
      <c r="U807">
        <v>4.2555146084885838</v>
      </c>
      <c r="V807">
        <v>0.12414549193133841</v>
      </c>
      <c r="W807">
        <v>-2.9287329652612408</v>
      </c>
      <c r="X807">
        <v>0.54239623097563205</v>
      </c>
      <c r="Z807" t="s">
        <v>392</v>
      </c>
      <c r="AA807">
        <v>140</v>
      </c>
      <c r="AB807" t="s">
        <v>2212</v>
      </c>
      <c r="AC807" t="str">
        <f>HYPERLINK("plots/20251231112652_3FT6Y119H04_05543_B21P_N_UFLEX98_M5358A8BA201511/dpll_52094/txpa_54163.png","plot")</f>
        <v>plot</v>
      </c>
    </row>
    <row r="808" spans="1:29" x14ac:dyDescent="0.35">
      <c r="A808" t="s">
        <v>47</v>
      </c>
      <c r="B808">
        <v>52094</v>
      </c>
      <c r="C808" t="s">
        <v>53</v>
      </c>
      <c r="D808">
        <v>54164</v>
      </c>
      <c r="E808" t="s">
        <v>184</v>
      </c>
      <c r="F808">
        <v>7139</v>
      </c>
      <c r="G808">
        <v>0.25623552824880508</v>
      </c>
      <c r="H808">
        <v>2.0802446241197599E-107</v>
      </c>
      <c r="I808">
        <v>3.5097638084150371E-107</v>
      </c>
      <c r="J808">
        <v>0.23488389355510239</v>
      </c>
      <c r="K808">
        <v>4.4888794220394253E-90</v>
      </c>
      <c r="L808">
        <v>7.7278840983836627E-90</v>
      </c>
      <c r="M808">
        <v>0.15580191055165729</v>
      </c>
      <c r="N808">
        <v>9.6446598350237711E-87</v>
      </c>
      <c r="O808">
        <v>1.6245324041053329E-86</v>
      </c>
      <c r="P808">
        <v>6.5656645936944216E-2</v>
      </c>
      <c r="Q808">
        <v>0.69058325350478655</v>
      </c>
      <c r="R808">
        <v>-5.3273341477602054</v>
      </c>
      <c r="S808">
        <v>0.32339290012958832</v>
      </c>
      <c r="T808">
        <v>0.25373704283852999</v>
      </c>
      <c r="U808">
        <v>4.2555146084885838</v>
      </c>
      <c r="V808">
        <v>0.12414549193133841</v>
      </c>
      <c r="W808">
        <v>-2.3885470240930111</v>
      </c>
      <c r="X808">
        <v>0.33458591129739501</v>
      </c>
      <c r="Z808" t="s">
        <v>392</v>
      </c>
      <c r="AA808">
        <v>140</v>
      </c>
      <c r="AB808" t="s">
        <v>2213</v>
      </c>
      <c r="AC808" t="str">
        <f>HYPERLINK("plots/20251231112652_3FT6Y119H04_05543_B21P_N_UFLEX98_M5358A8BA201511/dpll_52094/txpa_54164.png","plot")</f>
        <v>plot</v>
      </c>
    </row>
    <row r="809" spans="1:29" x14ac:dyDescent="0.35">
      <c r="A809" t="s">
        <v>47</v>
      </c>
      <c r="B809">
        <v>52094</v>
      </c>
      <c r="C809" t="s">
        <v>53</v>
      </c>
      <c r="D809">
        <v>54165</v>
      </c>
      <c r="E809" t="s">
        <v>185</v>
      </c>
      <c r="F809">
        <v>7139</v>
      </c>
      <c r="G809">
        <v>0.19796365912598249</v>
      </c>
      <c r="H809">
        <v>5.2444710195373191E-64</v>
      </c>
      <c r="I809">
        <v>6.5170264875132859E-64</v>
      </c>
      <c r="J809">
        <v>0.17050027697794659</v>
      </c>
      <c r="K809">
        <v>1.04948639409868E-47</v>
      </c>
      <c r="L809">
        <v>1.2729416311196901E-47</v>
      </c>
      <c r="M809">
        <v>0.1137221782855475</v>
      </c>
      <c r="N809">
        <v>4.53544700235419E-47</v>
      </c>
      <c r="O809">
        <v>5.5011283018985032E-47</v>
      </c>
      <c r="P809">
        <v>3.9189610334548201E-2</v>
      </c>
      <c r="Q809">
        <v>0.61574613504882791</v>
      </c>
      <c r="R809">
        <v>-4.6659267563757911</v>
      </c>
      <c r="S809">
        <v>0.37847360923008733</v>
      </c>
      <c r="T809">
        <v>0.30677298579020351</v>
      </c>
      <c r="U809">
        <v>4.2555146084885838</v>
      </c>
      <c r="V809">
        <v>0.12414549193133841</v>
      </c>
      <c r="W809">
        <v>-2.0456100835551201</v>
      </c>
      <c r="X809">
        <v>0.38614211910383978</v>
      </c>
      <c r="Z809" t="s">
        <v>392</v>
      </c>
      <c r="AA809">
        <v>140</v>
      </c>
      <c r="AB809" t="s">
        <v>2214</v>
      </c>
      <c r="AC809" t="str">
        <f>HYPERLINK("plots/20251231112652_3FT6Y119H04_05543_B21P_N_UFLEX98_M5358A8BA201511/dpll_52094/txpa_54165.png","plot")</f>
        <v>plot</v>
      </c>
    </row>
    <row r="810" spans="1:29" x14ac:dyDescent="0.35">
      <c r="A810" t="s">
        <v>47</v>
      </c>
      <c r="B810">
        <v>52094</v>
      </c>
      <c r="C810" t="s">
        <v>53</v>
      </c>
      <c r="D810">
        <v>54166</v>
      </c>
      <c r="E810" t="s">
        <v>186</v>
      </c>
      <c r="F810">
        <v>7139</v>
      </c>
      <c r="G810">
        <v>0.28642002409156969</v>
      </c>
      <c r="H810">
        <v>7.2458651811121546E-135</v>
      </c>
      <c r="I810">
        <v>1.5500648298834859E-134</v>
      </c>
      <c r="J810">
        <v>0.25654696533422522</v>
      </c>
      <c r="K810">
        <v>1.128952229592082E-107</v>
      </c>
      <c r="L810">
        <v>2.2358546109499431E-107</v>
      </c>
      <c r="M810">
        <v>0.1715301136211676</v>
      </c>
      <c r="N810">
        <v>9.9021101102558989E-105</v>
      </c>
      <c r="O810">
        <v>1.9572591913839141E-104</v>
      </c>
      <c r="P810">
        <v>8.2036430200615393E-2</v>
      </c>
      <c r="Q810">
        <v>0.73463203100668928</v>
      </c>
      <c r="R810">
        <v>-5.5188428117274384</v>
      </c>
      <c r="S810">
        <v>0.30505611917346331</v>
      </c>
      <c r="T810">
        <v>0.24316995734923821</v>
      </c>
      <c r="U810">
        <v>4.2555146084885838</v>
      </c>
      <c r="V810">
        <v>0.12414549193133841</v>
      </c>
      <c r="W810">
        <v>-2.392605471914834</v>
      </c>
      <c r="X810">
        <v>0.31841787307680081</v>
      </c>
      <c r="Z810" t="s">
        <v>392</v>
      </c>
      <c r="AA810">
        <v>140</v>
      </c>
      <c r="AB810" t="s">
        <v>2215</v>
      </c>
      <c r="AC810" t="str">
        <f>HYPERLINK("plots/20251231112652_3FT6Y119H04_05543_B21P_N_UFLEX98_M5358A8BA201511/dpll_52094/txpa_54166.png","plot")</f>
        <v>plot</v>
      </c>
    </row>
    <row r="811" spans="1:29" x14ac:dyDescent="0.35">
      <c r="A811" t="s">
        <v>47</v>
      </c>
      <c r="B811">
        <v>52094</v>
      </c>
      <c r="C811" t="s">
        <v>53</v>
      </c>
      <c r="D811">
        <v>54167</v>
      </c>
      <c r="E811" t="s">
        <v>187</v>
      </c>
      <c r="F811">
        <v>7139</v>
      </c>
      <c r="G811">
        <v>0.2212893332339621</v>
      </c>
      <c r="H811">
        <v>6.5580684973878923E-80</v>
      </c>
      <c r="I811">
        <v>8.9380127101496275E-80</v>
      </c>
      <c r="J811">
        <v>0.1807212590857048</v>
      </c>
      <c r="K811">
        <v>1.8000327204469899E-53</v>
      </c>
      <c r="L811">
        <v>2.273017656952986E-53</v>
      </c>
      <c r="M811">
        <v>0.1200270355381584</v>
      </c>
      <c r="N811">
        <v>3.133852341652854E-52</v>
      </c>
      <c r="O811">
        <v>3.9474860551999923E-52</v>
      </c>
      <c r="P811">
        <v>4.896896900313151E-2</v>
      </c>
      <c r="Q811">
        <v>0.62665818501223902</v>
      </c>
      <c r="R811">
        <v>-4.813107727804681</v>
      </c>
      <c r="S811">
        <v>0.34282155042793311</v>
      </c>
      <c r="T811">
        <v>0.27800606341260747</v>
      </c>
      <c r="U811">
        <v>4.2555146084885838</v>
      </c>
      <c r="V811">
        <v>0.12414549193133841</v>
      </c>
      <c r="W811">
        <v>-2.1463546669561562</v>
      </c>
      <c r="X811">
        <v>0.35156140386076379</v>
      </c>
      <c r="Z811" t="s">
        <v>392</v>
      </c>
      <c r="AA811">
        <v>140</v>
      </c>
      <c r="AB811" t="s">
        <v>2216</v>
      </c>
      <c r="AC811" t="str">
        <f>HYPERLINK("plots/20251231112652_3FT6Y119H04_05543_B21P_N_UFLEX98_M5358A8BA201511/dpll_52094/txpa_54167.png","plot")</f>
        <v>plot</v>
      </c>
    </row>
    <row r="812" spans="1:29" x14ac:dyDescent="0.35">
      <c r="A812" t="s">
        <v>47</v>
      </c>
      <c r="B812">
        <v>52094</v>
      </c>
      <c r="C812" t="s">
        <v>53</v>
      </c>
      <c r="D812">
        <v>54168</v>
      </c>
      <c r="E812" t="s">
        <v>188</v>
      </c>
      <c r="F812">
        <v>7139</v>
      </c>
      <c r="G812">
        <v>0.29374680107628132</v>
      </c>
      <c r="H812">
        <v>4.5292553416806068E-142</v>
      </c>
      <c r="I812">
        <v>1.0485536338959209E-141</v>
      </c>
      <c r="J812">
        <v>0.25369695471467502</v>
      </c>
      <c r="K812">
        <v>2.9383367652611291E-105</v>
      </c>
      <c r="L812">
        <v>5.6860180915549329E-105</v>
      </c>
      <c r="M812">
        <v>0.1688024628471031</v>
      </c>
      <c r="N812">
        <v>1.7348121521656952E-101</v>
      </c>
      <c r="O812">
        <v>3.3442956697642867E-101</v>
      </c>
      <c r="P812">
        <v>8.6287183142548393E-2</v>
      </c>
      <c r="Q812">
        <v>0.67430060487466348</v>
      </c>
      <c r="R812">
        <v>-5.1209503577897646</v>
      </c>
      <c r="S812">
        <v>0.27238663620273551</v>
      </c>
      <c r="T812">
        <v>0.21687454673297141</v>
      </c>
      <c r="U812">
        <v>4.2555146084885838</v>
      </c>
      <c r="V812">
        <v>0.12414549193133841</v>
      </c>
      <c r="W812">
        <v>-2.2514542832329458</v>
      </c>
      <c r="X812">
        <v>0.28497801506279419</v>
      </c>
      <c r="Z812" t="s">
        <v>392</v>
      </c>
      <c r="AA812">
        <v>140</v>
      </c>
      <c r="AB812" t="s">
        <v>2217</v>
      </c>
      <c r="AC812" t="str">
        <f>HYPERLINK("plots/20251231112652_3FT6Y119H04_05543_B21P_N_UFLEX98_M5358A8BA201511/dpll_52094/txpa_54168.png","plot")</f>
        <v>plot</v>
      </c>
    </row>
    <row r="813" spans="1:29" x14ac:dyDescent="0.35">
      <c r="A813" t="s">
        <v>47</v>
      </c>
      <c r="B813">
        <v>52094</v>
      </c>
      <c r="C813" t="s">
        <v>53</v>
      </c>
      <c r="D813">
        <v>54169</v>
      </c>
      <c r="E813" t="s">
        <v>189</v>
      </c>
      <c r="F813">
        <v>7139</v>
      </c>
      <c r="G813">
        <v>0.21287974983768451</v>
      </c>
      <c r="H813">
        <v>5.9155883590032154E-74</v>
      </c>
      <c r="I813">
        <v>7.7498793230352211E-74</v>
      </c>
      <c r="J813">
        <v>0.18407901222408199</v>
      </c>
      <c r="K813">
        <v>1.9216519914563391E-55</v>
      </c>
      <c r="L813">
        <v>2.4571943497310559E-55</v>
      </c>
      <c r="M813">
        <v>0.1225559094822187</v>
      </c>
      <c r="N813">
        <v>2.2324601593945991E-54</v>
      </c>
      <c r="O813">
        <v>2.8474397504731109E-54</v>
      </c>
      <c r="P813">
        <v>4.5317787890955107E-2</v>
      </c>
      <c r="Q813">
        <v>0.56696124859403241</v>
      </c>
      <c r="R813">
        <v>-4.6343332777158466</v>
      </c>
      <c r="S813">
        <v>0.32303455027322198</v>
      </c>
      <c r="T813">
        <v>0.25544231455246558</v>
      </c>
      <c r="U813">
        <v>4.2555146084885838</v>
      </c>
      <c r="V813">
        <v>0.12414549193133841</v>
      </c>
      <c r="W813">
        <v>-2.2216214018770142</v>
      </c>
      <c r="X813">
        <v>0.33063587854823828</v>
      </c>
      <c r="Z813" t="s">
        <v>392</v>
      </c>
      <c r="AA813">
        <v>140</v>
      </c>
      <c r="AB813" t="s">
        <v>2218</v>
      </c>
      <c r="AC813" t="str">
        <f>HYPERLINK("plots/20251231112652_3FT6Y119H04_05543_B21P_N_UFLEX98_M5358A8BA201511/dpll_52094/txpa_54169.png","plot")</f>
        <v>plot</v>
      </c>
    </row>
    <row r="814" spans="1:29" x14ac:dyDescent="0.35">
      <c r="A814" t="s">
        <v>47</v>
      </c>
      <c r="B814">
        <v>52094</v>
      </c>
      <c r="C814" t="s">
        <v>53</v>
      </c>
      <c r="D814">
        <v>54170</v>
      </c>
      <c r="E814" t="s">
        <v>190</v>
      </c>
      <c r="F814">
        <v>7139</v>
      </c>
      <c r="G814">
        <v>0.16172706976133691</v>
      </c>
      <c r="H814">
        <v>4.8877753573524153E-43</v>
      </c>
      <c r="I814">
        <v>5.5130191461127349E-43</v>
      </c>
      <c r="J814">
        <v>0.12696893716591889</v>
      </c>
      <c r="K814">
        <v>4.7872114620981951E-27</v>
      </c>
      <c r="L814">
        <v>5.1476483802413252E-27</v>
      </c>
      <c r="M814">
        <v>8.433511717959738E-2</v>
      </c>
      <c r="N814">
        <v>1.1882411297949931E-26</v>
      </c>
      <c r="O814">
        <v>1.279062107868496E-26</v>
      </c>
      <c r="P814">
        <v>2.6155645093588319E-2</v>
      </c>
      <c r="Q814">
        <v>0.67571737513828289</v>
      </c>
      <c r="R814">
        <v>-5.9411744876268422</v>
      </c>
      <c r="S814">
        <v>0.51183228741196285</v>
      </c>
      <c r="T814">
        <v>0.42635398528787333</v>
      </c>
      <c r="U814">
        <v>4.2555146084885838</v>
      </c>
      <c r="V814">
        <v>0.12414549193133841</v>
      </c>
      <c r="W814">
        <v>-3.0656493265163189</v>
      </c>
      <c r="X814">
        <v>0.51869650558121527</v>
      </c>
      <c r="Z814" t="s">
        <v>392</v>
      </c>
      <c r="AA814">
        <v>140</v>
      </c>
      <c r="AB814" t="s">
        <v>2219</v>
      </c>
      <c r="AC814" t="str">
        <f>HYPERLINK("plots/20251231112652_3FT6Y119H04_05543_B21P_N_UFLEX98_M5358A8BA201511/dpll_52094/txpa_54170.png","plot")</f>
        <v>plot</v>
      </c>
    </row>
    <row r="815" spans="1:29" x14ac:dyDescent="0.35">
      <c r="A815" t="s">
        <v>47</v>
      </c>
      <c r="B815">
        <v>52094</v>
      </c>
      <c r="C815" t="s">
        <v>53</v>
      </c>
      <c r="D815">
        <v>54171</v>
      </c>
      <c r="E815" t="s">
        <v>191</v>
      </c>
      <c r="F815">
        <v>7139</v>
      </c>
      <c r="G815">
        <v>0.1494984983932931</v>
      </c>
      <c r="H815">
        <v>5.8573805129468737E-37</v>
      </c>
      <c r="I815">
        <v>6.4558520001392717E-37</v>
      </c>
      <c r="J815">
        <v>0.1128785204903357</v>
      </c>
      <c r="K815">
        <v>1.107821143046518E-21</v>
      </c>
      <c r="L815">
        <v>1.15807282376203E-21</v>
      </c>
      <c r="M815">
        <v>7.4780207329717616E-2</v>
      </c>
      <c r="N815">
        <v>2.666038841029217E-21</v>
      </c>
      <c r="O815">
        <v>2.784102353041839E-21</v>
      </c>
      <c r="P815">
        <v>2.2349801021849459E-2</v>
      </c>
      <c r="Q815">
        <v>0.63044308816365013</v>
      </c>
      <c r="R815">
        <v>-2.627575999844955</v>
      </c>
      <c r="S815">
        <v>0.51760842696218823</v>
      </c>
      <c r="T815">
        <v>0.43189848037223788</v>
      </c>
      <c r="U815">
        <v>4.2555146084885838</v>
      </c>
      <c r="V815">
        <v>0.12414549193133841</v>
      </c>
      <c r="W815">
        <v>5.5283771656114297E-2</v>
      </c>
      <c r="X815">
        <v>0.52352811670983157</v>
      </c>
      <c r="Z815" t="s">
        <v>392</v>
      </c>
      <c r="AA815">
        <v>140</v>
      </c>
      <c r="AB815" t="s">
        <v>2220</v>
      </c>
      <c r="AC815" t="str">
        <f>HYPERLINK("plots/20251231112652_3FT6Y119H04_05543_B21P_N_UFLEX98_M5358A8BA201511/dpll_52094/txpa_54171.png","plot")</f>
        <v>plot</v>
      </c>
    </row>
    <row r="816" spans="1:29" x14ac:dyDescent="0.35">
      <c r="A816" t="s">
        <v>47</v>
      </c>
      <c r="B816">
        <v>52094</v>
      </c>
      <c r="C816" t="s">
        <v>53</v>
      </c>
      <c r="D816">
        <v>54172</v>
      </c>
      <c r="E816" t="s">
        <v>192</v>
      </c>
      <c r="F816">
        <v>7139</v>
      </c>
      <c r="G816">
        <v>0.27121589436361798</v>
      </c>
      <c r="H816">
        <v>1.354751386823126E-120</v>
      </c>
      <c r="I816">
        <v>2.5725054423944749E-120</v>
      </c>
      <c r="J816">
        <v>0.25155665654235948</v>
      </c>
      <c r="K816">
        <v>1.827840692629225E-103</v>
      </c>
      <c r="L816">
        <v>3.5102849665265788E-103</v>
      </c>
      <c r="M816">
        <v>0.16728691864170231</v>
      </c>
      <c r="N816">
        <v>1.038236475591124E-99</v>
      </c>
      <c r="O816">
        <v>1.9714827457853932E-99</v>
      </c>
      <c r="P816">
        <v>7.3558061355457185E-2</v>
      </c>
      <c r="Q816">
        <v>0.69829951176833538</v>
      </c>
      <c r="R816">
        <v>-2.406312659090494</v>
      </c>
      <c r="S816">
        <v>0.30763535048506069</v>
      </c>
      <c r="T816">
        <v>0.24129055137242431</v>
      </c>
      <c r="U816">
        <v>4.2555146084885838</v>
      </c>
      <c r="V816">
        <v>0.12414549193133841</v>
      </c>
      <c r="W816">
        <v>0.56531111434010362</v>
      </c>
      <c r="X816">
        <v>0.31963737452520952</v>
      </c>
      <c r="Z816" t="s">
        <v>392</v>
      </c>
      <c r="AA816">
        <v>140</v>
      </c>
      <c r="AB816" t="s">
        <v>2221</v>
      </c>
      <c r="AC816" t="str">
        <f>HYPERLINK("plots/20251231112652_3FT6Y119H04_05543_B21P_N_UFLEX98_M5358A8BA201511/dpll_52094/txpa_54172.png","plot")</f>
        <v>plot</v>
      </c>
    </row>
    <row r="817" spans="1:29" x14ac:dyDescent="0.35">
      <c r="A817" t="s">
        <v>47</v>
      </c>
      <c r="B817">
        <v>52094</v>
      </c>
      <c r="C817" t="s">
        <v>53</v>
      </c>
      <c r="D817">
        <v>54173</v>
      </c>
      <c r="E817" t="s">
        <v>193</v>
      </c>
      <c r="F817">
        <v>7139</v>
      </c>
      <c r="G817">
        <v>0.2106034335074975</v>
      </c>
      <c r="H817">
        <v>2.1914153373891719E-72</v>
      </c>
      <c r="I817">
        <v>2.8415539029573151E-72</v>
      </c>
      <c r="J817">
        <v>0.1835054588012974</v>
      </c>
      <c r="K817">
        <v>4.199340215697782E-55</v>
      </c>
      <c r="L817">
        <v>5.3426988440621707E-55</v>
      </c>
      <c r="M817">
        <v>0.1225784944634199</v>
      </c>
      <c r="N817">
        <v>2.1283288593112179E-54</v>
      </c>
      <c r="O817">
        <v>2.7180421452664668E-54</v>
      </c>
      <c r="P817">
        <v>4.4353806205146909E-2</v>
      </c>
      <c r="Q817">
        <v>0.62477086795995684</v>
      </c>
      <c r="R817">
        <v>-1.7798953765465599</v>
      </c>
      <c r="S817">
        <v>0.36000159537306681</v>
      </c>
      <c r="T817">
        <v>0.29171087319099298</v>
      </c>
      <c r="U817">
        <v>4.2555146084885838</v>
      </c>
      <c r="V817">
        <v>0.12414549193133841</v>
      </c>
      <c r="W817">
        <v>0.87882617901512805</v>
      </c>
      <c r="X817">
        <v>0.36828690518237378</v>
      </c>
      <c r="Z817" t="s">
        <v>392</v>
      </c>
      <c r="AA817">
        <v>140</v>
      </c>
      <c r="AB817" t="s">
        <v>2222</v>
      </c>
      <c r="AC817" t="str">
        <f>HYPERLINK("plots/20251231112652_3FT6Y119H04_05543_B21P_N_UFLEX98_M5358A8BA201511/dpll_52094/txpa_54173.png","plot")</f>
        <v>plot</v>
      </c>
    </row>
    <row r="818" spans="1:29" x14ac:dyDescent="0.35">
      <c r="A818" t="s">
        <v>47</v>
      </c>
      <c r="B818">
        <v>52094</v>
      </c>
      <c r="C818" t="s">
        <v>53</v>
      </c>
      <c r="D818">
        <v>54174</v>
      </c>
      <c r="E818" t="s">
        <v>194</v>
      </c>
      <c r="F818">
        <v>7139</v>
      </c>
      <c r="G818">
        <v>0.300656196247574</v>
      </c>
      <c r="H818">
        <v>4.6162964834646381E-149</v>
      </c>
      <c r="I818">
        <v>1.152937102027868E-148</v>
      </c>
      <c r="J818">
        <v>0.27270358742574341</v>
      </c>
      <c r="K818">
        <v>5.9603529630905338E-122</v>
      </c>
      <c r="L818">
        <v>1.3167315696239221E-121</v>
      </c>
      <c r="M818">
        <v>0.1826734812862939</v>
      </c>
      <c r="N818">
        <v>1.609733299101566E-118</v>
      </c>
      <c r="O818">
        <v>3.556142843766858E-118</v>
      </c>
      <c r="P818">
        <v>9.0394148342059735E-2</v>
      </c>
      <c r="Q818">
        <v>0.7358694735154141</v>
      </c>
      <c r="R818">
        <v>-2.5681658424845271</v>
      </c>
      <c r="S818">
        <v>0.28977291250036752</v>
      </c>
      <c r="T818">
        <v>0.2307915819203584</v>
      </c>
      <c r="U818">
        <v>4.2555146084885838</v>
      </c>
      <c r="V818">
        <v>0.12414549193133841</v>
      </c>
      <c r="W818">
        <v>0.56333745200112062</v>
      </c>
      <c r="X818">
        <v>0.30385163827323969</v>
      </c>
      <c r="Z818" t="s">
        <v>392</v>
      </c>
      <c r="AA818">
        <v>140</v>
      </c>
      <c r="AB818" t="s">
        <v>2223</v>
      </c>
      <c r="AC818" t="str">
        <f>HYPERLINK("plots/20251231112652_3FT6Y119H04_05543_B21P_N_UFLEX98_M5358A8BA201511/dpll_52094/txpa_54174.png","plot")</f>
        <v>plot</v>
      </c>
    </row>
    <row r="819" spans="1:29" x14ac:dyDescent="0.35">
      <c r="A819" t="s">
        <v>47</v>
      </c>
      <c r="B819">
        <v>52094</v>
      </c>
      <c r="C819" t="s">
        <v>53</v>
      </c>
      <c r="D819">
        <v>54175</v>
      </c>
      <c r="E819" t="s">
        <v>195</v>
      </c>
      <c r="F819">
        <v>7139</v>
      </c>
      <c r="G819">
        <v>0.23390875289360799</v>
      </c>
      <c r="H819">
        <v>2.5327209685784299E-89</v>
      </c>
      <c r="I819">
        <v>3.7274006707380663E-89</v>
      </c>
      <c r="J819">
        <v>0.19448653243248529</v>
      </c>
      <c r="K819">
        <v>8.4502368684086659E-62</v>
      </c>
      <c r="L819">
        <v>1.1334047863183049E-61</v>
      </c>
      <c r="M819">
        <v>0.12939441978156149</v>
      </c>
      <c r="N819">
        <v>2.0784885792001319E-60</v>
      </c>
      <c r="O819">
        <v>2.7767950188523498E-60</v>
      </c>
      <c r="P819">
        <v>5.4713304680242963E-2</v>
      </c>
      <c r="Q819">
        <v>0.63244595891738609</v>
      </c>
      <c r="R819">
        <v>-1.9011135975804241</v>
      </c>
      <c r="S819">
        <v>0.32633169423988978</v>
      </c>
      <c r="T819">
        <v>0.26455897310924642</v>
      </c>
      <c r="U819">
        <v>4.2555146084885838</v>
      </c>
      <c r="V819">
        <v>0.12414549193133841</v>
      </c>
      <c r="W819">
        <v>0.79026941967208297</v>
      </c>
      <c r="X819">
        <v>0.33566642427228088</v>
      </c>
      <c r="Z819" t="s">
        <v>392</v>
      </c>
      <c r="AA819">
        <v>140</v>
      </c>
      <c r="AB819" t="s">
        <v>2224</v>
      </c>
      <c r="AC819" t="str">
        <f>HYPERLINK("plots/20251231112652_3FT6Y119H04_05543_B21P_N_UFLEX98_M5358A8BA201511/dpll_52094/txpa_54175.png","plot")</f>
        <v>plot</v>
      </c>
    </row>
    <row r="820" spans="1:29" x14ac:dyDescent="0.35">
      <c r="A820" t="s">
        <v>47</v>
      </c>
      <c r="B820">
        <v>52094</v>
      </c>
      <c r="C820" t="s">
        <v>53</v>
      </c>
      <c r="D820">
        <v>54176</v>
      </c>
      <c r="E820" t="s">
        <v>196</v>
      </c>
      <c r="F820">
        <v>7139</v>
      </c>
      <c r="G820">
        <v>0.31056700719232888</v>
      </c>
      <c r="H820">
        <v>1.9707612001903741E-159</v>
      </c>
      <c r="I820">
        <v>5.4303039592202166E-159</v>
      </c>
      <c r="J820">
        <v>0.27265124089223008</v>
      </c>
      <c r="K820">
        <v>6.6550459002751529E-122</v>
      </c>
      <c r="L820">
        <v>1.467003596278045E-121</v>
      </c>
      <c r="M820">
        <v>0.1818646204151925</v>
      </c>
      <c r="N820">
        <v>1.7262747016910141E-117</v>
      </c>
      <c r="O820">
        <v>3.7402618536638653E-117</v>
      </c>
      <c r="P820">
        <v>9.6451865956400096E-2</v>
      </c>
      <c r="Q820">
        <v>0.68002968571324007</v>
      </c>
      <c r="R820">
        <v>-2.2036548551026192</v>
      </c>
      <c r="S820">
        <v>0.25837395665404311</v>
      </c>
      <c r="T820">
        <v>0.20557956085755</v>
      </c>
      <c r="U820">
        <v>4.2555146084885838</v>
      </c>
      <c r="V820">
        <v>0.12414549193133841</v>
      </c>
      <c r="W820">
        <v>0.69022140665597431</v>
      </c>
      <c r="X820">
        <v>0.27183383265338967</v>
      </c>
      <c r="Z820" t="s">
        <v>392</v>
      </c>
      <c r="AA820">
        <v>140</v>
      </c>
      <c r="AB820" t="s">
        <v>2225</v>
      </c>
      <c r="AC820" t="str">
        <f>HYPERLINK("plots/20251231112652_3FT6Y119H04_05543_B21P_N_UFLEX98_M5358A8BA201511/dpll_52094/txpa_54176.png","plot")</f>
        <v>plot</v>
      </c>
    </row>
    <row r="821" spans="1:29" x14ac:dyDescent="0.35">
      <c r="A821" t="s">
        <v>47</v>
      </c>
      <c r="B821">
        <v>52094</v>
      </c>
      <c r="C821" t="s">
        <v>53</v>
      </c>
      <c r="D821">
        <v>54177</v>
      </c>
      <c r="E821" t="s">
        <v>197</v>
      </c>
      <c r="F821">
        <v>7139</v>
      </c>
      <c r="G821">
        <v>0.22603864331656789</v>
      </c>
      <c r="H821">
        <v>2.1963088017240142E-83</v>
      </c>
      <c r="I821">
        <v>3.0718029309629661E-83</v>
      </c>
      <c r="J821">
        <v>0.1982212491096132</v>
      </c>
      <c r="K821">
        <v>3.5852631393476198E-64</v>
      </c>
      <c r="L821">
        <v>4.8929432345874663E-64</v>
      </c>
      <c r="M821">
        <v>0.1321922483018792</v>
      </c>
      <c r="N821">
        <v>5.7194949857385634E-63</v>
      </c>
      <c r="O821">
        <v>7.7846549201864467E-63</v>
      </c>
      <c r="P821">
        <v>5.1093468272394603E-2</v>
      </c>
      <c r="Q821">
        <v>0.57667506275397584</v>
      </c>
      <c r="R821">
        <v>-1.7382576670420911</v>
      </c>
      <c r="S821">
        <v>0.30850395225099297</v>
      </c>
      <c r="T821">
        <v>0.24396254515959129</v>
      </c>
      <c r="U821">
        <v>4.2555146084885838</v>
      </c>
      <c r="V821">
        <v>0.12414549193133841</v>
      </c>
      <c r="W821">
        <v>0.71579148685852367</v>
      </c>
      <c r="X821">
        <v>0.31672287667141708</v>
      </c>
      <c r="Z821" t="s">
        <v>392</v>
      </c>
      <c r="AA821">
        <v>140</v>
      </c>
      <c r="AB821" t="s">
        <v>2226</v>
      </c>
      <c r="AC821" t="str">
        <f>HYPERLINK("plots/20251231112652_3FT6Y119H04_05543_B21P_N_UFLEX98_M5358A8BA201511/dpll_52094/txpa_54177.png","plot")</f>
        <v>plot</v>
      </c>
    </row>
    <row r="822" spans="1:29" x14ac:dyDescent="0.35">
      <c r="A822" t="s">
        <v>47</v>
      </c>
      <c r="B822">
        <v>52094</v>
      </c>
      <c r="C822" t="s">
        <v>53</v>
      </c>
      <c r="D822">
        <v>54178</v>
      </c>
      <c r="E822" t="s">
        <v>198</v>
      </c>
      <c r="F822">
        <v>7139</v>
      </c>
      <c r="G822">
        <v>0.16761985157903589</v>
      </c>
      <c r="H822">
        <v>3.8202787867874901E-46</v>
      </c>
      <c r="I822">
        <v>4.3721926521473093E-46</v>
      </c>
      <c r="J822">
        <v>0.13249527056186439</v>
      </c>
      <c r="K822">
        <v>2.5212154019377939E-29</v>
      </c>
      <c r="L822">
        <v>2.7371653292986333E-29</v>
      </c>
      <c r="M822">
        <v>8.808991434739849E-2</v>
      </c>
      <c r="N822">
        <v>6.2942316050692612E-29</v>
      </c>
      <c r="O822">
        <v>6.8333520851608468E-29</v>
      </c>
      <c r="P822">
        <v>2.8096414643378032E-2</v>
      </c>
      <c r="Q822">
        <v>0.67623431758961494</v>
      </c>
      <c r="R822">
        <v>-2.9456879184151972</v>
      </c>
      <c r="S822">
        <v>0.49372359376230052</v>
      </c>
      <c r="T822">
        <v>0.41257145076912399</v>
      </c>
      <c r="U822">
        <v>4.2555146084885838</v>
      </c>
      <c r="V822">
        <v>0.12414549193133841</v>
      </c>
      <c r="W822">
        <v>-6.7962901151281688E-2</v>
      </c>
      <c r="X822">
        <v>0.50084426890469447</v>
      </c>
      <c r="Z822" t="s">
        <v>392</v>
      </c>
      <c r="AA822">
        <v>140</v>
      </c>
      <c r="AB822" t="s">
        <v>2227</v>
      </c>
      <c r="AC822" t="str">
        <f>HYPERLINK("plots/20251231112652_3FT6Y119H04_05543_B21P_N_UFLEX98_M5358A8BA201511/dpll_52094/txpa_54178.png","plot")</f>
        <v>plot</v>
      </c>
    </row>
    <row r="823" spans="1:29" x14ac:dyDescent="0.35">
      <c r="A823" t="s">
        <v>47</v>
      </c>
      <c r="B823">
        <v>52094</v>
      </c>
      <c r="C823" t="s">
        <v>53</v>
      </c>
      <c r="D823">
        <v>54179</v>
      </c>
      <c r="E823" t="s">
        <v>199</v>
      </c>
      <c r="F823">
        <v>7139</v>
      </c>
      <c r="G823">
        <v>0.16303398597994961</v>
      </c>
      <c r="H823">
        <v>1.023425951735234E-43</v>
      </c>
      <c r="I823">
        <v>1.1620984491148119E-43</v>
      </c>
      <c r="J823">
        <v>0.12681565637674039</v>
      </c>
      <c r="K823">
        <v>5.519147147031923E-27</v>
      </c>
      <c r="L823">
        <v>5.9158723119348513E-27</v>
      </c>
      <c r="M823">
        <v>8.4198387386855159E-2</v>
      </c>
      <c r="N823">
        <v>1.430144209950757E-26</v>
      </c>
      <c r="O823">
        <v>1.5329452736681469E-26</v>
      </c>
      <c r="P823">
        <v>2.6580080584510411E-2</v>
      </c>
      <c r="Q823">
        <v>0.63401210522379237</v>
      </c>
      <c r="R823">
        <v>0.76662981776204076</v>
      </c>
      <c r="S823">
        <v>0.47628845268683662</v>
      </c>
      <c r="T823">
        <v>0.39801745524281268</v>
      </c>
      <c r="U823">
        <v>4.2555146084885838</v>
      </c>
      <c r="V823">
        <v>0.12414549193133841</v>
      </c>
      <c r="W823">
        <v>3.4646775935004901</v>
      </c>
      <c r="X823">
        <v>0.48278120798145202</v>
      </c>
      <c r="Z823" t="s">
        <v>392</v>
      </c>
      <c r="AA823">
        <v>140</v>
      </c>
      <c r="AB823" t="s">
        <v>2228</v>
      </c>
      <c r="AC823" t="str">
        <f>HYPERLINK("plots/20251231112652_3FT6Y119H04_05543_B21P_N_UFLEX98_M5358A8BA201511/dpll_52094/txpa_54179.png","plot")</f>
        <v>plot</v>
      </c>
    </row>
    <row r="824" spans="1:29" x14ac:dyDescent="0.35">
      <c r="A824" t="s">
        <v>47</v>
      </c>
      <c r="B824">
        <v>52094</v>
      </c>
      <c r="C824" t="s">
        <v>53</v>
      </c>
      <c r="D824">
        <v>54180</v>
      </c>
      <c r="E824" t="s">
        <v>200</v>
      </c>
      <c r="F824">
        <v>7139</v>
      </c>
      <c r="G824">
        <v>0.29664536632836452</v>
      </c>
      <c r="H824">
        <v>5.5779683292126798E-145</v>
      </c>
      <c r="I824">
        <v>1.3402985511425731E-144</v>
      </c>
      <c r="J824">
        <v>0.2799210153151076</v>
      </c>
      <c r="K824">
        <v>1.1791720859448231E-128</v>
      </c>
      <c r="L824">
        <v>2.813365870936588E-128</v>
      </c>
      <c r="M824">
        <v>0.18680578716317051</v>
      </c>
      <c r="N824">
        <v>7.464385111280142E-124</v>
      </c>
      <c r="O824">
        <v>1.7241199323093539E-123</v>
      </c>
      <c r="P824">
        <v>8.7998473364089558E-2</v>
      </c>
      <c r="Q824">
        <v>0.70610256477677524</v>
      </c>
      <c r="R824">
        <v>0.91850810325786503</v>
      </c>
      <c r="S824">
        <v>0.28218149969912493</v>
      </c>
      <c r="T824">
        <v>0.22101859324719589</v>
      </c>
      <c r="U824">
        <v>4.2555146084885838</v>
      </c>
      <c r="V824">
        <v>0.12414549193133841</v>
      </c>
      <c r="W824">
        <v>3.9233378827566892</v>
      </c>
      <c r="X824">
        <v>0.29550250975826797</v>
      </c>
      <c r="Z824" t="s">
        <v>392</v>
      </c>
      <c r="AA824">
        <v>140</v>
      </c>
      <c r="AB824" t="s">
        <v>2229</v>
      </c>
      <c r="AC824" t="str">
        <f>HYPERLINK("plots/20251231112652_3FT6Y119H04_05543_B21P_N_UFLEX98_M5358A8BA201511/dpll_52094/txpa_54180.png","plot")</f>
        <v>plot</v>
      </c>
    </row>
    <row r="825" spans="1:29" x14ac:dyDescent="0.35">
      <c r="A825" t="s">
        <v>47</v>
      </c>
      <c r="B825">
        <v>52094</v>
      </c>
      <c r="C825" t="s">
        <v>53</v>
      </c>
      <c r="D825">
        <v>54181</v>
      </c>
      <c r="E825" t="s">
        <v>201</v>
      </c>
      <c r="F825">
        <v>7139</v>
      </c>
      <c r="G825">
        <v>0.23328321696138191</v>
      </c>
      <c r="H825">
        <v>7.6524620536107338E-89</v>
      </c>
      <c r="I825">
        <v>1.118097481608254E-88</v>
      </c>
      <c r="J825">
        <v>0.2077715444294885</v>
      </c>
      <c r="K825">
        <v>1.848263140424455E-70</v>
      </c>
      <c r="L825">
        <v>2.650832849208483E-70</v>
      </c>
      <c r="M825">
        <v>0.1392642670782657</v>
      </c>
      <c r="N825">
        <v>1.1002480025080639E-69</v>
      </c>
      <c r="O825">
        <v>1.586986450274789E-69</v>
      </c>
      <c r="P825">
        <v>5.4421059315851179E-2</v>
      </c>
      <c r="Q825">
        <v>0.63667461242209655</v>
      </c>
      <c r="R825">
        <v>1.4843136607423311</v>
      </c>
      <c r="S825">
        <v>0.32944541465181348</v>
      </c>
      <c r="T825">
        <v>0.26639773670778039</v>
      </c>
      <c r="U825">
        <v>4.2555146084885838</v>
      </c>
      <c r="V825">
        <v>0.12414549193133841</v>
      </c>
      <c r="W825">
        <v>4.1936917747583697</v>
      </c>
      <c r="X825">
        <v>0.33881684241528559</v>
      </c>
      <c r="Z825" t="s">
        <v>392</v>
      </c>
      <c r="AA825">
        <v>140</v>
      </c>
      <c r="AB825" t="s">
        <v>2230</v>
      </c>
      <c r="AC825" t="str">
        <f>HYPERLINK("plots/20251231112652_3FT6Y119H04_05543_B21P_N_UFLEX98_M5358A8BA201511/dpll_52094/txpa_54181.png","plot")</f>
        <v>plot</v>
      </c>
    </row>
    <row r="826" spans="1:29" x14ac:dyDescent="0.35">
      <c r="A826" t="s">
        <v>47</v>
      </c>
      <c r="B826">
        <v>52094</v>
      </c>
      <c r="C826" t="s">
        <v>53</v>
      </c>
      <c r="D826">
        <v>54182</v>
      </c>
      <c r="E826" t="s">
        <v>202</v>
      </c>
      <c r="F826">
        <v>7139</v>
      </c>
      <c r="G826">
        <v>0.3263619071170798</v>
      </c>
      <c r="H826">
        <v>8.3350237255183554E-177</v>
      </c>
      <c r="I826">
        <v>2.87473267267878E-176</v>
      </c>
      <c r="J826">
        <v>0.30235053769660508</v>
      </c>
      <c r="K826">
        <v>8.3199043375727057E-151</v>
      </c>
      <c r="L826">
        <v>2.389910197818335E-150</v>
      </c>
      <c r="M826">
        <v>0.20325884534100599</v>
      </c>
      <c r="N826">
        <v>2.9059775953006828E-146</v>
      </c>
      <c r="O826">
        <v>8.2308974347343359E-146</v>
      </c>
      <c r="P826">
        <v>0.1065120944170974</v>
      </c>
      <c r="Q826">
        <v>0.73727957521305787</v>
      </c>
      <c r="R826">
        <v>0.78599881490216594</v>
      </c>
      <c r="S826">
        <v>0.26508039814354062</v>
      </c>
      <c r="T826">
        <v>0.21041619319646271</v>
      </c>
      <c r="U826">
        <v>4.2555146084885838</v>
      </c>
      <c r="V826">
        <v>0.12414549193133841</v>
      </c>
      <c r="W826">
        <v>3.9235028177615909</v>
      </c>
      <c r="X826">
        <v>0.2804553275358746</v>
      </c>
      <c r="Z826" t="s">
        <v>392</v>
      </c>
      <c r="AA826">
        <v>140</v>
      </c>
      <c r="AB826" t="s">
        <v>2231</v>
      </c>
      <c r="AC826" t="str">
        <f>HYPERLINK("plots/20251231112652_3FT6Y119H04_05543_B21P_N_UFLEX98_M5358A8BA201511/dpll_52094/txpa_54182.png","plot")</f>
        <v>plot</v>
      </c>
    </row>
    <row r="827" spans="1:29" x14ac:dyDescent="0.35">
      <c r="A827" t="s">
        <v>47</v>
      </c>
      <c r="B827">
        <v>52094</v>
      </c>
      <c r="C827" t="s">
        <v>53</v>
      </c>
      <c r="D827">
        <v>54183</v>
      </c>
      <c r="E827" t="s">
        <v>203</v>
      </c>
      <c r="F827">
        <v>7139</v>
      </c>
      <c r="G827">
        <v>0.25911619644151018</v>
      </c>
      <c r="H827">
        <v>7.0617203150468902E-110</v>
      </c>
      <c r="I827">
        <v>1.2219427302828579E-109</v>
      </c>
      <c r="J827">
        <v>0.22124686944040389</v>
      </c>
      <c r="K827">
        <v>7.03851728969646E-80</v>
      </c>
      <c r="L827">
        <v>1.0863099743915079E-79</v>
      </c>
      <c r="M827">
        <v>0.1476224999007503</v>
      </c>
      <c r="N827">
        <v>4.5399911915352096E-78</v>
      </c>
      <c r="O827">
        <v>7.0176083356961927E-78</v>
      </c>
      <c r="P827">
        <v>6.7141203258315324E-2</v>
      </c>
      <c r="Q827">
        <v>0.64441793193458363</v>
      </c>
      <c r="R827">
        <v>1.381134168990225</v>
      </c>
      <c r="S827">
        <v>0.29818208486007902</v>
      </c>
      <c r="T827">
        <v>0.24110560858428101</v>
      </c>
      <c r="U827">
        <v>4.2555146084885838</v>
      </c>
      <c r="V827">
        <v>0.12414549193133841</v>
      </c>
      <c r="W827">
        <v>4.1234640923098471</v>
      </c>
      <c r="X827">
        <v>0.30874789869591668</v>
      </c>
      <c r="Z827" t="s">
        <v>392</v>
      </c>
      <c r="AA827">
        <v>140</v>
      </c>
      <c r="AB827" t="s">
        <v>2232</v>
      </c>
      <c r="AC827" t="str">
        <f>HYPERLINK("plots/20251231112652_3FT6Y119H04_05543_B21P_N_UFLEX98_M5358A8BA201511/dpll_52094/txpa_54183.png","plot")</f>
        <v>plot</v>
      </c>
    </row>
    <row r="828" spans="1:29" x14ac:dyDescent="0.35">
      <c r="A828" t="s">
        <v>47</v>
      </c>
      <c r="B828">
        <v>52094</v>
      </c>
      <c r="C828" t="s">
        <v>53</v>
      </c>
      <c r="D828">
        <v>54184</v>
      </c>
      <c r="E828" t="s">
        <v>204</v>
      </c>
      <c r="F828">
        <v>7139</v>
      </c>
      <c r="G828">
        <v>0.34035684833521829</v>
      </c>
      <c r="H828">
        <v>4.2980814952380752E-193</v>
      </c>
      <c r="I828">
        <v>1.9456493911479501E-192</v>
      </c>
      <c r="J828">
        <v>0.30615856404079822</v>
      </c>
      <c r="K828">
        <v>9.0604605765992636E-155</v>
      </c>
      <c r="L828">
        <v>2.758951058459956E-154</v>
      </c>
      <c r="M828">
        <v>0.20525097687482499</v>
      </c>
      <c r="N828">
        <v>4.1918569661347591E-149</v>
      </c>
      <c r="O828">
        <v>1.228480625335447E-148</v>
      </c>
      <c r="P828">
        <v>0.1158427842086828</v>
      </c>
      <c r="Q828">
        <v>0.68880329451793043</v>
      </c>
      <c r="R828">
        <v>1.098617785348357</v>
      </c>
      <c r="S828">
        <v>0.23622507990461999</v>
      </c>
      <c r="T828">
        <v>0.18745910996327131</v>
      </c>
      <c r="U828">
        <v>4.2555146084885838</v>
      </c>
      <c r="V828">
        <v>0.12414549193133841</v>
      </c>
      <c r="W828">
        <v>4.0298302675444742</v>
      </c>
      <c r="X828">
        <v>0.25124167255666391</v>
      </c>
      <c r="Z828" t="s">
        <v>392</v>
      </c>
      <c r="AA828">
        <v>140</v>
      </c>
      <c r="AB828" t="s">
        <v>2233</v>
      </c>
      <c r="AC828" t="str">
        <f>HYPERLINK("plots/20251231112652_3FT6Y119H04_05543_B21P_N_UFLEX98_M5358A8BA201511/dpll_52094/txpa_54184.png","plot")</f>
        <v>plot</v>
      </c>
    </row>
    <row r="829" spans="1:29" x14ac:dyDescent="0.35">
      <c r="A829" t="s">
        <v>47</v>
      </c>
      <c r="B829">
        <v>52094</v>
      </c>
      <c r="C829" t="s">
        <v>53</v>
      </c>
      <c r="D829">
        <v>54185</v>
      </c>
      <c r="E829" t="s">
        <v>205</v>
      </c>
      <c r="F829">
        <v>7139</v>
      </c>
      <c r="G829">
        <v>0.25162158364258069</v>
      </c>
      <c r="H829">
        <v>1.613519537317286E-103</v>
      </c>
      <c r="I829">
        <v>2.6603395298206961E-103</v>
      </c>
      <c r="J829">
        <v>0.22514320629788681</v>
      </c>
      <c r="K829">
        <v>1.0071618190341071E-82</v>
      </c>
      <c r="L829">
        <v>1.615921019779405E-82</v>
      </c>
      <c r="M829">
        <v>0.15076333031616851</v>
      </c>
      <c r="N829">
        <v>2.4049478137290442E-81</v>
      </c>
      <c r="O829">
        <v>3.8163021645089989E-81</v>
      </c>
      <c r="P829">
        <v>6.3313421354800253E-2</v>
      </c>
      <c r="Q829">
        <v>0.59302673349630575</v>
      </c>
      <c r="R829">
        <v>1.5285327364808181</v>
      </c>
      <c r="S829">
        <v>0.28315488834678793</v>
      </c>
      <c r="T829">
        <v>0.22368323726255859</v>
      </c>
      <c r="U829">
        <v>4.2555146084885838</v>
      </c>
      <c r="V829">
        <v>0.12414549193133841</v>
      </c>
      <c r="W829">
        <v>4.0521666640986131</v>
      </c>
      <c r="X829">
        <v>0.29258855497432368</v>
      </c>
      <c r="Z829" t="s">
        <v>392</v>
      </c>
      <c r="AA829">
        <v>140</v>
      </c>
      <c r="AB829" t="s">
        <v>2234</v>
      </c>
      <c r="AC829" t="str">
        <f>HYPERLINK("plots/20251231112652_3FT6Y119H04_05543_B21P_N_UFLEX98_M5358A8BA201511/dpll_52094/txpa_54185.png","plot")</f>
        <v>plot</v>
      </c>
    </row>
    <row r="830" spans="1:29" x14ac:dyDescent="0.35">
      <c r="A830" t="s">
        <v>47</v>
      </c>
      <c r="B830">
        <v>52094</v>
      </c>
      <c r="C830" t="s">
        <v>53</v>
      </c>
      <c r="D830">
        <v>54186</v>
      </c>
      <c r="E830" t="s">
        <v>206</v>
      </c>
      <c r="F830">
        <v>7139</v>
      </c>
      <c r="G830">
        <v>0.18118349556426849</v>
      </c>
      <c r="H830">
        <v>9.6860808637342824E-54</v>
      </c>
      <c r="I830">
        <v>1.1460543752423061E-53</v>
      </c>
      <c r="J830">
        <v>0.1453426481740227</v>
      </c>
      <c r="K830">
        <v>5.2596786881981787E-35</v>
      </c>
      <c r="L830">
        <v>6.012755569146508E-35</v>
      </c>
      <c r="M830">
        <v>9.6739522599550709E-2</v>
      </c>
      <c r="N830">
        <v>1.5320520377784529E-34</v>
      </c>
      <c r="O830">
        <v>1.7494377998956661E-34</v>
      </c>
      <c r="P830">
        <v>3.2827459064887293E-2</v>
      </c>
      <c r="Q830">
        <v>0.67430096772362824</v>
      </c>
      <c r="R830">
        <v>0.48996946748062958</v>
      </c>
      <c r="S830">
        <v>0.45434699734680062</v>
      </c>
      <c r="T830">
        <v>0.38056710809011901</v>
      </c>
      <c r="U830">
        <v>4.2555146084885838</v>
      </c>
      <c r="V830">
        <v>0.12414549193133841</v>
      </c>
      <c r="W830">
        <v>3.3594670861465188</v>
      </c>
      <c r="X830">
        <v>0.46202566678118701</v>
      </c>
      <c r="Z830" t="s">
        <v>392</v>
      </c>
      <c r="AA830">
        <v>140</v>
      </c>
      <c r="AB830" t="s">
        <v>2235</v>
      </c>
      <c r="AC830" t="str">
        <f>HYPERLINK("plots/20251231112652_3FT6Y119H04_05543_B21P_N_UFLEX98_M5358A8BA201511/dpll_52094/txpa_54186.png","plot")</f>
        <v>plot</v>
      </c>
    </row>
    <row r="831" spans="1:29" x14ac:dyDescent="0.35">
      <c r="A831" t="s">
        <v>47</v>
      </c>
      <c r="B831">
        <v>52094</v>
      </c>
      <c r="C831" t="s">
        <v>53</v>
      </c>
      <c r="D831">
        <v>54187</v>
      </c>
      <c r="E831" t="s">
        <v>207</v>
      </c>
      <c r="F831">
        <v>7139</v>
      </c>
      <c r="G831">
        <v>0.174488551584774</v>
      </c>
      <c r="H831">
        <v>6.5053040412635276E-50</v>
      </c>
      <c r="I831">
        <v>7.6258708645563197E-50</v>
      </c>
      <c r="J831">
        <v>0.13787145762051639</v>
      </c>
      <c r="K831">
        <v>1.2301868532003801E-31</v>
      </c>
      <c r="L831">
        <v>1.36627543170338E-31</v>
      </c>
      <c r="M831">
        <v>9.1583717163506412E-2</v>
      </c>
      <c r="N831">
        <v>3.9223878444160301E-31</v>
      </c>
      <c r="O831">
        <v>4.3610759585941393E-31</v>
      </c>
      <c r="P831">
        <v>3.0446254634152341E-2</v>
      </c>
      <c r="Q831">
        <v>0.63885318435133509</v>
      </c>
      <c r="R831">
        <v>2.6388491470845601</v>
      </c>
      <c r="S831">
        <v>0.4475284044233015</v>
      </c>
      <c r="T831">
        <v>0.37381999804127392</v>
      </c>
      <c r="U831">
        <v>4.2555146084885838</v>
      </c>
      <c r="V831">
        <v>0.12414549193133841</v>
      </c>
      <c r="W831">
        <v>5.3574982057711162</v>
      </c>
      <c r="X831">
        <v>0.45453264482321037</v>
      </c>
      <c r="Z831" t="s">
        <v>392</v>
      </c>
      <c r="AA831">
        <v>140</v>
      </c>
      <c r="AB831" t="s">
        <v>2236</v>
      </c>
      <c r="AC831" t="str">
        <f>HYPERLINK("plots/20251231112652_3FT6Y119H04_05543_B21P_N_UFLEX98_M5358A8BA201511/dpll_52094/txpa_54187.png","plot")</f>
        <v>plot</v>
      </c>
    </row>
    <row r="832" spans="1:29" x14ac:dyDescent="0.35">
      <c r="A832" t="s">
        <v>47</v>
      </c>
      <c r="B832">
        <v>52094</v>
      </c>
      <c r="C832" t="s">
        <v>53</v>
      </c>
      <c r="D832">
        <v>54188</v>
      </c>
      <c r="E832" t="s">
        <v>208</v>
      </c>
      <c r="F832">
        <v>7139</v>
      </c>
      <c r="G832">
        <v>0.31260804116107749</v>
      </c>
      <c r="H832">
        <v>1.284224216142029E-161</v>
      </c>
      <c r="I832">
        <v>3.6785405513220832E-161</v>
      </c>
      <c r="J832">
        <v>0.29842720522298438</v>
      </c>
      <c r="K832">
        <v>8.7299000867369087E-147</v>
      </c>
      <c r="L832">
        <v>2.3924645102570881E-146</v>
      </c>
      <c r="M832">
        <v>0.19977342236808371</v>
      </c>
      <c r="N832">
        <v>2.3294664739923211E-141</v>
      </c>
      <c r="O832">
        <v>6.2821250123090791E-141</v>
      </c>
      <c r="P832">
        <v>9.7723787398565951E-2</v>
      </c>
      <c r="Q832">
        <v>0.70928816534066508</v>
      </c>
      <c r="R832">
        <v>2.7653555318124989</v>
      </c>
      <c r="S832">
        <v>0.26754254685333412</v>
      </c>
      <c r="T832">
        <v>0.20923317405502909</v>
      </c>
      <c r="U832">
        <v>4.2555146084885838</v>
      </c>
      <c r="V832">
        <v>0.12414549193133841</v>
      </c>
      <c r="W832">
        <v>5.7837416810477658</v>
      </c>
      <c r="X832">
        <v>0.28167838511204912</v>
      </c>
      <c r="Z832" t="s">
        <v>392</v>
      </c>
      <c r="AA832">
        <v>140</v>
      </c>
      <c r="AB832" t="s">
        <v>2237</v>
      </c>
      <c r="AC832" t="str">
        <f>HYPERLINK("plots/20251231112652_3FT6Y119H04_05543_B21P_N_UFLEX98_M5358A8BA201511/dpll_52094/txpa_54188.png","plot")</f>
        <v>plot</v>
      </c>
    </row>
    <row r="833" spans="1:29" x14ac:dyDescent="0.35">
      <c r="A833" t="s">
        <v>47</v>
      </c>
      <c r="B833">
        <v>52094</v>
      </c>
      <c r="C833" t="s">
        <v>53</v>
      </c>
      <c r="D833">
        <v>54189</v>
      </c>
      <c r="E833" t="s">
        <v>209</v>
      </c>
      <c r="F833">
        <v>7139</v>
      </c>
      <c r="G833">
        <v>0.2496019275696392</v>
      </c>
      <c r="H833">
        <v>7.6778161296225879E-102</v>
      </c>
      <c r="I833">
        <v>1.2416755271829829E-101</v>
      </c>
      <c r="J833">
        <v>0.22426710988406531</v>
      </c>
      <c r="K833">
        <v>4.4403943345809739E-82</v>
      </c>
      <c r="L833">
        <v>7.0462595544054899E-82</v>
      </c>
      <c r="M833">
        <v>0.1506461639809594</v>
      </c>
      <c r="N833">
        <v>3.191292821607349E-81</v>
      </c>
      <c r="O833">
        <v>5.056204564234144E-81</v>
      </c>
      <c r="P833">
        <v>6.2301122246479428E-2</v>
      </c>
      <c r="Q833">
        <v>0.64543356316128841</v>
      </c>
      <c r="R833">
        <v>3.2825648131540972</v>
      </c>
      <c r="S833">
        <v>0.31083924338593311</v>
      </c>
      <c r="T833">
        <v>0.25065955933067791</v>
      </c>
      <c r="U833">
        <v>4.2555146084885838</v>
      </c>
      <c r="V833">
        <v>0.12414549193133841</v>
      </c>
      <c r="W833">
        <v>6.0292167699957986</v>
      </c>
      <c r="X833">
        <v>0.32102182858863931</v>
      </c>
      <c r="Z833" t="s">
        <v>392</v>
      </c>
      <c r="AA833">
        <v>140</v>
      </c>
      <c r="AB833" t="s">
        <v>2238</v>
      </c>
      <c r="AC833" t="str">
        <f>HYPERLINK("plots/20251231112652_3FT6Y119H04_05543_B21P_N_UFLEX98_M5358A8BA201511/dpll_52094/txpa_54189.png","plot")</f>
        <v>plot</v>
      </c>
    </row>
    <row r="834" spans="1:29" x14ac:dyDescent="0.35">
      <c r="A834" t="s">
        <v>47</v>
      </c>
      <c r="B834">
        <v>52094</v>
      </c>
      <c r="C834" t="s">
        <v>53</v>
      </c>
      <c r="D834">
        <v>54190</v>
      </c>
      <c r="E834" t="s">
        <v>210</v>
      </c>
      <c r="F834">
        <v>7139</v>
      </c>
      <c r="G834">
        <v>0.34290921046569489</v>
      </c>
      <c r="H834">
        <v>3.716887495435607E-196</v>
      </c>
      <c r="I834">
        <v>1.829574718627041E-195</v>
      </c>
      <c r="J834">
        <v>0.32094894964021459</v>
      </c>
      <c r="K834">
        <v>9.8586977085353088E-171</v>
      </c>
      <c r="L834">
        <v>3.5199716466390149E-170</v>
      </c>
      <c r="M834">
        <v>0.21632822302472821</v>
      </c>
      <c r="N834">
        <v>2.083041444311987E-165</v>
      </c>
      <c r="O834">
        <v>7.334041751848455E-165</v>
      </c>
      <c r="P834">
        <v>0.1175867266222063</v>
      </c>
      <c r="Q834">
        <v>0.73846118109491021</v>
      </c>
      <c r="R834">
        <v>2.6424737134798888</v>
      </c>
      <c r="S834">
        <v>0.25112217888247518</v>
      </c>
      <c r="T834">
        <v>0.19874194519123431</v>
      </c>
      <c r="U834">
        <v>4.2555146084885838</v>
      </c>
      <c r="V834">
        <v>0.12414549193133841</v>
      </c>
      <c r="W834">
        <v>5.7850060574310129</v>
      </c>
      <c r="X834">
        <v>0.26734956017868827</v>
      </c>
      <c r="Z834" t="s">
        <v>392</v>
      </c>
      <c r="AA834">
        <v>140</v>
      </c>
      <c r="AB834" t="s">
        <v>2239</v>
      </c>
      <c r="AC834" t="str">
        <f>HYPERLINK("plots/20251231112652_3FT6Y119H04_05543_B21P_N_UFLEX98_M5358A8BA201511/dpll_52094/txpa_54190.png","plot")</f>
        <v>plot</v>
      </c>
    </row>
    <row r="835" spans="1:29" x14ac:dyDescent="0.35">
      <c r="A835" t="s">
        <v>47</v>
      </c>
      <c r="B835">
        <v>52094</v>
      </c>
      <c r="C835" t="s">
        <v>53</v>
      </c>
      <c r="D835">
        <v>54191</v>
      </c>
      <c r="E835" t="s">
        <v>211</v>
      </c>
      <c r="F835">
        <v>7139</v>
      </c>
      <c r="G835">
        <v>0.27708505063548527</v>
      </c>
      <c r="H835">
        <v>5.3697103408961053E-126</v>
      </c>
      <c r="I835">
        <v>1.0450837400515651E-125</v>
      </c>
      <c r="J835">
        <v>0.23996926984361991</v>
      </c>
      <c r="K835">
        <v>4.75186882831784E-94</v>
      </c>
      <c r="L835">
        <v>8.3798173772422423E-94</v>
      </c>
      <c r="M835">
        <v>0.1604669894358183</v>
      </c>
      <c r="N835">
        <v>6.6867084087707005E-92</v>
      </c>
      <c r="O835">
        <v>1.179186491564085E-91</v>
      </c>
      <c r="P835">
        <v>7.6776125285669433E-2</v>
      </c>
      <c r="Q835">
        <v>0.65268939272037962</v>
      </c>
      <c r="R835">
        <v>3.1918014321588331</v>
      </c>
      <c r="S835">
        <v>0.28096194940401342</v>
      </c>
      <c r="T835">
        <v>0.22667343016959979</v>
      </c>
      <c r="U835">
        <v>4.2555146084885838</v>
      </c>
      <c r="V835">
        <v>0.12414549193133841</v>
      </c>
      <c r="W835">
        <v>5.9693306776859503</v>
      </c>
      <c r="X835">
        <v>0.29243167594860142</v>
      </c>
      <c r="Z835" t="s">
        <v>392</v>
      </c>
      <c r="AA835">
        <v>140</v>
      </c>
      <c r="AB835" t="s">
        <v>2240</v>
      </c>
      <c r="AC835" t="str">
        <f>HYPERLINK("plots/20251231112652_3FT6Y119H04_05543_B21P_N_UFLEX98_M5358A8BA201511/dpll_52094/txpa_54191.png","plot")</f>
        <v>plot</v>
      </c>
    </row>
    <row r="836" spans="1:29" x14ac:dyDescent="0.35">
      <c r="A836" t="s">
        <v>47</v>
      </c>
      <c r="B836">
        <v>52094</v>
      </c>
      <c r="C836" t="s">
        <v>53</v>
      </c>
      <c r="D836">
        <v>54192</v>
      </c>
      <c r="E836" t="s">
        <v>212</v>
      </c>
      <c r="F836">
        <v>7139</v>
      </c>
      <c r="G836">
        <v>0.35879194694914418</v>
      </c>
      <c r="H836">
        <v>7.1135165323874178E-216</v>
      </c>
      <c r="I836">
        <v>5.1522184027434586E-215</v>
      </c>
      <c r="J836">
        <v>0.32727796343667531</v>
      </c>
      <c r="K836">
        <v>7.5990544527031199E-178</v>
      </c>
      <c r="L836">
        <v>2.952276327601902E-177</v>
      </c>
      <c r="M836">
        <v>0.22019043431042989</v>
      </c>
      <c r="N836">
        <v>2.7148598855689238E-171</v>
      </c>
      <c r="O836">
        <v>1.0310366756430301E-170</v>
      </c>
      <c r="P836">
        <v>0.12873166119555751</v>
      </c>
      <c r="Q836">
        <v>0.69346297729301198</v>
      </c>
      <c r="R836">
        <v>2.9281970717707271</v>
      </c>
      <c r="S836">
        <v>0.22395310795499859</v>
      </c>
      <c r="T836">
        <v>0.17697294320785251</v>
      </c>
      <c r="U836">
        <v>4.2555146084885838</v>
      </c>
      <c r="V836">
        <v>0.12414549193133841</v>
      </c>
      <c r="W836">
        <v>5.8792389020871267</v>
      </c>
      <c r="X836">
        <v>0.2399449128784768</v>
      </c>
      <c r="Z836" t="s">
        <v>392</v>
      </c>
      <c r="AA836">
        <v>140</v>
      </c>
      <c r="AB836" t="s">
        <v>2241</v>
      </c>
      <c r="AC836" t="str">
        <f>HYPERLINK("plots/20251231112652_3FT6Y119H04_05543_B21P_N_UFLEX98_M5358A8BA201511/dpll_52094/txpa_54192.png","plot")</f>
        <v>plot</v>
      </c>
    </row>
    <row r="837" spans="1:29" x14ac:dyDescent="0.35">
      <c r="A837" t="s">
        <v>47</v>
      </c>
      <c r="B837">
        <v>52094</v>
      </c>
      <c r="C837" t="s">
        <v>53</v>
      </c>
      <c r="D837">
        <v>54193</v>
      </c>
      <c r="E837" t="s">
        <v>213</v>
      </c>
      <c r="F837">
        <v>7139</v>
      </c>
      <c r="G837">
        <v>0.26863587869749411</v>
      </c>
      <c r="H837">
        <v>2.9121005447989939E-118</v>
      </c>
      <c r="I837">
        <v>5.398299730212395E-118</v>
      </c>
      <c r="J837">
        <v>0.2418254835379634</v>
      </c>
      <c r="K837">
        <v>1.5927823878533628E-95</v>
      </c>
      <c r="L837">
        <v>2.8434530656396299E-95</v>
      </c>
      <c r="M837">
        <v>0.16221042403420469</v>
      </c>
      <c r="N837">
        <v>7.2351813619717759E-94</v>
      </c>
      <c r="O837">
        <v>1.303103712440387E-93</v>
      </c>
      <c r="P837">
        <v>7.2165235323574745E-2</v>
      </c>
      <c r="Q837">
        <v>0.60227747328055725</v>
      </c>
      <c r="R837">
        <v>3.338810679674411</v>
      </c>
      <c r="S837">
        <v>0.2680824961931067</v>
      </c>
      <c r="T837">
        <v>0.21160385460808639</v>
      </c>
      <c r="U837">
        <v>4.2555146084885838</v>
      </c>
      <c r="V837">
        <v>0.12414549193133841</v>
      </c>
      <c r="W837">
        <v>5.9018112655834152</v>
      </c>
      <c r="X837">
        <v>0.27833226731331551</v>
      </c>
      <c r="Z837" t="s">
        <v>392</v>
      </c>
      <c r="AA837">
        <v>140</v>
      </c>
      <c r="AB837" t="s">
        <v>2242</v>
      </c>
      <c r="AC837" t="str">
        <f>HYPERLINK("plots/20251231112652_3FT6Y119H04_05543_B21P_N_UFLEX98_M5358A8BA201511/dpll_52094/txpa_54193.png","plot")</f>
        <v>plot</v>
      </c>
    </row>
    <row r="838" spans="1:29" x14ac:dyDescent="0.35">
      <c r="A838" t="s">
        <v>47</v>
      </c>
      <c r="B838">
        <v>52094</v>
      </c>
      <c r="C838" t="s">
        <v>53</v>
      </c>
      <c r="D838">
        <v>54194</v>
      </c>
      <c r="E838" t="s">
        <v>214</v>
      </c>
      <c r="F838">
        <v>7139</v>
      </c>
      <c r="G838">
        <v>0.19202727424054639</v>
      </c>
      <c r="H838">
        <v>2.9015756537207748E-60</v>
      </c>
      <c r="I838">
        <v>3.4901514980698292E-60</v>
      </c>
      <c r="J838">
        <v>0.15562454885888549</v>
      </c>
      <c r="K838">
        <v>6.0891798232085937E-40</v>
      </c>
      <c r="L838">
        <v>7.1795678380622259E-40</v>
      </c>
      <c r="M838">
        <v>0.10369923490970789</v>
      </c>
      <c r="N838">
        <v>1.9596345920055531E-39</v>
      </c>
      <c r="O838">
        <v>2.3132357116340289E-39</v>
      </c>
      <c r="P838">
        <v>3.6874474052254018E-2</v>
      </c>
      <c r="Q838">
        <v>0.67297059882976584</v>
      </c>
      <c r="R838">
        <v>2.3989951468516999</v>
      </c>
      <c r="S838">
        <v>0.42694816839691713</v>
      </c>
      <c r="T838">
        <v>0.35756668431292282</v>
      </c>
      <c r="U838">
        <v>4.2555146084885838</v>
      </c>
      <c r="V838">
        <v>0.12414549193133841</v>
      </c>
      <c r="W838">
        <v>5.2628313612550794</v>
      </c>
      <c r="X838">
        <v>0.43507499847335712</v>
      </c>
      <c r="Z838" t="s">
        <v>392</v>
      </c>
      <c r="AA838">
        <v>140</v>
      </c>
      <c r="AB838" t="s">
        <v>2243</v>
      </c>
      <c r="AC838" t="str">
        <f>HYPERLINK("plots/20251231112652_3FT6Y119H04_05543_B21P_N_UFLEX98_M5358A8BA201511/dpll_52094/txpa_54194.png","plot")</f>
        <v>plot</v>
      </c>
    </row>
    <row r="839" spans="1:29" x14ac:dyDescent="0.35">
      <c r="A839" t="s">
        <v>47</v>
      </c>
      <c r="B839">
        <v>52094</v>
      </c>
      <c r="C839" t="s">
        <v>53</v>
      </c>
      <c r="D839">
        <v>54195</v>
      </c>
      <c r="E839" t="s">
        <v>215</v>
      </c>
      <c r="F839">
        <v>7139</v>
      </c>
      <c r="G839">
        <v>0.1924331248778719</v>
      </c>
      <c r="H839">
        <v>1.6241555044863059E-60</v>
      </c>
      <c r="I839">
        <v>1.9629245310478119E-60</v>
      </c>
      <c r="J839">
        <v>0.1541218879435016</v>
      </c>
      <c r="K839">
        <v>3.3712240836047938E-39</v>
      </c>
      <c r="L839">
        <v>3.9473686152139278E-39</v>
      </c>
      <c r="M839">
        <v>0.1024320570443195</v>
      </c>
      <c r="N839">
        <v>1.6141552387289071E-38</v>
      </c>
      <c r="O839">
        <v>1.890015487380037E-38</v>
      </c>
      <c r="P839">
        <v>3.7030507550262631E-2</v>
      </c>
      <c r="Q839">
        <v>0.64785512598452089</v>
      </c>
      <c r="R839">
        <v>4.8729675971256254</v>
      </c>
      <c r="S839">
        <v>0.41011425582345817</v>
      </c>
      <c r="T839">
        <v>0.34159992154419289</v>
      </c>
      <c r="U839">
        <v>4.2555146084885838</v>
      </c>
      <c r="V839">
        <v>0.12414549193133841</v>
      </c>
      <c r="W839">
        <v>7.6299245499369652</v>
      </c>
      <c r="X839">
        <v>0.41795451467428768</v>
      </c>
      <c r="Z839" t="s">
        <v>392</v>
      </c>
      <c r="AA839">
        <v>140</v>
      </c>
      <c r="AB839" t="s">
        <v>2244</v>
      </c>
      <c r="AC839" t="str">
        <f>HYPERLINK("plots/20251231112652_3FT6Y119H04_05543_B21P_N_UFLEX98_M5358A8BA201511/dpll_52094/txpa_54195.png","plot")</f>
        <v>plot</v>
      </c>
    </row>
    <row r="840" spans="1:29" x14ac:dyDescent="0.35">
      <c r="A840" t="s">
        <v>47</v>
      </c>
      <c r="B840">
        <v>52094</v>
      </c>
      <c r="C840" t="s">
        <v>53</v>
      </c>
      <c r="D840">
        <v>54196</v>
      </c>
      <c r="E840" t="s">
        <v>216</v>
      </c>
      <c r="F840">
        <v>7139</v>
      </c>
      <c r="G840">
        <v>0.33237543679904868</v>
      </c>
      <c r="H840">
        <v>1.063338280955087E-183</v>
      </c>
      <c r="I840">
        <v>4.0687736486356944E-183</v>
      </c>
      <c r="J840">
        <v>0.32202772422466519</v>
      </c>
      <c r="K840">
        <v>6.2156551730019501E-172</v>
      </c>
      <c r="L840">
        <v>2.2918815801541742E-171</v>
      </c>
      <c r="M840">
        <v>0.21640068917170521</v>
      </c>
      <c r="N840">
        <v>1.6161553712392361E-165</v>
      </c>
      <c r="O840">
        <v>5.7100402314863591E-165</v>
      </c>
      <c r="P840">
        <v>0.1104734309873584</v>
      </c>
      <c r="Q840">
        <v>0.71575969053196975</v>
      </c>
      <c r="R840">
        <v>4.9644630251498976</v>
      </c>
      <c r="S840">
        <v>0.25212639390377278</v>
      </c>
      <c r="T840">
        <v>0.19581221789022871</v>
      </c>
      <c r="U840">
        <v>4.2555146084885838</v>
      </c>
      <c r="V840">
        <v>0.12414549193133841</v>
      </c>
      <c r="W840">
        <v>8.0103888443759637</v>
      </c>
      <c r="X840">
        <v>0.2673432782562597</v>
      </c>
      <c r="Z840" t="s">
        <v>392</v>
      </c>
      <c r="AA840">
        <v>140</v>
      </c>
      <c r="AB840" t="s">
        <v>2245</v>
      </c>
      <c r="AC840" t="str">
        <f>HYPERLINK("plots/20251231112652_3FT6Y119H04_05543_B21P_N_UFLEX98_M5358A8BA201511/dpll_52094/txpa_54196.png","plot")</f>
        <v>plot</v>
      </c>
    </row>
    <row r="841" spans="1:29" x14ac:dyDescent="0.35">
      <c r="A841" t="s">
        <v>47</v>
      </c>
      <c r="B841">
        <v>52094</v>
      </c>
      <c r="C841" t="s">
        <v>53</v>
      </c>
      <c r="D841">
        <v>54197</v>
      </c>
      <c r="E841" t="s">
        <v>217</v>
      </c>
      <c r="F841">
        <v>7139</v>
      </c>
      <c r="G841">
        <v>0.27282449208421361</v>
      </c>
      <c r="H841">
        <v>4.6200337397653158E-122</v>
      </c>
      <c r="I841">
        <v>8.8058537821842683E-122</v>
      </c>
      <c r="J841">
        <v>0.24826192704386521</v>
      </c>
      <c r="K841">
        <v>9.7675054390962672E-101</v>
      </c>
      <c r="L841">
        <v>1.8375232866871271E-100</v>
      </c>
      <c r="M841">
        <v>0.1672024662133684</v>
      </c>
      <c r="N841">
        <v>1.2972809315494299E-99</v>
      </c>
      <c r="O841">
        <v>2.4587717095161162E-99</v>
      </c>
      <c r="P841">
        <v>7.4433203481009139E-2</v>
      </c>
      <c r="Q841">
        <v>0.65799300521481241</v>
      </c>
      <c r="R841">
        <v>5.4220564787203971</v>
      </c>
      <c r="S841">
        <v>0.28803306069419088</v>
      </c>
      <c r="T841">
        <v>0.230425460891127</v>
      </c>
      <c r="U841">
        <v>4.2555146084885838</v>
      </c>
      <c r="V841">
        <v>0.12414549193133841</v>
      </c>
      <c r="W841">
        <v>8.2221553246953363</v>
      </c>
      <c r="X841">
        <v>0.29941177456515922</v>
      </c>
      <c r="Z841" t="s">
        <v>392</v>
      </c>
      <c r="AA841">
        <v>140</v>
      </c>
      <c r="AB841" t="s">
        <v>2246</v>
      </c>
      <c r="AC841" t="str">
        <f>HYPERLINK("plots/20251231112652_3FT6Y119H04_05543_B21P_N_UFLEX98_M5358A8BA201511/dpll_52094/txpa_54197.png","plot")</f>
        <v>plot</v>
      </c>
    </row>
    <row r="842" spans="1:29" x14ac:dyDescent="0.35">
      <c r="A842" t="s">
        <v>47</v>
      </c>
      <c r="B842">
        <v>52094</v>
      </c>
      <c r="C842" t="s">
        <v>53</v>
      </c>
      <c r="D842">
        <v>54198</v>
      </c>
      <c r="E842" t="s">
        <v>218</v>
      </c>
      <c r="F842">
        <v>7139</v>
      </c>
      <c r="G842">
        <v>0.36338124807758693</v>
      </c>
      <c r="H842">
        <v>8.7103148055358887E-222</v>
      </c>
      <c r="I842">
        <v>7.7475958007135015E-221</v>
      </c>
      <c r="J842">
        <v>0.34439077597631262</v>
      </c>
      <c r="K842">
        <v>6.0100305643277397E-198</v>
      </c>
      <c r="L842">
        <v>2.821375459364967E-197</v>
      </c>
      <c r="M842">
        <v>0.23309612162027901</v>
      </c>
      <c r="N842">
        <v>1.033336301138656E-191</v>
      </c>
      <c r="O842">
        <v>4.6362965015690132E-191</v>
      </c>
      <c r="P842">
        <v>0.1320459314544247</v>
      </c>
      <c r="Q842">
        <v>0.74340541088817114</v>
      </c>
      <c r="R842">
        <v>4.8474470787349224</v>
      </c>
      <c r="S842">
        <v>0.23659856800355711</v>
      </c>
      <c r="T842">
        <v>0.18556778076390179</v>
      </c>
      <c r="U842">
        <v>4.2555146084885838</v>
      </c>
      <c r="V842">
        <v>0.12414549193133841</v>
      </c>
      <c r="W842">
        <v>8.011019664798992</v>
      </c>
      <c r="X842">
        <v>0.25397686569513211</v>
      </c>
      <c r="Z842" t="s">
        <v>392</v>
      </c>
      <c r="AA842">
        <v>140</v>
      </c>
      <c r="AB842" t="s">
        <v>2247</v>
      </c>
      <c r="AC842" t="str">
        <f>HYPERLINK("plots/20251231112652_3FT6Y119H04_05543_B21P_N_UFLEX98_M5358A8BA201511/dpll_52094/txpa_54198.png","plot")</f>
        <v>plot</v>
      </c>
    </row>
    <row r="843" spans="1:29" x14ac:dyDescent="0.35">
      <c r="A843" t="s">
        <v>47</v>
      </c>
      <c r="B843">
        <v>52094</v>
      </c>
      <c r="C843" t="s">
        <v>53</v>
      </c>
      <c r="D843">
        <v>54199</v>
      </c>
      <c r="E843" t="s">
        <v>219</v>
      </c>
      <c r="F843">
        <v>7139</v>
      </c>
      <c r="G843">
        <v>0.30182707073023901</v>
      </c>
      <c r="H843">
        <v>2.8855866644070799E-150</v>
      </c>
      <c r="I843">
        <v>7.3702389866719892E-150</v>
      </c>
      <c r="J843">
        <v>0.26517637260015459</v>
      </c>
      <c r="K843">
        <v>3.559347022581419E-115</v>
      </c>
      <c r="L843">
        <v>7.3807318627761951E-115</v>
      </c>
      <c r="M843">
        <v>0.17770831852988689</v>
      </c>
      <c r="N843">
        <v>2.8468943459155582E-112</v>
      </c>
      <c r="O843">
        <v>5.8554784315585722E-112</v>
      </c>
      <c r="P843">
        <v>9.1099580625596671E-2</v>
      </c>
      <c r="Q843">
        <v>0.66514845251972876</v>
      </c>
      <c r="R843">
        <v>5.347192091254513</v>
      </c>
      <c r="S843">
        <v>0.26080690334880807</v>
      </c>
      <c r="T843">
        <v>0.20915127334884789</v>
      </c>
      <c r="U843">
        <v>4.2555146084885838</v>
      </c>
      <c r="V843">
        <v>0.12414549193133841</v>
      </c>
      <c r="W843">
        <v>8.1777410477657941</v>
      </c>
      <c r="X843">
        <v>0.27358441257653998</v>
      </c>
      <c r="Z843" t="s">
        <v>392</v>
      </c>
      <c r="AA843">
        <v>140</v>
      </c>
      <c r="AB843" t="s">
        <v>2248</v>
      </c>
      <c r="AC843" t="str">
        <f>HYPERLINK("plots/20251231112652_3FT6Y119H04_05543_B21P_N_UFLEX98_M5358A8BA201511/dpll_52094/txpa_54199.png","plot")</f>
        <v>plot</v>
      </c>
    </row>
    <row r="844" spans="1:29" x14ac:dyDescent="0.35">
      <c r="A844" t="s">
        <v>47</v>
      </c>
      <c r="B844">
        <v>52094</v>
      </c>
      <c r="C844" t="s">
        <v>53</v>
      </c>
      <c r="D844">
        <v>54200</v>
      </c>
      <c r="E844" t="s">
        <v>220</v>
      </c>
      <c r="F844">
        <v>7139</v>
      </c>
      <c r="G844">
        <v>0.38107907265839119</v>
      </c>
      <c r="H844">
        <v>1.6359352474285681E-245</v>
      </c>
      <c r="I844">
        <v>3.071922853504755E-244</v>
      </c>
      <c r="J844">
        <v>0.35247550730782601</v>
      </c>
      <c r="K844">
        <v>6.7710657510152222E-208</v>
      </c>
      <c r="L844">
        <v>3.6913229416824918E-207</v>
      </c>
      <c r="M844">
        <v>0.23831989641867429</v>
      </c>
      <c r="N844">
        <v>2.6308303878088182E-200</v>
      </c>
      <c r="O844">
        <v>1.3405336749940409E-199</v>
      </c>
      <c r="P844">
        <v>0.14522125961817939</v>
      </c>
      <c r="Q844">
        <v>0.7028327465105737</v>
      </c>
      <c r="R844">
        <v>5.1013308868898743</v>
      </c>
      <c r="S844">
        <v>0.21167242190228011</v>
      </c>
      <c r="T844">
        <v>0.1655556631786467</v>
      </c>
      <c r="U844">
        <v>4.2555146084885838</v>
      </c>
      <c r="V844">
        <v>0.12414549193133841</v>
      </c>
      <c r="W844">
        <v>8.0922459069897741</v>
      </c>
      <c r="X844">
        <v>0.22896433659379939</v>
      </c>
      <c r="Z844" t="s">
        <v>392</v>
      </c>
      <c r="AA844">
        <v>140</v>
      </c>
      <c r="AB844" t="s">
        <v>2249</v>
      </c>
      <c r="AC844" t="str">
        <f>HYPERLINK("plots/20251231112652_3FT6Y119H04_05543_B21P_N_UFLEX98_M5358A8BA201511/dpll_52094/txpa_54200.png","plot")</f>
        <v>plot</v>
      </c>
    </row>
    <row r="845" spans="1:29" x14ac:dyDescent="0.35">
      <c r="A845" t="s">
        <v>47</v>
      </c>
      <c r="B845">
        <v>52094</v>
      </c>
      <c r="C845" t="s">
        <v>53</v>
      </c>
      <c r="D845">
        <v>54201</v>
      </c>
      <c r="E845" t="s">
        <v>221</v>
      </c>
      <c r="F845">
        <v>7139</v>
      </c>
      <c r="G845">
        <v>0.29310568702936091</v>
      </c>
      <c r="H845">
        <v>1.9723949599062831E-141</v>
      </c>
      <c r="I845">
        <v>4.5249060844908852E-141</v>
      </c>
      <c r="J845">
        <v>0.26442879813641779</v>
      </c>
      <c r="K845">
        <v>1.630980915217647E-114</v>
      </c>
      <c r="L845">
        <v>3.3545936065531321E-114</v>
      </c>
      <c r="M845">
        <v>0.17780625468776251</v>
      </c>
      <c r="N845">
        <v>2.151382892294409E-112</v>
      </c>
      <c r="O845">
        <v>4.4429781115815297E-112</v>
      </c>
      <c r="P845">
        <v>8.5910943768953668E-2</v>
      </c>
      <c r="Q845">
        <v>0.61736031665870561</v>
      </c>
      <c r="R845">
        <v>5.4904503483228062</v>
      </c>
      <c r="S845">
        <v>0.24998229699252461</v>
      </c>
      <c r="T845">
        <v>0.1969981476872314</v>
      </c>
      <c r="U845">
        <v>4.2555146084885838</v>
      </c>
      <c r="V845">
        <v>0.12414549193133841</v>
      </c>
      <c r="W845">
        <v>8.1176361945650655</v>
      </c>
      <c r="X845">
        <v>0.26148417994634282</v>
      </c>
      <c r="Z845" t="s">
        <v>392</v>
      </c>
      <c r="AA845">
        <v>140</v>
      </c>
      <c r="AB845" t="s">
        <v>2250</v>
      </c>
      <c r="AC845" t="str">
        <f>HYPERLINK("plots/20251231112652_3FT6Y119H04_05543_B21P_N_UFLEX98_M5358A8BA201511/dpll_52094/txpa_54201.png","plot")</f>
        <v>plot</v>
      </c>
    </row>
    <row r="846" spans="1:29" x14ac:dyDescent="0.35">
      <c r="A846" t="s">
        <v>47</v>
      </c>
      <c r="B846">
        <v>52094</v>
      </c>
      <c r="C846" t="s">
        <v>53</v>
      </c>
      <c r="D846">
        <v>54202</v>
      </c>
      <c r="E846" t="s">
        <v>222</v>
      </c>
      <c r="F846">
        <v>7139</v>
      </c>
      <c r="G846">
        <v>0.209690996220325</v>
      </c>
      <c r="H846">
        <v>9.2126948187890294E-72</v>
      </c>
      <c r="I846">
        <v>1.1900219804142771E-71</v>
      </c>
      <c r="J846">
        <v>0.17068738117673221</v>
      </c>
      <c r="K846">
        <v>8.2909664735642464E-48</v>
      </c>
      <c r="L846">
        <v>1.010461538965643E-47</v>
      </c>
      <c r="M846">
        <v>0.1138405559430604</v>
      </c>
      <c r="N846">
        <v>3.6390080062411669E-47</v>
      </c>
      <c r="O846">
        <v>4.4350410076064223E-47</v>
      </c>
      <c r="P846">
        <v>4.3970313895872352E-2</v>
      </c>
      <c r="Q846">
        <v>0.67571771877901876</v>
      </c>
      <c r="R846">
        <v>4.6725702222980239</v>
      </c>
      <c r="S846">
        <v>0.39113055818676651</v>
      </c>
      <c r="T846">
        <v>0.32688015319635261</v>
      </c>
      <c r="U846">
        <v>4.2555146084885838</v>
      </c>
      <c r="V846">
        <v>0.12414549193133841</v>
      </c>
      <c r="W846">
        <v>7.548096845776719</v>
      </c>
      <c r="X846">
        <v>0.4000520294939206</v>
      </c>
      <c r="Z846" t="s">
        <v>392</v>
      </c>
      <c r="AA846">
        <v>140</v>
      </c>
      <c r="AB846" t="s">
        <v>2251</v>
      </c>
      <c r="AC846" t="str">
        <f>HYPERLINK("plots/20251231112652_3FT6Y119H04_05543_B21P_N_UFLEX98_M5358A8BA201511/dpll_52094/txpa_54202.png","plot")</f>
        <v>plot</v>
      </c>
    </row>
    <row r="847" spans="1:29" x14ac:dyDescent="0.35">
      <c r="A847" t="s">
        <v>47</v>
      </c>
      <c r="B847">
        <v>52094</v>
      </c>
      <c r="C847" t="s">
        <v>53</v>
      </c>
      <c r="D847">
        <v>54203</v>
      </c>
      <c r="E847" t="s">
        <v>223</v>
      </c>
      <c r="F847">
        <v>7139</v>
      </c>
      <c r="G847">
        <v>0.20206177832622851</v>
      </c>
      <c r="H847">
        <v>1.159694727493211E-66</v>
      </c>
      <c r="I847">
        <v>1.464421486523183E-66</v>
      </c>
      <c r="J847">
        <v>0.16263305669164099</v>
      </c>
      <c r="K847">
        <v>1.655694290208391E-43</v>
      </c>
      <c r="L847">
        <v>1.9798042573954109E-43</v>
      </c>
      <c r="M847">
        <v>0.1080881423838872</v>
      </c>
      <c r="N847">
        <v>1.0807617078269101E-42</v>
      </c>
      <c r="O847">
        <v>1.292325910066612E-42</v>
      </c>
      <c r="P847">
        <v>4.0828962260357891E-2</v>
      </c>
      <c r="Q847">
        <v>0.65258248597198221</v>
      </c>
      <c r="R847">
        <v>5.8509740823501426</v>
      </c>
      <c r="S847">
        <v>0.39264476007149812</v>
      </c>
      <c r="T847">
        <v>0.326238624753591</v>
      </c>
      <c r="U847">
        <v>4.2555146084885838</v>
      </c>
      <c r="V847">
        <v>0.12414549193133841</v>
      </c>
      <c r="W847">
        <v>8.628048384647709</v>
      </c>
      <c r="X847">
        <v>0.4009425949719625</v>
      </c>
      <c r="Z847" t="s">
        <v>392</v>
      </c>
      <c r="AA847">
        <v>140</v>
      </c>
      <c r="AB847" t="s">
        <v>2252</v>
      </c>
      <c r="AC847" t="str">
        <f>HYPERLINK("plots/20251231112652_3FT6Y119H04_05543_B21P_N_UFLEX98_M5358A8BA201511/dpll_52094/txpa_54203.png","plot")</f>
        <v>plot</v>
      </c>
    </row>
    <row r="848" spans="1:29" x14ac:dyDescent="0.35">
      <c r="A848" t="s">
        <v>47</v>
      </c>
      <c r="B848">
        <v>52094</v>
      </c>
      <c r="C848" t="s">
        <v>53</v>
      </c>
      <c r="D848">
        <v>54204</v>
      </c>
      <c r="E848" t="s">
        <v>224</v>
      </c>
      <c r="F848">
        <v>7139</v>
      </c>
      <c r="G848">
        <v>0.34122266679088908</v>
      </c>
      <c r="H848">
        <v>3.9576700389367611E-194</v>
      </c>
      <c r="I848">
        <v>1.8579062127230899E-193</v>
      </c>
      <c r="J848">
        <v>0.3333816276867686</v>
      </c>
      <c r="K848">
        <v>7.2081618465568338E-185</v>
      </c>
      <c r="L848">
        <v>2.9832963724116848E-184</v>
      </c>
      <c r="M848">
        <v>0.22462434267350501</v>
      </c>
      <c r="N848">
        <v>3.5343974978447089E-178</v>
      </c>
      <c r="O848">
        <v>1.427840264069536E-177</v>
      </c>
      <c r="P848">
        <v>0.1164329083318861</v>
      </c>
      <c r="Q848">
        <v>0.72017957498033869</v>
      </c>
      <c r="R848">
        <v>5.9205613536861748</v>
      </c>
      <c r="S848">
        <v>0.2462766446770501</v>
      </c>
      <c r="T848">
        <v>0.1902511497481226</v>
      </c>
      <c r="U848">
        <v>4.2555146084885838</v>
      </c>
      <c r="V848">
        <v>0.12414549193133841</v>
      </c>
      <c r="W848">
        <v>8.9852960557501049</v>
      </c>
      <c r="X848">
        <v>0.26201966140082811</v>
      </c>
      <c r="Z848" t="s">
        <v>392</v>
      </c>
      <c r="AA848">
        <v>140</v>
      </c>
      <c r="AB848" t="s">
        <v>2253</v>
      </c>
      <c r="AC848" t="str">
        <f>HYPERLINK("plots/20251231112652_3FT6Y119H04_05543_B21P_N_UFLEX98_M5358A8BA201511/dpll_52094/txpa_54204.png","plot")</f>
        <v>plot</v>
      </c>
    </row>
    <row r="849" spans="1:29" x14ac:dyDescent="0.35">
      <c r="A849" t="s">
        <v>47</v>
      </c>
      <c r="B849">
        <v>52094</v>
      </c>
      <c r="C849" t="s">
        <v>53</v>
      </c>
      <c r="D849">
        <v>54205</v>
      </c>
      <c r="E849" t="s">
        <v>225</v>
      </c>
      <c r="F849">
        <v>7139</v>
      </c>
      <c r="G849">
        <v>0.28481758383035999</v>
      </c>
      <c r="H849">
        <v>2.5536224699039019E-133</v>
      </c>
      <c r="I849">
        <v>5.3945274676719919E-133</v>
      </c>
      <c r="J849">
        <v>0.26176860317995138</v>
      </c>
      <c r="K849">
        <v>3.5279546226201012E-112</v>
      </c>
      <c r="L849">
        <v>7.1546919746735644E-112</v>
      </c>
      <c r="M849">
        <v>0.1765558634080453</v>
      </c>
      <c r="N849">
        <v>7.5893324257114289E-111</v>
      </c>
      <c r="O849">
        <v>1.5422010179702179E-110</v>
      </c>
      <c r="P849">
        <v>8.1121056058964178E-2</v>
      </c>
      <c r="Q849">
        <v>0.66463636937112724</v>
      </c>
      <c r="R849">
        <v>6.3515690529977373</v>
      </c>
      <c r="S849">
        <v>0.27768152710089211</v>
      </c>
      <c r="T849">
        <v>0.22076263688078371</v>
      </c>
      <c r="U849">
        <v>4.2555146084885838</v>
      </c>
      <c r="V849">
        <v>0.12414549193133841</v>
      </c>
      <c r="W849">
        <v>9.179938832189384</v>
      </c>
      <c r="X849">
        <v>0.28969984198792298</v>
      </c>
      <c r="Z849" t="s">
        <v>392</v>
      </c>
      <c r="AA849">
        <v>140</v>
      </c>
      <c r="AB849" t="s">
        <v>2254</v>
      </c>
      <c r="AC849" t="str">
        <f>HYPERLINK("plots/20251231112652_3FT6Y119H04_05543_B21P_N_UFLEX98_M5358A8BA201511/dpll_52094/txpa_54205.png","plot")</f>
        <v>plot</v>
      </c>
    </row>
    <row r="850" spans="1:29" x14ac:dyDescent="0.35">
      <c r="A850" t="s">
        <v>47</v>
      </c>
      <c r="B850">
        <v>52094</v>
      </c>
      <c r="C850" t="s">
        <v>53</v>
      </c>
      <c r="D850">
        <v>54206</v>
      </c>
      <c r="E850" t="s">
        <v>226</v>
      </c>
      <c r="F850">
        <v>7139</v>
      </c>
      <c r="G850">
        <v>0.37220845819373738</v>
      </c>
      <c r="H850">
        <v>1.959165484324769E-233</v>
      </c>
      <c r="I850">
        <v>2.5799919494874228E-232</v>
      </c>
      <c r="J850">
        <v>0.35540820754988961</v>
      </c>
      <c r="K850">
        <v>1.409022788106693E-211</v>
      </c>
      <c r="L850">
        <v>8.3066808554662043E-211</v>
      </c>
      <c r="M850">
        <v>0.24119575692309539</v>
      </c>
      <c r="N850">
        <v>4.044717377509329E-205</v>
      </c>
      <c r="O850">
        <v>2.2169423896186269E-204</v>
      </c>
      <c r="P850">
        <v>0.13853913635095921</v>
      </c>
      <c r="Q850">
        <v>0.74690784947618671</v>
      </c>
      <c r="R850">
        <v>5.8069479278232254</v>
      </c>
      <c r="S850">
        <v>0.23120599789318549</v>
      </c>
      <c r="T850">
        <v>0.1801867079664379</v>
      </c>
      <c r="U850">
        <v>4.2555146084885838</v>
      </c>
      <c r="V850">
        <v>0.12414549193133841</v>
      </c>
      <c r="W850">
        <v>8.9854251924639303</v>
      </c>
      <c r="X850">
        <v>0.24912180354680449</v>
      </c>
      <c r="Z850" t="s">
        <v>392</v>
      </c>
      <c r="AA850">
        <v>140</v>
      </c>
      <c r="AB850" t="s">
        <v>2255</v>
      </c>
      <c r="AC850" t="str">
        <f>HYPERLINK("plots/20251231112652_3FT6Y119H04_05543_B21P_N_UFLEX98_M5358A8BA201511/dpll_52094/txpa_54206.png","plot")</f>
        <v>plot</v>
      </c>
    </row>
    <row r="851" spans="1:29" x14ac:dyDescent="0.35">
      <c r="A851" t="s">
        <v>47</v>
      </c>
      <c r="B851">
        <v>52094</v>
      </c>
      <c r="C851" t="s">
        <v>53</v>
      </c>
      <c r="D851">
        <v>54207</v>
      </c>
      <c r="E851" t="s">
        <v>227</v>
      </c>
      <c r="F851">
        <v>7139</v>
      </c>
      <c r="G851">
        <v>0.31405229624708569</v>
      </c>
      <c r="H851">
        <v>3.5588331122824953E-163</v>
      </c>
      <c r="I851">
        <v>1.03399907617606E-162</v>
      </c>
      <c r="J851">
        <v>0.27847309258986258</v>
      </c>
      <c r="K851">
        <v>2.708746432724433E-127</v>
      </c>
      <c r="L851">
        <v>6.3141813397300577E-127</v>
      </c>
      <c r="M851">
        <v>0.1868467849659371</v>
      </c>
      <c r="N851">
        <v>6.5841591342392964E-124</v>
      </c>
      <c r="O851">
        <v>1.5242779365567681E-123</v>
      </c>
      <c r="P851">
        <v>9.8628844778067271E-2</v>
      </c>
      <c r="Q851">
        <v>0.67173553616557269</v>
      </c>
      <c r="R851">
        <v>6.2848299876489104</v>
      </c>
      <c r="S851">
        <v>0.25208599204760701</v>
      </c>
      <c r="T851">
        <v>0.20110293798912121</v>
      </c>
      <c r="U851">
        <v>4.2555146084885838</v>
      </c>
      <c r="V851">
        <v>0.12414549193133841</v>
      </c>
      <c r="W851">
        <v>9.143410374842416</v>
      </c>
      <c r="X851">
        <v>0.2655383819242183</v>
      </c>
      <c r="Z851" t="s">
        <v>392</v>
      </c>
      <c r="AA851">
        <v>140</v>
      </c>
      <c r="AB851" t="s">
        <v>2256</v>
      </c>
      <c r="AC851" t="str">
        <f>HYPERLINK("plots/20251231112652_3FT6Y119H04_05543_B21P_N_UFLEX98_M5358A8BA201511/dpll_52094/txpa_54207.png","plot")</f>
        <v>plot</v>
      </c>
    </row>
    <row r="852" spans="1:29" x14ac:dyDescent="0.35">
      <c r="A852" t="s">
        <v>47</v>
      </c>
      <c r="B852">
        <v>52094</v>
      </c>
      <c r="C852" t="s">
        <v>53</v>
      </c>
      <c r="D852">
        <v>54208</v>
      </c>
      <c r="E852" t="s">
        <v>228</v>
      </c>
      <c r="F852">
        <v>7139</v>
      </c>
      <c r="G852">
        <v>0.39011513449730417</v>
      </c>
      <c r="H852">
        <v>3.2907115954590631E-258</v>
      </c>
      <c r="I852">
        <v>9.8140634052808526E-257</v>
      </c>
      <c r="J852">
        <v>0.36389364783301459</v>
      </c>
      <c r="K852">
        <v>1.8788122576286181E-222</v>
      </c>
      <c r="L852">
        <v>1.43241776634242E-221</v>
      </c>
      <c r="M852">
        <v>0.24669563999221311</v>
      </c>
      <c r="N852">
        <v>1.747883997299327E-214</v>
      </c>
      <c r="O852">
        <v>1.2308016480982761E-213</v>
      </c>
      <c r="P852">
        <v>0.1521898181638498</v>
      </c>
      <c r="Q852">
        <v>0.70750109295411101</v>
      </c>
      <c r="R852">
        <v>6.0489011152821526</v>
      </c>
      <c r="S852">
        <v>0.2072927745934818</v>
      </c>
      <c r="T852">
        <v>0.16093014318916929</v>
      </c>
      <c r="U852">
        <v>4.2555146084885838</v>
      </c>
      <c r="V852">
        <v>0.12414549193133841</v>
      </c>
      <c r="W852">
        <v>9.0596823518700109</v>
      </c>
      <c r="X852">
        <v>0.22514653613715321</v>
      </c>
      <c r="Z852" t="s">
        <v>392</v>
      </c>
      <c r="AA852">
        <v>140</v>
      </c>
      <c r="AB852" t="s">
        <v>2257</v>
      </c>
      <c r="AC852" t="str">
        <f>HYPERLINK("plots/20251231112652_3FT6Y119H04_05543_B21P_N_UFLEX98_M5358A8BA201511/dpll_52094/txpa_54208.png","plot")</f>
        <v>plot</v>
      </c>
    </row>
    <row r="853" spans="1:29" x14ac:dyDescent="0.35">
      <c r="A853" t="s">
        <v>47</v>
      </c>
      <c r="B853">
        <v>52094</v>
      </c>
      <c r="C853" t="s">
        <v>53</v>
      </c>
      <c r="D853">
        <v>54209</v>
      </c>
      <c r="E853" t="s">
        <v>229</v>
      </c>
      <c r="F853">
        <v>7139</v>
      </c>
      <c r="G853">
        <v>0.30527761551109089</v>
      </c>
      <c r="H853">
        <v>7.5725641414995486E-154</v>
      </c>
      <c r="I853">
        <v>2.0153753384463371E-153</v>
      </c>
      <c r="J853">
        <v>0.27631373855428448</v>
      </c>
      <c r="K853">
        <v>2.8023117981154462E-125</v>
      </c>
      <c r="L853">
        <v>6.3854925017731736E-125</v>
      </c>
      <c r="M853">
        <v>0.18606570592901189</v>
      </c>
      <c r="N853">
        <v>6.8509472262875686E-123</v>
      </c>
      <c r="O853">
        <v>1.5610922443720439E-122</v>
      </c>
      <c r="P853">
        <v>9.3194422532137444E-2</v>
      </c>
      <c r="Q853">
        <v>0.62529636574747105</v>
      </c>
      <c r="R853">
        <v>6.4256480139566516</v>
      </c>
      <c r="S853">
        <v>0.24212998193926741</v>
      </c>
      <c r="T853">
        <v>0.19037407195833961</v>
      </c>
      <c r="U853">
        <v>4.2555146084885838</v>
      </c>
      <c r="V853">
        <v>0.12414549193133841</v>
      </c>
      <c r="W853">
        <v>9.0866058330298358</v>
      </c>
      <c r="X853">
        <v>0.25428567632983767</v>
      </c>
      <c r="Z853" t="s">
        <v>392</v>
      </c>
      <c r="AA853">
        <v>140</v>
      </c>
      <c r="AB853" t="s">
        <v>2258</v>
      </c>
      <c r="AC853" t="str">
        <f>HYPERLINK("plots/20251231112652_3FT6Y119H04_05543_B21P_N_UFLEX98_M5358A8BA201511/dpll_52094/txpa_54209.png","plot")</f>
        <v>plot</v>
      </c>
    </row>
    <row r="854" spans="1:29" x14ac:dyDescent="0.35">
      <c r="A854" t="s">
        <v>47</v>
      </c>
      <c r="B854">
        <v>52094</v>
      </c>
      <c r="C854" t="s">
        <v>53</v>
      </c>
      <c r="D854">
        <v>54210</v>
      </c>
      <c r="E854" t="s">
        <v>230</v>
      </c>
      <c r="F854">
        <v>7139</v>
      </c>
      <c r="G854">
        <v>0.21949620669936559</v>
      </c>
      <c r="H854">
        <v>1.281585771508428E-78</v>
      </c>
      <c r="I854">
        <v>1.7350173195054021E-78</v>
      </c>
      <c r="J854">
        <v>0.17857581020219729</v>
      </c>
      <c r="K854">
        <v>3.1254981656758919E-52</v>
      </c>
      <c r="L854">
        <v>3.932078337463219E-52</v>
      </c>
      <c r="M854">
        <v>0.1191229375642732</v>
      </c>
      <c r="N854">
        <v>1.7836507503536859E-51</v>
      </c>
      <c r="O854">
        <v>2.2383933921517801E-51</v>
      </c>
      <c r="P854">
        <v>4.8178584755410647E-2</v>
      </c>
      <c r="Q854">
        <v>0.67857313667179653</v>
      </c>
      <c r="R854">
        <v>5.6637001206342497</v>
      </c>
      <c r="S854">
        <v>0.3744104090062369</v>
      </c>
      <c r="T854">
        <v>0.31238842303647218</v>
      </c>
      <c r="U854">
        <v>4.2555146084885838</v>
      </c>
      <c r="V854">
        <v>0.12414549193133841</v>
      </c>
      <c r="W854">
        <v>8.5513780166690001</v>
      </c>
      <c r="X854">
        <v>0.38379613538786012</v>
      </c>
      <c r="Z854" t="s">
        <v>392</v>
      </c>
      <c r="AA854">
        <v>140</v>
      </c>
      <c r="AB854" t="s">
        <v>2259</v>
      </c>
      <c r="AC854" t="str">
        <f>HYPERLINK("plots/20251231112652_3FT6Y119H04_05543_B21P_N_UFLEX98_M5358A8BA201511/dpll_52094/txpa_54210.png","plot")</f>
        <v>plot</v>
      </c>
    </row>
    <row r="855" spans="1:29" x14ac:dyDescent="0.35">
      <c r="A855" t="s">
        <v>47</v>
      </c>
      <c r="B855">
        <v>52094</v>
      </c>
      <c r="C855" t="s">
        <v>53</v>
      </c>
      <c r="D855">
        <v>54211</v>
      </c>
      <c r="E855" t="s">
        <v>231</v>
      </c>
      <c r="F855">
        <v>7139</v>
      </c>
      <c r="G855">
        <v>0.213589024626332</v>
      </c>
      <c r="H855">
        <v>1.903043745855575E-74</v>
      </c>
      <c r="I855">
        <v>2.5060861796072119E-74</v>
      </c>
      <c r="J855">
        <v>0.173094723632949</v>
      </c>
      <c r="K855">
        <v>3.898765831081332E-49</v>
      </c>
      <c r="L855">
        <v>4.7919376396563282E-49</v>
      </c>
      <c r="M855">
        <v>0.1150589938732033</v>
      </c>
      <c r="N855">
        <v>3.8372548424618429E-48</v>
      </c>
      <c r="O855">
        <v>4.6935782994647868E-48</v>
      </c>
      <c r="P855">
        <v>4.5620271440827871E-2</v>
      </c>
      <c r="Q855">
        <v>0.66136603403236061</v>
      </c>
      <c r="R855">
        <v>6.7793287900862449</v>
      </c>
      <c r="S855">
        <v>0.37551223524298089</v>
      </c>
      <c r="T855">
        <v>0.31105188058860339</v>
      </c>
      <c r="U855">
        <v>4.2555146084885838</v>
      </c>
      <c r="V855">
        <v>0.12414549193133841</v>
      </c>
      <c r="W855">
        <v>9.5937816094691133</v>
      </c>
      <c r="X855">
        <v>0.38440931965145281</v>
      </c>
      <c r="Z855" t="s">
        <v>392</v>
      </c>
      <c r="AA855">
        <v>140</v>
      </c>
      <c r="AB855" t="s">
        <v>2260</v>
      </c>
      <c r="AC855" t="str">
        <f>HYPERLINK("plots/20251231112652_3FT6Y119H04_05543_B21P_N_UFLEX98_M5358A8BA201511/dpll_52094/txpa_54211.png","plot")</f>
        <v>plot</v>
      </c>
    </row>
    <row r="856" spans="1:29" x14ac:dyDescent="0.35">
      <c r="A856" t="s">
        <v>47</v>
      </c>
      <c r="B856">
        <v>52094</v>
      </c>
      <c r="C856" t="s">
        <v>53</v>
      </c>
      <c r="D856">
        <v>54212</v>
      </c>
      <c r="E856" t="s">
        <v>232</v>
      </c>
      <c r="F856">
        <v>7139</v>
      </c>
      <c r="G856">
        <v>0.35094449051688947</v>
      </c>
      <c r="H856">
        <v>5.4598422044884741E-206</v>
      </c>
      <c r="I856">
        <v>3.2375906405563229E-205</v>
      </c>
      <c r="J856">
        <v>0.34619249884825481</v>
      </c>
      <c r="K856">
        <v>3.8662595865443041E-200</v>
      </c>
      <c r="L856">
        <v>1.849239255073549E-199</v>
      </c>
      <c r="M856">
        <v>0.23402053441639151</v>
      </c>
      <c r="N856">
        <v>3.2124663567860421E-193</v>
      </c>
      <c r="O856">
        <v>1.473955151937125E-192</v>
      </c>
      <c r="P856">
        <v>0.1231620354241591</v>
      </c>
      <c r="Q856">
        <v>0.72785828619454163</v>
      </c>
      <c r="R856">
        <v>6.8289116393225964</v>
      </c>
      <c r="S856">
        <v>0.2410841223282279</v>
      </c>
      <c r="T856">
        <v>0.18496861676429921</v>
      </c>
      <c r="U856">
        <v>4.2555146084885838</v>
      </c>
      <c r="V856">
        <v>0.12414549193133841</v>
      </c>
      <c r="W856">
        <v>9.9263232091329332</v>
      </c>
      <c r="X856">
        <v>0.25747754256758609</v>
      </c>
      <c r="Z856" t="s">
        <v>392</v>
      </c>
      <c r="AA856">
        <v>140</v>
      </c>
      <c r="AB856" t="s">
        <v>2261</v>
      </c>
      <c r="AC856" t="str">
        <f>HYPERLINK("plots/20251231112652_3FT6Y119H04_05543_B21P_N_UFLEX98_M5358A8BA201511/dpll_52094/txpa_54212.png","plot")</f>
        <v>plot</v>
      </c>
    </row>
    <row r="857" spans="1:29" x14ac:dyDescent="0.35">
      <c r="A857" t="s">
        <v>47</v>
      </c>
      <c r="B857">
        <v>52094</v>
      </c>
      <c r="C857" t="s">
        <v>53</v>
      </c>
      <c r="D857">
        <v>54213</v>
      </c>
      <c r="E857" t="s">
        <v>233</v>
      </c>
      <c r="F857">
        <v>7139</v>
      </c>
      <c r="G857">
        <v>0.29854450419106582</v>
      </c>
      <c r="H857">
        <v>6.6328898360828412E-147</v>
      </c>
      <c r="I857">
        <v>1.624577365649276E-146</v>
      </c>
      <c r="J857">
        <v>0.27791406147070158</v>
      </c>
      <c r="K857">
        <v>9.038851045872061E-127</v>
      </c>
      <c r="L857">
        <v>2.092555927058052E-126</v>
      </c>
      <c r="M857">
        <v>0.18776773281093581</v>
      </c>
      <c r="N857">
        <v>4.1059482000987451E-125</v>
      </c>
      <c r="O857">
        <v>9.682398778837506E-125</v>
      </c>
      <c r="P857">
        <v>8.9128820982689289E-2</v>
      </c>
      <c r="Q857">
        <v>0.67472580804101512</v>
      </c>
      <c r="R857">
        <v>7.2309186655043032</v>
      </c>
      <c r="S857">
        <v>0.26776095987424609</v>
      </c>
      <c r="T857">
        <v>0.21115474373345181</v>
      </c>
      <c r="U857">
        <v>4.2555146084885838</v>
      </c>
      <c r="V857">
        <v>0.12414549193133841</v>
      </c>
      <c r="W857">
        <v>10.102224198347111</v>
      </c>
      <c r="X857">
        <v>0.28057514434904252</v>
      </c>
      <c r="Z857" t="s">
        <v>392</v>
      </c>
      <c r="AA857">
        <v>140</v>
      </c>
      <c r="AB857" t="s">
        <v>2262</v>
      </c>
      <c r="AC857" t="str">
        <f>HYPERLINK("plots/20251231112652_3FT6Y119H04_05543_B21P_N_UFLEX98_M5358A8BA201511/dpll_52094/txpa_54213.png","plot")</f>
        <v>plot</v>
      </c>
    </row>
    <row r="858" spans="1:29" x14ac:dyDescent="0.35">
      <c r="A858" t="s">
        <v>47</v>
      </c>
      <c r="B858">
        <v>52094</v>
      </c>
      <c r="C858" t="s">
        <v>53</v>
      </c>
      <c r="D858">
        <v>54214</v>
      </c>
      <c r="E858" t="s">
        <v>234</v>
      </c>
      <c r="F858">
        <v>7139</v>
      </c>
      <c r="G858">
        <v>0.38135853107129403</v>
      </c>
      <c r="H858">
        <v>6.7156577771990722E-246</v>
      </c>
      <c r="I858">
        <v>1.309553266553819E-244</v>
      </c>
      <c r="J858">
        <v>0.36676360181181478</v>
      </c>
      <c r="K858">
        <v>3.312162698231489E-226</v>
      </c>
      <c r="L858">
        <v>2.8222966184930498E-225</v>
      </c>
      <c r="M858">
        <v>0.2497506549393472</v>
      </c>
      <c r="N858">
        <v>8.9013170019177467E-220</v>
      </c>
      <c r="O858">
        <v>6.9968491782516239E-219</v>
      </c>
      <c r="P858">
        <v>0.14543432922085511</v>
      </c>
      <c r="Q858">
        <v>0.75312755345933458</v>
      </c>
      <c r="R858">
        <v>6.7209495745739396</v>
      </c>
      <c r="S858">
        <v>0.22662526579924511</v>
      </c>
      <c r="T858">
        <v>0.17539541464776121</v>
      </c>
      <c r="U858">
        <v>4.2555146084885838</v>
      </c>
      <c r="V858">
        <v>0.12414549193133841</v>
      </c>
      <c r="W858">
        <v>9.9258948803754041</v>
      </c>
      <c r="X858">
        <v>0.2451692645988699</v>
      </c>
      <c r="Z858" t="s">
        <v>392</v>
      </c>
      <c r="AA858">
        <v>140</v>
      </c>
      <c r="AB858" t="s">
        <v>2263</v>
      </c>
      <c r="AC858" t="str">
        <f>HYPERLINK("plots/20251231112652_3FT6Y119H04_05543_B21P_N_UFLEX98_M5358A8BA201511/dpll_52094/txpa_54214.png","plot")</f>
        <v>plot</v>
      </c>
    </row>
    <row r="859" spans="1:29" x14ac:dyDescent="0.35">
      <c r="A859" t="s">
        <v>47</v>
      </c>
      <c r="B859">
        <v>52094</v>
      </c>
      <c r="C859" t="s">
        <v>53</v>
      </c>
      <c r="D859">
        <v>54215</v>
      </c>
      <c r="E859" t="s">
        <v>235</v>
      </c>
      <c r="F859">
        <v>7139</v>
      </c>
      <c r="G859">
        <v>0.32807507330831309</v>
      </c>
      <c r="H859">
        <v>9.3915128182067886E-179</v>
      </c>
      <c r="I859">
        <v>3.3065951380769741E-178</v>
      </c>
      <c r="J859">
        <v>0.29409688529156702</v>
      </c>
      <c r="K859">
        <v>2.02495892198966E-142</v>
      </c>
      <c r="L859">
        <v>5.3611183992102239E-142</v>
      </c>
      <c r="M859">
        <v>0.1977877712088433</v>
      </c>
      <c r="N859">
        <v>1.327501662233736E-138</v>
      </c>
      <c r="O859">
        <v>3.4872712059715232E-138</v>
      </c>
      <c r="P859">
        <v>0.107633253726255</v>
      </c>
      <c r="Q859">
        <v>0.682012387806612</v>
      </c>
      <c r="R859">
        <v>7.172523345872472</v>
      </c>
      <c r="S859">
        <v>0.24377617148326799</v>
      </c>
      <c r="T859">
        <v>0.19307323742039159</v>
      </c>
      <c r="U859">
        <v>4.2555146084885838</v>
      </c>
      <c r="V859">
        <v>0.12414549193133841</v>
      </c>
      <c r="W859">
        <v>10.074837025353689</v>
      </c>
      <c r="X859">
        <v>0.25807740446025879</v>
      </c>
      <c r="Z859" t="s">
        <v>392</v>
      </c>
      <c r="AA859">
        <v>140</v>
      </c>
      <c r="AB859" t="s">
        <v>2264</v>
      </c>
      <c r="AC859" t="str">
        <f>HYPERLINK("plots/20251231112652_3FT6Y119H04_05543_B21P_N_UFLEX98_M5358A8BA201511/dpll_52094/txpa_54215.png","plot")</f>
        <v>plot</v>
      </c>
    </row>
    <row r="860" spans="1:29" x14ac:dyDescent="0.35">
      <c r="A860" t="s">
        <v>47</v>
      </c>
      <c r="B860">
        <v>52094</v>
      </c>
      <c r="C860" t="s">
        <v>53</v>
      </c>
      <c r="D860">
        <v>54216</v>
      </c>
      <c r="E860" t="s">
        <v>236</v>
      </c>
      <c r="F860">
        <v>7139</v>
      </c>
      <c r="G860">
        <v>0.40003222423237322</v>
      </c>
      <c r="H860">
        <v>1.305631464444629E-272</v>
      </c>
      <c r="I860">
        <v>1.103258587455711E-270</v>
      </c>
      <c r="J860">
        <v>0.37679753963616669</v>
      </c>
      <c r="K860">
        <v>1.232343165945715E-239</v>
      </c>
      <c r="L860">
        <v>1.3016624690301611E-238</v>
      </c>
      <c r="M860">
        <v>0.25645578156129673</v>
      </c>
      <c r="N860">
        <v>1.2751348882541E-231</v>
      </c>
      <c r="O860">
        <v>1.267634094793782E-230</v>
      </c>
      <c r="P860">
        <v>0.16002578042429971</v>
      </c>
      <c r="Q860">
        <v>0.7162074263004311</v>
      </c>
      <c r="R860">
        <v>6.9455349635400951</v>
      </c>
      <c r="S860">
        <v>0.20369358694627429</v>
      </c>
      <c r="T860">
        <v>0.15668130129375771</v>
      </c>
      <c r="U860">
        <v>4.2555146084885838</v>
      </c>
      <c r="V860">
        <v>0.12414549193133841</v>
      </c>
      <c r="W860">
        <v>9.9933661288695905</v>
      </c>
      <c r="X860">
        <v>0.22226690220659809</v>
      </c>
      <c r="Z860" t="s">
        <v>392</v>
      </c>
      <c r="AA860">
        <v>140</v>
      </c>
      <c r="AB860" t="s">
        <v>2265</v>
      </c>
      <c r="AC860" t="str">
        <f>HYPERLINK("plots/20251231112652_3FT6Y119H04_05543_B21P_N_UFLEX98_M5358A8BA201511/dpll_52094/txpa_54216.png","plot")</f>
        <v>plot</v>
      </c>
    </row>
    <row r="861" spans="1:29" x14ac:dyDescent="0.35">
      <c r="A861" t="s">
        <v>47</v>
      </c>
      <c r="B861">
        <v>52094</v>
      </c>
      <c r="C861" t="s">
        <v>53</v>
      </c>
      <c r="D861">
        <v>54217</v>
      </c>
      <c r="E861" t="s">
        <v>237</v>
      </c>
      <c r="F861">
        <v>7139</v>
      </c>
      <c r="G861">
        <v>0.31932994258886882</v>
      </c>
      <c r="H861">
        <v>6.1093055538153308E-169</v>
      </c>
      <c r="I861">
        <v>1.9002563900517619E-168</v>
      </c>
      <c r="J861">
        <v>0.29028448038555438</v>
      </c>
      <c r="K861">
        <v>1.222164079615342E-138</v>
      </c>
      <c r="L861">
        <v>3.1533699153434019E-138</v>
      </c>
      <c r="M861">
        <v>0.19581348066421561</v>
      </c>
      <c r="N861">
        <v>6.8629535641737767E-136</v>
      </c>
      <c r="O861">
        <v>1.7573320490081339E-135</v>
      </c>
      <c r="P861">
        <v>0.10197161223381029</v>
      </c>
      <c r="Q861">
        <v>0.63725413022086508</v>
      </c>
      <c r="R861">
        <v>7.3093096787325944</v>
      </c>
      <c r="S861">
        <v>0.23475701749490921</v>
      </c>
      <c r="T861">
        <v>0.18398368664807069</v>
      </c>
      <c r="U861">
        <v>4.2555146084885838</v>
      </c>
      <c r="V861">
        <v>0.12414549193133841</v>
      </c>
      <c r="W861">
        <v>10.021153939207171</v>
      </c>
      <c r="X861">
        <v>0.24774447031233121</v>
      </c>
      <c r="Z861" t="s">
        <v>392</v>
      </c>
      <c r="AA861">
        <v>140</v>
      </c>
      <c r="AB861" t="s">
        <v>2266</v>
      </c>
      <c r="AC861" t="str">
        <f>HYPERLINK("plots/20251231112652_3FT6Y119H04_05543_B21P_N_UFLEX98_M5358A8BA201511/dpll_52094/txpa_54217.png","plot")</f>
        <v>plot</v>
      </c>
    </row>
    <row r="862" spans="1:29" x14ac:dyDescent="0.35">
      <c r="A862" t="s">
        <v>47</v>
      </c>
      <c r="B862">
        <v>52094</v>
      </c>
      <c r="C862" t="s">
        <v>53</v>
      </c>
      <c r="D862">
        <v>54218</v>
      </c>
      <c r="E862" t="s">
        <v>238</v>
      </c>
      <c r="F862">
        <v>7139</v>
      </c>
      <c r="G862">
        <v>0.23117630369208311</v>
      </c>
      <c r="H862">
        <v>3.095657334721627E-87</v>
      </c>
      <c r="I862">
        <v>4.4461707328721382E-87</v>
      </c>
      <c r="J862">
        <v>0.18804612900625811</v>
      </c>
      <c r="K862">
        <v>8.026916234482219E-58</v>
      </c>
      <c r="L862">
        <v>1.057051046982464E-57</v>
      </c>
      <c r="M862">
        <v>0.12546790641057209</v>
      </c>
      <c r="N862">
        <v>6.586221565938915E-57</v>
      </c>
      <c r="O862">
        <v>8.6062225101315205E-57</v>
      </c>
      <c r="P862">
        <v>5.3442483388734217E-2</v>
      </c>
      <c r="Q862">
        <v>0.68513492445638102</v>
      </c>
      <c r="R862">
        <v>6.6063407496620634</v>
      </c>
      <c r="S862">
        <v>0.35793719421780967</v>
      </c>
      <c r="T862">
        <v>0.29796184569531392</v>
      </c>
      <c r="U862">
        <v>4.2555146084885838</v>
      </c>
      <c r="V862">
        <v>0.12414549193133841</v>
      </c>
      <c r="W862">
        <v>9.521942429471915</v>
      </c>
      <c r="X862">
        <v>0.36792876638978222</v>
      </c>
      <c r="Z862" t="s">
        <v>392</v>
      </c>
      <c r="AA862">
        <v>140</v>
      </c>
      <c r="AB862" t="s">
        <v>2267</v>
      </c>
      <c r="AC862" t="str">
        <f>HYPERLINK("plots/20251231112652_3FT6Y119H04_05543_B21P_N_UFLEX98_M5358A8BA201511/dpll_52094/txpa_54218.png","plot")</f>
        <v>plot</v>
      </c>
    </row>
    <row r="863" spans="1:29" x14ac:dyDescent="0.35">
      <c r="A863" t="s">
        <v>47</v>
      </c>
      <c r="B863">
        <v>52094</v>
      </c>
      <c r="C863" t="s">
        <v>53</v>
      </c>
      <c r="D863">
        <v>54219</v>
      </c>
      <c r="E863" t="s">
        <v>239</v>
      </c>
      <c r="F863">
        <v>7139</v>
      </c>
      <c r="G863">
        <v>0.2253049371216326</v>
      </c>
      <c r="H863">
        <v>7.6533639591877146E-83</v>
      </c>
      <c r="I863">
        <v>1.064541982800596E-82</v>
      </c>
      <c r="J863">
        <v>0.18421016148919209</v>
      </c>
      <c r="K863">
        <v>1.606515258509337E-55</v>
      </c>
      <c r="L863">
        <v>2.0568263536975599E-55</v>
      </c>
      <c r="M863">
        <v>0.1224434311579318</v>
      </c>
      <c r="N863">
        <v>2.7741810605956119E-54</v>
      </c>
      <c r="O863">
        <v>3.5339442153818482E-54</v>
      </c>
      <c r="P863">
        <v>5.0762314691382808E-2</v>
      </c>
      <c r="Q863">
        <v>0.66752860301523231</v>
      </c>
      <c r="R863">
        <v>7.7210626330963006</v>
      </c>
      <c r="S863">
        <v>0.35833331837856658</v>
      </c>
      <c r="T863">
        <v>0.29568771343734318</v>
      </c>
      <c r="U863">
        <v>4.2555146084885838</v>
      </c>
      <c r="V863">
        <v>0.12414549193133841</v>
      </c>
      <c r="W863">
        <v>10.561740354811599</v>
      </c>
      <c r="X863">
        <v>0.36781558299730788</v>
      </c>
      <c r="Z863" t="s">
        <v>392</v>
      </c>
      <c r="AA863">
        <v>140</v>
      </c>
      <c r="AB863" t="s">
        <v>2268</v>
      </c>
      <c r="AC863" t="str">
        <f>HYPERLINK("plots/20251231112652_3FT6Y119H04_05543_B21P_N_UFLEX98_M5358A8BA201511/dpll_52094/txpa_54219.png","plot")</f>
        <v>plot</v>
      </c>
    </row>
    <row r="864" spans="1:29" x14ac:dyDescent="0.35">
      <c r="A864" t="s">
        <v>47</v>
      </c>
      <c r="B864">
        <v>52094</v>
      </c>
      <c r="C864" t="s">
        <v>53</v>
      </c>
      <c r="D864">
        <v>54220</v>
      </c>
      <c r="E864" t="s">
        <v>240</v>
      </c>
      <c r="F864">
        <v>7139</v>
      </c>
      <c r="G864">
        <v>0.35892492017276811</v>
      </c>
      <c r="H864">
        <v>4.8101037609054631E-216</v>
      </c>
      <c r="I864">
        <v>3.5343805895348838E-215</v>
      </c>
      <c r="J864">
        <v>0.35870521327618582</v>
      </c>
      <c r="K864">
        <v>9.1807815351499794E-216</v>
      </c>
      <c r="L864">
        <v>6.0845179585895948E-215</v>
      </c>
      <c r="M864">
        <v>0.24346350447718609</v>
      </c>
      <c r="N864">
        <v>5.9072853543375618E-209</v>
      </c>
      <c r="O864">
        <v>3.4825507844757481E-208</v>
      </c>
      <c r="P864">
        <v>0.12882709832102801</v>
      </c>
      <c r="Q864">
        <v>0.73210462686990174</v>
      </c>
      <c r="R864">
        <v>7.7513848863963801</v>
      </c>
      <c r="S864">
        <v>0.23633184893779469</v>
      </c>
      <c r="T864">
        <v>0.17967682704184021</v>
      </c>
      <c r="U864">
        <v>4.2555146084885838</v>
      </c>
      <c r="V864">
        <v>0.12414549193133841</v>
      </c>
      <c r="W864">
        <v>10.866866820983329</v>
      </c>
      <c r="X864">
        <v>0.2532214508934747</v>
      </c>
      <c r="Z864" t="s">
        <v>392</v>
      </c>
      <c r="AA864">
        <v>140</v>
      </c>
      <c r="AB864" t="s">
        <v>2269</v>
      </c>
      <c r="AC864" t="str">
        <f>HYPERLINK("plots/20251231112652_3FT6Y119H04_05543_B21P_N_UFLEX98_M5358A8BA201511/dpll_52094/txpa_54220.png","plot")</f>
        <v>plot</v>
      </c>
    </row>
    <row r="865" spans="1:29" x14ac:dyDescent="0.35">
      <c r="A865" t="s">
        <v>47</v>
      </c>
      <c r="B865">
        <v>52094</v>
      </c>
      <c r="C865" t="s">
        <v>53</v>
      </c>
      <c r="D865">
        <v>54221</v>
      </c>
      <c r="E865" t="s">
        <v>241</v>
      </c>
      <c r="F865">
        <v>7139</v>
      </c>
      <c r="G865">
        <v>0.3112401439425454</v>
      </c>
      <c r="H865">
        <v>3.7636333175238239E-160</v>
      </c>
      <c r="I865">
        <v>1.0455682695805909E-159</v>
      </c>
      <c r="J865">
        <v>0.29590732370970052</v>
      </c>
      <c r="K865">
        <v>3.0941207813106369E-144</v>
      </c>
      <c r="L865">
        <v>8.3888729204518347E-144</v>
      </c>
      <c r="M865">
        <v>0.20051473561628341</v>
      </c>
      <c r="N865">
        <v>2.142305010996411E-142</v>
      </c>
      <c r="O865">
        <v>5.8552487362543403E-142</v>
      </c>
      <c r="P865">
        <v>9.6870427201376383E-2</v>
      </c>
      <c r="Q865">
        <v>0.68115791485461818</v>
      </c>
      <c r="R865">
        <v>8.1206705214971269</v>
      </c>
      <c r="S865">
        <v>0.25818307328586138</v>
      </c>
      <c r="T865">
        <v>0.20108264539081561</v>
      </c>
      <c r="U865">
        <v>4.2555146084885838</v>
      </c>
      <c r="V865">
        <v>0.12414549193133841</v>
      </c>
      <c r="W865">
        <v>11.019347978848581</v>
      </c>
      <c r="X865">
        <v>0.27169594304699168</v>
      </c>
      <c r="Z865" t="s">
        <v>392</v>
      </c>
      <c r="AA865">
        <v>140</v>
      </c>
      <c r="AB865" t="s">
        <v>2270</v>
      </c>
      <c r="AC865" t="str">
        <f>HYPERLINK("plots/20251231112652_3FT6Y119H04_05543_B21P_N_UFLEX98_M5358A8BA201511/dpll_52094/txpa_54221.png","plot")</f>
        <v>plot</v>
      </c>
    </row>
    <row r="866" spans="1:29" x14ac:dyDescent="0.35">
      <c r="A866" t="s">
        <v>47</v>
      </c>
      <c r="B866">
        <v>52094</v>
      </c>
      <c r="C866" t="s">
        <v>53</v>
      </c>
      <c r="D866">
        <v>54222</v>
      </c>
      <c r="E866" t="s">
        <v>242</v>
      </c>
      <c r="F866">
        <v>7139</v>
      </c>
      <c r="G866">
        <v>0.38934828281971029</v>
      </c>
      <c r="H866">
        <v>4.0775689334185181E-257</v>
      </c>
      <c r="I866">
        <v>1.1174742968882101E-255</v>
      </c>
      <c r="J866">
        <v>0.37860228919674088</v>
      </c>
      <c r="K866">
        <v>4.2098652700636247E-242</v>
      </c>
      <c r="L866">
        <v>4.7431148709383518E-241</v>
      </c>
      <c r="M866">
        <v>0.2588985424883371</v>
      </c>
      <c r="N866">
        <v>5.1691093303237377E-236</v>
      </c>
      <c r="O866">
        <v>5.6972574575524683E-235</v>
      </c>
      <c r="P866">
        <v>0.1515920853346571</v>
      </c>
      <c r="Q866">
        <v>0.75727812067874523</v>
      </c>
      <c r="R866">
        <v>7.6442836899722311</v>
      </c>
      <c r="S866">
        <v>0.2223924482846415</v>
      </c>
      <c r="T866">
        <v>0.17044989741080649</v>
      </c>
      <c r="U866">
        <v>4.2555146084885838</v>
      </c>
      <c r="V866">
        <v>0.12414549193133841</v>
      </c>
      <c r="W866">
        <v>10.86689179520941</v>
      </c>
      <c r="X866">
        <v>0.2414616141097386</v>
      </c>
      <c r="Z866" t="s">
        <v>392</v>
      </c>
      <c r="AA866">
        <v>140</v>
      </c>
      <c r="AB866" t="s">
        <v>2271</v>
      </c>
      <c r="AC866" t="str">
        <f>HYPERLINK("plots/20251231112652_3FT6Y119H04_05543_B21P_N_UFLEX98_M5358A8BA201511/dpll_52094/txpa_54222.png","plot")</f>
        <v>plot</v>
      </c>
    </row>
    <row r="867" spans="1:29" x14ac:dyDescent="0.35">
      <c r="A867" t="s">
        <v>47</v>
      </c>
      <c r="B867">
        <v>52094</v>
      </c>
      <c r="C867" t="s">
        <v>53</v>
      </c>
      <c r="D867">
        <v>54223</v>
      </c>
      <c r="E867" t="s">
        <v>243</v>
      </c>
      <c r="F867">
        <v>7139</v>
      </c>
      <c r="G867">
        <v>0.3411458165366128</v>
      </c>
      <c r="H867">
        <v>4.8923185477552261E-194</v>
      </c>
      <c r="I867">
        <v>2.2860880218542849E-193</v>
      </c>
      <c r="J867">
        <v>0.31136394043859428</v>
      </c>
      <c r="K867">
        <v>2.7743795270335221E-160</v>
      </c>
      <c r="L867">
        <v>8.8745136921513915E-160</v>
      </c>
      <c r="M867">
        <v>0.2100587841648035</v>
      </c>
      <c r="N867">
        <v>4.4670757936916188E-156</v>
      </c>
      <c r="O867">
        <v>1.4289005851114519E-155</v>
      </c>
      <c r="P867">
        <v>0.11638046814043231</v>
      </c>
      <c r="Q867">
        <v>0.68973785739176974</v>
      </c>
      <c r="R867">
        <v>8.0689042244681275</v>
      </c>
      <c r="S867">
        <v>0.2359267590653692</v>
      </c>
      <c r="T867">
        <v>0.1849272032181106</v>
      </c>
      <c r="U867">
        <v>4.2555146084885838</v>
      </c>
      <c r="V867">
        <v>0.12414549193133841</v>
      </c>
      <c r="W867">
        <v>11.004093752626421</v>
      </c>
      <c r="X867">
        <v>0.25100072009934421</v>
      </c>
      <c r="Z867" t="s">
        <v>392</v>
      </c>
      <c r="AA867">
        <v>140</v>
      </c>
      <c r="AB867" t="s">
        <v>2272</v>
      </c>
      <c r="AC867" t="str">
        <f>HYPERLINK("plots/20251231112652_3FT6Y119H04_05543_B21P_N_UFLEX98_M5358A8BA201511/dpll_52094/txpa_54223.png","plot")</f>
        <v>plot</v>
      </c>
    </row>
    <row r="868" spans="1:29" x14ac:dyDescent="0.35">
      <c r="A868" t="s">
        <v>47</v>
      </c>
      <c r="B868">
        <v>52094</v>
      </c>
      <c r="C868" t="s">
        <v>53</v>
      </c>
      <c r="D868">
        <v>54224</v>
      </c>
      <c r="E868" t="s">
        <v>244</v>
      </c>
      <c r="F868">
        <v>7139</v>
      </c>
      <c r="G868">
        <v>0.40767453785759977</v>
      </c>
      <c r="H868">
        <v>4.7494192787365228E-284</v>
      </c>
      <c r="I868">
        <v>5.3510123873764827E-282</v>
      </c>
      <c r="J868">
        <v>0.38965465428418622</v>
      </c>
      <c r="K868">
        <v>1.492907554084377E-257</v>
      </c>
      <c r="L868">
        <v>2.2594153131963559E-256</v>
      </c>
      <c r="M868">
        <v>0.26666226037078988</v>
      </c>
      <c r="N868">
        <v>2.992404924440336E-250</v>
      </c>
      <c r="O868">
        <v>4.1004035045709471E-249</v>
      </c>
      <c r="P868">
        <v>0.16619852881740749</v>
      </c>
      <c r="Q868">
        <v>0.72216876154351417</v>
      </c>
      <c r="R868">
        <v>7.8533963801486006</v>
      </c>
      <c r="S868">
        <v>0.20079688628252651</v>
      </c>
      <c r="T868">
        <v>0.15263743090327289</v>
      </c>
      <c r="U868">
        <v>4.2555146084885838</v>
      </c>
      <c r="V868">
        <v>0.12414549193133841</v>
      </c>
      <c r="W868">
        <v>10.92659609469113</v>
      </c>
      <c r="X868">
        <v>0.21991561364222609</v>
      </c>
      <c r="Z868" t="s">
        <v>392</v>
      </c>
      <c r="AA868">
        <v>140</v>
      </c>
      <c r="AB868" t="s">
        <v>2273</v>
      </c>
      <c r="AC868" t="str">
        <f>HYPERLINK("plots/20251231112652_3FT6Y119H04_05543_B21P_N_UFLEX98_M5358A8BA201511/dpll_52094/txpa_54224.png","plot")</f>
        <v>plot</v>
      </c>
    </row>
    <row r="869" spans="1:29" x14ac:dyDescent="0.35">
      <c r="A869" t="s">
        <v>47</v>
      </c>
      <c r="B869">
        <v>52094</v>
      </c>
      <c r="C869" t="s">
        <v>53</v>
      </c>
      <c r="D869">
        <v>54225</v>
      </c>
      <c r="E869" t="s">
        <v>245</v>
      </c>
      <c r="F869">
        <v>7139</v>
      </c>
      <c r="G869">
        <v>0.33212069860881938</v>
      </c>
      <c r="H869">
        <v>2.0984133258158349E-183</v>
      </c>
      <c r="I869">
        <v>7.9692551025365424E-183</v>
      </c>
      <c r="J869">
        <v>0.30503939519447099</v>
      </c>
      <c r="K869">
        <v>1.3428895525605561E-153</v>
      </c>
      <c r="L869">
        <v>3.946927554482331E-153</v>
      </c>
      <c r="M869">
        <v>0.2063321360795847</v>
      </c>
      <c r="N869">
        <v>1.1678872552575411E-150</v>
      </c>
      <c r="O869">
        <v>3.5036617657726241E-150</v>
      </c>
      <c r="P869">
        <v>0.1103041584444102</v>
      </c>
      <c r="Q869">
        <v>0.64623145361891132</v>
      </c>
      <c r="R869">
        <v>8.2021546691725877</v>
      </c>
      <c r="S869">
        <v>0.22783133998628841</v>
      </c>
      <c r="T869">
        <v>0.17745452479562279</v>
      </c>
      <c r="U869">
        <v>4.2555146084885838</v>
      </c>
      <c r="V869">
        <v>0.12414549193133841</v>
      </c>
      <c r="W869">
        <v>10.952202060512681</v>
      </c>
      <c r="X869">
        <v>0.24155893338498841</v>
      </c>
      <c r="Z869" t="s">
        <v>392</v>
      </c>
      <c r="AA869">
        <v>140</v>
      </c>
      <c r="AB869" t="s">
        <v>2274</v>
      </c>
      <c r="AC869" t="str">
        <f>HYPERLINK("plots/20251231112652_3FT6Y119H04_05543_B21P_N_UFLEX98_M5358A8BA201511/dpll_52094/txpa_54225.png","plot")</f>
        <v>plot</v>
      </c>
    </row>
    <row r="870" spans="1:29" x14ac:dyDescent="0.35">
      <c r="A870" t="s">
        <v>47</v>
      </c>
      <c r="B870">
        <v>52094</v>
      </c>
      <c r="C870" t="s">
        <v>53</v>
      </c>
      <c r="D870">
        <v>54226</v>
      </c>
      <c r="E870" t="s">
        <v>246</v>
      </c>
      <c r="F870">
        <v>7139</v>
      </c>
      <c r="G870">
        <v>0.24336530349168309</v>
      </c>
      <c r="H870">
        <v>9.3144644676048135E-97</v>
      </c>
      <c r="I870">
        <v>1.44196442292386E-96</v>
      </c>
      <c r="J870">
        <v>0.1985424810375733</v>
      </c>
      <c r="K870">
        <v>2.229493636407756E-64</v>
      </c>
      <c r="L870">
        <v>3.0467743225302758E-64</v>
      </c>
      <c r="M870">
        <v>0.1324725667606993</v>
      </c>
      <c r="N870">
        <v>3.1371773703313952E-63</v>
      </c>
      <c r="O870">
        <v>4.2871938726631188E-63</v>
      </c>
      <c r="P870">
        <v>5.9226670943599007E-2</v>
      </c>
      <c r="Q870">
        <v>0.68974286333580948</v>
      </c>
      <c r="R870">
        <v>7.5602406455110476</v>
      </c>
      <c r="S870">
        <v>0.34124915715474169</v>
      </c>
      <c r="T870">
        <v>0.28331091639826289</v>
      </c>
      <c r="U870">
        <v>4.2555146084885838</v>
      </c>
      <c r="V870">
        <v>0.12414549193133841</v>
      </c>
      <c r="W870">
        <v>10.49545147653733</v>
      </c>
      <c r="X870">
        <v>0.3518515821540697</v>
      </c>
      <c r="Z870" t="s">
        <v>392</v>
      </c>
      <c r="AA870">
        <v>140</v>
      </c>
      <c r="AB870" t="s">
        <v>2275</v>
      </c>
      <c r="AC870" t="str">
        <f>HYPERLINK("plots/20251231112652_3FT6Y119H04_05543_B21P_N_UFLEX98_M5358A8BA201511/dpll_52094/txpa_54226.png","plot")</f>
        <v>plot</v>
      </c>
    </row>
    <row r="871" spans="1:29" x14ac:dyDescent="0.35">
      <c r="A871" t="s">
        <v>47</v>
      </c>
      <c r="B871">
        <v>52094</v>
      </c>
      <c r="C871" t="s">
        <v>53</v>
      </c>
      <c r="D871">
        <v>54227</v>
      </c>
      <c r="E871" t="s">
        <v>247</v>
      </c>
      <c r="F871">
        <v>7139</v>
      </c>
      <c r="G871">
        <v>0.23163988762989071</v>
      </c>
      <c r="H871">
        <v>1.375822059565947E-87</v>
      </c>
      <c r="I871">
        <v>1.981652796022543E-87</v>
      </c>
      <c r="J871">
        <v>0.19021657932481911</v>
      </c>
      <c r="K871">
        <v>3.802152319821994E-59</v>
      </c>
      <c r="L871">
        <v>5.0265742533239918E-59</v>
      </c>
      <c r="M871">
        <v>0.12641965555750961</v>
      </c>
      <c r="N871">
        <v>9.5442291906212809E-58</v>
      </c>
      <c r="O871">
        <v>1.260136510324216E-57</v>
      </c>
      <c r="P871">
        <v>5.365703754118837E-2</v>
      </c>
      <c r="Q871">
        <v>0.67131722106201563</v>
      </c>
      <c r="R871">
        <v>8.1789230025722457</v>
      </c>
      <c r="S871">
        <v>0.34997679971277568</v>
      </c>
      <c r="T871">
        <v>0.28802668159943268</v>
      </c>
      <c r="U871">
        <v>4.2555146084885838</v>
      </c>
      <c r="V871">
        <v>0.12414549193133841</v>
      </c>
      <c r="W871">
        <v>11.03572324373161</v>
      </c>
      <c r="X871">
        <v>0.35978694128829608</v>
      </c>
      <c r="Z871" t="s">
        <v>392</v>
      </c>
      <c r="AA871">
        <v>140</v>
      </c>
      <c r="AB871" t="s">
        <v>2276</v>
      </c>
      <c r="AC871" t="str">
        <f>HYPERLINK("plots/20251231112652_3FT6Y119H04_05543_B21P_N_UFLEX98_M5358A8BA201511/dpll_52094/txpa_54227.png","plot")</f>
        <v>plot</v>
      </c>
    </row>
    <row r="872" spans="1:29" x14ac:dyDescent="0.35">
      <c r="A872" t="s">
        <v>47</v>
      </c>
      <c r="B872">
        <v>52094</v>
      </c>
      <c r="C872" t="s">
        <v>53</v>
      </c>
      <c r="D872">
        <v>54228</v>
      </c>
      <c r="E872" t="s">
        <v>248</v>
      </c>
      <c r="F872">
        <v>7139</v>
      </c>
      <c r="G872">
        <v>0.36202094015183239</v>
      </c>
      <c r="H872">
        <v>5.041865876816537E-220</v>
      </c>
      <c r="I872">
        <v>4.2961781504974531E-219</v>
      </c>
      <c r="J872">
        <v>0.36502734908514523</v>
      </c>
      <c r="K872">
        <v>6.2467390142420046E-224</v>
      </c>
      <c r="L872">
        <v>5.0271375876518988E-223</v>
      </c>
      <c r="M872">
        <v>0.24840539415105059</v>
      </c>
      <c r="N872">
        <v>1.9440120761882151E-217</v>
      </c>
      <c r="O872">
        <v>1.4710658546677988E-216</v>
      </c>
      <c r="P872">
        <v>0.13105916110841659</v>
      </c>
      <c r="Q872">
        <v>0.7344730292634345</v>
      </c>
      <c r="R872">
        <v>8.1998894204966675</v>
      </c>
      <c r="S872">
        <v>0.23476740511285041</v>
      </c>
      <c r="T872">
        <v>0.1772842442898257</v>
      </c>
      <c r="U872">
        <v>4.2555146084885838</v>
      </c>
      <c r="V872">
        <v>0.12414549193133841</v>
      </c>
      <c r="W872">
        <v>11.32545012606808</v>
      </c>
      <c r="X872">
        <v>0.2518680700899999</v>
      </c>
      <c r="Z872" t="s">
        <v>392</v>
      </c>
      <c r="AA872">
        <v>140</v>
      </c>
      <c r="AB872" t="s">
        <v>2277</v>
      </c>
      <c r="AC872" t="str">
        <f>HYPERLINK("plots/20251231112652_3FT6Y119H04_05543_B21P_N_UFLEX98_M5358A8BA201511/dpll_52094/txpa_54228.png","plot")</f>
        <v>plot</v>
      </c>
    </row>
    <row r="873" spans="1:29" x14ac:dyDescent="0.35">
      <c r="A873" t="s">
        <v>47</v>
      </c>
      <c r="B873">
        <v>52094</v>
      </c>
      <c r="C873" t="s">
        <v>53</v>
      </c>
      <c r="D873">
        <v>54229</v>
      </c>
      <c r="E873" t="s">
        <v>249</v>
      </c>
      <c r="F873">
        <v>7139</v>
      </c>
      <c r="G873">
        <v>0.31730062963043759</v>
      </c>
      <c r="H873">
        <v>1.039194634886888E-166</v>
      </c>
      <c r="I873">
        <v>3.1175839046606652E-166</v>
      </c>
      <c r="J873">
        <v>0.30625054840140331</v>
      </c>
      <c r="K873">
        <v>7.2558022970019629E-155</v>
      </c>
      <c r="L873">
        <v>2.2160793762530091E-154</v>
      </c>
      <c r="M873">
        <v>0.20788232529448239</v>
      </c>
      <c r="N873">
        <v>6.6942136403856253E-153</v>
      </c>
      <c r="O873">
        <v>2.063201407705479E-152</v>
      </c>
      <c r="P873">
        <v>0.1006796895638722</v>
      </c>
      <c r="Q873">
        <v>0.68518091688149962</v>
      </c>
      <c r="R873">
        <v>8.5464800199606294</v>
      </c>
      <c r="S873">
        <v>0.25420966620173507</v>
      </c>
      <c r="T873">
        <v>0.1961293075948698</v>
      </c>
      <c r="U873">
        <v>4.2555146084885838</v>
      </c>
      <c r="V873">
        <v>0.12414549193133841</v>
      </c>
      <c r="W873">
        <v>11.46227742120745</v>
      </c>
      <c r="X873">
        <v>0.26808053323843628</v>
      </c>
      <c r="Z873" t="s">
        <v>392</v>
      </c>
      <c r="AA873">
        <v>140</v>
      </c>
      <c r="AB873" t="s">
        <v>2278</v>
      </c>
      <c r="AC873" t="str">
        <f>HYPERLINK("plots/20251231112652_3FT6Y119H04_05543_B21P_N_UFLEX98_M5358A8BA201511/dpll_52094/txpa_54229.png","plot")</f>
        <v>plot</v>
      </c>
    </row>
    <row r="874" spans="1:29" x14ac:dyDescent="0.35">
      <c r="A874" t="s">
        <v>47</v>
      </c>
      <c r="B874">
        <v>52094</v>
      </c>
      <c r="C874" t="s">
        <v>53</v>
      </c>
      <c r="D874">
        <v>54230</v>
      </c>
      <c r="E874" t="s">
        <v>250</v>
      </c>
      <c r="F874">
        <v>7139</v>
      </c>
      <c r="G874">
        <v>0.39201652516068031</v>
      </c>
      <c r="H874">
        <v>6.2278367504404619E-261</v>
      </c>
      <c r="I874">
        <v>2.1050088216488759E-259</v>
      </c>
      <c r="J874">
        <v>0.38392074603301318</v>
      </c>
      <c r="K874">
        <v>1.8370194402248289E-249</v>
      </c>
      <c r="L874">
        <v>2.4509706741947061E-248</v>
      </c>
      <c r="M874">
        <v>0.26320111658766232</v>
      </c>
      <c r="N874">
        <v>7.4959981243025828E-244</v>
      </c>
      <c r="O874">
        <v>9.5011776225535247E-243</v>
      </c>
      <c r="P874">
        <v>0.15367695599905429</v>
      </c>
      <c r="Q874">
        <v>0.75862800919262308</v>
      </c>
      <c r="R874">
        <v>8.0974284680357052</v>
      </c>
      <c r="S874">
        <v>0.22100042866702219</v>
      </c>
      <c r="T874">
        <v>0.16829265394885551</v>
      </c>
      <c r="U874">
        <v>4.2555146084885838</v>
      </c>
      <c r="V874">
        <v>0.12414549193133841</v>
      </c>
      <c r="W874">
        <v>11.32578104356352</v>
      </c>
      <c r="X874">
        <v>0.2402456053491811</v>
      </c>
      <c r="Z874" t="s">
        <v>392</v>
      </c>
      <c r="AA874">
        <v>140</v>
      </c>
      <c r="AB874" t="s">
        <v>2279</v>
      </c>
      <c r="AC874" t="str">
        <f>HYPERLINK("plots/20251231112652_3FT6Y119H04_05543_B21P_N_UFLEX98_M5358A8BA201511/dpll_52094/txpa_54230.png","plot")</f>
        <v>plot</v>
      </c>
    </row>
    <row r="875" spans="1:29" x14ac:dyDescent="0.35">
      <c r="A875" t="s">
        <v>47</v>
      </c>
      <c r="B875">
        <v>52094</v>
      </c>
      <c r="C875" t="s">
        <v>53</v>
      </c>
      <c r="D875">
        <v>54231</v>
      </c>
      <c r="E875" t="s">
        <v>251</v>
      </c>
      <c r="F875">
        <v>7139</v>
      </c>
      <c r="G875">
        <v>0.34707275824365902</v>
      </c>
      <c r="H875">
        <v>3.2454644264958971E-201</v>
      </c>
      <c r="I875">
        <v>1.7598400686988449E-200</v>
      </c>
      <c r="J875">
        <v>0.32031976823701608</v>
      </c>
      <c r="K875">
        <v>4.9160532865927209E-170</v>
      </c>
      <c r="L875">
        <v>1.7368913005592401E-169</v>
      </c>
      <c r="M875">
        <v>0.21644373094317851</v>
      </c>
      <c r="N875">
        <v>1.391511284460441E-165</v>
      </c>
      <c r="O875">
        <v>4.9335400085415614E-165</v>
      </c>
      <c r="P875">
        <v>0.1204594995148614</v>
      </c>
      <c r="Q875">
        <v>0.6935099919405936</v>
      </c>
      <c r="R875">
        <v>8.5037074524152985</v>
      </c>
      <c r="S875">
        <v>0.23262728454351719</v>
      </c>
      <c r="T875">
        <v>0.18099748308081839</v>
      </c>
      <c r="U875">
        <v>4.2555146084885838</v>
      </c>
      <c r="V875">
        <v>0.12414549193133841</v>
      </c>
      <c r="W875">
        <v>11.454949354251291</v>
      </c>
      <c r="X875">
        <v>0.2480636611886449</v>
      </c>
      <c r="Z875" t="s">
        <v>392</v>
      </c>
      <c r="AA875">
        <v>140</v>
      </c>
      <c r="AB875" t="s">
        <v>2280</v>
      </c>
      <c r="AC875" t="str">
        <f>HYPERLINK("plots/20251231112652_3FT6Y119H04_05543_B21P_N_UFLEX98_M5358A8BA201511/dpll_52094/txpa_54231.png","plot")</f>
        <v>plot</v>
      </c>
    </row>
    <row r="876" spans="1:29" x14ac:dyDescent="0.35">
      <c r="A876" t="s">
        <v>47</v>
      </c>
      <c r="B876">
        <v>52094</v>
      </c>
      <c r="C876" t="s">
        <v>53</v>
      </c>
      <c r="D876">
        <v>54232</v>
      </c>
      <c r="E876" t="s">
        <v>252</v>
      </c>
      <c r="F876">
        <v>7139</v>
      </c>
      <c r="G876">
        <v>0.40943192216659352</v>
      </c>
      <c r="H876">
        <v>1.007973140824764E-286</v>
      </c>
      <c r="I876">
        <v>1.4601210925661579E-284</v>
      </c>
      <c r="J876">
        <v>0.3950341606590107</v>
      </c>
      <c r="K876">
        <v>2.7274677251628128E-265</v>
      </c>
      <c r="L876">
        <v>4.6875462259577834E-264</v>
      </c>
      <c r="M876">
        <v>0.27121178920593131</v>
      </c>
      <c r="N876">
        <v>8.6639647463968209E-259</v>
      </c>
      <c r="O876">
        <v>1.416977460136512E-257</v>
      </c>
      <c r="P876">
        <v>0.16763449888903151</v>
      </c>
      <c r="Q876">
        <v>0.7245922956019718</v>
      </c>
      <c r="R876">
        <v>8.2961143977158294</v>
      </c>
      <c r="S876">
        <v>0.20043316398039041</v>
      </c>
      <c r="T876">
        <v>0.15103965649863951</v>
      </c>
      <c r="U876">
        <v>4.2555146084885838</v>
      </c>
      <c r="V876">
        <v>0.12414549193133841</v>
      </c>
      <c r="W876">
        <v>11.3796274968483</v>
      </c>
      <c r="X876">
        <v>0.2197065302362107</v>
      </c>
      <c r="Z876" t="s">
        <v>392</v>
      </c>
      <c r="AA876">
        <v>140</v>
      </c>
      <c r="AB876" t="s">
        <v>2281</v>
      </c>
      <c r="AC876" t="str">
        <f>HYPERLINK("plots/20251231112652_3FT6Y119H04_05543_B21P_N_UFLEX98_M5358A8BA201511/dpll_52094/txpa_54232.png","plot")</f>
        <v>plot</v>
      </c>
    </row>
    <row r="877" spans="1:29" x14ac:dyDescent="0.35">
      <c r="A877" t="s">
        <v>47</v>
      </c>
      <c r="B877">
        <v>52094</v>
      </c>
      <c r="C877" t="s">
        <v>53</v>
      </c>
      <c r="D877">
        <v>54233</v>
      </c>
      <c r="E877" t="s">
        <v>253</v>
      </c>
      <c r="F877">
        <v>7139</v>
      </c>
      <c r="G877">
        <v>0.33781825311346869</v>
      </c>
      <c r="H877">
        <v>4.480043614536791E-190</v>
      </c>
      <c r="I877">
        <v>1.949684216798415E-189</v>
      </c>
      <c r="J877">
        <v>0.31268544424446287</v>
      </c>
      <c r="K877">
        <v>1.0602262714860019E-161</v>
      </c>
      <c r="L877">
        <v>3.4904851924896299E-161</v>
      </c>
      <c r="M877">
        <v>0.21182464475647159</v>
      </c>
      <c r="N877">
        <v>1.120498922063918E-158</v>
      </c>
      <c r="O877">
        <v>3.6651158289445578E-158</v>
      </c>
      <c r="P877">
        <v>0.1141211721366356</v>
      </c>
      <c r="Q877">
        <v>0.65065485869994244</v>
      </c>
      <c r="R877">
        <v>8.6338722021858914</v>
      </c>
      <c r="S877">
        <v>0.225037689966503</v>
      </c>
      <c r="T877">
        <v>0.17438953697029891</v>
      </c>
      <c r="U877">
        <v>4.2555146084885838</v>
      </c>
      <c r="V877">
        <v>0.12414549193133841</v>
      </c>
      <c r="W877">
        <v>11.402743458467571</v>
      </c>
      <c r="X877">
        <v>0.23911042925110479</v>
      </c>
      <c r="Z877" t="s">
        <v>392</v>
      </c>
      <c r="AA877">
        <v>140</v>
      </c>
      <c r="AB877" t="s">
        <v>2282</v>
      </c>
      <c r="AC877" t="str">
        <f>HYPERLINK("plots/20251231112652_3FT6Y119H04_05543_B21P_N_UFLEX98_M5358A8BA201511/dpll_52094/txpa_54233.png","plot")</f>
        <v>plot</v>
      </c>
    </row>
    <row r="878" spans="1:29" x14ac:dyDescent="0.35">
      <c r="A878" t="s">
        <v>47</v>
      </c>
      <c r="B878">
        <v>52094</v>
      </c>
      <c r="C878" t="s">
        <v>53</v>
      </c>
      <c r="D878">
        <v>54234</v>
      </c>
      <c r="E878" t="s">
        <v>254</v>
      </c>
      <c r="F878">
        <v>7139</v>
      </c>
      <c r="G878">
        <v>0.24962773307662919</v>
      </c>
      <c r="H878">
        <v>7.3097196205497281E-102</v>
      </c>
      <c r="I878">
        <v>1.184034456108215E-101</v>
      </c>
      <c r="J878">
        <v>0.20346556223042139</v>
      </c>
      <c r="K878">
        <v>1.384465163822418E-67</v>
      </c>
      <c r="L878">
        <v>1.9416980305891171E-67</v>
      </c>
      <c r="M878">
        <v>0.135752852868359</v>
      </c>
      <c r="N878">
        <v>2.6224677160198922E-66</v>
      </c>
      <c r="O878">
        <v>3.6678376055781668E-66</v>
      </c>
      <c r="P878">
        <v>6.2314005120976818E-2</v>
      </c>
      <c r="Q878">
        <v>0.69167462142086655</v>
      </c>
      <c r="R878">
        <v>8.0283151361823499</v>
      </c>
      <c r="S878">
        <v>0.33307210175741658</v>
      </c>
      <c r="T878">
        <v>0.27601571004358638</v>
      </c>
      <c r="U878">
        <v>4.2555146084885838</v>
      </c>
      <c r="V878">
        <v>0.12414549193133841</v>
      </c>
      <c r="W878">
        <v>10.97174659195966</v>
      </c>
      <c r="X878">
        <v>0.34398536202047869</v>
      </c>
      <c r="Z878" t="s">
        <v>392</v>
      </c>
      <c r="AA878">
        <v>140</v>
      </c>
      <c r="AB878" t="s">
        <v>2283</v>
      </c>
      <c r="AC878" t="str">
        <f>HYPERLINK("plots/20251231112652_3FT6Y119H04_05543_B21P_N_UFLEX98_M5358A8BA201511/dpll_52094/txpa_54234.png","plot")</f>
        <v>plot</v>
      </c>
    </row>
    <row r="879" spans="1:29" x14ac:dyDescent="0.35">
      <c r="A879" t="s">
        <v>47</v>
      </c>
      <c r="B879">
        <v>52094</v>
      </c>
      <c r="C879" t="s">
        <v>53</v>
      </c>
      <c r="D879">
        <v>54235</v>
      </c>
      <c r="E879" t="s">
        <v>255</v>
      </c>
      <c r="F879">
        <v>7139</v>
      </c>
      <c r="G879">
        <v>0.23769005004468369</v>
      </c>
      <c r="H879">
        <v>2.953131641002464E-92</v>
      </c>
      <c r="I879">
        <v>4.4494435125950952E-92</v>
      </c>
      <c r="J879">
        <v>0.1962240256105994</v>
      </c>
      <c r="K879">
        <v>6.7485439791095333E-63</v>
      </c>
      <c r="L879">
        <v>9.1606741563816153E-63</v>
      </c>
      <c r="M879">
        <v>0.13034785854973041</v>
      </c>
      <c r="N879">
        <v>2.8200462613876479E-61</v>
      </c>
      <c r="O879">
        <v>3.7874528596649992E-61</v>
      </c>
      <c r="P879">
        <v>5.6496559890244248E-2</v>
      </c>
      <c r="Q879">
        <v>0.67352862536270464</v>
      </c>
      <c r="R879">
        <v>8.6249589204392247</v>
      </c>
      <c r="S879">
        <v>0.34167825049567868</v>
      </c>
      <c r="T879">
        <v>0.28041369011833672</v>
      </c>
      <c r="U879">
        <v>4.2555146084885838</v>
      </c>
      <c r="V879">
        <v>0.12414549193133841</v>
      </c>
      <c r="W879">
        <v>11.49116982490545</v>
      </c>
      <c r="X879">
        <v>0.35178394093388438</v>
      </c>
      <c r="Z879" t="s">
        <v>392</v>
      </c>
      <c r="AA879">
        <v>140</v>
      </c>
      <c r="AB879" t="s">
        <v>2284</v>
      </c>
      <c r="AC879" t="str">
        <f>HYPERLINK("plots/20251231112652_3FT6Y119H04_05543_B21P_N_UFLEX98_M5358A8BA201511/dpll_52094/txpa_54235.png","plot")</f>
        <v>plot</v>
      </c>
    </row>
    <row r="880" spans="1:29" x14ac:dyDescent="0.35">
      <c r="A880" t="s">
        <v>47</v>
      </c>
      <c r="B880">
        <v>52094</v>
      </c>
      <c r="C880" t="s">
        <v>53</v>
      </c>
      <c r="D880">
        <v>54236</v>
      </c>
      <c r="E880" t="s">
        <v>256</v>
      </c>
      <c r="F880">
        <v>7139</v>
      </c>
      <c r="G880">
        <v>0.36454053146384729</v>
      </c>
      <c r="H880">
        <v>2.6986608773240341E-223</v>
      </c>
      <c r="I880">
        <v>2.5337427125986769E-222</v>
      </c>
      <c r="J880">
        <v>0.37159348736655867</v>
      </c>
      <c r="K880">
        <v>1.3045716906336319E-232</v>
      </c>
      <c r="L880">
        <v>1.2248478650949101E-231</v>
      </c>
      <c r="M880">
        <v>0.25357120282302292</v>
      </c>
      <c r="N880">
        <v>1.7370869605485118E-226</v>
      </c>
      <c r="O880">
        <v>1.5868524126091809E-225</v>
      </c>
      <c r="P880">
        <v>0.13288979907994419</v>
      </c>
      <c r="Q880">
        <v>0.73636371944748169</v>
      </c>
      <c r="R880">
        <v>8.6311738941783531</v>
      </c>
      <c r="S880">
        <v>0.23349857935695939</v>
      </c>
      <c r="T880">
        <v>0.17495371649863661</v>
      </c>
      <c r="U880">
        <v>4.2555146084885838</v>
      </c>
      <c r="V880">
        <v>0.12414549193133841</v>
      </c>
      <c r="W880">
        <v>11.764780459448099</v>
      </c>
      <c r="X880">
        <v>0.25077111679216307</v>
      </c>
      <c r="Z880" t="s">
        <v>392</v>
      </c>
      <c r="AA880">
        <v>140</v>
      </c>
      <c r="AB880" t="s">
        <v>2285</v>
      </c>
      <c r="AC880" t="str">
        <f>HYPERLINK("plots/20251231112652_3FT6Y119H04_05543_B21P_N_UFLEX98_M5358A8BA201511/dpll_52094/txpa_54236.png","plot")</f>
        <v>plot</v>
      </c>
    </row>
    <row r="881" spans="1:29" x14ac:dyDescent="0.35">
      <c r="A881" t="s">
        <v>47</v>
      </c>
      <c r="B881">
        <v>52094</v>
      </c>
      <c r="C881" t="s">
        <v>53</v>
      </c>
      <c r="D881">
        <v>54237</v>
      </c>
      <c r="E881" t="s">
        <v>257</v>
      </c>
      <c r="F881">
        <v>7139</v>
      </c>
      <c r="G881">
        <v>0.32268677867283391</v>
      </c>
      <c r="H881">
        <v>1.142177482509916E-172</v>
      </c>
      <c r="I881">
        <v>3.7602856080034248E-172</v>
      </c>
      <c r="J881">
        <v>0.31772748319162369</v>
      </c>
      <c r="K881">
        <v>3.5393646883671303E-167</v>
      </c>
      <c r="L881">
        <v>1.220719657824582E-166</v>
      </c>
      <c r="M881">
        <v>0.2161313037939942</v>
      </c>
      <c r="N881">
        <v>4.1238874700109972E-165</v>
      </c>
      <c r="O881">
        <v>1.436983468931667E-164</v>
      </c>
      <c r="P881">
        <v>0.10412675713025051</v>
      </c>
      <c r="Q881">
        <v>0.68944295953380452</v>
      </c>
      <c r="R881">
        <v>8.9485260583322415</v>
      </c>
      <c r="S881">
        <v>0.25103887894861687</v>
      </c>
      <c r="T881">
        <v>0.19137833468502211</v>
      </c>
      <c r="U881">
        <v>4.2555146084885838</v>
      </c>
      <c r="V881">
        <v>0.12414549193133841</v>
      </c>
      <c r="W881">
        <v>11.882460644347949</v>
      </c>
      <c r="X881">
        <v>0.26524556017431788</v>
      </c>
      <c r="Z881" t="s">
        <v>392</v>
      </c>
      <c r="AA881">
        <v>140</v>
      </c>
      <c r="AB881" t="s">
        <v>2286</v>
      </c>
      <c r="AC881" t="str">
        <f>HYPERLINK("plots/20251231112652_3FT6Y119H04_05543_B21P_N_UFLEX98_M5358A8BA201511/dpll_52094/txpa_54237.png","plot")</f>
        <v>plot</v>
      </c>
    </row>
    <row r="882" spans="1:29" x14ac:dyDescent="0.35">
      <c r="A882" t="s">
        <v>47</v>
      </c>
      <c r="B882">
        <v>52094</v>
      </c>
      <c r="C882" t="s">
        <v>53</v>
      </c>
      <c r="D882">
        <v>54238</v>
      </c>
      <c r="E882" t="s">
        <v>258</v>
      </c>
      <c r="F882">
        <v>7139</v>
      </c>
      <c r="G882">
        <v>0.39436526631529889</v>
      </c>
      <c r="H882">
        <v>2.5458153850758642E-264</v>
      </c>
      <c r="I882">
        <v>1.075607000194552E-262</v>
      </c>
      <c r="J882">
        <v>0.38977534305854739</v>
      </c>
      <c r="K882">
        <v>1.004631305702972E-257</v>
      </c>
      <c r="L882">
        <v>1.543479006034567E-256</v>
      </c>
      <c r="M882">
        <v>0.26805238651371488</v>
      </c>
      <c r="N882">
        <v>7.6277877951316884E-253</v>
      </c>
      <c r="O882">
        <v>1.154414451382617E-251</v>
      </c>
      <c r="P882">
        <v>0.15552396327593659</v>
      </c>
      <c r="Q882">
        <v>0.75979183780497273</v>
      </c>
      <c r="R882">
        <v>8.5322433816798604</v>
      </c>
      <c r="S882">
        <v>0.21978101057404081</v>
      </c>
      <c r="T882">
        <v>0.16607859573528</v>
      </c>
      <c r="U882">
        <v>4.2555146084885838</v>
      </c>
      <c r="V882">
        <v>0.12414549193133841</v>
      </c>
      <c r="W882">
        <v>11.765548646869309</v>
      </c>
      <c r="X882">
        <v>0.23918113365060009</v>
      </c>
      <c r="Z882" t="s">
        <v>392</v>
      </c>
      <c r="AA882">
        <v>140</v>
      </c>
      <c r="AB882" t="s">
        <v>2287</v>
      </c>
      <c r="AC882" t="str">
        <f>HYPERLINK("plots/20251231112652_3FT6Y119H04_05543_B21P_N_UFLEX98_M5358A8BA201511/dpll_52094/txpa_54238.png","plot")</f>
        <v>plot</v>
      </c>
    </row>
    <row r="883" spans="1:29" x14ac:dyDescent="0.35">
      <c r="A883" t="s">
        <v>47</v>
      </c>
      <c r="B883">
        <v>52094</v>
      </c>
      <c r="C883" t="s">
        <v>53</v>
      </c>
      <c r="D883">
        <v>54239</v>
      </c>
      <c r="E883" t="s">
        <v>259</v>
      </c>
      <c r="F883">
        <v>7139</v>
      </c>
      <c r="G883">
        <v>0.35209517446653971</v>
      </c>
      <c r="H883">
        <v>2.0195964340308959E-207</v>
      </c>
      <c r="I883">
        <v>1.241133808549896E-206</v>
      </c>
      <c r="J883">
        <v>0.33007561033249749</v>
      </c>
      <c r="K883">
        <v>4.8058422479497242E-181</v>
      </c>
      <c r="L883">
        <v>1.926135983960878E-180</v>
      </c>
      <c r="M883">
        <v>0.22362649307567481</v>
      </c>
      <c r="N883">
        <v>1.2884220075869519E-176</v>
      </c>
      <c r="O883">
        <v>5.1233722184045843E-176</v>
      </c>
      <c r="P883">
        <v>0.12397101188262299</v>
      </c>
      <c r="Q883">
        <v>0.69655761531910976</v>
      </c>
      <c r="R883">
        <v>8.9206282508091199</v>
      </c>
      <c r="S883">
        <v>0.22985647639687781</v>
      </c>
      <c r="T883">
        <v>0.17718310035357751</v>
      </c>
      <c r="U883">
        <v>4.2555146084885838</v>
      </c>
      <c r="V883">
        <v>0.12414549193133841</v>
      </c>
      <c r="W883">
        <v>11.88483935845356</v>
      </c>
      <c r="X883">
        <v>0.2455997528035668</v>
      </c>
      <c r="Z883" t="s">
        <v>392</v>
      </c>
      <c r="AA883">
        <v>140</v>
      </c>
      <c r="AB883" t="s">
        <v>2288</v>
      </c>
      <c r="AC883" t="str">
        <f>HYPERLINK("plots/20251231112652_3FT6Y119H04_05543_B21P_N_UFLEX98_M5358A8BA201511/dpll_52094/txpa_54239.png","plot")</f>
        <v>plot</v>
      </c>
    </row>
    <row r="884" spans="1:29" x14ac:dyDescent="0.35">
      <c r="A884" t="s">
        <v>47</v>
      </c>
      <c r="B884">
        <v>52094</v>
      </c>
      <c r="C884" t="s">
        <v>53</v>
      </c>
      <c r="D884">
        <v>54240</v>
      </c>
      <c r="E884" t="s">
        <v>260</v>
      </c>
      <c r="F884">
        <v>7139</v>
      </c>
      <c r="G884">
        <v>0.40988075171855132</v>
      </c>
      <c r="H884">
        <v>2.0803842709761551E-287</v>
      </c>
      <c r="I884">
        <v>4.2190193015396433E-285</v>
      </c>
      <c r="J884">
        <v>0.40053554939698582</v>
      </c>
      <c r="K884">
        <v>2.3531452628937492E-273</v>
      </c>
      <c r="L884">
        <v>5.0767857373920459E-272</v>
      </c>
      <c r="M884">
        <v>0.27604011778166171</v>
      </c>
      <c r="N884">
        <v>5.2353780725741684E-268</v>
      </c>
      <c r="O884">
        <v>9.8308766029448274E-267</v>
      </c>
      <c r="P884">
        <v>0.1680022306293647</v>
      </c>
      <c r="Q884">
        <v>0.72634415553903364</v>
      </c>
      <c r="R884">
        <v>8.7219049267827309</v>
      </c>
      <c r="S884">
        <v>0.20065340682538399</v>
      </c>
      <c r="T884">
        <v>0.1496363032117857</v>
      </c>
      <c r="U884">
        <v>4.2555146084885838</v>
      </c>
      <c r="V884">
        <v>0.12414549193133841</v>
      </c>
      <c r="W884">
        <v>11.81287309146939</v>
      </c>
      <c r="X884">
        <v>0.21999655295539131</v>
      </c>
      <c r="Z884" t="s">
        <v>392</v>
      </c>
      <c r="AA884">
        <v>140</v>
      </c>
      <c r="AB884" t="s">
        <v>2289</v>
      </c>
      <c r="AC884" t="str">
        <f>HYPERLINK("plots/20251231112652_3FT6Y119H04_05543_B21P_N_UFLEX98_M5358A8BA201511/dpll_52094/txpa_54240.png","plot")</f>
        <v>plot</v>
      </c>
    </row>
    <row r="885" spans="1:29" x14ac:dyDescent="0.35">
      <c r="A885" t="s">
        <v>47</v>
      </c>
      <c r="B885">
        <v>52094</v>
      </c>
      <c r="C885" t="s">
        <v>53</v>
      </c>
      <c r="D885">
        <v>54241</v>
      </c>
      <c r="E885" t="s">
        <v>261</v>
      </c>
      <c r="F885">
        <v>7139</v>
      </c>
      <c r="G885">
        <v>0.34275811494119779</v>
      </c>
      <c r="H885">
        <v>5.6534594859747907E-196</v>
      </c>
      <c r="I885">
        <v>2.7560614994127101E-195</v>
      </c>
      <c r="J885">
        <v>0.32134901578908509</v>
      </c>
      <c r="K885">
        <v>3.542013356042665E-171</v>
      </c>
      <c r="L885">
        <v>1.2736175684493841E-170</v>
      </c>
      <c r="M885">
        <v>0.21810669449573239</v>
      </c>
      <c r="N885">
        <v>4.1787850406313438E-168</v>
      </c>
      <c r="O885">
        <v>1.518741229820854E-167</v>
      </c>
      <c r="P885">
        <v>0.11748312535804339</v>
      </c>
      <c r="Q885">
        <v>0.65524191579788493</v>
      </c>
      <c r="R885">
        <v>9.0429926070700493</v>
      </c>
      <c r="S885">
        <v>0.22293382600042461</v>
      </c>
      <c r="T885">
        <v>0.17145215792478391</v>
      </c>
      <c r="U885">
        <v>4.2555146084885838</v>
      </c>
      <c r="V885">
        <v>0.12414549193133841</v>
      </c>
      <c r="W885">
        <v>11.83138415184199</v>
      </c>
      <c r="X885">
        <v>0.23732575955121091</v>
      </c>
      <c r="Z885" t="s">
        <v>392</v>
      </c>
      <c r="AA885">
        <v>140</v>
      </c>
      <c r="AB885" t="s">
        <v>2290</v>
      </c>
      <c r="AC885" t="str">
        <f>HYPERLINK("plots/20251231112652_3FT6Y119H04_05543_B21P_N_UFLEX98_M5358A8BA201511/dpll_52094/txpa_54241.png","plot")</f>
        <v>plot</v>
      </c>
    </row>
    <row r="886" spans="1:29" x14ac:dyDescent="0.35">
      <c r="A886" t="s">
        <v>47</v>
      </c>
      <c r="B886">
        <v>52094</v>
      </c>
      <c r="C886" t="s">
        <v>53</v>
      </c>
      <c r="D886">
        <v>54242</v>
      </c>
      <c r="E886" t="s">
        <v>262</v>
      </c>
      <c r="F886">
        <v>7139</v>
      </c>
      <c r="G886">
        <v>0.25602816674059292</v>
      </c>
      <c r="H886">
        <v>3.1235331562020042E-107</v>
      </c>
      <c r="I886">
        <v>5.2612335886857682E-107</v>
      </c>
      <c r="J886">
        <v>0.2086040055291668</v>
      </c>
      <c r="K886">
        <v>5.05267833955346E-71</v>
      </c>
      <c r="L886">
        <v>7.2983131571327746E-71</v>
      </c>
      <c r="M886">
        <v>0.13913772747495809</v>
      </c>
      <c r="N886">
        <v>1.4597352761178099E-69</v>
      </c>
      <c r="O886">
        <v>2.0935948656060241E-69</v>
      </c>
      <c r="P886">
        <v>6.555042216454883E-2</v>
      </c>
      <c r="Q886">
        <v>0.69293034899836459</v>
      </c>
      <c r="R886">
        <v>8.4814649396601105</v>
      </c>
      <c r="S886">
        <v>0.32477329174734232</v>
      </c>
      <c r="T886">
        <v>0.26868151610321478</v>
      </c>
      <c r="U886">
        <v>4.2555146084885838</v>
      </c>
      <c r="V886">
        <v>0.12414549193133841</v>
      </c>
      <c r="W886">
        <v>11.43024016248774</v>
      </c>
      <c r="X886">
        <v>0.33599498112141502</v>
      </c>
      <c r="Z886" t="s">
        <v>392</v>
      </c>
      <c r="AA886">
        <v>140</v>
      </c>
      <c r="AB886" t="s">
        <v>2291</v>
      </c>
      <c r="AC886" t="str">
        <f>HYPERLINK("plots/20251231112652_3FT6Y119H04_05543_B21P_N_UFLEX98_M5358A8BA201511/dpll_52094/txpa_54242.png","plot")</f>
        <v>plot</v>
      </c>
    </row>
    <row r="887" spans="1:29" x14ac:dyDescent="0.35">
      <c r="A887" t="s">
        <v>47</v>
      </c>
      <c r="B887">
        <v>52094</v>
      </c>
      <c r="C887" t="s">
        <v>53</v>
      </c>
      <c r="D887">
        <v>54243</v>
      </c>
      <c r="E887" t="s">
        <v>263</v>
      </c>
      <c r="F887">
        <v>7139</v>
      </c>
      <c r="G887">
        <v>0.26136347821245809</v>
      </c>
      <c r="H887">
        <v>7.95729884581455E-112</v>
      </c>
      <c r="I887">
        <v>1.400816150981936E-111</v>
      </c>
      <c r="J887">
        <v>0.22382716641045139</v>
      </c>
      <c r="K887">
        <v>9.3311228517711391E-82</v>
      </c>
      <c r="L887">
        <v>1.4692171695180021E-81</v>
      </c>
      <c r="M887">
        <v>0.14858853525669821</v>
      </c>
      <c r="N887">
        <v>4.5297491178269919E-79</v>
      </c>
      <c r="O887">
        <v>7.066408623810109E-79</v>
      </c>
      <c r="P887">
        <v>6.8310867743314088E-2</v>
      </c>
      <c r="Q887">
        <v>0.68191902319627107</v>
      </c>
      <c r="R887">
        <v>10.0457119190554</v>
      </c>
      <c r="S887">
        <v>0.31262517961561481</v>
      </c>
      <c r="T887">
        <v>0.25299046502166428</v>
      </c>
      <c r="U887">
        <v>4.2555146084885838</v>
      </c>
      <c r="V887">
        <v>0.12414549193133841</v>
      </c>
      <c r="W887">
        <v>12.947628284073399</v>
      </c>
      <c r="X887">
        <v>0.32390589982592127</v>
      </c>
      <c r="Z887" t="s">
        <v>392</v>
      </c>
      <c r="AA887">
        <v>140</v>
      </c>
      <c r="AB887" t="s">
        <v>2292</v>
      </c>
      <c r="AC887" t="str">
        <f>HYPERLINK("plots/20251231112652_3FT6Y119H04_05543_B21P_N_UFLEX98_M5358A8BA201511/dpll_52094/txpa_54243.png","plot")</f>
        <v>plot</v>
      </c>
    </row>
    <row r="888" spans="1:29" x14ac:dyDescent="0.35">
      <c r="A888" t="s">
        <v>47</v>
      </c>
      <c r="B888">
        <v>52094</v>
      </c>
      <c r="C888" t="s">
        <v>53</v>
      </c>
      <c r="D888">
        <v>54244</v>
      </c>
      <c r="E888" t="s">
        <v>264</v>
      </c>
      <c r="F888">
        <v>7139</v>
      </c>
      <c r="G888">
        <v>0.36644969032660651</v>
      </c>
      <c r="H888">
        <v>8.5619225567713612E-226</v>
      </c>
      <c r="I888">
        <v>8.6817894725661605E-225</v>
      </c>
      <c r="J888">
        <v>0.39987102923584761</v>
      </c>
      <c r="K888">
        <v>2.2587924774797948E-272</v>
      </c>
      <c r="L888">
        <v>4.6743174942132889E-271</v>
      </c>
      <c r="M888">
        <v>0.27748989264399332</v>
      </c>
      <c r="N888">
        <v>8.2826668956699105E-271</v>
      </c>
      <c r="O888">
        <v>1.7869413260019759E-269</v>
      </c>
      <c r="P888">
        <v>0.1342853755404658</v>
      </c>
      <c r="Q888">
        <v>0.74811130239467027</v>
      </c>
      <c r="R888">
        <v>9.9500427784155079</v>
      </c>
      <c r="S888">
        <v>0.2357978107829343</v>
      </c>
      <c r="T888">
        <v>0.168876528655485</v>
      </c>
      <c r="U888">
        <v>4.2555146084885838</v>
      </c>
      <c r="V888">
        <v>0.12414549193133841</v>
      </c>
      <c r="W888">
        <v>13.13364135453145</v>
      </c>
      <c r="X888">
        <v>0.25344446483882682</v>
      </c>
      <c r="Z888" t="s">
        <v>392</v>
      </c>
      <c r="AA888">
        <v>140</v>
      </c>
      <c r="AB888" t="s">
        <v>2293</v>
      </c>
      <c r="AC888" t="str">
        <f>HYPERLINK("plots/20251231112652_3FT6Y119H04_05543_B21P_N_UFLEX98_M5358A8BA201511/dpll_52094/txpa_54244.png","plot")</f>
        <v>plot</v>
      </c>
    </row>
    <row r="889" spans="1:29" x14ac:dyDescent="0.35">
      <c r="A889" t="s">
        <v>47</v>
      </c>
      <c r="B889">
        <v>52094</v>
      </c>
      <c r="C889" t="s">
        <v>53</v>
      </c>
      <c r="D889">
        <v>54245</v>
      </c>
      <c r="E889" t="s">
        <v>265</v>
      </c>
      <c r="F889">
        <v>7139</v>
      </c>
      <c r="G889">
        <v>0.32868324687110501</v>
      </c>
      <c r="H889">
        <v>1.8971299389324449E-179</v>
      </c>
      <c r="I889">
        <v>6.7027517703048739E-179</v>
      </c>
      <c r="J889">
        <v>0.35511943206159258</v>
      </c>
      <c r="K889">
        <v>3.2597916938060562E-211</v>
      </c>
      <c r="L889">
        <v>1.8674738856041469E-210</v>
      </c>
      <c r="M889">
        <v>0.24452547374739991</v>
      </c>
      <c r="N889">
        <v>9.1813698931595695E-211</v>
      </c>
      <c r="O889">
        <v>5.7116006574624562E-210</v>
      </c>
      <c r="P889">
        <v>0.1080326767737317</v>
      </c>
      <c r="Q889">
        <v>0.72415644832250747</v>
      </c>
      <c r="R889">
        <v>10.06076696279839</v>
      </c>
      <c r="S889">
        <v>0.25830323218995888</v>
      </c>
      <c r="T889">
        <v>0.1875158960815059</v>
      </c>
      <c r="U889">
        <v>4.2555146084885838</v>
      </c>
      <c r="V889">
        <v>0.12414549193133841</v>
      </c>
      <c r="W889">
        <v>13.142425307466031</v>
      </c>
      <c r="X889">
        <v>0.27351792148841592</v>
      </c>
      <c r="Z889" t="s">
        <v>392</v>
      </c>
      <c r="AA889">
        <v>140</v>
      </c>
      <c r="AB889" t="s">
        <v>2294</v>
      </c>
      <c r="AC889" t="str">
        <f>HYPERLINK("plots/20251231112652_3FT6Y119H04_05543_B21P_N_UFLEX98_M5358A8BA201511/dpll_52094/txpa_54245.png","plot")</f>
        <v>plot</v>
      </c>
    </row>
    <row r="890" spans="1:29" x14ac:dyDescent="0.35">
      <c r="A890" t="s">
        <v>47</v>
      </c>
      <c r="B890">
        <v>52094</v>
      </c>
      <c r="C890" t="s">
        <v>53</v>
      </c>
      <c r="D890">
        <v>54246</v>
      </c>
      <c r="E890" t="s">
        <v>266</v>
      </c>
      <c r="F890">
        <v>7139</v>
      </c>
      <c r="G890">
        <v>0.39527475086620811</v>
      </c>
      <c r="H890">
        <v>1.219811119356579E-265</v>
      </c>
      <c r="I890">
        <v>5.8899451191789083E-264</v>
      </c>
      <c r="J890">
        <v>0.41615465965343679</v>
      </c>
      <c r="K890">
        <v>4.244918086938669E-297</v>
      </c>
      <c r="L890">
        <v>1.655518053906081E-295</v>
      </c>
      <c r="M890">
        <v>0.2919213335373777</v>
      </c>
      <c r="N890">
        <v>1.7743978525170431E-299</v>
      </c>
      <c r="O890">
        <v>6.920151624816469E-298</v>
      </c>
      <c r="P890">
        <v>0.15624212867234291</v>
      </c>
      <c r="Q890">
        <v>0.76721819742649799</v>
      </c>
      <c r="R890">
        <v>9.8715453290843698</v>
      </c>
      <c r="S890">
        <v>0.22132438943604721</v>
      </c>
      <c r="T890">
        <v>0.15932671204297191</v>
      </c>
      <c r="U890">
        <v>4.2555146084885838</v>
      </c>
      <c r="V890">
        <v>0.12414549193133841</v>
      </c>
      <c r="W890">
        <v>13.13645357613111</v>
      </c>
      <c r="X890">
        <v>0.240963229575031</v>
      </c>
      <c r="Z890" t="s">
        <v>392</v>
      </c>
      <c r="AA890">
        <v>140</v>
      </c>
      <c r="AB890" t="s">
        <v>2295</v>
      </c>
      <c r="AC890" t="str">
        <f>HYPERLINK("plots/20251231112652_3FT6Y119H04_05543_B21P_N_UFLEX98_M5358A8BA201511/dpll_52094/txpa_54246.png","plot")</f>
        <v>plot</v>
      </c>
    </row>
    <row r="891" spans="1:29" x14ac:dyDescent="0.35">
      <c r="A891" t="s">
        <v>47</v>
      </c>
      <c r="B891">
        <v>52094</v>
      </c>
      <c r="C891" t="s">
        <v>53</v>
      </c>
      <c r="D891">
        <v>54247</v>
      </c>
      <c r="E891" t="s">
        <v>267</v>
      </c>
      <c r="F891">
        <v>7139</v>
      </c>
      <c r="G891">
        <v>0.36141795458571768</v>
      </c>
      <c r="H891">
        <v>3.0278515058712542E-219</v>
      </c>
      <c r="I891">
        <v>2.516591333568403E-218</v>
      </c>
      <c r="J891">
        <v>0.37122675007082678</v>
      </c>
      <c r="K891">
        <v>4.0331607154209113E-232</v>
      </c>
      <c r="L891">
        <v>3.7519495095750489E-231</v>
      </c>
      <c r="M891">
        <v>0.25612980406035613</v>
      </c>
      <c r="N891">
        <v>4.8865589235534289E-231</v>
      </c>
      <c r="O891">
        <v>4.7190197604601691E-230</v>
      </c>
      <c r="P891">
        <v>0.13062293789692389</v>
      </c>
      <c r="Q891">
        <v>0.72226477294376468</v>
      </c>
      <c r="R891">
        <v>10.1262640958308</v>
      </c>
      <c r="S891">
        <v>0.2313083619477688</v>
      </c>
      <c r="T891">
        <v>0.16926532697356531</v>
      </c>
      <c r="U891">
        <v>4.2555146084885838</v>
      </c>
      <c r="V891">
        <v>0.12414549193133841</v>
      </c>
      <c r="W891">
        <v>13.19987238828968</v>
      </c>
      <c r="X891">
        <v>0.2480948010581305</v>
      </c>
      <c r="Z891" t="s">
        <v>392</v>
      </c>
      <c r="AA891">
        <v>140</v>
      </c>
      <c r="AB891" t="s">
        <v>2296</v>
      </c>
      <c r="AC891" t="str">
        <f>HYPERLINK("plots/20251231112652_3FT6Y119H04_05543_B21P_N_UFLEX98_M5358A8BA201511/dpll_52094/txpa_54247.png","plot")</f>
        <v>plot</v>
      </c>
    </row>
    <row r="892" spans="1:29" x14ac:dyDescent="0.35">
      <c r="A892" t="s">
        <v>47</v>
      </c>
      <c r="B892">
        <v>52094</v>
      </c>
      <c r="C892" t="s">
        <v>53</v>
      </c>
      <c r="D892">
        <v>54248</v>
      </c>
      <c r="E892" t="s">
        <v>268</v>
      </c>
      <c r="F892">
        <v>7139</v>
      </c>
      <c r="G892">
        <v>0.39725225386963881</v>
      </c>
      <c r="H892">
        <v>1.595286377706572E-268</v>
      </c>
      <c r="I892">
        <v>1.01101274187154E-266</v>
      </c>
      <c r="J892">
        <v>0.41972146245153519</v>
      </c>
      <c r="K892">
        <v>1.061042719242618E-302</v>
      </c>
      <c r="L892">
        <v>4.6778144230957146E-301</v>
      </c>
      <c r="M892">
        <v>0.29573207323755379</v>
      </c>
      <c r="N892">
        <v>2.7346686929186611E-307</v>
      </c>
      <c r="O892">
        <v>1.2056321976606619E-305</v>
      </c>
      <c r="P892">
        <v>0.15780935320450801</v>
      </c>
      <c r="Q892">
        <v>0.74057246761730278</v>
      </c>
      <c r="R892">
        <v>9.9978025761567313</v>
      </c>
      <c r="S892">
        <v>0.21237673203943239</v>
      </c>
      <c r="T892">
        <v>0.15083458948648371</v>
      </c>
      <c r="U892">
        <v>4.2555146084885838</v>
      </c>
      <c r="V892">
        <v>0.12414549193133841</v>
      </c>
      <c r="W892">
        <v>13.149319530746601</v>
      </c>
      <c r="X892">
        <v>0.23143665619912529</v>
      </c>
      <c r="Z892" t="s">
        <v>392</v>
      </c>
      <c r="AA892">
        <v>140</v>
      </c>
      <c r="AB892" t="s">
        <v>2297</v>
      </c>
      <c r="AC892" t="str">
        <f>HYPERLINK("plots/20251231112652_3FT6Y119H04_05543_B21P_N_UFLEX98_M5358A8BA201511/dpll_52094/txpa_54248.png","plot")</f>
        <v>plot</v>
      </c>
    </row>
    <row r="893" spans="1:29" x14ac:dyDescent="0.35">
      <c r="A893" t="s">
        <v>47</v>
      </c>
      <c r="B893">
        <v>52094</v>
      </c>
      <c r="C893" t="s">
        <v>53</v>
      </c>
      <c r="D893">
        <v>54249</v>
      </c>
      <c r="E893" t="s">
        <v>269</v>
      </c>
      <c r="F893">
        <v>7139</v>
      </c>
      <c r="G893">
        <v>0.34978134326809163</v>
      </c>
      <c r="H893">
        <v>1.508400265900301E-204</v>
      </c>
      <c r="I893">
        <v>8.5447925677257267E-204</v>
      </c>
      <c r="J893">
        <v>0.35725543064606352</v>
      </c>
      <c r="K893">
        <v>6.452639538976632E-214</v>
      </c>
      <c r="L893">
        <v>4.0639605543616798E-213</v>
      </c>
      <c r="M893">
        <v>0.24532353105648519</v>
      </c>
      <c r="N893">
        <v>3.9696727601959378E-212</v>
      </c>
      <c r="O893">
        <v>2.5316026282004291E-211</v>
      </c>
      <c r="P893">
        <v>0.1223469880984305</v>
      </c>
      <c r="Q893">
        <v>0.69263548965452004</v>
      </c>
      <c r="R893">
        <v>10.18045638270428</v>
      </c>
      <c r="S893">
        <v>0.23028733689735911</v>
      </c>
      <c r="T893">
        <v>0.16988600307208629</v>
      </c>
      <c r="U893">
        <v>4.2555146084885838</v>
      </c>
      <c r="V893">
        <v>0.12414549193133841</v>
      </c>
      <c r="W893">
        <v>13.127976827286741</v>
      </c>
      <c r="X893">
        <v>0.2458323614085908</v>
      </c>
      <c r="Z893" t="s">
        <v>392</v>
      </c>
      <c r="AA893">
        <v>140</v>
      </c>
      <c r="AB893" t="s">
        <v>2298</v>
      </c>
      <c r="AC893" t="str">
        <f>HYPERLINK("plots/20251231112652_3FT6Y119H04_05543_B21P_N_UFLEX98_M5358A8BA201511/dpll_52094/txpa_54249.png","plot")</f>
        <v>plot</v>
      </c>
    </row>
    <row r="894" spans="1:29" x14ac:dyDescent="0.35">
      <c r="A894" t="s">
        <v>47</v>
      </c>
      <c r="B894">
        <v>52094</v>
      </c>
      <c r="C894" t="s">
        <v>53</v>
      </c>
      <c r="D894">
        <v>54250</v>
      </c>
      <c r="E894" t="s">
        <v>270</v>
      </c>
      <c r="F894">
        <v>7139</v>
      </c>
      <c r="G894">
        <v>0.28189960318645257</v>
      </c>
      <c r="H894">
        <v>1.578279251187658E-130</v>
      </c>
      <c r="I894">
        <v>3.2861912950806689E-130</v>
      </c>
      <c r="J894">
        <v>0.23132385233376279</v>
      </c>
      <c r="K894">
        <v>2.3919004959460461E-87</v>
      </c>
      <c r="L894">
        <v>3.995695391909869E-87</v>
      </c>
      <c r="M894">
        <v>0.1541670878519068</v>
      </c>
      <c r="N894">
        <v>5.6524007753583285E-85</v>
      </c>
      <c r="O894">
        <v>9.2593447273236587E-85</v>
      </c>
      <c r="P894">
        <v>7.9467386276679416E-2</v>
      </c>
      <c r="Q894">
        <v>0.69584568935328939</v>
      </c>
      <c r="R894">
        <v>9.9374075063647069</v>
      </c>
      <c r="S894">
        <v>0.29399409068591797</v>
      </c>
      <c r="T894">
        <v>0.24151465024860461</v>
      </c>
      <c r="U894">
        <v>4.2555146084885838</v>
      </c>
      <c r="V894">
        <v>0.12414549193133841</v>
      </c>
      <c r="W894">
        <v>12.89858900266144</v>
      </c>
      <c r="X894">
        <v>0.3064428060082382</v>
      </c>
      <c r="Z894" t="s">
        <v>392</v>
      </c>
      <c r="AA894">
        <v>140</v>
      </c>
      <c r="AB894" t="s">
        <v>2299</v>
      </c>
      <c r="AC894" t="str">
        <f>HYPERLINK("plots/20251231112652_3FT6Y119H04_05543_B21P_N_UFLEX98_M5358A8BA201511/dpll_52094/txpa_54250.png","plot")</f>
        <v>plot</v>
      </c>
    </row>
    <row r="895" spans="1:29" x14ac:dyDescent="0.35">
      <c r="A895" t="s">
        <v>47</v>
      </c>
      <c r="B895">
        <v>52094</v>
      </c>
      <c r="C895" t="s">
        <v>53</v>
      </c>
      <c r="D895">
        <v>54251</v>
      </c>
      <c r="E895" t="s">
        <v>271</v>
      </c>
      <c r="F895">
        <v>7139</v>
      </c>
      <c r="G895">
        <v>0.27315330649722991</v>
      </c>
      <c r="H895">
        <v>2.3093803054449371E-122</v>
      </c>
      <c r="I895">
        <v>4.4183238296625769E-122</v>
      </c>
      <c r="J895">
        <v>0.24224103353950441</v>
      </c>
      <c r="K895">
        <v>7.4177428568433723E-96</v>
      </c>
      <c r="L895">
        <v>1.331255089706049E-95</v>
      </c>
      <c r="M895">
        <v>0.1612200292936411</v>
      </c>
      <c r="N895">
        <v>9.5148305489977273E-93</v>
      </c>
      <c r="O895">
        <v>1.701594034688482E-92</v>
      </c>
      <c r="P895">
        <v>7.4612728850369625E-2</v>
      </c>
      <c r="Q895">
        <v>0.68831800520588726</v>
      </c>
      <c r="R895">
        <v>10.514199014784889</v>
      </c>
      <c r="S895">
        <v>0.30091578047101297</v>
      </c>
      <c r="T895">
        <v>0.24040303474037</v>
      </c>
      <c r="U895">
        <v>4.2555146084885838</v>
      </c>
      <c r="V895">
        <v>0.12414549193133841</v>
      </c>
      <c r="W895">
        <v>13.44334634122426</v>
      </c>
      <c r="X895">
        <v>0.31283376524804751</v>
      </c>
      <c r="Z895" t="s">
        <v>392</v>
      </c>
      <c r="AA895">
        <v>140</v>
      </c>
      <c r="AB895" t="s">
        <v>2300</v>
      </c>
      <c r="AC895" t="str">
        <f>HYPERLINK("plots/20251231112652_3FT6Y119H04_05543_B21P_N_UFLEX98_M5358A8BA201511/dpll_52094/txpa_54251.png","plot")</f>
        <v>plot</v>
      </c>
    </row>
    <row r="896" spans="1:29" x14ac:dyDescent="0.35">
      <c r="A896" t="s">
        <v>47</v>
      </c>
      <c r="B896">
        <v>52094</v>
      </c>
      <c r="C896" t="s">
        <v>53</v>
      </c>
      <c r="D896">
        <v>54252</v>
      </c>
      <c r="E896" t="s">
        <v>272</v>
      </c>
      <c r="F896">
        <v>7137</v>
      </c>
      <c r="G896">
        <v>0.36709359082875598</v>
      </c>
      <c r="H896">
        <v>1.4091323075623899E-226</v>
      </c>
      <c r="I896">
        <v>1.5040633261771191E-225</v>
      </c>
      <c r="J896">
        <v>0.41146937577249237</v>
      </c>
      <c r="K896">
        <v>9.2186914003977138E-290</v>
      </c>
      <c r="L896">
        <v>2.9211728375010261E-288</v>
      </c>
      <c r="M896">
        <v>0.28830924385371121</v>
      </c>
      <c r="N896">
        <v>4.3873796045683067E-292</v>
      </c>
      <c r="O896">
        <v>1.3481220966764429E-290</v>
      </c>
      <c r="P896">
        <v>0.1347577044275502</v>
      </c>
      <c r="Q896">
        <v>0.7658231058042515</v>
      </c>
      <c r="R896">
        <v>10.319168597405421</v>
      </c>
      <c r="S896">
        <v>0.24088356606333089</v>
      </c>
      <c r="T896">
        <v>0.1695685141233842</v>
      </c>
      <c r="U896">
        <v>4.2554763857363032</v>
      </c>
      <c r="V896">
        <v>0.12414152207323779</v>
      </c>
      <c r="W896">
        <v>13.57811073980664</v>
      </c>
      <c r="X896">
        <v>0.258981492372998</v>
      </c>
      <c r="Z896" t="s">
        <v>392</v>
      </c>
      <c r="AA896">
        <v>140</v>
      </c>
      <c r="AB896" t="s">
        <v>2301</v>
      </c>
      <c r="AC896" t="str">
        <f>HYPERLINK("plots/20251231112652_3FT6Y119H04_05543_B21P_N_UFLEX98_M5358A8BA201511/dpll_52094/txpa_54252.png","plot")</f>
        <v>plot</v>
      </c>
    </row>
    <row r="897" spans="1:29" x14ac:dyDescent="0.35">
      <c r="A897" t="s">
        <v>47</v>
      </c>
      <c r="B897">
        <v>52094</v>
      </c>
      <c r="C897" t="s">
        <v>53</v>
      </c>
      <c r="D897">
        <v>54253</v>
      </c>
      <c r="E897" t="s">
        <v>273</v>
      </c>
      <c r="F897">
        <v>7138</v>
      </c>
      <c r="G897">
        <v>0.3237090200716119</v>
      </c>
      <c r="H897">
        <v>8.6483307250906971E-174</v>
      </c>
      <c r="I897">
        <v>2.8941938466145099E-173</v>
      </c>
      <c r="J897">
        <v>0.35534944357286391</v>
      </c>
      <c r="K897">
        <v>1.7882096854223329E-211</v>
      </c>
      <c r="L897">
        <v>1.036139783438998E-210</v>
      </c>
      <c r="M897">
        <v>0.24539071157534931</v>
      </c>
      <c r="N897">
        <v>3.2575996844450408E-212</v>
      </c>
      <c r="O897">
        <v>2.090636759510932E-211</v>
      </c>
      <c r="P897">
        <v>0.1047875296757232</v>
      </c>
      <c r="Q897">
        <v>0.75085203306303616</v>
      </c>
      <c r="R897">
        <v>10.331170221372981</v>
      </c>
      <c r="S897">
        <v>0.27243684326572137</v>
      </c>
      <c r="T897">
        <v>0.19676358280033751</v>
      </c>
      <c r="U897">
        <v>4.2554980033622858</v>
      </c>
      <c r="V897">
        <v>0.1241462601862633</v>
      </c>
      <c r="W897">
        <v>13.52641954889325</v>
      </c>
      <c r="X897">
        <v>0.28796068715480061</v>
      </c>
      <c r="Z897" t="s">
        <v>392</v>
      </c>
      <c r="AA897">
        <v>140</v>
      </c>
      <c r="AB897" t="s">
        <v>2302</v>
      </c>
      <c r="AC897" t="str">
        <f>HYPERLINK("plots/20251231112652_3FT6Y119H04_05543_B21P_N_UFLEX98_M5358A8BA201511/dpll_52094/txpa_54253.png","plot")</f>
        <v>plot</v>
      </c>
    </row>
    <row r="898" spans="1:29" x14ac:dyDescent="0.35">
      <c r="A898" t="s">
        <v>47</v>
      </c>
      <c r="B898">
        <v>52094</v>
      </c>
      <c r="C898" t="s">
        <v>53</v>
      </c>
      <c r="D898">
        <v>54254</v>
      </c>
      <c r="E898" t="s">
        <v>274</v>
      </c>
      <c r="F898">
        <v>7138</v>
      </c>
      <c r="G898">
        <v>0.3931294648747336</v>
      </c>
      <c r="H898">
        <v>1.692917803301583E-262</v>
      </c>
      <c r="I898">
        <v>6.1307809019564479E-261</v>
      </c>
      <c r="J898">
        <v>0.42796926826938009</v>
      </c>
      <c r="K898">
        <v>0</v>
      </c>
      <c r="L898">
        <v>0</v>
      </c>
      <c r="M898">
        <v>0.30351298874193328</v>
      </c>
      <c r="N898">
        <v>0</v>
      </c>
      <c r="O898">
        <v>0</v>
      </c>
      <c r="P898">
        <v>0.15455077615269441</v>
      </c>
      <c r="Q898">
        <v>0.77953612422521734</v>
      </c>
      <c r="R898">
        <v>10.2652566223158</v>
      </c>
      <c r="S898">
        <v>0.22632283880417031</v>
      </c>
      <c r="T898">
        <v>0.15925445321413151</v>
      </c>
      <c r="U898">
        <v>4.2554929962174279</v>
      </c>
      <c r="V898">
        <v>0.1241407572373364</v>
      </c>
      <c r="W898">
        <v>13.582567139254691</v>
      </c>
      <c r="X898">
        <v>0.24615861542205231</v>
      </c>
      <c r="Z898" t="s">
        <v>392</v>
      </c>
      <c r="AA898">
        <v>140</v>
      </c>
      <c r="AB898" t="s">
        <v>2303</v>
      </c>
      <c r="AC898" t="str">
        <f>HYPERLINK("plots/20251231112652_3FT6Y119H04_05543_B21P_N_UFLEX98_M5358A8BA201511/dpll_52094/txpa_54254.png","plot")</f>
        <v>plot</v>
      </c>
    </row>
    <row r="899" spans="1:29" x14ac:dyDescent="0.35">
      <c r="A899" t="s">
        <v>47</v>
      </c>
      <c r="B899">
        <v>52094</v>
      </c>
      <c r="C899" t="s">
        <v>53</v>
      </c>
      <c r="D899">
        <v>54255</v>
      </c>
      <c r="E899" t="s">
        <v>275</v>
      </c>
      <c r="F899">
        <v>7139</v>
      </c>
      <c r="G899">
        <v>0.35857575567505667</v>
      </c>
      <c r="H899">
        <v>1.343343005811184E-215</v>
      </c>
      <c r="I899">
        <v>9.6606369354080907E-215</v>
      </c>
      <c r="J899">
        <v>0.38326260419723862</v>
      </c>
      <c r="K899">
        <v>1.5218458149871451E-248</v>
      </c>
      <c r="L899">
        <v>1.953356527084765E-247</v>
      </c>
      <c r="M899">
        <v>0.26688014957146811</v>
      </c>
      <c r="N899">
        <v>1.175659563286374E-250</v>
      </c>
      <c r="O899">
        <v>1.633039448181347E-249</v>
      </c>
      <c r="P899">
        <v>0.128576572557938</v>
      </c>
      <c r="Q899">
        <v>0.74387876514058693</v>
      </c>
      <c r="R899">
        <v>10.4454986902466</v>
      </c>
      <c r="S899">
        <v>0.24040106614848719</v>
      </c>
      <c r="T899">
        <v>0.17272292468981951</v>
      </c>
      <c r="U899">
        <v>4.2555146084885838</v>
      </c>
      <c r="V899">
        <v>0.12414549193133841</v>
      </c>
      <c r="W899">
        <v>13.61108564224681</v>
      </c>
      <c r="X899">
        <v>0.25754444848564167</v>
      </c>
      <c r="Z899" t="s">
        <v>392</v>
      </c>
      <c r="AA899">
        <v>140</v>
      </c>
      <c r="AB899" t="s">
        <v>2304</v>
      </c>
      <c r="AC899" t="str">
        <f>HYPERLINK("plots/20251231112652_3FT6Y119H04_05543_B21P_N_UFLEX98_M5358A8BA201511/dpll_52094/txpa_54255.png","plot")</f>
        <v>plot</v>
      </c>
    </row>
    <row r="900" spans="1:29" x14ac:dyDescent="0.35">
      <c r="A900" t="s">
        <v>47</v>
      </c>
      <c r="B900">
        <v>52094</v>
      </c>
      <c r="C900" t="s">
        <v>53</v>
      </c>
      <c r="D900">
        <v>54256</v>
      </c>
      <c r="E900" t="s">
        <v>276</v>
      </c>
      <c r="F900">
        <v>7139</v>
      </c>
      <c r="G900">
        <v>0.38546420321435598</v>
      </c>
      <c r="H900">
        <v>1.2656920987979079E-251</v>
      </c>
      <c r="I900">
        <v>2.7306633791086789E-250</v>
      </c>
      <c r="J900">
        <v>0.42218238433995742</v>
      </c>
      <c r="K900">
        <v>1.320528744249823E-306</v>
      </c>
      <c r="L900">
        <v>9.5644010476380029E-305</v>
      </c>
      <c r="M900">
        <v>0.29983089010970332</v>
      </c>
      <c r="N900">
        <v>0</v>
      </c>
      <c r="O900">
        <v>0</v>
      </c>
      <c r="P900">
        <v>0.1485826519596784</v>
      </c>
      <c r="Q900">
        <v>0.7562983820161111</v>
      </c>
      <c r="R900">
        <v>10.35367566937467</v>
      </c>
      <c r="S900">
        <v>0.22474027116446441</v>
      </c>
      <c r="T900">
        <v>0.15779751558301061</v>
      </c>
      <c r="U900">
        <v>4.2555146084885838</v>
      </c>
      <c r="V900">
        <v>0.12414549193133841</v>
      </c>
      <c r="W900">
        <v>13.57211448242051</v>
      </c>
      <c r="X900">
        <v>0.24357912848797719</v>
      </c>
      <c r="Z900" t="s">
        <v>392</v>
      </c>
      <c r="AA900">
        <v>140</v>
      </c>
      <c r="AB900" t="s">
        <v>2305</v>
      </c>
      <c r="AC900" t="str">
        <f>HYPERLINK("plots/20251231112652_3FT6Y119H04_05543_B21P_N_UFLEX98_M5358A8BA201511/dpll_52094/txpa_54256.png","plot")</f>
        <v>plot</v>
      </c>
    </row>
    <row r="901" spans="1:29" x14ac:dyDescent="0.35">
      <c r="A901" t="s">
        <v>47</v>
      </c>
      <c r="B901">
        <v>52094</v>
      </c>
      <c r="C901" t="s">
        <v>53</v>
      </c>
      <c r="D901">
        <v>54257</v>
      </c>
      <c r="E901" t="s">
        <v>277</v>
      </c>
      <c r="F901">
        <v>7139</v>
      </c>
      <c r="G901">
        <v>0.34455107371953952</v>
      </c>
      <c r="H901">
        <v>3.8413218494729028E-198</v>
      </c>
      <c r="I901">
        <v>1.99748736172591E-197</v>
      </c>
      <c r="J901">
        <v>0.36274810683574787</v>
      </c>
      <c r="K901">
        <v>5.7738800910831709E-221</v>
      </c>
      <c r="L901">
        <v>4.2425466756219823E-220</v>
      </c>
      <c r="M901">
        <v>0.25019611469432501</v>
      </c>
      <c r="N901">
        <v>1.4889775945059281E-220</v>
      </c>
      <c r="O901">
        <v>1.207858624663209E-219</v>
      </c>
      <c r="P901">
        <v>0.1187154424012876</v>
      </c>
      <c r="Q901">
        <v>0.72074754088639215</v>
      </c>
      <c r="R901">
        <v>10.45747118928016</v>
      </c>
      <c r="S901">
        <v>0.24377444498681181</v>
      </c>
      <c r="T901">
        <v>0.1777902302460139</v>
      </c>
      <c r="U901">
        <v>4.2555146084885838</v>
      </c>
      <c r="V901">
        <v>0.12414549193133841</v>
      </c>
      <c r="W901">
        <v>13.524622878554419</v>
      </c>
      <c r="X901">
        <v>0.25969316262957648</v>
      </c>
      <c r="Z901" t="s">
        <v>392</v>
      </c>
      <c r="AA901">
        <v>140</v>
      </c>
      <c r="AB901" t="s">
        <v>2306</v>
      </c>
      <c r="AC901" t="str">
        <f>HYPERLINK("plots/20251231112652_3FT6Y119H04_05543_B21P_N_UFLEX98_M5358A8BA201511/dpll_52094/txpa_54257.png","plot")</f>
        <v>plot</v>
      </c>
    </row>
    <row r="902" spans="1:29" x14ac:dyDescent="0.35">
      <c r="A902" t="s">
        <v>47</v>
      </c>
      <c r="B902">
        <v>52094</v>
      </c>
      <c r="C902" t="s">
        <v>53</v>
      </c>
      <c r="D902">
        <v>54258</v>
      </c>
      <c r="E902" t="s">
        <v>278</v>
      </c>
      <c r="F902">
        <v>7139</v>
      </c>
      <c r="G902">
        <v>0.2952225854049661</v>
      </c>
      <c r="H902">
        <v>1.509695920984958E-143</v>
      </c>
      <c r="I902">
        <v>3.5683721768735358E-143</v>
      </c>
      <c r="J902">
        <v>0.24640845020919189</v>
      </c>
      <c r="K902">
        <v>3.2102983093900159E-99</v>
      </c>
      <c r="L902">
        <v>5.9839016281644788E-99</v>
      </c>
      <c r="M902">
        <v>0.16420361157831859</v>
      </c>
      <c r="N902">
        <v>3.8500342081792943E-96</v>
      </c>
      <c r="O902">
        <v>7.1239684071054828E-96</v>
      </c>
      <c r="P902">
        <v>8.7156374933192504E-2</v>
      </c>
      <c r="Q902">
        <v>0.69866264575984705</v>
      </c>
      <c r="R902">
        <v>10.426243417520681</v>
      </c>
      <c r="S902">
        <v>0.28068336403635602</v>
      </c>
      <c r="T902">
        <v>0.22871391306761549</v>
      </c>
      <c r="U902">
        <v>4.2555146084885838</v>
      </c>
      <c r="V902">
        <v>0.12414549193133841</v>
      </c>
      <c r="W902">
        <v>13.399412512956999</v>
      </c>
      <c r="X902">
        <v>0.29379804303565871</v>
      </c>
      <c r="Z902" t="s">
        <v>392</v>
      </c>
      <c r="AA902">
        <v>140</v>
      </c>
      <c r="AB902" t="s">
        <v>2307</v>
      </c>
      <c r="AC902" t="str">
        <f>HYPERLINK("plots/20251231112652_3FT6Y119H04_05543_B21P_N_UFLEX98_M5358A8BA201511/dpll_52094/txpa_54258.png","plot")</f>
        <v>plot</v>
      </c>
    </row>
    <row r="903" spans="1:29" x14ac:dyDescent="0.35">
      <c r="A903" t="s">
        <v>47</v>
      </c>
      <c r="B903">
        <v>52094</v>
      </c>
      <c r="C903" t="s">
        <v>53</v>
      </c>
      <c r="D903">
        <v>55146</v>
      </c>
      <c r="E903" t="s">
        <v>279</v>
      </c>
      <c r="F903">
        <v>7139</v>
      </c>
      <c r="G903">
        <v>-1.020039042825586E-2</v>
      </c>
      <c r="H903">
        <v>0.38883664200546092</v>
      </c>
      <c r="I903">
        <v>0.38999045993426051</v>
      </c>
      <c r="J903">
        <v>-5.50553720580782E-3</v>
      </c>
      <c r="K903">
        <v>0.64186039122563954</v>
      </c>
      <c r="L903">
        <v>0.64504106709890829</v>
      </c>
      <c r="M903">
        <v>-3.6314865208355702E-3</v>
      </c>
      <c r="N903">
        <v>0.6454243400984323</v>
      </c>
      <c r="O903">
        <v>0.64798047609882214</v>
      </c>
      <c r="P903">
        <v>1.040479648888538E-4</v>
      </c>
      <c r="Q903">
        <v>-0.3727350544865034</v>
      </c>
      <c r="R903">
        <v>-9.8405080820146935</v>
      </c>
      <c r="S903">
        <v>4.5358781906840191</v>
      </c>
      <c r="T903">
        <v>3.4563444706828381</v>
      </c>
      <c r="U903">
        <v>4.2555146084885838</v>
      </c>
      <c r="V903">
        <v>0.12414549193133841</v>
      </c>
      <c r="W903">
        <v>-11.4266875514778</v>
      </c>
      <c r="X903">
        <v>4.5364319164784517</v>
      </c>
      <c r="Z903" t="s">
        <v>392</v>
      </c>
      <c r="AA903">
        <v>140</v>
      </c>
      <c r="AB903" t="s">
        <v>2308</v>
      </c>
      <c r="AC903" t="str">
        <f>HYPERLINK("plots/20251231112652_3FT6Y119H04_05543_B21P_N_UFLEX98_M5358A8BA201511/dpll_52094/txpa_55146.png","plot")</f>
        <v>plot</v>
      </c>
    </row>
    <row r="904" spans="1:29" x14ac:dyDescent="0.35">
      <c r="A904" t="s">
        <v>47</v>
      </c>
      <c r="B904">
        <v>52094</v>
      </c>
      <c r="C904" t="s">
        <v>53</v>
      </c>
      <c r="D904">
        <v>55147</v>
      </c>
      <c r="E904" t="s">
        <v>280</v>
      </c>
      <c r="F904">
        <v>7138</v>
      </c>
      <c r="G904">
        <v>0.11968914462266191</v>
      </c>
      <c r="H904">
        <v>3.4219219208190852E-24</v>
      </c>
      <c r="I904">
        <v>3.5370324441493907E-24</v>
      </c>
      <c r="J904">
        <v>0.1113247150897583</v>
      </c>
      <c r="K904">
        <v>3.9798359442852989E-21</v>
      </c>
      <c r="L904">
        <v>4.1347885732636197E-21</v>
      </c>
      <c r="M904">
        <v>7.4006465541866476E-2</v>
      </c>
      <c r="N904">
        <v>7.0502770533580145E-21</v>
      </c>
      <c r="O904">
        <v>7.3247755451895756E-21</v>
      </c>
      <c r="P904">
        <v>1.432549134050448E-2</v>
      </c>
      <c r="Q904">
        <v>0.78574453087054164</v>
      </c>
      <c r="R904">
        <v>-22.392870088735439</v>
      </c>
      <c r="S904">
        <v>0.80914098880128227</v>
      </c>
      <c r="T904">
        <v>0.62788075957548095</v>
      </c>
      <c r="U904">
        <v>4.2555156915102268</v>
      </c>
      <c r="V904">
        <v>0.1241541552156686</v>
      </c>
      <c r="W904">
        <v>-19.049121908097511</v>
      </c>
      <c r="X904">
        <v>0.81505677689581602</v>
      </c>
      <c r="Z904" t="s">
        <v>392</v>
      </c>
      <c r="AA904">
        <v>140</v>
      </c>
      <c r="AB904" t="s">
        <v>2309</v>
      </c>
      <c r="AC904" t="str">
        <f>HYPERLINK("plots/20251231112652_3FT6Y119H04_05543_B21P_N_UFLEX98_M5358A8BA201511/dpll_52094/txpa_55147.png","plot")</f>
        <v>plot</v>
      </c>
    </row>
    <row r="905" spans="1:29" x14ac:dyDescent="0.35">
      <c r="A905" t="s">
        <v>47</v>
      </c>
      <c r="B905">
        <v>52094</v>
      </c>
      <c r="C905" t="s">
        <v>53</v>
      </c>
      <c r="D905">
        <v>55148</v>
      </c>
      <c r="E905" t="s">
        <v>281</v>
      </c>
      <c r="F905">
        <v>7139</v>
      </c>
      <c r="G905">
        <v>0.115797846066165</v>
      </c>
      <c r="H905">
        <v>9.6671000258136167E-23</v>
      </c>
      <c r="I905">
        <v>9.931549570592713E-23</v>
      </c>
      <c r="J905">
        <v>0.1147174439947397</v>
      </c>
      <c r="K905">
        <v>2.401339002284928E-22</v>
      </c>
      <c r="L905">
        <v>2.5258897804117398E-22</v>
      </c>
      <c r="M905">
        <v>7.64571439311129E-2</v>
      </c>
      <c r="N905">
        <v>3.5496755589843648E-22</v>
      </c>
      <c r="O905">
        <v>3.7337873618362522E-22</v>
      </c>
      <c r="P905">
        <v>1.340914115356325E-2</v>
      </c>
      <c r="Q905">
        <v>0.75288751336826365</v>
      </c>
      <c r="R905">
        <v>-22.795572357702131</v>
      </c>
      <c r="S905">
        <v>0.80167564776092448</v>
      </c>
      <c r="T905">
        <v>0.60009204114944215</v>
      </c>
      <c r="U905">
        <v>4.2555146084885838</v>
      </c>
      <c r="V905">
        <v>0.12414549193133841</v>
      </c>
      <c r="W905">
        <v>-19.591648546014849</v>
      </c>
      <c r="X905">
        <v>0.80716173824735304</v>
      </c>
      <c r="Z905" t="s">
        <v>392</v>
      </c>
      <c r="AA905">
        <v>140</v>
      </c>
      <c r="AB905" t="s">
        <v>2310</v>
      </c>
      <c r="AC905" t="str">
        <f>HYPERLINK("plots/20251231112652_3FT6Y119H04_05543_B21P_N_UFLEX98_M5358A8BA201511/dpll_52094/txpa_55148.png","plot")</f>
        <v>plot</v>
      </c>
    </row>
    <row r="906" spans="1:29" x14ac:dyDescent="0.35">
      <c r="A906" t="s">
        <v>47</v>
      </c>
      <c r="B906">
        <v>52094</v>
      </c>
      <c r="C906" t="s">
        <v>53</v>
      </c>
      <c r="D906">
        <v>55149</v>
      </c>
      <c r="E906" t="s">
        <v>282</v>
      </c>
      <c r="F906">
        <v>7139</v>
      </c>
      <c r="G906">
        <v>0.12912406880864161</v>
      </c>
      <c r="H906">
        <v>6.3575305733243904E-28</v>
      </c>
      <c r="I906">
        <v>6.6803481879284253E-28</v>
      </c>
      <c r="J906">
        <v>0.1121050169127752</v>
      </c>
      <c r="K906">
        <v>2.0919493247159399E-21</v>
      </c>
      <c r="L906">
        <v>2.1845897170566039E-21</v>
      </c>
      <c r="M906">
        <v>7.4284036635484232E-2</v>
      </c>
      <c r="N906">
        <v>5.0168603424364973E-21</v>
      </c>
      <c r="O906">
        <v>5.2336382584677027E-21</v>
      </c>
      <c r="P906">
        <v>1.6673025145698801E-2</v>
      </c>
      <c r="Q906">
        <v>0.83254657605810278</v>
      </c>
      <c r="R906">
        <v>-22.64107577515799</v>
      </c>
      <c r="S906">
        <v>0.79368988860700029</v>
      </c>
      <c r="T906">
        <v>0.61977047153761289</v>
      </c>
      <c r="U906">
        <v>4.2555146084885838</v>
      </c>
      <c r="V906">
        <v>0.12414549193133841</v>
      </c>
      <c r="W906">
        <v>-19.098161658495581</v>
      </c>
      <c r="X906">
        <v>0.80044646357649074</v>
      </c>
      <c r="Z906" t="s">
        <v>392</v>
      </c>
      <c r="AA906">
        <v>140</v>
      </c>
      <c r="AB906" t="s">
        <v>2311</v>
      </c>
      <c r="AC906" t="str">
        <f>HYPERLINK("plots/20251231112652_3FT6Y119H04_05543_B21P_N_UFLEX98_M5358A8BA201511/dpll_52094/txpa_55149.png","plot")</f>
        <v>plot</v>
      </c>
    </row>
    <row r="907" spans="1:29" x14ac:dyDescent="0.35">
      <c r="A907" t="s">
        <v>47</v>
      </c>
      <c r="B907">
        <v>52094</v>
      </c>
      <c r="C907" t="s">
        <v>53</v>
      </c>
      <c r="D907">
        <v>55150</v>
      </c>
      <c r="E907" t="s">
        <v>283</v>
      </c>
      <c r="F907">
        <v>7129</v>
      </c>
      <c r="G907">
        <v>0.14994821297245789</v>
      </c>
      <c r="H907">
        <v>4.0050649692146737E-37</v>
      </c>
      <c r="I907">
        <v>4.4335544528206102E-37</v>
      </c>
      <c r="J907">
        <v>0.1419041136029677</v>
      </c>
      <c r="K907">
        <v>2.1810659735191209E-33</v>
      </c>
      <c r="L907">
        <v>2.451885695286462E-33</v>
      </c>
      <c r="M907">
        <v>9.4510634901694271E-2</v>
      </c>
      <c r="N907">
        <v>5.6308315922093712E-33</v>
      </c>
      <c r="O907">
        <v>6.3370291170924543E-33</v>
      </c>
      <c r="P907">
        <v>2.248446657363359E-2</v>
      </c>
      <c r="Q907">
        <v>0.90523576526713678</v>
      </c>
      <c r="R907">
        <v>-23.054907897575081</v>
      </c>
      <c r="S907">
        <v>0.74119300095067076</v>
      </c>
      <c r="T907">
        <v>0.5708659724085019</v>
      </c>
      <c r="U907">
        <v>4.2555003447888904</v>
      </c>
      <c r="V907">
        <v>0.1241879699349669</v>
      </c>
      <c r="W907">
        <v>-19.202676786365551</v>
      </c>
      <c r="X907">
        <v>0.74972145231034404</v>
      </c>
      <c r="Z907" t="s">
        <v>392</v>
      </c>
      <c r="AA907">
        <v>140</v>
      </c>
      <c r="AB907" t="s">
        <v>2312</v>
      </c>
      <c r="AC907" t="str">
        <f>HYPERLINK("plots/20251231112652_3FT6Y119H04_05543_B21P_N_UFLEX98_M5358A8BA201511/dpll_52094/txpa_55150.png","plot")</f>
        <v>plot</v>
      </c>
    </row>
    <row r="908" spans="1:29" x14ac:dyDescent="0.35">
      <c r="A908" t="s">
        <v>47</v>
      </c>
      <c r="B908">
        <v>52094</v>
      </c>
      <c r="C908" t="s">
        <v>53</v>
      </c>
      <c r="D908">
        <v>55151</v>
      </c>
      <c r="E908" t="s">
        <v>284</v>
      </c>
      <c r="F908">
        <v>7139</v>
      </c>
      <c r="G908">
        <v>0.1510734012577522</v>
      </c>
      <c r="H908">
        <v>1.029514658042325E-37</v>
      </c>
      <c r="I908">
        <v>1.142153023254833E-37</v>
      </c>
      <c r="J908">
        <v>0.13549667975685731</v>
      </c>
      <c r="K908">
        <v>1.3263643766840829E-30</v>
      </c>
      <c r="L908">
        <v>1.458713099737158E-30</v>
      </c>
      <c r="M908">
        <v>9.0332859837011475E-2</v>
      </c>
      <c r="N908">
        <v>2.5949115963641352E-30</v>
      </c>
      <c r="O908">
        <v>2.85383986845253E-30</v>
      </c>
      <c r="P908">
        <v>2.28231725675858E-2</v>
      </c>
      <c r="Q908">
        <v>1.054064784169608</v>
      </c>
      <c r="R908">
        <v>-23.780251748904391</v>
      </c>
      <c r="S908">
        <v>0.85618262732540584</v>
      </c>
      <c r="T908">
        <v>0.64919137120991388</v>
      </c>
      <c r="U908">
        <v>4.2555146084885838</v>
      </c>
      <c r="V908">
        <v>0.12414549193133841</v>
      </c>
      <c r="W908">
        <v>-19.29466366157725</v>
      </c>
      <c r="X908">
        <v>0.86618418642058082</v>
      </c>
      <c r="Z908" t="s">
        <v>392</v>
      </c>
      <c r="AA908">
        <v>140</v>
      </c>
      <c r="AB908" t="s">
        <v>2313</v>
      </c>
      <c r="AC908" t="str">
        <f>HYPERLINK("plots/20251231112652_3FT6Y119H04_05543_B21P_N_UFLEX98_M5358A8BA201511/dpll_52094/txpa_55151.png","plot")</f>
        <v>plot</v>
      </c>
    </row>
    <row r="909" spans="1:29" x14ac:dyDescent="0.35">
      <c r="A909" t="s">
        <v>47</v>
      </c>
      <c r="B909">
        <v>52094</v>
      </c>
      <c r="C909" t="s">
        <v>53</v>
      </c>
      <c r="D909">
        <v>55152</v>
      </c>
      <c r="E909" t="s">
        <v>285</v>
      </c>
      <c r="F909">
        <v>7121</v>
      </c>
      <c r="G909">
        <v>0.14885318836585951</v>
      </c>
      <c r="H909">
        <v>1.454953072207739E-36</v>
      </c>
      <c r="I909">
        <v>1.5915020660395342E-36</v>
      </c>
      <c r="J909">
        <v>0.1380113915672849</v>
      </c>
      <c r="K909">
        <v>1.2713170512154211E-31</v>
      </c>
      <c r="L909">
        <v>1.410410820495007E-31</v>
      </c>
      <c r="M909">
        <v>9.1597727576623392E-2</v>
      </c>
      <c r="N909">
        <v>4.8273465840823966E-31</v>
      </c>
      <c r="O909">
        <v>5.349649657114263E-31</v>
      </c>
      <c r="P909">
        <v>2.215727168668204E-2</v>
      </c>
      <c r="Q909">
        <v>0.87214406478329298</v>
      </c>
      <c r="R909">
        <v>-22.903384217858871</v>
      </c>
      <c r="S909">
        <v>0.71972262439666845</v>
      </c>
      <c r="T909">
        <v>0.55070671452701769</v>
      </c>
      <c r="U909">
        <v>4.2556003639938211</v>
      </c>
      <c r="V909">
        <v>0.1242313079245379</v>
      </c>
      <c r="W909">
        <v>-19.191887618312041</v>
      </c>
      <c r="X909">
        <v>0.72788227821058715</v>
      </c>
      <c r="Z909" t="s">
        <v>392</v>
      </c>
      <c r="AA909">
        <v>140</v>
      </c>
      <c r="AB909" t="s">
        <v>2314</v>
      </c>
      <c r="AC909" t="str">
        <f>HYPERLINK("plots/20251231112652_3FT6Y119H04_05543_B21P_N_UFLEX98_M5358A8BA201511/dpll_52094/txpa_55152.png","plot")</f>
        <v>plot</v>
      </c>
    </row>
    <row r="910" spans="1:29" x14ac:dyDescent="0.35">
      <c r="A910" t="s">
        <v>47</v>
      </c>
      <c r="B910">
        <v>52094</v>
      </c>
      <c r="C910" t="s">
        <v>53</v>
      </c>
      <c r="D910">
        <v>55153</v>
      </c>
      <c r="E910" t="s">
        <v>286</v>
      </c>
      <c r="F910">
        <v>7139</v>
      </c>
      <c r="G910">
        <v>0.13636184870074081</v>
      </c>
      <c r="H910">
        <v>5.6048427318075887E-31</v>
      </c>
      <c r="I910">
        <v>5.9635997167396604E-31</v>
      </c>
      <c r="J910">
        <v>0.12630182875855761</v>
      </c>
      <c r="K910">
        <v>8.880738234782847E-27</v>
      </c>
      <c r="L910">
        <v>9.4690521241533201E-27</v>
      </c>
      <c r="M910">
        <v>8.4023763799741066E-2</v>
      </c>
      <c r="N910">
        <v>1.9016696612048511E-26</v>
      </c>
      <c r="O910">
        <v>2.03406438445329E-26</v>
      </c>
      <c r="P910">
        <v>1.8594553781083729E-2</v>
      </c>
      <c r="Q910">
        <v>0.86541488970568314</v>
      </c>
      <c r="R910">
        <v>-23.08659122732783</v>
      </c>
      <c r="S910">
        <v>0.78047006272902242</v>
      </c>
      <c r="T910">
        <v>0.59341954262059371</v>
      </c>
      <c r="U910">
        <v>4.2555146084885838</v>
      </c>
      <c r="V910">
        <v>0.12414549193133841</v>
      </c>
      <c r="W910">
        <v>-19.403805521781759</v>
      </c>
      <c r="X910">
        <v>0.78788428164389746</v>
      </c>
      <c r="Z910" t="s">
        <v>392</v>
      </c>
      <c r="AA910">
        <v>140</v>
      </c>
      <c r="AB910" t="s">
        <v>2315</v>
      </c>
      <c r="AC910" t="str">
        <f>HYPERLINK("plots/20251231112652_3FT6Y119H04_05543_B21P_N_UFLEX98_M5358A8BA201511/dpll_52094/txpa_55153.png","plot")</f>
        <v>plot</v>
      </c>
    </row>
    <row r="911" spans="1:29" x14ac:dyDescent="0.35">
      <c r="A911" t="s">
        <v>47</v>
      </c>
      <c r="B911">
        <v>52094</v>
      </c>
      <c r="C911" t="s">
        <v>53</v>
      </c>
      <c r="D911">
        <v>55154</v>
      </c>
      <c r="E911" t="s">
        <v>287</v>
      </c>
      <c r="F911">
        <v>7136</v>
      </c>
      <c r="G911">
        <v>0.12428187692374661</v>
      </c>
      <c r="H911">
        <v>5.787892765569202E-26</v>
      </c>
      <c r="I911">
        <v>6.0255885670299489E-26</v>
      </c>
      <c r="J911">
        <v>0.1167786949727834</v>
      </c>
      <c r="K911">
        <v>4.2889777945234058E-23</v>
      </c>
      <c r="L911">
        <v>4.5161199207131182E-23</v>
      </c>
      <c r="M911">
        <v>7.8129368408453539E-2</v>
      </c>
      <c r="N911">
        <v>4.436876238170889E-23</v>
      </c>
      <c r="O911">
        <v>4.671850992217322E-23</v>
      </c>
      <c r="P911">
        <v>1.5445984931689289E-2</v>
      </c>
      <c r="Q911">
        <v>0.77211558036483063</v>
      </c>
      <c r="R911">
        <v>-22.269274852526092</v>
      </c>
      <c r="S911">
        <v>0.76522245513654819</v>
      </c>
      <c r="T911">
        <v>0.58881547522881594</v>
      </c>
      <c r="U911">
        <v>4.2555036705437219</v>
      </c>
      <c r="V911">
        <v>0.1241434616559097</v>
      </c>
      <c r="W911">
        <v>-18.983534166199551</v>
      </c>
      <c r="X911">
        <v>0.77125565945357222</v>
      </c>
      <c r="Z911" t="s">
        <v>392</v>
      </c>
      <c r="AA911">
        <v>140</v>
      </c>
      <c r="AB911" t="s">
        <v>2316</v>
      </c>
      <c r="AC911" t="str">
        <f>HYPERLINK("plots/20251231112652_3FT6Y119H04_05543_B21P_N_UFLEX98_M5358A8BA201511/dpll_52094/txpa_55154.png","plot")</f>
        <v>plot</v>
      </c>
    </row>
    <row r="912" spans="1:29" x14ac:dyDescent="0.35">
      <c r="A912" t="s">
        <v>47</v>
      </c>
      <c r="B912">
        <v>52094</v>
      </c>
      <c r="C912" t="s">
        <v>53</v>
      </c>
      <c r="D912">
        <v>55155</v>
      </c>
      <c r="E912" t="s">
        <v>288</v>
      </c>
      <c r="F912">
        <v>7139</v>
      </c>
      <c r="G912">
        <v>0.13081861409284781</v>
      </c>
      <c r="H912">
        <v>1.2686205551350341E-28</v>
      </c>
      <c r="I912">
        <v>1.334420376459465E-28</v>
      </c>
      <c r="J912">
        <v>0.12712627040778199</v>
      </c>
      <c r="K912">
        <v>4.1360023990388907E-27</v>
      </c>
      <c r="L912">
        <v>4.452129970939953E-27</v>
      </c>
      <c r="M912">
        <v>8.4245066140593711E-2</v>
      </c>
      <c r="N912">
        <v>1.34872604627345E-26</v>
      </c>
      <c r="O912">
        <v>1.448737511569151E-26</v>
      </c>
      <c r="P912">
        <v>1.711350979317345E-2</v>
      </c>
      <c r="Q912">
        <v>0.57748673581286014</v>
      </c>
      <c r="R912">
        <v>-10.92470668267881</v>
      </c>
      <c r="S912">
        <v>0.5432812128714446</v>
      </c>
      <c r="T912">
        <v>0.45144821349625169</v>
      </c>
      <c r="U912">
        <v>4.2555146084885838</v>
      </c>
      <c r="V912">
        <v>0.12414549193133841</v>
      </c>
      <c r="W912">
        <v>-8.4672034422187981</v>
      </c>
      <c r="X912">
        <v>0.5480288519982871</v>
      </c>
      <c r="Z912" t="s">
        <v>392</v>
      </c>
      <c r="AA912">
        <v>140</v>
      </c>
      <c r="AB912" t="s">
        <v>2317</v>
      </c>
      <c r="AC912" t="str">
        <f>HYPERLINK("plots/20251231112652_3FT6Y119H04_05543_B21P_N_UFLEX98_M5358A8BA201511/dpll_52094/txpa_55155.png","plot")</f>
        <v>plot</v>
      </c>
    </row>
    <row r="913" spans="1:29" x14ac:dyDescent="0.35">
      <c r="A913" t="s">
        <v>47</v>
      </c>
      <c r="B913">
        <v>52094</v>
      </c>
      <c r="C913" t="s">
        <v>53</v>
      </c>
      <c r="D913">
        <v>55156</v>
      </c>
      <c r="E913" t="s">
        <v>289</v>
      </c>
      <c r="F913">
        <v>7139</v>
      </c>
      <c r="G913">
        <v>0.24015100936063119</v>
      </c>
      <c r="H913">
        <v>3.4122331992540888E-94</v>
      </c>
      <c r="I913">
        <v>5.2030142316445807E-94</v>
      </c>
      <c r="J913">
        <v>0.20867635806877699</v>
      </c>
      <c r="K913">
        <v>4.5128681616743226E-71</v>
      </c>
      <c r="L913">
        <v>6.5278863280139289E-71</v>
      </c>
      <c r="M913">
        <v>0.1393028412128974</v>
      </c>
      <c r="N913">
        <v>1.030561609060172E-69</v>
      </c>
      <c r="O913">
        <v>1.488588990864693E-69</v>
      </c>
      <c r="P913">
        <v>5.7672507296929992E-2</v>
      </c>
      <c r="Q913">
        <v>0.72325226438513712</v>
      </c>
      <c r="R913">
        <v>-12.080750195987809</v>
      </c>
      <c r="S913">
        <v>0.36291661482159882</v>
      </c>
      <c r="T913">
        <v>0.29514682463370401</v>
      </c>
      <c r="U913">
        <v>4.2555146084885838</v>
      </c>
      <c r="V913">
        <v>0.12414549193133841</v>
      </c>
      <c r="W913">
        <v>-9.0029396192744073</v>
      </c>
      <c r="X913">
        <v>0.37388353432949012</v>
      </c>
      <c r="Z913" t="s">
        <v>392</v>
      </c>
      <c r="AA913">
        <v>140</v>
      </c>
      <c r="AB913" t="s">
        <v>2318</v>
      </c>
      <c r="AC913" t="str">
        <f>HYPERLINK("plots/20251231112652_3FT6Y119H04_05543_B21P_N_UFLEX98_M5358A8BA201511/dpll_52094/txpa_55156.png","plot")</f>
        <v>plot</v>
      </c>
    </row>
    <row r="914" spans="1:29" x14ac:dyDescent="0.35">
      <c r="A914" t="s">
        <v>47</v>
      </c>
      <c r="B914">
        <v>52094</v>
      </c>
      <c r="C914" t="s">
        <v>53</v>
      </c>
      <c r="D914">
        <v>55157</v>
      </c>
      <c r="E914" t="s">
        <v>290</v>
      </c>
      <c r="F914">
        <v>7139</v>
      </c>
      <c r="G914">
        <v>0.17016726816979991</v>
      </c>
      <c r="H914">
        <v>1.595462316602617E-47</v>
      </c>
      <c r="I914">
        <v>1.8404991911661591E-47</v>
      </c>
      <c r="J914">
        <v>0.14491449469466641</v>
      </c>
      <c r="K914">
        <v>8.2978594772281538E-35</v>
      </c>
      <c r="L914">
        <v>9.4327685088669828E-35</v>
      </c>
      <c r="M914">
        <v>9.6460975153223133E-2</v>
      </c>
      <c r="N914">
        <v>2.3831176337397181E-34</v>
      </c>
      <c r="O914">
        <v>2.709059731627886E-34</v>
      </c>
      <c r="P914">
        <v>2.89568991563726E-2</v>
      </c>
      <c r="Q914">
        <v>0.70800535216281724</v>
      </c>
      <c r="R914">
        <v>-11.6008549940695</v>
      </c>
      <c r="S914">
        <v>0.50895607431017631</v>
      </c>
      <c r="T914">
        <v>0.44218378113249518</v>
      </c>
      <c r="U914">
        <v>4.2555146084885838</v>
      </c>
      <c r="V914">
        <v>0.12414549193133841</v>
      </c>
      <c r="W914">
        <v>-8.587927875052527</v>
      </c>
      <c r="X914">
        <v>0.51652514422789897</v>
      </c>
      <c r="Z914" t="s">
        <v>392</v>
      </c>
      <c r="AA914">
        <v>140</v>
      </c>
      <c r="AB914" t="s">
        <v>2319</v>
      </c>
      <c r="AC914" t="str">
        <f>HYPERLINK("plots/20251231112652_3FT6Y119H04_05543_B21P_N_UFLEX98_M5358A8BA201511/dpll_52094/txpa_55157.png","plot")</f>
        <v>plot</v>
      </c>
    </row>
    <row r="915" spans="1:29" x14ac:dyDescent="0.35">
      <c r="A915" t="s">
        <v>47</v>
      </c>
      <c r="B915">
        <v>52094</v>
      </c>
      <c r="C915" t="s">
        <v>53</v>
      </c>
      <c r="D915">
        <v>55158</v>
      </c>
      <c r="E915" t="s">
        <v>291</v>
      </c>
      <c r="F915">
        <v>7139</v>
      </c>
      <c r="G915">
        <v>0.21882202638676751</v>
      </c>
      <c r="H915">
        <v>3.8918036050377911E-78</v>
      </c>
      <c r="I915">
        <v>5.2617184740110938E-78</v>
      </c>
      <c r="J915">
        <v>0.2054640409607669</v>
      </c>
      <c r="K915">
        <v>6.5353253572127211E-69</v>
      </c>
      <c r="L915">
        <v>9.2553350729241604E-69</v>
      </c>
      <c r="M915">
        <v>0.1361586066193442</v>
      </c>
      <c r="N915">
        <v>1.0981043704376639E-66</v>
      </c>
      <c r="O915">
        <v>1.5422130631908459E-66</v>
      </c>
      <c r="P915">
        <v>4.7883079232011162E-2</v>
      </c>
      <c r="Q915">
        <v>0.76039523092445904</v>
      </c>
      <c r="R915">
        <v>-11.93453554150925</v>
      </c>
      <c r="S915">
        <v>0.42091463397792711</v>
      </c>
      <c r="T915">
        <v>0.32584603510220261</v>
      </c>
      <c r="U915">
        <v>4.2555146084885838</v>
      </c>
      <c r="V915">
        <v>0.12414549193133841</v>
      </c>
      <c r="W915">
        <v>-8.6986625280851655</v>
      </c>
      <c r="X915">
        <v>0.43139916746090928</v>
      </c>
      <c r="Z915" t="s">
        <v>392</v>
      </c>
      <c r="AA915">
        <v>140</v>
      </c>
      <c r="AB915" t="s">
        <v>2320</v>
      </c>
      <c r="AC915" t="str">
        <f>HYPERLINK("plots/20251231112652_3FT6Y119H04_05543_B21P_N_UFLEX98_M5358A8BA201511/dpll_52094/txpa_55158.png","plot")</f>
        <v>plot</v>
      </c>
    </row>
    <row r="916" spans="1:29" x14ac:dyDescent="0.35">
      <c r="A916" t="s">
        <v>47</v>
      </c>
      <c r="B916">
        <v>52094</v>
      </c>
      <c r="C916" t="s">
        <v>53</v>
      </c>
      <c r="D916">
        <v>55159</v>
      </c>
      <c r="E916" t="s">
        <v>292</v>
      </c>
      <c r="F916">
        <v>7139</v>
      </c>
      <c r="G916">
        <v>0.1684119976142282</v>
      </c>
      <c r="H916">
        <v>1.4307157025519751E-46</v>
      </c>
      <c r="I916">
        <v>1.6448364199407059E-46</v>
      </c>
      <c r="J916">
        <v>0.13457975618193169</v>
      </c>
      <c r="K916">
        <v>3.2846058352830512E-30</v>
      </c>
      <c r="L916">
        <v>3.592869813351687E-30</v>
      </c>
      <c r="M916">
        <v>8.9062916375377776E-2</v>
      </c>
      <c r="N916">
        <v>1.5687041891298269E-29</v>
      </c>
      <c r="O916">
        <v>1.7103935997609079E-29</v>
      </c>
      <c r="P916">
        <v>2.836260094041481E-2</v>
      </c>
      <c r="Q916">
        <v>0.74891183449692489</v>
      </c>
      <c r="R916">
        <v>-11.9612873185675</v>
      </c>
      <c r="S916">
        <v>0.5441395738635848</v>
      </c>
      <c r="T916">
        <v>0.43657136097773691</v>
      </c>
      <c r="U916">
        <v>4.2555146084885838</v>
      </c>
      <c r="V916">
        <v>0.12414549193133841</v>
      </c>
      <c r="W916">
        <v>-8.7742820663958536</v>
      </c>
      <c r="X916">
        <v>0.5520629730893174</v>
      </c>
      <c r="Z916" t="s">
        <v>392</v>
      </c>
      <c r="AA916">
        <v>140</v>
      </c>
      <c r="AB916" t="s">
        <v>2321</v>
      </c>
      <c r="AC916" t="str">
        <f>HYPERLINK("plots/20251231112652_3FT6Y119H04_05543_B21P_N_UFLEX98_M5358A8BA201511/dpll_52094/txpa_55159.png","plot")</f>
        <v>plot</v>
      </c>
    </row>
    <row r="917" spans="1:29" x14ac:dyDescent="0.35">
      <c r="A917" t="s">
        <v>47</v>
      </c>
      <c r="B917">
        <v>52094</v>
      </c>
      <c r="C917" t="s">
        <v>53</v>
      </c>
      <c r="D917">
        <v>55160</v>
      </c>
      <c r="E917" t="s">
        <v>293</v>
      </c>
      <c r="F917">
        <v>7139</v>
      </c>
      <c r="G917">
        <v>0.23245151407604689</v>
      </c>
      <c r="H917">
        <v>3.3118905671098421E-88</v>
      </c>
      <c r="I917">
        <v>4.7906662411546073E-88</v>
      </c>
      <c r="J917">
        <v>0.2247520657384775</v>
      </c>
      <c r="K917">
        <v>1.9548077646237561E-82</v>
      </c>
      <c r="L917">
        <v>3.1282828987367889E-82</v>
      </c>
      <c r="M917">
        <v>0.14952462891610999</v>
      </c>
      <c r="N917">
        <v>4.9180837506485973E-80</v>
      </c>
      <c r="O917">
        <v>7.7197165993152905E-80</v>
      </c>
      <c r="P917">
        <v>5.4033706396246647E-2</v>
      </c>
      <c r="Q917">
        <v>0.733920726031832</v>
      </c>
      <c r="R917">
        <v>-11.8123652107144</v>
      </c>
      <c r="S917">
        <v>0.38120197204726658</v>
      </c>
      <c r="T917">
        <v>0.29392274040271138</v>
      </c>
      <c r="U917">
        <v>4.2555146084885838</v>
      </c>
      <c r="V917">
        <v>0.12414549193133841</v>
      </c>
      <c r="W917">
        <v>-8.6891548396133906</v>
      </c>
      <c r="X917">
        <v>0.39196539516631868</v>
      </c>
      <c r="Z917" t="s">
        <v>392</v>
      </c>
      <c r="AA917">
        <v>140</v>
      </c>
      <c r="AB917" t="s">
        <v>2322</v>
      </c>
      <c r="AC917" t="str">
        <f>HYPERLINK("plots/20251231112652_3FT6Y119H04_05543_B21P_N_UFLEX98_M5358A8BA201511/dpll_52094/txpa_55160.png","plot")</f>
        <v>plot</v>
      </c>
    </row>
    <row r="918" spans="1:29" x14ac:dyDescent="0.35">
      <c r="A918" t="s">
        <v>47</v>
      </c>
      <c r="B918">
        <v>52094</v>
      </c>
      <c r="C918" t="s">
        <v>53</v>
      </c>
      <c r="D918">
        <v>55161</v>
      </c>
      <c r="E918" t="s">
        <v>294</v>
      </c>
      <c r="F918">
        <v>7139</v>
      </c>
      <c r="G918">
        <v>0.1933015178496757</v>
      </c>
      <c r="H918">
        <v>4.6719848948460242E-61</v>
      </c>
      <c r="I918">
        <v>5.6939815905935912E-61</v>
      </c>
      <c r="J918">
        <v>0.14825630100113149</v>
      </c>
      <c r="K918">
        <v>2.2776835688551139E-36</v>
      </c>
      <c r="L918">
        <v>2.6126370348632179E-36</v>
      </c>
      <c r="M918">
        <v>9.8543062938035289E-2</v>
      </c>
      <c r="N918">
        <v>8.9830948484717365E-36</v>
      </c>
      <c r="O918">
        <v>1.0304138208541111E-35</v>
      </c>
      <c r="P918">
        <v>3.736547680298849E-2</v>
      </c>
      <c r="Q918">
        <v>0.66283349715034268</v>
      </c>
      <c r="R918">
        <v>-11.64162105104616</v>
      </c>
      <c r="S918">
        <v>0.41763841097009158</v>
      </c>
      <c r="T918">
        <v>0.34430219437866388</v>
      </c>
      <c r="U918">
        <v>4.2555146084885838</v>
      </c>
      <c r="V918">
        <v>0.12414549193133841</v>
      </c>
      <c r="W918">
        <v>-8.8209234209273006</v>
      </c>
      <c r="X918">
        <v>0.42569655679729962</v>
      </c>
      <c r="Z918" t="s">
        <v>392</v>
      </c>
      <c r="AA918">
        <v>140</v>
      </c>
      <c r="AB918" t="s">
        <v>2323</v>
      </c>
      <c r="AC918" t="str">
        <f>HYPERLINK("plots/20251231112652_3FT6Y119H04_05543_B21P_N_UFLEX98_M5358A8BA201511/dpll_52094/txpa_55161.png","plot")</f>
        <v>plot</v>
      </c>
    </row>
    <row r="919" spans="1:29" x14ac:dyDescent="0.35">
      <c r="A919" t="s">
        <v>47</v>
      </c>
      <c r="B919">
        <v>52094</v>
      </c>
      <c r="C919" t="s">
        <v>53</v>
      </c>
      <c r="D919">
        <v>55162</v>
      </c>
      <c r="E919" t="s">
        <v>295</v>
      </c>
      <c r="F919">
        <v>7139</v>
      </c>
      <c r="G919">
        <v>0.14323914344803321</v>
      </c>
      <c r="H919">
        <v>4.8750609043180664E-34</v>
      </c>
      <c r="I919">
        <v>5.2588422946579994E-34</v>
      </c>
      <c r="J919">
        <v>0.14413847685033451</v>
      </c>
      <c r="K919">
        <v>1.8893632610912289E-34</v>
      </c>
      <c r="L919">
        <v>2.1381856548510122E-34</v>
      </c>
      <c r="M919">
        <v>9.5936095804194738E-2</v>
      </c>
      <c r="N919">
        <v>5.3864382410284066E-34</v>
      </c>
      <c r="O919">
        <v>6.0958129200924153E-34</v>
      </c>
      <c r="P919">
        <v>2.0517452215726241E-2</v>
      </c>
      <c r="Q919">
        <v>0.61521847712509592</v>
      </c>
      <c r="R919">
        <v>-10.951768819283281</v>
      </c>
      <c r="S919">
        <v>0.52767502659698662</v>
      </c>
      <c r="T919">
        <v>0.41232310868631727</v>
      </c>
      <c r="U919">
        <v>4.2555146084885838</v>
      </c>
      <c r="V919">
        <v>0.12414549193133841</v>
      </c>
      <c r="W919">
        <v>-8.33369760246533</v>
      </c>
      <c r="X919">
        <v>0.53321039660959069</v>
      </c>
      <c r="Z919" t="s">
        <v>392</v>
      </c>
      <c r="AA919">
        <v>140</v>
      </c>
      <c r="AB919" t="s">
        <v>2324</v>
      </c>
      <c r="AC919" t="str">
        <f>HYPERLINK("plots/20251231112652_3FT6Y119H04_05543_B21P_N_UFLEX98_M5358A8BA201511/dpll_52094/txpa_55162.png","plot")</f>
        <v>plot</v>
      </c>
    </row>
    <row r="920" spans="1:29" x14ac:dyDescent="0.35">
      <c r="A920" t="s">
        <v>47</v>
      </c>
      <c r="B920">
        <v>52094</v>
      </c>
      <c r="C920" t="s">
        <v>53</v>
      </c>
      <c r="D920">
        <v>55163</v>
      </c>
      <c r="E920" t="s">
        <v>296</v>
      </c>
      <c r="F920">
        <v>7139</v>
      </c>
      <c r="G920">
        <v>0.12626804315789419</v>
      </c>
      <c r="H920">
        <v>9.1622522128308638E-27</v>
      </c>
      <c r="I920">
        <v>9.5581519998050368E-27</v>
      </c>
      <c r="J920">
        <v>0.12913930214716679</v>
      </c>
      <c r="K920">
        <v>6.2666796320712249E-28</v>
      </c>
      <c r="L920">
        <v>6.7744276619618571E-28</v>
      </c>
      <c r="M920">
        <v>8.565162767454812E-2</v>
      </c>
      <c r="N920">
        <v>1.941465942598173E-27</v>
      </c>
      <c r="O920">
        <v>2.0987702193971719E-27</v>
      </c>
      <c r="P920">
        <v>1.5943618722923839E-2</v>
      </c>
      <c r="Q920">
        <v>0.55655688003443804</v>
      </c>
      <c r="R920">
        <v>-4.9832939718221043</v>
      </c>
      <c r="S920">
        <v>0.5427834926873496</v>
      </c>
      <c r="T920">
        <v>0.45339409795678631</v>
      </c>
      <c r="U920">
        <v>4.2555146084885838</v>
      </c>
      <c r="V920">
        <v>0.12414549193133841</v>
      </c>
      <c r="W920">
        <v>-2.6148580383807252</v>
      </c>
      <c r="X920">
        <v>0.54720122314120523</v>
      </c>
      <c r="Z920" t="s">
        <v>392</v>
      </c>
      <c r="AA920">
        <v>140</v>
      </c>
      <c r="AB920" t="s">
        <v>2325</v>
      </c>
      <c r="AC920" t="str">
        <f>HYPERLINK("plots/20251231112652_3FT6Y119H04_05543_B21P_N_UFLEX98_M5358A8BA201511/dpll_52094/txpa_55163.png","plot")</f>
        <v>plot</v>
      </c>
    </row>
    <row r="921" spans="1:29" x14ac:dyDescent="0.35">
      <c r="A921" t="s">
        <v>47</v>
      </c>
      <c r="B921">
        <v>52094</v>
      </c>
      <c r="C921" t="s">
        <v>53</v>
      </c>
      <c r="D921">
        <v>55164</v>
      </c>
      <c r="E921" t="s">
        <v>297</v>
      </c>
      <c r="F921">
        <v>7139</v>
      </c>
      <c r="G921">
        <v>0.24263335976496411</v>
      </c>
      <c r="H921">
        <v>3.600388502795109E-96</v>
      </c>
      <c r="I921">
        <v>5.5483190605383604E-96</v>
      </c>
      <c r="J921">
        <v>0.21249267393637139</v>
      </c>
      <c r="K921">
        <v>1.0965961899924059E-73</v>
      </c>
      <c r="L921">
        <v>1.62565575533962E-73</v>
      </c>
      <c r="M921">
        <v>0.14179935652712311</v>
      </c>
      <c r="N921">
        <v>3.5640856302433802E-72</v>
      </c>
      <c r="O921">
        <v>5.283600627290625E-72</v>
      </c>
      <c r="P921">
        <v>5.8870947270834507E-2</v>
      </c>
      <c r="Q921">
        <v>0.71343186386003987</v>
      </c>
      <c r="R921">
        <v>-6.1882150723685552</v>
      </c>
      <c r="S921">
        <v>0.35410096882822978</v>
      </c>
      <c r="T921">
        <v>0.2887517412173719</v>
      </c>
      <c r="U921">
        <v>4.2555146084885838</v>
      </c>
      <c r="V921">
        <v>0.12414549193133841</v>
      </c>
      <c r="W921">
        <v>-3.1521953535509168</v>
      </c>
      <c r="X921">
        <v>0.36503368615178178</v>
      </c>
      <c r="Z921" t="s">
        <v>392</v>
      </c>
      <c r="AA921">
        <v>140</v>
      </c>
      <c r="AB921" t="s">
        <v>2326</v>
      </c>
      <c r="AC921" t="str">
        <f>HYPERLINK("plots/20251231112652_3FT6Y119H04_05543_B21P_N_UFLEX98_M5358A8BA201511/dpll_52094/txpa_55164.png","plot")</f>
        <v>plot</v>
      </c>
    </row>
    <row r="922" spans="1:29" x14ac:dyDescent="0.35">
      <c r="A922" t="s">
        <v>47</v>
      </c>
      <c r="B922">
        <v>52094</v>
      </c>
      <c r="C922" t="s">
        <v>53</v>
      </c>
      <c r="D922">
        <v>55165</v>
      </c>
      <c r="E922" t="s">
        <v>298</v>
      </c>
      <c r="F922">
        <v>7139</v>
      </c>
      <c r="G922">
        <v>0.17105663304624599</v>
      </c>
      <c r="H922">
        <v>5.2026858441557697E-48</v>
      </c>
      <c r="I922">
        <v>6.0360680159885017E-48</v>
      </c>
      <c r="J922">
        <v>0.1501940160902972</v>
      </c>
      <c r="K922">
        <v>2.7242914979734759E-37</v>
      </c>
      <c r="L922">
        <v>3.1426980420308358E-37</v>
      </c>
      <c r="M922">
        <v>0.1000732541370979</v>
      </c>
      <c r="N922">
        <v>7.6589823532694158E-37</v>
      </c>
      <c r="O922">
        <v>8.8756664071030711E-37</v>
      </c>
      <c r="P922">
        <v>2.9260371709118081E-2</v>
      </c>
      <c r="Q922">
        <v>0.69372589943623741</v>
      </c>
      <c r="R922">
        <v>-5.7122681146620664</v>
      </c>
      <c r="S922">
        <v>0.49602081700139322</v>
      </c>
      <c r="T922">
        <v>0.43239706893072227</v>
      </c>
      <c r="U922">
        <v>4.2555146084885838</v>
      </c>
      <c r="V922">
        <v>0.12414549193133841</v>
      </c>
      <c r="W922">
        <v>-2.7601074153242751</v>
      </c>
      <c r="X922">
        <v>0.50347619684375577</v>
      </c>
      <c r="Z922" t="s">
        <v>392</v>
      </c>
      <c r="AA922">
        <v>140</v>
      </c>
      <c r="AB922" t="s">
        <v>2327</v>
      </c>
      <c r="AC922" t="str">
        <f>HYPERLINK("plots/20251231112652_3FT6Y119H04_05543_B21P_N_UFLEX98_M5358A8BA201511/dpll_52094/txpa_55165.png","plot")</f>
        <v>plot</v>
      </c>
    </row>
    <row r="923" spans="1:29" x14ac:dyDescent="0.35">
      <c r="A923" t="s">
        <v>47</v>
      </c>
      <c r="B923">
        <v>52094</v>
      </c>
      <c r="C923" t="s">
        <v>53</v>
      </c>
      <c r="D923">
        <v>55166</v>
      </c>
      <c r="E923" t="s">
        <v>299</v>
      </c>
      <c r="F923">
        <v>7139</v>
      </c>
      <c r="G923">
        <v>0.2219185110798618</v>
      </c>
      <c r="H923">
        <v>2.2964897715963079E-80</v>
      </c>
      <c r="I923">
        <v>3.1425649506054749E-80</v>
      </c>
      <c r="J923">
        <v>0.21134420778164331</v>
      </c>
      <c r="K923">
        <v>6.7956675385233659E-73</v>
      </c>
      <c r="L923">
        <v>1.000117109443061E-72</v>
      </c>
      <c r="M923">
        <v>0.14022565893932479</v>
      </c>
      <c r="N923">
        <v>1.269743603111135E-70</v>
      </c>
      <c r="O923">
        <v>1.8498850769463949E-70</v>
      </c>
      <c r="P923">
        <v>4.924782555990273E-2</v>
      </c>
      <c r="Q923">
        <v>0.74611246109565754</v>
      </c>
      <c r="R923">
        <v>-6.0414381309406533</v>
      </c>
      <c r="S923">
        <v>0.40695366276244171</v>
      </c>
      <c r="T923">
        <v>0.31424926037310569</v>
      </c>
      <c r="U923">
        <v>4.2555146084885838</v>
      </c>
      <c r="V923">
        <v>0.12414549193133841</v>
      </c>
      <c r="W923">
        <v>-2.8663456531727132</v>
      </c>
      <c r="X923">
        <v>0.41738968988255559</v>
      </c>
      <c r="Z923" t="s">
        <v>392</v>
      </c>
      <c r="AA923">
        <v>140</v>
      </c>
      <c r="AB923" t="s">
        <v>2328</v>
      </c>
      <c r="AC923" t="str">
        <f>HYPERLINK("plots/20251231112652_3FT6Y119H04_05543_B21P_N_UFLEX98_M5358A8BA201511/dpll_52094/txpa_55166.png","plot")</f>
        <v>plot</v>
      </c>
    </row>
    <row r="924" spans="1:29" x14ac:dyDescent="0.35">
      <c r="A924" t="s">
        <v>47</v>
      </c>
      <c r="B924">
        <v>52094</v>
      </c>
      <c r="C924" t="s">
        <v>53</v>
      </c>
      <c r="D924">
        <v>55167</v>
      </c>
      <c r="E924" t="s">
        <v>300</v>
      </c>
      <c r="F924">
        <v>7139</v>
      </c>
      <c r="G924">
        <v>0.1662522142642443</v>
      </c>
      <c r="H924">
        <v>2.058536623226946E-45</v>
      </c>
      <c r="I924">
        <v>2.342711712628645E-45</v>
      </c>
      <c r="J924">
        <v>0.13452654968247429</v>
      </c>
      <c r="K924">
        <v>3.4613988530626787E-30</v>
      </c>
      <c r="L924">
        <v>3.7781038073256813E-30</v>
      </c>
      <c r="M924">
        <v>8.909970043789904E-2</v>
      </c>
      <c r="N924">
        <v>1.4811834555479049E-29</v>
      </c>
      <c r="O924">
        <v>1.6167061613838279E-29</v>
      </c>
      <c r="P924">
        <v>2.7639798747764191E-2</v>
      </c>
      <c r="Q924">
        <v>0.72516477817071656</v>
      </c>
      <c r="R924">
        <v>-6.0234910056240878</v>
      </c>
      <c r="S924">
        <v>0.53392884721316669</v>
      </c>
      <c r="T924">
        <v>0.43032484077406441</v>
      </c>
      <c r="U924">
        <v>4.2555146084885838</v>
      </c>
      <c r="V924">
        <v>0.12414549193133841</v>
      </c>
      <c r="W924">
        <v>-2.93754169855722</v>
      </c>
      <c r="X924">
        <v>0.54150219000508848</v>
      </c>
      <c r="Z924" t="s">
        <v>392</v>
      </c>
      <c r="AA924">
        <v>140</v>
      </c>
      <c r="AB924" t="s">
        <v>2329</v>
      </c>
      <c r="AC924" t="str">
        <f>HYPERLINK("plots/20251231112652_3FT6Y119H04_05543_B21P_N_UFLEX98_M5358A8BA201511/dpll_52094/txpa_55167.png","plot")</f>
        <v>plot</v>
      </c>
    </row>
    <row r="925" spans="1:29" x14ac:dyDescent="0.35">
      <c r="A925" t="s">
        <v>47</v>
      </c>
      <c r="B925">
        <v>52094</v>
      </c>
      <c r="C925" t="s">
        <v>53</v>
      </c>
      <c r="D925">
        <v>55168</v>
      </c>
      <c r="E925" t="s">
        <v>301</v>
      </c>
      <c r="F925">
        <v>7139</v>
      </c>
      <c r="G925">
        <v>0.2344092664302313</v>
      </c>
      <c r="H925">
        <v>1.0430916447348129E-89</v>
      </c>
      <c r="I925">
        <v>1.539585047687192E-89</v>
      </c>
      <c r="J925">
        <v>0.23238022441384129</v>
      </c>
      <c r="K925">
        <v>3.7540250148820552E-88</v>
      </c>
      <c r="L925">
        <v>6.3127385822394749E-88</v>
      </c>
      <c r="M925">
        <v>0.15460577948688009</v>
      </c>
      <c r="N925">
        <v>1.9150729451762251E-85</v>
      </c>
      <c r="O925">
        <v>3.1678368130647489E-85</v>
      </c>
      <c r="P925">
        <v>5.4947704188359148E-2</v>
      </c>
      <c r="Q925">
        <v>0.71879338631169876</v>
      </c>
      <c r="R925">
        <v>-5.9240645109421166</v>
      </c>
      <c r="S925">
        <v>0.37004773643697969</v>
      </c>
      <c r="T925">
        <v>0.2838158022350904</v>
      </c>
      <c r="U925">
        <v>4.2555146084885838</v>
      </c>
      <c r="V925">
        <v>0.12414549193133841</v>
      </c>
      <c r="W925">
        <v>-2.865228755007704</v>
      </c>
      <c r="X925">
        <v>0.38068016635860241</v>
      </c>
      <c r="Z925" t="s">
        <v>392</v>
      </c>
      <c r="AA925">
        <v>140</v>
      </c>
      <c r="AB925" t="s">
        <v>2330</v>
      </c>
      <c r="AC925" t="str">
        <f>HYPERLINK("plots/20251231112652_3FT6Y119H04_05543_B21P_N_UFLEX98_M5358A8BA201511/dpll_52094/txpa_55168.png","plot")</f>
        <v>plot</v>
      </c>
    </row>
    <row r="926" spans="1:29" x14ac:dyDescent="0.35">
      <c r="A926" t="s">
        <v>47</v>
      </c>
      <c r="B926">
        <v>52094</v>
      </c>
      <c r="C926" t="s">
        <v>53</v>
      </c>
      <c r="D926">
        <v>55169</v>
      </c>
      <c r="E926" t="s">
        <v>302</v>
      </c>
      <c r="F926">
        <v>7139</v>
      </c>
      <c r="G926">
        <v>0.19002874322770391</v>
      </c>
      <c r="H926">
        <v>4.9578986418941298E-59</v>
      </c>
      <c r="I926">
        <v>5.942445889929844E-59</v>
      </c>
      <c r="J926">
        <v>0.1472005460717157</v>
      </c>
      <c r="K926">
        <v>7.1575920020872075E-36</v>
      </c>
      <c r="L926">
        <v>8.2009020227304266E-36</v>
      </c>
      <c r="M926">
        <v>9.8037477578453935E-2</v>
      </c>
      <c r="N926">
        <v>1.9913057769457849E-35</v>
      </c>
      <c r="O926">
        <v>2.281563907144662E-35</v>
      </c>
      <c r="P926">
        <v>3.6110923252700607E-2</v>
      </c>
      <c r="Q926">
        <v>0.63892898064131998</v>
      </c>
      <c r="R926">
        <v>-5.69394379202366</v>
      </c>
      <c r="S926">
        <v>0.40977678914401089</v>
      </c>
      <c r="T926">
        <v>0.33943914108209999</v>
      </c>
      <c r="U926">
        <v>4.2555146084885838</v>
      </c>
      <c r="V926">
        <v>0.12414549193133841</v>
      </c>
      <c r="W926">
        <v>-2.974972181117804</v>
      </c>
      <c r="X926">
        <v>0.41741134137723079</v>
      </c>
      <c r="Z926" t="s">
        <v>392</v>
      </c>
      <c r="AA926">
        <v>140</v>
      </c>
      <c r="AB926" t="s">
        <v>2331</v>
      </c>
      <c r="AC926" t="str">
        <f>HYPERLINK("plots/20251231112652_3FT6Y119H04_05543_B21P_N_UFLEX98_M5358A8BA201511/dpll_52094/txpa_55169.png","plot")</f>
        <v>plot</v>
      </c>
    </row>
    <row r="927" spans="1:29" x14ac:dyDescent="0.35">
      <c r="A927" t="s">
        <v>47</v>
      </c>
      <c r="B927">
        <v>52094</v>
      </c>
      <c r="C927" t="s">
        <v>53</v>
      </c>
      <c r="D927">
        <v>55170</v>
      </c>
      <c r="E927" t="s">
        <v>303</v>
      </c>
      <c r="F927">
        <v>7139</v>
      </c>
      <c r="G927">
        <v>0.14132471470532121</v>
      </c>
      <c r="H927">
        <v>3.5931551595938633E-33</v>
      </c>
      <c r="I927">
        <v>3.855512520453098E-33</v>
      </c>
      <c r="J927">
        <v>0.14482333848054921</v>
      </c>
      <c r="K927">
        <v>9.1420823301957745E-35</v>
      </c>
      <c r="L927">
        <v>1.0380819129695981E-34</v>
      </c>
      <c r="M927">
        <v>9.6603902147496701E-2</v>
      </c>
      <c r="N927">
        <v>1.896676613187844E-34</v>
      </c>
      <c r="O927">
        <v>2.1609326806432298E-34</v>
      </c>
      <c r="P927">
        <v>1.9972674986540439E-2</v>
      </c>
      <c r="Q927">
        <v>0.6046935147276139</v>
      </c>
      <c r="R927">
        <v>-5.0518300988888534</v>
      </c>
      <c r="S927">
        <v>0.52581966049498841</v>
      </c>
      <c r="T927">
        <v>0.41246880185300372</v>
      </c>
      <c r="U927">
        <v>4.2555146084885838</v>
      </c>
      <c r="V927">
        <v>0.12414549193133841</v>
      </c>
      <c r="W927">
        <v>-2.478548013307186</v>
      </c>
      <c r="X927">
        <v>0.53118786767112469</v>
      </c>
      <c r="Z927" t="s">
        <v>392</v>
      </c>
      <c r="AA927">
        <v>140</v>
      </c>
      <c r="AB927" t="s">
        <v>2332</v>
      </c>
      <c r="AC927" t="str">
        <f>HYPERLINK("plots/20251231112652_3FT6Y119H04_05543_B21P_N_UFLEX98_M5358A8BA201511/dpll_52094/txpa_55170.png","plot")</f>
        <v>plot</v>
      </c>
    </row>
    <row r="928" spans="1:29" x14ac:dyDescent="0.35">
      <c r="A928" t="s">
        <v>47</v>
      </c>
      <c r="B928">
        <v>52094</v>
      </c>
      <c r="C928" t="s">
        <v>53</v>
      </c>
      <c r="D928">
        <v>55171</v>
      </c>
      <c r="E928" t="s">
        <v>304</v>
      </c>
      <c r="F928">
        <v>7139</v>
      </c>
      <c r="G928">
        <v>0.13093617137815319</v>
      </c>
      <c r="H928">
        <v>1.13351727148067E-28</v>
      </c>
      <c r="I928">
        <v>1.1935477811852539E-28</v>
      </c>
      <c r="J928">
        <v>0.1367585688358873</v>
      </c>
      <c r="K928">
        <v>3.768831220595147E-31</v>
      </c>
      <c r="L928">
        <v>4.1629573613109793E-31</v>
      </c>
      <c r="M928">
        <v>9.0959072266182703E-2</v>
      </c>
      <c r="N928">
        <v>9.8709994853684989E-31</v>
      </c>
      <c r="O928">
        <v>1.089139660300725E-30</v>
      </c>
      <c r="P928">
        <v>1.71442809751691E-2</v>
      </c>
      <c r="Q928">
        <v>0.55959797572815095</v>
      </c>
      <c r="R928">
        <v>-2.0568299475144651</v>
      </c>
      <c r="S928">
        <v>0.52597114118750199</v>
      </c>
      <c r="T928">
        <v>0.44001954950873862</v>
      </c>
      <c r="U928">
        <v>4.2555146084885838</v>
      </c>
      <c r="V928">
        <v>0.12414549193133841</v>
      </c>
      <c r="W928">
        <v>0.32454741307732171</v>
      </c>
      <c r="X928">
        <v>0.53057581605860094</v>
      </c>
      <c r="Z928" t="s">
        <v>392</v>
      </c>
      <c r="AA928">
        <v>140</v>
      </c>
      <c r="AB928" t="s">
        <v>2333</v>
      </c>
      <c r="AC928" t="str">
        <f>HYPERLINK("plots/20251231112652_3FT6Y119H04_05543_B21P_N_UFLEX98_M5358A8BA201511/dpll_52094/txpa_55171.png","plot")</f>
        <v>plot</v>
      </c>
    </row>
    <row r="929" spans="1:29" x14ac:dyDescent="0.35">
      <c r="A929" t="s">
        <v>47</v>
      </c>
      <c r="B929">
        <v>52094</v>
      </c>
      <c r="C929" t="s">
        <v>53</v>
      </c>
      <c r="D929">
        <v>55172</v>
      </c>
      <c r="E929" t="s">
        <v>305</v>
      </c>
      <c r="F929">
        <v>7139</v>
      </c>
      <c r="G929">
        <v>0.2500353233616403</v>
      </c>
      <c r="H929">
        <v>3.3617013863072321E-102</v>
      </c>
      <c r="I929">
        <v>5.4715332354984489E-102</v>
      </c>
      <c r="J929">
        <v>0.22115867367598871</v>
      </c>
      <c r="K929">
        <v>8.1514370860527783E-80</v>
      </c>
      <c r="L929">
        <v>1.252357152311745E-79</v>
      </c>
      <c r="M929">
        <v>0.14765943097945811</v>
      </c>
      <c r="N929">
        <v>4.168124683211884E-78</v>
      </c>
      <c r="O929">
        <v>6.4526388225600767E-78</v>
      </c>
      <c r="P929">
        <v>6.2517662928560036E-2</v>
      </c>
      <c r="Q929">
        <v>0.71312974363048909</v>
      </c>
      <c r="R929">
        <v>-3.2215790326958258</v>
      </c>
      <c r="S929">
        <v>0.3428066711757769</v>
      </c>
      <c r="T929">
        <v>0.27961699148514713</v>
      </c>
      <c r="U929">
        <v>4.2555146084885838</v>
      </c>
      <c r="V929">
        <v>0.12414549193133841</v>
      </c>
      <c r="W929">
        <v>-0.18684499092856141</v>
      </c>
      <c r="X929">
        <v>0.35407734252743012</v>
      </c>
      <c r="Z929" t="s">
        <v>392</v>
      </c>
      <c r="AA929">
        <v>140</v>
      </c>
      <c r="AB929" t="s">
        <v>2334</v>
      </c>
      <c r="AC929" t="str">
        <f>HYPERLINK("plots/20251231112652_3FT6Y119H04_05543_B21P_N_UFLEX98_M5358A8BA201511/dpll_52094/txpa_55172.png","plot")</f>
        <v>plot</v>
      </c>
    </row>
    <row r="930" spans="1:29" x14ac:dyDescent="0.35">
      <c r="A930" t="s">
        <v>47</v>
      </c>
      <c r="B930">
        <v>52094</v>
      </c>
      <c r="C930" t="s">
        <v>53</v>
      </c>
      <c r="D930">
        <v>55173</v>
      </c>
      <c r="E930" t="s">
        <v>306</v>
      </c>
      <c r="F930">
        <v>7139</v>
      </c>
      <c r="G930">
        <v>0.17744749191981241</v>
      </c>
      <c r="H930">
        <v>1.3822291979600521E-51</v>
      </c>
      <c r="I930">
        <v>1.6278518080505141E-51</v>
      </c>
      <c r="J930">
        <v>0.1578979158851562</v>
      </c>
      <c r="K930">
        <v>4.4247845281650972E-41</v>
      </c>
      <c r="L930">
        <v>5.2537839713810404E-41</v>
      </c>
      <c r="M930">
        <v>0.10535980247771259</v>
      </c>
      <c r="N930">
        <v>1.1899872149987741E-40</v>
      </c>
      <c r="O930">
        <v>1.4129356393545159E-40</v>
      </c>
      <c r="P930">
        <v>3.1487612388631889E-2</v>
      </c>
      <c r="Q930">
        <v>0.69100020922890615</v>
      </c>
      <c r="R930">
        <v>-2.7568961913815691</v>
      </c>
      <c r="S930">
        <v>0.4757309844860747</v>
      </c>
      <c r="T930">
        <v>0.4142963946628922</v>
      </c>
      <c r="U930">
        <v>4.2555146084885838</v>
      </c>
      <c r="V930">
        <v>0.12414549193133841</v>
      </c>
      <c r="W930">
        <v>0.18366529346070881</v>
      </c>
      <c r="X930">
        <v>0.48343631105333362</v>
      </c>
      <c r="Z930" t="s">
        <v>392</v>
      </c>
      <c r="AA930">
        <v>140</v>
      </c>
      <c r="AB930" t="s">
        <v>2335</v>
      </c>
      <c r="AC930" t="str">
        <f>HYPERLINK("plots/20251231112652_3FT6Y119H04_05543_B21P_N_UFLEX98_M5358A8BA201511/dpll_52094/txpa_55173.png","plot")</f>
        <v>plot</v>
      </c>
    </row>
    <row r="931" spans="1:29" x14ac:dyDescent="0.35">
      <c r="A931" t="s">
        <v>47</v>
      </c>
      <c r="B931">
        <v>52094</v>
      </c>
      <c r="C931" t="s">
        <v>53</v>
      </c>
      <c r="D931">
        <v>55174</v>
      </c>
      <c r="E931" t="s">
        <v>307</v>
      </c>
      <c r="F931">
        <v>7139</v>
      </c>
      <c r="G931">
        <v>0.2300996471763031</v>
      </c>
      <c r="H931">
        <v>2.0215679281979532E-86</v>
      </c>
      <c r="I931">
        <v>2.8790307292032639E-86</v>
      </c>
      <c r="J931">
        <v>0.22163426413660459</v>
      </c>
      <c r="K931">
        <v>3.6907915202539192E-80</v>
      </c>
      <c r="L931">
        <v>5.7224198800267191E-80</v>
      </c>
      <c r="M931">
        <v>0.14720251085384661</v>
      </c>
      <c r="N931">
        <v>1.232450958868579E-77</v>
      </c>
      <c r="O931">
        <v>1.8906282485517991E-77</v>
      </c>
      <c r="P931">
        <v>5.2945847630659168E-2</v>
      </c>
      <c r="Q931">
        <v>0.74263511215127953</v>
      </c>
      <c r="R931">
        <v>-3.075057549639423</v>
      </c>
      <c r="S931">
        <v>0.38989482161361899</v>
      </c>
      <c r="T931">
        <v>0.30097661700977041</v>
      </c>
      <c r="U931">
        <v>4.2555146084885838</v>
      </c>
      <c r="V931">
        <v>0.12414549193133841</v>
      </c>
      <c r="W931">
        <v>8.5237018896904326E-2</v>
      </c>
      <c r="X931">
        <v>0.40067337110197881</v>
      </c>
      <c r="Z931" t="s">
        <v>392</v>
      </c>
      <c r="AA931">
        <v>140</v>
      </c>
      <c r="AB931" t="s">
        <v>2336</v>
      </c>
      <c r="AC931" t="str">
        <f>HYPERLINK("plots/20251231112652_3FT6Y119H04_05543_B21P_N_UFLEX98_M5358A8BA201511/dpll_52094/txpa_55174.png","plot")</f>
        <v>plot</v>
      </c>
    </row>
    <row r="932" spans="1:29" x14ac:dyDescent="0.35">
      <c r="A932" t="s">
        <v>47</v>
      </c>
      <c r="B932">
        <v>52094</v>
      </c>
      <c r="C932" t="s">
        <v>53</v>
      </c>
      <c r="D932">
        <v>55175</v>
      </c>
      <c r="E932" t="s">
        <v>308</v>
      </c>
      <c r="F932">
        <v>7139</v>
      </c>
      <c r="G932">
        <v>0.1714100004104491</v>
      </c>
      <c r="H932">
        <v>3.3275573073333752E-48</v>
      </c>
      <c r="I932">
        <v>3.8649978346346417E-48</v>
      </c>
      <c r="J932">
        <v>0.14070910200641651</v>
      </c>
      <c r="K932">
        <v>6.7902199621787166E-33</v>
      </c>
      <c r="L932">
        <v>7.59127126973453E-33</v>
      </c>
      <c r="M932">
        <v>9.3268766767910835E-2</v>
      </c>
      <c r="N932">
        <v>3.1636038410941548E-32</v>
      </c>
      <c r="O932">
        <v>3.5368184066918108E-32</v>
      </c>
      <c r="P932">
        <v>2.9381388240710161E-2</v>
      </c>
      <c r="Q932">
        <v>0.71939716830592226</v>
      </c>
      <c r="R932">
        <v>-3.0423363835624788</v>
      </c>
      <c r="S932">
        <v>0.51328362565712604</v>
      </c>
      <c r="T932">
        <v>0.41453864375304778</v>
      </c>
      <c r="U932">
        <v>4.2555146084885838</v>
      </c>
      <c r="V932">
        <v>0.12414549193133841</v>
      </c>
      <c r="W932">
        <v>1.9068775468693101E-2</v>
      </c>
      <c r="X932">
        <v>0.52103094999996435</v>
      </c>
      <c r="Z932" t="s">
        <v>392</v>
      </c>
      <c r="AA932">
        <v>140</v>
      </c>
      <c r="AB932" t="s">
        <v>2337</v>
      </c>
      <c r="AC932" t="str">
        <f>HYPERLINK("plots/20251231112652_3FT6Y119H04_05543_B21P_N_UFLEX98_M5358A8BA201511/dpll_52094/txpa_55175.png","plot")</f>
        <v>plot</v>
      </c>
    </row>
    <row r="933" spans="1:29" x14ac:dyDescent="0.35">
      <c r="A933" t="s">
        <v>47</v>
      </c>
      <c r="B933">
        <v>52094</v>
      </c>
      <c r="C933" t="s">
        <v>53</v>
      </c>
      <c r="D933">
        <v>55176</v>
      </c>
      <c r="E933" t="s">
        <v>309</v>
      </c>
      <c r="F933">
        <v>7139</v>
      </c>
      <c r="G933">
        <v>0.24380548495055079</v>
      </c>
      <c r="H933">
        <v>4.1216736357056902E-97</v>
      </c>
      <c r="I933">
        <v>6.4199340500853608E-97</v>
      </c>
      <c r="J933">
        <v>0.2452145327199364</v>
      </c>
      <c r="K933">
        <v>2.9977754339991622E-98</v>
      </c>
      <c r="L933">
        <v>5.5167772959621602E-98</v>
      </c>
      <c r="M933">
        <v>0.16343978876907331</v>
      </c>
      <c r="N933">
        <v>2.897551723966983E-95</v>
      </c>
      <c r="O933">
        <v>5.313051443223365E-95</v>
      </c>
      <c r="P933">
        <v>5.9441114491973278E-2</v>
      </c>
      <c r="Q933">
        <v>0.71854554482738942</v>
      </c>
      <c r="R933">
        <v>-2.9808085678991958</v>
      </c>
      <c r="S933">
        <v>0.35481695052314038</v>
      </c>
      <c r="T933">
        <v>0.2716441527738116</v>
      </c>
      <c r="U933">
        <v>4.2555146084885838</v>
      </c>
      <c r="V933">
        <v>0.12414549193133841</v>
      </c>
      <c r="W933">
        <v>7.697249497814819E-2</v>
      </c>
      <c r="X933">
        <v>0.3658826221885878</v>
      </c>
      <c r="Z933" t="s">
        <v>392</v>
      </c>
      <c r="AA933">
        <v>140</v>
      </c>
      <c r="AB933" t="s">
        <v>2338</v>
      </c>
      <c r="AC933" t="str">
        <f>HYPERLINK("plots/20251231112652_3FT6Y119H04_05543_B21P_N_UFLEX98_M5358A8BA201511/dpll_52094/txpa_55176.png","plot")</f>
        <v>plot</v>
      </c>
    </row>
    <row r="934" spans="1:29" x14ac:dyDescent="0.35">
      <c r="A934" t="s">
        <v>47</v>
      </c>
      <c r="B934">
        <v>52094</v>
      </c>
      <c r="C934" t="s">
        <v>53</v>
      </c>
      <c r="D934">
        <v>55177</v>
      </c>
      <c r="E934" t="s">
        <v>310</v>
      </c>
      <c r="F934">
        <v>7139</v>
      </c>
      <c r="G934">
        <v>0.1968980598878752</v>
      </c>
      <c r="H934">
        <v>2.5151870712458112E-63</v>
      </c>
      <c r="I934">
        <v>3.106455164729906E-63</v>
      </c>
      <c r="J934">
        <v>0.1546848169673942</v>
      </c>
      <c r="K934">
        <v>1.779240853520395E-39</v>
      </c>
      <c r="L934">
        <v>2.0881368350343529E-39</v>
      </c>
      <c r="M934">
        <v>0.10308704793867129</v>
      </c>
      <c r="N934">
        <v>5.4520072619804379E-39</v>
      </c>
      <c r="O934">
        <v>6.4059505951890658E-39</v>
      </c>
      <c r="P934">
        <v>3.8768845987609303E-2</v>
      </c>
      <c r="Q934">
        <v>0.64031295152792678</v>
      </c>
      <c r="R934">
        <v>-2.742548813135723</v>
      </c>
      <c r="S934">
        <v>0.39579044280893949</v>
      </c>
      <c r="T934">
        <v>0.32813497094462701</v>
      </c>
      <c r="U934">
        <v>4.2555146084885838</v>
      </c>
      <c r="V934">
        <v>0.12414549193133841</v>
      </c>
      <c r="W934">
        <v>-1.768769390418826E-2</v>
      </c>
      <c r="X934">
        <v>0.40372143028077001</v>
      </c>
      <c r="Z934" t="s">
        <v>392</v>
      </c>
      <c r="AA934">
        <v>140</v>
      </c>
      <c r="AB934" t="s">
        <v>2339</v>
      </c>
      <c r="AC934" t="str">
        <f>HYPERLINK("plots/20251231112652_3FT6Y119H04_05543_B21P_N_UFLEX98_M5358A8BA201511/dpll_52094/txpa_55177.png","plot")</f>
        <v>plot</v>
      </c>
    </row>
    <row r="935" spans="1:29" x14ac:dyDescent="0.35">
      <c r="A935" t="s">
        <v>47</v>
      </c>
      <c r="B935">
        <v>52094</v>
      </c>
      <c r="C935" t="s">
        <v>53</v>
      </c>
      <c r="D935">
        <v>55178</v>
      </c>
      <c r="E935" t="s">
        <v>311</v>
      </c>
      <c r="F935">
        <v>7139</v>
      </c>
      <c r="G935">
        <v>0.1469694155497355</v>
      </c>
      <c r="H935">
        <v>9.1863492305157856E-36</v>
      </c>
      <c r="I935">
        <v>9.9838779418467379E-36</v>
      </c>
      <c r="J935">
        <v>0.15150483678832699</v>
      </c>
      <c r="K935">
        <v>6.3731883474155807E-38</v>
      </c>
      <c r="L935">
        <v>7.4280609014705737E-38</v>
      </c>
      <c r="M935">
        <v>0.1012628766559787</v>
      </c>
      <c r="N935">
        <v>1.1055928047676941E-37</v>
      </c>
      <c r="O935">
        <v>1.288587475901658E-37</v>
      </c>
      <c r="P935">
        <v>2.1600009107030839E-2</v>
      </c>
      <c r="Q935">
        <v>0.60828123530022282</v>
      </c>
      <c r="R935">
        <v>-2.1293760613572918</v>
      </c>
      <c r="S935">
        <v>0.50820180903692391</v>
      </c>
      <c r="T935">
        <v>0.40012747632286028</v>
      </c>
      <c r="U935">
        <v>4.2555146084885838</v>
      </c>
      <c r="V935">
        <v>0.12414549193133841</v>
      </c>
      <c r="W935">
        <v>0.45917362153228752</v>
      </c>
      <c r="X935">
        <v>0.51381692515061661</v>
      </c>
      <c r="Z935" t="s">
        <v>392</v>
      </c>
      <c r="AA935">
        <v>140</v>
      </c>
      <c r="AB935" t="s">
        <v>2340</v>
      </c>
      <c r="AC935" t="str">
        <f>HYPERLINK("plots/20251231112652_3FT6Y119H04_05543_B21P_N_UFLEX98_M5358A8BA201511/dpll_52094/txpa_55178.png","plot")</f>
        <v>plot</v>
      </c>
    </row>
    <row r="936" spans="1:29" x14ac:dyDescent="0.35">
      <c r="A936" t="s">
        <v>47</v>
      </c>
      <c r="B936">
        <v>52094</v>
      </c>
      <c r="C936" t="s">
        <v>53</v>
      </c>
      <c r="D936">
        <v>55179</v>
      </c>
      <c r="E936" t="s">
        <v>312</v>
      </c>
      <c r="F936">
        <v>7139</v>
      </c>
      <c r="G936">
        <v>0.1423876185832382</v>
      </c>
      <c r="H936">
        <v>1.1893724744779391E-33</v>
      </c>
      <c r="I936">
        <v>1.2789222578161509E-33</v>
      </c>
      <c r="J936">
        <v>0.151092491313469</v>
      </c>
      <c r="K936">
        <v>1.007928661168667E-37</v>
      </c>
      <c r="L936">
        <v>1.172063833056225E-37</v>
      </c>
      <c r="M936">
        <v>0.1010690081825094</v>
      </c>
      <c r="N936">
        <v>1.516701447758148E-37</v>
      </c>
      <c r="O936">
        <v>1.763687233975644E-37</v>
      </c>
      <c r="P936">
        <v>2.027423392580573E-2</v>
      </c>
      <c r="Q936">
        <v>0.56752444919290235</v>
      </c>
      <c r="R936">
        <v>1.2596141821389979</v>
      </c>
      <c r="S936">
        <v>0.48973951722372588</v>
      </c>
      <c r="T936">
        <v>0.40993670290610751</v>
      </c>
      <c r="U936">
        <v>4.2555146084885838</v>
      </c>
      <c r="V936">
        <v>0.12414549193133841</v>
      </c>
      <c r="W936">
        <v>3.6747227663538311</v>
      </c>
      <c r="X936">
        <v>0.49481550874402158</v>
      </c>
      <c r="Z936" t="s">
        <v>392</v>
      </c>
      <c r="AA936">
        <v>140</v>
      </c>
      <c r="AB936" t="s">
        <v>2341</v>
      </c>
      <c r="AC936" t="str">
        <f>HYPERLINK("plots/20251231112652_3FT6Y119H04_05543_B21P_N_UFLEX98_M5358A8BA201511/dpll_52094/txpa_55179.png","plot")</f>
        <v>plot</v>
      </c>
    </row>
    <row r="937" spans="1:29" x14ac:dyDescent="0.35">
      <c r="A937" t="s">
        <v>47</v>
      </c>
      <c r="B937">
        <v>52094</v>
      </c>
      <c r="C937" t="s">
        <v>53</v>
      </c>
      <c r="D937">
        <v>55180</v>
      </c>
      <c r="E937" t="s">
        <v>313</v>
      </c>
      <c r="F937">
        <v>7139</v>
      </c>
      <c r="G937">
        <v>0.26651729409081742</v>
      </c>
      <c r="H937">
        <v>2.292072552875863E-116</v>
      </c>
      <c r="I937">
        <v>4.2104376243045737E-116</v>
      </c>
      <c r="J937">
        <v>0.2406107028022054</v>
      </c>
      <c r="K937">
        <v>1.474692277936109E-94</v>
      </c>
      <c r="L937">
        <v>2.6142272199776471E-94</v>
      </c>
      <c r="M937">
        <v>0.16091669854469551</v>
      </c>
      <c r="N937">
        <v>2.0915066999688191E-92</v>
      </c>
      <c r="O937">
        <v>3.7206803399445307E-92</v>
      </c>
      <c r="P937">
        <v>7.1031468049491231E-2</v>
      </c>
      <c r="Q937">
        <v>0.71360276081120999</v>
      </c>
      <c r="R937">
        <v>0.17659701606436279</v>
      </c>
      <c r="S937">
        <v>0.32035548358573868</v>
      </c>
      <c r="T937">
        <v>0.26087853606755368</v>
      </c>
      <c r="U937">
        <v>4.2555146084885838</v>
      </c>
      <c r="V937">
        <v>0.12414549193133841</v>
      </c>
      <c r="W937">
        <v>3.213343989354251</v>
      </c>
      <c r="X937">
        <v>0.33240081506411029</v>
      </c>
      <c r="Z937" t="s">
        <v>392</v>
      </c>
      <c r="AA937">
        <v>140</v>
      </c>
      <c r="AB937" t="s">
        <v>2342</v>
      </c>
      <c r="AC937" t="str">
        <f>HYPERLINK("plots/20251231112652_3FT6Y119H04_05543_B21P_N_UFLEX98_M5358A8BA201511/dpll_52094/txpa_55180.png","plot")</f>
        <v>plot</v>
      </c>
    </row>
    <row r="938" spans="1:29" x14ac:dyDescent="0.35">
      <c r="A938" t="s">
        <v>47</v>
      </c>
      <c r="B938">
        <v>52094</v>
      </c>
      <c r="C938" t="s">
        <v>53</v>
      </c>
      <c r="D938">
        <v>55181</v>
      </c>
      <c r="E938" t="s">
        <v>314</v>
      </c>
      <c r="F938">
        <v>7139</v>
      </c>
      <c r="G938">
        <v>0.19264798362237009</v>
      </c>
      <c r="H938">
        <v>1.193944775471604E-60</v>
      </c>
      <c r="I938">
        <v>1.4464277208222299E-60</v>
      </c>
      <c r="J938">
        <v>0.17388182838171851</v>
      </c>
      <c r="K938">
        <v>1.4209687948666841E-49</v>
      </c>
      <c r="L938">
        <v>1.755008962234857E-49</v>
      </c>
      <c r="M938">
        <v>0.1163436860035834</v>
      </c>
      <c r="N938">
        <v>3.4932354622351187E-49</v>
      </c>
      <c r="O938">
        <v>4.3144223613963594E-49</v>
      </c>
      <c r="P938">
        <v>3.7113245593764978E-2</v>
      </c>
      <c r="Q938">
        <v>0.69129083632689137</v>
      </c>
      <c r="R938">
        <v>0.60731335158293787</v>
      </c>
      <c r="S938">
        <v>0.43710369023908158</v>
      </c>
      <c r="T938">
        <v>0.37968809479214471</v>
      </c>
      <c r="U938">
        <v>4.2555146084885838</v>
      </c>
      <c r="V938">
        <v>0.12414549193133841</v>
      </c>
      <c r="W938">
        <v>3.5491116042863151</v>
      </c>
      <c r="X938">
        <v>0.44547905111560621</v>
      </c>
      <c r="Z938" t="s">
        <v>392</v>
      </c>
      <c r="AA938">
        <v>140</v>
      </c>
      <c r="AB938" t="s">
        <v>2343</v>
      </c>
      <c r="AC938" t="str">
        <f>HYPERLINK("plots/20251231112652_3FT6Y119H04_05543_B21P_N_UFLEX98_M5358A8BA201511/dpll_52094/txpa_55181.png","plot")</f>
        <v>plot</v>
      </c>
    </row>
    <row r="939" spans="1:29" x14ac:dyDescent="0.35">
      <c r="A939" t="s">
        <v>47</v>
      </c>
      <c r="B939">
        <v>52094</v>
      </c>
      <c r="C939" t="s">
        <v>53</v>
      </c>
      <c r="D939">
        <v>55182</v>
      </c>
      <c r="E939" t="s">
        <v>315</v>
      </c>
      <c r="F939">
        <v>7139</v>
      </c>
      <c r="G939">
        <v>0.24837580806365259</v>
      </c>
      <c r="H939">
        <v>7.8736037340012738E-101</v>
      </c>
      <c r="I939">
        <v>1.2632649028919771E-100</v>
      </c>
      <c r="J939">
        <v>0.2419287040871177</v>
      </c>
      <c r="K939">
        <v>1.317581543790015E-95</v>
      </c>
      <c r="L939">
        <v>2.356309850799074E-95</v>
      </c>
      <c r="M939">
        <v>0.1610771682142253</v>
      </c>
      <c r="N939">
        <v>1.379857165025593E-92</v>
      </c>
      <c r="O939">
        <v>2.463336558690055E-92</v>
      </c>
      <c r="P939">
        <v>6.1690542031272402E-2</v>
      </c>
      <c r="Q939">
        <v>0.74054453768874218</v>
      </c>
      <c r="R939">
        <v>0.31170004534674017</v>
      </c>
      <c r="S939">
        <v>0.35852172009377847</v>
      </c>
      <c r="T939">
        <v>0.2770010608850374</v>
      </c>
      <c r="U939">
        <v>4.2555146084885838</v>
      </c>
      <c r="V939">
        <v>0.12414549193133841</v>
      </c>
      <c r="W939">
        <v>3.4630981437176072</v>
      </c>
      <c r="X939">
        <v>0.37014581510641209</v>
      </c>
      <c r="Z939" t="s">
        <v>392</v>
      </c>
      <c r="AA939">
        <v>140</v>
      </c>
      <c r="AB939" t="s">
        <v>2344</v>
      </c>
      <c r="AC939" t="str">
        <f>HYPERLINK("plots/20251231112652_3FT6Y119H04_05543_B21P_N_UFLEX98_M5358A8BA201511/dpll_52094/txpa_55182.png","plot")</f>
        <v>plot</v>
      </c>
    </row>
    <row r="940" spans="1:29" x14ac:dyDescent="0.35">
      <c r="A940" t="s">
        <v>47</v>
      </c>
      <c r="B940">
        <v>52094</v>
      </c>
      <c r="C940" t="s">
        <v>53</v>
      </c>
      <c r="D940">
        <v>55183</v>
      </c>
      <c r="E940" t="s">
        <v>316</v>
      </c>
      <c r="F940">
        <v>7139</v>
      </c>
      <c r="G940">
        <v>0.1852844124825265</v>
      </c>
      <c r="H940">
        <v>3.685424996689892E-56</v>
      </c>
      <c r="I940">
        <v>4.3707847329164331E-56</v>
      </c>
      <c r="J940">
        <v>0.1556638993095775</v>
      </c>
      <c r="K940">
        <v>5.8209671983434284E-40</v>
      </c>
      <c r="L940">
        <v>6.8713163435625553E-40</v>
      </c>
      <c r="M940">
        <v>0.10333071932159919</v>
      </c>
      <c r="N940">
        <v>3.6287214954777901E-39</v>
      </c>
      <c r="O940">
        <v>4.2685888589495122E-39</v>
      </c>
      <c r="P940">
        <v>3.4330313508995021E-2</v>
      </c>
      <c r="Q940">
        <v>0.71862818396699701</v>
      </c>
      <c r="R940">
        <v>0.34549674271475789</v>
      </c>
      <c r="S940">
        <v>0.47312968245635428</v>
      </c>
      <c r="T940">
        <v>0.38246841711126361</v>
      </c>
      <c r="U940">
        <v>4.2555146084885838</v>
      </c>
      <c r="V940">
        <v>0.12414549193133841</v>
      </c>
      <c r="W940">
        <v>3.403629477657935</v>
      </c>
      <c r="X940">
        <v>0.48150002592754881</v>
      </c>
      <c r="Z940" t="s">
        <v>392</v>
      </c>
      <c r="AA940">
        <v>140</v>
      </c>
      <c r="AB940" t="s">
        <v>2345</v>
      </c>
      <c r="AC940" t="str">
        <f>HYPERLINK("plots/20251231112652_3FT6Y119H04_05543_B21P_N_UFLEX98_M5358A8BA201511/dpll_52094/txpa_55183.png","plot")</f>
        <v>plot</v>
      </c>
    </row>
    <row r="941" spans="1:29" x14ac:dyDescent="0.35">
      <c r="A941" t="s">
        <v>47</v>
      </c>
      <c r="B941">
        <v>52094</v>
      </c>
      <c r="C941" t="s">
        <v>53</v>
      </c>
      <c r="D941">
        <v>55184</v>
      </c>
      <c r="E941" t="s">
        <v>317</v>
      </c>
      <c r="F941">
        <v>7139</v>
      </c>
      <c r="G941">
        <v>0.26381725930309718</v>
      </c>
      <c r="H941">
        <v>5.6446972724343972E-114</v>
      </c>
      <c r="I941">
        <v>1.020271485605789E-113</v>
      </c>
      <c r="J941">
        <v>0.26820501282683951</v>
      </c>
      <c r="K941">
        <v>7.0991788020523136E-118</v>
      </c>
      <c r="L941">
        <v>1.4997015219335511E-117</v>
      </c>
      <c r="M941">
        <v>0.17949031585228231</v>
      </c>
      <c r="N941">
        <v>1.7058745664351742E-114</v>
      </c>
      <c r="O941">
        <v>3.5887070754466106E-114</v>
      </c>
      <c r="P941">
        <v>6.9599546306197621E-2</v>
      </c>
      <c r="Q941">
        <v>0.71961633446608242</v>
      </c>
      <c r="R941">
        <v>0.38072014017313988</v>
      </c>
      <c r="S941">
        <v>0.32661287444186082</v>
      </c>
      <c r="T941">
        <v>0.24989231829323311</v>
      </c>
      <c r="U941">
        <v>4.2555146084885838</v>
      </c>
      <c r="V941">
        <v>0.12414549193133841</v>
      </c>
      <c r="W941">
        <v>3.4430579640005599</v>
      </c>
      <c r="X941">
        <v>0.33863259773114279</v>
      </c>
      <c r="Z941" t="s">
        <v>392</v>
      </c>
      <c r="AA941">
        <v>140</v>
      </c>
      <c r="AB941" t="s">
        <v>2346</v>
      </c>
      <c r="AC941" t="str">
        <f>HYPERLINK("plots/20251231112652_3FT6Y119H04_05543_B21P_N_UFLEX98_M5358A8BA201511/dpll_52094/txpa_55184.png","plot")</f>
        <v>plot</v>
      </c>
    </row>
    <row r="942" spans="1:29" x14ac:dyDescent="0.35">
      <c r="A942" t="s">
        <v>47</v>
      </c>
      <c r="B942">
        <v>52094</v>
      </c>
      <c r="C942" t="s">
        <v>53</v>
      </c>
      <c r="D942">
        <v>55185</v>
      </c>
      <c r="E942" t="s">
        <v>318</v>
      </c>
      <c r="F942">
        <v>7139</v>
      </c>
      <c r="G942">
        <v>0.21334846350874229</v>
      </c>
      <c r="H942">
        <v>2.797075291093538E-74</v>
      </c>
      <c r="I942">
        <v>3.6738786854518742E-74</v>
      </c>
      <c r="J942">
        <v>0.17142690057143309</v>
      </c>
      <c r="K942">
        <v>3.2571057642734337E-48</v>
      </c>
      <c r="L942">
        <v>3.9791629457509183E-48</v>
      </c>
      <c r="M942">
        <v>0.1143943014614686</v>
      </c>
      <c r="N942">
        <v>1.3141209880863079E-47</v>
      </c>
      <c r="O942">
        <v>1.6054441950837539E-47</v>
      </c>
      <c r="P942">
        <v>4.5517566881541148E-2</v>
      </c>
      <c r="Q942">
        <v>0.64486113189541316</v>
      </c>
      <c r="R942">
        <v>0.62435222481628916</v>
      </c>
      <c r="S942">
        <v>0.36657360132404088</v>
      </c>
      <c r="T942">
        <v>0.30400098817728449</v>
      </c>
      <c r="U942">
        <v>4.2555146084885838</v>
      </c>
      <c r="V942">
        <v>0.12414549193133841</v>
      </c>
      <c r="W942">
        <v>3.3685681920437029</v>
      </c>
      <c r="X942">
        <v>0.37523871102673911</v>
      </c>
      <c r="Z942" t="s">
        <v>392</v>
      </c>
      <c r="AA942">
        <v>140</v>
      </c>
      <c r="AB942" t="s">
        <v>2347</v>
      </c>
      <c r="AC942" t="str">
        <f>HYPERLINK("plots/20251231112652_3FT6Y119H04_05543_B21P_N_UFLEX98_M5358A8BA201511/dpll_52094/txpa_55185.png","plot")</f>
        <v>plot</v>
      </c>
    </row>
    <row r="943" spans="1:29" x14ac:dyDescent="0.35">
      <c r="A943" t="s">
        <v>47</v>
      </c>
      <c r="B943">
        <v>52094</v>
      </c>
      <c r="C943" t="s">
        <v>53</v>
      </c>
      <c r="D943">
        <v>55186</v>
      </c>
      <c r="E943" t="s">
        <v>319</v>
      </c>
      <c r="F943">
        <v>7139</v>
      </c>
      <c r="G943">
        <v>0.16024758067797851</v>
      </c>
      <c r="H943">
        <v>2.8245749165139671E-42</v>
      </c>
      <c r="I943">
        <v>3.1682731917534992E-42</v>
      </c>
      <c r="J943">
        <v>0.16577016254103871</v>
      </c>
      <c r="K943">
        <v>3.7143452939080467E-45</v>
      </c>
      <c r="L943">
        <v>4.4730951639225183E-45</v>
      </c>
      <c r="M943">
        <v>0.1111402814351517</v>
      </c>
      <c r="N943">
        <v>4.8909520546381252E-45</v>
      </c>
      <c r="O943">
        <v>5.9040778373845938E-45</v>
      </c>
      <c r="P943">
        <v>2.5679287113145211E-2</v>
      </c>
      <c r="Q943">
        <v>0.6157826936504166</v>
      </c>
      <c r="R943">
        <v>1.1830249407583919</v>
      </c>
      <c r="S943">
        <v>0.4708553395237734</v>
      </c>
      <c r="T943">
        <v>0.37202114420888888</v>
      </c>
      <c r="U943">
        <v>4.2555146084885838</v>
      </c>
      <c r="V943">
        <v>0.12414549193133841</v>
      </c>
      <c r="W943">
        <v>3.80349718924219</v>
      </c>
      <c r="X943">
        <v>0.47705335146155542</v>
      </c>
      <c r="Z943" t="s">
        <v>392</v>
      </c>
      <c r="AA943">
        <v>140</v>
      </c>
      <c r="AB943" t="s">
        <v>2348</v>
      </c>
      <c r="AC943" t="str">
        <f>HYPERLINK("plots/20251231112652_3FT6Y119H04_05543_B21P_N_UFLEX98_M5358A8BA201511/dpll_52094/txpa_55186.png","plot")</f>
        <v>plot</v>
      </c>
    </row>
    <row r="944" spans="1:29" x14ac:dyDescent="0.35">
      <c r="A944" t="s">
        <v>47</v>
      </c>
      <c r="B944">
        <v>52094</v>
      </c>
      <c r="C944" t="s">
        <v>53</v>
      </c>
      <c r="D944">
        <v>55187</v>
      </c>
      <c r="E944" t="s">
        <v>320</v>
      </c>
      <c r="F944">
        <v>7139</v>
      </c>
      <c r="G944">
        <v>0.15198411671916509</v>
      </c>
      <c r="H944">
        <v>3.7347638669014332E-38</v>
      </c>
      <c r="I944">
        <v>4.1615940231187401E-38</v>
      </c>
      <c r="J944">
        <v>0.16028340380860229</v>
      </c>
      <c r="K944">
        <v>2.7076511268182961E-42</v>
      </c>
      <c r="L944">
        <v>3.2262729055155717E-42</v>
      </c>
      <c r="M944">
        <v>0.1075585754322609</v>
      </c>
      <c r="N944">
        <v>2.7171745730097431E-42</v>
      </c>
      <c r="O944">
        <v>3.2414294318022108E-42</v>
      </c>
      <c r="P944">
        <v>2.3099171734904819E-2</v>
      </c>
      <c r="Q944">
        <v>0.57440242924141027</v>
      </c>
      <c r="R944">
        <v>3.0947090258273411</v>
      </c>
      <c r="S944">
        <v>0.46370719818951012</v>
      </c>
      <c r="T944">
        <v>0.38776964443510309</v>
      </c>
      <c r="U944">
        <v>4.2555146084885838</v>
      </c>
      <c r="V944">
        <v>0.12414549193133841</v>
      </c>
      <c r="W944">
        <v>5.5390869546154926</v>
      </c>
      <c r="X944">
        <v>0.46919029227570969</v>
      </c>
      <c r="Z944" t="s">
        <v>392</v>
      </c>
      <c r="AA944">
        <v>140</v>
      </c>
      <c r="AB944" t="s">
        <v>2349</v>
      </c>
      <c r="AC944" t="str">
        <f>HYPERLINK("plots/20251231112652_3FT6Y119H04_05543_B21P_N_UFLEX98_M5358A8BA201511/dpll_52094/txpa_55187.png","plot")</f>
        <v>plot</v>
      </c>
    </row>
    <row r="945" spans="1:29" x14ac:dyDescent="0.35">
      <c r="A945" t="s">
        <v>47</v>
      </c>
      <c r="B945">
        <v>52094</v>
      </c>
      <c r="C945" t="s">
        <v>53</v>
      </c>
      <c r="D945">
        <v>55188</v>
      </c>
      <c r="E945" t="s">
        <v>321</v>
      </c>
      <c r="F945">
        <v>7139</v>
      </c>
      <c r="G945">
        <v>0.27893996591783587</v>
      </c>
      <c r="H945">
        <v>9.8800621811041665E-128</v>
      </c>
      <c r="I945">
        <v>1.9760124362208329E-127</v>
      </c>
      <c r="J945">
        <v>0.25428722157446337</v>
      </c>
      <c r="K945">
        <v>9.3401782255433098E-106</v>
      </c>
      <c r="L945">
        <v>1.828366934498247E-105</v>
      </c>
      <c r="M945">
        <v>0.17032378154758571</v>
      </c>
      <c r="N945">
        <v>2.7082396059844072E-103</v>
      </c>
      <c r="O945">
        <v>5.3014574526412907E-103</v>
      </c>
      <c r="P945">
        <v>7.7807504586243442E-2</v>
      </c>
      <c r="Q945">
        <v>0.71397167151476593</v>
      </c>
      <c r="R945">
        <v>2.070842284869947</v>
      </c>
      <c r="S945">
        <v>0.30512764940402509</v>
      </c>
      <c r="T945">
        <v>0.24807976224599521</v>
      </c>
      <c r="U945">
        <v>4.2555146084885838</v>
      </c>
      <c r="V945">
        <v>0.12414549193133841</v>
      </c>
      <c r="W945">
        <v>5.1091591630480462</v>
      </c>
      <c r="X945">
        <v>0.31776143692277192</v>
      </c>
      <c r="Z945" t="s">
        <v>392</v>
      </c>
      <c r="AA945">
        <v>140</v>
      </c>
      <c r="AB945" t="s">
        <v>2350</v>
      </c>
      <c r="AC945" t="str">
        <f>HYPERLINK("plots/20251231112652_3FT6Y119H04_05543_B21P_N_UFLEX98_M5358A8BA201511/dpll_52094/txpa_55188.png","plot")</f>
        <v>plot</v>
      </c>
    </row>
    <row r="946" spans="1:29" x14ac:dyDescent="0.35">
      <c r="A946" t="s">
        <v>47</v>
      </c>
      <c r="B946">
        <v>52094</v>
      </c>
      <c r="C946" t="s">
        <v>53</v>
      </c>
      <c r="D946">
        <v>55189</v>
      </c>
      <c r="E946" t="s">
        <v>322</v>
      </c>
      <c r="F946">
        <v>7139</v>
      </c>
      <c r="G946">
        <v>0.2049866857962912</v>
      </c>
      <c r="H946">
        <v>1.359163253595731E-68</v>
      </c>
      <c r="I946">
        <v>1.724895543361791E-68</v>
      </c>
      <c r="J946">
        <v>0.1850760213895879</v>
      </c>
      <c r="K946">
        <v>4.9071739752423991E-56</v>
      </c>
      <c r="L946">
        <v>6.33062902149592E-56</v>
      </c>
      <c r="M946">
        <v>0.1240565274250202</v>
      </c>
      <c r="N946">
        <v>1.1256855099324049E-55</v>
      </c>
      <c r="O946">
        <v>1.4577843002189769E-55</v>
      </c>
      <c r="P946">
        <v>4.20195413537474E-2</v>
      </c>
      <c r="Q946">
        <v>0.69512443397836532</v>
      </c>
      <c r="R946">
        <v>2.464006703866894</v>
      </c>
      <c r="S946">
        <v>0.41201759262975618</v>
      </c>
      <c r="T946">
        <v>0.3570086328588889</v>
      </c>
      <c r="U946">
        <v>4.2555146084885838</v>
      </c>
      <c r="V946">
        <v>0.12414549193133841</v>
      </c>
      <c r="W946">
        <v>5.4221188873791846</v>
      </c>
      <c r="X946">
        <v>0.42098619466191028</v>
      </c>
      <c r="Z946" t="s">
        <v>392</v>
      </c>
      <c r="AA946">
        <v>140</v>
      </c>
      <c r="AB946" t="s">
        <v>2351</v>
      </c>
      <c r="AC946" t="str">
        <f>HYPERLINK("plots/20251231112652_3FT6Y119H04_05543_B21P_N_UFLEX98_M5358A8BA201511/dpll_52094/txpa_55189.png","plot")</f>
        <v>plot</v>
      </c>
    </row>
    <row r="947" spans="1:29" x14ac:dyDescent="0.35">
      <c r="A947" t="s">
        <v>47</v>
      </c>
      <c r="B947">
        <v>52094</v>
      </c>
      <c r="C947" t="s">
        <v>53</v>
      </c>
      <c r="D947">
        <v>55190</v>
      </c>
      <c r="E947" t="s">
        <v>323</v>
      </c>
      <c r="F947">
        <v>7139</v>
      </c>
      <c r="G947">
        <v>0.26123603090330999</v>
      </c>
      <c r="H947">
        <v>1.0274535209145259E-111</v>
      </c>
      <c r="I947">
        <v>1.7993745599435741E-111</v>
      </c>
      <c r="J947">
        <v>0.25505694845654631</v>
      </c>
      <c r="K947">
        <v>2.0859643205576961E-106</v>
      </c>
      <c r="L947">
        <v>4.099162443886635E-106</v>
      </c>
      <c r="M947">
        <v>0.17012626403841241</v>
      </c>
      <c r="N947">
        <v>4.6499977061113987E-103</v>
      </c>
      <c r="O947">
        <v>9.0327541647451313E-103</v>
      </c>
      <c r="P947">
        <v>6.8244263842115155E-2</v>
      </c>
      <c r="Q947">
        <v>0.73892896077721337</v>
      </c>
      <c r="R947">
        <v>2.200335870180278</v>
      </c>
      <c r="S947">
        <v>0.33893871888719779</v>
      </c>
      <c r="T947">
        <v>0.26207957314063152</v>
      </c>
      <c r="U947">
        <v>4.2555146084885838</v>
      </c>
      <c r="V947">
        <v>0.12414549193133841</v>
      </c>
      <c r="W947">
        <v>5.3448588574029978</v>
      </c>
      <c r="X947">
        <v>0.35115638153281042</v>
      </c>
      <c r="Z947" t="s">
        <v>392</v>
      </c>
      <c r="AA947">
        <v>140</v>
      </c>
      <c r="AB947" t="s">
        <v>2352</v>
      </c>
      <c r="AC947" t="str">
        <f>HYPERLINK("plots/20251231112652_3FT6Y119H04_05543_B21P_N_UFLEX98_M5358A8BA201511/dpll_52094/txpa_55190.png","plot")</f>
        <v>plot</v>
      </c>
    </row>
    <row r="948" spans="1:29" x14ac:dyDescent="0.35">
      <c r="A948" t="s">
        <v>47</v>
      </c>
      <c r="B948">
        <v>52094</v>
      </c>
      <c r="C948" t="s">
        <v>53</v>
      </c>
      <c r="D948">
        <v>55191</v>
      </c>
      <c r="E948" t="s">
        <v>324</v>
      </c>
      <c r="F948">
        <v>7139</v>
      </c>
      <c r="G948">
        <v>0.19666461522458231</v>
      </c>
      <c r="H948">
        <v>3.5416344855703821E-63</v>
      </c>
      <c r="I948">
        <v>4.3635690988680038E-63</v>
      </c>
      <c r="J948">
        <v>0.1668418638513432</v>
      </c>
      <c r="K948">
        <v>9.9761213709713575E-46</v>
      </c>
      <c r="L948">
        <v>1.205695717540519E-45</v>
      </c>
      <c r="M948">
        <v>0.1108895714799997</v>
      </c>
      <c r="N948">
        <v>7.6603155497680686E-45</v>
      </c>
      <c r="O948">
        <v>9.2360998424076354E-45</v>
      </c>
      <c r="P948">
        <v>3.8676970881432987E-2</v>
      </c>
      <c r="Q948">
        <v>0.7200770192128243</v>
      </c>
      <c r="R948">
        <v>2.2244958440069031</v>
      </c>
      <c r="S948">
        <v>0.44564386470760592</v>
      </c>
      <c r="T948">
        <v>0.36022665078420929</v>
      </c>
      <c r="U948">
        <v>4.2555146084885838</v>
      </c>
      <c r="V948">
        <v>0.12414549193133841</v>
      </c>
      <c r="W948">
        <v>5.2887941185039917</v>
      </c>
      <c r="X948">
        <v>0.45455210982689243</v>
      </c>
      <c r="Z948" t="s">
        <v>392</v>
      </c>
      <c r="AA948">
        <v>140</v>
      </c>
      <c r="AB948" t="s">
        <v>2353</v>
      </c>
      <c r="AC948" t="str">
        <f>HYPERLINK("plots/20251231112652_3FT6Y119H04_05543_B21P_N_UFLEX98_M5358A8BA201511/dpll_52094/txpa_55191.png","plot")</f>
        <v>plot</v>
      </c>
    </row>
    <row r="949" spans="1:29" x14ac:dyDescent="0.35">
      <c r="A949" t="s">
        <v>47</v>
      </c>
      <c r="B949">
        <v>52094</v>
      </c>
      <c r="C949" t="s">
        <v>53</v>
      </c>
      <c r="D949">
        <v>55192</v>
      </c>
      <c r="E949" t="s">
        <v>325</v>
      </c>
      <c r="F949">
        <v>7139</v>
      </c>
      <c r="G949">
        <v>0.27786528265727939</v>
      </c>
      <c r="H949">
        <v>1.0039686233211189E-126</v>
      </c>
      <c r="I949">
        <v>1.9729150853635949E-126</v>
      </c>
      <c r="J949">
        <v>0.2825662774973699</v>
      </c>
      <c r="K949">
        <v>3.6599912873744921E-131</v>
      </c>
      <c r="L949">
        <v>9.0078426344605217E-131</v>
      </c>
      <c r="M949">
        <v>0.1896858282095801</v>
      </c>
      <c r="N949">
        <v>1.2187501077467561E-127</v>
      </c>
      <c r="O949">
        <v>2.9922823468649162E-127</v>
      </c>
      <c r="P949">
        <v>7.7209115306209775E-2</v>
      </c>
      <c r="Q949">
        <v>0.71958523556784759</v>
      </c>
      <c r="R949">
        <v>2.255988895632254</v>
      </c>
      <c r="S949">
        <v>0.30881624530794571</v>
      </c>
      <c r="T949">
        <v>0.2364621544891593</v>
      </c>
      <c r="U949">
        <v>4.2555146084885838</v>
      </c>
      <c r="V949">
        <v>0.12414549193133841</v>
      </c>
      <c r="W949">
        <v>5.3181943776439278</v>
      </c>
      <c r="X949">
        <v>0.32149846933660509</v>
      </c>
      <c r="Z949" t="s">
        <v>392</v>
      </c>
      <c r="AA949">
        <v>140</v>
      </c>
      <c r="AB949" t="s">
        <v>2354</v>
      </c>
      <c r="AC949" t="str">
        <f>HYPERLINK("plots/20251231112652_3FT6Y119H04_05543_B21P_N_UFLEX98_M5358A8BA201511/dpll_52094/txpa_55192.png","plot")</f>
        <v>plot</v>
      </c>
    </row>
    <row r="950" spans="1:29" x14ac:dyDescent="0.35">
      <c r="A950" t="s">
        <v>47</v>
      </c>
      <c r="B950">
        <v>52094</v>
      </c>
      <c r="C950" t="s">
        <v>53</v>
      </c>
      <c r="D950">
        <v>55193</v>
      </c>
      <c r="E950" t="s">
        <v>326</v>
      </c>
      <c r="F950">
        <v>7139</v>
      </c>
      <c r="G950">
        <v>0.22556255136821099</v>
      </c>
      <c r="H950">
        <v>4.9398550909053249E-83</v>
      </c>
      <c r="I950">
        <v>6.8805124480467021E-83</v>
      </c>
      <c r="J950">
        <v>0.1832753993379069</v>
      </c>
      <c r="K950">
        <v>5.7417628369881829E-55</v>
      </c>
      <c r="L950">
        <v>7.2959242063985187E-55</v>
      </c>
      <c r="M950">
        <v>0.12239843001601811</v>
      </c>
      <c r="N950">
        <v>3.0333359033617389E-54</v>
      </c>
      <c r="O950">
        <v>3.8592253525831922E-54</v>
      </c>
      <c r="P950">
        <v>5.0878464579736833E-2</v>
      </c>
      <c r="Q950">
        <v>0.6465463312520513</v>
      </c>
      <c r="R950">
        <v>2.5035297537924071</v>
      </c>
      <c r="S950">
        <v>0.34665231253927331</v>
      </c>
      <c r="T950">
        <v>0.2871703383334841</v>
      </c>
      <c r="U950">
        <v>4.2555146084885838</v>
      </c>
      <c r="V950">
        <v>0.12414549193133841</v>
      </c>
      <c r="W950">
        <v>5.2549171115002098</v>
      </c>
      <c r="X950">
        <v>0.35584724442428001</v>
      </c>
      <c r="Z950" t="s">
        <v>392</v>
      </c>
      <c r="AA950">
        <v>140</v>
      </c>
      <c r="AB950" t="s">
        <v>2355</v>
      </c>
      <c r="AC950" t="str">
        <f>HYPERLINK("plots/20251231112652_3FT6Y119H04_05543_B21P_N_UFLEX98_M5358A8BA201511/dpll_52094/txpa_55193.png","plot")</f>
        <v>plot</v>
      </c>
    </row>
    <row r="951" spans="1:29" x14ac:dyDescent="0.35">
      <c r="A951" t="s">
        <v>47</v>
      </c>
      <c r="B951">
        <v>52094</v>
      </c>
      <c r="C951" t="s">
        <v>53</v>
      </c>
      <c r="D951">
        <v>55194</v>
      </c>
      <c r="E951" t="s">
        <v>327</v>
      </c>
      <c r="F951">
        <v>7139</v>
      </c>
      <c r="G951">
        <v>0.17022077483841461</v>
      </c>
      <c r="H951">
        <v>1.491705630472525E-47</v>
      </c>
      <c r="I951">
        <v>1.722767094873737E-47</v>
      </c>
      <c r="J951">
        <v>0.17503778845439011</v>
      </c>
      <c r="K951">
        <v>3.1990895555171778E-50</v>
      </c>
      <c r="L951">
        <v>3.965619571264571E-50</v>
      </c>
      <c r="M951">
        <v>0.11748637810027709</v>
      </c>
      <c r="N951">
        <v>4.0493118594850339E-50</v>
      </c>
      <c r="O951">
        <v>5.0195626228824272E-50</v>
      </c>
      <c r="P951">
        <v>2.8975112186590251E-2</v>
      </c>
      <c r="Q951">
        <v>0.61874059178311647</v>
      </c>
      <c r="R951">
        <v>3.0283971869216999</v>
      </c>
      <c r="S951">
        <v>0.44464330800189739</v>
      </c>
      <c r="T951">
        <v>0.3517918180481121</v>
      </c>
      <c r="U951">
        <v>4.2555146084885838</v>
      </c>
      <c r="V951">
        <v>0.12414549193133841</v>
      </c>
      <c r="W951">
        <v>5.6614568141196244</v>
      </c>
      <c r="X951">
        <v>0.45126016620309389</v>
      </c>
      <c r="Z951" t="s">
        <v>392</v>
      </c>
      <c r="AA951">
        <v>140</v>
      </c>
      <c r="AB951" t="s">
        <v>2356</v>
      </c>
      <c r="AC951" t="str">
        <f>HYPERLINK("plots/20251231112652_3FT6Y119H04_05543_B21P_N_UFLEX98_M5358A8BA201511/dpll_52094/txpa_55194.png","plot")</f>
        <v>plot</v>
      </c>
    </row>
    <row r="952" spans="1:29" x14ac:dyDescent="0.35">
      <c r="A952" t="s">
        <v>47</v>
      </c>
      <c r="B952">
        <v>52094</v>
      </c>
      <c r="C952" t="s">
        <v>53</v>
      </c>
      <c r="D952">
        <v>55195</v>
      </c>
      <c r="E952" t="s">
        <v>328</v>
      </c>
      <c r="F952">
        <v>7139</v>
      </c>
      <c r="G952">
        <v>0.1671507382130232</v>
      </c>
      <c r="H952">
        <v>6.8187030760789717E-46</v>
      </c>
      <c r="I952">
        <v>7.7949999088433794E-46</v>
      </c>
      <c r="J952">
        <v>0.17193674563920561</v>
      </c>
      <c r="K952">
        <v>1.7061081819420751E-48</v>
      </c>
      <c r="L952">
        <v>2.086844024715639E-48</v>
      </c>
      <c r="M952">
        <v>0.1158294601257836</v>
      </c>
      <c r="N952">
        <v>9.1425055698228762E-49</v>
      </c>
      <c r="O952">
        <v>1.12369704821823E-48</v>
      </c>
      <c r="P952">
        <v>2.7939369285158611E-2</v>
      </c>
      <c r="Q952">
        <v>0.58363213929958224</v>
      </c>
      <c r="R952">
        <v>5.2982186703203347</v>
      </c>
      <c r="S952">
        <v>0.42734449340324931</v>
      </c>
      <c r="T952">
        <v>0.35631678435352571</v>
      </c>
      <c r="U952">
        <v>4.2555146084885838</v>
      </c>
      <c r="V952">
        <v>0.12414549193133841</v>
      </c>
      <c r="W952">
        <v>7.7818737650931507</v>
      </c>
      <c r="X952">
        <v>0.4334728031409964</v>
      </c>
      <c r="Z952" t="s">
        <v>392</v>
      </c>
      <c r="AA952">
        <v>140</v>
      </c>
      <c r="AB952" t="s">
        <v>2357</v>
      </c>
      <c r="AC952" t="str">
        <f>HYPERLINK("plots/20251231112652_3FT6Y119H04_05543_B21P_N_UFLEX98_M5358A8BA201511/dpll_52094/txpa_55195.png","plot")</f>
        <v>plot</v>
      </c>
    </row>
    <row r="953" spans="1:29" x14ac:dyDescent="0.35">
      <c r="A953" t="s">
        <v>47</v>
      </c>
      <c r="B953">
        <v>52094</v>
      </c>
      <c r="C953" t="s">
        <v>53</v>
      </c>
      <c r="D953">
        <v>55196</v>
      </c>
      <c r="E953" t="s">
        <v>329</v>
      </c>
      <c r="F953">
        <v>7139</v>
      </c>
      <c r="G953">
        <v>0.29553013563863051</v>
      </c>
      <c r="H953">
        <v>7.4122570108061556E-144</v>
      </c>
      <c r="I953">
        <v>1.76019405362001E-143</v>
      </c>
      <c r="J953">
        <v>0.27169007097752179</v>
      </c>
      <c r="K953">
        <v>5.0165116525695461E-121</v>
      </c>
      <c r="L953">
        <v>1.091575711524789E-120</v>
      </c>
      <c r="M953">
        <v>0.18224078393926549</v>
      </c>
      <c r="N953">
        <v>5.7010740351669052E-118</v>
      </c>
      <c r="O953">
        <v>1.2485721537060999E-117</v>
      </c>
      <c r="P953">
        <v>8.7338061070587308E-2</v>
      </c>
      <c r="Q953">
        <v>0.71434693396753146</v>
      </c>
      <c r="R953">
        <v>4.349373729485098</v>
      </c>
      <c r="S953">
        <v>0.28665724073037557</v>
      </c>
      <c r="T953">
        <v>0.23215514708693641</v>
      </c>
      <c r="U953">
        <v>4.2555146084885838</v>
      </c>
      <c r="V953">
        <v>0.12414549193133841</v>
      </c>
      <c r="W953">
        <v>7.3892875425129576</v>
      </c>
      <c r="X953">
        <v>0.30008090828166029</v>
      </c>
      <c r="Z953" t="s">
        <v>392</v>
      </c>
      <c r="AA953">
        <v>140</v>
      </c>
      <c r="AB953" t="s">
        <v>2358</v>
      </c>
      <c r="AC953" t="str">
        <f>HYPERLINK("plots/20251231112652_3FT6Y119H04_05543_B21P_N_UFLEX98_M5358A8BA201511/dpll_52094/txpa_55196.png","plot")</f>
        <v>plot</v>
      </c>
    </row>
    <row r="954" spans="1:29" x14ac:dyDescent="0.35">
      <c r="A954" t="s">
        <v>47</v>
      </c>
      <c r="B954">
        <v>52094</v>
      </c>
      <c r="C954" t="s">
        <v>53</v>
      </c>
      <c r="D954">
        <v>55197</v>
      </c>
      <c r="E954" t="s">
        <v>330</v>
      </c>
      <c r="F954">
        <v>7139</v>
      </c>
      <c r="G954">
        <v>0.22297546318722511</v>
      </c>
      <c r="H954">
        <v>3.9112783339057582E-81</v>
      </c>
      <c r="I954">
        <v>5.3667607991616222E-81</v>
      </c>
      <c r="J954">
        <v>0.19926124717069141</v>
      </c>
      <c r="K954">
        <v>7.6783774744380927E-65</v>
      </c>
      <c r="L954">
        <v>1.059302688310235E-64</v>
      </c>
      <c r="M954">
        <v>0.1339298690785716</v>
      </c>
      <c r="N954">
        <v>1.375053695755109E-64</v>
      </c>
      <c r="O954">
        <v>1.8970128537356191E-64</v>
      </c>
      <c r="P954">
        <v>4.9718057183557589E-2</v>
      </c>
      <c r="Q954">
        <v>0.69969986310002341</v>
      </c>
      <c r="R954">
        <v>4.692269800906927</v>
      </c>
      <c r="S954">
        <v>0.37973575152064759</v>
      </c>
      <c r="T954">
        <v>0.32740570479443237</v>
      </c>
      <c r="U954">
        <v>4.2555146084885838</v>
      </c>
      <c r="V954">
        <v>0.12414549193133841</v>
      </c>
      <c r="W954">
        <v>7.669852789886539</v>
      </c>
      <c r="X954">
        <v>0.38957014582319849</v>
      </c>
      <c r="Z954" t="s">
        <v>392</v>
      </c>
      <c r="AA954">
        <v>140</v>
      </c>
      <c r="AB954" t="s">
        <v>2359</v>
      </c>
      <c r="AC954" t="str">
        <f>HYPERLINK("plots/20251231112652_3FT6Y119H04_05543_B21P_N_UFLEX98_M5358A8BA201511/dpll_52094/txpa_55197.png","plot")</f>
        <v>plot</v>
      </c>
    </row>
    <row r="955" spans="1:29" x14ac:dyDescent="0.35">
      <c r="A955" t="s">
        <v>47</v>
      </c>
      <c r="B955">
        <v>52094</v>
      </c>
      <c r="C955" t="s">
        <v>53</v>
      </c>
      <c r="D955">
        <v>55198</v>
      </c>
      <c r="E955" t="s">
        <v>331</v>
      </c>
      <c r="F955">
        <v>7139</v>
      </c>
      <c r="G955">
        <v>0.28014796656471419</v>
      </c>
      <c r="H955">
        <v>7.2023494260935979E-129</v>
      </c>
      <c r="I955">
        <v>1.4606364636117819E-128</v>
      </c>
      <c r="J955">
        <v>0.27233122947723881</v>
      </c>
      <c r="K955">
        <v>1.305029367245685E-121</v>
      </c>
      <c r="L955">
        <v>2.8704984346792289E-121</v>
      </c>
      <c r="M955">
        <v>0.18224612172577809</v>
      </c>
      <c r="N955">
        <v>5.6125661842976167E-118</v>
      </c>
      <c r="O955">
        <v>1.2318489417484379E-117</v>
      </c>
      <c r="P955">
        <v>7.8482883170344256E-2</v>
      </c>
      <c r="Q955">
        <v>0.7402343353332892</v>
      </c>
      <c r="R955">
        <v>4.4537427656727804</v>
      </c>
      <c r="S955">
        <v>0.31487196106861182</v>
      </c>
      <c r="T955">
        <v>0.24391876453706621</v>
      </c>
      <c r="U955">
        <v>4.2555146084885838</v>
      </c>
      <c r="V955">
        <v>0.12414549193133841</v>
      </c>
      <c r="W955">
        <v>7.6038207933884294</v>
      </c>
      <c r="X955">
        <v>0.32802935117214321</v>
      </c>
      <c r="Z955" t="s">
        <v>392</v>
      </c>
      <c r="AA955">
        <v>140</v>
      </c>
      <c r="AB955" t="s">
        <v>2360</v>
      </c>
      <c r="AC955" t="str">
        <f>HYPERLINK("plots/20251231112652_3FT6Y119H04_05543_B21P_N_UFLEX98_M5358A8BA201511/dpll_52094/txpa_55198.png","plot")</f>
        <v>plot</v>
      </c>
    </row>
    <row r="956" spans="1:29" x14ac:dyDescent="0.35">
      <c r="A956" t="s">
        <v>47</v>
      </c>
      <c r="B956">
        <v>52094</v>
      </c>
      <c r="C956" t="s">
        <v>53</v>
      </c>
      <c r="D956">
        <v>55199</v>
      </c>
      <c r="E956" t="s">
        <v>332</v>
      </c>
      <c r="F956">
        <v>7139</v>
      </c>
      <c r="G956">
        <v>0.21417966761267451</v>
      </c>
      <c r="H956">
        <v>7.3776834554973788E-75</v>
      </c>
      <c r="I956">
        <v>9.7408476873363821E-75</v>
      </c>
      <c r="J956">
        <v>0.18266674641904951</v>
      </c>
      <c r="K956">
        <v>1.3110517704972851E-54</v>
      </c>
      <c r="L956">
        <v>1.6617581191053089E-54</v>
      </c>
      <c r="M956">
        <v>0.1215275424930012</v>
      </c>
      <c r="N956">
        <v>1.680353794953696E-53</v>
      </c>
      <c r="O956">
        <v>2.1298484351038089E-53</v>
      </c>
      <c r="P956">
        <v>4.5872930018675727E-2</v>
      </c>
      <c r="Q956">
        <v>0.72407554111483086</v>
      </c>
      <c r="R956">
        <v>4.4723116365034201</v>
      </c>
      <c r="S956">
        <v>0.40992960172930037</v>
      </c>
      <c r="T956">
        <v>0.33100946481617849</v>
      </c>
      <c r="U956">
        <v>4.2555146084885838</v>
      </c>
      <c r="V956">
        <v>0.12414549193133841</v>
      </c>
      <c r="W956">
        <v>7.553625679366859</v>
      </c>
      <c r="X956">
        <v>0.41969770169645759</v>
      </c>
      <c r="Z956" t="s">
        <v>392</v>
      </c>
      <c r="AA956">
        <v>140</v>
      </c>
      <c r="AB956" t="s">
        <v>2361</v>
      </c>
      <c r="AC956" t="str">
        <f>HYPERLINK("plots/20251231112652_3FT6Y119H04_05543_B21P_N_UFLEX98_M5358A8BA201511/dpll_52094/txpa_55199.png","plot")</f>
        <v>plot</v>
      </c>
    </row>
    <row r="957" spans="1:29" x14ac:dyDescent="0.35">
      <c r="A957" t="s">
        <v>47</v>
      </c>
      <c r="B957">
        <v>52094</v>
      </c>
      <c r="C957" t="s">
        <v>53</v>
      </c>
      <c r="D957">
        <v>55200</v>
      </c>
      <c r="E957" t="s">
        <v>333</v>
      </c>
      <c r="F957">
        <v>7139</v>
      </c>
      <c r="G957">
        <v>0.29788795954764802</v>
      </c>
      <c r="H957">
        <v>3.0815190028795902E-146</v>
      </c>
      <c r="I957">
        <v>7.4931900933331043E-146</v>
      </c>
      <c r="J957">
        <v>0.29875675303227173</v>
      </c>
      <c r="K957">
        <v>4.0334739706349781E-147</v>
      </c>
      <c r="L957">
        <v>1.1144257782626341E-146</v>
      </c>
      <c r="M957">
        <v>0.201449151218031</v>
      </c>
      <c r="N957">
        <v>1.045918236362918E-143</v>
      </c>
      <c r="O957">
        <v>2.8898122388882799E-143</v>
      </c>
      <c r="P957">
        <v>8.8737236443461154E-2</v>
      </c>
      <c r="Q957">
        <v>0.72104516884770353</v>
      </c>
      <c r="R957">
        <v>4.5040955766145352</v>
      </c>
      <c r="S957">
        <v>0.28683481834464031</v>
      </c>
      <c r="T957">
        <v>0.22025485483178689</v>
      </c>
      <c r="U957">
        <v>4.2555146084885838</v>
      </c>
      <c r="V957">
        <v>0.12414549193133841</v>
      </c>
      <c r="W957">
        <v>7.5725138260260536</v>
      </c>
      <c r="X957">
        <v>0.3004972316680527</v>
      </c>
      <c r="Z957" t="s">
        <v>392</v>
      </c>
      <c r="AA957">
        <v>140</v>
      </c>
      <c r="AB957" t="s">
        <v>2362</v>
      </c>
      <c r="AC957" t="str">
        <f>HYPERLINK("plots/20251231112652_3FT6Y119H04_05543_B21P_N_UFLEX98_M5358A8BA201511/dpll_52094/txpa_55200.png","plot")</f>
        <v>plot</v>
      </c>
    </row>
    <row r="958" spans="1:29" x14ac:dyDescent="0.35">
      <c r="A958" t="s">
        <v>47</v>
      </c>
      <c r="B958">
        <v>52094</v>
      </c>
      <c r="C958" t="s">
        <v>53</v>
      </c>
      <c r="D958">
        <v>55201</v>
      </c>
      <c r="E958" t="s">
        <v>334</v>
      </c>
      <c r="F958">
        <v>7139</v>
      </c>
      <c r="G958">
        <v>0.24476824471772859</v>
      </c>
      <c r="H958">
        <v>6.8884560332814574E-98</v>
      </c>
      <c r="I958">
        <v>1.08292936709262E-97</v>
      </c>
      <c r="J958">
        <v>0.20021941840972809</v>
      </c>
      <c r="K958">
        <v>1.842211251590337E-65</v>
      </c>
      <c r="L958">
        <v>2.5519155862194022E-65</v>
      </c>
      <c r="M958">
        <v>0.13378732982287431</v>
      </c>
      <c r="N958">
        <v>1.8702344389193561E-64</v>
      </c>
      <c r="O958">
        <v>2.5766545123155269E-64</v>
      </c>
      <c r="P958">
        <v>5.9911493622197873E-2</v>
      </c>
      <c r="Q958">
        <v>0.65290275159999844</v>
      </c>
      <c r="R958">
        <v>4.7456837499753739</v>
      </c>
      <c r="S958">
        <v>0.3210541821288051</v>
      </c>
      <c r="T958">
        <v>0.26516510192419901</v>
      </c>
      <c r="U958">
        <v>4.2555146084885838</v>
      </c>
      <c r="V958">
        <v>0.12414549193133841</v>
      </c>
      <c r="W958">
        <v>7.5241209473315598</v>
      </c>
      <c r="X958">
        <v>0.33114971010304189</v>
      </c>
      <c r="Z958" t="s">
        <v>392</v>
      </c>
      <c r="AA958">
        <v>140</v>
      </c>
      <c r="AB958" t="s">
        <v>2363</v>
      </c>
      <c r="AC958" t="str">
        <f>HYPERLINK("plots/20251231112652_3FT6Y119H04_05543_B21P_N_UFLEX98_M5358A8BA201511/dpll_52094/txpa_55201.png","plot")</f>
        <v>plot</v>
      </c>
    </row>
    <row r="959" spans="1:29" x14ac:dyDescent="0.35">
      <c r="A959" t="s">
        <v>47</v>
      </c>
      <c r="B959">
        <v>52094</v>
      </c>
      <c r="C959" t="s">
        <v>53</v>
      </c>
      <c r="D959">
        <v>55202</v>
      </c>
      <c r="E959" t="s">
        <v>335</v>
      </c>
      <c r="F959">
        <v>7139</v>
      </c>
      <c r="G959">
        <v>0.18637825497281391</v>
      </c>
      <c r="H959">
        <v>8.1539366346919336E-57</v>
      </c>
      <c r="I959">
        <v>9.7043330370629346E-57</v>
      </c>
      <c r="J959">
        <v>0.18786965794004179</v>
      </c>
      <c r="K959">
        <v>1.026899878932447E-57</v>
      </c>
      <c r="L959">
        <v>1.3488037269915821E-57</v>
      </c>
      <c r="M959">
        <v>0.12627008454377231</v>
      </c>
      <c r="N959">
        <v>1.294138829343888E-57</v>
      </c>
      <c r="O959">
        <v>1.7064457385626821E-57</v>
      </c>
      <c r="P959">
        <v>3.4736853926711227E-2</v>
      </c>
      <c r="Q959">
        <v>0.6255885596270776</v>
      </c>
      <c r="R959">
        <v>5.2311487044214022</v>
      </c>
      <c r="S959">
        <v>0.40937088697557128</v>
      </c>
      <c r="T959">
        <v>0.32431289692810661</v>
      </c>
      <c r="U959">
        <v>4.2555146084885838</v>
      </c>
      <c r="V959">
        <v>0.12414549193133841</v>
      </c>
      <c r="W959">
        <v>7.8933499588177618</v>
      </c>
      <c r="X959">
        <v>0.41670096918146088</v>
      </c>
      <c r="Z959" t="s">
        <v>392</v>
      </c>
      <c r="AA959">
        <v>140</v>
      </c>
      <c r="AB959" t="s">
        <v>2364</v>
      </c>
      <c r="AC959" t="str">
        <f>HYPERLINK("plots/20251231112652_3FT6Y119H04_05543_B21P_N_UFLEX98_M5358A8BA201511/dpll_52094/txpa_55202.png","plot")</f>
        <v>plot</v>
      </c>
    </row>
    <row r="960" spans="1:29" x14ac:dyDescent="0.35">
      <c r="A960" t="s">
        <v>47</v>
      </c>
      <c r="B960">
        <v>52094</v>
      </c>
      <c r="C960" t="s">
        <v>53</v>
      </c>
      <c r="D960">
        <v>55203</v>
      </c>
      <c r="E960" t="s">
        <v>336</v>
      </c>
      <c r="F960">
        <v>7139</v>
      </c>
      <c r="G960">
        <v>0.17573676700990179</v>
      </c>
      <c r="H960">
        <v>1.2920236440691959E-50</v>
      </c>
      <c r="I960">
        <v>1.516333304497876E-50</v>
      </c>
      <c r="J960">
        <v>0.17801350162483681</v>
      </c>
      <c r="K960">
        <v>6.5649483070824228E-52</v>
      </c>
      <c r="L960">
        <v>8.1880167077264166E-52</v>
      </c>
      <c r="M960">
        <v>0.1201564799966103</v>
      </c>
      <c r="N960">
        <v>2.428942076032873E-52</v>
      </c>
      <c r="O960">
        <v>3.0633672451459358E-52</v>
      </c>
      <c r="P960">
        <v>3.088341127909253E-2</v>
      </c>
      <c r="Q960">
        <v>0.58817063971604255</v>
      </c>
      <c r="R960">
        <v>6.264511404487509</v>
      </c>
      <c r="S960">
        <v>0.40900560298223848</v>
      </c>
      <c r="T960">
        <v>0.3402538520057925</v>
      </c>
      <c r="U960">
        <v>4.2555146084885838</v>
      </c>
      <c r="V960">
        <v>0.12414549193133841</v>
      </c>
      <c r="W960">
        <v>8.7674801540832039</v>
      </c>
      <c r="X960">
        <v>0.41550060724062299</v>
      </c>
      <c r="Z960" t="s">
        <v>392</v>
      </c>
      <c r="AA960">
        <v>140</v>
      </c>
      <c r="AB960" t="s">
        <v>2365</v>
      </c>
      <c r="AC960" t="str">
        <f>HYPERLINK("plots/20251231112652_3FT6Y119H04_05543_B21P_N_UFLEX98_M5358A8BA201511/dpll_52094/txpa_55203.png","plot")</f>
        <v>plot</v>
      </c>
    </row>
    <row r="961" spans="1:29" x14ac:dyDescent="0.35">
      <c r="A961" t="s">
        <v>47</v>
      </c>
      <c r="B961">
        <v>52094</v>
      </c>
      <c r="C961" t="s">
        <v>53</v>
      </c>
      <c r="D961">
        <v>55204</v>
      </c>
      <c r="E961" t="s">
        <v>337</v>
      </c>
      <c r="F961">
        <v>7139</v>
      </c>
      <c r="G961">
        <v>0.30390660095086902</v>
      </c>
      <c r="H961">
        <v>2.0320658041727359E-152</v>
      </c>
      <c r="I961">
        <v>5.2969530216739183E-152</v>
      </c>
      <c r="J961">
        <v>0.28054190293457731</v>
      </c>
      <c r="K961">
        <v>3.0574453313565697E-129</v>
      </c>
      <c r="L961">
        <v>7.4168649904200056E-129</v>
      </c>
      <c r="M961">
        <v>0.18832853122743681</v>
      </c>
      <c r="N961">
        <v>7.5329298371240032E-126</v>
      </c>
      <c r="O961">
        <v>1.8015072770857869E-125</v>
      </c>
      <c r="P961">
        <v>9.2359222101510707E-2</v>
      </c>
      <c r="Q961">
        <v>0.71609225577466218</v>
      </c>
      <c r="R961">
        <v>5.344881181813518</v>
      </c>
      <c r="S961">
        <v>0.27866753634484931</v>
      </c>
      <c r="T961">
        <v>0.22492674950782529</v>
      </c>
      <c r="U961">
        <v>4.2555146084885838</v>
      </c>
      <c r="V961">
        <v>0.12414549193133841</v>
      </c>
      <c r="W961">
        <v>8.3922222372881361</v>
      </c>
      <c r="X961">
        <v>0.29252285104442072</v>
      </c>
      <c r="Z961" t="s">
        <v>392</v>
      </c>
      <c r="AA961">
        <v>140</v>
      </c>
      <c r="AB961" t="s">
        <v>2366</v>
      </c>
      <c r="AC961" t="str">
        <f>HYPERLINK("plots/20251231112652_3FT6Y119H04_05543_B21P_N_UFLEX98_M5358A8BA201511/dpll_52094/txpa_55204.png","plot")</f>
        <v>plot</v>
      </c>
    </row>
    <row r="962" spans="1:29" x14ac:dyDescent="0.35">
      <c r="A962" t="s">
        <v>47</v>
      </c>
      <c r="B962">
        <v>52094</v>
      </c>
      <c r="C962" t="s">
        <v>53</v>
      </c>
      <c r="D962">
        <v>55205</v>
      </c>
      <c r="E962" t="s">
        <v>338</v>
      </c>
      <c r="F962">
        <v>7139</v>
      </c>
      <c r="G962">
        <v>0.2329199002003888</v>
      </c>
      <c r="H962">
        <v>1.4523066289331239E-88</v>
      </c>
      <c r="I962">
        <v>2.1158605197387759E-88</v>
      </c>
      <c r="J962">
        <v>0.20662534333497401</v>
      </c>
      <c r="K962">
        <v>1.09216668053137E-69</v>
      </c>
      <c r="L962">
        <v>1.5554171545769791E-69</v>
      </c>
      <c r="M962">
        <v>0.13908331867546669</v>
      </c>
      <c r="N962">
        <v>1.6485071453522771E-69</v>
      </c>
      <c r="O962">
        <v>2.360997521733346E-69</v>
      </c>
      <c r="P962">
        <v>5.4251679909359078E-2</v>
      </c>
      <c r="Q962">
        <v>0.70327247114400582</v>
      </c>
      <c r="R962">
        <v>5.6632493906581107</v>
      </c>
      <c r="S962">
        <v>0.36450655793283693</v>
      </c>
      <c r="T962">
        <v>0.31319575746229111</v>
      </c>
      <c r="U962">
        <v>4.2555146084885838</v>
      </c>
      <c r="V962">
        <v>0.12414549193133841</v>
      </c>
      <c r="W962">
        <v>8.656035665359294</v>
      </c>
      <c r="X962">
        <v>0.37484176670532021</v>
      </c>
      <c r="Z962" t="s">
        <v>392</v>
      </c>
      <c r="AA962">
        <v>140</v>
      </c>
      <c r="AB962" t="s">
        <v>2367</v>
      </c>
      <c r="AC962" t="str">
        <f>HYPERLINK("plots/20251231112652_3FT6Y119H04_05543_B21P_N_UFLEX98_M5358A8BA201511/dpll_52094/txpa_55205.png","plot")</f>
        <v>plot</v>
      </c>
    </row>
    <row r="963" spans="1:29" x14ac:dyDescent="0.35">
      <c r="A963" t="s">
        <v>47</v>
      </c>
      <c r="B963">
        <v>52094</v>
      </c>
      <c r="C963" t="s">
        <v>53</v>
      </c>
      <c r="D963">
        <v>55206</v>
      </c>
      <c r="E963" t="s">
        <v>339</v>
      </c>
      <c r="F963">
        <v>7139</v>
      </c>
      <c r="G963">
        <v>0.2896076213621756</v>
      </c>
      <c r="H963">
        <v>5.6528729390082266E-138</v>
      </c>
      <c r="I963">
        <v>1.240695489210897E-137</v>
      </c>
      <c r="J963">
        <v>0.28070640487457871</v>
      </c>
      <c r="K963">
        <v>2.136919567801949E-129</v>
      </c>
      <c r="L963">
        <v>5.2087414465172508E-129</v>
      </c>
      <c r="M963">
        <v>0.18816723508258459</v>
      </c>
      <c r="N963">
        <v>1.2276099556856941E-125</v>
      </c>
      <c r="O963">
        <v>2.9220575001532722E-125</v>
      </c>
      <c r="P963">
        <v>8.3872574351057272E-2</v>
      </c>
      <c r="Q963">
        <v>0.7416040109738572</v>
      </c>
      <c r="R963">
        <v>5.4398455429995458</v>
      </c>
      <c r="S963">
        <v>0.30425698702379078</v>
      </c>
      <c r="T963">
        <v>0.23594370969278919</v>
      </c>
      <c r="U963">
        <v>4.2555146084885838</v>
      </c>
      <c r="V963">
        <v>0.12414549193133841</v>
      </c>
      <c r="W963">
        <v>8.5957522454125233</v>
      </c>
      <c r="X963">
        <v>0.31790183672503181</v>
      </c>
      <c r="Z963" t="s">
        <v>392</v>
      </c>
      <c r="AA963">
        <v>140</v>
      </c>
      <c r="AB963" t="s">
        <v>2368</v>
      </c>
      <c r="AC963" t="str">
        <f>HYPERLINK("plots/20251231112652_3FT6Y119H04_05543_B21P_N_UFLEX98_M5358A8BA201511/dpll_52094/txpa_55206.png","plot")</f>
        <v>plot</v>
      </c>
    </row>
    <row r="964" spans="1:29" x14ac:dyDescent="0.35">
      <c r="A964" t="s">
        <v>47</v>
      </c>
      <c r="B964">
        <v>52094</v>
      </c>
      <c r="C964" t="s">
        <v>53</v>
      </c>
      <c r="D964">
        <v>55207</v>
      </c>
      <c r="E964" t="s">
        <v>340</v>
      </c>
      <c r="F964">
        <v>7139</v>
      </c>
      <c r="G964">
        <v>0.2238005095246518</v>
      </c>
      <c r="H964">
        <v>9.7600730429113327E-82</v>
      </c>
      <c r="I964">
        <v>1.346491709593482E-81</v>
      </c>
      <c r="J964">
        <v>0.19113480746627509</v>
      </c>
      <c r="K964">
        <v>1.034656747599811E-59</v>
      </c>
      <c r="L964">
        <v>1.3732224372594351E-59</v>
      </c>
      <c r="M964">
        <v>0.12719615090057121</v>
      </c>
      <c r="N964">
        <v>1.9519235372109381E-58</v>
      </c>
      <c r="O964">
        <v>2.5906419721621609E-58</v>
      </c>
      <c r="P964">
        <v>5.0086668063493753E-2</v>
      </c>
      <c r="Q964">
        <v>0.72716559157683425</v>
      </c>
      <c r="R964">
        <v>5.4534502008537826</v>
      </c>
      <c r="S964">
        <v>0.39311061914535711</v>
      </c>
      <c r="T964">
        <v>0.3171187346486144</v>
      </c>
      <c r="U964">
        <v>4.2555146084885838</v>
      </c>
      <c r="V964">
        <v>0.12414549193133841</v>
      </c>
      <c r="W964">
        <v>8.5479139985992436</v>
      </c>
      <c r="X964">
        <v>0.40336963608165971</v>
      </c>
      <c r="Z964" t="s">
        <v>392</v>
      </c>
      <c r="AA964">
        <v>140</v>
      </c>
      <c r="AB964" t="s">
        <v>2369</v>
      </c>
      <c r="AC964" t="str">
        <f>HYPERLINK("plots/20251231112652_3FT6Y119H04_05543_B21P_N_UFLEX98_M5358A8BA201511/dpll_52094/txpa_55207.png","plot")</f>
        <v>plot</v>
      </c>
    </row>
    <row r="965" spans="1:29" x14ac:dyDescent="0.35">
      <c r="A965" t="s">
        <v>47</v>
      </c>
      <c r="B965">
        <v>52094</v>
      </c>
      <c r="C965" t="s">
        <v>53</v>
      </c>
      <c r="D965">
        <v>55208</v>
      </c>
      <c r="E965" t="s">
        <v>341</v>
      </c>
      <c r="F965">
        <v>7139</v>
      </c>
      <c r="G965">
        <v>0.30805459407504671</v>
      </c>
      <c r="H965">
        <v>9.1560027363393536E-157</v>
      </c>
      <c r="I965">
        <v>2.4757831399061621E-156</v>
      </c>
      <c r="J965">
        <v>0.30605672584984711</v>
      </c>
      <c r="K965">
        <v>1.15853249541228E-154</v>
      </c>
      <c r="L965">
        <v>3.5067222398449323E-154</v>
      </c>
      <c r="M965">
        <v>0.20682660158427901</v>
      </c>
      <c r="N965">
        <v>2.2589237095275218E-151</v>
      </c>
      <c r="O965">
        <v>6.8785244488315527E-151</v>
      </c>
      <c r="P965">
        <v>9.4897632930741771E-2</v>
      </c>
      <c r="Q965">
        <v>0.72239546241547037</v>
      </c>
      <c r="R965">
        <v>5.4880961276734874</v>
      </c>
      <c r="S965">
        <v>0.27694702508502472</v>
      </c>
      <c r="T965">
        <v>0.21304101578407389</v>
      </c>
      <c r="U965">
        <v>4.2555146084885838</v>
      </c>
      <c r="V965">
        <v>0.12414549193133841</v>
      </c>
      <c r="W965">
        <v>8.5622605710883875</v>
      </c>
      <c r="X965">
        <v>0.29112417660840761</v>
      </c>
      <c r="Z965" t="s">
        <v>392</v>
      </c>
      <c r="AA965">
        <v>140</v>
      </c>
      <c r="AB965" t="s">
        <v>2370</v>
      </c>
      <c r="AC965" t="str">
        <f>HYPERLINK("plots/20251231112652_3FT6Y119H04_05543_B21P_N_UFLEX98_M5358A8BA201511/dpll_52094/txpa_55208.png","plot")</f>
        <v>plot</v>
      </c>
    </row>
    <row r="966" spans="1:29" x14ac:dyDescent="0.35">
      <c r="A966" t="s">
        <v>47</v>
      </c>
      <c r="B966">
        <v>52094</v>
      </c>
      <c r="C966" t="s">
        <v>53</v>
      </c>
      <c r="D966">
        <v>55209</v>
      </c>
      <c r="E966" t="s">
        <v>342</v>
      </c>
      <c r="F966">
        <v>7139</v>
      </c>
      <c r="G966">
        <v>0.25474671022294282</v>
      </c>
      <c r="H966">
        <v>3.819269326903167E-106</v>
      </c>
      <c r="I966">
        <v>6.3696366734865323E-106</v>
      </c>
      <c r="J966">
        <v>0.2086835655279021</v>
      </c>
      <c r="K966">
        <v>4.4623495314117339E-71</v>
      </c>
      <c r="L966">
        <v>6.4640320355021401E-71</v>
      </c>
      <c r="M966">
        <v>0.13943378087514521</v>
      </c>
      <c r="N966">
        <v>7.5115992970641539E-70</v>
      </c>
      <c r="O966">
        <v>1.088108812460436E-69</v>
      </c>
      <c r="P966">
        <v>6.4895886369411973E-2</v>
      </c>
      <c r="Q966">
        <v>0.65597863291293157</v>
      </c>
      <c r="R966">
        <v>5.729420651688379</v>
      </c>
      <c r="S966">
        <v>0.30910898384927649</v>
      </c>
      <c r="T966">
        <v>0.25470305628422119</v>
      </c>
      <c r="U966">
        <v>4.2555146084885838</v>
      </c>
      <c r="V966">
        <v>0.12414549193133841</v>
      </c>
      <c r="W966">
        <v>8.5209473069057289</v>
      </c>
      <c r="X966">
        <v>0.31967749459120759</v>
      </c>
      <c r="Z966" t="s">
        <v>392</v>
      </c>
      <c r="AA966">
        <v>140</v>
      </c>
      <c r="AB966" t="s">
        <v>2371</v>
      </c>
      <c r="AC966" t="str">
        <f>HYPERLINK("plots/20251231112652_3FT6Y119H04_05543_B21P_N_UFLEX98_M5358A8BA201511/dpll_52094/txpa_55209.png","plot")</f>
        <v>plot</v>
      </c>
    </row>
    <row r="967" spans="1:29" x14ac:dyDescent="0.35">
      <c r="A967" t="s">
        <v>47</v>
      </c>
      <c r="B967">
        <v>52094</v>
      </c>
      <c r="C967" t="s">
        <v>53</v>
      </c>
      <c r="D967">
        <v>55210</v>
      </c>
      <c r="E967" t="s">
        <v>343</v>
      </c>
      <c r="F967">
        <v>7139</v>
      </c>
      <c r="G967">
        <v>0.19559603627477351</v>
      </c>
      <c r="H967">
        <v>1.6871334278795049E-62</v>
      </c>
      <c r="I967">
        <v>2.0711298981474791E-62</v>
      </c>
      <c r="J967">
        <v>0.1945773401724987</v>
      </c>
      <c r="K967">
        <v>7.4090131542730366E-62</v>
      </c>
      <c r="L967">
        <v>9.9638452764361523E-62</v>
      </c>
      <c r="M967">
        <v>0.13081663310167951</v>
      </c>
      <c r="N967">
        <v>1.051452122114836E-61</v>
      </c>
      <c r="O967">
        <v>1.417782515723994E-61</v>
      </c>
      <c r="P967">
        <v>3.8257809406402492E-2</v>
      </c>
      <c r="Q967">
        <v>0.62982346481201279</v>
      </c>
      <c r="R967">
        <v>6.1920930151676243</v>
      </c>
      <c r="S967">
        <v>0.39200233679895102</v>
      </c>
      <c r="T967">
        <v>0.31086524227486778</v>
      </c>
      <c r="U967">
        <v>4.2555146084885838</v>
      </c>
      <c r="V967">
        <v>0.12414549193133841</v>
      </c>
      <c r="W967">
        <v>8.8723159704440402</v>
      </c>
      <c r="X967">
        <v>0.3997511675499717</v>
      </c>
      <c r="Z967" t="s">
        <v>392</v>
      </c>
      <c r="AA967">
        <v>140</v>
      </c>
      <c r="AB967" t="s">
        <v>2372</v>
      </c>
      <c r="AC967" t="str">
        <f>HYPERLINK("plots/20251231112652_3FT6Y119H04_05543_B21P_N_UFLEX98_M5358A8BA201511/dpll_52094/txpa_55210.png","plot")</f>
        <v>plot</v>
      </c>
    </row>
    <row r="968" spans="1:29" x14ac:dyDescent="0.35">
      <c r="A968" t="s">
        <v>47</v>
      </c>
      <c r="B968">
        <v>52094</v>
      </c>
      <c r="C968" t="s">
        <v>53</v>
      </c>
      <c r="D968">
        <v>55211</v>
      </c>
      <c r="E968" t="s">
        <v>344</v>
      </c>
      <c r="F968">
        <v>7139</v>
      </c>
      <c r="G968">
        <v>0.18641957735737169</v>
      </c>
      <c r="H968">
        <v>7.7008428879491918E-57</v>
      </c>
      <c r="I968">
        <v>9.175857448155676E-57</v>
      </c>
      <c r="J968">
        <v>0.18577162946537909</v>
      </c>
      <c r="K968">
        <v>1.8844814454279631E-56</v>
      </c>
      <c r="L968">
        <v>2.4498258790563521E-56</v>
      </c>
      <c r="M968">
        <v>0.12559528451711771</v>
      </c>
      <c r="N968">
        <v>5.090097048453573E-57</v>
      </c>
      <c r="O968">
        <v>6.6684217146407285E-57</v>
      </c>
      <c r="P968">
        <v>3.4752258822101097E-2</v>
      </c>
      <c r="Q968">
        <v>0.59664606240664564</v>
      </c>
      <c r="R968">
        <v>7.1807718528505866</v>
      </c>
      <c r="S968">
        <v>0.39034191763605441</v>
      </c>
      <c r="T968">
        <v>0.32361994046263531</v>
      </c>
      <c r="U968">
        <v>4.2555146084885838</v>
      </c>
      <c r="V968">
        <v>0.12414549193133841</v>
      </c>
      <c r="W968">
        <v>9.7198078875192593</v>
      </c>
      <c r="X968">
        <v>0.39733444296128267</v>
      </c>
      <c r="Z968" t="s">
        <v>392</v>
      </c>
      <c r="AA968">
        <v>140</v>
      </c>
      <c r="AB968" t="s">
        <v>2373</v>
      </c>
      <c r="AC968" t="str">
        <f>HYPERLINK("plots/20251231112652_3FT6Y119H04_05543_B21P_N_UFLEX98_M5358A8BA201511/dpll_52094/txpa_55211.png","plot")</f>
        <v>plot</v>
      </c>
    </row>
    <row r="969" spans="1:29" x14ac:dyDescent="0.35">
      <c r="A969" t="s">
        <v>47</v>
      </c>
      <c r="B969">
        <v>52094</v>
      </c>
      <c r="C969" t="s">
        <v>53</v>
      </c>
      <c r="D969">
        <v>55212</v>
      </c>
      <c r="E969" t="s">
        <v>345</v>
      </c>
      <c r="F969">
        <v>7139</v>
      </c>
      <c r="G969">
        <v>0.31337828597381162</v>
      </c>
      <c r="H969">
        <v>1.901844155824302E-162</v>
      </c>
      <c r="I969">
        <v>5.4942164501590938E-162</v>
      </c>
      <c r="J969">
        <v>0.29034972132987552</v>
      </c>
      <c r="K969">
        <v>1.05419587376136E-138</v>
      </c>
      <c r="L969">
        <v>2.7269250408010692E-138</v>
      </c>
      <c r="M969">
        <v>0.1950949397094677</v>
      </c>
      <c r="N969">
        <v>6.5633305880240282E-135</v>
      </c>
      <c r="O969">
        <v>1.6721651297126539E-134</v>
      </c>
      <c r="P969">
        <v>9.820595011988402E-2</v>
      </c>
      <c r="Q969">
        <v>0.72066134504595891</v>
      </c>
      <c r="R969">
        <v>6.2957306131310524</v>
      </c>
      <c r="S969">
        <v>0.27109190184504822</v>
      </c>
      <c r="T969">
        <v>0.21788932661472379</v>
      </c>
      <c r="U969">
        <v>4.2555146084885838</v>
      </c>
      <c r="V969">
        <v>0.12414549193133841</v>
      </c>
      <c r="W969">
        <v>9.3625154947471625</v>
      </c>
      <c r="X969">
        <v>0.28549156467116282</v>
      </c>
      <c r="Z969" t="s">
        <v>392</v>
      </c>
      <c r="AA969">
        <v>140</v>
      </c>
      <c r="AB969" t="s">
        <v>2374</v>
      </c>
      <c r="AC969" t="str">
        <f>HYPERLINK("plots/20251231112652_3FT6Y119H04_05543_B21P_N_UFLEX98_M5358A8BA201511/dpll_52094/txpa_55212.png","plot")</f>
        <v>plot</v>
      </c>
    </row>
    <row r="970" spans="1:29" x14ac:dyDescent="0.35">
      <c r="A970" t="s">
        <v>47</v>
      </c>
      <c r="B970">
        <v>52094</v>
      </c>
      <c r="C970" t="s">
        <v>53</v>
      </c>
      <c r="D970">
        <v>55213</v>
      </c>
      <c r="E970" t="s">
        <v>346</v>
      </c>
      <c r="F970">
        <v>7139</v>
      </c>
      <c r="G970">
        <v>0.244641194343727</v>
      </c>
      <c r="H970">
        <v>8.7266791085397974E-98</v>
      </c>
      <c r="I970">
        <v>1.3697914266345751E-97</v>
      </c>
      <c r="J970">
        <v>0.21539016037341471</v>
      </c>
      <c r="K970">
        <v>1.048672609083918E-75</v>
      </c>
      <c r="L970">
        <v>1.5774129204079719E-75</v>
      </c>
      <c r="M970">
        <v>0.14515637636566131</v>
      </c>
      <c r="N970">
        <v>1.5164080917419011E-75</v>
      </c>
      <c r="O970">
        <v>2.2813617285256489E-75</v>
      </c>
      <c r="P970">
        <v>5.9849313969925197E-2</v>
      </c>
      <c r="Q970">
        <v>0.70972070491451666</v>
      </c>
      <c r="R970">
        <v>6.5881990500034249</v>
      </c>
      <c r="S970">
        <v>0.34918626695551491</v>
      </c>
      <c r="T970">
        <v>0.29871879966924592</v>
      </c>
      <c r="U970">
        <v>4.2555146084885838</v>
      </c>
      <c r="V970">
        <v>0.12414549193133841</v>
      </c>
      <c r="W970">
        <v>9.6084258777139659</v>
      </c>
      <c r="X970">
        <v>0.36015449598269239</v>
      </c>
      <c r="Z970" t="s">
        <v>392</v>
      </c>
      <c r="AA970">
        <v>140</v>
      </c>
      <c r="AB970" t="s">
        <v>2375</v>
      </c>
      <c r="AC970" t="str">
        <f>HYPERLINK("plots/20251231112652_3FT6Y119H04_05543_B21P_N_UFLEX98_M5358A8BA201511/dpll_52094/txpa_55213.png","plot")</f>
        <v>plot</v>
      </c>
    </row>
    <row r="971" spans="1:29" x14ac:dyDescent="0.35">
      <c r="A971" t="s">
        <v>47</v>
      </c>
      <c r="B971">
        <v>52094</v>
      </c>
      <c r="C971" t="s">
        <v>53</v>
      </c>
      <c r="D971">
        <v>55214</v>
      </c>
      <c r="E971" t="s">
        <v>347</v>
      </c>
      <c r="F971">
        <v>7139</v>
      </c>
      <c r="G971">
        <v>0.30066982992443908</v>
      </c>
      <c r="H971">
        <v>4.4699824711999329E-149</v>
      </c>
      <c r="I971">
        <v>1.1191511668633899E-148</v>
      </c>
      <c r="J971">
        <v>0.29013699556834399</v>
      </c>
      <c r="K971">
        <v>1.7069347298718339E-138</v>
      </c>
      <c r="L971">
        <v>4.3818526989621262E-138</v>
      </c>
      <c r="M971">
        <v>0.19491516792607411</v>
      </c>
      <c r="N971">
        <v>1.1525585116948911E-134</v>
      </c>
      <c r="O971">
        <v>2.9217358271465491E-134</v>
      </c>
      <c r="P971">
        <v>9.0402346626791127E-2</v>
      </c>
      <c r="Q971">
        <v>0.74652705157446264</v>
      </c>
      <c r="R971">
        <v>6.3771634223587848</v>
      </c>
      <c r="S971">
        <v>0.29395503132147199</v>
      </c>
      <c r="T971">
        <v>0.22816376162200419</v>
      </c>
      <c r="U971">
        <v>4.2555146084885838</v>
      </c>
      <c r="V971">
        <v>0.12414549193133841</v>
      </c>
      <c r="W971">
        <v>9.5540201959658209</v>
      </c>
      <c r="X971">
        <v>0.308238335988197</v>
      </c>
      <c r="Z971" t="s">
        <v>392</v>
      </c>
      <c r="AA971">
        <v>140</v>
      </c>
      <c r="AB971" t="s">
        <v>2376</v>
      </c>
      <c r="AC971" t="str">
        <f>HYPERLINK("plots/20251231112652_3FT6Y119H04_05543_B21P_N_UFLEX98_M5358A8BA201511/dpll_52094/txpa_55214.png","plot")</f>
        <v>plot</v>
      </c>
    </row>
    <row r="972" spans="1:29" x14ac:dyDescent="0.35">
      <c r="A972" t="s">
        <v>47</v>
      </c>
      <c r="B972">
        <v>52094</v>
      </c>
      <c r="C972" t="s">
        <v>53</v>
      </c>
      <c r="D972">
        <v>55215</v>
      </c>
      <c r="E972" t="s">
        <v>348</v>
      </c>
      <c r="F972">
        <v>7139</v>
      </c>
      <c r="G972">
        <v>0.2351951117170937</v>
      </c>
      <c r="H972">
        <v>2.5797625930298809E-90</v>
      </c>
      <c r="I972">
        <v>3.835600101660264E-90</v>
      </c>
      <c r="J972">
        <v>0.20117279668864149</v>
      </c>
      <c r="K972">
        <v>4.4190815798912058E-66</v>
      </c>
      <c r="L972">
        <v>6.1382859205612095E-66</v>
      </c>
      <c r="M972">
        <v>0.1339956068589741</v>
      </c>
      <c r="N972">
        <v>1.192869907803222E-64</v>
      </c>
      <c r="O972">
        <v>1.6479156491995469E-64</v>
      </c>
      <c r="P972">
        <v>5.531674057561619E-2</v>
      </c>
      <c r="Q972">
        <v>0.73279933119881024</v>
      </c>
      <c r="R972">
        <v>6.3905268957763823</v>
      </c>
      <c r="S972">
        <v>0.37592431531046372</v>
      </c>
      <c r="T972">
        <v>0.30286879086502161</v>
      </c>
      <c r="U972">
        <v>4.2555146084885838</v>
      </c>
      <c r="V972">
        <v>0.12414549193133841</v>
      </c>
      <c r="W972">
        <v>9.5089651547835832</v>
      </c>
      <c r="X972">
        <v>0.38680112352020529</v>
      </c>
      <c r="Z972" t="s">
        <v>392</v>
      </c>
      <c r="AA972">
        <v>140</v>
      </c>
      <c r="AB972" t="s">
        <v>2377</v>
      </c>
      <c r="AC972" t="str">
        <f>HYPERLINK("plots/20251231112652_3FT6Y119H04_05543_B21P_N_UFLEX98_M5358A8BA201511/dpll_52094/txpa_55215.png","plot")</f>
        <v>plot</v>
      </c>
    </row>
    <row r="973" spans="1:29" x14ac:dyDescent="0.35">
      <c r="A973" t="s">
        <v>47</v>
      </c>
      <c r="B973">
        <v>52094</v>
      </c>
      <c r="C973" t="s">
        <v>53</v>
      </c>
      <c r="D973">
        <v>55216</v>
      </c>
      <c r="E973" t="s">
        <v>349</v>
      </c>
      <c r="F973">
        <v>7139</v>
      </c>
      <c r="G973">
        <v>0.31981160164310068</v>
      </c>
      <c r="H973">
        <v>1.7946353909939691E-169</v>
      </c>
      <c r="I973">
        <v>5.6165440940366815E-169</v>
      </c>
      <c r="J973">
        <v>0.31449723688071779</v>
      </c>
      <c r="K973">
        <v>1.174280234906486E-163</v>
      </c>
      <c r="L973">
        <v>3.942781980778732E-163</v>
      </c>
      <c r="M973">
        <v>0.2131456705695397</v>
      </c>
      <c r="N973">
        <v>1.227314295026501E-160</v>
      </c>
      <c r="O973">
        <v>4.1208499839631522E-160</v>
      </c>
      <c r="P973">
        <v>0.10227946054552529</v>
      </c>
      <c r="Q973">
        <v>0.72729162237377476</v>
      </c>
      <c r="R973">
        <v>6.4239469692271864</v>
      </c>
      <c r="S973">
        <v>0.26747641029769031</v>
      </c>
      <c r="T973">
        <v>0.20613982342587869</v>
      </c>
      <c r="U973">
        <v>4.2555146084885838</v>
      </c>
      <c r="V973">
        <v>0.12414549193133841</v>
      </c>
      <c r="W973">
        <v>9.5189470928701478</v>
      </c>
      <c r="X973">
        <v>0.28232239159945832</v>
      </c>
      <c r="Z973" t="s">
        <v>392</v>
      </c>
      <c r="AA973">
        <v>140</v>
      </c>
      <c r="AB973" t="s">
        <v>2378</v>
      </c>
      <c r="AC973" t="str">
        <f>HYPERLINK("plots/20251231112652_3FT6Y119H04_05543_B21P_N_UFLEX98_M5358A8BA201511/dpll_52094/txpa_55216.png","plot")</f>
        <v>plot</v>
      </c>
    </row>
    <row r="974" spans="1:29" x14ac:dyDescent="0.35">
      <c r="A974" t="s">
        <v>47</v>
      </c>
      <c r="B974">
        <v>52094</v>
      </c>
      <c r="C974" t="s">
        <v>53</v>
      </c>
      <c r="D974">
        <v>55217</v>
      </c>
      <c r="E974" t="s">
        <v>350</v>
      </c>
      <c r="F974">
        <v>7139</v>
      </c>
      <c r="G974">
        <v>0.26684035993302119</v>
      </c>
      <c r="H974">
        <v>1.1809101606080149E-116</v>
      </c>
      <c r="I974">
        <v>2.177168914284594E-116</v>
      </c>
      <c r="J974">
        <v>0.21935651958916191</v>
      </c>
      <c r="K974">
        <v>1.613737674242536E-78</v>
      </c>
      <c r="L974">
        <v>2.4532683683387281E-78</v>
      </c>
      <c r="M974">
        <v>0.14655241572242059</v>
      </c>
      <c r="N974">
        <v>5.7147164016112537E-77</v>
      </c>
      <c r="O974">
        <v>8.687739776962236E-77</v>
      </c>
      <c r="P974">
        <v>7.1203777689184303E-2</v>
      </c>
      <c r="Q974">
        <v>0.66330887162940966</v>
      </c>
      <c r="R974">
        <v>6.662666594822479</v>
      </c>
      <c r="S974">
        <v>0.29738909747114378</v>
      </c>
      <c r="T974">
        <v>0.24431039489838871</v>
      </c>
      <c r="U974">
        <v>4.2555146084885838</v>
      </c>
      <c r="V974">
        <v>0.12414549193133841</v>
      </c>
      <c r="W974">
        <v>9.4853871879815106</v>
      </c>
      <c r="X974">
        <v>0.30859951692286602</v>
      </c>
      <c r="Z974" t="s">
        <v>392</v>
      </c>
      <c r="AA974">
        <v>140</v>
      </c>
      <c r="AB974" t="s">
        <v>2379</v>
      </c>
      <c r="AC974" t="str">
        <f>HYPERLINK("plots/20251231112652_3FT6Y119H04_05543_B21P_N_UFLEX98_M5358A8BA201511/dpll_52094/txpa_55217.png","plot")</f>
        <v>plot</v>
      </c>
    </row>
    <row r="975" spans="1:29" x14ac:dyDescent="0.35">
      <c r="A975" t="s">
        <v>47</v>
      </c>
      <c r="B975">
        <v>52094</v>
      </c>
      <c r="C975" t="s">
        <v>53</v>
      </c>
      <c r="D975">
        <v>55218</v>
      </c>
      <c r="E975" t="s">
        <v>351</v>
      </c>
      <c r="F975">
        <v>7139</v>
      </c>
      <c r="G975">
        <v>0.20674081192218299</v>
      </c>
      <c r="H975">
        <v>9.1363908593122098E-70</v>
      </c>
      <c r="I975">
        <v>1.1697348903210331E-69</v>
      </c>
      <c r="J975">
        <v>0.20272828388735631</v>
      </c>
      <c r="K975">
        <v>4.2358544799712888E-67</v>
      </c>
      <c r="L975">
        <v>5.9243537140563969E-67</v>
      </c>
      <c r="M975">
        <v>0.13639322872729071</v>
      </c>
      <c r="N975">
        <v>6.4412871236308014E-67</v>
      </c>
      <c r="O975">
        <v>9.071479365780046E-67</v>
      </c>
      <c r="P975">
        <v>4.2741763314243439E-2</v>
      </c>
      <c r="Q975">
        <v>0.63753653654150533</v>
      </c>
      <c r="R975">
        <v>7.1049734866093139</v>
      </c>
      <c r="S975">
        <v>0.37453633099430539</v>
      </c>
      <c r="T975">
        <v>0.29735781691369439</v>
      </c>
      <c r="U975">
        <v>4.2555146084885838</v>
      </c>
      <c r="V975">
        <v>0.12414549193133841</v>
      </c>
      <c r="W975">
        <v>9.8180195313069056</v>
      </c>
      <c r="X975">
        <v>0.38283339519309728</v>
      </c>
      <c r="Z975" t="s">
        <v>392</v>
      </c>
      <c r="AA975">
        <v>140</v>
      </c>
      <c r="AB975" t="s">
        <v>2380</v>
      </c>
      <c r="AC975" t="str">
        <f>HYPERLINK("plots/20251231112652_3FT6Y119H04_05543_B21P_N_UFLEX98_M5358A8BA201511/dpll_52094/txpa_55218.png","plot")</f>
        <v>plot</v>
      </c>
    </row>
    <row r="976" spans="1:29" x14ac:dyDescent="0.35">
      <c r="A976" t="s">
        <v>47</v>
      </c>
      <c r="B976">
        <v>52094</v>
      </c>
      <c r="C976" t="s">
        <v>53</v>
      </c>
      <c r="D976">
        <v>55219</v>
      </c>
      <c r="E976" t="s">
        <v>352</v>
      </c>
      <c r="F976">
        <v>7139</v>
      </c>
      <c r="G976">
        <v>0.1976984025130962</v>
      </c>
      <c r="H976">
        <v>7.7545643193765639E-64</v>
      </c>
      <c r="I976">
        <v>9.6126261856330514E-64</v>
      </c>
      <c r="J976">
        <v>0.19455412976363839</v>
      </c>
      <c r="K976">
        <v>7.6623147682848887E-62</v>
      </c>
      <c r="L976">
        <v>1.029084394045149E-61</v>
      </c>
      <c r="M976">
        <v>0.1318899531074896</v>
      </c>
      <c r="N976">
        <v>1.084956186940792E-62</v>
      </c>
      <c r="O976">
        <v>1.4747259699168401E-62</v>
      </c>
      <c r="P976">
        <v>3.9084658356230213E-2</v>
      </c>
      <c r="Q976">
        <v>0.60296319648080776</v>
      </c>
      <c r="R976">
        <v>8.1030480810918846</v>
      </c>
      <c r="S976">
        <v>0.37113400030252702</v>
      </c>
      <c r="T976">
        <v>0.30656614973318769</v>
      </c>
      <c r="U976">
        <v>4.2555146084885838</v>
      </c>
      <c r="V976">
        <v>0.12414549193133841</v>
      </c>
      <c r="W976">
        <v>10.66896677209693</v>
      </c>
      <c r="X976">
        <v>0.37863311838669739</v>
      </c>
      <c r="Z976" t="s">
        <v>392</v>
      </c>
      <c r="AA976">
        <v>140</v>
      </c>
      <c r="AB976" t="s">
        <v>2381</v>
      </c>
      <c r="AC976" t="str">
        <f>HYPERLINK("plots/20251231112652_3FT6Y119H04_05543_B21P_N_UFLEX98_M5358A8BA201511/dpll_52094/txpa_55219.png","plot")</f>
        <v>plot</v>
      </c>
    </row>
    <row r="977" spans="1:29" x14ac:dyDescent="0.35">
      <c r="A977" t="s">
        <v>47</v>
      </c>
      <c r="B977">
        <v>52094</v>
      </c>
      <c r="C977" t="s">
        <v>53</v>
      </c>
      <c r="D977">
        <v>55220</v>
      </c>
      <c r="E977" t="s">
        <v>353</v>
      </c>
      <c r="F977">
        <v>7139</v>
      </c>
      <c r="G977">
        <v>0.32185012097941362</v>
      </c>
      <c r="H977">
        <v>9.8048947630059122E-172</v>
      </c>
      <c r="I977">
        <v>3.186590797976922E-171</v>
      </c>
      <c r="J977">
        <v>0.30060467614804298</v>
      </c>
      <c r="K977">
        <v>5.2136925189175416E-149</v>
      </c>
      <c r="L977">
        <v>1.460410003917787E-148</v>
      </c>
      <c r="M977">
        <v>0.20229511331541219</v>
      </c>
      <c r="N977">
        <v>6.7079206839853793E-145</v>
      </c>
      <c r="O977">
        <v>1.8789589982213189E-144</v>
      </c>
      <c r="P977">
        <v>0.1035875003744632</v>
      </c>
      <c r="Q977">
        <v>0.72175107606473343</v>
      </c>
      <c r="R977">
        <v>7.2631070045304771</v>
      </c>
      <c r="S977">
        <v>0.26356531070075873</v>
      </c>
      <c r="T977">
        <v>0.21066415325670371</v>
      </c>
      <c r="U977">
        <v>4.2555146084885838</v>
      </c>
      <c r="V977">
        <v>0.12414549193133841</v>
      </c>
      <c r="W977">
        <v>10.334529252416299</v>
      </c>
      <c r="X977">
        <v>0.27839710644620308</v>
      </c>
      <c r="Z977" t="s">
        <v>392</v>
      </c>
      <c r="AA977">
        <v>140</v>
      </c>
      <c r="AB977" t="s">
        <v>2382</v>
      </c>
      <c r="AC977" t="str">
        <f>HYPERLINK("plots/20251231112652_3FT6Y119H04_05543_B21P_N_UFLEX98_M5358A8BA201511/dpll_52094/txpa_55220.png","plot")</f>
        <v>plot</v>
      </c>
    </row>
    <row r="978" spans="1:29" x14ac:dyDescent="0.35">
      <c r="A978" t="s">
        <v>47</v>
      </c>
      <c r="B978">
        <v>52094</v>
      </c>
      <c r="C978" t="s">
        <v>53</v>
      </c>
      <c r="D978">
        <v>55221</v>
      </c>
      <c r="E978" t="s">
        <v>354</v>
      </c>
      <c r="F978">
        <v>7139</v>
      </c>
      <c r="G978">
        <v>0.25677538871473632</v>
      </c>
      <c r="H978">
        <v>7.2070341709470783E-108</v>
      </c>
      <c r="I978">
        <v>1.2241093214975439E-107</v>
      </c>
      <c r="J978">
        <v>0.2247517214442295</v>
      </c>
      <c r="K978">
        <v>1.9559480846145209E-82</v>
      </c>
      <c r="L978">
        <v>3.1282828987367889E-82</v>
      </c>
      <c r="M978">
        <v>0.15160558809013461</v>
      </c>
      <c r="N978">
        <v>3.0898793618755832E-82</v>
      </c>
      <c r="O978">
        <v>4.9970297814064453E-82</v>
      </c>
      <c r="P978">
        <v>6.593360024960393E-2</v>
      </c>
      <c r="Q978">
        <v>0.71237233675329215</v>
      </c>
      <c r="R978">
        <v>7.5284867758404692</v>
      </c>
      <c r="S978">
        <v>0.33284578416090482</v>
      </c>
      <c r="T978">
        <v>0.28287060340498699</v>
      </c>
      <c r="U978">
        <v>4.2555146084885838</v>
      </c>
      <c r="V978">
        <v>0.12414549193133841</v>
      </c>
      <c r="W978">
        <v>10.559997661577251</v>
      </c>
      <c r="X978">
        <v>0.34441701997680241</v>
      </c>
      <c r="Z978" t="s">
        <v>392</v>
      </c>
      <c r="AA978">
        <v>140</v>
      </c>
      <c r="AB978" t="s">
        <v>2383</v>
      </c>
      <c r="AC978" t="str">
        <f>HYPERLINK("plots/20251231112652_3FT6Y119H04_05543_B21P_N_UFLEX98_M5358A8BA201511/dpll_52094/txpa_55221.png","plot")</f>
        <v>plot</v>
      </c>
    </row>
    <row r="979" spans="1:29" x14ac:dyDescent="0.35">
      <c r="A979" t="s">
        <v>47</v>
      </c>
      <c r="B979">
        <v>52094</v>
      </c>
      <c r="C979" t="s">
        <v>53</v>
      </c>
      <c r="D979">
        <v>55222</v>
      </c>
      <c r="E979" t="s">
        <v>355</v>
      </c>
      <c r="F979">
        <v>7139</v>
      </c>
      <c r="G979">
        <v>0.31127581846599572</v>
      </c>
      <c r="H979">
        <v>3.4470541745592559E-160</v>
      </c>
      <c r="I979">
        <v>9.6025080577007844E-160</v>
      </c>
      <c r="J979">
        <v>0.29947443475163321</v>
      </c>
      <c r="K979">
        <v>7.4795766278623825E-148</v>
      </c>
      <c r="L979">
        <v>2.0722105739487579E-147</v>
      </c>
      <c r="M979">
        <v>0.20172676970767861</v>
      </c>
      <c r="N979">
        <v>4.250514958863827E-144</v>
      </c>
      <c r="O979">
        <v>1.177601685324569E-143</v>
      </c>
      <c r="P979">
        <v>9.6892635161675525E-2</v>
      </c>
      <c r="Q979">
        <v>0.74786392987067807</v>
      </c>
      <c r="R979">
        <v>7.3301480873753428</v>
      </c>
      <c r="S979">
        <v>0.28343105291895759</v>
      </c>
      <c r="T979">
        <v>0.21999566645149821</v>
      </c>
      <c r="U979">
        <v>4.2555146084885838</v>
      </c>
      <c r="V979">
        <v>0.12414549193133841</v>
      </c>
      <c r="W979">
        <v>10.5126939661017</v>
      </c>
      <c r="X979">
        <v>0.29826902690046803</v>
      </c>
      <c r="Z979" t="s">
        <v>392</v>
      </c>
      <c r="AA979">
        <v>140</v>
      </c>
      <c r="AB979" t="s">
        <v>2384</v>
      </c>
      <c r="AC979" t="str">
        <f>HYPERLINK("plots/20251231112652_3FT6Y119H04_05543_B21P_N_UFLEX98_M5358A8BA201511/dpll_52094/txpa_55222.png","plot")</f>
        <v>plot</v>
      </c>
    </row>
    <row r="980" spans="1:29" x14ac:dyDescent="0.35">
      <c r="A980" t="s">
        <v>47</v>
      </c>
      <c r="B980">
        <v>52094</v>
      </c>
      <c r="C980" t="s">
        <v>53</v>
      </c>
      <c r="D980">
        <v>55223</v>
      </c>
      <c r="E980" t="s">
        <v>356</v>
      </c>
      <c r="F980">
        <v>7139</v>
      </c>
      <c r="G980">
        <v>0.2475969049727906</v>
      </c>
      <c r="H980">
        <v>3.431353610832825E-100</v>
      </c>
      <c r="I980">
        <v>5.4707430210447872E-100</v>
      </c>
      <c r="J980">
        <v>0.21258234202821399</v>
      </c>
      <c r="K980">
        <v>9.506029023284796E-74</v>
      </c>
      <c r="L980">
        <v>1.411290399650188E-73</v>
      </c>
      <c r="M980">
        <v>0.1416923635529902</v>
      </c>
      <c r="N980">
        <v>4.5215874293776762E-72</v>
      </c>
      <c r="O980">
        <v>6.6803318349594774E-72</v>
      </c>
      <c r="P980">
        <v>6.1304227352105077E-2</v>
      </c>
      <c r="Q980">
        <v>0.73593279509601717</v>
      </c>
      <c r="R980">
        <v>7.338326616126384</v>
      </c>
      <c r="S980">
        <v>0.35748342538422712</v>
      </c>
      <c r="T980">
        <v>0.28774026039040329</v>
      </c>
      <c r="U980">
        <v>4.2555146084885838</v>
      </c>
      <c r="V980">
        <v>0.12414549193133841</v>
      </c>
      <c r="W980">
        <v>10.47009937652332</v>
      </c>
      <c r="X980">
        <v>0.36899790361127538</v>
      </c>
      <c r="Z980" t="s">
        <v>392</v>
      </c>
      <c r="AA980">
        <v>140</v>
      </c>
      <c r="AB980" t="s">
        <v>2385</v>
      </c>
      <c r="AC980" t="str">
        <f>HYPERLINK("plots/20251231112652_3FT6Y119H04_05543_B21P_N_UFLEX98_M5358A8BA201511/dpll_52094/txpa_55223.png","plot")</f>
        <v>plot</v>
      </c>
    </row>
    <row r="981" spans="1:29" x14ac:dyDescent="0.35">
      <c r="A981" t="s">
        <v>47</v>
      </c>
      <c r="B981">
        <v>52094</v>
      </c>
      <c r="C981" t="s">
        <v>53</v>
      </c>
      <c r="D981">
        <v>55224</v>
      </c>
      <c r="E981" t="s">
        <v>357</v>
      </c>
      <c r="F981">
        <v>7139</v>
      </c>
      <c r="G981">
        <v>0.331106005065888</v>
      </c>
      <c r="H981">
        <v>3.1263472886005968E-182</v>
      </c>
      <c r="I981">
        <v>1.156976697314236E-181</v>
      </c>
      <c r="J981">
        <v>0.32278292246125068</v>
      </c>
      <c r="K981">
        <v>8.9175647873997493E-173</v>
      </c>
      <c r="L981">
        <v>3.3244156964791711E-172</v>
      </c>
      <c r="M981">
        <v>0.21951058593581671</v>
      </c>
      <c r="N981">
        <v>2.995325658287792E-170</v>
      </c>
      <c r="O981">
        <v>1.129093017659413E-169</v>
      </c>
      <c r="P981">
        <v>0.10963118659069181</v>
      </c>
      <c r="Q981">
        <v>0.72880970339325313</v>
      </c>
      <c r="R981">
        <v>7.3745122208444176</v>
      </c>
      <c r="S981">
        <v>0.25782949221619061</v>
      </c>
      <c r="T981">
        <v>0.1989912870314835</v>
      </c>
      <c r="U981">
        <v>4.2555146084885838</v>
      </c>
      <c r="V981">
        <v>0.12414549193133841</v>
      </c>
      <c r="W981">
        <v>10.47597256044264</v>
      </c>
      <c r="X981">
        <v>0.27326124494203491</v>
      </c>
      <c r="Z981" t="s">
        <v>392</v>
      </c>
      <c r="AA981">
        <v>140</v>
      </c>
      <c r="AB981" t="s">
        <v>2386</v>
      </c>
      <c r="AC981" t="str">
        <f>HYPERLINK("plots/20251231112652_3FT6Y119H04_05543_B21P_N_UFLEX98_M5358A8BA201511/dpll_52094/txpa_55224.png","plot")</f>
        <v>plot</v>
      </c>
    </row>
    <row r="982" spans="1:29" x14ac:dyDescent="0.35">
      <c r="A982" t="s">
        <v>47</v>
      </c>
      <c r="B982">
        <v>52094</v>
      </c>
      <c r="C982" t="s">
        <v>53</v>
      </c>
      <c r="D982">
        <v>55225</v>
      </c>
      <c r="E982" t="s">
        <v>358</v>
      </c>
      <c r="F982">
        <v>7139</v>
      </c>
      <c r="G982">
        <v>0.2791739912563308</v>
      </c>
      <c r="H982">
        <v>5.9549948013091386E-128</v>
      </c>
      <c r="I982">
        <v>1.195715787827221E-127</v>
      </c>
      <c r="J982">
        <v>0.23072000927561029</v>
      </c>
      <c r="K982">
        <v>6.8650294331418133E-87</v>
      </c>
      <c r="L982">
        <v>1.143044309557602E-86</v>
      </c>
      <c r="M982">
        <v>0.15416740200258661</v>
      </c>
      <c r="N982">
        <v>5.6490978003175742E-85</v>
      </c>
      <c r="O982">
        <v>9.2593447273236587E-85</v>
      </c>
      <c r="P982">
        <v>7.793811739398987E-2</v>
      </c>
      <c r="Q982">
        <v>0.66821483605253174</v>
      </c>
      <c r="R982">
        <v>7.6074871248751528</v>
      </c>
      <c r="S982">
        <v>0.28531310972351409</v>
      </c>
      <c r="T982">
        <v>0.23362444428745771</v>
      </c>
      <c r="U982">
        <v>4.2555146084885838</v>
      </c>
      <c r="V982">
        <v>0.12414549193133841</v>
      </c>
      <c r="W982">
        <v>10.45108512130551</v>
      </c>
      <c r="X982">
        <v>0.29714752138709127</v>
      </c>
      <c r="Z982" t="s">
        <v>392</v>
      </c>
      <c r="AA982">
        <v>140</v>
      </c>
      <c r="AB982" t="s">
        <v>2387</v>
      </c>
      <c r="AC982" t="str">
        <f>HYPERLINK("plots/20251231112652_3FT6Y119H04_05543_B21P_N_UFLEX98_M5358A8BA201511/dpll_52094/txpa_55225.png","plot")</f>
        <v>plot</v>
      </c>
    </row>
    <row r="983" spans="1:29" x14ac:dyDescent="0.35">
      <c r="A983" t="s">
        <v>47</v>
      </c>
      <c r="B983">
        <v>52094</v>
      </c>
      <c r="C983" t="s">
        <v>53</v>
      </c>
      <c r="D983">
        <v>55226</v>
      </c>
      <c r="E983" t="s">
        <v>359</v>
      </c>
      <c r="F983">
        <v>7139</v>
      </c>
      <c r="G983">
        <v>0.2180565662282202</v>
      </c>
      <c r="H983">
        <v>1.36741210192079E-77</v>
      </c>
      <c r="I983">
        <v>1.83649784284461E-77</v>
      </c>
      <c r="J983">
        <v>0.21048293553257891</v>
      </c>
      <c r="K983">
        <v>2.6500563833518178E-72</v>
      </c>
      <c r="L983">
        <v>3.877571677804825E-72</v>
      </c>
      <c r="M983">
        <v>0.14170731996055341</v>
      </c>
      <c r="N983">
        <v>4.3698993801212761E-72</v>
      </c>
      <c r="O983">
        <v>6.4687269656101803E-72</v>
      </c>
      <c r="P983">
        <v>4.7548666075242177E-2</v>
      </c>
      <c r="Q983">
        <v>0.64182834397050914</v>
      </c>
      <c r="R983">
        <v>8.0306655883718943</v>
      </c>
      <c r="S983">
        <v>0.35659204870627348</v>
      </c>
      <c r="T983">
        <v>0.28386095663381611</v>
      </c>
      <c r="U983">
        <v>4.2555146084885838</v>
      </c>
      <c r="V983">
        <v>0.12414549193133841</v>
      </c>
      <c r="W983">
        <v>10.76197548228043</v>
      </c>
      <c r="X983">
        <v>0.36541020926790702</v>
      </c>
      <c r="Z983" t="s">
        <v>392</v>
      </c>
      <c r="AA983">
        <v>140</v>
      </c>
      <c r="AB983" t="s">
        <v>2388</v>
      </c>
      <c r="AC983" t="str">
        <f>HYPERLINK("plots/20251231112652_3FT6Y119H04_05543_B21P_N_UFLEX98_M5358A8BA201511/dpll_52094/txpa_55226.png","plot")</f>
        <v>plot</v>
      </c>
    </row>
    <row r="984" spans="1:29" x14ac:dyDescent="0.35">
      <c r="A984" t="s">
        <v>47</v>
      </c>
      <c r="B984">
        <v>52094</v>
      </c>
      <c r="C984" t="s">
        <v>53</v>
      </c>
      <c r="D984">
        <v>55227</v>
      </c>
      <c r="E984" t="s">
        <v>360</v>
      </c>
      <c r="F984">
        <v>7139</v>
      </c>
      <c r="G984">
        <v>0.20370856992551151</v>
      </c>
      <c r="H984">
        <v>9.5673409321540854E-68</v>
      </c>
      <c r="I984">
        <v>1.211146529988045E-67</v>
      </c>
      <c r="J984">
        <v>0.19904123408627419</v>
      </c>
      <c r="K984">
        <v>1.064546629362875E-64</v>
      </c>
      <c r="L984">
        <v>1.464654385582029E-64</v>
      </c>
      <c r="M984">
        <v>0.13506808298989381</v>
      </c>
      <c r="N984">
        <v>1.1677870360773571E-65</v>
      </c>
      <c r="O984">
        <v>1.624329292980028E-65</v>
      </c>
      <c r="P984">
        <v>4.1497181461096988E-2</v>
      </c>
      <c r="Q984">
        <v>0.60620525399335756</v>
      </c>
      <c r="R984">
        <v>8.5492217637707917</v>
      </c>
      <c r="S984">
        <v>0.36166595413215968</v>
      </c>
      <c r="T984">
        <v>0.29822425908691752</v>
      </c>
      <c r="U984">
        <v>4.2555146084885838</v>
      </c>
      <c r="V984">
        <v>0.12414549193133841</v>
      </c>
      <c r="W984">
        <v>11.12893707788206</v>
      </c>
      <c r="X984">
        <v>0.36943781744619869</v>
      </c>
      <c r="Z984" t="s">
        <v>392</v>
      </c>
      <c r="AA984">
        <v>140</v>
      </c>
      <c r="AB984" t="s">
        <v>2389</v>
      </c>
      <c r="AC984" t="str">
        <f>HYPERLINK("plots/20251231112652_3FT6Y119H04_05543_B21P_N_UFLEX98_M5358A8BA201511/dpll_52094/txpa_55227.png","plot")</f>
        <v>plot</v>
      </c>
    </row>
    <row r="985" spans="1:29" x14ac:dyDescent="0.35">
      <c r="A985" t="s">
        <v>47</v>
      </c>
      <c r="B985">
        <v>52094</v>
      </c>
      <c r="C985" t="s">
        <v>53</v>
      </c>
      <c r="D985">
        <v>55228</v>
      </c>
      <c r="E985" t="s">
        <v>361</v>
      </c>
      <c r="F985">
        <v>7139</v>
      </c>
      <c r="G985">
        <v>0.32593145190597139</v>
      </c>
      <c r="H985">
        <v>2.5611095143369571E-176</v>
      </c>
      <c r="I985">
        <v>8.7146478105291097E-176</v>
      </c>
      <c r="J985">
        <v>0.30580050491954858</v>
      </c>
      <c r="K985">
        <v>2.149403675805437E-154</v>
      </c>
      <c r="L985">
        <v>6.4673451847676951E-154</v>
      </c>
      <c r="M985">
        <v>0.205972615636621</v>
      </c>
      <c r="N985">
        <v>3.843134764683198E-150</v>
      </c>
      <c r="O985">
        <v>1.1427972584717781E-149</v>
      </c>
      <c r="P985">
        <v>0.1062313113415346</v>
      </c>
      <c r="Q985">
        <v>0.72277670038582331</v>
      </c>
      <c r="R985">
        <v>7.7341626905217051</v>
      </c>
      <c r="S985">
        <v>0.26025014213722719</v>
      </c>
      <c r="T985">
        <v>0.2072645002054663</v>
      </c>
      <c r="U985">
        <v>4.2555146084885838</v>
      </c>
      <c r="V985">
        <v>0.12414549193133841</v>
      </c>
      <c r="W985">
        <v>10.80994949768875</v>
      </c>
      <c r="X985">
        <v>0.27530165776021459</v>
      </c>
      <c r="Z985" t="s">
        <v>392</v>
      </c>
      <c r="AA985">
        <v>140</v>
      </c>
      <c r="AB985" t="s">
        <v>2390</v>
      </c>
      <c r="AC985" t="str">
        <f>HYPERLINK("plots/20251231112652_3FT6Y119H04_05543_B21P_N_UFLEX98_M5358A8BA201511/dpll_52094/txpa_55228.png","plot")</f>
        <v>plot</v>
      </c>
    </row>
    <row r="986" spans="1:29" x14ac:dyDescent="0.35">
      <c r="A986" t="s">
        <v>47</v>
      </c>
      <c r="B986">
        <v>52094</v>
      </c>
      <c r="C986" t="s">
        <v>53</v>
      </c>
      <c r="D986">
        <v>55229</v>
      </c>
      <c r="E986" t="s">
        <v>362</v>
      </c>
      <c r="F986">
        <v>7139</v>
      </c>
      <c r="G986">
        <v>0.26310314315869371</v>
      </c>
      <c r="H986">
        <v>2.395878140660163E-113</v>
      </c>
      <c r="I986">
        <v>4.2998591763352299E-113</v>
      </c>
      <c r="J986">
        <v>0.22961431512171371</v>
      </c>
      <c r="K986">
        <v>4.6953283271047603E-86</v>
      </c>
      <c r="L986">
        <v>7.7541741428081868E-86</v>
      </c>
      <c r="M986">
        <v>0.15487300921774269</v>
      </c>
      <c r="N986">
        <v>9.766089338646293E-86</v>
      </c>
      <c r="O986">
        <v>1.618106959050219E-85</v>
      </c>
      <c r="P986">
        <v>6.9223263939984042E-2</v>
      </c>
      <c r="Q986">
        <v>0.71258137261564036</v>
      </c>
      <c r="R986">
        <v>7.9904753082218241</v>
      </c>
      <c r="S986">
        <v>0.32436330996230089</v>
      </c>
      <c r="T986">
        <v>0.27428032268573171</v>
      </c>
      <c r="U986">
        <v>4.2555146084885838</v>
      </c>
      <c r="V986">
        <v>0.12414549193133841</v>
      </c>
      <c r="W986">
        <v>11.02287574912453</v>
      </c>
      <c r="X986">
        <v>0.33623226230755859</v>
      </c>
      <c r="Z986" t="s">
        <v>392</v>
      </c>
      <c r="AA986">
        <v>140</v>
      </c>
      <c r="AB986" t="s">
        <v>2391</v>
      </c>
      <c r="AC986" t="str">
        <f>HYPERLINK("plots/20251231112652_3FT6Y119H04_05543_B21P_N_UFLEX98_M5358A8BA201511/dpll_52094/txpa_55229.png","plot")</f>
        <v>plot</v>
      </c>
    </row>
    <row r="987" spans="1:29" x14ac:dyDescent="0.35">
      <c r="A987" t="s">
        <v>47</v>
      </c>
      <c r="B987">
        <v>52094</v>
      </c>
      <c r="C987" t="s">
        <v>53</v>
      </c>
      <c r="D987">
        <v>55230</v>
      </c>
      <c r="E987" t="s">
        <v>363</v>
      </c>
      <c r="F987">
        <v>7139</v>
      </c>
      <c r="G987">
        <v>0.31662422439808968</v>
      </c>
      <c r="H987">
        <v>5.7065023570397607E-166</v>
      </c>
      <c r="I987">
        <v>1.6919278918240691E-165</v>
      </c>
      <c r="J987">
        <v>0.30420227098323871</v>
      </c>
      <c r="K987">
        <v>1.0011101492145431E-152</v>
      </c>
      <c r="L987">
        <v>2.91702784857341E-152</v>
      </c>
      <c r="M987">
        <v>0.2052411600828557</v>
      </c>
      <c r="N987">
        <v>4.3141452322028502E-149</v>
      </c>
      <c r="O987">
        <v>1.260675292637951E-148</v>
      </c>
      <c r="P987">
        <v>0.10025089947569189</v>
      </c>
      <c r="Q987">
        <v>0.74810654162907797</v>
      </c>
      <c r="R987">
        <v>7.7963204476442813</v>
      </c>
      <c r="S987">
        <v>0.27821501101701801</v>
      </c>
      <c r="T987">
        <v>0.21582772070290071</v>
      </c>
      <c r="U987">
        <v>4.2555146084885838</v>
      </c>
      <c r="V987">
        <v>0.12414549193133841</v>
      </c>
      <c r="W987">
        <v>10.979898764252701</v>
      </c>
      <c r="X987">
        <v>0.29332580223180971</v>
      </c>
      <c r="Z987" t="s">
        <v>392</v>
      </c>
      <c r="AA987">
        <v>140</v>
      </c>
      <c r="AB987" t="s">
        <v>2392</v>
      </c>
      <c r="AC987" t="str">
        <f>HYPERLINK("plots/20251231112652_3FT6Y119H04_05543_B21P_N_UFLEX98_M5358A8BA201511/dpll_52094/txpa_55230.png","plot")</f>
        <v>plot</v>
      </c>
    </row>
    <row r="988" spans="1:29" x14ac:dyDescent="0.35">
      <c r="A988" t="s">
        <v>47</v>
      </c>
      <c r="B988">
        <v>52094</v>
      </c>
      <c r="C988" t="s">
        <v>53</v>
      </c>
      <c r="D988">
        <v>55231</v>
      </c>
      <c r="E988" t="s">
        <v>364</v>
      </c>
      <c r="F988">
        <v>7139</v>
      </c>
      <c r="G988">
        <v>0.25425385014149038</v>
      </c>
      <c r="H988">
        <v>9.966228051292329E-106</v>
      </c>
      <c r="I988">
        <v>1.6594015178999049E-105</v>
      </c>
      <c r="J988">
        <v>0.21860716236181851</v>
      </c>
      <c r="K988">
        <v>5.5405563396524506E-78</v>
      </c>
      <c r="L988">
        <v>8.4103654616880025E-78</v>
      </c>
      <c r="M988">
        <v>0.1457584119094652</v>
      </c>
      <c r="N988">
        <v>3.7018602445741399E-76</v>
      </c>
      <c r="O988">
        <v>5.5941673442595799E-76</v>
      </c>
      <c r="P988">
        <v>6.4645020311771453E-2</v>
      </c>
      <c r="Q988">
        <v>0.73647904267635256</v>
      </c>
      <c r="R988">
        <v>7.8043776097698467</v>
      </c>
      <c r="S988">
        <v>0.34776159640160498</v>
      </c>
      <c r="T988">
        <v>0.27988141183234649</v>
      </c>
      <c r="U988">
        <v>4.2555146084885838</v>
      </c>
      <c r="V988">
        <v>0.12414549193133841</v>
      </c>
      <c r="W988">
        <v>10.93847493472475</v>
      </c>
      <c r="X988">
        <v>0.35960341603203472</v>
      </c>
      <c r="Z988" t="s">
        <v>392</v>
      </c>
      <c r="AA988">
        <v>140</v>
      </c>
      <c r="AB988" t="s">
        <v>2393</v>
      </c>
      <c r="AC988" t="str">
        <f>HYPERLINK("plots/20251231112652_3FT6Y119H04_05543_B21P_N_UFLEX98_M5358A8BA201511/dpll_52094/txpa_55231.png","plot")</f>
        <v>plot</v>
      </c>
    </row>
    <row r="989" spans="1:29" x14ac:dyDescent="0.35">
      <c r="A989" t="s">
        <v>47</v>
      </c>
      <c r="B989">
        <v>52094</v>
      </c>
      <c r="C989" t="s">
        <v>53</v>
      </c>
      <c r="D989">
        <v>55232</v>
      </c>
      <c r="E989" t="s">
        <v>365</v>
      </c>
      <c r="F989">
        <v>7139</v>
      </c>
      <c r="G989">
        <v>0.33655008690679322</v>
      </c>
      <c r="H989">
        <v>1.4070804661956959E-188</v>
      </c>
      <c r="I989">
        <v>5.9202472727072025E-188</v>
      </c>
      <c r="J989">
        <v>0.32658333782587712</v>
      </c>
      <c r="K989">
        <v>4.6753162743758908E-177</v>
      </c>
      <c r="L989">
        <v>1.8094544664950969E-176</v>
      </c>
      <c r="M989">
        <v>0.2225151769819094</v>
      </c>
      <c r="N989">
        <v>6.9262275638205941E-175</v>
      </c>
      <c r="O989">
        <v>2.7012287498900322E-174</v>
      </c>
      <c r="P989">
        <v>0.11326596099697001</v>
      </c>
      <c r="Q989">
        <v>0.7287677328953438</v>
      </c>
      <c r="R989">
        <v>7.8398051710772449</v>
      </c>
      <c r="S989">
        <v>0.25312593979580222</v>
      </c>
      <c r="T989">
        <v>0.19535258261519259</v>
      </c>
      <c r="U989">
        <v>4.2555146084885838</v>
      </c>
      <c r="V989">
        <v>0.12414549193133841</v>
      </c>
      <c r="W989">
        <v>10.94108690460849</v>
      </c>
      <c r="X989">
        <v>0.26882545042704148</v>
      </c>
      <c r="Z989" t="s">
        <v>392</v>
      </c>
      <c r="AA989">
        <v>140</v>
      </c>
      <c r="AB989" t="s">
        <v>2394</v>
      </c>
      <c r="AC989" t="str">
        <f>HYPERLINK("plots/20251231112652_3FT6Y119H04_05543_B21P_N_UFLEX98_M5358A8BA201511/dpll_52094/txpa_55232.png","plot")</f>
        <v>plot</v>
      </c>
    </row>
    <row r="990" spans="1:29" x14ac:dyDescent="0.35">
      <c r="A990" t="s">
        <v>47</v>
      </c>
      <c r="B990">
        <v>52094</v>
      </c>
      <c r="C990" t="s">
        <v>53</v>
      </c>
      <c r="D990">
        <v>55233</v>
      </c>
      <c r="E990" t="s">
        <v>366</v>
      </c>
      <c r="F990">
        <v>7139</v>
      </c>
      <c r="G990">
        <v>0.28523934640669851</v>
      </c>
      <c r="H990">
        <v>1.002204945800707E-133</v>
      </c>
      <c r="I990">
        <v>2.130473406796472E-133</v>
      </c>
      <c r="J990">
        <v>0.2364294936228209</v>
      </c>
      <c r="K990">
        <v>2.8442331506808069E-91</v>
      </c>
      <c r="L990">
        <v>4.9469166634482647E-91</v>
      </c>
      <c r="M990">
        <v>0.15794583719934521</v>
      </c>
      <c r="N990">
        <v>4.2674893857438408E-89</v>
      </c>
      <c r="O990">
        <v>7.3592418999051956E-89</v>
      </c>
      <c r="P990">
        <v>8.136148473852052E-2</v>
      </c>
      <c r="Q990">
        <v>0.6700478775438744</v>
      </c>
      <c r="R990">
        <v>8.0704752216318436</v>
      </c>
      <c r="S990">
        <v>0.27949192360258318</v>
      </c>
      <c r="T990">
        <v>0.22827547549578181</v>
      </c>
      <c r="U990">
        <v>4.2555146084885838</v>
      </c>
      <c r="V990">
        <v>0.12414549193133841</v>
      </c>
      <c r="W990">
        <v>10.921873752906571</v>
      </c>
      <c r="X990">
        <v>0.29162674933572907</v>
      </c>
      <c r="Z990" t="s">
        <v>392</v>
      </c>
      <c r="AA990">
        <v>140</v>
      </c>
      <c r="AB990" t="s">
        <v>2395</v>
      </c>
      <c r="AC990" t="str">
        <f>HYPERLINK("plots/20251231112652_3FT6Y119H04_05543_B21P_N_UFLEX98_M5358A8BA201511/dpll_52094/txpa_55233.png","plot")</f>
        <v>plot</v>
      </c>
    </row>
    <row r="991" spans="1:29" x14ac:dyDescent="0.35">
      <c r="A991" t="s">
        <v>47</v>
      </c>
      <c r="B991">
        <v>52094</v>
      </c>
      <c r="C991" t="s">
        <v>53</v>
      </c>
      <c r="D991">
        <v>55234</v>
      </c>
      <c r="E991" t="s">
        <v>367</v>
      </c>
      <c r="F991">
        <v>7139</v>
      </c>
      <c r="G991">
        <v>0.22425669117876351</v>
      </c>
      <c r="H991">
        <v>4.5192597831408949E-82</v>
      </c>
      <c r="I991">
        <v>6.2517454571689884E-82</v>
      </c>
      <c r="J991">
        <v>0.21398544004733749</v>
      </c>
      <c r="K991">
        <v>1.007822804729427E-74</v>
      </c>
      <c r="L991">
        <v>1.5028416529347631E-74</v>
      </c>
      <c r="M991">
        <v>0.14410335730323021</v>
      </c>
      <c r="N991">
        <v>1.7615364761363799E-74</v>
      </c>
      <c r="O991">
        <v>2.6267617452974841E-74</v>
      </c>
      <c r="P991">
        <v>5.0291063538447277E-2</v>
      </c>
      <c r="Q991">
        <v>0.6445569528008368</v>
      </c>
      <c r="R991">
        <v>8.4767525797716985</v>
      </c>
      <c r="S991">
        <v>0.34770559921543981</v>
      </c>
      <c r="T991">
        <v>0.27738765179585301</v>
      </c>
      <c r="U991">
        <v>4.2555146084885838</v>
      </c>
      <c r="V991">
        <v>0.12414549193133841</v>
      </c>
      <c r="W991">
        <v>11.21967410841855</v>
      </c>
      <c r="X991">
        <v>0.35681807112474651</v>
      </c>
      <c r="Z991" t="s">
        <v>392</v>
      </c>
      <c r="AA991">
        <v>140</v>
      </c>
      <c r="AB991" t="s">
        <v>2396</v>
      </c>
      <c r="AC991" t="str">
        <f>HYPERLINK("plots/20251231112652_3FT6Y119H04_05543_B21P_N_UFLEX98_M5358A8BA201511/dpll_52094/txpa_55234.png","plot")</f>
        <v>plot</v>
      </c>
    </row>
    <row r="992" spans="1:29" x14ac:dyDescent="0.35">
      <c r="A992" t="s">
        <v>47</v>
      </c>
      <c r="B992">
        <v>52094</v>
      </c>
      <c r="C992" t="s">
        <v>53</v>
      </c>
      <c r="D992">
        <v>55235</v>
      </c>
      <c r="E992" t="s">
        <v>368</v>
      </c>
      <c r="F992">
        <v>7139</v>
      </c>
      <c r="G992">
        <v>0.20984442467428141</v>
      </c>
      <c r="H992">
        <v>7.2397262326143633E-72</v>
      </c>
      <c r="I992">
        <v>9.3755841633090231E-72</v>
      </c>
      <c r="J992">
        <v>0.20378508548396049</v>
      </c>
      <c r="K992">
        <v>8.5155925723034684E-68</v>
      </c>
      <c r="L992">
        <v>1.2009472695849399E-67</v>
      </c>
      <c r="M992">
        <v>0.13845572577738691</v>
      </c>
      <c r="N992">
        <v>6.7046230769054913E-69</v>
      </c>
      <c r="O992">
        <v>9.5350460027800388E-69</v>
      </c>
      <c r="P992">
        <v>4.4034682566880153E-2</v>
      </c>
      <c r="Q992">
        <v>0.60996719220150797</v>
      </c>
      <c r="R992">
        <v>8.9692881766235377</v>
      </c>
      <c r="S992">
        <v>0.35280167983368799</v>
      </c>
      <c r="T992">
        <v>0.29047354639277029</v>
      </c>
      <c r="U992">
        <v>4.2555146084885838</v>
      </c>
      <c r="V992">
        <v>0.12414549193133841</v>
      </c>
      <c r="W992">
        <v>11.56501247373582</v>
      </c>
      <c r="X992">
        <v>0.36086103910252848</v>
      </c>
      <c r="Z992" t="s">
        <v>392</v>
      </c>
      <c r="AA992">
        <v>140</v>
      </c>
      <c r="AB992" t="s">
        <v>2397</v>
      </c>
      <c r="AC992" t="str">
        <f>HYPERLINK("plots/20251231112652_3FT6Y119H04_05543_B21P_N_UFLEX98_M5358A8BA201511/dpll_52094/txpa_55235.png","plot")</f>
        <v>plot</v>
      </c>
    </row>
    <row r="993" spans="1:29" x14ac:dyDescent="0.35">
      <c r="A993" t="s">
        <v>47</v>
      </c>
      <c r="B993">
        <v>52094</v>
      </c>
      <c r="C993" t="s">
        <v>53</v>
      </c>
      <c r="D993">
        <v>55236</v>
      </c>
      <c r="E993" t="s">
        <v>369</v>
      </c>
      <c r="F993">
        <v>7139</v>
      </c>
      <c r="G993">
        <v>0.329225535195728</v>
      </c>
      <c r="H993">
        <v>4.5432389437083276E-180</v>
      </c>
      <c r="I993">
        <v>1.616436592603595E-179</v>
      </c>
      <c r="J993">
        <v>0.3108220609902842</v>
      </c>
      <c r="K993">
        <v>1.052965621759087E-159</v>
      </c>
      <c r="L993">
        <v>3.3365848139491078E-159</v>
      </c>
      <c r="M993">
        <v>0.209557036499808</v>
      </c>
      <c r="N993">
        <v>2.426237639804611E-155</v>
      </c>
      <c r="O993">
        <v>7.6641899276070885E-155</v>
      </c>
      <c r="P993">
        <v>0.1083894530249135</v>
      </c>
      <c r="Q993">
        <v>0.72197065060836974</v>
      </c>
      <c r="R993">
        <v>8.1947389510609554</v>
      </c>
      <c r="S993">
        <v>0.25704796139217079</v>
      </c>
      <c r="T993">
        <v>0.2037893087359518</v>
      </c>
      <c r="U993">
        <v>4.2555146084885838</v>
      </c>
      <c r="V993">
        <v>0.12414549193133841</v>
      </c>
      <c r="W993">
        <v>11.267095601624881</v>
      </c>
      <c r="X993">
        <v>0.27224316463326242</v>
      </c>
      <c r="Z993" t="s">
        <v>392</v>
      </c>
      <c r="AA993">
        <v>140</v>
      </c>
      <c r="AB993" t="s">
        <v>2398</v>
      </c>
      <c r="AC993" t="str">
        <f>HYPERLINK("plots/20251231112652_3FT6Y119H04_05543_B21P_N_UFLEX98_M5358A8BA201511/dpll_52094/txpa_55236.png","plot")</f>
        <v>plot</v>
      </c>
    </row>
    <row r="994" spans="1:29" x14ac:dyDescent="0.35">
      <c r="A994" t="s">
        <v>47</v>
      </c>
      <c r="B994">
        <v>52094</v>
      </c>
      <c r="C994" t="s">
        <v>53</v>
      </c>
      <c r="D994">
        <v>55237</v>
      </c>
      <c r="E994" t="s">
        <v>370</v>
      </c>
      <c r="F994">
        <v>7139</v>
      </c>
      <c r="G994">
        <v>0.26957925722784792</v>
      </c>
      <c r="H994">
        <v>4.1149913910554801E-119</v>
      </c>
      <c r="I994">
        <v>7.6702229237688536E-119</v>
      </c>
      <c r="J994">
        <v>0.23482697968088659</v>
      </c>
      <c r="K994">
        <v>4.9669707543320674E-90</v>
      </c>
      <c r="L994">
        <v>8.5364548218520617E-90</v>
      </c>
      <c r="M994">
        <v>0.1583577955476024</v>
      </c>
      <c r="N994">
        <v>1.4956678443801711E-89</v>
      </c>
      <c r="O994">
        <v>2.5880668843028892E-89</v>
      </c>
      <c r="P994">
        <v>7.2672975927518202E-2</v>
      </c>
      <c r="Q994">
        <v>0.71171364884726085</v>
      </c>
      <c r="R994">
        <v>8.4367902792486156</v>
      </c>
      <c r="S994">
        <v>0.31559914271273393</v>
      </c>
      <c r="T994">
        <v>0.26508992274786353</v>
      </c>
      <c r="U994">
        <v>4.2555146084885838</v>
      </c>
      <c r="V994">
        <v>0.12414549193133841</v>
      </c>
      <c r="W994">
        <v>11.465498108978849</v>
      </c>
      <c r="X994">
        <v>0.32775533978013988</v>
      </c>
      <c r="Z994" t="s">
        <v>392</v>
      </c>
      <c r="AA994">
        <v>140</v>
      </c>
      <c r="AB994" t="s">
        <v>2399</v>
      </c>
      <c r="AC994" t="str">
        <f>HYPERLINK("plots/20251231112652_3FT6Y119H04_05543_B21P_N_UFLEX98_M5358A8BA201511/dpll_52094/txpa_55237.png","plot")</f>
        <v>plot</v>
      </c>
    </row>
    <row r="995" spans="1:29" x14ac:dyDescent="0.35">
      <c r="A995" t="s">
        <v>47</v>
      </c>
      <c r="B995">
        <v>52094</v>
      </c>
      <c r="C995" t="s">
        <v>53</v>
      </c>
      <c r="D995">
        <v>55238</v>
      </c>
      <c r="E995" t="s">
        <v>371</v>
      </c>
      <c r="F995">
        <v>7139</v>
      </c>
      <c r="G995">
        <v>0.32207182910154308</v>
      </c>
      <c r="H995">
        <v>5.5501785760006898E-172</v>
      </c>
      <c r="I995">
        <v>1.8154455084079681E-171</v>
      </c>
      <c r="J995">
        <v>0.30936280487079559</v>
      </c>
      <c r="K995">
        <v>3.7690508601125607E-158</v>
      </c>
      <c r="L995">
        <v>1.1832252545368841E-157</v>
      </c>
      <c r="M995">
        <v>0.20917767036678889</v>
      </c>
      <c r="N995">
        <v>8.6954871976176631E-155</v>
      </c>
      <c r="O995">
        <v>2.72979071776604E-154</v>
      </c>
      <c r="P995">
        <v>0.1037302631008136</v>
      </c>
      <c r="Q995">
        <v>0.74764701879275697</v>
      </c>
      <c r="R995">
        <v>8.2457381812700223</v>
      </c>
      <c r="S995">
        <v>0.27281218692272968</v>
      </c>
      <c r="T995">
        <v>0.21143194035239851</v>
      </c>
      <c r="U995">
        <v>4.2555146084885838</v>
      </c>
      <c r="V995">
        <v>0.12414549193133841</v>
      </c>
      <c r="W995">
        <v>11.42736099173554</v>
      </c>
      <c r="X995">
        <v>0.28818728790391052</v>
      </c>
      <c r="Z995" t="s">
        <v>392</v>
      </c>
      <c r="AA995">
        <v>140</v>
      </c>
      <c r="AB995" t="s">
        <v>2400</v>
      </c>
      <c r="AC995" t="str">
        <f>HYPERLINK("plots/20251231112652_3FT6Y119H04_05543_B21P_N_UFLEX98_M5358A8BA201511/dpll_52094/txpa_55238.png","plot")</f>
        <v>plot</v>
      </c>
    </row>
    <row r="996" spans="1:29" x14ac:dyDescent="0.35">
      <c r="A996" t="s">
        <v>47</v>
      </c>
      <c r="B996">
        <v>52094</v>
      </c>
      <c r="C996" t="s">
        <v>53</v>
      </c>
      <c r="D996">
        <v>55239</v>
      </c>
      <c r="E996" t="s">
        <v>372</v>
      </c>
      <c r="F996">
        <v>7139</v>
      </c>
      <c r="G996">
        <v>0.26143548969663222</v>
      </c>
      <c r="H996">
        <v>6.8868721039569477E-112</v>
      </c>
      <c r="I996">
        <v>1.216600751465565E-111</v>
      </c>
      <c r="J996">
        <v>0.22529481588433739</v>
      </c>
      <c r="K996">
        <v>7.7860590624551981E-83</v>
      </c>
      <c r="L996">
        <v>1.2511987146322619E-82</v>
      </c>
      <c r="M996">
        <v>0.15027934432291751</v>
      </c>
      <c r="N996">
        <v>7.7529516317595901E-81</v>
      </c>
      <c r="O996">
        <v>1.2245316128667019E-80</v>
      </c>
      <c r="P996">
        <v>6.8348515272917867E-2</v>
      </c>
      <c r="Q996">
        <v>0.7362368100012201</v>
      </c>
      <c r="R996">
        <v>8.2541671346956527</v>
      </c>
      <c r="S996">
        <v>0.33742733324252733</v>
      </c>
      <c r="T996">
        <v>0.27153635246951779</v>
      </c>
      <c r="U996">
        <v>4.2555146084885838</v>
      </c>
      <c r="V996">
        <v>0.12414549193133841</v>
      </c>
      <c r="W996">
        <v>11.387233634962881</v>
      </c>
      <c r="X996">
        <v>0.3496100742160953</v>
      </c>
      <c r="Z996" t="s">
        <v>392</v>
      </c>
      <c r="AA996">
        <v>140</v>
      </c>
      <c r="AB996" t="s">
        <v>2401</v>
      </c>
      <c r="AC996" t="str">
        <f>HYPERLINK("plots/20251231112652_3FT6Y119H04_05543_B21P_N_UFLEX98_M5358A8BA201511/dpll_52094/txpa_55239.png","plot")</f>
        <v>plot</v>
      </c>
    </row>
    <row r="997" spans="1:29" x14ac:dyDescent="0.35">
      <c r="A997" t="s">
        <v>47</v>
      </c>
      <c r="B997">
        <v>52094</v>
      </c>
      <c r="C997" t="s">
        <v>53</v>
      </c>
      <c r="D997">
        <v>55240</v>
      </c>
      <c r="E997" t="s">
        <v>373</v>
      </c>
      <c r="F997">
        <v>7139</v>
      </c>
      <c r="G997">
        <v>0.34190468387232731</v>
      </c>
      <c r="H997">
        <v>6.0139628202129331E-195</v>
      </c>
      <c r="I997">
        <v>2.8764897640075067E-194</v>
      </c>
      <c r="J997">
        <v>0.33056689735546652</v>
      </c>
      <c r="K997">
        <v>1.3077204603489199E-181</v>
      </c>
      <c r="L997">
        <v>5.2620180428325583E-181</v>
      </c>
      <c r="M997">
        <v>0.22574366163486301</v>
      </c>
      <c r="N997">
        <v>6.1578803387638423E-180</v>
      </c>
      <c r="O997">
        <v>2.51777849334941E-179</v>
      </c>
      <c r="P997">
        <v>0.1168988128538361</v>
      </c>
      <c r="Q997">
        <v>0.72791026593332842</v>
      </c>
      <c r="R997">
        <v>8.2883826211633274</v>
      </c>
      <c r="S997">
        <v>0.2483582339000058</v>
      </c>
      <c r="T997">
        <v>0.1915774144441291</v>
      </c>
      <c r="U997">
        <v>4.2555146084885838</v>
      </c>
      <c r="V997">
        <v>0.12414549193133841</v>
      </c>
      <c r="W997">
        <v>11.386015391511419</v>
      </c>
      <c r="X997">
        <v>0.26430400725340403</v>
      </c>
      <c r="Z997" t="s">
        <v>392</v>
      </c>
      <c r="AA997">
        <v>140</v>
      </c>
      <c r="AB997" t="s">
        <v>2402</v>
      </c>
      <c r="AC997" t="str">
        <f>HYPERLINK("plots/20251231112652_3FT6Y119H04_05543_B21P_N_UFLEX98_M5358A8BA201511/dpll_52094/txpa_55240.png","plot")</f>
        <v>plot</v>
      </c>
    </row>
    <row r="998" spans="1:29" x14ac:dyDescent="0.35">
      <c r="A998" t="s">
        <v>47</v>
      </c>
      <c r="B998">
        <v>52094</v>
      </c>
      <c r="C998" t="s">
        <v>53</v>
      </c>
      <c r="D998">
        <v>55241</v>
      </c>
      <c r="E998" t="s">
        <v>374</v>
      </c>
      <c r="F998">
        <v>7139</v>
      </c>
      <c r="G998">
        <v>0.29090594735550418</v>
      </c>
      <c r="H998">
        <v>2.9840634783643219E-139</v>
      </c>
      <c r="I998">
        <v>6.6648466234833103E-139</v>
      </c>
      <c r="J998">
        <v>0.24221942225059109</v>
      </c>
      <c r="K998">
        <v>7.718762069166498E-96</v>
      </c>
      <c r="L998">
        <v>1.382831225818874E-95</v>
      </c>
      <c r="M998">
        <v>0.16178047566160511</v>
      </c>
      <c r="N998">
        <v>2.2169202622227262E-93</v>
      </c>
      <c r="O998">
        <v>3.9857396203791557E-93</v>
      </c>
      <c r="P998">
        <v>8.462627020680337E-2</v>
      </c>
      <c r="Q998">
        <v>0.67040909783284419</v>
      </c>
      <c r="R998">
        <v>8.5207127230622568</v>
      </c>
      <c r="S998">
        <v>0.27370772564717571</v>
      </c>
      <c r="T998">
        <v>0.22292904654081511</v>
      </c>
      <c r="U998">
        <v>4.2555146084885838</v>
      </c>
      <c r="V998">
        <v>0.12414549193133841</v>
      </c>
      <c r="W998">
        <v>11.37364843255358</v>
      </c>
      <c r="X998">
        <v>0.28610026024663349</v>
      </c>
      <c r="Z998" t="s">
        <v>392</v>
      </c>
      <c r="AA998">
        <v>140</v>
      </c>
      <c r="AB998" t="s">
        <v>2403</v>
      </c>
      <c r="AC998" t="str">
        <f>HYPERLINK("plots/20251231112652_3FT6Y119H04_05543_B21P_N_UFLEX98_M5358A8BA201511/dpll_52094/txpa_55241.png","plot")</f>
        <v>plot</v>
      </c>
    </row>
    <row r="999" spans="1:29" x14ac:dyDescent="0.35">
      <c r="A999" t="s">
        <v>47</v>
      </c>
      <c r="B999">
        <v>52094</v>
      </c>
      <c r="C999" t="s">
        <v>53</v>
      </c>
      <c r="D999">
        <v>55242</v>
      </c>
      <c r="E999" t="s">
        <v>375</v>
      </c>
      <c r="F999">
        <v>7139</v>
      </c>
      <c r="G999">
        <v>0.23043350658530909</v>
      </c>
      <c r="H999">
        <v>1.13093139507645E-86</v>
      </c>
      <c r="I999">
        <v>1.6128895001512239E-86</v>
      </c>
      <c r="J999">
        <v>0.21683567600869361</v>
      </c>
      <c r="K999">
        <v>1.004677520129631E-76</v>
      </c>
      <c r="L999">
        <v>1.518245909704092E-76</v>
      </c>
      <c r="M999">
        <v>0.14610331279466149</v>
      </c>
      <c r="N999">
        <v>1.6467004585595239E-76</v>
      </c>
      <c r="O999">
        <v>2.4958957623009821E-76</v>
      </c>
      <c r="P999">
        <v>5.3099600957201697E-2</v>
      </c>
      <c r="Q999">
        <v>0.64691998578073262</v>
      </c>
      <c r="R999">
        <v>8.9022562255716799</v>
      </c>
      <c r="S999">
        <v>0.33912329555252191</v>
      </c>
      <c r="T999">
        <v>0.27142656968380302</v>
      </c>
      <c r="U999">
        <v>4.2555146084885838</v>
      </c>
      <c r="V999">
        <v>0.12414549193133841</v>
      </c>
      <c r="W999">
        <v>11.65523367558481</v>
      </c>
      <c r="X999">
        <v>0.34852657091876088</v>
      </c>
      <c r="Z999" t="s">
        <v>392</v>
      </c>
      <c r="AA999">
        <v>140</v>
      </c>
      <c r="AB999" t="s">
        <v>2404</v>
      </c>
      <c r="AC999" t="str">
        <f>HYPERLINK("plots/20251231112652_3FT6Y119H04_05543_B21P_N_UFLEX98_M5358A8BA201511/dpll_52094/txpa_55242.png","plot")</f>
        <v>plot</v>
      </c>
    </row>
    <row r="1000" spans="1:29" x14ac:dyDescent="0.35">
      <c r="A1000" t="s">
        <v>47</v>
      </c>
      <c r="B1000">
        <v>52094</v>
      </c>
      <c r="C1000" t="s">
        <v>53</v>
      </c>
      <c r="D1000">
        <v>55243</v>
      </c>
      <c r="E1000" t="s">
        <v>376</v>
      </c>
      <c r="F1000">
        <v>7139</v>
      </c>
      <c r="G1000">
        <v>0.22996823039925379</v>
      </c>
      <c r="H1000">
        <v>2.540218564296627E-86</v>
      </c>
      <c r="I1000">
        <v>3.6024917820933983E-86</v>
      </c>
      <c r="J1000">
        <v>0.22118112310718571</v>
      </c>
      <c r="K1000">
        <v>7.8525205184424286E-80</v>
      </c>
      <c r="L1000">
        <v>1.208263399954571E-79</v>
      </c>
      <c r="M1000">
        <v>0.15082664045613589</v>
      </c>
      <c r="N1000">
        <v>2.058037481040572E-81</v>
      </c>
      <c r="O1000">
        <v>3.2760596636972362E-81</v>
      </c>
      <c r="P1000">
        <v>5.2885386992964301E-2</v>
      </c>
      <c r="Q1000">
        <v>0.64042158876891642</v>
      </c>
      <c r="R1000">
        <v>10.155907390043399</v>
      </c>
      <c r="S1000">
        <v>0.33643403444393433</v>
      </c>
      <c r="T1000">
        <v>0.27526713722014168</v>
      </c>
      <c r="U1000">
        <v>4.2555146084885838</v>
      </c>
      <c r="V1000">
        <v>0.12414549193133841</v>
      </c>
      <c r="W1000">
        <v>12.88123081664099</v>
      </c>
      <c r="X1000">
        <v>0.34572363775263631</v>
      </c>
      <c r="Z1000" t="s">
        <v>392</v>
      </c>
      <c r="AA1000">
        <v>140</v>
      </c>
      <c r="AB1000" t="s">
        <v>2405</v>
      </c>
      <c r="AC1000" t="str">
        <f>HYPERLINK("plots/20251231112652_3FT6Y119H04_05543_B21P_N_UFLEX98_M5358A8BA201511/dpll_52094/txpa_55243.png","plot")</f>
        <v>plot</v>
      </c>
    </row>
    <row r="1001" spans="1:29" x14ac:dyDescent="0.35">
      <c r="A1001" t="s">
        <v>47</v>
      </c>
      <c r="B1001">
        <v>52094</v>
      </c>
      <c r="C1001" t="s">
        <v>53</v>
      </c>
      <c r="D1001">
        <v>55244</v>
      </c>
      <c r="E1001" t="s">
        <v>377</v>
      </c>
      <c r="F1001">
        <v>7139</v>
      </c>
      <c r="G1001">
        <v>0.33731063748528689</v>
      </c>
      <c r="H1001">
        <v>1.783843225250667E-189</v>
      </c>
      <c r="I1001">
        <v>7.6644789423905785E-189</v>
      </c>
      <c r="J1001">
        <v>0.33399967258051338</v>
      </c>
      <c r="K1001">
        <v>1.3730425236926121E-185</v>
      </c>
      <c r="L1001">
        <v>5.8011046626012839E-185</v>
      </c>
      <c r="M1001">
        <v>0.22664918907475121</v>
      </c>
      <c r="N1001">
        <v>2.286556649199083E-181</v>
      </c>
      <c r="O1001">
        <v>9.5023296815076629E-181</v>
      </c>
      <c r="P1001">
        <v>0.1137784661607307</v>
      </c>
      <c r="Q1001">
        <v>0.71809701305296625</v>
      </c>
      <c r="R1001">
        <v>9.6547701093579938</v>
      </c>
      <c r="S1001">
        <v>0.24878532928795721</v>
      </c>
      <c r="T1001">
        <v>0.1916806789730949</v>
      </c>
      <c r="U1001">
        <v>4.2555146084885838</v>
      </c>
      <c r="V1001">
        <v>0.12414549193133841</v>
      </c>
      <c r="W1001">
        <v>12.71064243871691</v>
      </c>
      <c r="X1001">
        <v>0.26429201167358302</v>
      </c>
      <c r="Z1001" t="s">
        <v>392</v>
      </c>
      <c r="AA1001">
        <v>140</v>
      </c>
      <c r="AB1001" t="s">
        <v>2406</v>
      </c>
      <c r="AC1001" t="str">
        <f>HYPERLINK("plots/20251231112652_3FT6Y119H04_05543_B21P_N_UFLEX98_M5358A8BA201511/dpll_52094/txpa_55244.png","plot")</f>
        <v>plot</v>
      </c>
    </row>
    <row r="1002" spans="1:29" x14ac:dyDescent="0.35">
      <c r="A1002" t="s">
        <v>47</v>
      </c>
      <c r="B1002">
        <v>52094</v>
      </c>
      <c r="C1002" t="s">
        <v>53</v>
      </c>
      <c r="D1002">
        <v>55245</v>
      </c>
      <c r="E1002" t="s">
        <v>378</v>
      </c>
      <c r="F1002">
        <v>7139</v>
      </c>
      <c r="G1002">
        <v>0.28869421311414278</v>
      </c>
      <c r="H1002">
        <v>4.4356721657064697E-137</v>
      </c>
      <c r="I1002">
        <v>9.6726270452179793E-137</v>
      </c>
      <c r="J1002">
        <v>0.263917937495523</v>
      </c>
      <c r="K1002">
        <v>4.6022625829217818E-114</v>
      </c>
      <c r="L1002">
        <v>9.4467495123131318E-114</v>
      </c>
      <c r="M1002">
        <v>0.17784097729706441</v>
      </c>
      <c r="N1002">
        <v>1.9474656614183399E-112</v>
      </c>
      <c r="O1002">
        <v>4.0300615932208098E-112</v>
      </c>
      <c r="P1002">
        <v>8.3344348685594094E-2</v>
      </c>
      <c r="Q1002">
        <v>0.70863499632579408</v>
      </c>
      <c r="R1002">
        <v>9.818467416006607</v>
      </c>
      <c r="S1002">
        <v>0.29173474957354961</v>
      </c>
      <c r="T1002">
        <v>0.23480171859653659</v>
      </c>
      <c r="U1002">
        <v>4.2555146084885838</v>
      </c>
      <c r="V1002">
        <v>0.12414549193133841</v>
      </c>
      <c r="W1002">
        <v>12.834073994957279</v>
      </c>
      <c r="X1002">
        <v>0.30473018239491051</v>
      </c>
      <c r="Z1002" t="s">
        <v>392</v>
      </c>
      <c r="AA1002">
        <v>140</v>
      </c>
      <c r="AB1002" t="s">
        <v>2407</v>
      </c>
      <c r="AC1002" t="str">
        <f>HYPERLINK("plots/20251231112652_3FT6Y119H04_05543_B21P_N_UFLEX98_M5358A8BA201511/dpll_52094/txpa_55245.png","plot")</f>
        <v>plot</v>
      </c>
    </row>
    <row r="1003" spans="1:29" x14ac:dyDescent="0.35">
      <c r="A1003" t="s">
        <v>47</v>
      </c>
      <c r="B1003">
        <v>52094</v>
      </c>
      <c r="C1003" t="s">
        <v>53</v>
      </c>
      <c r="D1003">
        <v>55246</v>
      </c>
      <c r="E1003" t="s">
        <v>379</v>
      </c>
      <c r="F1003">
        <v>7139</v>
      </c>
      <c r="G1003">
        <v>0.34280202895459833</v>
      </c>
      <c r="H1003">
        <v>5.0048323594493871E-196</v>
      </c>
      <c r="I1003">
        <v>2.451642518107091E-195</v>
      </c>
      <c r="J1003">
        <v>0.33589728707224259</v>
      </c>
      <c r="K1003">
        <v>8.2448259167279341E-188</v>
      </c>
      <c r="L1003">
        <v>3.6035575342940188E-187</v>
      </c>
      <c r="M1003">
        <v>0.23010034547518929</v>
      </c>
      <c r="N1003">
        <v>7.1979910559619402E-187</v>
      </c>
      <c r="O1003">
        <v>3.1733751872806119E-186</v>
      </c>
      <c r="P1003">
        <v>0.1175132310553893</v>
      </c>
      <c r="Q1003">
        <v>0.74693295669869553</v>
      </c>
      <c r="R1003">
        <v>9.6382883663437049</v>
      </c>
      <c r="S1003">
        <v>0.2540931014927682</v>
      </c>
      <c r="T1003">
        <v>0.19350682715047329</v>
      </c>
      <c r="U1003">
        <v>4.2555146084885838</v>
      </c>
      <c r="V1003">
        <v>0.12414549193133841</v>
      </c>
      <c r="W1003">
        <v>12.81687247513657</v>
      </c>
      <c r="X1003">
        <v>0.27050119753337237</v>
      </c>
      <c r="Z1003" t="s">
        <v>392</v>
      </c>
      <c r="AA1003">
        <v>140</v>
      </c>
      <c r="AB1003" t="s">
        <v>2408</v>
      </c>
      <c r="AC1003" t="str">
        <f>HYPERLINK("plots/20251231112652_3FT6Y119H04_05543_B21P_N_UFLEX98_M5358A8BA201511/dpll_52094/txpa_55246.png","plot")</f>
        <v>plot</v>
      </c>
    </row>
    <row r="1004" spans="1:29" x14ac:dyDescent="0.35">
      <c r="A1004" t="s">
        <v>47</v>
      </c>
      <c r="B1004">
        <v>52094</v>
      </c>
      <c r="C1004" t="s">
        <v>53</v>
      </c>
      <c r="D1004">
        <v>55247</v>
      </c>
      <c r="E1004" t="s">
        <v>380</v>
      </c>
      <c r="F1004">
        <v>7139</v>
      </c>
      <c r="G1004">
        <v>0.29117013642792772</v>
      </c>
      <c r="H1004">
        <v>1.6369601222171611E-139</v>
      </c>
      <c r="I1004">
        <v>3.6641888828437107E-139</v>
      </c>
      <c r="J1004">
        <v>0.25792296164813522</v>
      </c>
      <c r="K1004">
        <v>7.5079223555088349E-109</v>
      </c>
      <c r="L1004">
        <v>1.501584471101767E-108</v>
      </c>
      <c r="M1004">
        <v>0.17292116171170169</v>
      </c>
      <c r="N1004">
        <v>2.0776279853049421E-106</v>
      </c>
      <c r="O1004">
        <v>4.1389288351654442E-106</v>
      </c>
      <c r="P1004">
        <v>8.4780048347458004E-2</v>
      </c>
      <c r="Q1004">
        <v>0.73227408258194782</v>
      </c>
      <c r="R1004">
        <v>9.6723155910242546</v>
      </c>
      <c r="S1004">
        <v>0.29866897229443728</v>
      </c>
      <c r="T1004">
        <v>0.23869339128033859</v>
      </c>
      <c r="U1004">
        <v>4.2555146084885838</v>
      </c>
      <c r="V1004">
        <v>0.12414549193133841</v>
      </c>
      <c r="W1004">
        <v>12.78851864686931</v>
      </c>
      <c r="X1004">
        <v>0.31221789200626932</v>
      </c>
      <c r="Z1004" t="s">
        <v>392</v>
      </c>
      <c r="AA1004">
        <v>140</v>
      </c>
      <c r="AB1004" t="s">
        <v>2409</v>
      </c>
      <c r="AC1004" t="str">
        <f>HYPERLINK("plots/20251231112652_3FT6Y119H04_05543_B21P_N_UFLEX98_M5358A8BA201511/dpll_52094/txpa_55247.png","plot")</f>
        <v>plot</v>
      </c>
    </row>
    <row r="1005" spans="1:29" x14ac:dyDescent="0.35">
      <c r="A1005" t="s">
        <v>47</v>
      </c>
      <c r="B1005">
        <v>52094</v>
      </c>
      <c r="C1005" t="s">
        <v>53</v>
      </c>
      <c r="D1005">
        <v>55248</v>
      </c>
      <c r="E1005" t="s">
        <v>381</v>
      </c>
      <c r="F1005">
        <v>7139</v>
      </c>
      <c r="G1005">
        <v>0.35922964493514342</v>
      </c>
      <c r="H1005">
        <v>1.9607922153611368E-216</v>
      </c>
      <c r="I1005">
        <v>1.4619436076295539E-215</v>
      </c>
      <c r="J1005">
        <v>0.35116836724691097</v>
      </c>
      <c r="K1005">
        <v>2.8777754788479407E-206</v>
      </c>
      <c r="L1005">
        <v>1.5358233345009539E-205</v>
      </c>
      <c r="M1005">
        <v>0.24251202454679691</v>
      </c>
      <c r="N1005">
        <v>2.4268523592640972E-207</v>
      </c>
      <c r="O1005">
        <v>1.3671268290521081E-206</v>
      </c>
      <c r="P1005">
        <v>0.12904593780022919</v>
      </c>
      <c r="Q1005">
        <v>0.72873272876511463</v>
      </c>
      <c r="R1005">
        <v>9.6573974231622035</v>
      </c>
      <c r="S1005">
        <v>0.23501428716154471</v>
      </c>
      <c r="T1005">
        <v>0.17883646362954589</v>
      </c>
      <c r="U1005">
        <v>4.2555146084885838</v>
      </c>
      <c r="V1005">
        <v>0.12414549193133841</v>
      </c>
      <c r="W1005">
        <v>12.7585301961059</v>
      </c>
      <c r="X1005">
        <v>0.25184136213297581</v>
      </c>
      <c r="Z1005" t="s">
        <v>392</v>
      </c>
      <c r="AA1005">
        <v>140</v>
      </c>
      <c r="AB1005" t="s">
        <v>2410</v>
      </c>
      <c r="AC1005" t="str">
        <f>HYPERLINK("plots/20251231112652_3FT6Y119H04_05543_B21P_N_UFLEX98_M5358A8BA201511/dpll_52094/txpa_55248.png","plot")</f>
        <v>plot</v>
      </c>
    </row>
    <row r="1006" spans="1:29" x14ac:dyDescent="0.35">
      <c r="A1006" t="s">
        <v>47</v>
      </c>
      <c r="B1006">
        <v>52094</v>
      </c>
      <c r="C1006" t="s">
        <v>53</v>
      </c>
      <c r="D1006">
        <v>55249</v>
      </c>
      <c r="E1006" t="s">
        <v>382</v>
      </c>
      <c r="F1006">
        <v>7139</v>
      </c>
      <c r="G1006">
        <v>0.30964718222154308</v>
      </c>
      <c r="H1006">
        <v>1.8798381333601661E-158</v>
      </c>
      <c r="I1006">
        <v>5.1378864345746863E-158</v>
      </c>
      <c r="J1006">
        <v>0.27017993933846163</v>
      </c>
      <c r="K1006">
        <v>1.1788479409039821E-119</v>
      </c>
      <c r="L1006">
        <v>2.5379019364684459E-119</v>
      </c>
      <c r="M1006">
        <v>0.1803907126747413</v>
      </c>
      <c r="N1006">
        <v>1.2567556615958889E-115</v>
      </c>
      <c r="O1006">
        <v>2.6604389161967252E-115</v>
      </c>
      <c r="P1006">
        <v>9.5881377457741543E-2</v>
      </c>
      <c r="Q1006">
        <v>0.67564626020700591</v>
      </c>
      <c r="R1006">
        <v>9.9110325052376957</v>
      </c>
      <c r="S1006">
        <v>0.25755233217936208</v>
      </c>
      <c r="T1006">
        <v>0.20502166676295719</v>
      </c>
      <c r="U1006">
        <v>4.2555146084885838</v>
      </c>
      <c r="V1006">
        <v>0.12414549193133841</v>
      </c>
      <c r="W1006">
        <v>12.786255035719289</v>
      </c>
      <c r="X1006">
        <v>0.27088390323201877</v>
      </c>
      <c r="Z1006" t="s">
        <v>392</v>
      </c>
      <c r="AA1006">
        <v>140</v>
      </c>
      <c r="AB1006" t="s">
        <v>2411</v>
      </c>
      <c r="AC1006" t="str">
        <f>HYPERLINK("plots/20251231112652_3FT6Y119H04_05543_B21P_N_UFLEX98_M5358A8BA201511/dpll_52094/txpa_55249.png","plot")</f>
        <v>plot</v>
      </c>
    </row>
    <row r="1007" spans="1:29" x14ac:dyDescent="0.35">
      <c r="A1007" t="s">
        <v>47</v>
      </c>
      <c r="B1007">
        <v>52094</v>
      </c>
      <c r="C1007" t="s">
        <v>53</v>
      </c>
      <c r="D1007">
        <v>55250</v>
      </c>
      <c r="E1007" t="s">
        <v>383</v>
      </c>
      <c r="F1007">
        <v>7139</v>
      </c>
      <c r="G1007">
        <v>0.25177724032673782</v>
      </c>
      <c r="H1007">
        <v>1.1963449728367149E-103</v>
      </c>
      <c r="I1007">
        <v>1.975722805303631E-103</v>
      </c>
      <c r="J1007">
        <v>0.22436898829335161</v>
      </c>
      <c r="K1007">
        <v>3.7379842675470389E-82</v>
      </c>
      <c r="L1007">
        <v>5.940934243405482E-82</v>
      </c>
      <c r="M1007">
        <v>0.15158488759358901</v>
      </c>
      <c r="N1007">
        <v>3.2507800432205222E-82</v>
      </c>
      <c r="O1007">
        <v>5.2488709615057468E-82</v>
      </c>
      <c r="P1007">
        <v>6.3391778746547889E-2</v>
      </c>
      <c r="Q1007">
        <v>0.67158216202638166</v>
      </c>
      <c r="R1007">
        <v>10.12732111925949</v>
      </c>
      <c r="S1007">
        <v>0.32045142014457628</v>
      </c>
      <c r="T1007">
        <v>0.26259380526491799</v>
      </c>
      <c r="U1007">
        <v>4.2555146084885838</v>
      </c>
      <c r="V1007">
        <v>0.12414549193133841</v>
      </c>
      <c r="W1007">
        <v>12.9852488205631</v>
      </c>
      <c r="X1007">
        <v>0.33114151926075802</v>
      </c>
      <c r="Z1007" t="s">
        <v>392</v>
      </c>
      <c r="AA1007">
        <v>140</v>
      </c>
      <c r="AB1007" t="s">
        <v>2412</v>
      </c>
      <c r="AC1007" t="str">
        <f>HYPERLINK("plots/20251231112652_3FT6Y119H04_05543_B21P_N_UFLEX98_M5358A8BA201511/dpll_52094/txpa_55250.png","plot")</f>
        <v>plot</v>
      </c>
    </row>
    <row r="1008" spans="1:29" x14ac:dyDescent="0.35">
      <c r="A1008" t="s">
        <v>47</v>
      </c>
      <c r="B1008">
        <v>52094</v>
      </c>
      <c r="C1008" t="s">
        <v>53</v>
      </c>
      <c r="D1008">
        <v>55251</v>
      </c>
      <c r="E1008" t="s">
        <v>384</v>
      </c>
      <c r="F1008">
        <v>7139</v>
      </c>
      <c r="G1008">
        <v>0.2352197021091624</v>
      </c>
      <c r="H1008">
        <v>2.4692060400436882E-90</v>
      </c>
      <c r="I1008">
        <v>3.6766151609461081E-90</v>
      </c>
      <c r="J1008">
        <v>0.22808655168986569</v>
      </c>
      <c r="K1008">
        <v>6.5787036989525162E-85</v>
      </c>
      <c r="L1008">
        <v>1.070755305094358E-84</v>
      </c>
      <c r="M1008">
        <v>0.15569606561061891</v>
      </c>
      <c r="N1008">
        <v>1.248199449980298E-86</v>
      </c>
      <c r="O1008">
        <v>2.0989622591708489E-86</v>
      </c>
      <c r="P1008">
        <v>5.5328308260323103E-2</v>
      </c>
      <c r="Q1008">
        <v>0.66510976585623982</v>
      </c>
      <c r="R1008">
        <v>10.45053984660294</v>
      </c>
      <c r="S1008">
        <v>0.34116197059231063</v>
      </c>
      <c r="T1008">
        <v>0.27729341108537442</v>
      </c>
      <c r="U1008">
        <v>4.2555146084885838</v>
      </c>
      <c r="V1008">
        <v>0.12414549193133841</v>
      </c>
      <c r="W1008">
        <v>13.28092417145259</v>
      </c>
      <c r="X1008">
        <v>0.35103513153945048</v>
      </c>
      <c r="Z1008" t="s">
        <v>392</v>
      </c>
      <c r="AA1008">
        <v>140</v>
      </c>
      <c r="AB1008" t="s">
        <v>2413</v>
      </c>
      <c r="AC1008" t="str">
        <f>HYPERLINK("plots/20251231112652_3FT6Y119H04_05543_B21P_N_UFLEX98_M5358A8BA201511/dpll_52094/txpa_55251.png","plot")</f>
        <v>plot</v>
      </c>
    </row>
    <row r="1009" spans="1:29" x14ac:dyDescent="0.35">
      <c r="A1009" t="s">
        <v>47</v>
      </c>
      <c r="B1009">
        <v>52094</v>
      </c>
      <c r="C1009" t="s">
        <v>53</v>
      </c>
      <c r="D1009">
        <v>55252</v>
      </c>
      <c r="E1009" t="s">
        <v>385</v>
      </c>
      <c r="F1009">
        <v>7139</v>
      </c>
      <c r="G1009">
        <v>0.3386119063924834</v>
      </c>
      <c r="H1009">
        <v>5.1380645108429452E-191</v>
      </c>
      <c r="I1009">
        <v>2.2554101359284611E-190</v>
      </c>
      <c r="J1009">
        <v>0.34814223374714309</v>
      </c>
      <c r="K1009">
        <v>1.5823065280313421E-202</v>
      </c>
      <c r="L1009">
        <v>7.903738026718132E-202</v>
      </c>
      <c r="M1009">
        <v>0.2376620031348986</v>
      </c>
      <c r="N1009">
        <v>3.2511614958067119E-199</v>
      </c>
      <c r="O1009">
        <v>1.616018508209807E-198</v>
      </c>
      <c r="P1009">
        <v>0.11465802315075189</v>
      </c>
      <c r="Q1009">
        <v>0.72072418108280933</v>
      </c>
      <c r="R1009">
        <v>10.125255058674711</v>
      </c>
      <c r="S1009">
        <v>0.24861248298895711</v>
      </c>
      <c r="T1009">
        <v>0.18748853463646201</v>
      </c>
      <c r="U1009">
        <v>4.2555146084885838</v>
      </c>
      <c r="V1009">
        <v>0.12414549193133841</v>
      </c>
      <c r="W1009">
        <v>13.19230733996358</v>
      </c>
      <c r="X1009">
        <v>0.26423955070152422</v>
      </c>
      <c r="Z1009" t="s">
        <v>392</v>
      </c>
      <c r="AA1009">
        <v>140</v>
      </c>
      <c r="AB1009" t="s">
        <v>2414</v>
      </c>
      <c r="AC1009" t="str">
        <f>HYPERLINK("plots/20251231112652_3FT6Y119H04_05543_B21P_N_UFLEX98_M5358A8BA201511/dpll_52094/txpa_55252.png","plot")</f>
        <v>plot</v>
      </c>
    </row>
    <row r="1010" spans="1:29" x14ac:dyDescent="0.35">
      <c r="A1010" t="s">
        <v>47</v>
      </c>
      <c r="B1010">
        <v>52094</v>
      </c>
      <c r="C1010" t="s">
        <v>53</v>
      </c>
      <c r="D1010">
        <v>55253</v>
      </c>
      <c r="E1010" t="s">
        <v>386</v>
      </c>
      <c r="F1010">
        <v>7139</v>
      </c>
      <c r="G1010">
        <v>0.2878540202958827</v>
      </c>
      <c r="H1010">
        <v>2.930854722460944E-136</v>
      </c>
      <c r="I1010">
        <v>6.3501852319987123E-136</v>
      </c>
      <c r="J1010">
        <v>0.27529715028313828</v>
      </c>
      <c r="K1010">
        <v>2.453119572972955E-124</v>
      </c>
      <c r="L1010">
        <v>5.5523733191843236E-124</v>
      </c>
      <c r="M1010">
        <v>0.18555685225820609</v>
      </c>
      <c r="N1010">
        <v>3.1338459993825172E-122</v>
      </c>
      <c r="O1010">
        <v>7.0931246503881088E-122</v>
      </c>
      <c r="P1010">
        <v>8.285993700050244E-2</v>
      </c>
      <c r="Q1010">
        <v>0.71206743618887369</v>
      </c>
      <c r="R1010">
        <v>10.24464510184778</v>
      </c>
      <c r="S1010">
        <v>0.29408115337939272</v>
      </c>
      <c r="T1010">
        <v>0.23027846990416531</v>
      </c>
      <c r="U1010">
        <v>4.2555146084885838</v>
      </c>
      <c r="V1010">
        <v>0.12414549193133841</v>
      </c>
      <c r="W1010">
        <v>13.27485847877854</v>
      </c>
      <c r="X1010">
        <v>0.3070999740183899</v>
      </c>
      <c r="Z1010" t="s">
        <v>392</v>
      </c>
      <c r="AA1010">
        <v>140</v>
      </c>
      <c r="AB1010" t="s">
        <v>2415</v>
      </c>
      <c r="AC1010" t="str">
        <f>HYPERLINK("plots/20251231112652_3FT6Y119H04_05543_B21P_N_UFLEX98_M5358A8BA201511/dpll_52094/txpa_55253.png","plot")</f>
        <v>plot</v>
      </c>
    </row>
    <row r="1011" spans="1:29" x14ac:dyDescent="0.35">
      <c r="A1011" t="s">
        <v>47</v>
      </c>
      <c r="B1011">
        <v>52094</v>
      </c>
      <c r="C1011" t="s">
        <v>53</v>
      </c>
      <c r="D1011">
        <v>55254</v>
      </c>
      <c r="E1011" t="s">
        <v>387</v>
      </c>
      <c r="F1011">
        <v>7139</v>
      </c>
      <c r="G1011">
        <v>0.35037120416477768</v>
      </c>
      <c r="H1011">
        <v>2.8076503391140119E-205</v>
      </c>
      <c r="I1011">
        <v>1.6084505332551459E-204</v>
      </c>
      <c r="J1011">
        <v>0.35183114819504813</v>
      </c>
      <c r="K1011">
        <v>4.3087400172377777E-207</v>
      </c>
      <c r="L1011">
        <v>2.3239693497229291E-206</v>
      </c>
      <c r="M1011">
        <v>0.2426502324633584</v>
      </c>
      <c r="N1011">
        <v>1.415127728635194E-207</v>
      </c>
      <c r="O1011">
        <v>8.0164218817658478E-207</v>
      </c>
      <c r="P1011">
        <v>0.1227599807078764</v>
      </c>
      <c r="Q1011">
        <v>0.75314940463612945</v>
      </c>
      <c r="R1011">
        <v>10.061427666414991</v>
      </c>
      <c r="S1011">
        <v>0.24992660157016261</v>
      </c>
      <c r="T1011">
        <v>0.18709611736705109</v>
      </c>
      <c r="U1011">
        <v>4.2555146084885838</v>
      </c>
      <c r="V1011">
        <v>0.12414549193133841</v>
      </c>
      <c r="W1011">
        <v>13.26646596021852</v>
      </c>
      <c r="X1011">
        <v>0.26686012499010708</v>
      </c>
      <c r="Z1011" t="s">
        <v>392</v>
      </c>
      <c r="AA1011">
        <v>140</v>
      </c>
      <c r="AB1011" t="s">
        <v>2416</v>
      </c>
      <c r="AC1011" t="str">
        <f>HYPERLINK("plots/20251231112652_3FT6Y119H04_05543_B21P_N_UFLEX98_M5358A8BA201511/dpll_52094/txpa_55254.png","plot")</f>
        <v>plot</v>
      </c>
    </row>
    <row r="1012" spans="1:29" x14ac:dyDescent="0.35">
      <c r="A1012" t="s">
        <v>47</v>
      </c>
      <c r="B1012">
        <v>52094</v>
      </c>
      <c r="C1012" t="s">
        <v>53</v>
      </c>
      <c r="D1012">
        <v>55255</v>
      </c>
      <c r="E1012" t="s">
        <v>388</v>
      </c>
      <c r="F1012">
        <v>7139</v>
      </c>
      <c r="G1012">
        <v>0.30324649509338358</v>
      </c>
      <c r="H1012">
        <v>9.8415099237976631E-152</v>
      </c>
      <c r="I1012">
        <v>2.552248353639599E-151</v>
      </c>
      <c r="J1012">
        <v>0.27399962616090551</v>
      </c>
      <c r="K1012">
        <v>3.8587693078546492E-123</v>
      </c>
      <c r="L1012">
        <v>8.6950935070324768E-123</v>
      </c>
      <c r="M1012">
        <v>0.18413738021809831</v>
      </c>
      <c r="N1012">
        <v>2.1321903290670281E-120</v>
      </c>
      <c r="O1012">
        <v>4.7727174253288441E-120</v>
      </c>
      <c r="P1012">
        <v>9.1958436786421544E-2</v>
      </c>
      <c r="Q1012">
        <v>0.73502443039720577</v>
      </c>
      <c r="R1012">
        <v>10.11840186594492</v>
      </c>
      <c r="S1012">
        <v>0.28672092071214123</v>
      </c>
      <c r="T1012">
        <v>0.22743739500859139</v>
      </c>
      <c r="U1012">
        <v>4.2555146084885838</v>
      </c>
      <c r="V1012">
        <v>0.12414549193133841</v>
      </c>
      <c r="W1012">
        <v>13.246309067096229</v>
      </c>
      <c r="X1012">
        <v>0.30091021980357208</v>
      </c>
      <c r="Z1012" t="s">
        <v>392</v>
      </c>
      <c r="AA1012">
        <v>140</v>
      </c>
      <c r="AB1012" t="s">
        <v>2417</v>
      </c>
      <c r="AC1012" t="str">
        <f>HYPERLINK("plots/20251231112652_3FT6Y119H04_05543_B21P_N_UFLEX98_M5358A8BA201511/dpll_52094/txpa_55255.png","plot")</f>
        <v>plot</v>
      </c>
    </row>
    <row r="1013" spans="1:29" x14ac:dyDescent="0.35">
      <c r="A1013" t="s">
        <v>47</v>
      </c>
      <c r="B1013">
        <v>52094</v>
      </c>
      <c r="C1013" t="s">
        <v>53</v>
      </c>
      <c r="D1013">
        <v>55256</v>
      </c>
      <c r="E1013" t="s">
        <v>389</v>
      </c>
      <c r="F1013">
        <v>7139</v>
      </c>
      <c r="G1013">
        <v>0.36265747953460931</v>
      </c>
      <c r="H1013">
        <v>7.5664928393173848E-221</v>
      </c>
      <c r="I1013">
        <v>6.6141583957481267E-220</v>
      </c>
      <c r="J1013">
        <v>0.3635261549739407</v>
      </c>
      <c r="K1013">
        <v>5.6463809089958433E-222</v>
      </c>
      <c r="L1013">
        <v>4.272709135613272E-221</v>
      </c>
      <c r="M1013">
        <v>0.25217059671980152</v>
      </c>
      <c r="N1013">
        <v>5.1474009160736872E-224</v>
      </c>
      <c r="O1013">
        <v>4.4610807939305293E-223</v>
      </c>
      <c r="P1013">
        <v>0.13152044746239561</v>
      </c>
      <c r="Q1013">
        <v>0.73883087579933249</v>
      </c>
      <c r="R1013">
        <v>10.0488528347803</v>
      </c>
      <c r="S1013">
        <v>0.23568325686109931</v>
      </c>
      <c r="T1013">
        <v>0.17678277828459471</v>
      </c>
      <c r="U1013">
        <v>4.2555146084885838</v>
      </c>
      <c r="V1013">
        <v>0.12414549193133841</v>
      </c>
      <c r="W1013">
        <v>13.19295841994677</v>
      </c>
      <c r="X1013">
        <v>0.25291777422562828</v>
      </c>
      <c r="Z1013" t="s">
        <v>392</v>
      </c>
      <c r="AA1013">
        <v>140</v>
      </c>
      <c r="AB1013" t="s">
        <v>2418</v>
      </c>
      <c r="AC1013" t="str">
        <f>HYPERLINK("plots/20251231112652_3FT6Y119H04_05543_B21P_N_UFLEX98_M5358A8BA201511/dpll_52094/txpa_55256.png","plot")</f>
        <v>plot</v>
      </c>
    </row>
    <row r="1014" spans="1:29" x14ac:dyDescent="0.35">
      <c r="A1014" t="s">
        <v>47</v>
      </c>
      <c r="B1014">
        <v>52094</v>
      </c>
      <c r="C1014" t="s">
        <v>53</v>
      </c>
      <c r="D1014">
        <v>55257</v>
      </c>
      <c r="E1014" t="s">
        <v>390</v>
      </c>
      <c r="F1014">
        <v>7139</v>
      </c>
      <c r="G1014">
        <v>0.31324383629620972</v>
      </c>
      <c r="H1014">
        <v>2.6554646449124049E-162</v>
      </c>
      <c r="I1014">
        <v>7.6278786117313846E-162</v>
      </c>
      <c r="J1014">
        <v>0.28548286885045432</v>
      </c>
      <c r="K1014">
        <v>5.8357737941746635E-134</v>
      </c>
      <c r="L1014">
        <v>1.4503614282581151E-133</v>
      </c>
      <c r="M1014">
        <v>0.19130113048070599</v>
      </c>
      <c r="N1014">
        <v>8.633556057883675E-130</v>
      </c>
      <c r="O1014">
        <v>2.145692608503443E-129</v>
      </c>
      <c r="P1014">
        <v>9.8121700977566603E-2</v>
      </c>
      <c r="Q1014">
        <v>0.68428532400499387</v>
      </c>
      <c r="R1014">
        <v>10.3336748775003</v>
      </c>
      <c r="S1014">
        <v>0.25753081050651139</v>
      </c>
      <c r="T1014">
        <v>0.20138436755458869</v>
      </c>
      <c r="U1014">
        <v>4.2555146084885838</v>
      </c>
      <c r="V1014">
        <v>0.12414549193133841</v>
      </c>
      <c r="W1014">
        <v>13.24566107017789</v>
      </c>
      <c r="X1014">
        <v>0.27119747725750598</v>
      </c>
      <c r="Z1014" t="s">
        <v>392</v>
      </c>
      <c r="AA1014">
        <v>140</v>
      </c>
      <c r="AB1014" t="s">
        <v>2419</v>
      </c>
      <c r="AC1014" t="str">
        <f>HYPERLINK("plots/20251231112652_3FT6Y119H04_05543_B21P_N_UFLEX98_M5358A8BA201511/dpll_52094/txpa_55257.png","plot")</f>
        <v>plot</v>
      </c>
    </row>
    <row r="1015" spans="1:29" x14ac:dyDescent="0.35">
      <c r="A1015" t="s">
        <v>47</v>
      </c>
      <c r="B1015">
        <v>52094</v>
      </c>
      <c r="C1015" t="s">
        <v>53</v>
      </c>
      <c r="D1015">
        <v>55258</v>
      </c>
      <c r="E1015" t="s">
        <v>391</v>
      </c>
      <c r="F1015">
        <v>7139</v>
      </c>
      <c r="G1015">
        <v>0.25710218663715229</v>
      </c>
      <c r="H1015">
        <v>3.7892157491647418E-108</v>
      </c>
      <c r="I1015">
        <v>6.4467529692165233E-108</v>
      </c>
      <c r="J1015">
        <v>0.228086866388999</v>
      </c>
      <c r="K1015">
        <v>6.5751405178290349E-85</v>
      </c>
      <c r="L1015">
        <v>1.070755305094358E-84</v>
      </c>
      <c r="M1015">
        <v>0.15434580074402701</v>
      </c>
      <c r="N1015">
        <v>3.626559909981969E-85</v>
      </c>
      <c r="O1015">
        <v>5.9696943972755135E-85</v>
      </c>
      <c r="P1015">
        <v>6.6101534373605123E-2</v>
      </c>
      <c r="Q1015">
        <v>0.69421280288364273</v>
      </c>
      <c r="R1015">
        <v>10.443604145238281</v>
      </c>
      <c r="S1015">
        <v>0.32391958995521553</v>
      </c>
      <c r="T1015">
        <v>0.266857004821621</v>
      </c>
      <c r="U1015">
        <v>4.2555146084885838</v>
      </c>
      <c r="V1015">
        <v>0.12414549193133841</v>
      </c>
      <c r="W1015">
        <v>13.39783686930943</v>
      </c>
      <c r="X1015">
        <v>0.33521064541023687</v>
      </c>
      <c r="Z1015" t="s">
        <v>392</v>
      </c>
      <c r="AA1015">
        <v>140</v>
      </c>
      <c r="AB1015" t="s">
        <v>2420</v>
      </c>
      <c r="AC1015" t="str">
        <f>HYPERLINK("plots/20251231112652_3FT6Y119H04_05543_B21P_N_UFLEX98_M5358A8BA201511/dpll_52094/txpa_55258.png","plot")</f>
        <v>plot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1015"/>
  <sheetViews>
    <sheetView workbookViewId="0"/>
  </sheetViews>
  <sheetFormatPr defaultRowHeight="14.5" x14ac:dyDescent="0.35"/>
  <sheetData>
    <row r="1" spans="1:29" x14ac:dyDescent="0.3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</row>
    <row r="2" spans="1:29" x14ac:dyDescent="0.35">
      <c r="A2" t="s">
        <v>48</v>
      </c>
      <c r="B2">
        <v>52046</v>
      </c>
      <c r="C2" t="s">
        <v>51</v>
      </c>
      <c r="D2">
        <v>53179</v>
      </c>
      <c r="E2" t="s">
        <v>54</v>
      </c>
      <c r="F2">
        <v>12243</v>
      </c>
      <c r="G2">
        <v>0.29384717898338769</v>
      </c>
      <c r="H2">
        <v>2.2584441938224989E-242</v>
      </c>
      <c r="I2">
        <v>2.385481679725014E-242</v>
      </c>
      <c r="J2">
        <v>0.25496023692674752</v>
      </c>
      <c r="K2">
        <v>6.1670941255409022E-181</v>
      </c>
      <c r="L2">
        <v>6.5139931701025776E-181</v>
      </c>
      <c r="M2">
        <v>0.17322465204211909</v>
      </c>
      <c r="N2">
        <v>4.0293024868856117E-179</v>
      </c>
      <c r="O2">
        <v>4.2559507517729283E-179</v>
      </c>
      <c r="P2">
        <v>8.634616459649512E-2</v>
      </c>
      <c r="Q2">
        <v>2.1146729715276522</v>
      </c>
      <c r="R2">
        <v>-33.399272748733402</v>
      </c>
      <c r="S2">
        <v>1.378037040983741</v>
      </c>
      <c r="T2">
        <v>1.1432236583482911</v>
      </c>
      <c r="U2">
        <v>4.492205754635302</v>
      </c>
      <c r="V2">
        <v>0.20033927554587111</v>
      </c>
      <c r="W2">
        <v>-23.899726656865148</v>
      </c>
      <c r="X2">
        <v>1.44174278820024</v>
      </c>
      <c r="Z2" t="s">
        <v>392</v>
      </c>
      <c r="AA2">
        <v>9400</v>
      </c>
      <c r="AB2" t="s">
        <v>2421</v>
      </c>
      <c r="AC2" t="str">
        <f>HYPERLINK("plots/3FT6Y578R01_012_S11P_20251111092011_M5358ACSH101811_RBGEUFRF26/dpll_52046/txpa_53179.png","plot")</f>
        <v>plot</v>
      </c>
    </row>
    <row r="3" spans="1:29" x14ac:dyDescent="0.35">
      <c r="A3" t="s">
        <v>48</v>
      </c>
      <c r="B3">
        <v>52046</v>
      </c>
      <c r="C3" t="s">
        <v>51</v>
      </c>
      <c r="D3">
        <v>53180</v>
      </c>
      <c r="E3" t="s">
        <v>55</v>
      </c>
      <c r="F3">
        <v>12243</v>
      </c>
      <c r="G3">
        <v>0.30814564261830241</v>
      </c>
      <c r="H3">
        <v>1.4874243952341229E-267</v>
      </c>
      <c r="I3">
        <v>1.5960299859972489E-267</v>
      </c>
      <c r="J3">
        <v>0.27210490714278779</v>
      </c>
      <c r="K3">
        <v>8.8605966272571611E-207</v>
      </c>
      <c r="L3">
        <v>9.5683120128208321E-207</v>
      </c>
      <c r="M3">
        <v>0.1842484771286188</v>
      </c>
      <c r="N3">
        <v>6.9512934986076834E-203</v>
      </c>
      <c r="O3">
        <v>7.5065086342792234E-203</v>
      </c>
      <c r="P3">
        <v>9.4953737064646548E-2</v>
      </c>
      <c r="Q3">
        <v>2.202237472953422</v>
      </c>
      <c r="R3">
        <v>-33.70837956336058</v>
      </c>
      <c r="S3">
        <v>1.362046294048384</v>
      </c>
      <c r="T3">
        <v>1.1243603108586191</v>
      </c>
      <c r="U3">
        <v>4.492205754635302</v>
      </c>
      <c r="V3">
        <v>0.20033927554587111</v>
      </c>
      <c r="W3">
        <v>-23.815475714285711</v>
      </c>
      <c r="X3">
        <v>1.431773158181447</v>
      </c>
      <c r="Z3" t="s">
        <v>392</v>
      </c>
      <c r="AA3">
        <v>9400</v>
      </c>
      <c r="AB3" t="s">
        <v>2422</v>
      </c>
      <c r="AC3" t="str">
        <f>HYPERLINK("plots/3FT6Y578R01_012_S11P_20251111092011_M5358ACSH101811_RBGEUFRF26/dpll_52046/txpa_53180.png","plot")</f>
        <v>plot</v>
      </c>
    </row>
    <row r="4" spans="1:29" x14ac:dyDescent="0.35">
      <c r="A4" t="s">
        <v>48</v>
      </c>
      <c r="B4">
        <v>52046</v>
      </c>
      <c r="C4" t="s">
        <v>51</v>
      </c>
      <c r="D4">
        <v>53181</v>
      </c>
      <c r="E4" t="s">
        <v>56</v>
      </c>
      <c r="F4">
        <v>12243</v>
      </c>
      <c r="G4">
        <v>0.30807875364216741</v>
      </c>
      <c r="H4">
        <v>1.9660038721226629E-267</v>
      </c>
      <c r="I4">
        <v>2.1073233893576959E-267</v>
      </c>
      <c r="J4">
        <v>0.26666896829332032</v>
      </c>
      <c r="K4">
        <v>2.2403581950894151E-198</v>
      </c>
      <c r="L4">
        <v>2.3988629459563529E-198</v>
      </c>
      <c r="M4">
        <v>0.18038897766810769</v>
      </c>
      <c r="N4">
        <v>5.193718127928247E-195</v>
      </c>
      <c r="O4">
        <v>5.5553060988599597E-195</v>
      </c>
      <c r="P4">
        <v>9.4912518445711275E-2</v>
      </c>
      <c r="Q4">
        <v>2.1830039037975539</v>
      </c>
      <c r="R4">
        <v>-33.569535458975153</v>
      </c>
      <c r="S4">
        <v>1.350474551080842</v>
      </c>
      <c r="T4">
        <v>1.109267583017056</v>
      </c>
      <c r="U4">
        <v>4.492205754635302</v>
      </c>
      <c r="V4">
        <v>0.20033927554587111</v>
      </c>
      <c r="W4">
        <v>-23.763032759944451</v>
      </c>
      <c r="X4">
        <v>1.4195767005360631</v>
      </c>
      <c r="Z4" t="s">
        <v>392</v>
      </c>
      <c r="AA4">
        <v>9400</v>
      </c>
      <c r="AB4" t="s">
        <v>2423</v>
      </c>
      <c r="AC4" t="str">
        <f>HYPERLINK("plots/3FT6Y578R01_012_S11P_20251111092011_M5358ACSH101811_RBGEUFRF26/dpll_52046/txpa_53181.png","plot")</f>
        <v>plot</v>
      </c>
    </row>
    <row r="5" spans="1:29" x14ac:dyDescent="0.35">
      <c r="A5" t="s">
        <v>48</v>
      </c>
      <c r="B5">
        <v>52046</v>
      </c>
      <c r="C5" t="s">
        <v>51</v>
      </c>
      <c r="D5">
        <v>53182</v>
      </c>
      <c r="E5" t="s">
        <v>57</v>
      </c>
      <c r="F5">
        <v>12243</v>
      </c>
      <c r="G5">
        <v>0.3069278892366949</v>
      </c>
      <c r="H5">
        <v>2.3608053436773201E-265</v>
      </c>
      <c r="I5">
        <v>2.5251652093763741E-265</v>
      </c>
      <c r="J5">
        <v>0.26531254201074561</v>
      </c>
      <c r="K5">
        <v>2.6099588756812968E-196</v>
      </c>
      <c r="L5">
        <v>2.782858359559238E-196</v>
      </c>
      <c r="M5">
        <v>0.1797243227642816</v>
      </c>
      <c r="N5">
        <v>1.004718880889898E-193</v>
      </c>
      <c r="O5">
        <v>1.072405205497217E-193</v>
      </c>
      <c r="P5">
        <v>9.4204729191292844E-2</v>
      </c>
      <c r="Q5">
        <v>2.1843650618639292</v>
      </c>
      <c r="R5">
        <v>-33.521403146918871</v>
      </c>
      <c r="S5">
        <v>1.3569137866843359</v>
      </c>
      <c r="T5">
        <v>1.113383873973872</v>
      </c>
      <c r="U5">
        <v>4.492205754635302</v>
      </c>
      <c r="V5">
        <v>0.20033927554587111</v>
      </c>
      <c r="W5">
        <v>-23.708785845789428</v>
      </c>
      <c r="X5">
        <v>1.425788041320855</v>
      </c>
      <c r="Z5" t="s">
        <v>392</v>
      </c>
      <c r="AA5">
        <v>9400</v>
      </c>
      <c r="AB5" t="s">
        <v>2424</v>
      </c>
      <c r="AC5" t="str">
        <f>HYPERLINK("plots/3FT6Y578R01_012_S11P_20251111092011_M5358ACSH101811_RBGEUFRF26/dpll_52046/txpa_53182.png","plot")</f>
        <v>plot</v>
      </c>
    </row>
    <row r="6" spans="1:29" x14ac:dyDescent="0.35">
      <c r="A6" t="s">
        <v>48</v>
      </c>
      <c r="B6">
        <v>52046</v>
      </c>
      <c r="C6" t="s">
        <v>51</v>
      </c>
      <c r="D6">
        <v>53183</v>
      </c>
      <c r="E6" t="s">
        <v>58</v>
      </c>
      <c r="F6">
        <v>12242</v>
      </c>
      <c r="G6">
        <v>0.30505353792832179</v>
      </c>
      <c r="H6">
        <v>5.7668730166820437E-262</v>
      </c>
      <c r="I6">
        <v>6.1489056140016751E-262</v>
      </c>
      <c r="J6">
        <v>0.26233427025971912</v>
      </c>
      <c r="K6">
        <v>8.4462990309132781E-192</v>
      </c>
      <c r="L6">
        <v>8.9493701330679874E-192</v>
      </c>
      <c r="M6">
        <v>0.17740366086681611</v>
      </c>
      <c r="N6">
        <v>1.3735467415153001E-188</v>
      </c>
      <c r="O6">
        <v>1.4553567355240481E-188</v>
      </c>
      <c r="P6">
        <v>9.305766100258607E-2</v>
      </c>
      <c r="Q6">
        <v>2.1867382772425681</v>
      </c>
      <c r="R6">
        <v>-33.553819446220032</v>
      </c>
      <c r="S6">
        <v>1.3676121484940349</v>
      </c>
      <c r="T6">
        <v>1.123572925932627</v>
      </c>
      <c r="U6">
        <v>4.4922201507106676</v>
      </c>
      <c r="V6">
        <v>0.20034112557569189</v>
      </c>
      <c r="W6">
        <v>-23.73050969286064</v>
      </c>
      <c r="X6">
        <v>1.4361203963651901</v>
      </c>
      <c r="Z6" t="s">
        <v>392</v>
      </c>
      <c r="AA6">
        <v>9400</v>
      </c>
      <c r="AB6" t="s">
        <v>2425</v>
      </c>
      <c r="AC6" t="str">
        <f>HYPERLINK("plots/3FT6Y578R01_012_S11P_20251111092011_M5358ACSH101811_RBGEUFRF26/dpll_52046/txpa_53183.png","plot")</f>
        <v>plot</v>
      </c>
    </row>
    <row r="7" spans="1:29" x14ac:dyDescent="0.35">
      <c r="A7" t="s">
        <v>48</v>
      </c>
      <c r="B7">
        <v>52046</v>
      </c>
      <c r="C7" t="s">
        <v>51</v>
      </c>
      <c r="D7">
        <v>53184</v>
      </c>
      <c r="E7" t="s">
        <v>59</v>
      </c>
      <c r="F7">
        <v>12243</v>
      </c>
      <c r="G7">
        <v>0.30234638936741159</v>
      </c>
      <c r="H7">
        <v>3.6178567272514457E-257</v>
      </c>
      <c r="I7">
        <v>3.8373501270219306E-257</v>
      </c>
      <c r="J7">
        <v>0.26393487283730732</v>
      </c>
      <c r="K7">
        <v>3.1836149997578158E-194</v>
      </c>
      <c r="L7">
        <v>3.3767631901196917E-194</v>
      </c>
      <c r="M7">
        <v>0.17879512935892641</v>
      </c>
      <c r="N7">
        <v>3.9193865415661722E-191</v>
      </c>
      <c r="O7">
        <v>4.1571735911590988E-191</v>
      </c>
      <c r="P7">
        <v>9.1413339163510493E-2</v>
      </c>
      <c r="Q7">
        <v>2.1571717797835608</v>
      </c>
      <c r="R7">
        <v>-33.54685849374394</v>
      </c>
      <c r="S7">
        <v>1.3624214848652241</v>
      </c>
      <c r="T7">
        <v>1.1242976365364019</v>
      </c>
      <c r="U7">
        <v>4.492205754635302</v>
      </c>
      <c r="V7">
        <v>0.20033927554587111</v>
      </c>
      <c r="W7">
        <v>-23.856399010863349</v>
      </c>
      <c r="X7">
        <v>1.429374541214274</v>
      </c>
      <c r="Z7" t="s">
        <v>392</v>
      </c>
      <c r="AA7">
        <v>9400</v>
      </c>
      <c r="AB7" t="s">
        <v>2426</v>
      </c>
      <c r="AC7" t="str">
        <f>HYPERLINK("plots/3FT6Y578R01_012_S11P_20251111092011_M5358ACSH101811_RBGEUFRF26/dpll_52046/txpa_53184.png","plot")</f>
        <v>plot</v>
      </c>
    </row>
    <row r="8" spans="1:29" x14ac:dyDescent="0.35">
      <c r="A8" t="s">
        <v>48</v>
      </c>
      <c r="B8">
        <v>52046</v>
      </c>
      <c r="C8" t="s">
        <v>51</v>
      </c>
      <c r="D8">
        <v>53185</v>
      </c>
      <c r="E8" t="s">
        <v>60</v>
      </c>
      <c r="F8">
        <v>12243</v>
      </c>
      <c r="G8">
        <v>0.30174739150352609</v>
      </c>
      <c r="H8">
        <v>4.1467389794298661E-256</v>
      </c>
      <c r="I8">
        <v>4.3937234327501402E-256</v>
      </c>
      <c r="J8">
        <v>0.26514116974954488</v>
      </c>
      <c r="K8">
        <v>4.751517681174977E-196</v>
      </c>
      <c r="L8">
        <v>5.0609652612514984E-196</v>
      </c>
      <c r="M8">
        <v>0.17983741988910429</v>
      </c>
      <c r="N8">
        <v>1.517363263532844E-193</v>
      </c>
      <c r="O8">
        <v>1.617882596448269E-193</v>
      </c>
      <c r="P8">
        <v>9.1051488279182247E-2</v>
      </c>
      <c r="Q8">
        <v>2.1468142455049972</v>
      </c>
      <c r="R8">
        <v>-33.47251038563099</v>
      </c>
      <c r="S8">
        <v>1.358841954196216</v>
      </c>
      <c r="T8">
        <v>1.123045397233311</v>
      </c>
      <c r="U8">
        <v>4.492205754635302</v>
      </c>
      <c r="V8">
        <v>0.20033927554587111</v>
      </c>
      <c r="W8">
        <v>-23.828579077840399</v>
      </c>
      <c r="X8">
        <v>1.425335306240755</v>
      </c>
      <c r="Z8" t="s">
        <v>392</v>
      </c>
      <c r="AA8">
        <v>9400</v>
      </c>
      <c r="AB8" t="s">
        <v>2427</v>
      </c>
      <c r="AC8" t="str">
        <f>HYPERLINK("plots/3FT6Y578R01_012_S11P_20251111092011_M5358ACSH101811_RBGEUFRF26/dpll_52046/txpa_53185.png","plot")</f>
        <v>plot</v>
      </c>
    </row>
    <row r="9" spans="1:29" x14ac:dyDescent="0.35">
      <c r="A9" t="s">
        <v>48</v>
      </c>
      <c r="B9">
        <v>52046</v>
      </c>
      <c r="C9" t="s">
        <v>51</v>
      </c>
      <c r="D9">
        <v>53186</v>
      </c>
      <c r="E9" t="s">
        <v>61</v>
      </c>
      <c r="F9">
        <v>12243</v>
      </c>
      <c r="G9">
        <v>0.30765753357308018</v>
      </c>
      <c r="H9">
        <v>1.137023161145806E-266</v>
      </c>
      <c r="I9">
        <v>1.2174672496323631E-266</v>
      </c>
      <c r="J9">
        <v>0.2674606808293935</v>
      </c>
      <c r="K9">
        <v>1.3761149156809339E-199</v>
      </c>
      <c r="L9">
        <v>1.4765931476195419E-199</v>
      </c>
      <c r="M9">
        <v>0.18222134433115789</v>
      </c>
      <c r="N9">
        <v>1.9556320561345121E-197</v>
      </c>
      <c r="O9">
        <v>2.1051071177498891E-197</v>
      </c>
      <c r="P9">
        <v>9.4653157964270956E-2</v>
      </c>
      <c r="Q9">
        <v>2.2201781713901161</v>
      </c>
      <c r="R9">
        <v>-33.972786116422938</v>
      </c>
      <c r="S9">
        <v>1.375549209533613</v>
      </c>
      <c r="T9">
        <v>1.1390059871188629</v>
      </c>
      <c r="U9">
        <v>4.492205754635302</v>
      </c>
      <c r="V9">
        <v>0.20033927554587111</v>
      </c>
      <c r="W9">
        <v>-23.999288958588579</v>
      </c>
      <c r="X9">
        <v>1.44572727107753</v>
      </c>
      <c r="Z9" t="s">
        <v>392</v>
      </c>
      <c r="AA9">
        <v>9400</v>
      </c>
      <c r="AB9" t="s">
        <v>2428</v>
      </c>
      <c r="AC9" t="str">
        <f>HYPERLINK("plots/3FT6Y578R01_012_S11P_20251111092011_M5358ACSH101811_RBGEUFRF26/dpll_52046/txpa_53186.png","plot")</f>
        <v>plot</v>
      </c>
    </row>
    <row r="10" spans="1:29" x14ac:dyDescent="0.35">
      <c r="A10" t="s">
        <v>48</v>
      </c>
      <c r="B10">
        <v>52046</v>
      </c>
      <c r="C10" t="s">
        <v>51</v>
      </c>
      <c r="D10">
        <v>53187</v>
      </c>
      <c r="E10" t="s">
        <v>62</v>
      </c>
      <c r="F10">
        <v>12243</v>
      </c>
      <c r="G10">
        <v>0.76626022126448634</v>
      </c>
      <c r="H10">
        <v>0</v>
      </c>
      <c r="I10">
        <v>0</v>
      </c>
      <c r="J10">
        <v>0.63567842387103868</v>
      </c>
      <c r="K10">
        <v>0</v>
      </c>
      <c r="L10">
        <v>0</v>
      </c>
      <c r="M10">
        <v>0.4542858339678113</v>
      </c>
      <c r="N10">
        <v>0</v>
      </c>
      <c r="O10">
        <v>0</v>
      </c>
      <c r="P10">
        <v>0.58715472669229951</v>
      </c>
      <c r="Q10">
        <v>1.434204375465143</v>
      </c>
      <c r="R10">
        <v>-16.687372414245459</v>
      </c>
      <c r="S10">
        <v>0.24092217906907881</v>
      </c>
      <c r="T10">
        <v>0.18752151942413789</v>
      </c>
      <c r="U10">
        <v>4.492205754635302</v>
      </c>
      <c r="V10">
        <v>0.20033927554587111</v>
      </c>
      <c r="W10">
        <v>-10.24463126545781</v>
      </c>
      <c r="X10">
        <v>0.37497374598312871</v>
      </c>
      <c r="Z10" t="s">
        <v>392</v>
      </c>
      <c r="AA10">
        <v>9400</v>
      </c>
      <c r="AB10" t="s">
        <v>2429</v>
      </c>
      <c r="AC10" t="str">
        <f>HYPERLINK("plots/3FT6Y578R01_012_S11P_20251111092011_M5358ACSH101811_RBGEUFRF26/dpll_52046/txpa_53187.png","plot")</f>
        <v>plot</v>
      </c>
    </row>
    <row r="11" spans="1:29" x14ac:dyDescent="0.35">
      <c r="A11" t="s">
        <v>48</v>
      </c>
      <c r="B11">
        <v>52046</v>
      </c>
      <c r="C11" t="s">
        <v>51</v>
      </c>
      <c r="D11">
        <v>53188</v>
      </c>
      <c r="E11" t="s">
        <v>63</v>
      </c>
      <c r="F11">
        <v>12242</v>
      </c>
      <c r="G11">
        <v>0.7802509504964219</v>
      </c>
      <c r="H11">
        <v>0</v>
      </c>
      <c r="I11">
        <v>0</v>
      </c>
      <c r="J11">
        <v>0.64968266794602048</v>
      </c>
      <c r="K11">
        <v>0</v>
      </c>
      <c r="L11">
        <v>0</v>
      </c>
      <c r="M11">
        <v>0.4673908663887526</v>
      </c>
      <c r="N11">
        <v>0</v>
      </c>
      <c r="O11">
        <v>0</v>
      </c>
      <c r="P11">
        <v>0.60879154575056982</v>
      </c>
      <c r="Q11">
        <v>1.4416714733118421</v>
      </c>
      <c r="R11">
        <v>-16.660453840431192</v>
      </c>
      <c r="S11">
        <v>0.2315195348786708</v>
      </c>
      <c r="T11">
        <v>0.18071497286298371</v>
      </c>
      <c r="U11">
        <v>4.492190922643359</v>
      </c>
      <c r="V11">
        <v>0.20034073623739329</v>
      </c>
      <c r="W11">
        <v>-10.18419033458585</v>
      </c>
      <c r="X11">
        <v>0.37017003848823471</v>
      </c>
      <c r="Z11" t="s">
        <v>392</v>
      </c>
      <c r="AA11">
        <v>9400</v>
      </c>
      <c r="AB11" t="s">
        <v>2430</v>
      </c>
      <c r="AC11" t="str">
        <f>HYPERLINK("plots/3FT6Y578R01_012_S11P_20251111092011_M5358ACSH101811_RBGEUFRF26/dpll_52046/txpa_53188.png","plot")</f>
        <v>plot</v>
      </c>
    </row>
    <row r="12" spans="1:29" x14ac:dyDescent="0.35">
      <c r="A12" t="s">
        <v>48</v>
      </c>
      <c r="B12">
        <v>52046</v>
      </c>
      <c r="C12" t="s">
        <v>51</v>
      </c>
      <c r="D12">
        <v>53189</v>
      </c>
      <c r="E12" t="s">
        <v>64</v>
      </c>
      <c r="F12">
        <v>12243</v>
      </c>
      <c r="G12">
        <v>0.77823860798481992</v>
      </c>
      <c r="H12">
        <v>0</v>
      </c>
      <c r="I12">
        <v>0</v>
      </c>
      <c r="J12">
        <v>0.6447689837315661</v>
      </c>
      <c r="K12">
        <v>0</v>
      </c>
      <c r="L12">
        <v>0</v>
      </c>
      <c r="M12">
        <v>0.46334596154575147</v>
      </c>
      <c r="N12">
        <v>0</v>
      </c>
      <c r="O12">
        <v>0</v>
      </c>
      <c r="P12">
        <v>0.60565533095815016</v>
      </c>
      <c r="Q12">
        <v>1.4335868409518531</v>
      </c>
      <c r="R12">
        <v>-16.607408686032571</v>
      </c>
      <c r="S12">
        <v>0.23173817512362149</v>
      </c>
      <c r="T12">
        <v>0.18062484615038801</v>
      </c>
      <c r="U12">
        <v>4.492205754635302</v>
      </c>
      <c r="V12">
        <v>0.20033927554587111</v>
      </c>
      <c r="W12">
        <v>-10.16744162933921</v>
      </c>
      <c r="X12">
        <v>0.36904330651505068</v>
      </c>
      <c r="Z12" t="s">
        <v>392</v>
      </c>
      <c r="AA12">
        <v>9400</v>
      </c>
      <c r="AB12" t="s">
        <v>2431</v>
      </c>
      <c r="AC12" t="str">
        <f>HYPERLINK("plots/3FT6Y578R01_012_S11P_20251111092011_M5358ACSH101811_RBGEUFRF26/dpll_52046/txpa_53189.png","plot")</f>
        <v>plot</v>
      </c>
    </row>
    <row r="13" spans="1:29" x14ac:dyDescent="0.35">
      <c r="A13" t="s">
        <v>48</v>
      </c>
      <c r="B13">
        <v>52046</v>
      </c>
      <c r="C13" t="s">
        <v>51</v>
      </c>
      <c r="D13">
        <v>53190</v>
      </c>
      <c r="E13" t="s">
        <v>65</v>
      </c>
      <c r="F13">
        <v>12242</v>
      </c>
      <c r="G13">
        <v>0.78425935905097266</v>
      </c>
      <c r="H13">
        <v>0</v>
      </c>
      <c r="I13">
        <v>0</v>
      </c>
      <c r="J13">
        <v>0.64615952608160743</v>
      </c>
      <c r="K13">
        <v>0</v>
      </c>
      <c r="L13">
        <v>0</v>
      </c>
      <c r="M13">
        <v>0.46458988280231439</v>
      </c>
      <c r="N13">
        <v>0</v>
      </c>
      <c r="O13">
        <v>0</v>
      </c>
      <c r="P13">
        <v>0.61506274225904245</v>
      </c>
      <c r="Q13">
        <v>1.446673846257748</v>
      </c>
      <c r="R13">
        <v>-16.61722889982455</v>
      </c>
      <c r="S13">
        <v>0.22928164399380471</v>
      </c>
      <c r="T13">
        <v>0.17978079415541801</v>
      </c>
      <c r="U13">
        <v>4.4922121462179394</v>
      </c>
      <c r="V13">
        <v>0.20034621017914711</v>
      </c>
      <c r="W13">
        <v>-10.11846307604967</v>
      </c>
      <c r="X13">
        <v>0.36956603592688769</v>
      </c>
      <c r="Z13" t="s">
        <v>392</v>
      </c>
      <c r="AA13">
        <v>9400</v>
      </c>
      <c r="AB13" t="s">
        <v>2432</v>
      </c>
      <c r="AC13" t="str">
        <f>HYPERLINK("plots/3FT6Y578R01_012_S11P_20251111092011_M5358ACSH101811_RBGEUFRF26/dpll_52046/txpa_53190.png","plot")</f>
        <v>plot</v>
      </c>
    </row>
    <row r="14" spans="1:29" x14ac:dyDescent="0.35">
      <c r="A14" t="s">
        <v>48</v>
      </c>
      <c r="B14">
        <v>52046</v>
      </c>
      <c r="C14" t="s">
        <v>51</v>
      </c>
      <c r="D14">
        <v>53191</v>
      </c>
      <c r="E14" t="s">
        <v>66</v>
      </c>
      <c r="F14">
        <v>12240</v>
      </c>
      <c r="G14">
        <v>0.78737106481151597</v>
      </c>
      <c r="H14">
        <v>0</v>
      </c>
      <c r="I14">
        <v>0</v>
      </c>
      <c r="J14">
        <v>0.64730362989905854</v>
      </c>
      <c r="K14">
        <v>0</v>
      </c>
      <c r="L14">
        <v>0</v>
      </c>
      <c r="M14">
        <v>0.46467967206383248</v>
      </c>
      <c r="N14">
        <v>0</v>
      </c>
      <c r="O14">
        <v>0</v>
      </c>
      <c r="P14">
        <v>0.61995319370242052</v>
      </c>
      <c r="Q14">
        <v>1.4559380466657079</v>
      </c>
      <c r="R14">
        <v>-16.6783692475666</v>
      </c>
      <c r="S14">
        <v>0.22833384194887199</v>
      </c>
      <c r="T14">
        <v>0.1801603153493164</v>
      </c>
      <c r="U14">
        <v>4.492228153022876</v>
      </c>
      <c r="V14">
        <v>0.2003115712750779</v>
      </c>
      <c r="W14">
        <v>-10.137963365277781</v>
      </c>
      <c r="X14">
        <v>0.37039872410931168</v>
      </c>
      <c r="Z14" t="s">
        <v>392</v>
      </c>
      <c r="AA14">
        <v>9400</v>
      </c>
      <c r="AB14" t="s">
        <v>2433</v>
      </c>
      <c r="AC14" t="str">
        <f>HYPERLINK("plots/3FT6Y578R01_012_S11P_20251111092011_M5358ACSH101811_RBGEUFRF26/dpll_52046/txpa_53191.png","plot")</f>
        <v>plot</v>
      </c>
    </row>
    <row r="15" spans="1:29" x14ac:dyDescent="0.35">
      <c r="A15" t="s">
        <v>48</v>
      </c>
      <c r="B15">
        <v>52046</v>
      </c>
      <c r="C15" t="s">
        <v>51</v>
      </c>
      <c r="D15">
        <v>53192</v>
      </c>
      <c r="E15" t="s">
        <v>67</v>
      </c>
      <c r="F15">
        <v>12240</v>
      </c>
      <c r="G15">
        <v>0.79064995800941318</v>
      </c>
      <c r="H15">
        <v>0</v>
      </c>
      <c r="I15">
        <v>0</v>
      </c>
      <c r="J15">
        <v>0.65892063194057704</v>
      </c>
      <c r="K15">
        <v>0</v>
      </c>
      <c r="L15">
        <v>0</v>
      </c>
      <c r="M15">
        <v>0.47512065320666269</v>
      </c>
      <c r="N15">
        <v>0</v>
      </c>
      <c r="O15">
        <v>0</v>
      </c>
      <c r="P15">
        <v>0.6251273561002868</v>
      </c>
      <c r="Q15">
        <v>1.4581977845237779</v>
      </c>
      <c r="R15">
        <v>-16.723459317572669</v>
      </c>
      <c r="S15">
        <v>0.2261588697071325</v>
      </c>
      <c r="T15">
        <v>0.1776767310839566</v>
      </c>
      <c r="U15">
        <v>4.4921825285947721</v>
      </c>
      <c r="V15">
        <v>0.20028909768291919</v>
      </c>
      <c r="W15">
        <v>-10.172968706699351</v>
      </c>
      <c r="X15">
        <v>0.3693937064650073</v>
      </c>
      <c r="Z15" t="s">
        <v>392</v>
      </c>
      <c r="AA15">
        <v>9400</v>
      </c>
      <c r="AB15" t="s">
        <v>2434</v>
      </c>
      <c r="AC15" t="str">
        <f>HYPERLINK("plots/3FT6Y578R01_012_S11P_20251111092011_M5358ACSH101811_RBGEUFRF26/dpll_52046/txpa_53192.png","plot")</f>
        <v>plot</v>
      </c>
    </row>
    <row r="16" spans="1:29" x14ac:dyDescent="0.35">
      <c r="A16" t="s">
        <v>48</v>
      </c>
      <c r="B16">
        <v>52046</v>
      </c>
      <c r="C16" t="s">
        <v>51</v>
      </c>
      <c r="D16">
        <v>53193</v>
      </c>
      <c r="E16" t="s">
        <v>68</v>
      </c>
      <c r="F16">
        <v>12242</v>
      </c>
      <c r="G16">
        <v>0.78939409212445977</v>
      </c>
      <c r="H16">
        <v>0</v>
      </c>
      <c r="I16">
        <v>0</v>
      </c>
      <c r="J16">
        <v>0.65722647536308865</v>
      </c>
      <c r="K16">
        <v>0</v>
      </c>
      <c r="L16">
        <v>0</v>
      </c>
      <c r="M16">
        <v>0.47454317382932593</v>
      </c>
      <c r="N16">
        <v>0</v>
      </c>
      <c r="O16">
        <v>0</v>
      </c>
      <c r="P16">
        <v>0.62314303268100002</v>
      </c>
      <c r="Q16">
        <v>1.4565572308824311</v>
      </c>
      <c r="R16">
        <v>-16.70226652222512</v>
      </c>
      <c r="S16">
        <v>0.22689447119118361</v>
      </c>
      <c r="T16">
        <v>0.17710060021641191</v>
      </c>
      <c r="U16">
        <v>4.4922368706093776</v>
      </c>
      <c r="V16">
        <v>0.20031787099771459</v>
      </c>
      <c r="W16">
        <v>-10.15906642550237</v>
      </c>
      <c r="X16">
        <v>0.36961822540558459</v>
      </c>
      <c r="Z16" t="s">
        <v>392</v>
      </c>
      <c r="AA16">
        <v>9400</v>
      </c>
      <c r="AB16" t="s">
        <v>2435</v>
      </c>
      <c r="AC16" t="str">
        <f>HYPERLINK("plots/3FT6Y578R01_012_S11P_20251111092011_M5358ACSH101811_RBGEUFRF26/dpll_52046/txpa_53193.png","plot")</f>
        <v>plot</v>
      </c>
    </row>
    <row r="17" spans="1:29" x14ac:dyDescent="0.35">
      <c r="A17" t="s">
        <v>48</v>
      </c>
      <c r="B17">
        <v>52046</v>
      </c>
      <c r="C17" t="s">
        <v>51</v>
      </c>
      <c r="D17">
        <v>53194</v>
      </c>
      <c r="E17" t="s">
        <v>69</v>
      </c>
      <c r="F17">
        <v>12239</v>
      </c>
      <c r="G17">
        <v>0.78429165768006137</v>
      </c>
      <c r="H17">
        <v>0</v>
      </c>
      <c r="I17">
        <v>0</v>
      </c>
      <c r="J17">
        <v>0.64576697094293922</v>
      </c>
      <c r="K17">
        <v>0</v>
      </c>
      <c r="L17">
        <v>0</v>
      </c>
      <c r="M17">
        <v>0.46514108457594622</v>
      </c>
      <c r="N17">
        <v>0</v>
      </c>
      <c r="O17">
        <v>0</v>
      </c>
      <c r="P17">
        <v>0.6151134043065386</v>
      </c>
      <c r="Q17">
        <v>1.4541943730912501</v>
      </c>
      <c r="R17">
        <v>-16.7455214535157</v>
      </c>
      <c r="S17">
        <v>0.23041859943803161</v>
      </c>
      <c r="T17">
        <v>0.1803037490630833</v>
      </c>
      <c r="U17">
        <v>4.4922816766075657</v>
      </c>
      <c r="V17">
        <v>0.2003198646137857</v>
      </c>
      <c r="W17">
        <v>-10.21287071705205</v>
      </c>
      <c r="X17">
        <v>0.37142307595295232</v>
      </c>
      <c r="Z17" t="s">
        <v>392</v>
      </c>
      <c r="AA17">
        <v>9400</v>
      </c>
      <c r="AB17" t="s">
        <v>2436</v>
      </c>
      <c r="AC17" t="str">
        <f>HYPERLINK("plots/3FT6Y578R01_012_S11P_20251111092011_M5358ACSH101811_RBGEUFRF26/dpll_52046/txpa_53194.png","plot")</f>
        <v>plot</v>
      </c>
    </row>
    <row r="18" spans="1:29" x14ac:dyDescent="0.35">
      <c r="A18" t="s">
        <v>48</v>
      </c>
      <c r="B18">
        <v>52046</v>
      </c>
      <c r="C18" t="s">
        <v>51</v>
      </c>
      <c r="D18">
        <v>53195</v>
      </c>
      <c r="E18" t="s">
        <v>70</v>
      </c>
      <c r="F18">
        <v>12242</v>
      </c>
      <c r="G18">
        <v>0.80536315936100122</v>
      </c>
      <c r="H18">
        <v>0</v>
      </c>
      <c r="I18">
        <v>0</v>
      </c>
      <c r="J18">
        <v>0.68359929898952754</v>
      </c>
      <c r="K18">
        <v>0</v>
      </c>
      <c r="L18">
        <v>0</v>
      </c>
      <c r="M18">
        <v>0.49389756282180569</v>
      </c>
      <c r="N18">
        <v>0</v>
      </c>
      <c r="O18">
        <v>0</v>
      </c>
      <c r="P18">
        <v>0.64860981845593346</v>
      </c>
      <c r="Q18">
        <v>1.3186971377175849</v>
      </c>
      <c r="R18">
        <v>-9.9194716481379039</v>
      </c>
      <c r="S18">
        <v>0.1944311612988707</v>
      </c>
      <c r="T18">
        <v>0.14858514010949311</v>
      </c>
      <c r="U18">
        <v>4.4922327689103092</v>
      </c>
      <c r="V18">
        <v>0.2003251577115534</v>
      </c>
      <c r="W18">
        <v>-3.995577153814736</v>
      </c>
      <c r="X18">
        <v>0.32801129405602331</v>
      </c>
      <c r="Z18" t="s">
        <v>392</v>
      </c>
      <c r="AA18">
        <v>9400</v>
      </c>
      <c r="AB18" t="s">
        <v>2437</v>
      </c>
      <c r="AC18" t="str">
        <f>HYPERLINK("plots/3FT6Y578R01_012_S11P_20251111092011_M5358ACSH101811_RBGEUFRF26/dpll_52046/txpa_53195.png","plot")</f>
        <v>plot</v>
      </c>
    </row>
    <row r="19" spans="1:29" x14ac:dyDescent="0.35">
      <c r="A19" t="s">
        <v>48</v>
      </c>
      <c r="B19">
        <v>52046</v>
      </c>
      <c r="C19" t="s">
        <v>51</v>
      </c>
      <c r="D19">
        <v>53196</v>
      </c>
      <c r="E19" t="s">
        <v>71</v>
      </c>
      <c r="F19">
        <v>12240</v>
      </c>
      <c r="G19">
        <v>0.8187357639335735</v>
      </c>
      <c r="H19">
        <v>0</v>
      </c>
      <c r="I19">
        <v>0</v>
      </c>
      <c r="J19">
        <v>0.69557287385825706</v>
      </c>
      <c r="K19">
        <v>0</v>
      </c>
      <c r="L19">
        <v>0</v>
      </c>
      <c r="M19">
        <v>0.50642571943814885</v>
      </c>
      <c r="N19">
        <v>0</v>
      </c>
      <c r="O19">
        <v>0</v>
      </c>
      <c r="P19">
        <v>0.67032825114389216</v>
      </c>
      <c r="Q19">
        <v>1.330920996016647</v>
      </c>
      <c r="R19">
        <v>-9.9340073749940849</v>
      </c>
      <c r="S19">
        <v>0.18695492463267571</v>
      </c>
      <c r="T19">
        <v>0.14439016753171879</v>
      </c>
      <c r="U19">
        <v>4.4922457209967321</v>
      </c>
      <c r="V19">
        <v>0.2003112173522193</v>
      </c>
      <c r="W19">
        <v>-3.9551832256535948</v>
      </c>
      <c r="X19">
        <v>0.32562203418458779</v>
      </c>
      <c r="Z19" t="s">
        <v>392</v>
      </c>
      <c r="AA19">
        <v>9400</v>
      </c>
      <c r="AB19" t="s">
        <v>2438</v>
      </c>
      <c r="AC19" t="str">
        <f>HYPERLINK("plots/3FT6Y578R01_012_S11P_20251111092011_M5358ACSH101811_RBGEUFRF26/dpll_52046/txpa_53196.png","plot")</f>
        <v>plot</v>
      </c>
    </row>
    <row r="20" spans="1:29" x14ac:dyDescent="0.35">
      <c r="A20" t="s">
        <v>48</v>
      </c>
      <c r="B20">
        <v>52046</v>
      </c>
      <c r="C20" t="s">
        <v>51</v>
      </c>
      <c r="D20">
        <v>53197</v>
      </c>
      <c r="E20" t="s">
        <v>72</v>
      </c>
      <c r="F20">
        <v>12243</v>
      </c>
      <c r="G20">
        <v>0.81520952000684044</v>
      </c>
      <c r="H20">
        <v>0</v>
      </c>
      <c r="I20">
        <v>0</v>
      </c>
      <c r="J20">
        <v>0.6909813172365068</v>
      </c>
      <c r="K20">
        <v>0</v>
      </c>
      <c r="L20">
        <v>0</v>
      </c>
      <c r="M20">
        <v>0.50180186296073659</v>
      </c>
      <c r="N20">
        <v>0</v>
      </c>
      <c r="O20">
        <v>0</v>
      </c>
      <c r="P20">
        <v>0.66456656150978322</v>
      </c>
      <c r="Q20">
        <v>1.3151673758966049</v>
      </c>
      <c r="R20">
        <v>-9.8508230972093198</v>
      </c>
      <c r="S20">
        <v>0.18718167245776171</v>
      </c>
      <c r="T20">
        <v>0.14380468396830851</v>
      </c>
      <c r="U20">
        <v>4.492205754635302</v>
      </c>
      <c r="V20">
        <v>0.20033927554587111</v>
      </c>
      <c r="W20">
        <v>-3.9428206428979831</v>
      </c>
      <c r="X20">
        <v>0.32320486064303983</v>
      </c>
      <c r="Z20" t="s">
        <v>392</v>
      </c>
      <c r="AA20">
        <v>9400</v>
      </c>
      <c r="AB20" t="s">
        <v>2439</v>
      </c>
      <c r="AC20" t="str">
        <f>HYPERLINK("plots/3FT6Y578R01_012_S11P_20251111092011_M5358ACSH101811_RBGEUFRF26/dpll_52046/txpa_53197.png","plot")</f>
        <v>plot</v>
      </c>
    </row>
    <row r="21" spans="1:29" x14ac:dyDescent="0.35">
      <c r="A21" t="s">
        <v>48</v>
      </c>
      <c r="B21">
        <v>52046</v>
      </c>
      <c r="C21" t="s">
        <v>51</v>
      </c>
      <c r="D21">
        <v>53198</v>
      </c>
      <c r="E21" t="s">
        <v>73</v>
      </c>
      <c r="F21">
        <v>12242</v>
      </c>
      <c r="G21">
        <v>0.82483273290300563</v>
      </c>
      <c r="H21">
        <v>0</v>
      </c>
      <c r="I21">
        <v>0</v>
      </c>
      <c r="J21">
        <v>0.69762922932206206</v>
      </c>
      <c r="K21">
        <v>0</v>
      </c>
      <c r="L21">
        <v>0</v>
      </c>
      <c r="M21">
        <v>0.5083681509084228</v>
      </c>
      <c r="N21">
        <v>0</v>
      </c>
      <c r="O21">
        <v>0</v>
      </c>
      <c r="P21">
        <v>0.68034903726824103</v>
      </c>
      <c r="Q21">
        <v>1.3333953621376551</v>
      </c>
      <c r="R21">
        <v>-9.8978816205448119</v>
      </c>
      <c r="S21">
        <v>0.1831025760071899</v>
      </c>
      <c r="T21">
        <v>0.14220816014561399</v>
      </c>
      <c r="U21">
        <v>4.4922121462179394</v>
      </c>
      <c r="V21">
        <v>0.20034621017914711</v>
      </c>
      <c r="W21">
        <v>-3.9079867790393732</v>
      </c>
      <c r="X21">
        <v>0.32387258266839952</v>
      </c>
      <c r="Z21" t="s">
        <v>392</v>
      </c>
      <c r="AA21">
        <v>9400</v>
      </c>
      <c r="AB21" t="s">
        <v>2440</v>
      </c>
      <c r="AC21" t="str">
        <f>HYPERLINK("plots/3FT6Y578R01_012_S11P_20251111092011_M5358ACSH101811_RBGEUFRF26/dpll_52046/txpa_53198.png","plot")</f>
        <v>plot</v>
      </c>
    </row>
    <row r="22" spans="1:29" x14ac:dyDescent="0.35">
      <c r="A22" t="s">
        <v>48</v>
      </c>
      <c r="B22">
        <v>52046</v>
      </c>
      <c r="C22" t="s">
        <v>51</v>
      </c>
      <c r="D22">
        <v>53199</v>
      </c>
      <c r="E22" t="s">
        <v>74</v>
      </c>
      <c r="F22">
        <v>12240</v>
      </c>
      <c r="G22">
        <v>0.82566510745340826</v>
      </c>
      <c r="H22">
        <v>0</v>
      </c>
      <c r="I22">
        <v>0</v>
      </c>
      <c r="J22">
        <v>0.69621936841853538</v>
      </c>
      <c r="K22">
        <v>0</v>
      </c>
      <c r="L22">
        <v>0</v>
      </c>
      <c r="M22">
        <v>0.50644823798102512</v>
      </c>
      <c r="N22">
        <v>0</v>
      </c>
      <c r="O22">
        <v>0</v>
      </c>
      <c r="P22">
        <v>0.68172286966604823</v>
      </c>
      <c r="Q22">
        <v>1.347037719358021</v>
      </c>
      <c r="R22">
        <v>-9.9802094033387299</v>
      </c>
      <c r="S22">
        <v>0.18436005886801191</v>
      </c>
      <c r="T22">
        <v>0.1434877891753111</v>
      </c>
      <c r="U22">
        <v>4.492228153022876</v>
      </c>
      <c r="V22">
        <v>0.2003115712750779</v>
      </c>
      <c r="W22">
        <v>-3.9290086372549018</v>
      </c>
      <c r="X22">
        <v>0.32679986073727679</v>
      </c>
      <c r="Z22" t="s">
        <v>392</v>
      </c>
      <c r="AA22">
        <v>9400</v>
      </c>
      <c r="AB22" t="s">
        <v>2441</v>
      </c>
      <c r="AC22" t="str">
        <f>HYPERLINK("plots/3FT6Y578R01_012_S11P_20251111092011_M5358ACSH101811_RBGEUFRF26/dpll_52046/txpa_53199.png","plot")</f>
        <v>plot</v>
      </c>
    </row>
    <row r="23" spans="1:29" x14ac:dyDescent="0.35">
      <c r="A23" t="s">
        <v>48</v>
      </c>
      <c r="B23">
        <v>52046</v>
      </c>
      <c r="C23" t="s">
        <v>51</v>
      </c>
      <c r="D23">
        <v>53200</v>
      </c>
      <c r="E23" t="s">
        <v>75</v>
      </c>
      <c r="F23">
        <v>12240</v>
      </c>
      <c r="G23">
        <v>0.82869009153371698</v>
      </c>
      <c r="H23">
        <v>0</v>
      </c>
      <c r="I23">
        <v>0</v>
      </c>
      <c r="J23">
        <v>0.70605481869186038</v>
      </c>
      <c r="K23">
        <v>0</v>
      </c>
      <c r="L23">
        <v>0</v>
      </c>
      <c r="M23">
        <v>0.51542558294791663</v>
      </c>
      <c r="N23">
        <v>0</v>
      </c>
      <c r="O23">
        <v>0</v>
      </c>
      <c r="P23">
        <v>0.68672726780616022</v>
      </c>
      <c r="Q23">
        <v>1.349614187345318</v>
      </c>
      <c r="R23">
        <v>-10.009633352311431</v>
      </c>
      <c r="S23">
        <v>0.18256535029002921</v>
      </c>
      <c r="T23">
        <v>0.14224088807971871</v>
      </c>
      <c r="U23">
        <v>4.4921825285947721</v>
      </c>
      <c r="V23">
        <v>0.20028909768291919</v>
      </c>
      <c r="W23">
        <v>-3.9469200795751629</v>
      </c>
      <c r="X23">
        <v>0.32619312160855229</v>
      </c>
      <c r="Z23" t="s">
        <v>392</v>
      </c>
      <c r="AA23">
        <v>9400</v>
      </c>
      <c r="AB23" t="s">
        <v>2442</v>
      </c>
      <c r="AC23" t="str">
        <f>HYPERLINK("plots/3FT6Y578R01_012_S11P_20251111092011_M5358ACSH101811_RBGEUFRF26/dpll_52046/txpa_53200.png","plot")</f>
        <v>plot</v>
      </c>
    </row>
    <row r="24" spans="1:29" x14ac:dyDescent="0.35">
      <c r="A24" t="s">
        <v>48</v>
      </c>
      <c r="B24">
        <v>52046</v>
      </c>
      <c r="C24" t="s">
        <v>51</v>
      </c>
      <c r="D24">
        <v>53201</v>
      </c>
      <c r="E24" t="s">
        <v>76</v>
      </c>
      <c r="F24">
        <v>12241</v>
      </c>
      <c r="G24">
        <v>0.82783325277150088</v>
      </c>
      <c r="H24">
        <v>0</v>
      </c>
      <c r="I24">
        <v>0</v>
      </c>
      <c r="J24">
        <v>0.7021362797798224</v>
      </c>
      <c r="K24">
        <v>0</v>
      </c>
      <c r="L24">
        <v>0</v>
      </c>
      <c r="M24">
        <v>0.51284954574351604</v>
      </c>
      <c r="N24">
        <v>0</v>
      </c>
      <c r="O24">
        <v>0</v>
      </c>
      <c r="P24">
        <v>0.68530789439424367</v>
      </c>
      <c r="Q24">
        <v>1.347204542171299</v>
      </c>
      <c r="R24">
        <v>-9.9880315553150432</v>
      </c>
      <c r="S24">
        <v>0.18285842996627291</v>
      </c>
      <c r="T24">
        <v>0.14165066338344759</v>
      </c>
      <c r="U24">
        <v>4.4922609154480844</v>
      </c>
      <c r="V24">
        <v>0.2003083859160831</v>
      </c>
      <c r="W24">
        <v>-3.9360372454047869</v>
      </c>
      <c r="X24">
        <v>0.32597913461158651</v>
      </c>
      <c r="Z24" t="s">
        <v>392</v>
      </c>
      <c r="AA24">
        <v>9400</v>
      </c>
      <c r="AB24" t="s">
        <v>2443</v>
      </c>
      <c r="AC24" t="str">
        <f>HYPERLINK("plots/3FT6Y578R01_012_S11P_20251111092011_M5358ACSH101811_RBGEUFRF26/dpll_52046/txpa_53201.png","plot")</f>
        <v>plot</v>
      </c>
    </row>
    <row r="25" spans="1:29" x14ac:dyDescent="0.35">
      <c r="A25" t="s">
        <v>48</v>
      </c>
      <c r="B25">
        <v>52046</v>
      </c>
      <c r="C25" t="s">
        <v>51</v>
      </c>
      <c r="D25">
        <v>53202</v>
      </c>
      <c r="E25" t="s">
        <v>77</v>
      </c>
      <c r="F25">
        <v>12237</v>
      </c>
      <c r="G25">
        <v>0.82349692251007156</v>
      </c>
      <c r="H25">
        <v>0</v>
      </c>
      <c r="I25">
        <v>0</v>
      </c>
      <c r="J25">
        <v>0.69381271142619616</v>
      </c>
      <c r="K25">
        <v>0</v>
      </c>
      <c r="L25">
        <v>0</v>
      </c>
      <c r="M25">
        <v>0.50541735924449116</v>
      </c>
      <c r="N25">
        <v>0</v>
      </c>
      <c r="O25">
        <v>0</v>
      </c>
      <c r="P25">
        <v>0.67814718138355878</v>
      </c>
      <c r="Q25">
        <v>1.338299729247207</v>
      </c>
      <c r="R25">
        <v>-9.9755859563345126</v>
      </c>
      <c r="S25">
        <v>0.18467013058365739</v>
      </c>
      <c r="T25">
        <v>0.14334185982131201</v>
      </c>
      <c r="U25">
        <v>4.4923258647544344</v>
      </c>
      <c r="V25">
        <v>0.20030617329777281</v>
      </c>
      <c r="W25">
        <v>-3.9635074678434261</v>
      </c>
      <c r="X25">
        <v>0.32552604650161882</v>
      </c>
      <c r="Z25" t="s">
        <v>392</v>
      </c>
      <c r="AA25">
        <v>9400</v>
      </c>
      <c r="AB25" t="s">
        <v>2444</v>
      </c>
      <c r="AC25" t="str">
        <f>HYPERLINK("plots/3FT6Y578R01_012_S11P_20251111092011_M5358ACSH101811_RBGEUFRF26/dpll_52046/txpa_53202.png","plot")</f>
        <v>plot</v>
      </c>
    </row>
    <row r="26" spans="1:29" x14ac:dyDescent="0.35">
      <c r="A26" t="s">
        <v>48</v>
      </c>
      <c r="B26">
        <v>52046</v>
      </c>
      <c r="C26" t="s">
        <v>51</v>
      </c>
      <c r="D26">
        <v>53203</v>
      </c>
      <c r="E26" t="s">
        <v>78</v>
      </c>
      <c r="F26">
        <v>12241</v>
      </c>
      <c r="G26">
        <v>0.81740984658392213</v>
      </c>
      <c r="H26">
        <v>0</v>
      </c>
      <c r="I26">
        <v>0</v>
      </c>
      <c r="J26">
        <v>0.70142027904155091</v>
      </c>
      <c r="K26">
        <v>0</v>
      </c>
      <c r="L26">
        <v>0</v>
      </c>
      <c r="M26">
        <v>0.5094392224213109</v>
      </c>
      <c r="N26">
        <v>0</v>
      </c>
      <c r="O26">
        <v>0</v>
      </c>
      <c r="P26">
        <v>0.66815885729235114</v>
      </c>
      <c r="Q26">
        <v>1.3718915239607941</v>
      </c>
      <c r="R26">
        <v>-7.2007132136728593</v>
      </c>
      <c r="S26">
        <v>0.1936632378888431</v>
      </c>
      <c r="T26">
        <v>0.14695587067097809</v>
      </c>
      <c r="U26">
        <v>4.4922551983498087</v>
      </c>
      <c r="V26">
        <v>0.20031796777918809</v>
      </c>
      <c r="W26">
        <v>-1.037826383587942</v>
      </c>
      <c r="X26">
        <v>0.3362016291359966</v>
      </c>
      <c r="Z26" t="s">
        <v>392</v>
      </c>
      <c r="AA26">
        <v>9400</v>
      </c>
      <c r="AB26" t="s">
        <v>2445</v>
      </c>
      <c r="AC26" t="str">
        <f>HYPERLINK("plots/3FT6Y578R01_012_S11P_20251111092011_M5358ACSH101811_RBGEUFRF26/dpll_52046/txpa_53203.png","plot")</f>
        <v>plot</v>
      </c>
    </row>
    <row r="27" spans="1:29" x14ac:dyDescent="0.35">
      <c r="A27" t="s">
        <v>48</v>
      </c>
      <c r="B27">
        <v>52046</v>
      </c>
      <c r="C27" t="s">
        <v>51</v>
      </c>
      <c r="D27">
        <v>53204</v>
      </c>
      <c r="E27" t="s">
        <v>79</v>
      </c>
      <c r="F27">
        <v>12239</v>
      </c>
      <c r="G27">
        <v>0.83040388082438266</v>
      </c>
      <c r="H27">
        <v>0</v>
      </c>
      <c r="I27">
        <v>0</v>
      </c>
      <c r="J27">
        <v>0.71311437106314612</v>
      </c>
      <c r="K27">
        <v>0</v>
      </c>
      <c r="L27">
        <v>0</v>
      </c>
      <c r="M27">
        <v>0.52177303522338903</v>
      </c>
      <c r="N27">
        <v>0</v>
      </c>
      <c r="O27">
        <v>0</v>
      </c>
      <c r="P27">
        <v>0.68957060528819547</v>
      </c>
      <c r="Q27">
        <v>1.388064500627934</v>
      </c>
      <c r="R27">
        <v>-7.2375746260926661</v>
      </c>
      <c r="S27">
        <v>0.18652526002601649</v>
      </c>
      <c r="T27">
        <v>0.1432046148489895</v>
      </c>
      <c r="U27">
        <v>4.4922780661001713</v>
      </c>
      <c r="V27">
        <v>0.2002874331574139</v>
      </c>
      <c r="W27">
        <v>-1.0020029155895089</v>
      </c>
      <c r="X27">
        <v>0.33479115681841531</v>
      </c>
      <c r="Z27" t="s">
        <v>392</v>
      </c>
      <c r="AA27">
        <v>9400</v>
      </c>
      <c r="AB27" t="s">
        <v>2446</v>
      </c>
      <c r="AC27" t="str">
        <f>HYPERLINK("plots/3FT6Y578R01_012_S11P_20251111092011_M5358ACSH101811_RBGEUFRF26/dpll_52046/txpa_53204.png","plot")</f>
        <v>plot</v>
      </c>
    </row>
    <row r="28" spans="1:29" x14ac:dyDescent="0.35">
      <c r="A28" t="s">
        <v>48</v>
      </c>
      <c r="B28">
        <v>52046</v>
      </c>
      <c r="C28" t="s">
        <v>51</v>
      </c>
      <c r="D28">
        <v>53205</v>
      </c>
      <c r="E28" t="s">
        <v>80</v>
      </c>
      <c r="F28">
        <v>12242</v>
      </c>
      <c r="G28">
        <v>0.82726198215809421</v>
      </c>
      <c r="H28">
        <v>0</v>
      </c>
      <c r="I28">
        <v>0</v>
      </c>
      <c r="J28">
        <v>0.70733583392231358</v>
      </c>
      <c r="K28">
        <v>0</v>
      </c>
      <c r="L28">
        <v>0</v>
      </c>
      <c r="M28">
        <v>0.51628010491974663</v>
      </c>
      <c r="N28">
        <v>0</v>
      </c>
      <c r="O28">
        <v>0</v>
      </c>
      <c r="P28">
        <v>0.68436238712413899</v>
      </c>
      <c r="Q28">
        <v>1.3715059726745971</v>
      </c>
      <c r="R28">
        <v>-7.1521789747299662</v>
      </c>
      <c r="S28">
        <v>0.1866000468418772</v>
      </c>
      <c r="T28">
        <v>0.1426450092569933</v>
      </c>
      <c r="U28">
        <v>4.4922128795948373</v>
      </c>
      <c r="V28">
        <v>0.2003459072749037</v>
      </c>
      <c r="W28">
        <v>-0.99108217983989544</v>
      </c>
      <c r="X28">
        <v>0.3321506540305757</v>
      </c>
      <c r="Z28" t="s">
        <v>392</v>
      </c>
      <c r="AA28">
        <v>9400</v>
      </c>
      <c r="AB28" t="s">
        <v>2447</v>
      </c>
      <c r="AC28" t="str">
        <f>HYPERLINK("plots/3FT6Y578R01_012_S11P_20251111092011_M5358ACSH101811_RBGEUFRF26/dpll_52046/txpa_53205.png","plot")</f>
        <v>plot</v>
      </c>
    </row>
    <row r="29" spans="1:29" x14ac:dyDescent="0.35">
      <c r="A29" t="s">
        <v>48</v>
      </c>
      <c r="B29">
        <v>52046</v>
      </c>
      <c r="C29" t="s">
        <v>51</v>
      </c>
      <c r="D29">
        <v>53206</v>
      </c>
      <c r="E29" t="s">
        <v>81</v>
      </c>
      <c r="F29">
        <v>12241</v>
      </c>
      <c r="G29">
        <v>0.83651693783203518</v>
      </c>
      <c r="H29">
        <v>0</v>
      </c>
      <c r="I29">
        <v>0</v>
      </c>
      <c r="J29">
        <v>0.71568628145554747</v>
      </c>
      <c r="K29">
        <v>0</v>
      </c>
      <c r="L29">
        <v>0</v>
      </c>
      <c r="M29">
        <v>0.52405413630042685</v>
      </c>
      <c r="N29">
        <v>0</v>
      </c>
      <c r="O29">
        <v>0</v>
      </c>
      <c r="P29">
        <v>0.69976058727988499</v>
      </c>
      <c r="Q29">
        <v>1.3905180215603661</v>
      </c>
      <c r="R29">
        <v>-7.2068726845041571</v>
      </c>
      <c r="S29">
        <v>0.1824591921802409</v>
      </c>
      <c r="T29">
        <v>0.14099414367264701</v>
      </c>
      <c r="U29">
        <v>4.4922399265582884</v>
      </c>
      <c r="V29">
        <v>0.200330813227552</v>
      </c>
      <c r="W29">
        <v>-0.96033210945184222</v>
      </c>
      <c r="X29">
        <v>0.33300414309445558</v>
      </c>
      <c r="Z29" t="s">
        <v>392</v>
      </c>
      <c r="AA29">
        <v>9400</v>
      </c>
      <c r="AB29" t="s">
        <v>2448</v>
      </c>
      <c r="AC29" t="str">
        <f>HYPERLINK("plots/3FT6Y578R01_012_S11P_20251111092011_M5358ACSH101811_RBGEUFRF26/dpll_52046/txpa_53206.png","plot")</f>
        <v>plot</v>
      </c>
    </row>
    <row r="30" spans="1:29" x14ac:dyDescent="0.35">
      <c r="A30" t="s">
        <v>48</v>
      </c>
      <c r="B30">
        <v>52046</v>
      </c>
      <c r="C30" t="s">
        <v>51</v>
      </c>
      <c r="D30">
        <v>53207</v>
      </c>
      <c r="E30" t="s">
        <v>82</v>
      </c>
      <c r="F30">
        <v>12240</v>
      </c>
      <c r="G30">
        <v>0.83667349717877515</v>
      </c>
      <c r="H30">
        <v>0</v>
      </c>
      <c r="I30">
        <v>0</v>
      </c>
      <c r="J30">
        <v>0.71367853117094404</v>
      </c>
      <c r="K30">
        <v>0</v>
      </c>
      <c r="L30">
        <v>0</v>
      </c>
      <c r="M30">
        <v>0.52181009315420546</v>
      </c>
      <c r="N30">
        <v>0</v>
      </c>
      <c r="O30">
        <v>0</v>
      </c>
      <c r="P30">
        <v>0.70002254088136184</v>
      </c>
      <c r="Q30">
        <v>1.40183425155796</v>
      </c>
      <c r="R30">
        <v>-7.2784799416191142</v>
      </c>
      <c r="S30">
        <v>0.18381174668752009</v>
      </c>
      <c r="T30">
        <v>0.14241321434689111</v>
      </c>
      <c r="U30">
        <v>4.492228153022876</v>
      </c>
      <c r="V30">
        <v>0.2003115712750779</v>
      </c>
      <c r="W30">
        <v>-0.98112065089869283</v>
      </c>
      <c r="X30">
        <v>0.33561911850160769</v>
      </c>
      <c r="Z30" t="s">
        <v>392</v>
      </c>
      <c r="AA30">
        <v>9400</v>
      </c>
      <c r="AB30" t="s">
        <v>2449</v>
      </c>
      <c r="AC30" t="str">
        <f>HYPERLINK("plots/3FT6Y578R01_012_S11P_20251111092011_M5358ACSH101811_RBGEUFRF26/dpll_52046/txpa_53207.png","plot")</f>
        <v>plot</v>
      </c>
    </row>
    <row r="31" spans="1:29" x14ac:dyDescent="0.35">
      <c r="A31" t="s">
        <v>48</v>
      </c>
      <c r="B31">
        <v>52046</v>
      </c>
      <c r="C31" t="s">
        <v>51</v>
      </c>
      <c r="D31">
        <v>53208</v>
      </c>
      <c r="E31" t="s">
        <v>83</v>
      </c>
      <c r="F31">
        <v>12240</v>
      </c>
      <c r="G31">
        <v>0.84016410996466406</v>
      </c>
      <c r="H31">
        <v>0</v>
      </c>
      <c r="I31">
        <v>0</v>
      </c>
      <c r="J31">
        <v>0.72397548807331924</v>
      </c>
      <c r="K31">
        <v>0</v>
      </c>
      <c r="L31">
        <v>0</v>
      </c>
      <c r="M31">
        <v>0.53135646270458825</v>
      </c>
      <c r="N31">
        <v>0</v>
      </c>
      <c r="O31">
        <v>0</v>
      </c>
      <c r="P31">
        <v>0.70587573167271611</v>
      </c>
      <c r="Q31">
        <v>1.407872914862289</v>
      </c>
      <c r="R31">
        <v>-7.3187965431996984</v>
      </c>
      <c r="S31">
        <v>0.18201380424113561</v>
      </c>
      <c r="T31">
        <v>0.1410528810533668</v>
      </c>
      <c r="U31">
        <v>4.4921825285947721</v>
      </c>
      <c r="V31">
        <v>0.20028909768291919</v>
      </c>
      <c r="W31">
        <v>-0.99437443257352942</v>
      </c>
      <c r="X31">
        <v>0.3356268048415551</v>
      </c>
      <c r="Z31" t="s">
        <v>392</v>
      </c>
      <c r="AA31">
        <v>9400</v>
      </c>
      <c r="AB31" t="s">
        <v>2450</v>
      </c>
      <c r="AC31" t="str">
        <f>HYPERLINK("plots/3FT6Y578R01_012_S11P_20251111092011_M5358ACSH101811_RBGEUFRF26/dpll_52046/txpa_53208.png","plot")</f>
        <v>plot</v>
      </c>
    </row>
    <row r="32" spans="1:29" x14ac:dyDescent="0.35">
      <c r="A32" t="s">
        <v>48</v>
      </c>
      <c r="B32">
        <v>52046</v>
      </c>
      <c r="C32" t="s">
        <v>51</v>
      </c>
      <c r="D32">
        <v>53209</v>
      </c>
      <c r="E32" t="s">
        <v>84</v>
      </c>
      <c r="F32">
        <v>12241</v>
      </c>
      <c r="G32">
        <v>0.83874852972492286</v>
      </c>
      <c r="H32">
        <v>0</v>
      </c>
      <c r="I32">
        <v>0</v>
      </c>
      <c r="J32">
        <v>0.71947172518099189</v>
      </c>
      <c r="K32">
        <v>0</v>
      </c>
      <c r="L32">
        <v>0</v>
      </c>
      <c r="M32">
        <v>0.52796179779849195</v>
      </c>
      <c r="N32">
        <v>0</v>
      </c>
      <c r="O32">
        <v>0</v>
      </c>
      <c r="P32">
        <v>0.70349909611571981</v>
      </c>
      <c r="Q32">
        <v>1.4034780947842</v>
      </c>
      <c r="R32">
        <v>-7.2888947069718899</v>
      </c>
      <c r="S32">
        <v>0.18250226927363311</v>
      </c>
      <c r="T32">
        <v>0.14081120636655259</v>
      </c>
      <c r="U32">
        <v>4.4922609154480844</v>
      </c>
      <c r="V32">
        <v>0.2003083859160831</v>
      </c>
      <c r="W32">
        <v>-0.98410491608528716</v>
      </c>
      <c r="X32">
        <v>0.33517606513957388</v>
      </c>
      <c r="Z32" t="s">
        <v>392</v>
      </c>
      <c r="AA32">
        <v>9400</v>
      </c>
      <c r="AB32" t="s">
        <v>2451</v>
      </c>
      <c r="AC32" t="str">
        <f>HYPERLINK("plots/3FT6Y578R01_012_S11P_20251111092011_M5358ACSH101811_RBGEUFRF26/dpll_52046/txpa_53209.png","plot")</f>
        <v>plot</v>
      </c>
    </row>
    <row r="33" spans="1:29" x14ac:dyDescent="0.35">
      <c r="A33" t="s">
        <v>48</v>
      </c>
      <c r="B33">
        <v>52046</v>
      </c>
      <c r="C33" t="s">
        <v>51</v>
      </c>
      <c r="D33">
        <v>53210</v>
      </c>
      <c r="E33" t="s">
        <v>85</v>
      </c>
      <c r="F33">
        <v>12235</v>
      </c>
      <c r="G33">
        <v>0.83485210526406362</v>
      </c>
      <c r="H33">
        <v>0</v>
      </c>
      <c r="I33">
        <v>0</v>
      </c>
      <c r="J33">
        <v>0.71036862826774361</v>
      </c>
      <c r="K33">
        <v>0</v>
      </c>
      <c r="L33">
        <v>0</v>
      </c>
      <c r="M33">
        <v>0.52007094924693531</v>
      </c>
      <c r="N33">
        <v>0</v>
      </c>
      <c r="O33">
        <v>0</v>
      </c>
      <c r="P33">
        <v>0.69697803766383915</v>
      </c>
      <c r="Q33">
        <v>1.389602820261046</v>
      </c>
      <c r="R33">
        <v>-7.2482440645056494</v>
      </c>
      <c r="S33">
        <v>0.1835177533296185</v>
      </c>
      <c r="T33">
        <v>0.14199970066809611</v>
      </c>
      <c r="U33">
        <v>4.492365550143032</v>
      </c>
      <c r="V33">
        <v>0.20029847339670609</v>
      </c>
      <c r="W33">
        <v>-1.005640226383326</v>
      </c>
      <c r="X33">
        <v>0.33339476749358798</v>
      </c>
      <c r="Z33" t="s">
        <v>392</v>
      </c>
      <c r="AA33">
        <v>9400</v>
      </c>
      <c r="AB33" t="s">
        <v>2452</v>
      </c>
      <c r="AC33" t="str">
        <f>HYPERLINK("plots/3FT6Y578R01_012_S11P_20251111092011_M5358ACSH101811_RBGEUFRF26/dpll_52046/txpa_53210.png","plot")</f>
        <v>plot</v>
      </c>
    </row>
    <row r="34" spans="1:29" x14ac:dyDescent="0.35">
      <c r="A34" t="s">
        <v>48</v>
      </c>
      <c r="B34">
        <v>52046</v>
      </c>
      <c r="C34" t="s">
        <v>51</v>
      </c>
      <c r="D34">
        <v>53211</v>
      </c>
      <c r="E34" t="s">
        <v>86</v>
      </c>
      <c r="F34">
        <v>12238</v>
      </c>
      <c r="G34">
        <v>0.833289174969994</v>
      </c>
      <c r="H34">
        <v>0</v>
      </c>
      <c r="I34">
        <v>0</v>
      </c>
      <c r="J34">
        <v>0.7229664530147577</v>
      </c>
      <c r="K34">
        <v>0</v>
      </c>
      <c r="L34">
        <v>0</v>
      </c>
      <c r="M34">
        <v>0.52886910285259481</v>
      </c>
      <c r="N34">
        <v>0</v>
      </c>
      <c r="O34">
        <v>0</v>
      </c>
      <c r="P34">
        <v>0.69437084912217328</v>
      </c>
      <c r="Q34">
        <v>1.5500851176228381</v>
      </c>
      <c r="R34">
        <v>-4.6618771549248326</v>
      </c>
      <c r="S34">
        <v>0.2059475607634228</v>
      </c>
      <c r="T34">
        <v>0.15506081498504259</v>
      </c>
      <c r="U34">
        <v>4.4923384648635407</v>
      </c>
      <c r="V34">
        <v>0.2002706018626684</v>
      </c>
      <c r="W34">
        <v>2.3016298427847679</v>
      </c>
      <c r="X34">
        <v>0.37254351642797912</v>
      </c>
      <c r="Z34" t="s">
        <v>392</v>
      </c>
      <c r="AA34">
        <v>9400</v>
      </c>
      <c r="AB34" t="s">
        <v>2453</v>
      </c>
      <c r="AC34" t="str">
        <f>HYPERLINK("plots/3FT6Y578R01_012_S11P_20251111092011_M5358ACSH101811_RBGEUFRF26/dpll_52046/txpa_53211.png","plot")</f>
        <v>plot</v>
      </c>
    </row>
    <row r="35" spans="1:29" x14ac:dyDescent="0.35">
      <c r="A35" t="s">
        <v>48</v>
      </c>
      <c r="B35">
        <v>52046</v>
      </c>
      <c r="C35" t="s">
        <v>51</v>
      </c>
      <c r="D35">
        <v>53212</v>
      </c>
      <c r="E35" t="s">
        <v>87</v>
      </c>
      <c r="F35">
        <v>12235</v>
      </c>
      <c r="G35">
        <v>0.84531804090704998</v>
      </c>
      <c r="H35">
        <v>0</v>
      </c>
      <c r="I35">
        <v>0</v>
      </c>
      <c r="J35">
        <v>0.73381918438763694</v>
      </c>
      <c r="K35">
        <v>0</v>
      </c>
      <c r="L35">
        <v>0</v>
      </c>
      <c r="M35">
        <v>0.5407113844395689</v>
      </c>
      <c r="N35">
        <v>0</v>
      </c>
      <c r="O35">
        <v>0</v>
      </c>
      <c r="P35">
        <v>0.71456259028293301</v>
      </c>
      <c r="Q35">
        <v>1.5687927143387881</v>
      </c>
      <c r="R35">
        <v>-4.7115508518490996</v>
      </c>
      <c r="S35">
        <v>0.19853149422698599</v>
      </c>
      <c r="T35">
        <v>0.15171649513505481</v>
      </c>
      <c r="U35">
        <v>4.4923809756436457</v>
      </c>
      <c r="V35">
        <v>0.20023790294912711</v>
      </c>
      <c r="W35">
        <v>2.3360636927748271</v>
      </c>
      <c r="X35">
        <v>0.37161369813424971</v>
      </c>
      <c r="Z35" t="s">
        <v>392</v>
      </c>
      <c r="AA35">
        <v>9400</v>
      </c>
      <c r="AB35" t="s">
        <v>2454</v>
      </c>
      <c r="AC35" t="str">
        <f>HYPERLINK("plots/3FT6Y578R01_012_S11P_20251111092011_M5358ACSH101811_RBGEUFRF26/dpll_52046/txpa_53212.png","plot")</f>
        <v>plot</v>
      </c>
    </row>
    <row r="36" spans="1:29" x14ac:dyDescent="0.35">
      <c r="A36" t="s">
        <v>48</v>
      </c>
      <c r="B36">
        <v>52046</v>
      </c>
      <c r="C36" t="s">
        <v>51</v>
      </c>
      <c r="D36">
        <v>53213</v>
      </c>
      <c r="E36" t="s">
        <v>88</v>
      </c>
      <c r="F36">
        <v>12239</v>
      </c>
      <c r="G36">
        <v>0.84294094255261487</v>
      </c>
      <c r="H36">
        <v>0</v>
      </c>
      <c r="I36">
        <v>0</v>
      </c>
      <c r="J36">
        <v>0.72845892524875389</v>
      </c>
      <c r="K36">
        <v>0</v>
      </c>
      <c r="L36">
        <v>0</v>
      </c>
      <c r="M36">
        <v>0.53536076925791876</v>
      </c>
      <c r="N36">
        <v>0</v>
      </c>
      <c r="O36">
        <v>0</v>
      </c>
      <c r="P36">
        <v>0.71054943263149073</v>
      </c>
      <c r="Q36">
        <v>1.5537799155802019</v>
      </c>
      <c r="R36">
        <v>-4.6337661110405737</v>
      </c>
      <c r="S36">
        <v>0.19862902160283069</v>
      </c>
      <c r="T36">
        <v>0.15077038629494091</v>
      </c>
      <c r="U36">
        <v>4.4922950978838143</v>
      </c>
      <c r="V36">
        <v>0.20029997212919529</v>
      </c>
      <c r="W36">
        <v>2.346271786910695</v>
      </c>
      <c r="X36">
        <v>0.36920982013658948</v>
      </c>
      <c r="Z36" t="s">
        <v>392</v>
      </c>
      <c r="AA36">
        <v>9400</v>
      </c>
      <c r="AB36" t="s">
        <v>2455</v>
      </c>
      <c r="AC36" t="str">
        <f>HYPERLINK("plots/3FT6Y578R01_012_S11P_20251111092011_M5358ACSH101811_RBGEUFRF26/dpll_52046/txpa_53213.png","plot")</f>
        <v>plot</v>
      </c>
    </row>
    <row r="37" spans="1:29" x14ac:dyDescent="0.35">
      <c r="A37" t="s">
        <v>48</v>
      </c>
      <c r="B37">
        <v>52046</v>
      </c>
      <c r="C37" t="s">
        <v>51</v>
      </c>
      <c r="D37">
        <v>53214</v>
      </c>
      <c r="E37" t="s">
        <v>89</v>
      </c>
      <c r="F37">
        <v>12240</v>
      </c>
      <c r="G37">
        <v>0.85104039982143842</v>
      </c>
      <c r="H37">
        <v>0</v>
      </c>
      <c r="I37">
        <v>0</v>
      </c>
      <c r="J37">
        <v>0.73730588393668639</v>
      </c>
      <c r="K37">
        <v>0</v>
      </c>
      <c r="L37">
        <v>0</v>
      </c>
      <c r="M37">
        <v>0.54398971211592806</v>
      </c>
      <c r="N37">
        <v>0</v>
      </c>
      <c r="O37">
        <v>0</v>
      </c>
      <c r="P37">
        <v>0.7242697621282338</v>
      </c>
      <c r="Q37">
        <v>1.5713719435924129</v>
      </c>
      <c r="R37">
        <v>-4.6865468335791141</v>
      </c>
      <c r="S37">
        <v>0.19422055925809961</v>
      </c>
      <c r="T37">
        <v>0.1489979001207731</v>
      </c>
      <c r="U37">
        <v>4.4922587900326798</v>
      </c>
      <c r="V37">
        <v>0.2003281251120857</v>
      </c>
      <c r="W37">
        <v>2.372462592434641</v>
      </c>
      <c r="X37">
        <v>0.36988842759950041</v>
      </c>
      <c r="Z37" t="s">
        <v>392</v>
      </c>
      <c r="AA37">
        <v>9400</v>
      </c>
      <c r="AB37" t="s">
        <v>2456</v>
      </c>
      <c r="AC37" t="str">
        <f>HYPERLINK("plots/3FT6Y578R01_012_S11P_20251111092011_M5358ACSH101811_RBGEUFRF26/dpll_52046/txpa_53214.png","plot")</f>
        <v>plot</v>
      </c>
    </row>
    <row r="38" spans="1:29" x14ac:dyDescent="0.35">
      <c r="A38" t="s">
        <v>48</v>
      </c>
      <c r="B38">
        <v>52046</v>
      </c>
      <c r="C38" t="s">
        <v>51</v>
      </c>
      <c r="D38">
        <v>53215</v>
      </c>
      <c r="E38" t="s">
        <v>90</v>
      </c>
      <c r="F38">
        <v>12237</v>
      </c>
      <c r="G38">
        <v>0.85128946732093713</v>
      </c>
      <c r="H38">
        <v>0</v>
      </c>
      <c r="I38">
        <v>0</v>
      </c>
      <c r="J38">
        <v>0.73625052114723866</v>
      </c>
      <c r="K38">
        <v>0</v>
      </c>
      <c r="L38">
        <v>0</v>
      </c>
      <c r="M38">
        <v>0.54246863106235932</v>
      </c>
      <c r="N38">
        <v>0</v>
      </c>
      <c r="O38">
        <v>0</v>
      </c>
      <c r="P38">
        <v>0.72469375717156492</v>
      </c>
      <c r="Q38">
        <v>1.581875138920156</v>
      </c>
      <c r="R38">
        <v>-4.7556056343159181</v>
      </c>
      <c r="S38">
        <v>0.1952563165272326</v>
      </c>
      <c r="T38">
        <v>0.15030690000621921</v>
      </c>
      <c r="U38">
        <v>4.4923065995750591</v>
      </c>
      <c r="V38">
        <v>0.20027183066745249</v>
      </c>
      <c r="W38">
        <v>2.350662491958813</v>
      </c>
      <c r="X38">
        <v>0.37214724499749352</v>
      </c>
      <c r="Z38" t="s">
        <v>392</v>
      </c>
      <c r="AA38">
        <v>9400</v>
      </c>
      <c r="AB38" t="s">
        <v>2457</v>
      </c>
      <c r="AC38" t="str">
        <f>HYPERLINK("plots/3FT6Y578R01_012_S11P_20251111092011_M5358ACSH101811_RBGEUFRF26/dpll_52046/txpa_53215.png","plot")</f>
        <v>plot</v>
      </c>
    </row>
    <row r="39" spans="1:29" x14ac:dyDescent="0.35">
      <c r="A39" t="s">
        <v>48</v>
      </c>
      <c r="B39">
        <v>52046</v>
      </c>
      <c r="C39" t="s">
        <v>51</v>
      </c>
      <c r="D39">
        <v>53216</v>
      </c>
      <c r="E39" t="s">
        <v>91</v>
      </c>
      <c r="F39">
        <v>12237</v>
      </c>
      <c r="G39">
        <v>0.85378609568192709</v>
      </c>
      <c r="H39">
        <v>0</v>
      </c>
      <c r="I39">
        <v>0</v>
      </c>
      <c r="J39">
        <v>0.74216091133427353</v>
      </c>
      <c r="K39">
        <v>0</v>
      </c>
      <c r="L39">
        <v>0</v>
      </c>
      <c r="M39">
        <v>0.54823019460406208</v>
      </c>
      <c r="N39">
        <v>0</v>
      </c>
      <c r="O39">
        <v>0</v>
      </c>
      <c r="P39">
        <v>0.72895069717978878</v>
      </c>
      <c r="Q39">
        <v>1.58920463150789</v>
      </c>
      <c r="R39">
        <v>-4.7970152308558767</v>
      </c>
      <c r="S39">
        <v>0.19407811428571931</v>
      </c>
      <c r="T39">
        <v>0.14988345978750431</v>
      </c>
      <c r="U39">
        <v>4.4922384689057777</v>
      </c>
      <c r="V39">
        <v>0.20028084643712901</v>
      </c>
      <c r="W39">
        <v>2.3420709497671002</v>
      </c>
      <c r="X39">
        <v>0.37279507170468368</v>
      </c>
      <c r="Z39" t="s">
        <v>392</v>
      </c>
      <c r="AA39">
        <v>9400</v>
      </c>
      <c r="AB39" t="s">
        <v>2458</v>
      </c>
      <c r="AC39" t="str">
        <f>HYPERLINK("plots/3FT6Y578R01_012_S11P_20251111092011_M5358ACSH101811_RBGEUFRF26/dpll_52046/txpa_53216.png","plot")</f>
        <v>plot</v>
      </c>
    </row>
    <row r="40" spans="1:29" x14ac:dyDescent="0.35">
      <c r="A40" t="s">
        <v>48</v>
      </c>
      <c r="B40">
        <v>52046</v>
      </c>
      <c r="C40" t="s">
        <v>51</v>
      </c>
      <c r="D40">
        <v>53217</v>
      </c>
      <c r="E40" t="s">
        <v>92</v>
      </c>
      <c r="F40">
        <v>12236</v>
      </c>
      <c r="G40">
        <v>0.85293625395742889</v>
      </c>
      <c r="H40">
        <v>0</v>
      </c>
      <c r="I40">
        <v>0</v>
      </c>
      <c r="J40">
        <v>0.73780750880900769</v>
      </c>
      <c r="K40">
        <v>0</v>
      </c>
      <c r="L40">
        <v>0</v>
      </c>
      <c r="M40">
        <v>0.54504702958325502</v>
      </c>
      <c r="N40">
        <v>0</v>
      </c>
      <c r="O40">
        <v>0</v>
      </c>
      <c r="P40">
        <v>0.72750025331493162</v>
      </c>
      <c r="Q40">
        <v>1.583927798484873</v>
      </c>
      <c r="R40">
        <v>-4.7635629530728902</v>
      </c>
      <c r="S40">
        <v>0.19414098780013259</v>
      </c>
      <c r="T40">
        <v>0.14933063997251819</v>
      </c>
      <c r="U40">
        <v>4.4923642552304681</v>
      </c>
      <c r="V40">
        <v>0.2002779440097977</v>
      </c>
      <c r="W40">
        <v>2.3520176717064398</v>
      </c>
      <c r="X40">
        <v>0.37192205334063422</v>
      </c>
      <c r="Z40" t="s">
        <v>392</v>
      </c>
      <c r="AA40">
        <v>9400</v>
      </c>
      <c r="AB40" t="s">
        <v>2459</v>
      </c>
      <c r="AC40" t="str">
        <f>HYPERLINK("plots/3FT6Y578R01_012_S11P_20251111092011_M5358ACSH101811_RBGEUFRF26/dpll_52046/txpa_53217.png","plot")</f>
        <v>plot</v>
      </c>
    </row>
    <row r="41" spans="1:29" x14ac:dyDescent="0.35">
      <c r="A41" t="s">
        <v>48</v>
      </c>
      <c r="B41">
        <v>52046</v>
      </c>
      <c r="C41" t="s">
        <v>51</v>
      </c>
      <c r="D41">
        <v>53218</v>
      </c>
      <c r="E41" t="s">
        <v>93</v>
      </c>
      <c r="F41">
        <v>12232</v>
      </c>
      <c r="G41">
        <v>0.84958228858505147</v>
      </c>
      <c r="H41">
        <v>0</v>
      </c>
      <c r="I41">
        <v>0</v>
      </c>
      <c r="J41">
        <v>0.73152516282538671</v>
      </c>
      <c r="K41">
        <v>0</v>
      </c>
      <c r="L41">
        <v>0</v>
      </c>
      <c r="M41">
        <v>0.53936017219856236</v>
      </c>
      <c r="N41">
        <v>0</v>
      </c>
      <c r="O41">
        <v>0</v>
      </c>
      <c r="P41">
        <v>0.72179006507741372</v>
      </c>
      <c r="Q41">
        <v>1.567940524196012</v>
      </c>
      <c r="R41">
        <v>-4.7110086615853399</v>
      </c>
      <c r="S41">
        <v>0.1949264558827852</v>
      </c>
      <c r="T41">
        <v>0.15010648620978781</v>
      </c>
      <c r="U41">
        <v>4.492448706671027</v>
      </c>
      <c r="V41">
        <v>0.20025256499292851</v>
      </c>
      <c r="W41">
        <v>2.3328837184761282</v>
      </c>
      <c r="X41">
        <v>0.36957469093374989</v>
      </c>
      <c r="Z41" t="s">
        <v>392</v>
      </c>
      <c r="AA41">
        <v>9400</v>
      </c>
      <c r="AB41" t="s">
        <v>2460</v>
      </c>
      <c r="AC41" t="str">
        <f>HYPERLINK("plots/3FT6Y578R01_012_S11P_20251111092011_M5358ACSH101811_RBGEUFRF26/dpll_52046/txpa_53218.png","plot")</f>
        <v>plot</v>
      </c>
    </row>
    <row r="42" spans="1:29" x14ac:dyDescent="0.35">
      <c r="A42" t="s">
        <v>48</v>
      </c>
      <c r="B42">
        <v>52046</v>
      </c>
      <c r="C42" t="s">
        <v>51</v>
      </c>
      <c r="D42">
        <v>53219</v>
      </c>
      <c r="E42" t="s">
        <v>94</v>
      </c>
      <c r="F42">
        <v>12229</v>
      </c>
      <c r="G42">
        <v>0.84147368823605417</v>
      </c>
      <c r="H42">
        <v>0</v>
      </c>
      <c r="I42">
        <v>0</v>
      </c>
      <c r="J42">
        <v>0.73051175201909935</v>
      </c>
      <c r="K42">
        <v>0</v>
      </c>
      <c r="L42">
        <v>0</v>
      </c>
      <c r="M42">
        <v>0.53621471795986153</v>
      </c>
      <c r="N42">
        <v>0</v>
      </c>
      <c r="O42">
        <v>0</v>
      </c>
      <c r="P42">
        <v>0.70807796799358813</v>
      </c>
      <c r="Q42">
        <v>1.707685281248243</v>
      </c>
      <c r="R42">
        <v>-3.5110684053528138</v>
      </c>
      <c r="S42">
        <v>0.21939182107047561</v>
      </c>
      <c r="T42">
        <v>0.16528763394287271</v>
      </c>
      <c r="U42">
        <v>4.492607924605446</v>
      </c>
      <c r="V42">
        <v>0.20009556336990039</v>
      </c>
      <c r="W42">
        <v>4.16089202191512</v>
      </c>
      <c r="X42">
        <v>0.40607359824422518</v>
      </c>
      <c r="Z42" t="s">
        <v>392</v>
      </c>
      <c r="AA42">
        <v>9400</v>
      </c>
      <c r="AB42" t="s">
        <v>2461</v>
      </c>
      <c r="AC42" t="str">
        <f>HYPERLINK("plots/3FT6Y578R01_012_S11P_20251111092011_M5358ACSH101811_RBGEUFRF26/dpll_52046/txpa_53219.png","plot")</f>
        <v>plot</v>
      </c>
    </row>
    <row r="43" spans="1:29" x14ac:dyDescent="0.35">
      <c r="A43" t="s">
        <v>48</v>
      </c>
      <c r="B43">
        <v>52046</v>
      </c>
      <c r="C43" t="s">
        <v>51</v>
      </c>
      <c r="D43">
        <v>53220</v>
      </c>
      <c r="E43" t="s">
        <v>95</v>
      </c>
      <c r="F43">
        <v>12230</v>
      </c>
      <c r="G43">
        <v>0.85284649943129964</v>
      </c>
      <c r="H43">
        <v>0</v>
      </c>
      <c r="I43">
        <v>0</v>
      </c>
      <c r="J43">
        <v>0.74093488811997466</v>
      </c>
      <c r="K43">
        <v>0</v>
      </c>
      <c r="L43">
        <v>0</v>
      </c>
      <c r="M43">
        <v>0.5477202912040684</v>
      </c>
      <c r="N43">
        <v>0</v>
      </c>
      <c r="O43">
        <v>0</v>
      </c>
      <c r="P43">
        <v>0.72734715159222174</v>
      </c>
      <c r="Q43">
        <v>1.7319219897774329</v>
      </c>
      <c r="R43">
        <v>-3.5852675075436231</v>
      </c>
      <c r="S43">
        <v>0.21228385533019051</v>
      </c>
      <c r="T43">
        <v>0.1624167820086006</v>
      </c>
      <c r="U43">
        <v>4.4924888164349959</v>
      </c>
      <c r="V43">
        <v>0.20020376828487879</v>
      </c>
      <c r="W43">
        <v>4.1953726624693379</v>
      </c>
      <c r="X43">
        <v>0.40656473229367879</v>
      </c>
      <c r="Z43" t="s">
        <v>392</v>
      </c>
      <c r="AA43">
        <v>9400</v>
      </c>
      <c r="AB43" t="s">
        <v>2462</v>
      </c>
      <c r="AC43" t="str">
        <f>HYPERLINK("plots/3FT6Y578R01_012_S11P_20251111092011_M5358ACSH101811_RBGEUFRF26/dpll_52046/txpa_53220.png","plot")</f>
        <v>plot</v>
      </c>
    </row>
    <row r="44" spans="1:29" x14ac:dyDescent="0.35">
      <c r="A44" t="s">
        <v>48</v>
      </c>
      <c r="B44">
        <v>52046</v>
      </c>
      <c r="C44" t="s">
        <v>51</v>
      </c>
      <c r="D44">
        <v>53221</v>
      </c>
      <c r="E44" t="s">
        <v>96</v>
      </c>
      <c r="F44">
        <v>12231</v>
      </c>
      <c r="G44">
        <v>0.85098848483350542</v>
      </c>
      <c r="H44">
        <v>0</v>
      </c>
      <c r="I44">
        <v>0</v>
      </c>
      <c r="J44">
        <v>0.73576821603015041</v>
      </c>
      <c r="K44">
        <v>0</v>
      </c>
      <c r="L44">
        <v>0</v>
      </c>
      <c r="M44">
        <v>0.54255869781199784</v>
      </c>
      <c r="N44">
        <v>0</v>
      </c>
      <c r="O44">
        <v>0</v>
      </c>
      <c r="P44">
        <v>0.72418140131922526</v>
      </c>
      <c r="Q44">
        <v>1.714714142767455</v>
      </c>
      <c r="R44">
        <v>-3.497098951685766</v>
      </c>
      <c r="S44">
        <v>0.21185315902997501</v>
      </c>
      <c r="T44">
        <v>0.16117894252297549</v>
      </c>
      <c r="U44">
        <v>4.4924966534216333</v>
      </c>
      <c r="V44">
        <v>0.20020405917880421</v>
      </c>
      <c r="W44">
        <v>4.2062485962717684</v>
      </c>
      <c r="X44">
        <v>0.4034046733082563</v>
      </c>
      <c r="Z44" t="s">
        <v>392</v>
      </c>
      <c r="AA44">
        <v>9400</v>
      </c>
      <c r="AB44" t="s">
        <v>2463</v>
      </c>
      <c r="AC44" t="str">
        <f>HYPERLINK("plots/3FT6Y578R01_012_S11P_20251111092011_M5358ACSH101811_RBGEUFRF26/dpll_52046/txpa_53221.png","plot")</f>
        <v>plot</v>
      </c>
    </row>
    <row r="45" spans="1:29" x14ac:dyDescent="0.35">
      <c r="A45" t="s">
        <v>48</v>
      </c>
      <c r="B45">
        <v>52046</v>
      </c>
      <c r="C45" t="s">
        <v>51</v>
      </c>
      <c r="D45">
        <v>53222</v>
      </c>
      <c r="E45" t="s">
        <v>97</v>
      </c>
      <c r="F45">
        <v>12234</v>
      </c>
      <c r="G45">
        <v>0.85835953442150381</v>
      </c>
      <c r="H45">
        <v>0</v>
      </c>
      <c r="I45">
        <v>0</v>
      </c>
      <c r="J45">
        <v>0.74479162186232895</v>
      </c>
      <c r="K45">
        <v>0</v>
      </c>
      <c r="L45">
        <v>0</v>
      </c>
      <c r="M45">
        <v>0.55130713186190383</v>
      </c>
      <c r="N45">
        <v>0</v>
      </c>
      <c r="O45">
        <v>0</v>
      </c>
      <c r="P45">
        <v>0.73678109033230077</v>
      </c>
      <c r="Q45">
        <v>1.733821148300259</v>
      </c>
      <c r="R45">
        <v>-3.5592091237610028</v>
      </c>
      <c r="S45">
        <v>0.20752860165775319</v>
      </c>
      <c r="T45">
        <v>0.15930437479071349</v>
      </c>
      <c r="U45">
        <v>4.4923977948340692</v>
      </c>
      <c r="V45">
        <v>0.20026364046031581</v>
      </c>
      <c r="W45">
        <v>4.2298051794997553</v>
      </c>
      <c r="X45">
        <v>0.40451736264537069</v>
      </c>
      <c r="Z45" t="s">
        <v>392</v>
      </c>
      <c r="AA45">
        <v>9400</v>
      </c>
      <c r="AB45" t="s">
        <v>2464</v>
      </c>
      <c r="AC45" t="str">
        <f>HYPERLINK("plots/3FT6Y578R01_012_S11P_20251111092011_M5358ACSH101811_RBGEUFRF26/dpll_52046/txpa_53222.png","plot")</f>
        <v>plot</v>
      </c>
    </row>
    <row r="46" spans="1:29" x14ac:dyDescent="0.35">
      <c r="A46" t="s">
        <v>48</v>
      </c>
      <c r="B46">
        <v>52046</v>
      </c>
      <c r="C46" t="s">
        <v>51</v>
      </c>
      <c r="D46">
        <v>53223</v>
      </c>
      <c r="E46" t="s">
        <v>98</v>
      </c>
      <c r="F46">
        <v>12234</v>
      </c>
      <c r="G46">
        <v>0.85792389239452627</v>
      </c>
      <c r="H46">
        <v>0</v>
      </c>
      <c r="I46">
        <v>0</v>
      </c>
      <c r="J46">
        <v>0.74381388827592965</v>
      </c>
      <c r="K46">
        <v>0</v>
      </c>
      <c r="L46">
        <v>0</v>
      </c>
      <c r="M46">
        <v>0.54986077513315079</v>
      </c>
      <c r="N46">
        <v>0</v>
      </c>
      <c r="O46">
        <v>0</v>
      </c>
      <c r="P46">
        <v>0.73603340514137472</v>
      </c>
      <c r="Q46">
        <v>1.7456522643407699</v>
      </c>
      <c r="R46">
        <v>-3.6360138139270028</v>
      </c>
      <c r="S46">
        <v>0.2093013396467745</v>
      </c>
      <c r="T46">
        <v>0.1609460672300039</v>
      </c>
      <c r="U46">
        <v>4.4923933996239986</v>
      </c>
      <c r="V46">
        <v>0.20021946650673089</v>
      </c>
      <c r="W46">
        <v>4.2061428964361616</v>
      </c>
      <c r="X46">
        <v>0.40739460477905443</v>
      </c>
      <c r="Z46" t="s">
        <v>392</v>
      </c>
      <c r="AA46">
        <v>9400</v>
      </c>
      <c r="AB46" t="s">
        <v>2465</v>
      </c>
      <c r="AC46" t="str">
        <f>HYPERLINK("plots/3FT6Y578R01_012_S11P_20251111092011_M5358ACSH101811_RBGEUFRF26/dpll_52046/txpa_53223.png","plot")</f>
        <v>plot</v>
      </c>
    </row>
    <row r="47" spans="1:29" x14ac:dyDescent="0.35">
      <c r="A47" t="s">
        <v>48</v>
      </c>
      <c r="B47">
        <v>52046</v>
      </c>
      <c r="C47" t="s">
        <v>51</v>
      </c>
      <c r="D47">
        <v>53224</v>
      </c>
      <c r="E47" t="s">
        <v>99</v>
      </c>
      <c r="F47">
        <v>12231</v>
      </c>
      <c r="G47">
        <v>0.86063682193716606</v>
      </c>
      <c r="H47">
        <v>0</v>
      </c>
      <c r="I47">
        <v>0</v>
      </c>
      <c r="J47">
        <v>0.74849030413515738</v>
      </c>
      <c r="K47">
        <v>0</v>
      </c>
      <c r="L47">
        <v>0</v>
      </c>
      <c r="M47">
        <v>0.55468966488670268</v>
      </c>
      <c r="N47">
        <v>0</v>
      </c>
      <c r="O47">
        <v>0</v>
      </c>
      <c r="P47">
        <v>0.74069573927410526</v>
      </c>
      <c r="Q47">
        <v>1.751724315855496</v>
      </c>
      <c r="R47">
        <v>-3.6685279276981588</v>
      </c>
      <c r="S47">
        <v>0.20750612099483179</v>
      </c>
      <c r="T47">
        <v>0.1604183035503719</v>
      </c>
      <c r="U47">
        <v>4.4923859513531186</v>
      </c>
      <c r="V47">
        <v>0.20021564237402259</v>
      </c>
      <c r="W47">
        <v>4.2008937794947263</v>
      </c>
      <c r="X47">
        <v>0.40751522619236641</v>
      </c>
      <c r="Z47" t="s">
        <v>392</v>
      </c>
      <c r="AA47">
        <v>9400</v>
      </c>
      <c r="AB47" t="s">
        <v>2466</v>
      </c>
      <c r="AC47" t="str">
        <f>HYPERLINK("plots/3FT6Y578R01_012_S11P_20251111092011_M5358ACSH101811_RBGEUFRF26/dpll_52046/txpa_53224.png","plot")</f>
        <v>plot</v>
      </c>
    </row>
    <row r="48" spans="1:29" x14ac:dyDescent="0.35">
      <c r="A48" t="s">
        <v>48</v>
      </c>
      <c r="B48">
        <v>52046</v>
      </c>
      <c r="C48" t="s">
        <v>51</v>
      </c>
      <c r="D48">
        <v>53225</v>
      </c>
      <c r="E48" t="s">
        <v>100</v>
      </c>
      <c r="F48">
        <v>12227</v>
      </c>
      <c r="G48">
        <v>0.86022230065011929</v>
      </c>
      <c r="H48">
        <v>0</v>
      </c>
      <c r="I48">
        <v>0</v>
      </c>
      <c r="J48">
        <v>0.7441198577700302</v>
      </c>
      <c r="K48">
        <v>0</v>
      </c>
      <c r="L48">
        <v>0</v>
      </c>
      <c r="M48">
        <v>0.55148775140295181</v>
      </c>
      <c r="N48">
        <v>0</v>
      </c>
      <c r="O48">
        <v>0</v>
      </c>
      <c r="P48">
        <v>0.73998240653578418</v>
      </c>
      <c r="Q48">
        <v>1.745403631446885</v>
      </c>
      <c r="R48">
        <v>-3.6308779342679429</v>
      </c>
      <c r="S48">
        <v>0.20711070402290049</v>
      </c>
      <c r="T48">
        <v>0.15960296581981939</v>
      </c>
      <c r="U48">
        <v>4.49257624756686</v>
      </c>
      <c r="V48">
        <v>0.20018602681931591</v>
      </c>
      <c r="W48">
        <v>4.2104809627872726</v>
      </c>
      <c r="X48">
        <v>0.40618037675992802</v>
      </c>
      <c r="Z48" t="s">
        <v>392</v>
      </c>
      <c r="AA48">
        <v>9400</v>
      </c>
      <c r="AB48" t="s">
        <v>2467</v>
      </c>
      <c r="AC48" t="str">
        <f>HYPERLINK("plots/3FT6Y578R01_012_S11P_20251111092011_M5358ACSH101811_RBGEUFRF26/dpll_52046/txpa_53225.png","plot")</f>
        <v>plot</v>
      </c>
    </row>
    <row r="49" spans="1:29" x14ac:dyDescent="0.35">
      <c r="A49" t="s">
        <v>48</v>
      </c>
      <c r="B49">
        <v>52046</v>
      </c>
      <c r="C49" t="s">
        <v>51</v>
      </c>
      <c r="D49">
        <v>53226</v>
      </c>
      <c r="E49" t="s">
        <v>101</v>
      </c>
      <c r="F49">
        <v>12225</v>
      </c>
      <c r="G49">
        <v>0.85690870890390403</v>
      </c>
      <c r="H49">
        <v>0</v>
      </c>
      <c r="I49">
        <v>0</v>
      </c>
      <c r="J49">
        <v>0.73912002740868965</v>
      </c>
      <c r="K49">
        <v>0</v>
      </c>
      <c r="L49">
        <v>0</v>
      </c>
      <c r="M49">
        <v>0.54670684468621344</v>
      </c>
      <c r="N49">
        <v>0</v>
      </c>
      <c r="O49">
        <v>0</v>
      </c>
      <c r="P49">
        <v>0.73429253539535577</v>
      </c>
      <c r="Q49">
        <v>1.7279871578020429</v>
      </c>
      <c r="R49">
        <v>-3.5715145841973999</v>
      </c>
      <c r="S49">
        <v>0.2080493892207381</v>
      </c>
      <c r="T49">
        <v>0.1603514423448571</v>
      </c>
      <c r="U49">
        <v>4.4926308103885484</v>
      </c>
      <c r="V49">
        <v>0.20015957807810411</v>
      </c>
      <c r="W49">
        <v>4.1916937608997964</v>
      </c>
      <c r="X49">
        <v>0.40362897101659201</v>
      </c>
      <c r="Z49" t="s">
        <v>392</v>
      </c>
      <c r="AA49">
        <v>9400</v>
      </c>
      <c r="AB49" t="s">
        <v>2468</v>
      </c>
      <c r="AC49" t="str">
        <f>HYPERLINK("plots/3FT6Y578R01_012_S11P_20251111092011_M5358ACSH101811_RBGEUFRF26/dpll_52046/txpa_53226.png","plot")</f>
        <v>plot</v>
      </c>
    </row>
    <row r="50" spans="1:29" x14ac:dyDescent="0.35">
      <c r="A50" t="s">
        <v>48</v>
      </c>
      <c r="B50">
        <v>52046</v>
      </c>
      <c r="C50" t="s">
        <v>51</v>
      </c>
      <c r="D50">
        <v>53227</v>
      </c>
      <c r="E50" t="s">
        <v>102</v>
      </c>
      <c r="F50">
        <v>12200</v>
      </c>
      <c r="G50">
        <v>0.85210874055015751</v>
      </c>
      <c r="H50">
        <v>0</v>
      </c>
      <c r="I50">
        <v>0</v>
      </c>
      <c r="J50">
        <v>0.73517966613483188</v>
      </c>
      <c r="K50">
        <v>0</v>
      </c>
      <c r="L50">
        <v>0</v>
      </c>
      <c r="M50">
        <v>0.54158451473738156</v>
      </c>
      <c r="N50">
        <v>0</v>
      </c>
      <c r="O50">
        <v>0</v>
      </c>
      <c r="P50">
        <v>0.72608930572197561</v>
      </c>
      <c r="Q50">
        <v>1.9369151818433159</v>
      </c>
      <c r="R50">
        <v>-2.3223802429814211</v>
      </c>
      <c r="S50">
        <v>0.23775479041111111</v>
      </c>
      <c r="T50">
        <v>0.18120137700144681</v>
      </c>
      <c r="U50">
        <v>4.4932325730327856</v>
      </c>
      <c r="V50">
        <v>0.19986051322691431</v>
      </c>
      <c r="W50">
        <v>6.3806301432786876</v>
      </c>
      <c r="X50">
        <v>0.45429983744829422</v>
      </c>
      <c r="Z50" t="s">
        <v>392</v>
      </c>
      <c r="AA50">
        <v>9400</v>
      </c>
      <c r="AB50" t="s">
        <v>2469</v>
      </c>
      <c r="AC50" t="str">
        <f>HYPERLINK("plots/3FT6Y578R01_012_S11P_20251111092011_M5358ACSH101811_RBGEUFRF26/dpll_52046/txpa_53227.png","plot")</f>
        <v>plot</v>
      </c>
    </row>
    <row r="51" spans="1:29" x14ac:dyDescent="0.35">
      <c r="A51" t="s">
        <v>48</v>
      </c>
      <c r="B51">
        <v>52046</v>
      </c>
      <c r="C51" t="s">
        <v>51</v>
      </c>
      <c r="D51">
        <v>53228</v>
      </c>
      <c r="E51" t="s">
        <v>103</v>
      </c>
      <c r="F51">
        <v>12215</v>
      </c>
      <c r="G51">
        <v>0.86009371505974597</v>
      </c>
      <c r="H51">
        <v>0</v>
      </c>
      <c r="I51">
        <v>0</v>
      </c>
      <c r="J51">
        <v>0.74531837021179537</v>
      </c>
      <c r="K51">
        <v>0</v>
      </c>
      <c r="L51">
        <v>0</v>
      </c>
      <c r="M51">
        <v>0.55251371837043139</v>
      </c>
      <c r="N51">
        <v>0</v>
      </c>
      <c r="O51">
        <v>0</v>
      </c>
      <c r="P51">
        <v>0.73976119868527546</v>
      </c>
      <c r="Q51">
        <v>1.969828940365572</v>
      </c>
      <c r="R51">
        <v>-2.4353142500390321</v>
      </c>
      <c r="S51">
        <v>0.23374984891435191</v>
      </c>
      <c r="T51">
        <v>0.17975930771698639</v>
      </c>
      <c r="U51">
        <v>4.4928157504707329</v>
      </c>
      <c r="V51">
        <v>0.20007846745309821</v>
      </c>
      <c r="W51">
        <v>6.4147642389684814</v>
      </c>
      <c r="X51">
        <v>0.45822954944593047</v>
      </c>
      <c r="Z51" t="s">
        <v>392</v>
      </c>
      <c r="AA51">
        <v>9400</v>
      </c>
      <c r="AB51" t="s">
        <v>2470</v>
      </c>
      <c r="AC51" t="str">
        <f>HYPERLINK("plots/3FT6Y578R01_012_S11P_20251111092011_M5358ACSH101811_RBGEUFRF26/dpll_52046/txpa_53228.png","plot")</f>
        <v>plot</v>
      </c>
    </row>
    <row r="52" spans="1:29" x14ac:dyDescent="0.35">
      <c r="A52" t="s">
        <v>48</v>
      </c>
      <c r="B52">
        <v>52046</v>
      </c>
      <c r="C52" t="s">
        <v>51</v>
      </c>
      <c r="D52">
        <v>53229</v>
      </c>
      <c r="E52" t="s">
        <v>104</v>
      </c>
      <c r="F52">
        <v>12207</v>
      </c>
      <c r="G52">
        <v>0.85988866037829048</v>
      </c>
      <c r="H52">
        <v>0</v>
      </c>
      <c r="I52">
        <v>0</v>
      </c>
      <c r="J52">
        <v>0.73997858783669779</v>
      </c>
      <c r="K52">
        <v>0</v>
      </c>
      <c r="L52">
        <v>0</v>
      </c>
      <c r="M52">
        <v>0.54733188829155865</v>
      </c>
      <c r="N52">
        <v>0</v>
      </c>
      <c r="O52">
        <v>0</v>
      </c>
      <c r="P52">
        <v>0.73940850824717097</v>
      </c>
      <c r="Q52">
        <v>1.947205112699987</v>
      </c>
      <c r="R52">
        <v>-2.3216405276946741</v>
      </c>
      <c r="S52">
        <v>0.231185326760044</v>
      </c>
      <c r="T52">
        <v>0.17768833876050091</v>
      </c>
      <c r="U52">
        <v>4.4930258648316537</v>
      </c>
      <c r="V52">
        <v>0.19999929290024049</v>
      </c>
      <c r="W52">
        <v>6.4272024077988039</v>
      </c>
      <c r="X52">
        <v>0.45289543125316301</v>
      </c>
      <c r="Z52" t="s">
        <v>392</v>
      </c>
      <c r="AA52">
        <v>9400</v>
      </c>
      <c r="AB52" t="s">
        <v>2471</v>
      </c>
      <c r="AC52" t="str">
        <f>HYPERLINK("plots/3FT6Y578R01_012_S11P_20251111092011_M5358ACSH101811_RBGEUFRF26/dpll_52046/txpa_53229.png","plot")</f>
        <v>plot</v>
      </c>
    </row>
    <row r="53" spans="1:29" x14ac:dyDescent="0.35">
      <c r="A53" t="s">
        <v>48</v>
      </c>
      <c r="B53">
        <v>52046</v>
      </c>
      <c r="C53" t="s">
        <v>51</v>
      </c>
      <c r="D53">
        <v>53230</v>
      </c>
      <c r="E53" t="s">
        <v>105</v>
      </c>
      <c r="F53">
        <v>12215</v>
      </c>
      <c r="G53">
        <v>0.86549836317062845</v>
      </c>
      <c r="H53">
        <v>0</v>
      </c>
      <c r="I53">
        <v>0</v>
      </c>
      <c r="J53">
        <v>0.74853271529420651</v>
      </c>
      <c r="K53">
        <v>0</v>
      </c>
      <c r="L53">
        <v>0</v>
      </c>
      <c r="M53">
        <v>0.55576225991924366</v>
      </c>
      <c r="N53">
        <v>0</v>
      </c>
      <c r="O53">
        <v>0</v>
      </c>
      <c r="P53">
        <v>0.74908741665103706</v>
      </c>
      <c r="Q53">
        <v>1.969594337800374</v>
      </c>
      <c r="R53">
        <v>-2.4009547887203402</v>
      </c>
      <c r="S53">
        <v>0.22806245414380999</v>
      </c>
      <c r="T53">
        <v>0.1762362214422406</v>
      </c>
      <c r="U53">
        <v>4.4928405621776504</v>
      </c>
      <c r="V53">
        <v>0.20007821955883701</v>
      </c>
      <c r="W53">
        <v>6.4481185431846084</v>
      </c>
      <c r="X53">
        <v>0.45531331441995571</v>
      </c>
      <c r="Z53" t="s">
        <v>392</v>
      </c>
      <c r="AA53">
        <v>9400</v>
      </c>
      <c r="AB53" t="s">
        <v>2472</v>
      </c>
      <c r="AC53" t="str">
        <f>HYPERLINK("plots/3FT6Y578R01_012_S11P_20251111092011_M5358ACSH101811_RBGEUFRF26/dpll_52046/txpa_53230.png","plot")</f>
        <v>plot</v>
      </c>
    </row>
    <row r="54" spans="1:29" x14ac:dyDescent="0.35">
      <c r="A54" t="s">
        <v>48</v>
      </c>
      <c r="B54">
        <v>52046</v>
      </c>
      <c r="C54" t="s">
        <v>51</v>
      </c>
      <c r="D54">
        <v>53231</v>
      </c>
      <c r="E54" t="s">
        <v>106</v>
      </c>
      <c r="F54">
        <v>12208</v>
      </c>
      <c r="G54">
        <v>0.86532564462368455</v>
      </c>
      <c r="H54">
        <v>0</v>
      </c>
      <c r="I54">
        <v>0</v>
      </c>
      <c r="J54">
        <v>0.74751394533307813</v>
      </c>
      <c r="K54">
        <v>0</v>
      </c>
      <c r="L54">
        <v>0</v>
      </c>
      <c r="M54">
        <v>0.55441026195915211</v>
      </c>
      <c r="N54">
        <v>0</v>
      </c>
      <c r="O54">
        <v>0</v>
      </c>
      <c r="P54">
        <v>0.7487884712433952</v>
      </c>
      <c r="Q54">
        <v>1.977423768283733</v>
      </c>
      <c r="R54">
        <v>-2.4610485015718941</v>
      </c>
      <c r="S54">
        <v>0.22897313381556861</v>
      </c>
      <c r="T54">
        <v>0.17731881671484229</v>
      </c>
      <c r="U54">
        <v>4.4930391592398431</v>
      </c>
      <c r="V54">
        <v>0.1999228146624642</v>
      </c>
      <c r="W54">
        <v>6.4235939237385322</v>
      </c>
      <c r="X54">
        <v>0.45685936617267769</v>
      </c>
      <c r="Z54" t="s">
        <v>392</v>
      </c>
      <c r="AA54">
        <v>9400</v>
      </c>
      <c r="AB54" t="s">
        <v>2473</v>
      </c>
      <c r="AC54" t="str">
        <f>HYPERLINK("plots/3FT6Y578R01_012_S11P_20251111092011_M5358ACSH101811_RBGEUFRF26/dpll_52046/txpa_53231.png","plot")</f>
        <v>plot</v>
      </c>
    </row>
    <row r="55" spans="1:29" x14ac:dyDescent="0.35">
      <c r="A55" t="s">
        <v>48</v>
      </c>
      <c r="B55">
        <v>52046</v>
      </c>
      <c r="C55" t="s">
        <v>51</v>
      </c>
      <c r="D55">
        <v>53232</v>
      </c>
      <c r="E55" t="s">
        <v>107</v>
      </c>
      <c r="F55">
        <v>12217</v>
      </c>
      <c r="G55">
        <v>0.86614739797917051</v>
      </c>
      <c r="H55">
        <v>0</v>
      </c>
      <c r="I55">
        <v>0</v>
      </c>
      <c r="J55">
        <v>0.75133271596590456</v>
      </c>
      <c r="K55">
        <v>0</v>
      </c>
      <c r="L55">
        <v>0</v>
      </c>
      <c r="M55">
        <v>0.55825643181798679</v>
      </c>
      <c r="N55">
        <v>0</v>
      </c>
      <c r="O55">
        <v>0</v>
      </c>
      <c r="P55">
        <v>0.75021131502608762</v>
      </c>
      <c r="Q55">
        <v>1.9895752883818241</v>
      </c>
      <c r="R55">
        <v>-2.5191864213630129</v>
      </c>
      <c r="S55">
        <v>0.2296325688119118</v>
      </c>
      <c r="T55">
        <v>0.1779601130456768</v>
      </c>
      <c r="U55">
        <v>4.49275232037325</v>
      </c>
      <c r="V55">
        <v>0.20003053897660431</v>
      </c>
      <c r="W55">
        <v>6.4194825720717041</v>
      </c>
      <c r="X55">
        <v>0.45947816526156671</v>
      </c>
      <c r="Z55" t="s">
        <v>392</v>
      </c>
      <c r="AA55">
        <v>9400</v>
      </c>
      <c r="AB55" t="s">
        <v>2474</v>
      </c>
      <c r="AC55" t="str">
        <f>HYPERLINK("plots/3FT6Y578R01_012_S11P_20251111092011_M5358ACSH101811_RBGEUFRF26/dpll_52046/txpa_53232.png","plot")</f>
        <v>plot</v>
      </c>
    </row>
    <row r="56" spans="1:29" x14ac:dyDescent="0.35">
      <c r="A56" t="s">
        <v>48</v>
      </c>
      <c r="B56">
        <v>52046</v>
      </c>
      <c r="C56" t="s">
        <v>51</v>
      </c>
      <c r="D56">
        <v>53233</v>
      </c>
      <c r="E56" t="s">
        <v>108</v>
      </c>
      <c r="F56">
        <v>12205</v>
      </c>
      <c r="G56">
        <v>0.86747680018093587</v>
      </c>
      <c r="H56">
        <v>0</v>
      </c>
      <c r="I56">
        <v>0</v>
      </c>
      <c r="J56">
        <v>0.74722890147201271</v>
      </c>
      <c r="K56">
        <v>0</v>
      </c>
      <c r="L56">
        <v>0</v>
      </c>
      <c r="M56">
        <v>0.55548098738515939</v>
      </c>
      <c r="N56">
        <v>0</v>
      </c>
      <c r="O56">
        <v>0</v>
      </c>
      <c r="P56">
        <v>0.75251599885215537</v>
      </c>
      <c r="Q56">
        <v>1.979702419816207</v>
      </c>
      <c r="R56">
        <v>-2.4650887156435788</v>
      </c>
      <c r="S56">
        <v>0.22702846721944181</v>
      </c>
      <c r="T56">
        <v>0.1761453437229627</v>
      </c>
      <c r="U56">
        <v>4.4930835769766491</v>
      </c>
      <c r="V56">
        <v>0.19997812860569711</v>
      </c>
      <c r="W56">
        <v>6.4298797141335511</v>
      </c>
      <c r="X56">
        <v>0.45637783630460221</v>
      </c>
      <c r="Z56" t="s">
        <v>392</v>
      </c>
      <c r="AA56">
        <v>9400</v>
      </c>
      <c r="AB56" t="s">
        <v>2475</v>
      </c>
      <c r="AC56" t="str">
        <f>HYPERLINK("plots/3FT6Y578R01_012_S11P_20251111092011_M5358ACSH101811_RBGEUFRF26/dpll_52046/txpa_53233.png","plot")</f>
        <v>plot</v>
      </c>
    </row>
    <row r="57" spans="1:29" x14ac:dyDescent="0.35">
      <c r="A57" t="s">
        <v>48</v>
      </c>
      <c r="B57">
        <v>52046</v>
      </c>
      <c r="C57" t="s">
        <v>51</v>
      </c>
      <c r="D57">
        <v>53234</v>
      </c>
      <c r="E57" t="s">
        <v>109</v>
      </c>
      <c r="F57">
        <v>12195</v>
      </c>
      <c r="G57">
        <v>0.86423763346863514</v>
      </c>
      <c r="H57">
        <v>0</v>
      </c>
      <c r="I57">
        <v>0</v>
      </c>
      <c r="J57">
        <v>0.74234165028055832</v>
      </c>
      <c r="K57">
        <v>0</v>
      </c>
      <c r="L57">
        <v>0</v>
      </c>
      <c r="M57">
        <v>0.55067815661959862</v>
      </c>
      <c r="N57">
        <v>0</v>
      </c>
      <c r="O57">
        <v>0</v>
      </c>
      <c r="P57">
        <v>0.74690668710346697</v>
      </c>
      <c r="Q57">
        <v>1.955485988969224</v>
      </c>
      <c r="R57">
        <v>-2.3748764852202111</v>
      </c>
      <c r="S57">
        <v>0.22739082064511179</v>
      </c>
      <c r="T57">
        <v>0.1766851177546771</v>
      </c>
      <c r="U57">
        <v>4.4933939275932753</v>
      </c>
      <c r="V57">
        <v>0.19976935434918999</v>
      </c>
      <c r="W57">
        <v>6.4118923831078316</v>
      </c>
      <c r="X57">
        <v>0.45201245389812839</v>
      </c>
      <c r="Z57" t="s">
        <v>392</v>
      </c>
      <c r="AA57">
        <v>9400</v>
      </c>
      <c r="AB57" t="s">
        <v>2476</v>
      </c>
      <c r="AC57" t="str">
        <f>HYPERLINK("plots/3FT6Y578R01_012_S11P_20251111092011_M5358ACSH101811_RBGEUFRF26/dpll_52046/txpa_53234.png","plot")</f>
        <v>plot</v>
      </c>
    </row>
    <row r="58" spans="1:29" x14ac:dyDescent="0.35">
      <c r="A58" t="s">
        <v>48</v>
      </c>
      <c r="B58">
        <v>52046</v>
      </c>
      <c r="C58" t="s">
        <v>51</v>
      </c>
      <c r="D58">
        <v>53235</v>
      </c>
      <c r="E58" t="s">
        <v>110</v>
      </c>
      <c r="F58">
        <v>12187</v>
      </c>
      <c r="G58">
        <v>0.8552161717708443</v>
      </c>
      <c r="H58">
        <v>0</v>
      </c>
      <c r="I58">
        <v>0</v>
      </c>
      <c r="J58">
        <v>0.73552518024518798</v>
      </c>
      <c r="K58">
        <v>0</v>
      </c>
      <c r="L58">
        <v>0</v>
      </c>
      <c r="M58">
        <v>0.54237081676702947</v>
      </c>
      <c r="N58">
        <v>0</v>
      </c>
      <c r="O58">
        <v>0</v>
      </c>
      <c r="P58">
        <v>0.73139470045837829</v>
      </c>
      <c r="Q58">
        <v>2.050529689111285</v>
      </c>
      <c r="R58">
        <v>-1.8590117303160409</v>
      </c>
      <c r="S58">
        <v>0.24820891897183839</v>
      </c>
      <c r="T58">
        <v>0.19004377708304401</v>
      </c>
      <c r="U58">
        <v>4.4935167773036842</v>
      </c>
      <c r="V58">
        <v>0.1997504453030487</v>
      </c>
      <c r="W58">
        <v>7.3550778300648236</v>
      </c>
      <c r="X58">
        <v>0.4789364748084442</v>
      </c>
      <c r="Z58" t="s">
        <v>392</v>
      </c>
      <c r="AA58">
        <v>9400</v>
      </c>
      <c r="AB58" t="s">
        <v>2477</v>
      </c>
      <c r="AC58" t="str">
        <f>HYPERLINK("plots/3FT6Y578R01_012_S11P_20251111092011_M5358ACSH101811_RBGEUFRF26/dpll_52046/txpa_53235.png","plot")</f>
        <v>plot</v>
      </c>
    </row>
    <row r="59" spans="1:29" x14ac:dyDescent="0.35">
      <c r="A59" t="s">
        <v>48</v>
      </c>
      <c r="B59">
        <v>52046</v>
      </c>
      <c r="C59" t="s">
        <v>51</v>
      </c>
      <c r="D59">
        <v>53236</v>
      </c>
      <c r="E59" t="s">
        <v>111</v>
      </c>
      <c r="F59">
        <v>12192</v>
      </c>
      <c r="G59">
        <v>0.86330733612168209</v>
      </c>
      <c r="H59">
        <v>0</v>
      </c>
      <c r="I59">
        <v>0</v>
      </c>
      <c r="J59">
        <v>0.74501527017297797</v>
      </c>
      <c r="K59">
        <v>0</v>
      </c>
      <c r="L59">
        <v>0</v>
      </c>
      <c r="M59">
        <v>0.55273052803932954</v>
      </c>
      <c r="N59">
        <v>0</v>
      </c>
      <c r="O59">
        <v>0</v>
      </c>
      <c r="P59">
        <v>0.74529955660151492</v>
      </c>
      <c r="Q59">
        <v>2.0782412113388489</v>
      </c>
      <c r="R59">
        <v>-1.947270430855031</v>
      </c>
      <c r="S59">
        <v>0.2427361938040199</v>
      </c>
      <c r="T59">
        <v>0.18795095393828939</v>
      </c>
      <c r="U59">
        <v>4.4933764730971131</v>
      </c>
      <c r="V59">
        <v>0.1998052877565861</v>
      </c>
      <c r="W59">
        <v>7.3910497335957999</v>
      </c>
      <c r="X59">
        <v>0.48099160737425561</v>
      </c>
      <c r="Z59" t="s">
        <v>392</v>
      </c>
      <c r="AA59">
        <v>9400</v>
      </c>
      <c r="AB59" t="s">
        <v>2478</v>
      </c>
      <c r="AC59" t="str">
        <f>HYPERLINK("plots/3FT6Y578R01_012_S11P_20251111092011_M5358ACSH101811_RBGEUFRF26/dpll_52046/txpa_53236.png","plot")</f>
        <v>plot</v>
      </c>
    </row>
    <row r="60" spans="1:29" x14ac:dyDescent="0.35">
      <c r="A60" t="s">
        <v>48</v>
      </c>
      <c r="B60">
        <v>52046</v>
      </c>
      <c r="C60" t="s">
        <v>51</v>
      </c>
      <c r="D60">
        <v>53237</v>
      </c>
      <c r="E60" t="s">
        <v>112</v>
      </c>
      <c r="F60">
        <v>12188</v>
      </c>
      <c r="G60">
        <v>0.86270918600933377</v>
      </c>
      <c r="H60">
        <v>0</v>
      </c>
      <c r="I60">
        <v>0</v>
      </c>
      <c r="J60">
        <v>0.7399791694321104</v>
      </c>
      <c r="K60">
        <v>0</v>
      </c>
      <c r="L60">
        <v>0</v>
      </c>
      <c r="M60">
        <v>0.54779467619646982</v>
      </c>
      <c r="N60">
        <v>0</v>
      </c>
      <c r="O60">
        <v>0</v>
      </c>
      <c r="P60">
        <v>0.74426713962488722</v>
      </c>
      <c r="Q60">
        <v>2.0567694842033961</v>
      </c>
      <c r="R60">
        <v>-1.838852907086411</v>
      </c>
      <c r="S60">
        <v>0.24083195836706431</v>
      </c>
      <c r="T60">
        <v>0.18608940883870839</v>
      </c>
      <c r="U60">
        <v>4.4935062913521504</v>
      </c>
      <c r="V60">
        <v>0.1997641117466683</v>
      </c>
      <c r="W60">
        <v>7.403253710042665</v>
      </c>
      <c r="X60">
        <v>0.47625403292633861</v>
      </c>
      <c r="Z60" t="s">
        <v>392</v>
      </c>
      <c r="AA60">
        <v>9400</v>
      </c>
      <c r="AB60" t="s">
        <v>2479</v>
      </c>
      <c r="AC60" t="str">
        <f>HYPERLINK("plots/3FT6Y578R01_012_S11P_20251111092011_M5358ACSH101811_RBGEUFRF26/dpll_52046/txpa_53237.png","plot")</f>
        <v>plot</v>
      </c>
    </row>
    <row r="61" spans="1:29" x14ac:dyDescent="0.35">
      <c r="A61" t="s">
        <v>48</v>
      </c>
      <c r="B61">
        <v>52046</v>
      </c>
      <c r="C61" t="s">
        <v>51</v>
      </c>
      <c r="D61">
        <v>53238</v>
      </c>
      <c r="E61" t="s">
        <v>113</v>
      </c>
      <c r="F61">
        <v>12200</v>
      </c>
      <c r="G61">
        <v>0.86782624927956054</v>
      </c>
      <c r="H61">
        <v>0</v>
      </c>
      <c r="I61">
        <v>0</v>
      </c>
      <c r="J61">
        <v>0.74838473795814919</v>
      </c>
      <c r="K61">
        <v>0</v>
      </c>
      <c r="L61">
        <v>0</v>
      </c>
      <c r="M61">
        <v>0.55609372896895415</v>
      </c>
      <c r="N61">
        <v>0</v>
      </c>
      <c r="O61">
        <v>0</v>
      </c>
      <c r="P61">
        <v>0.75312239893862998</v>
      </c>
      <c r="Q61">
        <v>2.0833296487565232</v>
      </c>
      <c r="R61">
        <v>-1.937670989194539</v>
      </c>
      <c r="S61">
        <v>0.23844864653459319</v>
      </c>
      <c r="T61">
        <v>0.18506424792754919</v>
      </c>
      <c r="U61">
        <v>4.4932033120491814</v>
      </c>
      <c r="V61">
        <v>0.1999155631501264</v>
      </c>
      <c r="W61">
        <v>7.423152688688524</v>
      </c>
      <c r="X61">
        <v>0.47992327992414491</v>
      </c>
      <c r="Z61" t="s">
        <v>392</v>
      </c>
      <c r="AA61">
        <v>9400</v>
      </c>
      <c r="AB61" t="s">
        <v>2480</v>
      </c>
      <c r="AC61" t="str">
        <f>HYPERLINK("plots/3FT6Y578R01_012_S11P_20251111092011_M5358ACSH101811_RBGEUFRF26/dpll_52046/txpa_53238.png","plot")</f>
        <v>plot</v>
      </c>
    </row>
    <row r="62" spans="1:29" x14ac:dyDescent="0.35">
      <c r="A62" t="s">
        <v>48</v>
      </c>
      <c r="B62">
        <v>52046</v>
      </c>
      <c r="C62" t="s">
        <v>51</v>
      </c>
      <c r="D62">
        <v>53239</v>
      </c>
      <c r="E62" t="s">
        <v>114</v>
      </c>
      <c r="F62">
        <v>12190</v>
      </c>
      <c r="G62">
        <v>0.86831394010102869</v>
      </c>
      <c r="H62">
        <v>0</v>
      </c>
      <c r="I62">
        <v>0</v>
      </c>
      <c r="J62">
        <v>0.74729156694635301</v>
      </c>
      <c r="K62">
        <v>0</v>
      </c>
      <c r="L62">
        <v>0</v>
      </c>
      <c r="M62">
        <v>0.55470826886844216</v>
      </c>
      <c r="N62">
        <v>0</v>
      </c>
      <c r="O62">
        <v>0</v>
      </c>
      <c r="P62">
        <v>0.75396909857377281</v>
      </c>
      <c r="Q62">
        <v>2.090460920698038</v>
      </c>
      <c r="R62">
        <v>-1.995271400168561</v>
      </c>
      <c r="S62">
        <v>0.238516803008616</v>
      </c>
      <c r="T62">
        <v>0.18583787823843539</v>
      </c>
      <c r="U62">
        <v>4.4934414866283836</v>
      </c>
      <c r="V62">
        <v>0.19974535331345619</v>
      </c>
      <c r="W62">
        <v>7.3980924270713686</v>
      </c>
      <c r="X62">
        <v>0.48088581319357743</v>
      </c>
      <c r="Z62" t="s">
        <v>392</v>
      </c>
      <c r="AA62">
        <v>9400</v>
      </c>
      <c r="AB62" t="s">
        <v>2481</v>
      </c>
      <c r="AC62" t="str">
        <f>HYPERLINK("plots/3FT6Y578R01_012_S11P_20251111092011_M5358ACSH101811_RBGEUFRF26/dpll_52046/txpa_53239.png","plot")</f>
        <v>plot</v>
      </c>
    </row>
    <row r="63" spans="1:29" x14ac:dyDescent="0.35">
      <c r="A63" t="s">
        <v>48</v>
      </c>
      <c r="B63">
        <v>52046</v>
      </c>
      <c r="C63" t="s">
        <v>51</v>
      </c>
      <c r="D63">
        <v>53240</v>
      </c>
      <c r="E63" t="s">
        <v>115</v>
      </c>
      <c r="F63">
        <v>12204</v>
      </c>
      <c r="G63">
        <v>0.86846773181907366</v>
      </c>
      <c r="H63">
        <v>0</v>
      </c>
      <c r="I63">
        <v>0</v>
      </c>
      <c r="J63">
        <v>0.75102921441741177</v>
      </c>
      <c r="K63">
        <v>0</v>
      </c>
      <c r="L63">
        <v>0</v>
      </c>
      <c r="M63">
        <v>0.55850233770556423</v>
      </c>
      <c r="N63">
        <v>0</v>
      </c>
      <c r="O63">
        <v>0</v>
      </c>
      <c r="P63">
        <v>0.75423620121096646</v>
      </c>
      <c r="Q63">
        <v>2.1050120527213241</v>
      </c>
      <c r="R63">
        <v>-2.0640473750029309</v>
      </c>
      <c r="S63">
        <v>0.2401955144218402</v>
      </c>
      <c r="T63">
        <v>0.18683600657559679</v>
      </c>
      <c r="U63">
        <v>4.4930475962799079</v>
      </c>
      <c r="V63">
        <v>0.19990461986160979</v>
      </c>
      <c r="W63">
        <v>7.393871968616847</v>
      </c>
      <c r="X63">
        <v>0.48453341302843927</v>
      </c>
      <c r="Z63" t="s">
        <v>392</v>
      </c>
      <c r="AA63">
        <v>9400</v>
      </c>
      <c r="AB63" t="s">
        <v>2482</v>
      </c>
      <c r="AC63" t="str">
        <f>HYPERLINK("plots/3FT6Y578R01_012_S11P_20251111092011_M5358ACSH101811_RBGEUFRF26/dpll_52046/txpa_53240.png","plot")</f>
        <v>plot</v>
      </c>
    </row>
    <row r="64" spans="1:29" x14ac:dyDescent="0.35">
      <c r="A64" t="s">
        <v>48</v>
      </c>
      <c r="B64">
        <v>52046</v>
      </c>
      <c r="C64" t="s">
        <v>51</v>
      </c>
      <c r="D64">
        <v>53241</v>
      </c>
      <c r="E64" t="s">
        <v>116</v>
      </c>
      <c r="F64">
        <v>12186</v>
      </c>
      <c r="G64">
        <v>0.86935803768780529</v>
      </c>
      <c r="H64">
        <v>0</v>
      </c>
      <c r="I64">
        <v>0</v>
      </c>
      <c r="J64">
        <v>0.74679241661978513</v>
      </c>
      <c r="K64">
        <v>0</v>
      </c>
      <c r="L64">
        <v>0</v>
      </c>
      <c r="M64">
        <v>0.55557126836461157</v>
      </c>
      <c r="N64">
        <v>0</v>
      </c>
      <c r="O64">
        <v>0</v>
      </c>
      <c r="P64">
        <v>0.75578339769239145</v>
      </c>
      <c r="Q64">
        <v>2.0910727467927268</v>
      </c>
      <c r="R64">
        <v>-1.991397539400682</v>
      </c>
      <c r="S64">
        <v>0.23730535210757919</v>
      </c>
      <c r="T64">
        <v>0.18479263253124009</v>
      </c>
      <c r="U64">
        <v>4.493613965616281</v>
      </c>
      <c r="V64">
        <v>0.1996490706494006</v>
      </c>
      <c r="W64">
        <v>7.4050761587067138</v>
      </c>
      <c r="X64">
        <v>0.48021725509988211</v>
      </c>
      <c r="Z64" t="s">
        <v>392</v>
      </c>
      <c r="AA64">
        <v>9400</v>
      </c>
      <c r="AB64" t="s">
        <v>2483</v>
      </c>
      <c r="AC64" t="str">
        <f>HYPERLINK("plots/3FT6Y578R01_012_S11P_20251111092011_M5358ACSH101811_RBGEUFRF26/dpll_52046/txpa_53241.png","plot")</f>
        <v>plot</v>
      </c>
    </row>
    <row r="65" spans="1:29" x14ac:dyDescent="0.35">
      <c r="A65" t="s">
        <v>48</v>
      </c>
      <c r="B65">
        <v>52046</v>
      </c>
      <c r="C65" t="s">
        <v>51</v>
      </c>
      <c r="D65">
        <v>53242</v>
      </c>
      <c r="E65" t="s">
        <v>117</v>
      </c>
      <c r="F65">
        <v>12177</v>
      </c>
      <c r="G65">
        <v>0.86643283985405661</v>
      </c>
      <c r="H65">
        <v>0</v>
      </c>
      <c r="I65">
        <v>0</v>
      </c>
      <c r="J65">
        <v>0.74178637555543681</v>
      </c>
      <c r="K65">
        <v>0</v>
      </c>
      <c r="L65">
        <v>0</v>
      </c>
      <c r="M65">
        <v>0.55068611568519676</v>
      </c>
      <c r="N65">
        <v>0</v>
      </c>
      <c r="O65">
        <v>0</v>
      </c>
      <c r="P65">
        <v>0.75070586597756528</v>
      </c>
      <c r="Q65">
        <v>2.066029394163992</v>
      </c>
      <c r="R65">
        <v>-1.897354932774447</v>
      </c>
      <c r="S65">
        <v>0.23755846339865111</v>
      </c>
      <c r="T65">
        <v>0.18529887662612701</v>
      </c>
      <c r="U65">
        <v>4.4938518203991134</v>
      </c>
      <c r="V65">
        <v>0.19954034539592869</v>
      </c>
      <c r="W65">
        <v>7.387075021187484</v>
      </c>
      <c r="X65">
        <v>0.47580862583540279</v>
      </c>
      <c r="Z65" t="s">
        <v>392</v>
      </c>
      <c r="AA65">
        <v>9400</v>
      </c>
      <c r="AB65" t="s">
        <v>2484</v>
      </c>
      <c r="AC65" t="str">
        <f>HYPERLINK("plots/3FT6Y578R01_012_S11P_20251111092011_M5358ACSH101811_RBGEUFRF26/dpll_52046/txpa_53242.png","plot")</f>
        <v>plot</v>
      </c>
    </row>
    <row r="66" spans="1:29" x14ac:dyDescent="0.35">
      <c r="A66" t="s">
        <v>48</v>
      </c>
      <c r="B66">
        <v>52046</v>
      </c>
      <c r="C66" t="s">
        <v>51</v>
      </c>
      <c r="D66">
        <v>53243</v>
      </c>
      <c r="E66" t="s">
        <v>118</v>
      </c>
      <c r="F66">
        <v>12162</v>
      </c>
      <c r="G66">
        <v>0.85801524471712776</v>
      </c>
      <c r="H66">
        <v>0</v>
      </c>
      <c r="I66">
        <v>0</v>
      </c>
      <c r="J66">
        <v>0.73488104128267728</v>
      </c>
      <c r="K66">
        <v>0</v>
      </c>
      <c r="L66">
        <v>0</v>
      </c>
      <c r="M66">
        <v>0.54243677863550099</v>
      </c>
      <c r="N66">
        <v>0</v>
      </c>
      <c r="O66">
        <v>0</v>
      </c>
      <c r="P66">
        <v>0.73619016016699268</v>
      </c>
      <c r="Q66">
        <v>2.1674792268151428</v>
      </c>
      <c r="R66">
        <v>-1.4460415234923529</v>
      </c>
      <c r="S66">
        <v>0.25877710541888582</v>
      </c>
      <c r="T66">
        <v>0.19930448251401939</v>
      </c>
      <c r="U66">
        <v>4.4941451563887522</v>
      </c>
      <c r="V66">
        <v>0.1994519429015543</v>
      </c>
      <c r="W66">
        <v>8.2949247452721586</v>
      </c>
      <c r="X66">
        <v>0.50384645919614535</v>
      </c>
      <c r="Z66" t="s">
        <v>392</v>
      </c>
      <c r="AA66">
        <v>9400</v>
      </c>
      <c r="AB66" t="s">
        <v>2485</v>
      </c>
      <c r="AC66" t="str">
        <f>HYPERLINK("plots/3FT6Y578R01_012_S11P_20251111092011_M5358ACSH101811_RBGEUFRF26/dpll_52046/txpa_53243.png","plot")</f>
        <v>plot</v>
      </c>
    </row>
    <row r="67" spans="1:29" x14ac:dyDescent="0.35">
      <c r="A67" t="s">
        <v>48</v>
      </c>
      <c r="B67">
        <v>52046</v>
      </c>
      <c r="C67" t="s">
        <v>51</v>
      </c>
      <c r="D67">
        <v>53244</v>
      </c>
      <c r="E67" t="s">
        <v>119</v>
      </c>
      <c r="F67">
        <v>12173</v>
      </c>
      <c r="G67">
        <v>0.86519224047808008</v>
      </c>
      <c r="H67">
        <v>0</v>
      </c>
      <c r="I67">
        <v>0</v>
      </c>
      <c r="J67">
        <v>0.7440132073036323</v>
      </c>
      <c r="K67">
        <v>0</v>
      </c>
      <c r="L67">
        <v>0</v>
      </c>
      <c r="M67">
        <v>0.55232470946814916</v>
      </c>
      <c r="N67">
        <v>0</v>
      </c>
      <c r="O67">
        <v>0</v>
      </c>
      <c r="P67">
        <v>0.74855761298347989</v>
      </c>
      <c r="Q67">
        <v>2.1993534211766899</v>
      </c>
      <c r="R67">
        <v>-1.5528073064685921</v>
      </c>
      <c r="S67">
        <v>0.25436111850077792</v>
      </c>
      <c r="T67">
        <v>0.19775272543628181</v>
      </c>
      <c r="U67">
        <v>4.4938639159615539</v>
      </c>
      <c r="V67">
        <v>0.1995569751655375</v>
      </c>
      <c r="W67">
        <v>8.3307876714039271</v>
      </c>
      <c r="X67">
        <v>0.50728184502380147</v>
      </c>
      <c r="Z67" t="s">
        <v>392</v>
      </c>
      <c r="AA67">
        <v>9400</v>
      </c>
      <c r="AB67" t="s">
        <v>2486</v>
      </c>
      <c r="AC67" t="str">
        <f>HYPERLINK("plots/3FT6Y578R01_012_S11P_20251111092011_M5358ACSH101811_RBGEUFRF26/dpll_52046/txpa_53244.png","plot")</f>
        <v>plot</v>
      </c>
    </row>
    <row r="68" spans="1:29" x14ac:dyDescent="0.35">
      <c r="A68" t="s">
        <v>48</v>
      </c>
      <c r="B68">
        <v>52046</v>
      </c>
      <c r="C68" t="s">
        <v>51</v>
      </c>
      <c r="D68">
        <v>53245</v>
      </c>
      <c r="E68" t="s">
        <v>120</v>
      </c>
      <c r="F68">
        <v>12158</v>
      </c>
      <c r="G68">
        <v>0.86511033536800153</v>
      </c>
      <c r="H68">
        <v>0</v>
      </c>
      <c r="I68">
        <v>0</v>
      </c>
      <c r="J68">
        <v>0.73867116480249317</v>
      </c>
      <c r="K68">
        <v>0</v>
      </c>
      <c r="L68">
        <v>0</v>
      </c>
      <c r="M68">
        <v>0.54714202411424284</v>
      </c>
      <c r="N68">
        <v>0</v>
      </c>
      <c r="O68">
        <v>0</v>
      </c>
      <c r="P68">
        <v>0.74841589236053607</v>
      </c>
      <c r="Q68">
        <v>2.1712713994642061</v>
      </c>
      <c r="R68">
        <v>-1.4135827169088271</v>
      </c>
      <c r="S68">
        <v>0.25086366705938928</v>
      </c>
      <c r="T68">
        <v>0.1951774568705322</v>
      </c>
      <c r="U68">
        <v>4.4943210178483302</v>
      </c>
      <c r="V68">
        <v>0.199283533232713</v>
      </c>
      <c r="W68">
        <v>8.3448079691561112</v>
      </c>
      <c r="X68">
        <v>0.5001658382780767</v>
      </c>
      <c r="Z68" t="s">
        <v>392</v>
      </c>
      <c r="AA68">
        <v>9400</v>
      </c>
      <c r="AB68" t="s">
        <v>2487</v>
      </c>
      <c r="AC68" t="str">
        <f>HYPERLINK("plots/3FT6Y578R01_012_S11P_20251111092011_M5358ACSH101811_RBGEUFRF26/dpll_52046/txpa_53245.png","plot")</f>
        <v>plot</v>
      </c>
    </row>
    <row r="69" spans="1:29" x14ac:dyDescent="0.35">
      <c r="A69" t="s">
        <v>48</v>
      </c>
      <c r="B69">
        <v>52046</v>
      </c>
      <c r="C69" t="s">
        <v>51</v>
      </c>
      <c r="D69">
        <v>53246</v>
      </c>
      <c r="E69" t="s">
        <v>121</v>
      </c>
      <c r="F69">
        <v>12183</v>
      </c>
      <c r="G69">
        <v>0.8692938120903807</v>
      </c>
      <c r="H69">
        <v>0</v>
      </c>
      <c r="I69">
        <v>0</v>
      </c>
      <c r="J69">
        <v>0.74733456742076587</v>
      </c>
      <c r="K69">
        <v>0</v>
      </c>
      <c r="L69">
        <v>0</v>
      </c>
      <c r="M69">
        <v>0.55555819610771873</v>
      </c>
      <c r="N69">
        <v>0</v>
      </c>
      <c r="O69">
        <v>0</v>
      </c>
      <c r="P69">
        <v>0.75567173173862612</v>
      </c>
      <c r="Q69">
        <v>2.2066576466708989</v>
      </c>
      <c r="R69">
        <v>-1.5534575572361811</v>
      </c>
      <c r="S69">
        <v>0.25050735849361488</v>
      </c>
      <c r="T69">
        <v>0.1950921056100744</v>
      </c>
      <c r="U69">
        <v>4.4936566642863003</v>
      </c>
      <c r="V69">
        <v>0.19965632930713059</v>
      </c>
      <c r="W69">
        <v>8.3625042825248297</v>
      </c>
      <c r="X69">
        <v>0.50681732648295508</v>
      </c>
      <c r="Z69" t="s">
        <v>392</v>
      </c>
      <c r="AA69">
        <v>9400</v>
      </c>
      <c r="AB69" t="s">
        <v>2488</v>
      </c>
      <c r="AC69" t="str">
        <f>HYPERLINK("plots/3FT6Y578R01_012_S11P_20251111092011_M5358ACSH101811_RBGEUFRF26/dpll_52046/txpa_53246.png","plot")</f>
        <v>plot</v>
      </c>
    </row>
    <row r="70" spans="1:29" x14ac:dyDescent="0.35">
      <c r="A70" t="s">
        <v>48</v>
      </c>
      <c r="B70">
        <v>52046</v>
      </c>
      <c r="C70" t="s">
        <v>51</v>
      </c>
      <c r="D70">
        <v>53247</v>
      </c>
      <c r="E70" t="s">
        <v>122</v>
      </c>
      <c r="F70">
        <v>12170</v>
      </c>
      <c r="G70">
        <v>0.87041997178854802</v>
      </c>
      <c r="H70">
        <v>0</v>
      </c>
      <c r="I70">
        <v>0</v>
      </c>
      <c r="J70">
        <v>0.74606049244306805</v>
      </c>
      <c r="K70">
        <v>0</v>
      </c>
      <c r="L70">
        <v>0</v>
      </c>
      <c r="M70">
        <v>0.5541651392419561</v>
      </c>
      <c r="N70">
        <v>0</v>
      </c>
      <c r="O70">
        <v>0</v>
      </c>
      <c r="P70">
        <v>0.75763092728837678</v>
      </c>
      <c r="Q70">
        <v>2.2128957644669351</v>
      </c>
      <c r="R70">
        <v>-1.6076774251365791</v>
      </c>
      <c r="S70">
        <v>0.24973275784450311</v>
      </c>
      <c r="T70">
        <v>0.19562253159694751</v>
      </c>
      <c r="U70">
        <v>4.4939165676253081</v>
      </c>
      <c r="V70">
        <v>0.19953663590064041</v>
      </c>
      <c r="W70">
        <v>8.3368915132292525</v>
      </c>
      <c r="X70">
        <v>0.50728819506886869</v>
      </c>
      <c r="Z70" t="s">
        <v>392</v>
      </c>
      <c r="AA70">
        <v>9400</v>
      </c>
      <c r="AB70" t="s">
        <v>2489</v>
      </c>
      <c r="AC70" t="str">
        <f>HYPERLINK("plots/3FT6Y578R01_012_S11P_20251111092011_M5358ACSH101811_RBGEUFRF26/dpll_52046/txpa_53247.png","plot")</f>
        <v>plot</v>
      </c>
    </row>
    <row r="71" spans="1:29" x14ac:dyDescent="0.35">
      <c r="A71" t="s">
        <v>48</v>
      </c>
      <c r="B71">
        <v>52046</v>
      </c>
      <c r="C71" t="s">
        <v>51</v>
      </c>
      <c r="D71">
        <v>53248</v>
      </c>
      <c r="E71" t="s">
        <v>123</v>
      </c>
      <c r="F71">
        <v>12180</v>
      </c>
      <c r="G71">
        <v>0.8702269712458478</v>
      </c>
      <c r="H71">
        <v>0</v>
      </c>
      <c r="I71">
        <v>0</v>
      </c>
      <c r="J71">
        <v>0.74951422449757354</v>
      </c>
      <c r="K71">
        <v>0</v>
      </c>
      <c r="L71">
        <v>0</v>
      </c>
      <c r="M71">
        <v>0.5576760062447369</v>
      </c>
      <c r="N71">
        <v>0</v>
      </c>
      <c r="O71">
        <v>0</v>
      </c>
      <c r="P71">
        <v>0.75729498148372165</v>
      </c>
      <c r="Q71">
        <v>2.2236646412473702</v>
      </c>
      <c r="R71">
        <v>-1.658523527431111</v>
      </c>
      <c r="S71">
        <v>0.25116232312669062</v>
      </c>
      <c r="T71">
        <v>0.19628311849285729</v>
      </c>
      <c r="U71">
        <v>4.4937585026272577</v>
      </c>
      <c r="V71">
        <v>0.19952448160265951</v>
      </c>
      <c r="W71">
        <v>8.3340883611658469</v>
      </c>
      <c r="X71">
        <v>0.50983886901122311</v>
      </c>
      <c r="Z71" t="s">
        <v>392</v>
      </c>
      <c r="AA71">
        <v>9400</v>
      </c>
      <c r="AB71" t="s">
        <v>2490</v>
      </c>
      <c r="AC71" t="str">
        <f>HYPERLINK("plots/3FT6Y578R01_012_S11P_20251111092011_M5358ACSH101811_RBGEUFRF26/dpll_52046/txpa_53248.png","plot")</f>
        <v>plot</v>
      </c>
    </row>
    <row r="72" spans="1:29" x14ac:dyDescent="0.35">
      <c r="A72" t="s">
        <v>48</v>
      </c>
      <c r="B72">
        <v>52046</v>
      </c>
      <c r="C72" t="s">
        <v>51</v>
      </c>
      <c r="D72">
        <v>53249</v>
      </c>
      <c r="E72" t="s">
        <v>124</v>
      </c>
      <c r="F72">
        <v>12155</v>
      </c>
      <c r="G72">
        <v>0.87113456233540665</v>
      </c>
      <c r="H72">
        <v>0</v>
      </c>
      <c r="I72">
        <v>0</v>
      </c>
      <c r="J72">
        <v>0.74489164340626368</v>
      </c>
      <c r="K72">
        <v>0</v>
      </c>
      <c r="L72">
        <v>0</v>
      </c>
      <c r="M72">
        <v>0.55453592298248477</v>
      </c>
      <c r="N72">
        <v>0</v>
      </c>
      <c r="O72">
        <v>0</v>
      </c>
      <c r="P72">
        <v>0.75887542569530053</v>
      </c>
      <c r="Q72">
        <v>2.205725326062101</v>
      </c>
      <c r="R72">
        <v>-1.567221276486684</v>
      </c>
      <c r="S72">
        <v>0.2476010854946365</v>
      </c>
      <c r="T72">
        <v>0.1939723877616242</v>
      </c>
      <c r="U72">
        <v>4.4944695763060469</v>
      </c>
      <c r="V72">
        <v>0.19915145693031891</v>
      </c>
      <c r="W72">
        <v>8.346344095187165</v>
      </c>
      <c r="X72">
        <v>0.50425437270647511</v>
      </c>
      <c r="Z72" t="s">
        <v>392</v>
      </c>
      <c r="AA72">
        <v>9400</v>
      </c>
      <c r="AB72" t="s">
        <v>2491</v>
      </c>
      <c r="AC72" t="str">
        <f>HYPERLINK("plots/3FT6Y578R01_012_S11P_20251111092011_M5358ACSH101811_RBGEUFRF26/dpll_52046/txpa_53249.png","plot")</f>
        <v>plot</v>
      </c>
    </row>
    <row r="73" spans="1:29" x14ac:dyDescent="0.35">
      <c r="A73" t="s">
        <v>48</v>
      </c>
      <c r="B73">
        <v>52046</v>
      </c>
      <c r="C73" t="s">
        <v>51</v>
      </c>
      <c r="D73">
        <v>53250</v>
      </c>
      <c r="E73" t="s">
        <v>125</v>
      </c>
      <c r="F73">
        <v>12164</v>
      </c>
      <c r="G73">
        <v>0.86734068546952603</v>
      </c>
      <c r="H73">
        <v>0</v>
      </c>
      <c r="I73">
        <v>0</v>
      </c>
      <c r="J73">
        <v>0.74111825605474946</v>
      </c>
      <c r="K73">
        <v>0</v>
      </c>
      <c r="L73">
        <v>0</v>
      </c>
      <c r="M73">
        <v>0.5504323933729901</v>
      </c>
      <c r="N73">
        <v>0</v>
      </c>
      <c r="O73">
        <v>0</v>
      </c>
      <c r="P73">
        <v>0.75227986467074726</v>
      </c>
      <c r="Q73">
        <v>2.1898631866905491</v>
      </c>
      <c r="R73">
        <v>-1.516399740063761</v>
      </c>
      <c r="S73">
        <v>0.2504323341742189</v>
      </c>
      <c r="T73">
        <v>0.19562195671170921</v>
      </c>
      <c r="U73">
        <v>4.4942315015619858</v>
      </c>
      <c r="V73">
        <v>0.19929680459071619</v>
      </c>
      <c r="W73">
        <v>8.3253523776718179</v>
      </c>
      <c r="X73">
        <v>0.50318489944007527</v>
      </c>
      <c r="Z73" t="s">
        <v>392</v>
      </c>
      <c r="AA73">
        <v>9400</v>
      </c>
      <c r="AB73" t="s">
        <v>2492</v>
      </c>
      <c r="AC73" t="str">
        <f>HYPERLINK("plots/3FT6Y578R01_012_S11P_20251111092011_M5358ACSH101811_RBGEUFRF26/dpll_52046/txpa_53250.png","plot")</f>
        <v>plot</v>
      </c>
    </row>
    <row r="74" spans="1:29" x14ac:dyDescent="0.35">
      <c r="A74" t="s">
        <v>48</v>
      </c>
      <c r="B74">
        <v>52046</v>
      </c>
      <c r="C74" t="s">
        <v>51</v>
      </c>
      <c r="D74">
        <v>53251</v>
      </c>
      <c r="E74" t="s">
        <v>126</v>
      </c>
      <c r="F74">
        <v>12131</v>
      </c>
      <c r="G74">
        <v>0.86019566720525942</v>
      </c>
      <c r="H74">
        <v>0</v>
      </c>
      <c r="I74">
        <v>0</v>
      </c>
      <c r="J74">
        <v>0.73354519254067252</v>
      </c>
      <c r="K74">
        <v>0</v>
      </c>
      <c r="L74">
        <v>0</v>
      </c>
      <c r="M74">
        <v>0.54185150528863935</v>
      </c>
      <c r="N74">
        <v>0</v>
      </c>
      <c r="O74">
        <v>0</v>
      </c>
      <c r="P74">
        <v>0.73993658587870137</v>
      </c>
      <c r="Q74">
        <v>2.3107280426256618</v>
      </c>
      <c r="R74">
        <v>-1.1506714684915651</v>
      </c>
      <c r="S74">
        <v>0.27250061020394029</v>
      </c>
      <c r="T74">
        <v>0.211013209102699</v>
      </c>
      <c r="U74">
        <v>4.4950171473085483</v>
      </c>
      <c r="V74">
        <v>0.19892719827273919</v>
      </c>
      <c r="W74">
        <v>9.236090705877503</v>
      </c>
      <c r="X74">
        <v>0.53437453013825531</v>
      </c>
      <c r="Z74" t="s">
        <v>392</v>
      </c>
      <c r="AA74">
        <v>9400</v>
      </c>
      <c r="AB74" t="s">
        <v>2493</v>
      </c>
      <c r="AC74" t="str">
        <f>HYPERLINK("plots/3FT6Y578R01_012_S11P_20251111092011_M5358ACSH101811_RBGEUFRF26/dpll_52046/txpa_53251.png","plot")</f>
        <v>plot</v>
      </c>
    </row>
    <row r="75" spans="1:29" x14ac:dyDescent="0.35">
      <c r="A75" t="s">
        <v>48</v>
      </c>
      <c r="B75">
        <v>52046</v>
      </c>
      <c r="C75" t="s">
        <v>51</v>
      </c>
      <c r="D75">
        <v>53252</v>
      </c>
      <c r="E75" t="s">
        <v>127</v>
      </c>
      <c r="F75">
        <v>12142</v>
      </c>
      <c r="G75">
        <v>0.8676330862581747</v>
      </c>
      <c r="H75">
        <v>0</v>
      </c>
      <c r="I75">
        <v>0</v>
      </c>
      <c r="J75">
        <v>0.74243036828697717</v>
      </c>
      <c r="K75">
        <v>0</v>
      </c>
      <c r="L75">
        <v>0</v>
      </c>
      <c r="M75">
        <v>0.55154338281017279</v>
      </c>
      <c r="N75">
        <v>0</v>
      </c>
      <c r="O75">
        <v>0</v>
      </c>
      <c r="P75">
        <v>0.75278717236988524</v>
      </c>
      <c r="Q75">
        <v>2.3441463179467541</v>
      </c>
      <c r="R75">
        <v>-1.2642879706702439</v>
      </c>
      <c r="S75">
        <v>0.26745996083421669</v>
      </c>
      <c r="T75">
        <v>0.20940362556018141</v>
      </c>
      <c r="U75">
        <v>4.4946815544391363</v>
      </c>
      <c r="V75">
        <v>0.1991097601327334</v>
      </c>
      <c r="W75">
        <v>9.2719032455114476</v>
      </c>
      <c r="X75">
        <v>0.53794906911090667</v>
      </c>
      <c r="Z75" t="s">
        <v>392</v>
      </c>
      <c r="AA75">
        <v>9400</v>
      </c>
      <c r="AB75" t="s">
        <v>2494</v>
      </c>
      <c r="AC75" t="str">
        <f>HYPERLINK("plots/3FT6Y578R01_012_S11P_20251111092011_M5358ACSH101811_RBGEUFRF26/dpll_52046/txpa_53252.png","plot")</f>
        <v>plot</v>
      </c>
    </row>
    <row r="76" spans="1:29" x14ac:dyDescent="0.35">
      <c r="A76" t="s">
        <v>48</v>
      </c>
      <c r="B76">
        <v>52046</v>
      </c>
      <c r="C76" t="s">
        <v>51</v>
      </c>
      <c r="D76">
        <v>53253</v>
      </c>
      <c r="E76" t="s">
        <v>128</v>
      </c>
      <c r="F76">
        <v>12128</v>
      </c>
      <c r="G76">
        <v>0.86726729428871263</v>
      </c>
      <c r="H76">
        <v>0</v>
      </c>
      <c r="I76">
        <v>0</v>
      </c>
      <c r="J76">
        <v>0.73727130617507897</v>
      </c>
      <c r="K76">
        <v>0</v>
      </c>
      <c r="L76">
        <v>0</v>
      </c>
      <c r="M76">
        <v>0.5465536823847873</v>
      </c>
      <c r="N76">
        <v>0</v>
      </c>
      <c r="O76">
        <v>0</v>
      </c>
      <c r="P76">
        <v>0.75215255974286443</v>
      </c>
      <c r="Q76">
        <v>2.3164011811734748</v>
      </c>
      <c r="R76">
        <v>-1.1265430415849771</v>
      </c>
      <c r="S76">
        <v>0.26433827624626188</v>
      </c>
      <c r="T76">
        <v>0.2069354467396344</v>
      </c>
      <c r="U76">
        <v>4.495146858014512</v>
      </c>
      <c r="V76">
        <v>0.1988039143736364</v>
      </c>
      <c r="W76">
        <v>9.2860204498680741</v>
      </c>
      <c r="X76">
        <v>0.53098926375943645</v>
      </c>
      <c r="Z76" t="s">
        <v>392</v>
      </c>
      <c r="AA76">
        <v>9400</v>
      </c>
      <c r="AB76" t="s">
        <v>2495</v>
      </c>
      <c r="AC76" t="str">
        <f>HYPERLINK("plots/3FT6Y578R01_012_S11P_20251111092011_M5358ACSH101811_RBGEUFRF26/dpll_52046/txpa_53253.png","plot")</f>
        <v>plot</v>
      </c>
    </row>
    <row r="77" spans="1:29" x14ac:dyDescent="0.35">
      <c r="A77" t="s">
        <v>48</v>
      </c>
      <c r="B77">
        <v>52046</v>
      </c>
      <c r="C77" t="s">
        <v>51</v>
      </c>
      <c r="D77">
        <v>53254</v>
      </c>
      <c r="E77" t="s">
        <v>129</v>
      </c>
      <c r="F77">
        <v>12150</v>
      </c>
      <c r="G77">
        <v>0.87181751862360601</v>
      </c>
      <c r="H77">
        <v>0</v>
      </c>
      <c r="I77">
        <v>0</v>
      </c>
      <c r="J77">
        <v>0.74541647920662624</v>
      </c>
      <c r="K77">
        <v>0</v>
      </c>
      <c r="L77">
        <v>0</v>
      </c>
      <c r="M77">
        <v>0.55451620969029269</v>
      </c>
      <c r="N77">
        <v>0</v>
      </c>
      <c r="O77">
        <v>0</v>
      </c>
      <c r="P77">
        <v>0.76006578577902162</v>
      </c>
      <c r="Q77">
        <v>2.351997491140227</v>
      </c>
      <c r="R77">
        <v>-1.2669239955846989</v>
      </c>
      <c r="S77">
        <v>0.26323281019028277</v>
      </c>
      <c r="T77">
        <v>0.2066919973723767</v>
      </c>
      <c r="U77">
        <v>4.4945089353909466</v>
      </c>
      <c r="V77">
        <v>0.19920513975093801</v>
      </c>
      <c r="W77">
        <v>9.3041497443621388</v>
      </c>
      <c r="X77">
        <v>0.53741749724889998</v>
      </c>
      <c r="Z77" t="s">
        <v>392</v>
      </c>
      <c r="AA77">
        <v>9400</v>
      </c>
      <c r="AB77" t="s">
        <v>2496</v>
      </c>
      <c r="AC77" t="str">
        <f>HYPERLINK("plots/3FT6Y578R01_012_S11P_20251111092011_M5358ACSH101811_RBGEUFRF26/dpll_52046/txpa_53254.png","plot")</f>
        <v>plot</v>
      </c>
    </row>
    <row r="78" spans="1:29" x14ac:dyDescent="0.35">
      <c r="A78" t="s">
        <v>48</v>
      </c>
      <c r="B78">
        <v>52046</v>
      </c>
      <c r="C78" t="s">
        <v>51</v>
      </c>
      <c r="D78">
        <v>53255</v>
      </c>
      <c r="E78" t="s">
        <v>130</v>
      </c>
      <c r="F78">
        <v>12131</v>
      </c>
      <c r="G78">
        <v>0.87228125018586855</v>
      </c>
      <c r="H78">
        <v>0</v>
      </c>
      <c r="I78">
        <v>0</v>
      </c>
      <c r="J78">
        <v>0.74354243161510414</v>
      </c>
      <c r="K78">
        <v>0</v>
      </c>
      <c r="L78">
        <v>0</v>
      </c>
      <c r="M78">
        <v>0.55258519512743709</v>
      </c>
      <c r="N78">
        <v>0</v>
      </c>
      <c r="O78">
        <v>0</v>
      </c>
      <c r="P78">
        <v>0.76087457942582182</v>
      </c>
      <c r="Q78">
        <v>2.3535085025612572</v>
      </c>
      <c r="R78">
        <v>-1.3007089546649291</v>
      </c>
      <c r="S78">
        <v>0.26238288615695737</v>
      </c>
      <c r="T78">
        <v>0.2069673983895795</v>
      </c>
      <c r="U78">
        <v>4.495009742230649</v>
      </c>
      <c r="V78">
        <v>0.19887550622299791</v>
      </c>
      <c r="W78">
        <v>9.2783346927705868</v>
      </c>
      <c r="X78">
        <v>0.53658747651318284</v>
      </c>
      <c r="Z78" t="s">
        <v>392</v>
      </c>
      <c r="AA78">
        <v>9400</v>
      </c>
      <c r="AB78" t="s">
        <v>2497</v>
      </c>
      <c r="AC78" t="str">
        <f>HYPERLINK("plots/3FT6Y578R01_012_S11P_20251111092011_M5358ACSH101811_RBGEUFRF26/dpll_52046/txpa_53255.png","plot")</f>
        <v>plot</v>
      </c>
    </row>
    <row r="79" spans="1:29" x14ac:dyDescent="0.35">
      <c r="A79" t="s">
        <v>48</v>
      </c>
      <c r="B79">
        <v>52046</v>
      </c>
      <c r="C79" t="s">
        <v>51</v>
      </c>
      <c r="D79">
        <v>53256</v>
      </c>
      <c r="E79" t="s">
        <v>131</v>
      </c>
      <c r="F79">
        <v>12147</v>
      </c>
      <c r="G79">
        <v>0.87264882990253601</v>
      </c>
      <c r="H79">
        <v>0</v>
      </c>
      <c r="I79">
        <v>0</v>
      </c>
      <c r="J79">
        <v>0.74752448444754438</v>
      </c>
      <c r="K79">
        <v>0</v>
      </c>
      <c r="L79">
        <v>0</v>
      </c>
      <c r="M79">
        <v>0.55660876296573414</v>
      </c>
      <c r="N79">
        <v>0</v>
      </c>
      <c r="O79">
        <v>0</v>
      </c>
      <c r="P79">
        <v>0.76151598033026524</v>
      </c>
      <c r="Q79">
        <v>2.3687704191508701</v>
      </c>
      <c r="R79">
        <v>-1.371515436499793</v>
      </c>
      <c r="S79">
        <v>0.26387474633839969</v>
      </c>
      <c r="T79">
        <v>0.20771244971792879</v>
      </c>
      <c r="U79">
        <v>4.4946094439779367</v>
      </c>
      <c r="V79">
        <v>0.1990685276275575</v>
      </c>
      <c r="W79">
        <v>9.2751824600312833</v>
      </c>
      <c r="X79">
        <v>0.5403635729171169</v>
      </c>
      <c r="Z79" t="s">
        <v>392</v>
      </c>
      <c r="AA79">
        <v>9400</v>
      </c>
      <c r="AB79" t="s">
        <v>2498</v>
      </c>
      <c r="AC79" t="str">
        <f>HYPERLINK("plots/3FT6Y578R01_012_S11P_20251111092011_M5358ACSH101811_RBGEUFRF26/dpll_52046/txpa_53256.png","plot")</f>
        <v>plot</v>
      </c>
    </row>
    <row r="80" spans="1:29" x14ac:dyDescent="0.35">
      <c r="A80" t="s">
        <v>48</v>
      </c>
      <c r="B80">
        <v>52046</v>
      </c>
      <c r="C80" t="s">
        <v>51</v>
      </c>
      <c r="D80">
        <v>53257</v>
      </c>
      <c r="E80" t="s">
        <v>132</v>
      </c>
      <c r="F80">
        <v>12116</v>
      </c>
      <c r="G80">
        <v>0.87304913610318491</v>
      </c>
      <c r="H80">
        <v>0</v>
      </c>
      <c r="I80">
        <v>0</v>
      </c>
      <c r="J80">
        <v>0.74250227809243619</v>
      </c>
      <c r="K80">
        <v>0</v>
      </c>
      <c r="L80">
        <v>0</v>
      </c>
      <c r="M80">
        <v>0.5531772261002561</v>
      </c>
      <c r="N80">
        <v>0</v>
      </c>
      <c r="O80">
        <v>0</v>
      </c>
      <c r="P80">
        <v>0.76221479405051751</v>
      </c>
      <c r="Q80">
        <v>2.3463155241288352</v>
      </c>
      <c r="R80">
        <v>-1.259143836650743</v>
      </c>
      <c r="S80">
        <v>0.26014674757883183</v>
      </c>
      <c r="T80">
        <v>0.20537492753845371</v>
      </c>
      <c r="U80">
        <v>4.4955475186530212</v>
      </c>
      <c r="V80">
        <v>0.19851630408117679</v>
      </c>
      <c r="W80">
        <v>9.2888290958237043</v>
      </c>
      <c r="X80">
        <v>0.5335116510593455</v>
      </c>
      <c r="Z80" t="s">
        <v>392</v>
      </c>
      <c r="AA80">
        <v>9400</v>
      </c>
      <c r="AB80" t="s">
        <v>2499</v>
      </c>
      <c r="AC80" t="str">
        <f>HYPERLINK("plots/3FT6Y578R01_012_S11P_20251111092011_M5358ACSH101811_RBGEUFRF26/dpll_52046/txpa_53257.png","plot")</f>
        <v>plot</v>
      </c>
    </row>
    <row r="81" spans="1:29" x14ac:dyDescent="0.35">
      <c r="A81" t="s">
        <v>48</v>
      </c>
      <c r="B81">
        <v>52046</v>
      </c>
      <c r="C81" t="s">
        <v>51</v>
      </c>
      <c r="D81">
        <v>53258</v>
      </c>
      <c r="E81" t="s">
        <v>133</v>
      </c>
      <c r="F81">
        <v>12137</v>
      </c>
      <c r="G81">
        <v>0.86889086128620752</v>
      </c>
      <c r="H81">
        <v>0</v>
      </c>
      <c r="I81">
        <v>0</v>
      </c>
      <c r="J81">
        <v>0.73933253232241147</v>
      </c>
      <c r="K81">
        <v>0</v>
      </c>
      <c r="L81">
        <v>0</v>
      </c>
      <c r="M81">
        <v>0.54934851923168626</v>
      </c>
      <c r="N81">
        <v>0</v>
      </c>
      <c r="O81">
        <v>0</v>
      </c>
      <c r="P81">
        <v>0.75497132882668749</v>
      </c>
      <c r="Q81">
        <v>2.338037992056007</v>
      </c>
      <c r="R81">
        <v>-1.243298717375191</v>
      </c>
      <c r="S81">
        <v>0.26484589600031888</v>
      </c>
      <c r="T81">
        <v>0.20787826926349001</v>
      </c>
      <c r="U81">
        <v>4.4949737107192878</v>
      </c>
      <c r="V81">
        <v>0.19884576816904001</v>
      </c>
      <c r="W81">
        <v>9.2661205915794689</v>
      </c>
      <c r="X81">
        <v>0.53506024893687776</v>
      </c>
      <c r="Z81" t="s">
        <v>392</v>
      </c>
      <c r="AA81">
        <v>9400</v>
      </c>
      <c r="AB81" t="s">
        <v>2500</v>
      </c>
      <c r="AC81" t="str">
        <f>HYPERLINK("plots/3FT6Y578R01_012_S11P_20251111092011_M5358ACSH101811_RBGEUFRF26/dpll_52046/txpa_53258.png","plot")</f>
        <v>plot</v>
      </c>
    </row>
    <row r="82" spans="1:29" x14ac:dyDescent="0.35">
      <c r="A82" t="s">
        <v>48</v>
      </c>
      <c r="B82">
        <v>52046</v>
      </c>
      <c r="C82" t="s">
        <v>51</v>
      </c>
      <c r="D82">
        <v>53259</v>
      </c>
      <c r="E82" t="s">
        <v>134</v>
      </c>
      <c r="F82">
        <v>12114</v>
      </c>
      <c r="G82">
        <v>0.8611647770779346</v>
      </c>
      <c r="H82">
        <v>0</v>
      </c>
      <c r="I82">
        <v>0</v>
      </c>
      <c r="J82">
        <v>0.73212594691527988</v>
      </c>
      <c r="K82">
        <v>0</v>
      </c>
      <c r="L82">
        <v>0</v>
      </c>
      <c r="M82">
        <v>0.54096402598558113</v>
      </c>
      <c r="N82">
        <v>0</v>
      </c>
      <c r="O82">
        <v>0</v>
      </c>
      <c r="P82">
        <v>0.74160477327968877</v>
      </c>
      <c r="Q82">
        <v>2.3943698061553129</v>
      </c>
      <c r="R82">
        <v>-1.0746784579606969</v>
      </c>
      <c r="S82">
        <v>0.28081325665918161</v>
      </c>
      <c r="T82">
        <v>0.21819193972938761</v>
      </c>
      <c r="U82">
        <v>4.4954614798580153</v>
      </c>
      <c r="V82">
        <v>0.19869563192285489</v>
      </c>
      <c r="W82">
        <v>9.6891187741456175</v>
      </c>
      <c r="X82">
        <v>0.55245039550424913</v>
      </c>
      <c r="Z82" t="s">
        <v>392</v>
      </c>
      <c r="AA82">
        <v>9400</v>
      </c>
      <c r="AB82" t="s">
        <v>2501</v>
      </c>
      <c r="AC82" t="str">
        <f>HYPERLINK("plots/3FT6Y578R01_012_S11P_20251111092011_M5358ACSH101811_RBGEUFRF26/dpll_52046/txpa_53259.png","plot")</f>
        <v>plot</v>
      </c>
    </row>
    <row r="83" spans="1:29" x14ac:dyDescent="0.35">
      <c r="A83" t="s">
        <v>48</v>
      </c>
      <c r="B83">
        <v>52046</v>
      </c>
      <c r="C83" t="s">
        <v>51</v>
      </c>
      <c r="D83">
        <v>53260</v>
      </c>
      <c r="E83" t="s">
        <v>135</v>
      </c>
      <c r="F83">
        <v>12130</v>
      </c>
      <c r="G83">
        <v>0.86811555471858326</v>
      </c>
      <c r="H83">
        <v>0</v>
      </c>
      <c r="I83">
        <v>0</v>
      </c>
      <c r="J83">
        <v>0.7409625227832618</v>
      </c>
      <c r="K83">
        <v>0</v>
      </c>
      <c r="L83">
        <v>0</v>
      </c>
      <c r="M83">
        <v>0.55049732950744912</v>
      </c>
      <c r="N83">
        <v>0</v>
      </c>
      <c r="O83">
        <v>0</v>
      </c>
      <c r="P83">
        <v>0.75362461634435352</v>
      </c>
      <c r="Q83">
        <v>2.4313559760648742</v>
      </c>
      <c r="R83">
        <v>-1.204542820799746</v>
      </c>
      <c r="S83">
        <v>0.27652854603452198</v>
      </c>
      <c r="T83">
        <v>0.2169872251339863</v>
      </c>
      <c r="U83">
        <v>4.4950075929101398</v>
      </c>
      <c r="V83">
        <v>0.19892446783292661</v>
      </c>
      <c r="W83">
        <v>9.7244207526793076</v>
      </c>
      <c r="X83">
        <v>0.55713342656081954</v>
      </c>
      <c r="Z83" t="s">
        <v>392</v>
      </c>
      <c r="AA83">
        <v>9400</v>
      </c>
      <c r="AB83" t="s">
        <v>2502</v>
      </c>
      <c r="AC83" t="str">
        <f>HYPERLINK("plots/3FT6Y578R01_012_S11P_20251111092011_M5358ACSH101811_RBGEUFRF26/dpll_52046/txpa_53260.png","plot")</f>
        <v>plot</v>
      </c>
    </row>
    <row r="84" spans="1:29" x14ac:dyDescent="0.35">
      <c r="A84" t="s">
        <v>48</v>
      </c>
      <c r="B84">
        <v>52046</v>
      </c>
      <c r="C84" t="s">
        <v>51</v>
      </c>
      <c r="D84">
        <v>53261</v>
      </c>
      <c r="E84" t="s">
        <v>136</v>
      </c>
      <c r="F84">
        <v>12112</v>
      </c>
      <c r="G84">
        <v>0.86776753119675998</v>
      </c>
      <c r="H84">
        <v>0</v>
      </c>
      <c r="I84">
        <v>0</v>
      </c>
      <c r="J84">
        <v>0.7357110814009693</v>
      </c>
      <c r="K84">
        <v>0</v>
      </c>
      <c r="L84">
        <v>0</v>
      </c>
      <c r="M84">
        <v>0.54545283494831132</v>
      </c>
      <c r="N84">
        <v>0</v>
      </c>
      <c r="O84">
        <v>0</v>
      </c>
      <c r="P84">
        <v>0.75302048819931977</v>
      </c>
      <c r="Q84">
        <v>2.4010394040719341</v>
      </c>
      <c r="R84">
        <v>-1.054885613954893</v>
      </c>
      <c r="S84">
        <v>0.27299842261805157</v>
      </c>
      <c r="T84">
        <v>0.21431804597116161</v>
      </c>
      <c r="U84">
        <v>4.4955942679986789</v>
      </c>
      <c r="V84">
        <v>0.19854168880631029</v>
      </c>
      <c r="W84">
        <v>9.739213368229855</v>
      </c>
      <c r="X84">
        <v>0.54934806965812688</v>
      </c>
      <c r="Z84" t="s">
        <v>392</v>
      </c>
      <c r="AA84">
        <v>9400</v>
      </c>
      <c r="AB84" t="s">
        <v>2503</v>
      </c>
      <c r="AC84" t="str">
        <f>HYPERLINK("plots/3FT6Y578R01_012_S11P_20251111092011_M5358ACSH101811_RBGEUFRF26/dpll_52046/txpa_53261.png","plot")</f>
        <v>plot</v>
      </c>
    </row>
    <row r="85" spans="1:29" x14ac:dyDescent="0.35">
      <c r="A85" t="s">
        <v>48</v>
      </c>
      <c r="B85">
        <v>52046</v>
      </c>
      <c r="C85" t="s">
        <v>51</v>
      </c>
      <c r="D85">
        <v>53262</v>
      </c>
      <c r="E85" t="s">
        <v>137</v>
      </c>
      <c r="F85">
        <v>12133</v>
      </c>
      <c r="G85">
        <v>0.87183988836395587</v>
      </c>
      <c r="H85">
        <v>0</v>
      </c>
      <c r="I85">
        <v>0</v>
      </c>
      <c r="J85">
        <v>0.74354033179860912</v>
      </c>
      <c r="K85">
        <v>0</v>
      </c>
      <c r="L85">
        <v>0</v>
      </c>
      <c r="M85">
        <v>0.5531096989197295</v>
      </c>
      <c r="N85">
        <v>0</v>
      </c>
      <c r="O85">
        <v>0</v>
      </c>
      <c r="P85">
        <v>0.76010479094247507</v>
      </c>
      <c r="Q85">
        <v>2.436562023225012</v>
      </c>
      <c r="R85">
        <v>-1.1948289171038069</v>
      </c>
      <c r="S85">
        <v>0.27218542875990609</v>
      </c>
      <c r="T85">
        <v>0.21420365477952291</v>
      </c>
      <c r="U85">
        <v>4.4950262789087612</v>
      </c>
      <c r="V85">
        <v>0.19885258751198881</v>
      </c>
      <c r="W85">
        <v>9.7575814074837233</v>
      </c>
      <c r="X85">
        <v>0.55574041681088493</v>
      </c>
      <c r="Z85" t="s">
        <v>392</v>
      </c>
      <c r="AA85">
        <v>9400</v>
      </c>
      <c r="AB85" t="s">
        <v>2504</v>
      </c>
      <c r="AC85" t="str">
        <f>HYPERLINK("plots/3FT6Y578R01_012_S11P_20251111092011_M5358ACSH101811_RBGEUFRF26/dpll_52046/txpa_53262.png","plot")</f>
        <v>plot</v>
      </c>
    </row>
    <row r="86" spans="1:29" x14ac:dyDescent="0.35">
      <c r="A86" t="s">
        <v>48</v>
      </c>
      <c r="B86">
        <v>52046</v>
      </c>
      <c r="C86" t="s">
        <v>51</v>
      </c>
      <c r="D86">
        <v>53263</v>
      </c>
      <c r="E86" t="s">
        <v>138</v>
      </c>
      <c r="F86">
        <v>12123</v>
      </c>
      <c r="G86">
        <v>0.87159144148040246</v>
      </c>
      <c r="H86">
        <v>0</v>
      </c>
      <c r="I86">
        <v>0</v>
      </c>
      <c r="J86">
        <v>0.74173089612260767</v>
      </c>
      <c r="K86">
        <v>0</v>
      </c>
      <c r="L86">
        <v>0</v>
      </c>
      <c r="M86">
        <v>0.5512515053484639</v>
      </c>
      <c r="N86">
        <v>0</v>
      </c>
      <c r="O86">
        <v>0</v>
      </c>
      <c r="P86">
        <v>0.75967164086188588</v>
      </c>
      <c r="Q86">
        <v>2.4422899795493569</v>
      </c>
      <c r="R86">
        <v>-1.248606698423657</v>
      </c>
      <c r="S86">
        <v>0.27292628275587072</v>
      </c>
      <c r="T86">
        <v>0.2151330452287093</v>
      </c>
      <c r="U86">
        <v>4.4952690984079853</v>
      </c>
      <c r="V86">
        <v>0.1986902205060915</v>
      </c>
      <c r="W86">
        <v>9.7301439759960395</v>
      </c>
      <c r="X86">
        <v>0.55675068785928405</v>
      </c>
      <c r="Z86" t="s">
        <v>392</v>
      </c>
      <c r="AA86">
        <v>9400</v>
      </c>
      <c r="AB86" t="s">
        <v>2505</v>
      </c>
      <c r="AC86" t="str">
        <f>HYPERLINK("plots/3FT6Y578R01_012_S11P_20251111092011_M5358ACSH101811_RBGEUFRF26/dpll_52046/txpa_53263.png","plot")</f>
        <v>plot</v>
      </c>
    </row>
    <row r="87" spans="1:29" x14ac:dyDescent="0.35">
      <c r="A87" t="s">
        <v>48</v>
      </c>
      <c r="B87">
        <v>52046</v>
      </c>
      <c r="C87" t="s">
        <v>51</v>
      </c>
      <c r="D87">
        <v>53264</v>
      </c>
      <c r="E87" t="s">
        <v>139</v>
      </c>
      <c r="F87">
        <v>12129</v>
      </c>
      <c r="G87">
        <v>0.87314594195436734</v>
      </c>
      <c r="H87">
        <v>0</v>
      </c>
      <c r="I87">
        <v>0</v>
      </c>
      <c r="J87">
        <v>0.74561045747726828</v>
      </c>
      <c r="K87">
        <v>0</v>
      </c>
      <c r="L87">
        <v>0</v>
      </c>
      <c r="M87">
        <v>0.55523519781373665</v>
      </c>
      <c r="N87">
        <v>0</v>
      </c>
      <c r="O87">
        <v>0</v>
      </c>
      <c r="P87">
        <v>0.76238383595137937</v>
      </c>
      <c r="Q87">
        <v>2.4536410930228558</v>
      </c>
      <c r="R87">
        <v>-1.301243153237079</v>
      </c>
      <c r="S87">
        <v>0.27224802389952069</v>
      </c>
      <c r="T87">
        <v>0.2150053945940735</v>
      </c>
      <c r="U87">
        <v>4.4951134634347429</v>
      </c>
      <c r="V87">
        <v>0.1987560939236736</v>
      </c>
      <c r="W87">
        <v>9.7281519584466984</v>
      </c>
      <c r="X87">
        <v>0.55852761389266448</v>
      </c>
      <c r="Z87" t="s">
        <v>392</v>
      </c>
      <c r="AA87">
        <v>9400</v>
      </c>
      <c r="AB87" t="s">
        <v>2506</v>
      </c>
      <c r="AC87" t="str">
        <f>HYPERLINK("plots/3FT6Y578R01_012_S11P_20251111092011_M5358ACSH101811_RBGEUFRF26/dpll_52046/txpa_53264.png","plot")</f>
        <v>plot</v>
      </c>
    </row>
    <row r="88" spans="1:29" x14ac:dyDescent="0.35">
      <c r="A88" t="s">
        <v>48</v>
      </c>
      <c r="B88">
        <v>52046</v>
      </c>
      <c r="C88" t="s">
        <v>51</v>
      </c>
      <c r="D88">
        <v>53265</v>
      </c>
      <c r="E88" t="s">
        <v>140</v>
      </c>
      <c r="F88">
        <v>12105</v>
      </c>
      <c r="G88">
        <v>0.87318273519520573</v>
      </c>
      <c r="H88">
        <v>0</v>
      </c>
      <c r="I88">
        <v>0</v>
      </c>
      <c r="J88">
        <v>0.7411387370123631</v>
      </c>
      <c r="K88">
        <v>0</v>
      </c>
      <c r="L88">
        <v>0</v>
      </c>
      <c r="M88">
        <v>0.55222180733056758</v>
      </c>
      <c r="N88">
        <v>0</v>
      </c>
      <c r="O88">
        <v>0</v>
      </c>
      <c r="P88">
        <v>0.76244808904298078</v>
      </c>
      <c r="Q88">
        <v>2.4346744708584471</v>
      </c>
      <c r="R88">
        <v>-1.2048638359339829</v>
      </c>
      <c r="S88">
        <v>0.26948311088097332</v>
      </c>
      <c r="T88">
        <v>0.21310465461555511</v>
      </c>
      <c r="U88">
        <v>4.4958708769929778</v>
      </c>
      <c r="V88">
        <v>0.19830536577126689</v>
      </c>
      <c r="W88">
        <v>9.7411182125567954</v>
      </c>
      <c r="X88">
        <v>0.55293009357269807</v>
      </c>
      <c r="Z88" t="s">
        <v>392</v>
      </c>
      <c r="AA88">
        <v>9400</v>
      </c>
      <c r="AB88" t="s">
        <v>2507</v>
      </c>
      <c r="AC88" t="str">
        <f>HYPERLINK("plots/3FT6Y578R01_012_S11P_20251111092011_M5358ACSH101811_RBGEUFRF26/dpll_52046/txpa_53265.png","plot")</f>
        <v>plot</v>
      </c>
    </row>
    <row r="89" spans="1:29" x14ac:dyDescent="0.35">
      <c r="A89" t="s">
        <v>48</v>
      </c>
      <c r="B89">
        <v>52046</v>
      </c>
      <c r="C89" t="s">
        <v>51</v>
      </c>
      <c r="D89">
        <v>53266</v>
      </c>
      <c r="E89" t="s">
        <v>141</v>
      </c>
      <c r="F89">
        <v>12117</v>
      </c>
      <c r="G89">
        <v>0.86917678690307953</v>
      </c>
      <c r="H89">
        <v>0</v>
      </c>
      <c r="I89">
        <v>0</v>
      </c>
      <c r="J89">
        <v>0.73733553690674958</v>
      </c>
      <c r="K89">
        <v>0</v>
      </c>
      <c r="L89">
        <v>0</v>
      </c>
      <c r="M89">
        <v>0.54783274723397979</v>
      </c>
      <c r="N89">
        <v>0</v>
      </c>
      <c r="O89">
        <v>0</v>
      </c>
      <c r="P89">
        <v>0.7554682868911613</v>
      </c>
      <c r="Q89">
        <v>2.4212860733960411</v>
      </c>
      <c r="R89">
        <v>-1.1656548658910479</v>
      </c>
      <c r="S89">
        <v>0.27339439385111919</v>
      </c>
      <c r="T89">
        <v>0.21525677765932211</v>
      </c>
      <c r="U89">
        <v>4.4955483781464061</v>
      </c>
      <c r="V89">
        <v>0.19847323396498431</v>
      </c>
      <c r="W89">
        <v>9.7193538143930027</v>
      </c>
      <c r="X89">
        <v>0.55289152285526644</v>
      </c>
      <c r="Z89" t="s">
        <v>392</v>
      </c>
      <c r="AA89">
        <v>9400</v>
      </c>
      <c r="AB89" t="s">
        <v>2508</v>
      </c>
      <c r="AC89" t="str">
        <f>HYPERLINK("plots/3FT6Y578R01_012_S11P_20251111092011_M5358ACSH101811_RBGEUFRF26/dpll_52046/txpa_53266.png","plot")</f>
        <v>plot</v>
      </c>
    </row>
    <row r="90" spans="1:29" x14ac:dyDescent="0.35">
      <c r="A90" t="s">
        <v>48</v>
      </c>
      <c r="B90">
        <v>52046</v>
      </c>
      <c r="C90" t="s">
        <v>51</v>
      </c>
      <c r="D90">
        <v>53267</v>
      </c>
      <c r="E90" t="s">
        <v>142</v>
      </c>
      <c r="F90">
        <v>12103</v>
      </c>
      <c r="G90">
        <v>0.86140786372904976</v>
      </c>
      <c r="H90">
        <v>0</v>
      </c>
      <c r="I90">
        <v>0</v>
      </c>
      <c r="J90">
        <v>0.73081517087738601</v>
      </c>
      <c r="K90">
        <v>0</v>
      </c>
      <c r="L90">
        <v>0</v>
      </c>
      <c r="M90">
        <v>0.54003890543038913</v>
      </c>
      <c r="N90">
        <v>0</v>
      </c>
      <c r="O90">
        <v>0</v>
      </c>
      <c r="P90">
        <v>0.74202350769424519</v>
      </c>
      <c r="Q90">
        <v>2.4918630347688202</v>
      </c>
      <c r="R90">
        <v>-1.08445706394245</v>
      </c>
      <c r="S90">
        <v>0.2915715389445922</v>
      </c>
      <c r="T90">
        <v>0.22690739595856849</v>
      </c>
      <c r="U90">
        <v>4.4958050449475326</v>
      </c>
      <c r="V90">
        <v>0.19845300032162039</v>
      </c>
      <c r="W90">
        <v>10.11847333908948</v>
      </c>
      <c r="X90">
        <v>0.57408077690356218</v>
      </c>
      <c r="Z90" t="s">
        <v>392</v>
      </c>
      <c r="AA90">
        <v>9400</v>
      </c>
      <c r="AB90" t="s">
        <v>2509</v>
      </c>
      <c r="AC90" t="str">
        <f>HYPERLINK("plots/3FT6Y578R01_012_S11P_20251111092011_M5358ACSH101811_RBGEUFRF26/dpll_52046/txpa_53267.png","plot")</f>
        <v>plot</v>
      </c>
    </row>
    <row r="91" spans="1:29" x14ac:dyDescent="0.35">
      <c r="A91" t="s">
        <v>48</v>
      </c>
      <c r="B91">
        <v>52046</v>
      </c>
      <c r="C91" t="s">
        <v>51</v>
      </c>
      <c r="D91">
        <v>53268</v>
      </c>
      <c r="E91" t="s">
        <v>143</v>
      </c>
      <c r="F91">
        <v>12119</v>
      </c>
      <c r="G91">
        <v>0.86837091741749561</v>
      </c>
      <c r="H91">
        <v>0</v>
      </c>
      <c r="I91">
        <v>0</v>
      </c>
      <c r="J91">
        <v>0.73945695286106627</v>
      </c>
      <c r="K91">
        <v>0</v>
      </c>
      <c r="L91">
        <v>0</v>
      </c>
      <c r="M91">
        <v>0.5493698479870196</v>
      </c>
      <c r="N91">
        <v>0</v>
      </c>
      <c r="O91">
        <v>0</v>
      </c>
      <c r="P91">
        <v>0.75406805021650303</v>
      </c>
      <c r="Q91">
        <v>2.5295084517686819</v>
      </c>
      <c r="R91">
        <v>-1.216405692787214</v>
      </c>
      <c r="S91">
        <v>0.28705928317745077</v>
      </c>
      <c r="T91">
        <v>0.22570285567643619</v>
      </c>
      <c r="U91">
        <v>4.4953257854608459</v>
      </c>
      <c r="V91">
        <v>0.19872439041054929</v>
      </c>
      <c r="W91">
        <v>10.154558874989689</v>
      </c>
      <c r="X91">
        <v>0.57887132679546827</v>
      </c>
      <c r="Z91" t="s">
        <v>392</v>
      </c>
      <c r="AA91">
        <v>9400</v>
      </c>
      <c r="AB91" t="s">
        <v>2510</v>
      </c>
      <c r="AC91" t="str">
        <f>HYPERLINK("plots/3FT6Y578R01_012_S11P_20251111092011_M5358ACSH101811_RBGEUFRF26/dpll_52046/txpa_53268.png","plot")</f>
        <v>plot</v>
      </c>
    </row>
    <row r="92" spans="1:29" x14ac:dyDescent="0.35">
      <c r="A92" t="s">
        <v>48</v>
      </c>
      <c r="B92">
        <v>52046</v>
      </c>
      <c r="C92" t="s">
        <v>51</v>
      </c>
      <c r="D92">
        <v>53269</v>
      </c>
      <c r="E92" t="s">
        <v>144</v>
      </c>
      <c r="F92">
        <v>12095</v>
      </c>
      <c r="G92">
        <v>0.86837099565018139</v>
      </c>
      <c r="H92">
        <v>0</v>
      </c>
      <c r="I92">
        <v>0</v>
      </c>
      <c r="J92">
        <v>0.73421697164262978</v>
      </c>
      <c r="K92">
        <v>0</v>
      </c>
      <c r="L92">
        <v>0</v>
      </c>
      <c r="M92">
        <v>0.54450257907338739</v>
      </c>
      <c r="N92">
        <v>0</v>
      </c>
      <c r="O92">
        <v>0</v>
      </c>
      <c r="P92">
        <v>0.75406818608648729</v>
      </c>
      <c r="Q92">
        <v>2.4954468431633421</v>
      </c>
      <c r="R92">
        <v>-1.0492680837253201</v>
      </c>
      <c r="S92">
        <v>0.28252978473287232</v>
      </c>
      <c r="T92">
        <v>0.22255194359199679</v>
      </c>
      <c r="U92">
        <v>4.4960709154195948</v>
      </c>
      <c r="V92">
        <v>0.19825850287236871</v>
      </c>
      <c r="W92">
        <v>10.17043788879702</v>
      </c>
      <c r="X92">
        <v>0.56973754029256829</v>
      </c>
      <c r="Z92" t="s">
        <v>392</v>
      </c>
      <c r="AA92">
        <v>9400</v>
      </c>
      <c r="AB92" t="s">
        <v>2511</v>
      </c>
      <c r="AC92" t="str">
        <f>HYPERLINK("plots/3FT6Y578R01_012_S11P_20251111092011_M5358ACSH101811_RBGEUFRF26/dpll_52046/txpa_53269.png","plot")</f>
        <v>plot</v>
      </c>
    </row>
    <row r="93" spans="1:29" x14ac:dyDescent="0.35">
      <c r="A93" t="s">
        <v>48</v>
      </c>
      <c r="B93">
        <v>52046</v>
      </c>
      <c r="C93" t="s">
        <v>51</v>
      </c>
      <c r="D93">
        <v>53270</v>
      </c>
      <c r="E93" t="s">
        <v>145</v>
      </c>
      <c r="F93">
        <v>12114</v>
      </c>
      <c r="G93">
        <v>0.87215507262527592</v>
      </c>
      <c r="H93">
        <v>0</v>
      </c>
      <c r="I93">
        <v>0</v>
      </c>
      <c r="J93">
        <v>0.7414911694620715</v>
      </c>
      <c r="K93">
        <v>0</v>
      </c>
      <c r="L93">
        <v>0</v>
      </c>
      <c r="M93">
        <v>0.55158845010236401</v>
      </c>
      <c r="N93">
        <v>0</v>
      </c>
      <c r="O93">
        <v>0</v>
      </c>
      <c r="P93">
        <v>0.76065447070600034</v>
      </c>
      <c r="Q93">
        <v>2.5304736143606958</v>
      </c>
      <c r="R93">
        <v>-1.1869966026312539</v>
      </c>
      <c r="S93">
        <v>0.28175796961211591</v>
      </c>
      <c r="T93">
        <v>0.2225200971933792</v>
      </c>
      <c r="U93">
        <v>4.4955746911012051</v>
      </c>
      <c r="V93">
        <v>0.1985058788261527</v>
      </c>
      <c r="W93">
        <v>10.18893653458808</v>
      </c>
      <c r="X93">
        <v>0.57594561383796672</v>
      </c>
      <c r="Z93" t="s">
        <v>392</v>
      </c>
      <c r="AA93">
        <v>9400</v>
      </c>
      <c r="AB93" t="s">
        <v>2512</v>
      </c>
      <c r="AC93" t="str">
        <f>HYPERLINK("plots/3FT6Y578R01_012_S11P_20251111092011_M5358ACSH101811_RBGEUFRF26/dpll_52046/txpa_53270.png","plot")</f>
        <v>plot</v>
      </c>
    </row>
    <row r="94" spans="1:29" x14ac:dyDescent="0.35">
      <c r="A94" t="s">
        <v>48</v>
      </c>
      <c r="B94">
        <v>52046</v>
      </c>
      <c r="C94" t="s">
        <v>51</v>
      </c>
      <c r="D94">
        <v>53271</v>
      </c>
      <c r="E94" t="s">
        <v>146</v>
      </c>
      <c r="F94">
        <v>12104</v>
      </c>
      <c r="G94">
        <v>0.8719335937854279</v>
      </c>
      <c r="H94">
        <v>0</v>
      </c>
      <c r="I94">
        <v>0</v>
      </c>
      <c r="J94">
        <v>0.7396836096504682</v>
      </c>
      <c r="K94">
        <v>0</v>
      </c>
      <c r="L94">
        <v>0</v>
      </c>
      <c r="M94">
        <v>0.54975511562608959</v>
      </c>
      <c r="N94">
        <v>0</v>
      </c>
      <c r="O94">
        <v>0</v>
      </c>
      <c r="P94">
        <v>0.76026819197157158</v>
      </c>
      <c r="Q94">
        <v>2.5362246139640132</v>
      </c>
      <c r="R94">
        <v>-1.2414250682278849</v>
      </c>
      <c r="S94">
        <v>0.28243748032644339</v>
      </c>
      <c r="T94">
        <v>0.22342911091965451</v>
      </c>
      <c r="U94">
        <v>4.4958290421348313</v>
      </c>
      <c r="V94">
        <v>0.19832302419404621</v>
      </c>
      <c r="W94">
        <v>10.161007208608719</v>
      </c>
      <c r="X94">
        <v>0.57686931557829202</v>
      </c>
      <c r="Z94" t="s">
        <v>392</v>
      </c>
      <c r="AA94">
        <v>9400</v>
      </c>
      <c r="AB94" t="s">
        <v>2513</v>
      </c>
      <c r="AC94" t="str">
        <f>HYPERLINK("plots/3FT6Y578R01_012_S11P_20251111092011_M5358ACSH101811_RBGEUFRF26/dpll_52046/txpa_53271.png","plot")</f>
        <v>plot</v>
      </c>
    </row>
    <row r="95" spans="1:29" x14ac:dyDescent="0.35">
      <c r="A95" t="s">
        <v>48</v>
      </c>
      <c r="B95">
        <v>52046</v>
      </c>
      <c r="C95" t="s">
        <v>51</v>
      </c>
      <c r="D95">
        <v>53272</v>
      </c>
      <c r="E95" t="s">
        <v>147</v>
      </c>
      <c r="F95">
        <v>12105</v>
      </c>
      <c r="G95">
        <v>0.87325861028164042</v>
      </c>
      <c r="H95">
        <v>0</v>
      </c>
      <c r="I95">
        <v>0</v>
      </c>
      <c r="J95">
        <v>0.74312803254909088</v>
      </c>
      <c r="K95">
        <v>0</v>
      </c>
      <c r="L95">
        <v>0</v>
      </c>
      <c r="M95">
        <v>0.55338336309516301</v>
      </c>
      <c r="N95">
        <v>0</v>
      </c>
      <c r="O95">
        <v>0</v>
      </c>
      <c r="P95">
        <v>0.76258060043102194</v>
      </c>
      <c r="Q95">
        <v>2.5439009042173581</v>
      </c>
      <c r="R95">
        <v>-1.2769153524883681</v>
      </c>
      <c r="S95">
        <v>0.28143732904760932</v>
      </c>
      <c r="T95">
        <v>0.2229501954409345</v>
      </c>
      <c r="U95">
        <v>4.4958315292028077</v>
      </c>
      <c r="V95">
        <v>0.1982824267301351</v>
      </c>
      <c r="W95">
        <v>10.160034539859559</v>
      </c>
      <c r="X95">
        <v>0.57761909096610198</v>
      </c>
      <c r="Z95" t="s">
        <v>392</v>
      </c>
      <c r="AA95">
        <v>9400</v>
      </c>
      <c r="AB95" t="s">
        <v>2514</v>
      </c>
      <c r="AC95" t="str">
        <f>HYPERLINK("plots/3FT6Y578R01_012_S11P_20251111092011_M5358ACSH101811_RBGEUFRF26/dpll_52046/txpa_53272.png","plot")</f>
        <v>plot</v>
      </c>
    </row>
    <row r="96" spans="1:29" x14ac:dyDescent="0.35">
      <c r="A96" t="s">
        <v>48</v>
      </c>
      <c r="B96">
        <v>52046</v>
      </c>
      <c r="C96" t="s">
        <v>51</v>
      </c>
      <c r="D96">
        <v>53273</v>
      </c>
      <c r="E96" t="s">
        <v>148</v>
      </c>
      <c r="F96">
        <v>12089</v>
      </c>
      <c r="G96">
        <v>0.87293099854079748</v>
      </c>
      <c r="H96">
        <v>0</v>
      </c>
      <c r="I96">
        <v>0</v>
      </c>
      <c r="J96">
        <v>0.739345898555545</v>
      </c>
      <c r="K96">
        <v>0</v>
      </c>
      <c r="L96">
        <v>0</v>
      </c>
      <c r="M96">
        <v>0.55091684907761729</v>
      </c>
      <c r="N96">
        <v>0</v>
      </c>
      <c r="O96">
        <v>0</v>
      </c>
      <c r="P96">
        <v>0.76200852821343379</v>
      </c>
      <c r="Q96">
        <v>2.5300163362708852</v>
      </c>
      <c r="R96">
        <v>-1.2039948543019821</v>
      </c>
      <c r="S96">
        <v>0.27983596730671012</v>
      </c>
      <c r="T96">
        <v>0.22165590338960231</v>
      </c>
      <c r="U96">
        <v>4.4963861431880217</v>
      </c>
      <c r="V96">
        <v>0.19792351258593721</v>
      </c>
      <c r="W96">
        <v>10.17193554214575</v>
      </c>
      <c r="X96">
        <v>0.57364181248185342</v>
      </c>
      <c r="Z96" t="s">
        <v>392</v>
      </c>
      <c r="AA96">
        <v>9400</v>
      </c>
      <c r="AB96" t="s">
        <v>2515</v>
      </c>
      <c r="AC96" t="str">
        <f>HYPERLINK("plots/3FT6Y578R01_012_S11P_20251111092011_M5358ACSH101811_RBGEUFRF26/dpll_52046/txpa_53273.png","plot")</f>
        <v>plot</v>
      </c>
    </row>
    <row r="97" spans="1:29" x14ac:dyDescent="0.35">
      <c r="A97" t="s">
        <v>48</v>
      </c>
      <c r="B97">
        <v>52046</v>
      </c>
      <c r="C97" t="s">
        <v>51</v>
      </c>
      <c r="D97">
        <v>53274</v>
      </c>
      <c r="E97" t="s">
        <v>149</v>
      </c>
      <c r="F97">
        <v>12101</v>
      </c>
      <c r="G97">
        <v>0.86922899302782508</v>
      </c>
      <c r="H97">
        <v>0</v>
      </c>
      <c r="I97">
        <v>0</v>
      </c>
      <c r="J97">
        <v>0.73531537419092319</v>
      </c>
      <c r="K97">
        <v>0</v>
      </c>
      <c r="L97">
        <v>0</v>
      </c>
      <c r="M97">
        <v>0.54635923447385548</v>
      </c>
      <c r="N97">
        <v>0</v>
      </c>
      <c r="O97">
        <v>0</v>
      </c>
      <c r="P97">
        <v>0.7555590423201668</v>
      </c>
      <c r="Q97">
        <v>2.5171514415818681</v>
      </c>
      <c r="R97">
        <v>-1.1677473699738781</v>
      </c>
      <c r="S97">
        <v>0.2837466111671389</v>
      </c>
      <c r="T97">
        <v>0.2239208340714032</v>
      </c>
      <c r="U97">
        <v>4.4960079032311384</v>
      </c>
      <c r="V97">
        <v>0.19819217283331031</v>
      </c>
      <c r="W97">
        <v>10.14938540500785</v>
      </c>
      <c r="X97">
        <v>0.57393358661431559</v>
      </c>
      <c r="Z97" t="s">
        <v>392</v>
      </c>
      <c r="AA97">
        <v>9400</v>
      </c>
      <c r="AB97" t="s">
        <v>2516</v>
      </c>
      <c r="AC97" t="str">
        <f>HYPERLINK("plots/3FT6Y578R01_012_S11P_20251111092011_M5358ACSH101811_RBGEUFRF26/dpll_52046/txpa_53274.png","plot")</f>
        <v>plot</v>
      </c>
    </row>
    <row r="98" spans="1:29" x14ac:dyDescent="0.35">
      <c r="A98" t="s">
        <v>48</v>
      </c>
      <c r="B98">
        <v>52046</v>
      </c>
      <c r="C98" t="s">
        <v>51</v>
      </c>
      <c r="D98">
        <v>53275</v>
      </c>
      <c r="E98" t="s">
        <v>150</v>
      </c>
      <c r="F98">
        <v>12051</v>
      </c>
      <c r="G98">
        <v>0.86193488723816769</v>
      </c>
      <c r="H98">
        <v>0</v>
      </c>
      <c r="I98">
        <v>0</v>
      </c>
      <c r="J98">
        <v>0.72442379608202057</v>
      </c>
      <c r="K98">
        <v>0</v>
      </c>
      <c r="L98">
        <v>0</v>
      </c>
      <c r="M98">
        <v>0.53569705462942441</v>
      </c>
      <c r="N98">
        <v>0</v>
      </c>
      <c r="O98">
        <v>0</v>
      </c>
      <c r="P98">
        <v>0.74293174983827281</v>
      </c>
      <c r="Q98">
        <v>2.8959472518381379</v>
      </c>
      <c r="R98">
        <v>-1.61786751567691</v>
      </c>
      <c r="S98">
        <v>0.33625527363310548</v>
      </c>
      <c r="T98">
        <v>0.26454914465859719</v>
      </c>
      <c r="U98">
        <v>4.4973766904821177</v>
      </c>
      <c r="V98">
        <v>0.19739980329878151</v>
      </c>
      <c r="W98">
        <v>11.406298151605681</v>
      </c>
      <c r="X98">
        <v>0.66322807713262411</v>
      </c>
      <c r="Z98" t="s">
        <v>392</v>
      </c>
      <c r="AA98">
        <v>9400</v>
      </c>
      <c r="AB98" t="s">
        <v>2517</v>
      </c>
      <c r="AC98" t="str">
        <f>HYPERLINK("plots/3FT6Y578R01_012_S11P_20251111092011_M5358ACSH101811_RBGEUFRF26/dpll_52046/txpa_53275.png","plot")</f>
        <v>plot</v>
      </c>
    </row>
    <row r="99" spans="1:29" x14ac:dyDescent="0.35">
      <c r="A99" t="s">
        <v>48</v>
      </c>
      <c r="B99">
        <v>52046</v>
      </c>
      <c r="C99" t="s">
        <v>51</v>
      </c>
      <c r="D99">
        <v>53276</v>
      </c>
      <c r="E99" t="s">
        <v>151</v>
      </c>
      <c r="F99">
        <v>12073</v>
      </c>
      <c r="G99">
        <v>0.86822218263093864</v>
      </c>
      <c r="H99">
        <v>0</v>
      </c>
      <c r="I99">
        <v>0</v>
      </c>
      <c r="J99">
        <v>0.73302963730617055</v>
      </c>
      <c r="K99">
        <v>0</v>
      </c>
      <c r="L99">
        <v>0</v>
      </c>
      <c r="M99">
        <v>0.54469109375281022</v>
      </c>
      <c r="N99">
        <v>0</v>
      </c>
      <c r="O99">
        <v>0</v>
      </c>
      <c r="P99">
        <v>0.75380975841243103</v>
      </c>
      <c r="Q99">
        <v>2.9383160901626999</v>
      </c>
      <c r="R99">
        <v>-1.768013125513431</v>
      </c>
      <c r="S99">
        <v>0.33209584331226638</v>
      </c>
      <c r="T99">
        <v>0.26344843823279013</v>
      </c>
      <c r="U99">
        <v>4.4967209713410092</v>
      </c>
      <c r="V99">
        <v>0.19777817894539859</v>
      </c>
      <c r="W99">
        <v>11.444774457549901</v>
      </c>
      <c r="X99">
        <v>0.66933881338685997</v>
      </c>
      <c r="Z99" t="s">
        <v>392</v>
      </c>
      <c r="AA99">
        <v>9400</v>
      </c>
      <c r="AB99" t="s">
        <v>2518</v>
      </c>
      <c r="AC99" t="str">
        <f>HYPERLINK("plots/3FT6Y578R01_012_S11P_20251111092011_M5358ACSH101811_RBGEUFRF26/dpll_52046/txpa_53276.png","plot")</f>
        <v>plot</v>
      </c>
    </row>
    <row r="100" spans="1:29" x14ac:dyDescent="0.35">
      <c r="A100" t="s">
        <v>48</v>
      </c>
      <c r="B100">
        <v>52046</v>
      </c>
      <c r="C100" t="s">
        <v>51</v>
      </c>
      <c r="D100">
        <v>53277</v>
      </c>
      <c r="E100" t="s">
        <v>152</v>
      </c>
      <c r="F100">
        <v>12042</v>
      </c>
      <c r="G100">
        <v>0.86824330796637827</v>
      </c>
      <c r="H100">
        <v>0</v>
      </c>
      <c r="I100">
        <v>0</v>
      </c>
      <c r="J100">
        <v>0.72785932792556185</v>
      </c>
      <c r="K100">
        <v>0</v>
      </c>
      <c r="L100">
        <v>0</v>
      </c>
      <c r="M100">
        <v>0.54008107449693576</v>
      </c>
      <c r="N100">
        <v>0</v>
      </c>
      <c r="O100">
        <v>0</v>
      </c>
      <c r="P100">
        <v>0.75384644182839922</v>
      </c>
      <c r="Q100">
        <v>2.8986127165232429</v>
      </c>
      <c r="R100">
        <v>-1.575455026255304</v>
      </c>
      <c r="S100">
        <v>0.32656271930011582</v>
      </c>
      <c r="T100">
        <v>0.25993269363875687</v>
      </c>
      <c r="U100">
        <v>4.4976814642086032</v>
      </c>
      <c r="V100">
        <v>0.1971663648905948</v>
      </c>
      <c r="W100">
        <v>11.46158166077063</v>
      </c>
      <c r="X100">
        <v>0.65823591993025843</v>
      </c>
      <c r="Z100" t="s">
        <v>392</v>
      </c>
      <c r="AA100">
        <v>9400</v>
      </c>
      <c r="AB100" t="s">
        <v>2519</v>
      </c>
      <c r="AC100" t="str">
        <f>HYPERLINK("plots/3FT6Y578R01_012_S11P_20251111092011_M5358ACSH101811_RBGEUFRF26/dpll_52046/txpa_53277.png","plot")</f>
        <v>plot</v>
      </c>
    </row>
    <row r="101" spans="1:29" x14ac:dyDescent="0.35">
      <c r="A101" t="s">
        <v>48</v>
      </c>
      <c r="B101">
        <v>52046</v>
      </c>
      <c r="C101" t="s">
        <v>51</v>
      </c>
      <c r="D101">
        <v>53278</v>
      </c>
      <c r="E101" t="s">
        <v>153</v>
      </c>
      <c r="F101">
        <v>12055</v>
      </c>
      <c r="G101">
        <v>0.87200376130894663</v>
      </c>
      <c r="H101">
        <v>0</v>
      </c>
      <c r="I101">
        <v>0</v>
      </c>
      <c r="J101">
        <v>0.73348167473295356</v>
      </c>
      <c r="K101">
        <v>0</v>
      </c>
      <c r="L101">
        <v>0</v>
      </c>
      <c r="M101">
        <v>0.5457593105458457</v>
      </c>
      <c r="N101">
        <v>0</v>
      </c>
      <c r="O101">
        <v>0</v>
      </c>
      <c r="P101">
        <v>0.76039055973695036</v>
      </c>
      <c r="Q101">
        <v>2.9336620864376419</v>
      </c>
      <c r="R101">
        <v>-1.7128342011741471</v>
      </c>
      <c r="S101">
        <v>0.32507521207847351</v>
      </c>
      <c r="T101">
        <v>0.25977831760812059</v>
      </c>
      <c r="U101">
        <v>4.4972965217751977</v>
      </c>
      <c r="V101">
        <v>0.19740501248788861</v>
      </c>
      <c r="W101">
        <v>11.480714096225631</v>
      </c>
      <c r="X101">
        <v>0.66412511792284445</v>
      </c>
      <c r="Z101" t="s">
        <v>392</v>
      </c>
      <c r="AA101">
        <v>9400</v>
      </c>
      <c r="AB101" t="s">
        <v>2520</v>
      </c>
      <c r="AC101" t="str">
        <f>HYPERLINK("plots/3FT6Y578R01_012_S11P_20251111092011_M5358ACSH101811_RBGEUFRF26/dpll_52046/txpa_53278.png","plot")</f>
        <v>plot</v>
      </c>
    </row>
    <row r="102" spans="1:29" x14ac:dyDescent="0.35">
      <c r="A102" t="s">
        <v>48</v>
      </c>
      <c r="B102">
        <v>52046</v>
      </c>
      <c r="C102" t="s">
        <v>51</v>
      </c>
      <c r="D102">
        <v>53279</v>
      </c>
      <c r="E102" t="s">
        <v>154</v>
      </c>
      <c r="F102">
        <v>12040</v>
      </c>
      <c r="G102">
        <v>0.87163428452835623</v>
      </c>
      <c r="H102">
        <v>0</v>
      </c>
      <c r="I102">
        <v>0</v>
      </c>
      <c r="J102">
        <v>0.73160526575902685</v>
      </c>
      <c r="K102">
        <v>0</v>
      </c>
      <c r="L102">
        <v>0</v>
      </c>
      <c r="M102">
        <v>0.54391681634927158</v>
      </c>
      <c r="N102">
        <v>0</v>
      </c>
      <c r="O102">
        <v>0</v>
      </c>
      <c r="P102">
        <v>0.75974632596525948</v>
      </c>
      <c r="Q102">
        <v>2.932681950793075</v>
      </c>
      <c r="R102">
        <v>-1.737074003519099</v>
      </c>
      <c r="S102">
        <v>0.32493888716987451</v>
      </c>
      <c r="T102">
        <v>0.26021025995736441</v>
      </c>
      <c r="U102">
        <v>4.4977486422757478</v>
      </c>
      <c r="V102">
        <v>0.1970398390624549</v>
      </c>
      <c r="W102">
        <v>11.453392258887041</v>
      </c>
      <c r="X102">
        <v>0.66295600100025076</v>
      </c>
      <c r="Z102" t="s">
        <v>392</v>
      </c>
      <c r="AA102">
        <v>9400</v>
      </c>
      <c r="AB102" t="s">
        <v>2521</v>
      </c>
      <c r="AC102" t="str">
        <f>HYPERLINK("plots/3FT6Y578R01_012_S11P_20251111092011_M5358ACSH101811_RBGEUFRF26/dpll_52046/txpa_53279.png","plot")</f>
        <v>plot</v>
      </c>
    </row>
    <row r="103" spans="1:29" x14ac:dyDescent="0.35">
      <c r="A103" t="s">
        <v>48</v>
      </c>
      <c r="B103">
        <v>52046</v>
      </c>
      <c r="C103" t="s">
        <v>51</v>
      </c>
      <c r="D103">
        <v>53280</v>
      </c>
      <c r="E103" t="s">
        <v>155</v>
      </c>
      <c r="F103">
        <v>12050</v>
      </c>
      <c r="G103">
        <v>0.87271701240708677</v>
      </c>
      <c r="H103">
        <v>0</v>
      </c>
      <c r="I103">
        <v>0</v>
      </c>
      <c r="J103">
        <v>0.73559148514012718</v>
      </c>
      <c r="K103">
        <v>0</v>
      </c>
      <c r="L103">
        <v>0</v>
      </c>
      <c r="M103">
        <v>0.54808595255253578</v>
      </c>
      <c r="N103">
        <v>0</v>
      </c>
      <c r="O103">
        <v>0</v>
      </c>
      <c r="P103">
        <v>0.76163498374475125</v>
      </c>
      <c r="Q103">
        <v>2.9469237844435079</v>
      </c>
      <c r="R103">
        <v>-1.8023807150386619</v>
      </c>
      <c r="S103">
        <v>0.32511331954161332</v>
      </c>
      <c r="T103">
        <v>0.26003346455227261</v>
      </c>
      <c r="U103">
        <v>4.4974623702904566</v>
      </c>
      <c r="V103">
        <v>0.19721323794320531</v>
      </c>
      <c r="W103">
        <v>11.45129811360996</v>
      </c>
      <c r="X103">
        <v>0.6659345162746243</v>
      </c>
      <c r="Z103" t="s">
        <v>392</v>
      </c>
      <c r="AA103">
        <v>9400</v>
      </c>
      <c r="AB103" t="s">
        <v>2522</v>
      </c>
      <c r="AC103" t="str">
        <f>HYPERLINK("plots/3FT6Y578R01_012_S11P_20251111092011_M5358ACSH101811_RBGEUFRF26/dpll_52046/txpa_53280.png","plot")</f>
        <v>plot</v>
      </c>
    </row>
    <row r="104" spans="1:29" x14ac:dyDescent="0.35">
      <c r="A104" t="s">
        <v>48</v>
      </c>
      <c r="B104">
        <v>52046</v>
      </c>
      <c r="C104" t="s">
        <v>51</v>
      </c>
      <c r="D104">
        <v>53281</v>
      </c>
      <c r="E104" t="s">
        <v>156</v>
      </c>
      <c r="F104">
        <v>12038</v>
      </c>
      <c r="G104">
        <v>0.87199504569793784</v>
      </c>
      <c r="H104">
        <v>0</v>
      </c>
      <c r="I104">
        <v>0</v>
      </c>
      <c r="J104">
        <v>0.73257866931969573</v>
      </c>
      <c r="K104">
        <v>0</v>
      </c>
      <c r="L104">
        <v>0</v>
      </c>
      <c r="M104">
        <v>0.54617434646067387</v>
      </c>
      <c r="N104">
        <v>0</v>
      </c>
      <c r="O104">
        <v>0</v>
      </c>
      <c r="P104">
        <v>0.76037535972174874</v>
      </c>
      <c r="Q104">
        <v>2.935593445802049</v>
      </c>
      <c r="R104">
        <v>-1.7403772441268399</v>
      </c>
      <c r="S104">
        <v>0.32441785010648549</v>
      </c>
      <c r="T104">
        <v>0.2593401194294811</v>
      </c>
      <c r="U104">
        <v>4.4979361661405548</v>
      </c>
      <c r="V104">
        <v>0.196868010421404</v>
      </c>
      <c r="W104">
        <v>11.463734684831371</v>
      </c>
      <c r="X104">
        <v>0.66276115206434116</v>
      </c>
      <c r="Z104" t="s">
        <v>392</v>
      </c>
      <c r="AA104">
        <v>9400</v>
      </c>
      <c r="AB104" t="s">
        <v>2523</v>
      </c>
      <c r="AC104" t="str">
        <f>HYPERLINK("plots/3FT6Y578R01_012_S11P_20251111092011_M5358ACSH101811_RBGEUFRF26/dpll_52046/txpa_53281.png","plot")</f>
        <v>plot</v>
      </c>
    </row>
    <row r="105" spans="1:29" x14ac:dyDescent="0.35">
      <c r="A105" t="s">
        <v>48</v>
      </c>
      <c r="B105">
        <v>52046</v>
      </c>
      <c r="C105" t="s">
        <v>51</v>
      </c>
      <c r="D105">
        <v>53282</v>
      </c>
      <c r="E105" t="s">
        <v>157</v>
      </c>
      <c r="F105">
        <v>12034</v>
      </c>
      <c r="G105">
        <v>0.86787830689468659</v>
      </c>
      <c r="H105">
        <v>0</v>
      </c>
      <c r="I105">
        <v>0</v>
      </c>
      <c r="J105">
        <v>0.72664984761646512</v>
      </c>
      <c r="K105">
        <v>0</v>
      </c>
      <c r="L105">
        <v>0</v>
      </c>
      <c r="M105">
        <v>0.53991730816318539</v>
      </c>
      <c r="N105">
        <v>0</v>
      </c>
      <c r="O105">
        <v>0</v>
      </c>
      <c r="P105">
        <v>0.75321275557838785</v>
      </c>
      <c r="Q105">
        <v>2.913821353058653</v>
      </c>
      <c r="R105">
        <v>-1.667447669533537</v>
      </c>
      <c r="S105">
        <v>0.3282581794742232</v>
      </c>
      <c r="T105">
        <v>0.26146054608190028</v>
      </c>
      <c r="U105">
        <v>4.4980356432607618</v>
      </c>
      <c r="V105">
        <v>0.19681951573192261</v>
      </c>
      <c r="W105">
        <v>11.43902463461858</v>
      </c>
      <c r="X105">
        <v>0.6608033673411442</v>
      </c>
      <c r="Z105" t="s">
        <v>392</v>
      </c>
      <c r="AA105">
        <v>9400</v>
      </c>
      <c r="AB105" t="s">
        <v>2524</v>
      </c>
      <c r="AC105" t="str">
        <f>HYPERLINK("plots/3FT6Y578R01_012_S11P_20251111092011_M5358ACSH101811_RBGEUFRF26/dpll_52046/txpa_53282.png","plot")</f>
        <v>plot</v>
      </c>
    </row>
    <row r="106" spans="1:29" x14ac:dyDescent="0.35">
      <c r="A106" t="s">
        <v>48</v>
      </c>
      <c r="B106">
        <v>52046</v>
      </c>
      <c r="C106" t="s">
        <v>51</v>
      </c>
      <c r="D106">
        <v>53283</v>
      </c>
      <c r="E106" t="s">
        <v>158</v>
      </c>
      <c r="F106">
        <v>12038</v>
      </c>
      <c r="G106">
        <v>0.8621390586240314</v>
      </c>
      <c r="H106">
        <v>0</v>
      </c>
      <c r="I106">
        <v>0</v>
      </c>
      <c r="J106">
        <v>0.72288902705981672</v>
      </c>
      <c r="K106">
        <v>0</v>
      </c>
      <c r="L106">
        <v>0</v>
      </c>
      <c r="M106">
        <v>0.53491013225230133</v>
      </c>
      <c r="N106">
        <v>0</v>
      </c>
      <c r="O106">
        <v>0</v>
      </c>
      <c r="P106">
        <v>0.743283756405131</v>
      </c>
      <c r="Q106">
        <v>3.074180936556369</v>
      </c>
      <c r="R106">
        <v>-2.027783664115907</v>
      </c>
      <c r="S106">
        <v>0.35609833400412882</v>
      </c>
      <c r="T106">
        <v>0.2812742296194144</v>
      </c>
      <c r="U106">
        <v>4.4977851282605084</v>
      </c>
      <c r="V106">
        <v>0.1971102470464548</v>
      </c>
      <c r="W106">
        <v>11.799221633909291</v>
      </c>
      <c r="X106">
        <v>0.70284782693551096</v>
      </c>
      <c r="Z106" t="s">
        <v>392</v>
      </c>
      <c r="AA106">
        <v>9400</v>
      </c>
      <c r="AB106" t="s">
        <v>2525</v>
      </c>
      <c r="AC106" t="str">
        <f>HYPERLINK("plots/3FT6Y578R01_012_S11P_20251111092011_M5358ACSH101811_RBGEUFRF26/dpll_52046/txpa_53283.png","plot")</f>
        <v>plot</v>
      </c>
    </row>
    <row r="107" spans="1:29" x14ac:dyDescent="0.35">
      <c r="A107" t="s">
        <v>48</v>
      </c>
      <c r="B107">
        <v>52046</v>
      </c>
      <c r="C107" t="s">
        <v>51</v>
      </c>
      <c r="D107">
        <v>53284</v>
      </c>
      <c r="E107" t="s">
        <v>159</v>
      </c>
      <c r="F107">
        <v>12067</v>
      </c>
      <c r="G107">
        <v>0.86844240679938445</v>
      </c>
      <c r="H107">
        <v>0</v>
      </c>
      <c r="I107">
        <v>0</v>
      </c>
      <c r="J107">
        <v>0.7317913875711366</v>
      </c>
      <c r="K107">
        <v>0</v>
      </c>
      <c r="L107">
        <v>0</v>
      </c>
      <c r="M107">
        <v>0.54405479853925443</v>
      </c>
      <c r="N107">
        <v>0</v>
      </c>
      <c r="O107">
        <v>0</v>
      </c>
      <c r="P107">
        <v>0.75419221392750757</v>
      </c>
      <c r="Q107">
        <v>3.1215806240089519</v>
      </c>
      <c r="R107">
        <v>-2.1988237954329199</v>
      </c>
      <c r="S107">
        <v>0.35225961618793522</v>
      </c>
      <c r="T107">
        <v>0.28029801997670079</v>
      </c>
      <c r="U107">
        <v>4.4968921658241481</v>
      </c>
      <c r="V107">
        <v>0.19767397783508189</v>
      </c>
      <c r="W107">
        <v>11.838587657661391</v>
      </c>
      <c r="X107">
        <v>0.7105310084463784</v>
      </c>
      <c r="Z107" t="s">
        <v>392</v>
      </c>
      <c r="AA107">
        <v>9400</v>
      </c>
      <c r="AB107" t="s">
        <v>2526</v>
      </c>
      <c r="AC107" t="str">
        <f>HYPERLINK("plots/3FT6Y578R01_012_S11P_20251111092011_M5358ACSH101811_RBGEUFRF26/dpll_52046/txpa_53284.png","plot")</f>
        <v>plot</v>
      </c>
    </row>
    <row r="108" spans="1:29" x14ac:dyDescent="0.35">
      <c r="A108" t="s">
        <v>48</v>
      </c>
      <c r="B108">
        <v>52046</v>
      </c>
      <c r="C108" t="s">
        <v>51</v>
      </c>
      <c r="D108">
        <v>53285</v>
      </c>
      <c r="E108" t="s">
        <v>160</v>
      </c>
      <c r="F108">
        <v>12037</v>
      </c>
      <c r="G108">
        <v>0.86823828610213094</v>
      </c>
      <c r="H108">
        <v>0</v>
      </c>
      <c r="I108">
        <v>0</v>
      </c>
      <c r="J108">
        <v>0.72698666037153015</v>
      </c>
      <c r="K108">
        <v>0</v>
      </c>
      <c r="L108">
        <v>0</v>
      </c>
      <c r="M108">
        <v>0.53978025138908103</v>
      </c>
      <c r="N108">
        <v>0</v>
      </c>
      <c r="O108">
        <v>0</v>
      </c>
      <c r="P108">
        <v>0.75383772145356576</v>
      </c>
      <c r="Q108">
        <v>3.081848134766398</v>
      </c>
      <c r="R108">
        <v>-2.0068015147823459</v>
      </c>
      <c r="S108">
        <v>0.34694383190842287</v>
      </c>
      <c r="T108">
        <v>0.27693049355682342</v>
      </c>
      <c r="U108">
        <v>4.4978606602143394</v>
      </c>
      <c r="V108">
        <v>0.19701267084126051</v>
      </c>
      <c r="W108">
        <v>11.854921971338371</v>
      </c>
      <c r="X108">
        <v>0.69930472069284488</v>
      </c>
      <c r="Z108" t="s">
        <v>392</v>
      </c>
      <c r="AA108">
        <v>9400</v>
      </c>
      <c r="AB108" t="s">
        <v>2527</v>
      </c>
      <c r="AC108" t="str">
        <f>HYPERLINK("plots/3FT6Y578R01_012_S11P_20251111092011_M5358ACSH101811_RBGEUFRF26/dpll_52046/txpa_53285.png","plot")</f>
        <v>plot</v>
      </c>
    </row>
    <row r="109" spans="1:29" x14ac:dyDescent="0.35">
      <c r="A109" t="s">
        <v>48</v>
      </c>
      <c r="B109">
        <v>52046</v>
      </c>
      <c r="C109" t="s">
        <v>51</v>
      </c>
      <c r="D109">
        <v>53286</v>
      </c>
      <c r="E109" t="s">
        <v>161</v>
      </c>
      <c r="F109">
        <v>12043</v>
      </c>
      <c r="G109">
        <v>0.87179756484681348</v>
      </c>
      <c r="H109">
        <v>0</v>
      </c>
      <c r="I109">
        <v>0</v>
      </c>
      <c r="J109">
        <v>0.73146513986413908</v>
      </c>
      <c r="K109">
        <v>0</v>
      </c>
      <c r="L109">
        <v>0</v>
      </c>
      <c r="M109">
        <v>0.54452742442319269</v>
      </c>
      <c r="N109">
        <v>0</v>
      </c>
      <c r="O109">
        <v>0</v>
      </c>
      <c r="P109">
        <v>0.76003099407283392</v>
      </c>
      <c r="Q109">
        <v>3.113341755695572</v>
      </c>
      <c r="R109">
        <v>-2.1280938214902161</v>
      </c>
      <c r="S109">
        <v>0.34486570388137189</v>
      </c>
      <c r="T109">
        <v>0.27646270611110629</v>
      </c>
      <c r="U109">
        <v>4.497668275512746</v>
      </c>
      <c r="V109">
        <v>0.1971420723935578</v>
      </c>
      <c r="W109">
        <v>11.874684623930911</v>
      </c>
      <c r="X109">
        <v>0.70402886006577758</v>
      </c>
      <c r="Z109" t="s">
        <v>392</v>
      </c>
      <c r="AA109">
        <v>9400</v>
      </c>
      <c r="AB109" t="s">
        <v>2528</v>
      </c>
      <c r="AC109" t="str">
        <f>HYPERLINK("plots/3FT6Y578R01_012_S11P_20251111092011_M5358ACSH101811_RBGEUFRF26/dpll_52046/txpa_53286.png","plot")</f>
        <v>plot</v>
      </c>
    </row>
    <row r="110" spans="1:29" x14ac:dyDescent="0.35">
      <c r="A110" t="s">
        <v>48</v>
      </c>
      <c r="B110">
        <v>52046</v>
      </c>
      <c r="C110" t="s">
        <v>51</v>
      </c>
      <c r="D110">
        <v>53287</v>
      </c>
      <c r="E110" t="s">
        <v>162</v>
      </c>
      <c r="F110">
        <v>12041</v>
      </c>
      <c r="G110">
        <v>0.87162895322352385</v>
      </c>
      <c r="H110">
        <v>0</v>
      </c>
      <c r="I110">
        <v>0</v>
      </c>
      <c r="J110">
        <v>0.73064612321846545</v>
      </c>
      <c r="K110">
        <v>0</v>
      </c>
      <c r="L110">
        <v>0</v>
      </c>
      <c r="M110">
        <v>0.54355396534141553</v>
      </c>
      <c r="N110">
        <v>0</v>
      </c>
      <c r="O110">
        <v>0</v>
      </c>
      <c r="P110">
        <v>0.75973703209753596</v>
      </c>
      <c r="Q110">
        <v>3.121987120236525</v>
      </c>
      <c r="R110">
        <v>-2.1967416669415818</v>
      </c>
      <c r="S110">
        <v>0.34595942514315309</v>
      </c>
      <c r="T110">
        <v>0.27765852283950992</v>
      </c>
      <c r="U110">
        <v>4.4977183797857316</v>
      </c>
      <c r="V110">
        <v>0.19706083726741361</v>
      </c>
      <c r="W110">
        <v>11.845077185200561</v>
      </c>
      <c r="X110">
        <v>0.70582946284268455</v>
      </c>
      <c r="Z110" t="s">
        <v>392</v>
      </c>
      <c r="AA110">
        <v>9400</v>
      </c>
      <c r="AB110" t="s">
        <v>2529</v>
      </c>
      <c r="AC110" t="str">
        <f>HYPERLINK("plots/3FT6Y578R01_012_S11P_20251111092011_M5358ACSH101811_RBGEUFRF26/dpll_52046/txpa_53287.png","plot")</f>
        <v>plot</v>
      </c>
    </row>
    <row r="111" spans="1:29" x14ac:dyDescent="0.35">
      <c r="A111" t="s">
        <v>48</v>
      </c>
      <c r="B111">
        <v>52046</v>
      </c>
      <c r="C111" t="s">
        <v>51</v>
      </c>
      <c r="D111">
        <v>53288</v>
      </c>
      <c r="E111" t="s">
        <v>163</v>
      </c>
      <c r="F111">
        <v>12045</v>
      </c>
      <c r="G111">
        <v>0.87238289754064313</v>
      </c>
      <c r="H111">
        <v>0</v>
      </c>
      <c r="I111">
        <v>0</v>
      </c>
      <c r="J111">
        <v>0.73419433128286193</v>
      </c>
      <c r="K111">
        <v>0</v>
      </c>
      <c r="L111">
        <v>0</v>
      </c>
      <c r="M111">
        <v>0.54735014613264921</v>
      </c>
      <c r="N111">
        <v>0</v>
      </c>
      <c r="O111">
        <v>0</v>
      </c>
      <c r="P111">
        <v>0.7610519199214083</v>
      </c>
      <c r="Q111">
        <v>3.1315159504243182</v>
      </c>
      <c r="R111">
        <v>-2.240905000480097</v>
      </c>
      <c r="S111">
        <v>0.34580429449418182</v>
      </c>
      <c r="T111">
        <v>0.27717395811617868</v>
      </c>
      <c r="U111">
        <v>4.4976283989207131</v>
      </c>
      <c r="V111">
        <v>0.19708299492161971</v>
      </c>
      <c r="W111">
        <v>11.843490069821501</v>
      </c>
      <c r="X111">
        <v>0.70745144579785146</v>
      </c>
      <c r="Z111" t="s">
        <v>392</v>
      </c>
      <c r="AA111">
        <v>9400</v>
      </c>
      <c r="AB111" t="s">
        <v>2530</v>
      </c>
      <c r="AC111" t="str">
        <f>HYPERLINK("plots/3FT6Y578R01_012_S11P_20251111092011_M5358ACSH101811_RBGEUFRF26/dpll_52046/txpa_53288.png","plot")</f>
        <v>plot</v>
      </c>
    </row>
    <row r="112" spans="1:29" x14ac:dyDescent="0.35">
      <c r="A112" t="s">
        <v>48</v>
      </c>
      <c r="B112">
        <v>52046</v>
      </c>
      <c r="C112" t="s">
        <v>51</v>
      </c>
      <c r="D112">
        <v>53289</v>
      </c>
      <c r="E112" t="s">
        <v>164</v>
      </c>
      <c r="F112">
        <v>12032</v>
      </c>
      <c r="G112">
        <v>0.87189125777228371</v>
      </c>
      <c r="H112">
        <v>0</v>
      </c>
      <c r="I112">
        <v>0</v>
      </c>
      <c r="J112">
        <v>0.73175149085278623</v>
      </c>
      <c r="K112">
        <v>0</v>
      </c>
      <c r="L112">
        <v>0</v>
      </c>
      <c r="M112">
        <v>0.54597323826709687</v>
      </c>
      <c r="N112">
        <v>0</v>
      </c>
      <c r="O112">
        <v>0</v>
      </c>
      <c r="P112">
        <v>0.76019436537973484</v>
      </c>
      <c r="Q112">
        <v>3.1196120676805021</v>
      </c>
      <c r="R112">
        <v>-2.1757965154850791</v>
      </c>
      <c r="S112">
        <v>0.344717513320489</v>
      </c>
      <c r="T112">
        <v>0.27639599060830189</v>
      </c>
      <c r="U112">
        <v>4.4981134586934841</v>
      </c>
      <c r="V112">
        <v>0.19674940889356829</v>
      </c>
      <c r="W112">
        <v>11.8565725120512</v>
      </c>
      <c r="X112">
        <v>0.70396603340377317</v>
      </c>
      <c r="Z112" t="s">
        <v>392</v>
      </c>
      <c r="AA112">
        <v>9400</v>
      </c>
      <c r="AB112" t="s">
        <v>2531</v>
      </c>
      <c r="AC112" t="str">
        <f>HYPERLINK("plots/3FT6Y578R01_012_S11P_20251111092011_M5358ACSH101811_RBGEUFRF26/dpll_52046/txpa_53289.png","plot")</f>
        <v>plot</v>
      </c>
    </row>
    <row r="113" spans="1:29" x14ac:dyDescent="0.35">
      <c r="A113" t="s">
        <v>48</v>
      </c>
      <c r="B113">
        <v>52046</v>
      </c>
      <c r="C113" t="s">
        <v>51</v>
      </c>
      <c r="D113">
        <v>53290</v>
      </c>
      <c r="E113" t="s">
        <v>165</v>
      </c>
      <c r="F113">
        <v>12026</v>
      </c>
      <c r="G113">
        <v>0.86752707864838197</v>
      </c>
      <c r="H113">
        <v>0</v>
      </c>
      <c r="I113">
        <v>0</v>
      </c>
      <c r="J113">
        <v>0.72509509696739938</v>
      </c>
      <c r="K113">
        <v>0</v>
      </c>
      <c r="L113">
        <v>0</v>
      </c>
      <c r="M113">
        <v>0.53905884672377635</v>
      </c>
      <c r="N113">
        <v>0</v>
      </c>
      <c r="O113">
        <v>0</v>
      </c>
      <c r="P113">
        <v>0.75260323218819591</v>
      </c>
      <c r="Q113">
        <v>3.096061593836029</v>
      </c>
      <c r="R113">
        <v>-2.098176996416806</v>
      </c>
      <c r="S113">
        <v>0.3490538280882427</v>
      </c>
      <c r="T113">
        <v>0.27872745316170328</v>
      </c>
      <c r="U113">
        <v>4.4982842003991346</v>
      </c>
      <c r="V113">
        <v>0.19664680713269331</v>
      </c>
      <c r="W113">
        <v>11.82878795459837</v>
      </c>
      <c r="X113">
        <v>0.70180014214954356</v>
      </c>
      <c r="Z113" t="s">
        <v>392</v>
      </c>
      <c r="AA113">
        <v>9400</v>
      </c>
      <c r="AB113" t="s">
        <v>2532</v>
      </c>
      <c r="AC113" t="str">
        <f>HYPERLINK("plots/3FT6Y578R01_012_S11P_20251111092011_M5358ACSH101811_RBGEUFRF26/dpll_52046/txpa_53290.png","plot")</f>
        <v>plot</v>
      </c>
    </row>
    <row r="114" spans="1:29" x14ac:dyDescent="0.35">
      <c r="A114" t="s">
        <v>48</v>
      </c>
      <c r="B114">
        <v>52046</v>
      </c>
      <c r="C114" t="s">
        <v>51</v>
      </c>
      <c r="D114">
        <v>54146</v>
      </c>
      <c r="E114" t="s">
        <v>166</v>
      </c>
      <c r="F114">
        <v>12234</v>
      </c>
      <c r="G114">
        <v>1.7314865208397181E-3</v>
      </c>
      <c r="H114">
        <v>0.84813715441402093</v>
      </c>
      <c r="I114">
        <v>0.85234001444580498</v>
      </c>
      <c r="J114">
        <v>-5.738056969391679E-3</v>
      </c>
      <c r="K114">
        <v>0.5256814896524411</v>
      </c>
      <c r="L114">
        <v>0.52620042498279895</v>
      </c>
      <c r="M114">
        <v>-3.7975946443434831E-3</v>
      </c>
      <c r="N114">
        <v>0.52871974505616781</v>
      </c>
      <c r="O114">
        <v>0.52924167965148483</v>
      </c>
      <c r="P114">
        <v>2.998045571849631E-6</v>
      </c>
      <c r="Q114">
        <v>4.5807423593121593E-2</v>
      </c>
      <c r="R114">
        <v>-10.82801752654461</v>
      </c>
      <c r="S114">
        <v>5.3005615433748483</v>
      </c>
      <c r="T114">
        <v>3.976268754101179</v>
      </c>
      <c r="U114">
        <v>4.4922140152035306</v>
      </c>
      <c r="V114">
        <v>0.20036577093346411</v>
      </c>
      <c r="W114">
        <v>-10.62224077627922</v>
      </c>
      <c r="X114">
        <v>5.300786135060652</v>
      </c>
      <c r="Z114" t="s">
        <v>392</v>
      </c>
      <c r="AA114">
        <v>9400</v>
      </c>
      <c r="AB114" t="s">
        <v>2533</v>
      </c>
      <c r="AC114" t="str">
        <f>HYPERLINK("plots/3FT6Y578R01_012_S11P_20251111092011_M5358ACSH101811_RBGEUFRF26/dpll_52046/txpa_54146.png","plot")</f>
        <v>plot</v>
      </c>
    </row>
    <row r="115" spans="1:29" x14ac:dyDescent="0.35">
      <c r="A115" t="s">
        <v>48</v>
      </c>
      <c r="B115">
        <v>52046</v>
      </c>
      <c r="C115" t="s">
        <v>51</v>
      </c>
      <c r="D115">
        <v>54147</v>
      </c>
      <c r="E115" t="s">
        <v>167</v>
      </c>
      <c r="F115">
        <v>12243</v>
      </c>
      <c r="G115">
        <v>0.25128660246269918</v>
      </c>
      <c r="H115">
        <v>1.1974223107329949E-175</v>
      </c>
      <c r="I115">
        <v>1.233929088499245E-175</v>
      </c>
      <c r="J115">
        <v>0.22447883644136571</v>
      </c>
      <c r="K115">
        <v>1.1748163858773419E-139</v>
      </c>
      <c r="L115">
        <v>1.2118655292773401E-139</v>
      </c>
      <c r="M115">
        <v>0.15627950895088941</v>
      </c>
      <c r="N115">
        <v>8.1318071587467385E-139</v>
      </c>
      <c r="O115">
        <v>8.3882527558180996E-139</v>
      </c>
      <c r="P115">
        <v>6.3144956577246614E-2</v>
      </c>
      <c r="Q115">
        <v>1.651010091337437</v>
      </c>
      <c r="R115">
        <v>-32.180744489772749</v>
      </c>
      <c r="S115">
        <v>1.273986877560193</v>
      </c>
      <c r="T115">
        <v>1.0737701853641179</v>
      </c>
      <c r="U115">
        <v>4.492205754635302</v>
      </c>
      <c r="V115">
        <v>0.20033927554587111</v>
      </c>
      <c r="W115">
        <v>-24.76406745650576</v>
      </c>
      <c r="X115">
        <v>1.316274574035688</v>
      </c>
      <c r="Z115" t="s">
        <v>392</v>
      </c>
      <c r="AA115">
        <v>9400</v>
      </c>
      <c r="AB115" t="s">
        <v>2534</v>
      </c>
      <c r="AC115" t="str">
        <f>HYPERLINK("plots/3FT6Y578R01_012_S11P_20251111092011_M5358ACSH101811_RBGEUFRF26/dpll_52046/txpa_54147.png","plot")</f>
        <v>plot</v>
      </c>
    </row>
    <row r="116" spans="1:29" x14ac:dyDescent="0.35">
      <c r="A116" t="s">
        <v>48</v>
      </c>
      <c r="B116">
        <v>52046</v>
      </c>
      <c r="C116" t="s">
        <v>51</v>
      </c>
      <c r="D116">
        <v>54148</v>
      </c>
      <c r="E116" t="s">
        <v>168</v>
      </c>
      <c r="F116">
        <v>12243</v>
      </c>
      <c r="G116">
        <v>0.25366000059761651</v>
      </c>
      <c r="H116">
        <v>4.695879457959053E-179</v>
      </c>
      <c r="I116">
        <v>4.8687339165342329E-179</v>
      </c>
      <c r="J116">
        <v>0.22979761331032439</v>
      </c>
      <c r="K116">
        <v>1.940523343927494E-146</v>
      </c>
      <c r="L116">
        <v>2.0160765069082772E-146</v>
      </c>
      <c r="M116">
        <v>0.15868241487163151</v>
      </c>
      <c r="N116">
        <v>6.4542816471122139E-145</v>
      </c>
      <c r="O116">
        <v>6.7055753997661726E-145</v>
      </c>
      <c r="P116">
        <v>6.4343395903182804E-2</v>
      </c>
      <c r="Q116">
        <v>1.6876549510296099</v>
      </c>
      <c r="R116">
        <v>-32.228091374008102</v>
      </c>
      <c r="S116">
        <v>1.2892533665806201</v>
      </c>
      <c r="T116">
        <v>1.087264037263179</v>
      </c>
      <c r="U116">
        <v>4.492205754635302</v>
      </c>
      <c r="V116">
        <v>0.20033927554587111</v>
      </c>
      <c r="W116">
        <v>-24.646798091154128</v>
      </c>
      <c r="X116">
        <v>1.332900612883827</v>
      </c>
      <c r="Z116" t="s">
        <v>392</v>
      </c>
      <c r="AA116">
        <v>9400</v>
      </c>
      <c r="AB116" t="s">
        <v>2535</v>
      </c>
      <c r="AC116" t="str">
        <f>HYPERLINK("plots/3FT6Y578R01_012_S11P_20251111092011_M5358ACSH101811_RBGEUFRF26/dpll_52046/txpa_54148.png","plot")</f>
        <v>plot</v>
      </c>
    </row>
    <row r="117" spans="1:29" x14ac:dyDescent="0.35">
      <c r="A117" t="s">
        <v>48</v>
      </c>
      <c r="B117">
        <v>52046</v>
      </c>
      <c r="C117" t="s">
        <v>51</v>
      </c>
      <c r="D117">
        <v>54149</v>
      </c>
      <c r="E117" t="s">
        <v>169</v>
      </c>
      <c r="F117">
        <v>12243</v>
      </c>
      <c r="G117">
        <v>0.25460927007857459</v>
      </c>
      <c r="H117">
        <v>1.9909432682399929E-180</v>
      </c>
      <c r="I117">
        <v>2.0684595020444189E-180</v>
      </c>
      <c r="J117">
        <v>0.22438096643503561</v>
      </c>
      <c r="K117">
        <v>1.559992002401382E-139</v>
      </c>
      <c r="L117">
        <v>1.6075527341819119E-139</v>
      </c>
      <c r="M117">
        <v>0.1550074262370838</v>
      </c>
      <c r="N117">
        <v>5.4525187675205785E-138</v>
      </c>
      <c r="O117">
        <v>5.6187540957986445E-138</v>
      </c>
      <c r="P117">
        <v>6.4825880409944567E-2</v>
      </c>
      <c r="Q117">
        <v>1.6763034865182831</v>
      </c>
      <c r="R117">
        <v>-32.221179566676007</v>
      </c>
      <c r="S117">
        <v>1.275478193480087</v>
      </c>
      <c r="T117">
        <v>1.0804683540389211</v>
      </c>
      <c r="U117">
        <v>4.492205754635302</v>
      </c>
      <c r="V117">
        <v>0.20033927554587111</v>
      </c>
      <c r="W117">
        <v>-24.690879398023359</v>
      </c>
      <c r="X117">
        <v>1.3189992099676919</v>
      </c>
      <c r="Z117" t="s">
        <v>392</v>
      </c>
      <c r="AA117">
        <v>9400</v>
      </c>
      <c r="AB117" t="s">
        <v>2536</v>
      </c>
      <c r="AC117" t="str">
        <f>HYPERLINK("plots/3FT6Y578R01_012_S11P_20251111092011_M5358ACSH101811_RBGEUFRF26/dpll_52046/txpa_54149.png","plot")</f>
        <v>plot</v>
      </c>
    </row>
    <row r="118" spans="1:29" x14ac:dyDescent="0.35">
      <c r="A118" t="s">
        <v>48</v>
      </c>
      <c r="B118">
        <v>52046</v>
      </c>
      <c r="C118" t="s">
        <v>51</v>
      </c>
      <c r="D118">
        <v>54150</v>
      </c>
      <c r="E118" t="s">
        <v>170</v>
      </c>
      <c r="F118">
        <v>12243</v>
      </c>
      <c r="G118">
        <v>0.26458935292086982</v>
      </c>
      <c r="H118">
        <v>3.2610486554280251E-195</v>
      </c>
      <c r="I118">
        <v>3.4337521667746799E-195</v>
      </c>
      <c r="J118">
        <v>0.23651158338601549</v>
      </c>
      <c r="K118">
        <v>2.9853856616930349E-155</v>
      </c>
      <c r="L118">
        <v>3.1434901982936E-155</v>
      </c>
      <c r="M118">
        <v>0.16266456010662661</v>
      </c>
      <c r="N118">
        <v>8.3223176975275332E-153</v>
      </c>
      <c r="O118">
        <v>8.7630634945928537E-153</v>
      </c>
      <c r="P118">
        <v>7.0007525679084581E-2</v>
      </c>
      <c r="Q118">
        <v>1.7679564240683849</v>
      </c>
      <c r="R118">
        <v>-32.532263314801483</v>
      </c>
      <c r="S118">
        <v>1.290884158312654</v>
      </c>
      <c r="T118">
        <v>1.0913598388138519</v>
      </c>
      <c r="U118">
        <v>4.492205754635302</v>
      </c>
      <c r="V118">
        <v>0.20033927554587111</v>
      </c>
      <c r="W118">
        <v>-24.590239292657031</v>
      </c>
      <c r="X118">
        <v>1.3386446026059731</v>
      </c>
      <c r="Z118" t="s">
        <v>392</v>
      </c>
      <c r="AA118">
        <v>9400</v>
      </c>
      <c r="AB118" t="s">
        <v>2537</v>
      </c>
      <c r="AC118" t="str">
        <f>HYPERLINK("plots/3FT6Y578R01_012_S11P_20251111092011_M5358ACSH101811_RBGEUFRF26/dpll_52046/txpa_54150.png","plot")</f>
        <v>plot</v>
      </c>
    </row>
    <row r="119" spans="1:29" x14ac:dyDescent="0.35">
      <c r="A119" t="s">
        <v>48</v>
      </c>
      <c r="B119">
        <v>52046</v>
      </c>
      <c r="C119" t="s">
        <v>51</v>
      </c>
      <c r="D119">
        <v>54151</v>
      </c>
      <c r="E119" t="s">
        <v>171</v>
      </c>
      <c r="F119">
        <v>12242</v>
      </c>
      <c r="G119">
        <v>0.25628548297773279</v>
      </c>
      <c r="H119">
        <v>7.5121827857540519E-183</v>
      </c>
      <c r="I119">
        <v>7.8610457634206497E-183</v>
      </c>
      <c r="J119">
        <v>0.23315458462692021</v>
      </c>
      <c r="K119">
        <v>8.4899937147759651E-151</v>
      </c>
      <c r="L119">
        <v>8.8842658687129299E-151</v>
      </c>
      <c r="M119">
        <v>0.16057895986275689</v>
      </c>
      <c r="N119">
        <v>1.3907149165504999E-148</v>
      </c>
      <c r="O119">
        <v>1.4552992006008331E-148</v>
      </c>
      <c r="P119">
        <v>6.5682248785129793E-2</v>
      </c>
      <c r="Q119">
        <v>1.707368402417424</v>
      </c>
      <c r="R119">
        <v>-32.304578539608322</v>
      </c>
      <c r="S119">
        <v>1.2900391903502451</v>
      </c>
      <c r="T119">
        <v>1.0917065740059739</v>
      </c>
      <c r="U119">
        <v>4.4922201507106676</v>
      </c>
      <c r="V119">
        <v>0.20034112557569189</v>
      </c>
      <c r="W119">
        <v>-24.634703797582091</v>
      </c>
      <c r="X119">
        <v>1.334668290760725</v>
      </c>
      <c r="Z119" t="s">
        <v>392</v>
      </c>
      <c r="AA119">
        <v>9400</v>
      </c>
      <c r="AB119" t="s">
        <v>2538</v>
      </c>
      <c r="AC119" t="str">
        <f>HYPERLINK("plots/3FT6Y578R01_012_S11P_20251111092011_M5358ACSH101811_RBGEUFRF26/dpll_52046/txpa_54151.png","plot")</f>
        <v>plot</v>
      </c>
    </row>
    <row r="120" spans="1:29" x14ac:dyDescent="0.35">
      <c r="A120" t="s">
        <v>48</v>
      </c>
      <c r="B120">
        <v>52046</v>
      </c>
      <c r="C120" t="s">
        <v>51</v>
      </c>
      <c r="D120">
        <v>54152</v>
      </c>
      <c r="E120" t="s">
        <v>172</v>
      </c>
      <c r="F120">
        <v>12243</v>
      </c>
      <c r="G120">
        <v>0.25646889975374881</v>
      </c>
      <c r="H120">
        <v>3.9184108209589106E-183</v>
      </c>
      <c r="I120">
        <v>4.1046162938557192E-183</v>
      </c>
      <c r="J120">
        <v>0.22944358574274809</v>
      </c>
      <c r="K120">
        <v>5.5565521756665224E-146</v>
      </c>
      <c r="L120">
        <v>5.7610878385744926E-146</v>
      </c>
      <c r="M120">
        <v>0.15867775899575101</v>
      </c>
      <c r="N120">
        <v>3.0008027148140202E-144</v>
      </c>
      <c r="O120">
        <v>3.1112617104513461E-144</v>
      </c>
      <c r="P120">
        <v>6.5776296540898463E-2</v>
      </c>
      <c r="Q120">
        <v>1.7029805935520741</v>
      </c>
      <c r="R120">
        <v>-32.336723820932967</v>
      </c>
      <c r="S120">
        <v>1.2857270860360019</v>
      </c>
      <c r="T120">
        <v>1.0844403659378239</v>
      </c>
      <c r="U120">
        <v>4.492205754635302</v>
      </c>
      <c r="V120">
        <v>0.20033927554587111</v>
      </c>
      <c r="W120">
        <v>-24.686584598546101</v>
      </c>
      <c r="X120">
        <v>1.3302739580061429</v>
      </c>
      <c r="Z120" t="s">
        <v>392</v>
      </c>
      <c r="AA120">
        <v>9400</v>
      </c>
      <c r="AB120" t="s">
        <v>2539</v>
      </c>
      <c r="AC120" t="str">
        <f>HYPERLINK("plots/3FT6Y578R01_012_S11P_20251111092011_M5358ACSH101811_RBGEUFRF26/dpll_52046/txpa_54152.png","plot")</f>
        <v>plot</v>
      </c>
    </row>
    <row r="121" spans="1:29" x14ac:dyDescent="0.35">
      <c r="A121" t="s">
        <v>48</v>
      </c>
      <c r="B121">
        <v>52046</v>
      </c>
      <c r="C121" t="s">
        <v>51</v>
      </c>
      <c r="D121">
        <v>54153</v>
      </c>
      <c r="E121" t="s">
        <v>173</v>
      </c>
      <c r="F121">
        <v>12243</v>
      </c>
      <c r="G121">
        <v>0.25419198044247748</v>
      </c>
      <c r="H121">
        <v>8.0017176296490488E-180</v>
      </c>
      <c r="I121">
        <v>8.3047509482744474E-180</v>
      </c>
      <c r="J121">
        <v>0.2306055106781503</v>
      </c>
      <c r="K121">
        <v>1.747312726659902E-147</v>
      </c>
      <c r="L121">
        <v>1.819070949520678E-147</v>
      </c>
      <c r="M121">
        <v>0.15991950949321929</v>
      </c>
      <c r="N121">
        <v>1.270751243274281E-145</v>
      </c>
      <c r="O121">
        <v>1.3215812930052521E-145</v>
      </c>
      <c r="P121">
        <v>6.461356292126888E-2</v>
      </c>
      <c r="Q121">
        <v>1.6795349837501501</v>
      </c>
      <c r="R121">
        <v>-32.271435152504239</v>
      </c>
      <c r="S121">
        <v>1.2801801992703761</v>
      </c>
      <c r="T121">
        <v>1.0816291007904499</v>
      </c>
      <c r="U121">
        <v>4.492205754635302</v>
      </c>
      <c r="V121">
        <v>0.20033927554587111</v>
      </c>
      <c r="W121">
        <v>-24.726618433390509</v>
      </c>
      <c r="X121">
        <v>1.3237113984191751</v>
      </c>
      <c r="Z121" t="s">
        <v>392</v>
      </c>
      <c r="AA121">
        <v>9400</v>
      </c>
      <c r="AB121" t="s">
        <v>2540</v>
      </c>
      <c r="AC121" t="str">
        <f>HYPERLINK("plots/3FT6Y578R01_012_S11P_20251111092011_M5358ACSH101811_RBGEUFRF26/dpll_52046/txpa_54153.png","plot")</f>
        <v>plot</v>
      </c>
    </row>
    <row r="122" spans="1:29" x14ac:dyDescent="0.35">
      <c r="A122" t="s">
        <v>48</v>
      </c>
      <c r="B122">
        <v>52046</v>
      </c>
      <c r="C122" t="s">
        <v>51</v>
      </c>
      <c r="D122">
        <v>54154</v>
      </c>
      <c r="E122" t="s">
        <v>174</v>
      </c>
      <c r="F122">
        <v>12243</v>
      </c>
      <c r="G122">
        <v>0.24563865526723211</v>
      </c>
      <c r="H122">
        <v>1.094610532530574E-167</v>
      </c>
      <c r="I122">
        <v>1.1245542857001031E-167</v>
      </c>
      <c r="J122">
        <v>0.21828681843290099</v>
      </c>
      <c r="K122">
        <v>5.5617125111092072E-132</v>
      </c>
      <c r="L122">
        <v>5.7138566223553551E-132</v>
      </c>
      <c r="M122">
        <v>0.15285171567920181</v>
      </c>
      <c r="N122">
        <v>1.4737214622319409E-131</v>
      </c>
      <c r="O122">
        <v>1.5155715646076959E-131</v>
      </c>
      <c r="P122">
        <v>6.03383489614941E-2</v>
      </c>
      <c r="Q122">
        <v>1.566645589151952</v>
      </c>
      <c r="R122">
        <v>-31.897818935326061</v>
      </c>
      <c r="S122">
        <v>1.2385346535281481</v>
      </c>
      <c r="T122">
        <v>1.040756596999624</v>
      </c>
      <c r="U122">
        <v>4.492205754635302</v>
      </c>
      <c r="V122">
        <v>0.20033927554587111</v>
      </c>
      <c r="W122">
        <v>-24.86012460426366</v>
      </c>
      <c r="X122">
        <v>1.27773310770809</v>
      </c>
      <c r="Z122" t="s">
        <v>392</v>
      </c>
      <c r="AA122">
        <v>9400</v>
      </c>
      <c r="AB122" t="s">
        <v>2541</v>
      </c>
      <c r="AC122" t="str">
        <f>HYPERLINK("plots/3FT6Y578R01_012_S11P_20251111092011_M5358ACSH101811_RBGEUFRF26/dpll_52046/txpa_54154.png","plot")</f>
        <v>plot</v>
      </c>
    </row>
    <row r="123" spans="1:29" x14ac:dyDescent="0.35">
      <c r="A123" t="s">
        <v>48</v>
      </c>
      <c r="B123">
        <v>52046</v>
      </c>
      <c r="C123" t="s">
        <v>51</v>
      </c>
      <c r="D123">
        <v>54155</v>
      </c>
      <c r="E123" t="s">
        <v>175</v>
      </c>
      <c r="F123">
        <v>12243</v>
      </c>
      <c r="G123">
        <v>0.72784492921428101</v>
      </c>
      <c r="H123">
        <v>0</v>
      </c>
      <c r="I123">
        <v>0</v>
      </c>
      <c r="J123">
        <v>0.62488272072704421</v>
      </c>
      <c r="K123">
        <v>0</v>
      </c>
      <c r="L123">
        <v>0</v>
      </c>
      <c r="M123">
        <v>0.44715048383845762</v>
      </c>
      <c r="N123">
        <v>0</v>
      </c>
      <c r="O123">
        <v>0</v>
      </c>
      <c r="P123">
        <v>0.52975824098294177</v>
      </c>
      <c r="Q123">
        <v>1.3952417531642529</v>
      </c>
      <c r="R123">
        <v>-17.332090928612441</v>
      </c>
      <c r="S123">
        <v>0.26334165583150632</v>
      </c>
      <c r="T123">
        <v>0.20240117520247611</v>
      </c>
      <c r="U123">
        <v>4.492205754635302</v>
      </c>
      <c r="V123">
        <v>0.20033927554587111</v>
      </c>
      <c r="W123">
        <v>-11.06437789594054</v>
      </c>
      <c r="X123">
        <v>0.384040213541125</v>
      </c>
      <c r="Z123" t="s">
        <v>392</v>
      </c>
      <c r="AA123">
        <v>9400</v>
      </c>
      <c r="AB123" t="s">
        <v>2542</v>
      </c>
      <c r="AC123" t="str">
        <f>HYPERLINK("plots/3FT6Y578R01_012_S11P_20251111092011_M5358ACSH101811_RBGEUFRF26/dpll_52046/txpa_54155.png","plot")</f>
        <v>plot</v>
      </c>
    </row>
    <row r="124" spans="1:29" x14ac:dyDescent="0.35">
      <c r="A124" t="s">
        <v>48</v>
      </c>
      <c r="B124">
        <v>52046</v>
      </c>
      <c r="C124" t="s">
        <v>51</v>
      </c>
      <c r="D124">
        <v>54156</v>
      </c>
      <c r="E124" t="s">
        <v>176</v>
      </c>
      <c r="F124">
        <v>12242</v>
      </c>
      <c r="G124">
        <v>0.74511106033348018</v>
      </c>
      <c r="H124">
        <v>0</v>
      </c>
      <c r="I124">
        <v>0</v>
      </c>
      <c r="J124">
        <v>0.63895524376102086</v>
      </c>
      <c r="K124">
        <v>0</v>
      </c>
      <c r="L124">
        <v>0</v>
      </c>
      <c r="M124">
        <v>0.45926444970468189</v>
      </c>
      <c r="N124">
        <v>0</v>
      </c>
      <c r="O124">
        <v>0</v>
      </c>
      <c r="P124">
        <v>0.55519049223128314</v>
      </c>
      <c r="Q124">
        <v>1.4189892676599141</v>
      </c>
      <c r="R124">
        <v>-17.369840644448619</v>
      </c>
      <c r="S124">
        <v>0.25444660368598859</v>
      </c>
      <c r="T124">
        <v>0.19846404008048049</v>
      </c>
      <c r="U124">
        <v>4.492190922643359</v>
      </c>
      <c r="V124">
        <v>0.20034073623739329</v>
      </c>
      <c r="W124">
        <v>-10.995469936938409</v>
      </c>
      <c r="X124">
        <v>0.3815288347333276</v>
      </c>
      <c r="Z124" t="s">
        <v>392</v>
      </c>
      <c r="AA124">
        <v>9400</v>
      </c>
      <c r="AB124" t="s">
        <v>2543</v>
      </c>
      <c r="AC124" t="str">
        <f>HYPERLINK("plots/3FT6Y578R01_012_S11P_20251111092011_M5358ACSH101811_RBGEUFRF26/dpll_52046/txpa_54156.png","plot")</f>
        <v>plot</v>
      </c>
    </row>
    <row r="125" spans="1:29" x14ac:dyDescent="0.35">
      <c r="A125" t="s">
        <v>48</v>
      </c>
      <c r="B125">
        <v>52046</v>
      </c>
      <c r="C125" t="s">
        <v>51</v>
      </c>
      <c r="D125">
        <v>54157</v>
      </c>
      <c r="E125" t="s">
        <v>177</v>
      </c>
      <c r="F125">
        <v>12243</v>
      </c>
      <c r="G125">
        <v>0.74697551459809941</v>
      </c>
      <c r="H125">
        <v>0</v>
      </c>
      <c r="I125">
        <v>0</v>
      </c>
      <c r="J125">
        <v>0.63403214833270305</v>
      </c>
      <c r="K125">
        <v>0</v>
      </c>
      <c r="L125">
        <v>0</v>
      </c>
      <c r="M125">
        <v>0.45449799351433001</v>
      </c>
      <c r="N125">
        <v>0</v>
      </c>
      <c r="O125">
        <v>0</v>
      </c>
      <c r="P125">
        <v>0.55797241940909548</v>
      </c>
      <c r="Q125">
        <v>1.39776723557157</v>
      </c>
      <c r="R125">
        <v>-17.280735919136429</v>
      </c>
      <c r="S125">
        <v>0.24923069925337921</v>
      </c>
      <c r="T125">
        <v>0.19478788708361289</v>
      </c>
      <c r="U125">
        <v>4.492205754635302</v>
      </c>
      <c r="V125">
        <v>0.20033927554587111</v>
      </c>
      <c r="W125">
        <v>-11.001677899861139</v>
      </c>
      <c r="X125">
        <v>0.37488200065945759</v>
      </c>
      <c r="Z125" t="s">
        <v>392</v>
      </c>
      <c r="AA125">
        <v>9400</v>
      </c>
      <c r="AB125" t="s">
        <v>2544</v>
      </c>
      <c r="AC125" t="str">
        <f>HYPERLINK("plots/3FT6Y578R01_012_S11P_20251111092011_M5358ACSH101811_RBGEUFRF26/dpll_52046/txpa_54157.png","plot")</f>
        <v>plot</v>
      </c>
    </row>
    <row r="126" spans="1:29" x14ac:dyDescent="0.35">
      <c r="A126" t="s">
        <v>48</v>
      </c>
      <c r="B126">
        <v>52046</v>
      </c>
      <c r="C126" t="s">
        <v>51</v>
      </c>
      <c r="D126">
        <v>54158</v>
      </c>
      <c r="E126" t="s">
        <v>178</v>
      </c>
      <c r="F126">
        <v>12242</v>
      </c>
      <c r="G126">
        <v>0.7592304468240485</v>
      </c>
      <c r="H126">
        <v>0</v>
      </c>
      <c r="I126">
        <v>0</v>
      </c>
      <c r="J126">
        <v>0.6432247807716206</v>
      </c>
      <c r="K126">
        <v>0</v>
      </c>
      <c r="L126">
        <v>0</v>
      </c>
      <c r="M126">
        <v>0.46197596273969682</v>
      </c>
      <c r="N126">
        <v>0</v>
      </c>
      <c r="O126">
        <v>0</v>
      </c>
      <c r="P126">
        <v>0.57643087138464433</v>
      </c>
      <c r="Q126">
        <v>1.4424909633172369</v>
      </c>
      <c r="R126">
        <v>-17.41846229993676</v>
      </c>
      <c r="S126">
        <v>0.24772225682504609</v>
      </c>
      <c r="T126">
        <v>0.1945383982333995</v>
      </c>
      <c r="U126">
        <v>4.4922121462179394</v>
      </c>
      <c r="V126">
        <v>0.20034621017914711</v>
      </c>
      <c r="W126">
        <v>-10.938486873713449</v>
      </c>
      <c r="X126">
        <v>0.38064542712583121</v>
      </c>
      <c r="Z126" t="s">
        <v>392</v>
      </c>
      <c r="AA126">
        <v>9400</v>
      </c>
      <c r="AB126" t="s">
        <v>2545</v>
      </c>
      <c r="AC126" t="str">
        <f>HYPERLINK("plots/3FT6Y578R01_012_S11P_20251111092011_M5358ACSH101811_RBGEUFRF26/dpll_52046/txpa_54158.png","plot")</f>
        <v>plot</v>
      </c>
    </row>
    <row r="127" spans="1:29" x14ac:dyDescent="0.35">
      <c r="A127" t="s">
        <v>48</v>
      </c>
      <c r="B127">
        <v>52046</v>
      </c>
      <c r="C127" t="s">
        <v>51</v>
      </c>
      <c r="D127">
        <v>54159</v>
      </c>
      <c r="E127" t="s">
        <v>179</v>
      </c>
      <c r="F127">
        <v>12240</v>
      </c>
      <c r="G127">
        <v>0.75584440559765698</v>
      </c>
      <c r="H127">
        <v>0</v>
      </c>
      <c r="I127">
        <v>0</v>
      </c>
      <c r="J127">
        <v>0.63817295629827386</v>
      </c>
      <c r="K127">
        <v>0</v>
      </c>
      <c r="L127">
        <v>0</v>
      </c>
      <c r="M127">
        <v>0.45644494326797791</v>
      </c>
      <c r="N127">
        <v>0</v>
      </c>
      <c r="O127">
        <v>0</v>
      </c>
      <c r="P127">
        <v>0.57130076547327535</v>
      </c>
      <c r="Q127">
        <v>1.437748291680544</v>
      </c>
      <c r="R127">
        <v>-17.42089478422044</v>
      </c>
      <c r="S127">
        <v>0.24946815056964131</v>
      </c>
      <c r="T127">
        <v>0.19686152027986081</v>
      </c>
      <c r="U127">
        <v>4.492228153022876</v>
      </c>
      <c r="V127">
        <v>0.2003115712750779</v>
      </c>
      <c r="W127">
        <v>-10.96220143137255</v>
      </c>
      <c r="X127">
        <v>0.38102765234713232</v>
      </c>
      <c r="Z127" t="s">
        <v>392</v>
      </c>
      <c r="AA127">
        <v>9400</v>
      </c>
      <c r="AB127" t="s">
        <v>2546</v>
      </c>
      <c r="AC127" t="str">
        <f>HYPERLINK("plots/3FT6Y578R01_012_S11P_20251111092011_M5358ACSH101811_RBGEUFRF26/dpll_52046/txpa_54159.png","plot")</f>
        <v>plot</v>
      </c>
    </row>
    <row r="128" spans="1:29" x14ac:dyDescent="0.35">
      <c r="A128" t="s">
        <v>48</v>
      </c>
      <c r="B128">
        <v>52046</v>
      </c>
      <c r="C128" t="s">
        <v>51</v>
      </c>
      <c r="D128">
        <v>54160</v>
      </c>
      <c r="E128" t="s">
        <v>180</v>
      </c>
      <c r="F128">
        <v>12241</v>
      </c>
      <c r="G128">
        <v>0.75836191473014691</v>
      </c>
      <c r="H128">
        <v>0</v>
      </c>
      <c r="I128">
        <v>0</v>
      </c>
      <c r="J128">
        <v>0.64800765785463643</v>
      </c>
      <c r="K128">
        <v>0</v>
      </c>
      <c r="L128">
        <v>0</v>
      </c>
      <c r="M128">
        <v>0.46726764991072289</v>
      </c>
      <c r="N128">
        <v>0</v>
      </c>
      <c r="O128">
        <v>0</v>
      </c>
      <c r="P128">
        <v>0.57511279371317459</v>
      </c>
      <c r="Q128">
        <v>1.436704556960255</v>
      </c>
      <c r="R128">
        <v>-17.440501096527491</v>
      </c>
      <c r="S128">
        <v>0.2473434822882169</v>
      </c>
      <c r="T128">
        <v>0.19387458597046511</v>
      </c>
      <c r="U128">
        <v>4.4922102342945847</v>
      </c>
      <c r="V128">
        <v>0.20030437210640301</v>
      </c>
      <c r="W128">
        <v>-10.986522182092971</v>
      </c>
      <c r="X128">
        <v>0.37947343952093637</v>
      </c>
      <c r="Z128" t="s">
        <v>392</v>
      </c>
      <c r="AA128">
        <v>9400</v>
      </c>
      <c r="AB128" t="s">
        <v>2547</v>
      </c>
      <c r="AC128" t="str">
        <f>HYPERLINK("plots/3FT6Y578R01_012_S11P_20251111092011_M5358ACSH101811_RBGEUFRF26/dpll_52046/txpa_54160.png","plot")</f>
        <v>plot</v>
      </c>
    </row>
    <row r="129" spans="1:29" x14ac:dyDescent="0.35">
      <c r="A129" t="s">
        <v>48</v>
      </c>
      <c r="B129">
        <v>52046</v>
      </c>
      <c r="C129" t="s">
        <v>51</v>
      </c>
      <c r="D129">
        <v>54161</v>
      </c>
      <c r="E129" t="s">
        <v>181</v>
      </c>
      <c r="F129">
        <v>12242</v>
      </c>
      <c r="G129">
        <v>0.75413640375014479</v>
      </c>
      <c r="H129">
        <v>0</v>
      </c>
      <c r="I129">
        <v>0</v>
      </c>
      <c r="J129">
        <v>0.64207559985874585</v>
      </c>
      <c r="K129">
        <v>0</v>
      </c>
      <c r="L129">
        <v>0</v>
      </c>
      <c r="M129">
        <v>0.46141746167639708</v>
      </c>
      <c r="N129">
        <v>0</v>
      </c>
      <c r="O129">
        <v>0</v>
      </c>
      <c r="P129">
        <v>0.56872171546120143</v>
      </c>
      <c r="Q129">
        <v>1.425545406599934</v>
      </c>
      <c r="R129">
        <v>-17.389514117958399</v>
      </c>
      <c r="S129">
        <v>0.24866341994481819</v>
      </c>
      <c r="T129">
        <v>0.1953636964687715</v>
      </c>
      <c r="U129">
        <v>4.4922368706093776</v>
      </c>
      <c r="V129">
        <v>0.20031787099771459</v>
      </c>
      <c r="W129">
        <v>-10.98562648170234</v>
      </c>
      <c r="X129">
        <v>0.37866123348592617</v>
      </c>
      <c r="Z129" t="s">
        <v>392</v>
      </c>
      <c r="AA129">
        <v>9400</v>
      </c>
      <c r="AB129" t="s">
        <v>2548</v>
      </c>
      <c r="AC129" t="str">
        <f>HYPERLINK("plots/3FT6Y578R01_012_S11P_20251111092011_M5358ACSH101811_RBGEUFRF26/dpll_52046/txpa_54161.png","plot")</f>
        <v>plot</v>
      </c>
    </row>
    <row r="130" spans="1:29" x14ac:dyDescent="0.35">
      <c r="A130" t="s">
        <v>48</v>
      </c>
      <c r="B130">
        <v>52046</v>
      </c>
      <c r="C130" t="s">
        <v>51</v>
      </c>
      <c r="D130">
        <v>54162</v>
      </c>
      <c r="E130" t="s">
        <v>182</v>
      </c>
      <c r="F130">
        <v>12241</v>
      </c>
      <c r="G130">
        <v>0.74804587254142219</v>
      </c>
      <c r="H130">
        <v>0</v>
      </c>
      <c r="I130">
        <v>0</v>
      </c>
      <c r="J130">
        <v>0.63025632639094753</v>
      </c>
      <c r="K130">
        <v>0</v>
      </c>
      <c r="L130">
        <v>0</v>
      </c>
      <c r="M130">
        <v>0.4525927175368023</v>
      </c>
      <c r="N130">
        <v>0</v>
      </c>
      <c r="O130">
        <v>0</v>
      </c>
      <c r="P130">
        <v>0.55957262742625768</v>
      </c>
      <c r="Q130">
        <v>1.406995300070248</v>
      </c>
      <c r="R130">
        <v>-17.368365146125448</v>
      </c>
      <c r="S130">
        <v>0.25003004230864501</v>
      </c>
      <c r="T130">
        <v>0.19555753117166219</v>
      </c>
      <c r="U130">
        <v>4.4922578171717999</v>
      </c>
      <c r="V130">
        <v>0.20031264585891739</v>
      </c>
      <c r="W130">
        <v>-11.0477795106609</v>
      </c>
      <c r="X130">
        <v>0.37676693584393278</v>
      </c>
      <c r="Z130" t="s">
        <v>392</v>
      </c>
      <c r="AA130">
        <v>9400</v>
      </c>
      <c r="AB130" t="s">
        <v>2549</v>
      </c>
      <c r="AC130" t="str">
        <f>HYPERLINK("plots/3FT6Y578R01_012_S11P_20251111092011_M5358ACSH101811_RBGEUFRF26/dpll_52046/txpa_54162.png","plot")</f>
        <v>plot</v>
      </c>
    </row>
    <row r="131" spans="1:29" x14ac:dyDescent="0.35">
      <c r="A131" t="s">
        <v>48</v>
      </c>
      <c r="B131">
        <v>52046</v>
      </c>
      <c r="C131" t="s">
        <v>51</v>
      </c>
      <c r="D131">
        <v>54163</v>
      </c>
      <c r="E131" t="s">
        <v>183</v>
      </c>
      <c r="F131">
        <v>12243</v>
      </c>
      <c r="G131">
        <v>0.77444374931088733</v>
      </c>
      <c r="H131">
        <v>0</v>
      </c>
      <c r="I131">
        <v>0</v>
      </c>
      <c r="J131">
        <v>0.66932078150149743</v>
      </c>
      <c r="K131">
        <v>0</v>
      </c>
      <c r="L131">
        <v>0</v>
      </c>
      <c r="M131">
        <v>0.48215709132125001</v>
      </c>
      <c r="N131">
        <v>0</v>
      </c>
      <c r="O131">
        <v>0</v>
      </c>
      <c r="P131">
        <v>0.59976312084670447</v>
      </c>
      <c r="Q131">
        <v>1.2499791531220279</v>
      </c>
      <c r="R131">
        <v>-10.372983957717929</v>
      </c>
      <c r="S131">
        <v>0.2045595712285605</v>
      </c>
      <c r="T131">
        <v>0.15565343037416021</v>
      </c>
      <c r="U131">
        <v>4.492205754635302</v>
      </c>
      <c r="V131">
        <v>0.20033927554587111</v>
      </c>
      <c r="W131">
        <v>-4.7578204128889974</v>
      </c>
      <c r="X131">
        <v>0.32335456023337572</v>
      </c>
      <c r="Z131" t="s">
        <v>392</v>
      </c>
      <c r="AA131">
        <v>9400</v>
      </c>
      <c r="AB131" t="s">
        <v>2550</v>
      </c>
      <c r="AC131" t="str">
        <f>HYPERLINK("plots/3FT6Y578R01_012_S11P_20251111092011_M5358ACSH101811_RBGEUFRF26/dpll_52046/txpa_54163.png","plot")</f>
        <v>plot</v>
      </c>
    </row>
    <row r="132" spans="1:29" x14ac:dyDescent="0.35">
      <c r="A132" t="s">
        <v>48</v>
      </c>
      <c r="B132">
        <v>52046</v>
      </c>
      <c r="C132" t="s">
        <v>51</v>
      </c>
      <c r="D132">
        <v>54164</v>
      </c>
      <c r="E132" t="s">
        <v>184</v>
      </c>
      <c r="F132">
        <v>12242</v>
      </c>
      <c r="G132">
        <v>0.79011619235196273</v>
      </c>
      <c r="H132">
        <v>0</v>
      </c>
      <c r="I132">
        <v>0</v>
      </c>
      <c r="J132">
        <v>0.67976091523190052</v>
      </c>
      <c r="K132">
        <v>0</v>
      </c>
      <c r="L132">
        <v>0</v>
      </c>
      <c r="M132">
        <v>0.49300927822032742</v>
      </c>
      <c r="N132">
        <v>0</v>
      </c>
      <c r="O132">
        <v>0</v>
      </c>
      <c r="P132">
        <v>0.62428359741676376</v>
      </c>
      <c r="Q132">
        <v>1.2670641946473871</v>
      </c>
      <c r="R132">
        <v>-10.40670509544425</v>
      </c>
      <c r="S132">
        <v>0.19691974328746281</v>
      </c>
      <c r="T132">
        <v>0.15179100397518111</v>
      </c>
      <c r="U132">
        <v>4.492190922643359</v>
      </c>
      <c r="V132">
        <v>0.20034073623739329</v>
      </c>
      <c r="W132">
        <v>-4.7148108218428364</v>
      </c>
      <c r="X132">
        <v>0.32127499230217088</v>
      </c>
      <c r="Z132" t="s">
        <v>392</v>
      </c>
      <c r="AA132">
        <v>9400</v>
      </c>
      <c r="AB132" t="s">
        <v>2551</v>
      </c>
      <c r="AC132" t="str">
        <f>HYPERLINK("plots/3FT6Y578R01_012_S11P_20251111092011_M5358ACSH101811_RBGEUFRF26/dpll_52046/txpa_54164.png","plot")</f>
        <v>plot</v>
      </c>
    </row>
    <row r="133" spans="1:29" x14ac:dyDescent="0.35">
      <c r="A133" t="s">
        <v>48</v>
      </c>
      <c r="B133">
        <v>52046</v>
      </c>
      <c r="C133" t="s">
        <v>51</v>
      </c>
      <c r="D133">
        <v>54165</v>
      </c>
      <c r="E133" t="s">
        <v>185</v>
      </c>
      <c r="F133">
        <v>12243</v>
      </c>
      <c r="G133">
        <v>0.78900545791549404</v>
      </c>
      <c r="H133">
        <v>0</v>
      </c>
      <c r="I133">
        <v>0</v>
      </c>
      <c r="J133">
        <v>0.67752399312163403</v>
      </c>
      <c r="K133">
        <v>0</v>
      </c>
      <c r="L133">
        <v>0</v>
      </c>
      <c r="M133">
        <v>0.49040268867859099</v>
      </c>
      <c r="N133">
        <v>0</v>
      </c>
      <c r="O133">
        <v>0</v>
      </c>
      <c r="P133">
        <v>0.62252961262043838</v>
      </c>
      <c r="Q133">
        <v>1.2523891303890129</v>
      </c>
      <c r="R133">
        <v>-10.3406501257003</v>
      </c>
      <c r="S133">
        <v>0.1953660462352356</v>
      </c>
      <c r="T133">
        <v>0.15020873297099679</v>
      </c>
      <c r="U133">
        <v>4.492205754635302</v>
      </c>
      <c r="V133">
        <v>0.20033927554587111</v>
      </c>
      <c r="W133">
        <v>-4.7146604671240713</v>
      </c>
      <c r="X133">
        <v>0.31799872683584302</v>
      </c>
      <c r="Z133" t="s">
        <v>392</v>
      </c>
      <c r="AA133">
        <v>9400</v>
      </c>
      <c r="AB133" t="s">
        <v>2552</v>
      </c>
      <c r="AC133" t="str">
        <f>HYPERLINK("plots/3FT6Y578R01_012_S11P_20251111092011_M5358ACSH101811_RBGEUFRF26/dpll_52046/txpa_54165.png","plot")</f>
        <v>plot</v>
      </c>
    </row>
    <row r="134" spans="1:29" x14ac:dyDescent="0.35">
      <c r="A134" t="s">
        <v>48</v>
      </c>
      <c r="B134">
        <v>52046</v>
      </c>
      <c r="C134" t="s">
        <v>51</v>
      </c>
      <c r="D134">
        <v>54166</v>
      </c>
      <c r="E134" t="s">
        <v>186</v>
      </c>
      <c r="F134">
        <v>12242</v>
      </c>
      <c r="G134">
        <v>0.80148046038056853</v>
      </c>
      <c r="H134">
        <v>0</v>
      </c>
      <c r="I134">
        <v>0</v>
      </c>
      <c r="J134">
        <v>0.68581941847769301</v>
      </c>
      <c r="K134">
        <v>0</v>
      </c>
      <c r="L134">
        <v>0</v>
      </c>
      <c r="M134">
        <v>0.49755614460803788</v>
      </c>
      <c r="N134">
        <v>0</v>
      </c>
      <c r="O134">
        <v>0</v>
      </c>
      <c r="P134">
        <v>0.64237092837184806</v>
      </c>
      <c r="Q134">
        <v>1.2793258980206641</v>
      </c>
      <c r="R134">
        <v>-10.421427989832191</v>
      </c>
      <c r="S134">
        <v>0.19123529637839209</v>
      </c>
      <c r="T134">
        <v>0.14870188218198449</v>
      </c>
      <c r="U134">
        <v>4.4922121462179394</v>
      </c>
      <c r="V134">
        <v>0.20034621017914711</v>
      </c>
      <c r="W134">
        <v>-4.6744246517725863</v>
      </c>
      <c r="X134">
        <v>0.3197933173951249</v>
      </c>
      <c r="Z134" t="s">
        <v>392</v>
      </c>
      <c r="AA134">
        <v>9400</v>
      </c>
      <c r="AB134" t="s">
        <v>2553</v>
      </c>
      <c r="AC134" t="str">
        <f>HYPERLINK("plots/3FT6Y578R01_012_S11P_20251111092011_M5358ACSH101811_RBGEUFRF26/dpll_52046/txpa_54166.png","plot")</f>
        <v>plot</v>
      </c>
    </row>
    <row r="135" spans="1:29" x14ac:dyDescent="0.35">
      <c r="A135" t="s">
        <v>48</v>
      </c>
      <c r="B135">
        <v>52046</v>
      </c>
      <c r="C135" t="s">
        <v>51</v>
      </c>
      <c r="D135">
        <v>54167</v>
      </c>
      <c r="E135" t="s">
        <v>187</v>
      </c>
      <c r="F135">
        <v>12240</v>
      </c>
      <c r="G135">
        <v>0.79978528966965357</v>
      </c>
      <c r="H135">
        <v>0</v>
      </c>
      <c r="I135">
        <v>0</v>
      </c>
      <c r="J135">
        <v>0.67996215671505122</v>
      </c>
      <c r="K135">
        <v>0</v>
      </c>
      <c r="L135">
        <v>0</v>
      </c>
      <c r="M135">
        <v>0.49195176264448681</v>
      </c>
      <c r="N135">
        <v>0</v>
      </c>
      <c r="O135">
        <v>0</v>
      </c>
      <c r="P135">
        <v>0.63965650957197162</v>
      </c>
      <c r="Q135">
        <v>1.2851647548279179</v>
      </c>
      <c r="R135">
        <v>-10.471690647485881</v>
      </c>
      <c r="S135">
        <v>0.19321108143464849</v>
      </c>
      <c r="T135">
        <v>0.15071614315096479</v>
      </c>
      <c r="U135">
        <v>4.492228153022876</v>
      </c>
      <c r="V135">
        <v>0.2003115712750779</v>
      </c>
      <c r="W135">
        <v>-4.6984373545751632</v>
      </c>
      <c r="X135">
        <v>0.32187810242579201</v>
      </c>
      <c r="Z135" t="s">
        <v>392</v>
      </c>
      <c r="AA135">
        <v>9400</v>
      </c>
      <c r="AB135" t="s">
        <v>2554</v>
      </c>
      <c r="AC135" t="str">
        <f>HYPERLINK("plots/3FT6Y578R01_012_S11P_20251111092011_M5358ACSH101811_RBGEUFRF26/dpll_52046/txpa_54167.png","plot")</f>
        <v>plot</v>
      </c>
    </row>
    <row r="136" spans="1:29" x14ac:dyDescent="0.35">
      <c r="A136" t="s">
        <v>48</v>
      </c>
      <c r="B136">
        <v>52046</v>
      </c>
      <c r="C136" t="s">
        <v>51</v>
      </c>
      <c r="D136">
        <v>54168</v>
      </c>
      <c r="E136" t="s">
        <v>188</v>
      </c>
      <c r="F136">
        <v>12240</v>
      </c>
      <c r="G136">
        <v>0.80428629421797038</v>
      </c>
      <c r="H136">
        <v>0</v>
      </c>
      <c r="I136">
        <v>0</v>
      </c>
      <c r="J136">
        <v>0.69115414475818893</v>
      </c>
      <c r="K136">
        <v>0</v>
      </c>
      <c r="L136">
        <v>0</v>
      </c>
      <c r="M136">
        <v>0.50289662124295864</v>
      </c>
      <c r="N136">
        <v>0</v>
      </c>
      <c r="O136">
        <v>0</v>
      </c>
      <c r="P136">
        <v>0.64687644306687564</v>
      </c>
      <c r="Q136">
        <v>1.2899865829535511</v>
      </c>
      <c r="R136">
        <v>-10.50175273663424</v>
      </c>
      <c r="S136">
        <v>0.1908874775063778</v>
      </c>
      <c r="T136">
        <v>0.14882530973459579</v>
      </c>
      <c r="U136">
        <v>4.4921825285947721</v>
      </c>
      <c r="V136">
        <v>0.20028909768291919</v>
      </c>
      <c r="W136">
        <v>-4.7068975465686274</v>
      </c>
      <c r="X136">
        <v>0.32124164066983057</v>
      </c>
      <c r="Z136" t="s">
        <v>392</v>
      </c>
      <c r="AA136">
        <v>9400</v>
      </c>
      <c r="AB136" t="s">
        <v>2555</v>
      </c>
      <c r="AC136" t="str">
        <f>HYPERLINK("plots/3FT6Y578R01_012_S11P_20251111092011_M5358ACSH101811_RBGEUFRF26/dpll_52046/txpa_54168.png","plot")</f>
        <v>plot</v>
      </c>
    </row>
    <row r="137" spans="1:29" x14ac:dyDescent="0.35">
      <c r="A137" t="s">
        <v>48</v>
      </c>
      <c r="B137">
        <v>52046</v>
      </c>
      <c r="C137" t="s">
        <v>51</v>
      </c>
      <c r="D137">
        <v>54169</v>
      </c>
      <c r="E137" t="s">
        <v>189</v>
      </c>
      <c r="F137">
        <v>12242</v>
      </c>
      <c r="G137">
        <v>0.80144944902986959</v>
      </c>
      <c r="H137">
        <v>0</v>
      </c>
      <c r="I137">
        <v>0</v>
      </c>
      <c r="J137">
        <v>0.68386282722874714</v>
      </c>
      <c r="K137">
        <v>0</v>
      </c>
      <c r="L137">
        <v>0</v>
      </c>
      <c r="M137">
        <v>0.49654128511031759</v>
      </c>
      <c r="N137">
        <v>0</v>
      </c>
      <c r="O137">
        <v>0</v>
      </c>
      <c r="P137">
        <v>0.64232121935028152</v>
      </c>
      <c r="Q137">
        <v>1.281434742597013</v>
      </c>
      <c r="R137">
        <v>-10.46006366484229</v>
      </c>
      <c r="S137">
        <v>0.1915441555553577</v>
      </c>
      <c r="T137">
        <v>0.14946383847718209</v>
      </c>
      <c r="U137">
        <v>4.4922368706093776</v>
      </c>
      <c r="V137">
        <v>0.20031787099771459</v>
      </c>
      <c r="W137">
        <v>-4.7035552668681584</v>
      </c>
      <c r="X137">
        <v>0.32028754872844267</v>
      </c>
      <c r="Z137" t="s">
        <v>392</v>
      </c>
      <c r="AA137">
        <v>9400</v>
      </c>
      <c r="AB137" t="s">
        <v>2556</v>
      </c>
      <c r="AC137" t="str">
        <f>HYPERLINK("plots/3FT6Y578R01_012_S11P_20251111092011_M5358ACSH101811_RBGEUFRF26/dpll_52046/txpa_54169.png","plot")</f>
        <v>plot</v>
      </c>
    </row>
    <row r="138" spans="1:29" x14ac:dyDescent="0.35">
      <c r="A138" t="s">
        <v>48</v>
      </c>
      <c r="B138">
        <v>52046</v>
      </c>
      <c r="C138" t="s">
        <v>51</v>
      </c>
      <c r="D138">
        <v>54170</v>
      </c>
      <c r="E138" t="s">
        <v>190</v>
      </c>
      <c r="F138">
        <v>12239</v>
      </c>
      <c r="G138">
        <v>0.79602048599230213</v>
      </c>
      <c r="H138">
        <v>0</v>
      </c>
      <c r="I138">
        <v>0</v>
      </c>
      <c r="J138">
        <v>0.67453469794061538</v>
      </c>
      <c r="K138">
        <v>0</v>
      </c>
      <c r="L138">
        <v>0</v>
      </c>
      <c r="M138">
        <v>0.48902771902768938</v>
      </c>
      <c r="N138">
        <v>0</v>
      </c>
      <c r="O138">
        <v>0</v>
      </c>
      <c r="P138">
        <v>0.63364861411942086</v>
      </c>
      <c r="Q138">
        <v>1.267358405149239</v>
      </c>
      <c r="R138">
        <v>-10.42765408429546</v>
      </c>
      <c r="S138">
        <v>0.1930324839352785</v>
      </c>
      <c r="T138">
        <v>0.1499932522505748</v>
      </c>
      <c r="U138">
        <v>4.4922816766075657</v>
      </c>
      <c r="V138">
        <v>0.2003198646137857</v>
      </c>
      <c r="W138">
        <v>-4.7343231431489503</v>
      </c>
      <c r="X138">
        <v>0.31893282723768263</v>
      </c>
      <c r="Z138" t="s">
        <v>392</v>
      </c>
      <c r="AA138">
        <v>9400</v>
      </c>
      <c r="AB138" t="s">
        <v>2557</v>
      </c>
      <c r="AC138" t="str">
        <f>HYPERLINK("plots/3FT6Y578R01_012_S11P_20251111092011_M5358ACSH101811_RBGEUFRF26/dpll_52046/txpa_54170.png","plot")</f>
        <v>plot</v>
      </c>
    </row>
    <row r="139" spans="1:29" x14ac:dyDescent="0.35">
      <c r="A139" t="s">
        <v>48</v>
      </c>
      <c r="B139">
        <v>52046</v>
      </c>
      <c r="C139" t="s">
        <v>51</v>
      </c>
      <c r="D139">
        <v>54171</v>
      </c>
      <c r="E139" t="s">
        <v>191</v>
      </c>
      <c r="F139">
        <v>12243</v>
      </c>
      <c r="G139">
        <v>0.78662933748493657</v>
      </c>
      <c r="H139">
        <v>0</v>
      </c>
      <c r="I139">
        <v>0</v>
      </c>
      <c r="J139">
        <v>0.68412158925536415</v>
      </c>
      <c r="K139">
        <v>0</v>
      </c>
      <c r="L139">
        <v>0</v>
      </c>
      <c r="M139">
        <v>0.49434076348553507</v>
      </c>
      <c r="N139">
        <v>0</v>
      </c>
      <c r="O139">
        <v>0</v>
      </c>
      <c r="P139">
        <v>0.61878571459199028</v>
      </c>
      <c r="Q139">
        <v>1.2754972764888131</v>
      </c>
      <c r="R139">
        <v>-7.5153412820472383</v>
      </c>
      <c r="S139">
        <v>0.20055908580802029</v>
      </c>
      <c r="T139">
        <v>0.15163002394533551</v>
      </c>
      <c r="U139">
        <v>4.492205754635302</v>
      </c>
      <c r="V139">
        <v>0.20033927554587111</v>
      </c>
      <c r="W139">
        <v>-1.7855450765825369</v>
      </c>
      <c r="X139">
        <v>0.32484448285326478</v>
      </c>
      <c r="Z139" t="s">
        <v>392</v>
      </c>
      <c r="AA139">
        <v>9400</v>
      </c>
      <c r="AB139" t="s">
        <v>2558</v>
      </c>
      <c r="AC139" t="str">
        <f>HYPERLINK("plots/3FT6Y578R01_012_S11P_20251111092011_M5358ACSH101811_RBGEUFRF26/dpll_52046/txpa_54171.png","plot")</f>
        <v>plot</v>
      </c>
    </row>
    <row r="140" spans="1:29" x14ac:dyDescent="0.35">
      <c r="A140" t="s">
        <v>48</v>
      </c>
      <c r="B140">
        <v>52046</v>
      </c>
      <c r="C140" t="s">
        <v>51</v>
      </c>
      <c r="D140">
        <v>54172</v>
      </c>
      <c r="E140" t="s">
        <v>192</v>
      </c>
      <c r="F140">
        <v>12242</v>
      </c>
      <c r="G140">
        <v>0.80320197809921379</v>
      </c>
      <c r="H140">
        <v>0</v>
      </c>
      <c r="I140">
        <v>0</v>
      </c>
      <c r="J140">
        <v>0.6959233185890954</v>
      </c>
      <c r="K140">
        <v>0</v>
      </c>
      <c r="L140">
        <v>0</v>
      </c>
      <c r="M140">
        <v>0.50645975155975287</v>
      </c>
      <c r="N140">
        <v>0</v>
      </c>
      <c r="O140">
        <v>0</v>
      </c>
      <c r="P140">
        <v>0.64513341762248988</v>
      </c>
      <c r="Q140">
        <v>1.296753154314652</v>
      </c>
      <c r="R140">
        <v>-7.5736138856353232</v>
      </c>
      <c r="S140">
        <v>0.1926711202515185</v>
      </c>
      <c r="T140">
        <v>0.14792290571831609</v>
      </c>
      <c r="U140">
        <v>4.492190922643359</v>
      </c>
      <c r="V140">
        <v>0.20034073623739329</v>
      </c>
      <c r="W140">
        <v>-1.7483511369139031</v>
      </c>
      <c r="X140">
        <v>0.32344601823362168</v>
      </c>
      <c r="Z140" t="s">
        <v>392</v>
      </c>
      <c r="AA140">
        <v>9400</v>
      </c>
      <c r="AB140" t="s">
        <v>2559</v>
      </c>
      <c r="AC140" t="str">
        <f>HYPERLINK("plots/3FT6Y578R01_012_S11P_20251111092011_M5358ACSH101811_RBGEUFRF26/dpll_52046/txpa_54172.png","plot")</f>
        <v>plot</v>
      </c>
    </row>
    <row r="141" spans="1:29" x14ac:dyDescent="0.35">
      <c r="A141" t="s">
        <v>48</v>
      </c>
      <c r="B141">
        <v>52046</v>
      </c>
      <c r="C141" t="s">
        <v>51</v>
      </c>
      <c r="D141">
        <v>54173</v>
      </c>
      <c r="E141" t="s">
        <v>193</v>
      </c>
      <c r="F141">
        <v>12243</v>
      </c>
      <c r="G141">
        <v>0.80056092252937305</v>
      </c>
      <c r="H141">
        <v>0</v>
      </c>
      <c r="I141">
        <v>0</v>
      </c>
      <c r="J141">
        <v>0.69176196553299474</v>
      </c>
      <c r="K141">
        <v>0</v>
      </c>
      <c r="L141">
        <v>0</v>
      </c>
      <c r="M141">
        <v>0.50231636194132689</v>
      </c>
      <c r="N141">
        <v>0</v>
      </c>
      <c r="O141">
        <v>0</v>
      </c>
      <c r="P141">
        <v>0.64089779068108088</v>
      </c>
      <c r="Q141">
        <v>1.2790848734948961</v>
      </c>
      <c r="R141">
        <v>-7.4928158594795704</v>
      </c>
      <c r="S141">
        <v>0.19180608285683379</v>
      </c>
      <c r="T141">
        <v>0.14675509595157549</v>
      </c>
      <c r="U141">
        <v>4.492205754635302</v>
      </c>
      <c r="V141">
        <v>0.20033927554587111</v>
      </c>
      <c r="W141">
        <v>-1.746903430098832</v>
      </c>
      <c r="X141">
        <v>0.32008923956471003</v>
      </c>
      <c r="Z141" t="s">
        <v>392</v>
      </c>
      <c r="AA141">
        <v>9400</v>
      </c>
      <c r="AB141" t="s">
        <v>2560</v>
      </c>
      <c r="AC141" t="str">
        <f>HYPERLINK("plots/3FT6Y578R01_012_S11P_20251111092011_M5358ACSH101811_RBGEUFRF26/dpll_52046/txpa_54173.png","plot")</f>
        <v>plot</v>
      </c>
    </row>
    <row r="142" spans="1:29" x14ac:dyDescent="0.35">
      <c r="A142" t="s">
        <v>48</v>
      </c>
      <c r="B142">
        <v>52046</v>
      </c>
      <c r="C142" t="s">
        <v>51</v>
      </c>
      <c r="D142">
        <v>54174</v>
      </c>
      <c r="E142" t="s">
        <v>194</v>
      </c>
      <c r="F142">
        <v>12242</v>
      </c>
      <c r="G142">
        <v>0.81280189076507525</v>
      </c>
      <c r="H142">
        <v>0</v>
      </c>
      <c r="I142">
        <v>0</v>
      </c>
      <c r="J142">
        <v>0.70035950257426982</v>
      </c>
      <c r="K142">
        <v>0</v>
      </c>
      <c r="L142">
        <v>0</v>
      </c>
      <c r="M142">
        <v>0.51004325242917714</v>
      </c>
      <c r="N142">
        <v>0</v>
      </c>
      <c r="O142">
        <v>0</v>
      </c>
      <c r="P142">
        <v>0.66064691363128136</v>
      </c>
      <c r="Q142">
        <v>1.304268470684762</v>
      </c>
      <c r="R142">
        <v>-7.5723755906246923</v>
      </c>
      <c r="S142">
        <v>0.18727145521729921</v>
      </c>
      <c r="T142">
        <v>0.144994720099964</v>
      </c>
      <c r="U142">
        <v>4.4922121462179394</v>
      </c>
      <c r="V142">
        <v>0.20034621017914711</v>
      </c>
      <c r="W142">
        <v>-1.7133249246855089</v>
      </c>
      <c r="X142">
        <v>0.32148700455394158</v>
      </c>
      <c r="Z142" t="s">
        <v>392</v>
      </c>
      <c r="AA142">
        <v>9400</v>
      </c>
      <c r="AB142" t="s">
        <v>2561</v>
      </c>
      <c r="AC142" t="str">
        <f>HYPERLINK("plots/3FT6Y578R01_012_S11P_20251111092011_M5358ACSH101811_RBGEUFRF26/dpll_52046/txpa_54174.png","plot")</f>
        <v>plot</v>
      </c>
    </row>
    <row r="143" spans="1:29" x14ac:dyDescent="0.35">
      <c r="A143" t="s">
        <v>48</v>
      </c>
      <c r="B143">
        <v>52046</v>
      </c>
      <c r="C143" t="s">
        <v>51</v>
      </c>
      <c r="D143">
        <v>54175</v>
      </c>
      <c r="E143" t="s">
        <v>195</v>
      </c>
      <c r="F143">
        <v>12240</v>
      </c>
      <c r="G143">
        <v>0.8121038893611362</v>
      </c>
      <c r="H143">
        <v>0</v>
      </c>
      <c r="I143">
        <v>0</v>
      </c>
      <c r="J143">
        <v>0.69516811626013375</v>
      </c>
      <c r="K143">
        <v>0</v>
      </c>
      <c r="L143">
        <v>0</v>
      </c>
      <c r="M143">
        <v>0.50479091813425003</v>
      </c>
      <c r="N143">
        <v>0</v>
      </c>
      <c r="O143">
        <v>0</v>
      </c>
      <c r="P143">
        <v>0.65951272711548459</v>
      </c>
      <c r="Q143">
        <v>1.3092684618135531</v>
      </c>
      <c r="R143">
        <v>-7.6180483904535379</v>
      </c>
      <c r="S143">
        <v>0.18843251893388671</v>
      </c>
      <c r="T143">
        <v>0.14665579473507651</v>
      </c>
      <c r="U143">
        <v>4.492228153022876</v>
      </c>
      <c r="V143">
        <v>0.2003115712750779</v>
      </c>
      <c r="W143">
        <v>-1.7365157464297389</v>
      </c>
      <c r="X143">
        <v>0.32294097620083129</v>
      </c>
      <c r="Z143" t="s">
        <v>392</v>
      </c>
      <c r="AA143">
        <v>9400</v>
      </c>
      <c r="AB143" t="s">
        <v>2562</v>
      </c>
      <c r="AC143" t="str">
        <f>HYPERLINK("plots/3FT6Y578R01_012_S11P_20251111092011_M5358ACSH101811_RBGEUFRF26/dpll_52046/txpa_54175.png","plot")</f>
        <v>plot</v>
      </c>
    </row>
    <row r="144" spans="1:29" x14ac:dyDescent="0.35">
      <c r="A144" t="s">
        <v>48</v>
      </c>
      <c r="B144">
        <v>52046</v>
      </c>
      <c r="C144" t="s">
        <v>51</v>
      </c>
      <c r="D144">
        <v>54176</v>
      </c>
      <c r="E144" t="s">
        <v>196</v>
      </c>
      <c r="F144">
        <v>12240</v>
      </c>
      <c r="G144">
        <v>0.81623185809267607</v>
      </c>
      <c r="H144">
        <v>0</v>
      </c>
      <c r="I144">
        <v>0</v>
      </c>
      <c r="J144">
        <v>0.70503544001398244</v>
      </c>
      <c r="K144">
        <v>0</v>
      </c>
      <c r="L144">
        <v>0</v>
      </c>
      <c r="M144">
        <v>0.51458999301090103</v>
      </c>
      <c r="N144">
        <v>0</v>
      </c>
      <c r="O144">
        <v>0</v>
      </c>
      <c r="P144">
        <v>0.66623444616542249</v>
      </c>
      <c r="Q144">
        <v>1.3168670103841971</v>
      </c>
      <c r="R144">
        <v>-7.6569530217513098</v>
      </c>
      <c r="S144">
        <v>0.18667609250894959</v>
      </c>
      <c r="T144">
        <v>0.14537200402623221</v>
      </c>
      <c r="U144">
        <v>4.4921825285947721</v>
      </c>
      <c r="V144">
        <v>0.20028909768291919</v>
      </c>
      <c r="W144">
        <v>-1.741346045220588</v>
      </c>
      <c r="X144">
        <v>0.32313625431697812</v>
      </c>
      <c r="Z144" t="s">
        <v>392</v>
      </c>
      <c r="AA144">
        <v>9400</v>
      </c>
      <c r="AB144" t="s">
        <v>2563</v>
      </c>
      <c r="AC144" t="str">
        <f>HYPERLINK("plots/3FT6Y578R01_012_S11P_20251111092011_M5358ACSH101811_RBGEUFRF26/dpll_52046/txpa_54176.png","plot")</f>
        <v>plot</v>
      </c>
    </row>
    <row r="145" spans="1:29" x14ac:dyDescent="0.35">
      <c r="A145" t="s">
        <v>48</v>
      </c>
      <c r="B145">
        <v>52046</v>
      </c>
      <c r="C145" t="s">
        <v>51</v>
      </c>
      <c r="D145">
        <v>54177</v>
      </c>
      <c r="E145" t="s">
        <v>197</v>
      </c>
      <c r="F145">
        <v>12242</v>
      </c>
      <c r="G145">
        <v>0.81375309842788468</v>
      </c>
      <c r="H145">
        <v>0</v>
      </c>
      <c r="I145">
        <v>0</v>
      </c>
      <c r="J145">
        <v>0.69877426803236831</v>
      </c>
      <c r="K145">
        <v>0</v>
      </c>
      <c r="L145">
        <v>0</v>
      </c>
      <c r="M145">
        <v>0.50916885318399518</v>
      </c>
      <c r="N145">
        <v>0</v>
      </c>
      <c r="O145">
        <v>0</v>
      </c>
      <c r="P145">
        <v>0.66219410520098254</v>
      </c>
      <c r="Q145">
        <v>1.3087038148808749</v>
      </c>
      <c r="R145">
        <v>-7.6159977592729664</v>
      </c>
      <c r="S145">
        <v>0.1872338132458215</v>
      </c>
      <c r="T145">
        <v>0.14571382396753371</v>
      </c>
      <c r="U145">
        <v>4.4922368706093776</v>
      </c>
      <c r="V145">
        <v>0.20031787099771459</v>
      </c>
      <c r="W145">
        <v>-1.736990229357948</v>
      </c>
      <c r="X145">
        <v>0.32215762062226633</v>
      </c>
      <c r="Z145" t="s">
        <v>392</v>
      </c>
      <c r="AA145">
        <v>9400</v>
      </c>
      <c r="AB145" t="s">
        <v>2564</v>
      </c>
      <c r="AC145" t="str">
        <f>HYPERLINK("plots/3FT6Y578R01_012_S11P_20251111092011_M5358ACSH101811_RBGEUFRF26/dpll_52046/txpa_54177.png","plot")</f>
        <v>plot</v>
      </c>
    </row>
    <row r="146" spans="1:29" x14ac:dyDescent="0.35">
      <c r="A146" t="s">
        <v>48</v>
      </c>
      <c r="B146">
        <v>52046</v>
      </c>
      <c r="C146" t="s">
        <v>51</v>
      </c>
      <c r="D146">
        <v>54178</v>
      </c>
      <c r="E146" t="s">
        <v>198</v>
      </c>
      <c r="F146">
        <v>12239</v>
      </c>
      <c r="G146">
        <v>0.80797143319714426</v>
      </c>
      <c r="H146">
        <v>0</v>
      </c>
      <c r="I146">
        <v>0</v>
      </c>
      <c r="J146">
        <v>0.68933549652521386</v>
      </c>
      <c r="K146">
        <v>0</v>
      </c>
      <c r="L146">
        <v>0</v>
      </c>
      <c r="M146">
        <v>0.50163065983274591</v>
      </c>
      <c r="N146">
        <v>0</v>
      </c>
      <c r="O146">
        <v>0</v>
      </c>
      <c r="P146">
        <v>0.65281783686264738</v>
      </c>
      <c r="Q146">
        <v>1.2957374953596621</v>
      </c>
      <c r="R146">
        <v>-7.5812483488770672</v>
      </c>
      <c r="S146">
        <v>0.18928055369121791</v>
      </c>
      <c r="T146">
        <v>0.14636766810064711</v>
      </c>
      <c r="U146">
        <v>4.4922816766075657</v>
      </c>
      <c r="V146">
        <v>0.2003198646137857</v>
      </c>
      <c r="W146">
        <v>-1.760430540779476</v>
      </c>
      <c r="X146">
        <v>0.32125140689487791</v>
      </c>
      <c r="Z146" t="s">
        <v>392</v>
      </c>
      <c r="AA146">
        <v>9400</v>
      </c>
      <c r="AB146" t="s">
        <v>2565</v>
      </c>
      <c r="AC146" t="str">
        <f>HYPERLINK("plots/3FT6Y578R01_012_S11P_20251111092011_M5358ACSH101811_RBGEUFRF26/dpll_52046/txpa_54178.png","plot")</f>
        <v>plot</v>
      </c>
    </row>
    <row r="147" spans="1:29" x14ac:dyDescent="0.35">
      <c r="A147" t="s">
        <v>48</v>
      </c>
      <c r="B147">
        <v>52046</v>
      </c>
      <c r="C147" t="s">
        <v>51</v>
      </c>
      <c r="D147">
        <v>54179</v>
      </c>
      <c r="E147" t="s">
        <v>199</v>
      </c>
      <c r="F147">
        <v>12242</v>
      </c>
      <c r="G147">
        <v>0.80519999068381898</v>
      </c>
      <c r="H147">
        <v>0</v>
      </c>
      <c r="I147">
        <v>0</v>
      </c>
      <c r="J147">
        <v>0.70510940807883793</v>
      </c>
      <c r="K147">
        <v>0</v>
      </c>
      <c r="L147">
        <v>0</v>
      </c>
      <c r="M147">
        <v>0.51250627143101324</v>
      </c>
      <c r="N147">
        <v>0</v>
      </c>
      <c r="O147">
        <v>0</v>
      </c>
      <c r="P147">
        <v>0.64834702499722219</v>
      </c>
      <c r="Q147">
        <v>1.4092822167020711</v>
      </c>
      <c r="R147">
        <v>-4.7639587961200007</v>
      </c>
      <c r="S147">
        <v>0.20790700067854109</v>
      </c>
      <c r="T147">
        <v>0.156254005574193</v>
      </c>
      <c r="U147">
        <v>4.4922327689103092</v>
      </c>
      <c r="V147">
        <v>0.2003251577115534</v>
      </c>
      <c r="W147">
        <v>1.566864958391603</v>
      </c>
      <c r="X147">
        <v>0.35061436362061182</v>
      </c>
      <c r="Z147" t="s">
        <v>392</v>
      </c>
      <c r="AA147">
        <v>9400</v>
      </c>
      <c r="AB147" t="s">
        <v>2566</v>
      </c>
      <c r="AC147" t="str">
        <f>HYPERLINK("plots/3FT6Y578R01_012_S11P_20251111092011_M5358ACSH101811_RBGEUFRF26/dpll_52046/txpa_54179.png","plot")</f>
        <v>plot</v>
      </c>
    </row>
    <row r="148" spans="1:29" x14ac:dyDescent="0.35">
      <c r="A148" t="s">
        <v>48</v>
      </c>
      <c r="B148">
        <v>52046</v>
      </c>
      <c r="C148" t="s">
        <v>51</v>
      </c>
      <c r="D148">
        <v>54180</v>
      </c>
      <c r="E148" t="s">
        <v>200</v>
      </c>
      <c r="F148">
        <v>12242</v>
      </c>
      <c r="G148">
        <v>0.82006138980987409</v>
      </c>
      <c r="H148">
        <v>0</v>
      </c>
      <c r="I148">
        <v>0</v>
      </c>
      <c r="J148">
        <v>0.71582757526404162</v>
      </c>
      <c r="K148">
        <v>0</v>
      </c>
      <c r="L148">
        <v>0</v>
      </c>
      <c r="M148">
        <v>0.52381466640896623</v>
      </c>
      <c r="N148">
        <v>0</v>
      </c>
      <c r="O148">
        <v>0</v>
      </c>
      <c r="P148">
        <v>0.67250068305690225</v>
      </c>
      <c r="Q148">
        <v>1.4337960557638141</v>
      </c>
      <c r="R148">
        <v>-4.8399449053121799</v>
      </c>
      <c r="S148">
        <v>0.20044616082008801</v>
      </c>
      <c r="T148">
        <v>0.1530959047468923</v>
      </c>
      <c r="U148">
        <v>4.492190922643359</v>
      </c>
      <c r="V148">
        <v>0.20034073623739329</v>
      </c>
      <c r="W148">
        <v>1.6009407213118769</v>
      </c>
      <c r="X148">
        <v>0.35027591957791082</v>
      </c>
      <c r="Z148" t="s">
        <v>392</v>
      </c>
      <c r="AA148">
        <v>9400</v>
      </c>
      <c r="AB148" t="s">
        <v>2567</v>
      </c>
      <c r="AC148" t="str">
        <f>HYPERLINK("plots/3FT6Y578R01_012_S11P_20251111092011_M5358ACSH101811_RBGEUFRF26/dpll_52046/txpa_54180.png","plot")</f>
        <v>plot</v>
      </c>
    </row>
    <row r="149" spans="1:29" x14ac:dyDescent="0.35">
      <c r="A149" t="s">
        <v>48</v>
      </c>
      <c r="B149">
        <v>52046</v>
      </c>
      <c r="C149" t="s">
        <v>51</v>
      </c>
      <c r="D149">
        <v>54181</v>
      </c>
      <c r="E149" t="s">
        <v>201</v>
      </c>
      <c r="F149">
        <v>12243</v>
      </c>
      <c r="G149">
        <v>0.81816931578952401</v>
      </c>
      <c r="H149">
        <v>0</v>
      </c>
      <c r="I149">
        <v>0</v>
      </c>
      <c r="J149">
        <v>0.71272818301872554</v>
      </c>
      <c r="K149">
        <v>0</v>
      </c>
      <c r="L149">
        <v>0</v>
      </c>
      <c r="M149">
        <v>0.52061944149017236</v>
      </c>
      <c r="N149">
        <v>0</v>
      </c>
      <c r="O149">
        <v>0</v>
      </c>
      <c r="P149">
        <v>0.66940102929949785</v>
      </c>
      <c r="Q149">
        <v>1.416114978567359</v>
      </c>
      <c r="R149">
        <v>-4.7574040787095679</v>
      </c>
      <c r="S149">
        <v>0.1993675348375212</v>
      </c>
      <c r="T149">
        <v>0.15143859672967669</v>
      </c>
      <c r="U149">
        <v>4.492205754635302</v>
      </c>
      <c r="V149">
        <v>0.20033927554587111</v>
      </c>
      <c r="W149">
        <v>1.6040757772359719</v>
      </c>
      <c r="X149">
        <v>0.34675395840538348</v>
      </c>
      <c r="Z149" t="s">
        <v>392</v>
      </c>
      <c r="AA149">
        <v>9400</v>
      </c>
      <c r="AB149" t="s">
        <v>2568</v>
      </c>
      <c r="AC149" t="str">
        <f>HYPERLINK("plots/3FT6Y578R01_012_S11P_20251111092011_M5358ACSH101811_RBGEUFRF26/dpll_52046/txpa_54181.png","plot")</f>
        <v>plot</v>
      </c>
    </row>
    <row r="150" spans="1:29" x14ac:dyDescent="0.35">
      <c r="A150" t="s">
        <v>48</v>
      </c>
      <c r="B150">
        <v>52046</v>
      </c>
      <c r="C150" t="s">
        <v>51</v>
      </c>
      <c r="D150">
        <v>54182</v>
      </c>
      <c r="E150" t="s">
        <v>202</v>
      </c>
      <c r="F150">
        <v>12242</v>
      </c>
      <c r="G150">
        <v>0.82940070560871859</v>
      </c>
      <c r="H150">
        <v>0</v>
      </c>
      <c r="I150">
        <v>0</v>
      </c>
      <c r="J150">
        <v>0.72061052191965502</v>
      </c>
      <c r="K150">
        <v>0</v>
      </c>
      <c r="L150">
        <v>0</v>
      </c>
      <c r="M150">
        <v>0.52814064843121777</v>
      </c>
      <c r="N150">
        <v>0</v>
      </c>
      <c r="O150">
        <v>0</v>
      </c>
      <c r="P150">
        <v>0.6879055304642403</v>
      </c>
      <c r="Q150">
        <v>1.439496242886704</v>
      </c>
      <c r="R150">
        <v>-4.8352768038635592</v>
      </c>
      <c r="S150">
        <v>0.1942462147745023</v>
      </c>
      <c r="T150">
        <v>0.14949334531439459</v>
      </c>
      <c r="U150">
        <v>4.4922121462179394</v>
      </c>
      <c r="V150">
        <v>0.20034621017914711</v>
      </c>
      <c r="W150">
        <v>1.631245702867179</v>
      </c>
      <c r="X150">
        <v>0.34771807508628733</v>
      </c>
      <c r="Z150" t="s">
        <v>392</v>
      </c>
      <c r="AA150">
        <v>9400</v>
      </c>
      <c r="AB150" t="s">
        <v>2569</v>
      </c>
      <c r="AC150" t="str">
        <f>HYPERLINK("plots/3FT6Y578R01_012_S11P_20251111092011_M5358ACSH101811_RBGEUFRF26/dpll_52046/txpa_54182.png","plot")</f>
        <v>plot</v>
      </c>
    </row>
    <row r="151" spans="1:29" x14ac:dyDescent="0.35">
      <c r="A151" t="s">
        <v>48</v>
      </c>
      <c r="B151">
        <v>52046</v>
      </c>
      <c r="C151" t="s">
        <v>51</v>
      </c>
      <c r="D151">
        <v>54183</v>
      </c>
      <c r="E151" t="s">
        <v>203</v>
      </c>
      <c r="F151">
        <v>12240</v>
      </c>
      <c r="G151">
        <v>0.8289612198497176</v>
      </c>
      <c r="H151">
        <v>0</v>
      </c>
      <c r="I151">
        <v>0</v>
      </c>
      <c r="J151">
        <v>0.71636414499628753</v>
      </c>
      <c r="K151">
        <v>0</v>
      </c>
      <c r="L151">
        <v>0</v>
      </c>
      <c r="M151">
        <v>0.5235364049881821</v>
      </c>
      <c r="N151">
        <v>0</v>
      </c>
      <c r="O151">
        <v>0</v>
      </c>
      <c r="P151">
        <v>0.68717670401473185</v>
      </c>
      <c r="Q151">
        <v>1.4446376823458069</v>
      </c>
      <c r="R151">
        <v>-4.882376372330965</v>
      </c>
      <c r="S151">
        <v>0.19523719740587489</v>
      </c>
      <c r="T151">
        <v>0.1510958761275541</v>
      </c>
      <c r="U151">
        <v>4.492228153022876</v>
      </c>
      <c r="V151">
        <v>0.2003115712750779</v>
      </c>
      <c r="W151">
        <v>1.6072656952205879</v>
      </c>
      <c r="X151">
        <v>0.34908465817778161</v>
      </c>
      <c r="Z151" t="s">
        <v>392</v>
      </c>
      <c r="AA151">
        <v>9400</v>
      </c>
      <c r="AB151" t="s">
        <v>2570</v>
      </c>
      <c r="AC151" t="str">
        <f>HYPERLINK("plots/3FT6Y578R01_012_S11P_20251111092011_M5358ACSH101811_RBGEUFRF26/dpll_52046/txpa_54183.png","plot")</f>
        <v>plot</v>
      </c>
    </row>
    <row r="152" spans="1:29" x14ac:dyDescent="0.35">
      <c r="A152" t="s">
        <v>48</v>
      </c>
      <c r="B152">
        <v>52046</v>
      </c>
      <c r="C152" t="s">
        <v>51</v>
      </c>
      <c r="D152">
        <v>54184</v>
      </c>
      <c r="E152" t="s">
        <v>204</v>
      </c>
      <c r="F152">
        <v>12240</v>
      </c>
      <c r="G152">
        <v>0.83209309052799318</v>
      </c>
      <c r="H152">
        <v>0</v>
      </c>
      <c r="I152">
        <v>0</v>
      </c>
      <c r="J152">
        <v>0.72385065435919538</v>
      </c>
      <c r="K152">
        <v>0</v>
      </c>
      <c r="L152">
        <v>0</v>
      </c>
      <c r="M152">
        <v>0.5311893871151131</v>
      </c>
      <c r="N152">
        <v>0</v>
      </c>
      <c r="O152">
        <v>0</v>
      </c>
      <c r="P152">
        <v>0.69237891130442708</v>
      </c>
      <c r="Q152">
        <v>1.45284909869254</v>
      </c>
      <c r="R152">
        <v>-4.9197571083950136</v>
      </c>
      <c r="S152">
        <v>0.19395287136407821</v>
      </c>
      <c r="T152">
        <v>0.15033516037416361</v>
      </c>
      <c r="U152">
        <v>4.4921825285947721</v>
      </c>
      <c r="V152">
        <v>0.20028909768291919</v>
      </c>
      <c r="W152">
        <v>1.6067062294362751</v>
      </c>
      <c r="X152">
        <v>0.34970826985467163</v>
      </c>
      <c r="Z152" t="s">
        <v>392</v>
      </c>
      <c r="AA152">
        <v>9400</v>
      </c>
      <c r="AB152" t="s">
        <v>2571</v>
      </c>
      <c r="AC152" t="str">
        <f>HYPERLINK("plots/3FT6Y578R01_012_S11P_20251111092011_M5358ACSH101811_RBGEUFRF26/dpll_52046/txpa_54184.png","plot")</f>
        <v>plot</v>
      </c>
    </row>
    <row r="153" spans="1:29" x14ac:dyDescent="0.35">
      <c r="A153" t="s">
        <v>48</v>
      </c>
      <c r="B153">
        <v>52046</v>
      </c>
      <c r="C153" t="s">
        <v>51</v>
      </c>
      <c r="D153">
        <v>54185</v>
      </c>
      <c r="E153" t="s">
        <v>205</v>
      </c>
      <c r="F153">
        <v>12242</v>
      </c>
      <c r="G153">
        <v>0.83020484750104007</v>
      </c>
      <c r="H153">
        <v>0</v>
      </c>
      <c r="I153">
        <v>0</v>
      </c>
      <c r="J153">
        <v>0.71813248008089625</v>
      </c>
      <c r="K153">
        <v>0</v>
      </c>
      <c r="L153">
        <v>0</v>
      </c>
      <c r="M153">
        <v>0.52648260169072658</v>
      </c>
      <c r="N153">
        <v>0</v>
      </c>
      <c r="O153">
        <v>0</v>
      </c>
      <c r="P153">
        <v>0.68924008881422516</v>
      </c>
      <c r="Q153">
        <v>1.4465420843816279</v>
      </c>
      <c r="R153">
        <v>-4.8864238849341222</v>
      </c>
      <c r="S153">
        <v>0.19456300255641029</v>
      </c>
      <c r="T153">
        <v>0.1504745129870052</v>
      </c>
      <c r="U153">
        <v>4.4922368706093776</v>
      </c>
      <c r="V153">
        <v>0.20031787099771459</v>
      </c>
      <c r="W153">
        <v>1.6117858014131681</v>
      </c>
      <c r="X153">
        <v>0.34903220756195458</v>
      </c>
      <c r="Z153" t="s">
        <v>392</v>
      </c>
      <c r="AA153">
        <v>9400</v>
      </c>
      <c r="AB153" t="s">
        <v>2572</v>
      </c>
      <c r="AC153" t="str">
        <f>HYPERLINK("plots/3FT6Y578R01_012_S11P_20251111092011_M5358ACSH101811_RBGEUFRF26/dpll_52046/txpa_54185.png","plot")</f>
        <v>plot</v>
      </c>
    </row>
    <row r="154" spans="1:29" x14ac:dyDescent="0.35">
      <c r="A154" t="s">
        <v>48</v>
      </c>
      <c r="B154">
        <v>52046</v>
      </c>
      <c r="C154" t="s">
        <v>51</v>
      </c>
      <c r="D154">
        <v>54186</v>
      </c>
      <c r="E154" t="s">
        <v>206</v>
      </c>
      <c r="F154">
        <v>12238</v>
      </c>
      <c r="G154">
        <v>0.82524318597436586</v>
      </c>
      <c r="H154">
        <v>0</v>
      </c>
      <c r="I154">
        <v>0</v>
      </c>
      <c r="J154">
        <v>0.71036316392369814</v>
      </c>
      <c r="K154">
        <v>0</v>
      </c>
      <c r="L154">
        <v>0</v>
      </c>
      <c r="M154">
        <v>0.51997086995391939</v>
      </c>
      <c r="N154">
        <v>0</v>
      </c>
      <c r="O154">
        <v>0</v>
      </c>
      <c r="P154">
        <v>0.68102631599712182</v>
      </c>
      <c r="Q154">
        <v>1.4293776267605049</v>
      </c>
      <c r="R154">
        <v>-4.8283362465513591</v>
      </c>
      <c r="S154">
        <v>0.19594227828382649</v>
      </c>
      <c r="T154">
        <v>0.15078221817485679</v>
      </c>
      <c r="U154">
        <v>4.4923057310017978</v>
      </c>
      <c r="V154">
        <v>0.20031037208272351</v>
      </c>
      <c r="W154">
        <v>1.5928650579106061</v>
      </c>
      <c r="X154">
        <v>0.34695126131221488</v>
      </c>
      <c r="Z154" t="s">
        <v>392</v>
      </c>
      <c r="AA154">
        <v>9400</v>
      </c>
      <c r="AB154" t="s">
        <v>2573</v>
      </c>
      <c r="AC154" t="str">
        <f>HYPERLINK("plots/3FT6Y578R01_012_S11P_20251111092011_M5358ACSH101811_RBGEUFRF26/dpll_52046/txpa_54186.png","plot")</f>
        <v>plot</v>
      </c>
    </row>
    <row r="155" spans="1:29" x14ac:dyDescent="0.35">
      <c r="A155" t="s">
        <v>48</v>
      </c>
      <c r="B155">
        <v>52046</v>
      </c>
      <c r="C155" t="s">
        <v>51</v>
      </c>
      <c r="D155">
        <v>54187</v>
      </c>
      <c r="E155" t="s">
        <v>207</v>
      </c>
      <c r="F155">
        <v>12242</v>
      </c>
      <c r="G155">
        <v>0.81575423748686038</v>
      </c>
      <c r="H155">
        <v>0</v>
      </c>
      <c r="I155">
        <v>0</v>
      </c>
      <c r="J155">
        <v>0.71493158964356229</v>
      </c>
      <c r="K155">
        <v>0</v>
      </c>
      <c r="L155">
        <v>0</v>
      </c>
      <c r="M155">
        <v>0.52140473725856684</v>
      </c>
      <c r="N155">
        <v>0</v>
      </c>
      <c r="O155">
        <v>0</v>
      </c>
      <c r="P155">
        <v>0.66545497597776904</v>
      </c>
      <c r="Q155">
        <v>1.5416872401575641</v>
      </c>
      <c r="R155">
        <v>-3.490890260264254</v>
      </c>
      <c r="S155">
        <v>0.21896867052660071</v>
      </c>
      <c r="T155">
        <v>0.16422676432952349</v>
      </c>
      <c r="U155">
        <v>4.4922327689103092</v>
      </c>
      <c r="V155">
        <v>0.2003251577115534</v>
      </c>
      <c r="W155">
        <v>3.4347276793824539</v>
      </c>
      <c r="X155">
        <v>0.37859287188983559</v>
      </c>
      <c r="Z155" t="s">
        <v>392</v>
      </c>
      <c r="AA155">
        <v>9400</v>
      </c>
      <c r="AB155" t="s">
        <v>2574</v>
      </c>
      <c r="AC155" t="str">
        <f>HYPERLINK("plots/3FT6Y578R01_012_S11P_20251111092011_M5358ACSH101811_RBGEUFRF26/dpll_52046/txpa_54187.png","plot")</f>
        <v>plot</v>
      </c>
    </row>
    <row r="156" spans="1:29" x14ac:dyDescent="0.35">
      <c r="A156" t="s">
        <v>48</v>
      </c>
      <c r="B156">
        <v>52046</v>
      </c>
      <c r="C156" t="s">
        <v>51</v>
      </c>
      <c r="D156">
        <v>54188</v>
      </c>
      <c r="E156" t="s">
        <v>208</v>
      </c>
      <c r="F156">
        <v>12242</v>
      </c>
      <c r="G156">
        <v>0.82948863568686582</v>
      </c>
      <c r="H156">
        <v>0</v>
      </c>
      <c r="I156">
        <v>0</v>
      </c>
      <c r="J156">
        <v>0.72532555623596506</v>
      </c>
      <c r="K156">
        <v>0</v>
      </c>
      <c r="L156">
        <v>0</v>
      </c>
      <c r="M156">
        <v>0.53252476429095064</v>
      </c>
      <c r="N156">
        <v>0</v>
      </c>
      <c r="O156">
        <v>0</v>
      </c>
      <c r="P156">
        <v>0.68805139673365801</v>
      </c>
      <c r="Q156">
        <v>1.5678995782335421</v>
      </c>
      <c r="R156">
        <v>-3.5746544289903972</v>
      </c>
      <c r="S156">
        <v>0.21149536419419171</v>
      </c>
      <c r="T156">
        <v>0.16109225194499441</v>
      </c>
      <c r="U156">
        <v>4.492190922643359</v>
      </c>
      <c r="V156">
        <v>0.20034073623739329</v>
      </c>
      <c r="W156">
        <v>3.4686498239666719</v>
      </c>
      <c r="X156">
        <v>0.37868409805217063</v>
      </c>
      <c r="Z156" t="s">
        <v>392</v>
      </c>
      <c r="AA156">
        <v>9400</v>
      </c>
      <c r="AB156" t="s">
        <v>2575</v>
      </c>
      <c r="AC156" t="str">
        <f>HYPERLINK("plots/3FT6Y578R01_012_S11P_20251111092011_M5358ACSH101811_RBGEUFRF26/dpll_52046/txpa_54188.png","plot")</f>
        <v>plot</v>
      </c>
    </row>
    <row r="157" spans="1:29" x14ac:dyDescent="0.35">
      <c r="A157" t="s">
        <v>48</v>
      </c>
      <c r="B157">
        <v>52046</v>
      </c>
      <c r="C157" t="s">
        <v>51</v>
      </c>
      <c r="D157">
        <v>54189</v>
      </c>
      <c r="E157" t="s">
        <v>209</v>
      </c>
      <c r="F157">
        <v>12243</v>
      </c>
      <c r="G157">
        <v>0.82782233963493457</v>
      </c>
      <c r="H157">
        <v>0</v>
      </c>
      <c r="I157">
        <v>0</v>
      </c>
      <c r="J157">
        <v>0.72205472304338358</v>
      </c>
      <c r="K157">
        <v>0</v>
      </c>
      <c r="L157">
        <v>0</v>
      </c>
      <c r="M157">
        <v>0.52914221522221272</v>
      </c>
      <c r="N157">
        <v>0</v>
      </c>
      <c r="O157">
        <v>0</v>
      </c>
      <c r="P157">
        <v>0.68528982599865695</v>
      </c>
      <c r="Q157">
        <v>1.549762942805633</v>
      </c>
      <c r="R157">
        <v>-3.4890723550871621</v>
      </c>
      <c r="S157">
        <v>0.21039328921637579</v>
      </c>
      <c r="T157">
        <v>0.1595882035898992</v>
      </c>
      <c r="U157">
        <v>4.492205754635302</v>
      </c>
      <c r="V157">
        <v>0.20033927554587111</v>
      </c>
      <c r="W157">
        <v>3.472781654904844</v>
      </c>
      <c r="X157">
        <v>0.37505436899230982</v>
      </c>
      <c r="Z157" t="s">
        <v>392</v>
      </c>
      <c r="AA157">
        <v>9400</v>
      </c>
      <c r="AB157" t="s">
        <v>2576</v>
      </c>
      <c r="AC157" t="str">
        <f>HYPERLINK("plots/3FT6Y578R01_012_S11P_20251111092011_M5358ACSH101811_RBGEUFRF26/dpll_52046/txpa_54189.png","plot")</f>
        <v>plot</v>
      </c>
    </row>
    <row r="158" spans="1:29" x14ac:dyDescent="0.35">
      <c r="A158" t="s">
        <v>48</v>
      </c>
      <c r="B158">
        <v>52046</v>
      </c>
      <c r="C158" t="s">
        <v>51</v>
      </c>
      <c r="D158">
        <v>54190</v>
      </c>
      <c r="E158" t="s">
        <v>210</v>
      </c>
      <c r="F158">
        <v>12242</v>
      </c>
      <c r="G158">
        <v>0.83815089450846192</v>
      </c>
      <c r="H158">
        <v>0</v>
      </c>
      <c r="I158">
        <v>0</v>
      </c>
      <c r="J158">
        <v>0.72954747220506144</v>
      </c>
      <c r="K158">
        <v>0</v>
      </c>
      <c r="L158">
        <v>0</v>
      </c>
      <c r="M158">
        <v>0.53650821937999671</v>
      </c>
      <c r="N158">
        <v>0</v>
      </c>
      <c r="O158">
        <v>0</v>
      </c>
      <c r="P158">
        <v>0.70249692196533486</v>
      </c>
      <c r="Q158">
        <v>1.5726464747819131</v>
      </c>
      <c r="R158">
        <v>-3.5679999142975301</v>
      </c>
      <c r="S158">
        <v>0.20503028604067719</v>
      </c>
      <c r="T158">
        <v>0.15737186538300199</v>
      </c>
      <c r="U158">
        <v>4.4922121462179394</v>
      </c>
      <c r="V158">
        <v>0.20034621017914711</v>
      </c>
      <c r="W158">
        <v>3.4966616814246039</v>
      </c>
      <c r="X158">
        <v>0.37591531935180789</v>
      </c>
      <c r="Z158" t="s">
        <v>392</v>
      </c>
      <c r="AA158">
        <v>9400</v>
      </c>
      <c r="AB158" t="s">
        <v>2577</v>
      </c>
      <c r="AC158" t="str">
        <f>HYPERLINK("plots/3FT6Y578R01_012_S11P_20251111092011_M5358ACSH101811_RBGEUFRF26/dpll_52046/txpa_54190.png","plot")</f>
        <v>plot</v>
      </c>
    </row>
    <row r="159" spans="1:29" x14ac:dyDescent="0.35">
      <c r="A159" t="s">
        <v>48</v>
      </c>
      <c r="B159">
        <v>52046</v>
      </c>
      <c r="C159" t="s">
        <v>51</v>
      </c>
      <c r="D159">
        <v>54191</v>
      </c>
      <c r="E159" t="s">
        <v>211</v>
      </c>
      <c r="F159">
        <v>12240</v>
      </c>
      <c r="G159">
        <v>0.83799137869163298</v>
      </c>
      <c r="H159">
        <v>0</v>
      </c>
      <c r="I159">
        <v>0</v>
      </c>
      <c r="J159">
        <v>0.72572870303123871</v>
      </c>
      <c r="K159">
        <v>0</v>
      </c>
      <c r="L159">
        <v>0</v>
      </c>
      <c r="M159">
        <v>0.53226411129660212</v>
      </c>
      <c r="N159">
        <v>0</v>
      </c>
      <c r="O159">
        <v>0</v>
      </c>
      <c r="P159">
        <v>0.70222955076150384</v>
      </c>
      <c r="Q159">
        <v>1.577811173701944</v>
      </c>
      <c r="R159">
        <v>-3.6164568226154539</v>
      </c>
      <c r="S159">
        <v>0.20579962112852029</v>
      </c>
      <c r="T159">
        <v>0.15890649995892869</v>
      </c>
      <c r="U159">
        <v>4.492228153022876</v>
      </c>
      <c r="V159">
        <v>0.2003115712750779</v>
      </c>
      <c r="W159">
        <v>3.4714309520424842</v>
      </c>
      <c r="X159">
        <v>0.37715642835499152</v>
      </c>
      <c r="Z159" t="s">
        <v>392</v>
      </c>
      <c r="AA159">
        <v>9400</v>
      </c>
      <c r="AB159" t="s">
        <v>2578</v>
      </c>
      <c r="AC159" t="str">
        <f>HYPERLINK("plots/3FT6Y578R01_012_S11P_20251111092011_M5358ACSH101811_RBGEUFRF26/dpll_52046/txpa_54191.png","plot")</f>
        <v>plot</v>
      </c>
    </row>
    <row r="160" spans="1:29" x14ac:dyDescent="0.35">
      <c r="A160" t="s">
        <v>48</v>
      </c>
      <c r="B160">
        <v>52046</v>
      </c>
      <c r="C160" t="s">
        <v>51</v>
      </c>
      <c r="D160">
        <v>54192</v>
      </c>
      <c r="E160" t="s">
        <v>212</v>
      </c>
      <c r="F160">
        <v>12240</v>
      </c>
      <c r="G160">
        <v>0.84074104967736629</v>
      </c>
      <c r="H160">
        <v>0</v>
      </c>
      <c r="I160">
        <v>0</v>
      </c>
      <c r="J160">
        <v>0.73226019833694889</v>
      </c>
      <c r="K160">
        <v>0</v>
      </c>
      <c r="L160">
        <v>0</v>
      </c>
      <c r="M160">
        <v>0.53918920697792871</v>
      </c>
      <c r="N160">
        <v>0</v>
      </c>
      <c r="O160">
        <v>0</v>
      </c>
      <c r="P160">
        <v>0.70684551261259965</v>
      </c>
      <c r="Q160">
        <v>1.5859799359696021</v>
      </c>
      <c r="R160">
        <v>-3.650791668705025</v>
      </c>
      <c r="S160">
        <v>0.20456120717331031</v>
      </c>
      <c r="T160">
        <v>0.15822853297263331</v>
      </c>
      <c r="U160">
        <v>4.4921825285947721</v>
      </c>
      <c r="V160">
        <v>0.20028909768291919</v>
      </c>
      <c r="W160">
        <v>3.4737196903594771</v>
      </c>
      <c r="X160">
        <v>0.37782678797528108</v>
      </c>
      <c r="Z160" t="s">
        <v>392</v>
      </c>
      <c r="AA160">
        <v>9400</v>
      </c>
      <c r="AB160" t="s">
        <v>2579</v>
      </c>
      <c r="AC160" t="str">
        <f>HYPERLINK("plots/3FT6Y578R01_012_S11P_20251111092011_M5358ACSH101811_RBGEUFRF26/dpll_52046/txpa_54192.png","plot")</f>
        <v>plot</v>
      </c>
    </row>
    <row r="161" spans="1:29" x14ac:dyDescent="0.35">
      <c r="A161" t="s">
        <v>48</v>
      </c>
      <c r="B161">
        <v>52046</v>
      </c>
      <c r="C161" t="s">
        <v>51</v>
      </c>
      <c r="D161">
        <v>54193</v>
      </c>
      <c r="E161" t="s">
        <v>213</v>
      </c>
      <c r="F161">
        <v>12242</v>
      </c>
      <c r="G161">
        <v>0.83912988704876013</v>
      </c>
      <c r="H161">
        <v>0</v>
      </c>
      <c r="I161">
        <v>0</v>
      </c>
      <c r="J161">
        <v>0.72712463247597625</v>
      </c>
      <c r="K161">
        <v>0</v>
      </c>
      <c r="L161">
        <v>0</v>
      </c>
      <c r="M161">
        <v>0.53484385283621327</v>
      </c>
      <c r="N161">
        <v>0</v>
      </c>
      <c r="O161">
        <v>0</v>
      </c>
      <c r="P161">
        <v>0.70413896733846493</v>
      </c>
      <c r="Q161">
        <v>1.5808893177796219</v>
      </c>
      <c r="R161">
        <v>-3.623237073791254</v>
      </c>
      <c r="S161">
        <v>0.2052665187901814</v>
      </c>
      <c r="T161">
        <v>0.15837095512144339</v>
      </c>
      <c r="U161">
        <v>4.4922368706093776</v>
      </c>
      <c r="V161">
        <v>0.20031787099771459</v>
      </c>
      <c r="W161">
        <v>3.4784922078908669</v>
      </c>
      <c r="X161">
        <v>0.37739137564795328</v>
      </c>
      <c r="Z161" t="s">
        <v>392</v>
      </c>
      <c r="AA161">
        <v>9400</v>
      </c>
      <c r="AB161" t="s">
        <v>2580</v>
      </c>
      <c r="AC161" t="str">
        <f>HYPERLINK("plots/3FT6Y578R01_012_S11P_20251111092011_M5358ACSH101811_RBGEUFRF26/dpll_52046/txpa_54193.png","plot")</f>
        <v>plot</v>
      </c>
    </row>
    <row r="162" spans="1:29" x14ac:dyDescent="0.35">
      <c r="A162" t="s">
        <v>48</v>
      </c>
      <c r="B162">
        <v>52046</v>
      </c>
      <c r="C162" t="s">
        <v>51</v>
      </c>
      <c r="D162">
        <v>54194</v>
      </c>
      <c r="E162" t="s">
        <v>214</v>
      </c>
      <c r="F162">
        <v>12238</v>
      </c>
      <c r="G162">
        <v>0.83441826461301527</v>
      </c>
      <c r="H162">
        <v>0</v>
      </c>
      <c r="I162">
        <v>0</v>
      </c>
      <c r="J162">
        <v>0.71968404722482504</v>
      </c>
      <c r="K162">
        <v>0</v>
      </c>
      <c r="L162">
        <v>0</v>
      </c>
      <c r="M162">
        <v>0.52842982841221631</v>
      </c>
      <c r="N162">
        <v>0</v>
      </c>
      <c r="O162">
        <v>0</v>
      </c>
      <c r="P162">
        <v>0.69625384031979598</v>
      </c>
      <c r="Q162">
        <v>1.5617979534618081</v>
      </c>
      <c r="R162">
        <v>-3.5550520955652161</v>
      </c>
      <c r="S162">
        <v>0.2066246537144536</v>
      </c>
      <c r="T162">
        <v>0.1587593229724755</v>
      </c>
      <c r="U162">
        <v>4.4923057310017978</v>
      </c>
      <c r="V162">
        <v>0.20031037208272351</v>
      </c>
      <c r="W162">
        <v>3.461021801438144</v>
      </c>
      <c r="X162">
        <v>0.37492507348345389</v>
      </c>
      <c r="Z162" t="s">
        <v>392</v>
      </c>
      <c r="AA162">
        <v>9400</v>
      </c>
      <c r="AB162" t="s">
        <v>2581</v>
      </c>
      <c r="AC162" t="str">
        <f>HYPERLINK("plots/3FT6Y578R01_012_S11P_20251111092011_M5358ACSH101811_RBGEUFRF26/dpll_52046/txpa_54194.png","plot")</f>
        <v>plot</v>
      </c>
    </row>
    <row r="163" spans="1:29" x14ac:dyDescent="0.35">
      <c r="A163" t="s">
        <v>48</v>
      </c>
      <c r="B163">
        <v>52046</v>
      </c>
      <c r="C163" t="s">
        <v>51</v>
      </c>
      <c r="D163">
        <v>54195</v>
      </c>
      <c r="E163" t="s">
        <v>215</v>
      </c>
      <c r="F163">
        <v>12241</v>
      </c>
      <c r="G163">
        <v>0.82661884571066702</v>
      </c>
      <c r="H163">
        <v>0</v>
      </c>
      <c r="I163">
        <v>0</v>
      </c>
      <c r="J163">
        <v>0.723556678255453</v>
      </c>
      <c r="K163">
        <v>0</v>
      </c>
      <c r="L163">
        <v>0</v>
      </c>
      <c r="M163">
        <v>0.52986056031357787</v>
      </c>
      <c r="N163">
        <v>0</v>
      </c>
      <c r="O163">
        <v>0</v>
      </c>
      <c r="P163">
        <v>0.68329871608403547</v>
      </c>
      <c r="Q163">
        <v>1.740605349959609</v>
      </c>
      <c r="R163">
        <v>-2.1514352151459581</v>
      </c>
      <c r="S163">
        <v>0.2373679555844958</v>
      </c>
      <c r="T163">
        <v>0.17784224367127971</v>
      </c>
      <c r="U163">
        <v>4.4922551983498087</v>
      </c>
      <c r="V163">
        <v>0.20031796777918809</v>
      </c>
      <c r="W163">
        <v>5.6678082164855823</v>
      </c>
      <c r="X163">
        <v>0.42180810202763569</v>
      </c>
      <c r="Z163" t="s">
        <v>392</v>
      </c>
      <c r="AA163">
        <v>9400</v>
      </c>
      <c r="AB163" t="s">
        <v>2582</v>
      </c>
      <c r="AC163" t="str">
        <f>HYPERLINK("plots/3FT6Y578R01_012_S11P_20251111092011_M5358ACSH101811_RBGEUFRF26/dpll_52046/txpa_54195.png","plot")</f>
        <v>plot</v>
      </c>
    </row>
    <row r="164" spans="1:29" x14ac:dyDescent="0.35">
      <c r="A164" t="s">
        <v>48</v>
      </c>
      <c r="B164">
        <v>52046</v>
      </c>
      <c r="C164" t="s">
        <v>51</v>
      </c>
      <c r="D164">
        <v>54196</v>
      </c>
      <c r="E164" t="s">
        <v>216</v>
      </c>
      <c r="F164">
        <v>12239</v>
      </c>
      <c r="G164">
        <v>0.83894450530520359</v>
      </c>
      <c r="H164">
        <v>0</v>
      </c>
      <c r="I164">
        <v>0</v>
      </c>
      <c r="J164">
        <v>0.73233781506481077</v>
      </c>
      <c r="K164">
        <v>0</v>
      </c>
      <c r="L164">
        <v>0</v>
      </c>
      <c r="M164">
        <v>0.53953035282702433</v>
      </c>
      <c r="N164">
        <v>0</v>
      </c>
      <c r="O164">
        <v>0</v>
      </c>
      <c r="P164">
        <v>0.70382788298179277</v>
      </c>
      <c r="Q164">
        <v>1.7645602867442349</v>
      </c>
      <c r="R164">
        <v>-2.2240628739426471</v>
      </c>
      <c r="S164">
        <v>0.22927002638007621</v>
      </c>
      <c r="T164">
        <v>0.1746071338946108</v>
      </c>
      <c r="U164">
        <v>4.492268155159735</v>
      </c>
      <c r="V164">
        <v>0.20030402315410911</v>
      </c>
      <c r="W164">
        <v>5.7028151100580118</v>
      </c>
      <c r="X164">
        <v>0.42130143567035572</v>
      </c>
      <c r="Z164" t="s">
        <v>392</v>
      </c>
      <c r="AA164">
        <v>9400</v>
      </c>
      <c r="AB164" t="s">
        <v>2583</v>
      </c>
      <c r="AC164" t="str">
        <f>HYPERLINK("plots/3FT6Y578R01_012_S11P_20251111092011_M5358ACSH101811_RBGEUFRF26/dpll_52046/txpa_54196.png","plot")</f>
        <v>plot</v>
      </c>
    </row>
    <row r="165" spans="1:29" x14ac:dyDescent="0.35">
      <c r="A165" t="s">
        <v>48</v>
      </c>
      <c r="B165">
        <v>52046</v>
      </c>
      <c r="C165" t="s">
        <v>51</v>
      </c>
      <c r="D165">
        <v>54197</v>
      </c>
      <c r="E165" t="s">
        <v>217</v>
      </c>
      <c r="F165">
        <v>12241</v>
      </c>
      <c r="G165">
        <v>0.83758686355600431</v>
      </c>
      <c r="H165">
        <v>0</v>
      </c>
      <c r="I165">
        <v>0</v>
      </c>
      <c r="J165">
        <v>0.72932133221318862</v>
      </c>
      <c r="K165">
        <v>0</v>
      </c>
      <c r="L165">
        <v>0</v>
      </c>
      <c r="M165">
        <v>0.53633506661246544</v>
      </c>
      <c r="N165">
        <v>0</v>
      </c>
      <c r="O165">
        <v>0</v>
      </c>
      <c r="P165">
        <v>0.70155175400158454</v>
      </c>
      <c r="Q165">
        <v>1.7470350771557219</v>
      </c>
      <c r="R165">
        <v>-2.1401373798485932</v>
      </c>
      <c r="S165">
        <v>0.2282487713882653</v>
      </c>
      <c r="T165">
        <v>0.17321613650653089</v>
      </c>
      <c r="U165">
        <v>4.4922551983498087</v>
      </c>
      <c r="V165">
        <v>0.20031796777918809</v>
      </c>
      <c r="W165">
        <v>5.7079900272036603</v>
      </c>
      <c r="X165">
        <v>0.41782235553338709</v>
      </c>
      <c r="Z165" t="s">
        <v>392</v>
      </c>
      <c r="AA165">
        <v>9400</v>
      </c>
      <c r="AB165" t="s">
        <v>2584</v>
      </c>
      <c r="AC165" t="str">
        <f>HYPERLINK("plots/3FT6Y578R01_012_S11P_20251111092011_M5358ACSH101811_RBGEUFRF26/dpll_52046/txpa_54197.png","plot")</f>
        <v>plot</v>
      </c>
    </row>
    <row r="166" spans="1:29" x14ac:dyDescent="0.35">
      <c r="A166" t="s">
        <v>48</v>
      </c>
      <c r="B166">
        <v>52046</v>
      </c>
      <c r="C166" t="s">
        <v>51</v>
      </c>
      <c r="D166">
        <v>54198</v>
      </c>
      <c r="E166" t="s">
        <v>218</v>
      </c>
      <c r="F166">
        <v>12242</v>
      </c>
      <c r="G166">
        <v>0.84647640737834751</v>
      </c>
      <c r="H166">
        <v>0</v>
      </c>
      <c r="I166">
        <v>0</v>
      </c>
      <c r="J166">
        <v>0.73645031409144579</v>
      </c>
      <c r="K166">
        <v>0</v>
      </c>
      <c r="L166">
        <v>0</v>
      </c>
      <c r="M166">
        <v>0.54351165736543983</v>
      </c>
      <c r="N166">
        <v>0</v>
      </c>
      <c r="O166">
        <v>0</v>
      </c>
      <c r="P166">
        <v>0.71652230824815411</v>
      </c>
      <c r="Q166">
        <v>1.7718149789054991</v>
      </c>
      <c r="R166">
        <v>-2.231283775951789</v>
      </c>
      <c r="S166">
        <v>0.2232679308820395</v>
      </c>
      <c r="T166">
        <v>0.17107726047434571</v>
      </c>
      <c r="U166">
        <v>4.4922121462179394</v>
      </c>
      <c r="V166">
        <v>0.20034621017914711</v>
      </c>
      <c r="W166">
        <v>5.728084993138375</v>
      </c>
      <c r="X166">
        <v>0.41935771991776161</v>
      </c>
      <c r="Z166" t="s">
        <v>392</v>
      </c>
      <c r="AA166">
        <v>9400</v>
      </c>
      <c r="AB166" t="s">
        <v>2585</v>
      </c>
      <c r="AC166" t="str">
        <f>HYPERLINK("plots/3FT6Y578R01_012_S11P_20251111092011_M5358ACSH101811_RBGEUFRF26/dpll_52046/txpa_54198.png","plot")</f>
        <v>plot</v>
      </c>
    </row>
    <row r="167" spans="1:29" x14ac:dyDescent="0.35">
      <c r="A167" t="s">
        <v>48</v>
      </c>
      <c r="B167">
        <v>52046</v>
      </c>
      <c r="C167" t="s">
        <v>51</v>
      </c>
      <c r="D167">
        <v>54199</v>
      </c>
      <c r="E167" t="s">
        <v>219</v>
      </c>
      <c r="F167">
        <v>12240</v>
      </c>
      <c r="G167">
        <v>0.84672030639396767</v>
      </c>
      <c r="H167">
        <v>0</v>
      </c>
      <c r="I167">
        <v>0</v>
      </c>
      <c r="J167">
        <v>0.73333754999329659</v>
      </c>
      <c r="K167">
        <v>0</v>
      </c>
      <c r="L167">
        <v>0</v>
      </c>
      <c r="M167">
        <v>0.54000463220788641</v>
      </c>
      <c r="N167">
        <v>0</v>
      </c>
      <c r="O167">
        <v>0</v>
      </c>
      <c r="P167">
        <v>0.71693527725989448</v>
      </c>
      <c r="Q167">
        <v>1.777359371477065</v>
      </c>
      <c r="R167">
        <v>-2.2827806720294901</v>
      </c>
      <c r="S167">
        <v>0.2237002365781838</v>
      </c>
      <c r="T167">
        <v>0.17237129728304179</v>
      </c>
      <c r="U167">
        <v>4.492228153022876</v>
      </c>
      <c r="V167">
        <v>0.2003115712750779</v>
      </c>
      <c r="W167">
        <v>5.7015231345588244</v>
      </c>
      <c r="X167">
        <v>0.42047609550939691</v>
      </c>
      <c r="Z167" t="s">
        <v>392</v>
      </c>
      <c r="AA167">
        <v>9400</v>
      </c>
      <c r="AB167" t="s">
        <v>2586</v>
      </c>
      <c r="AC167" t="str">
        <f>HYPERLINK("plots/3FT6Y578R01_012_S11P_20251111092011_M5358ACSH101811_RBGEUFRF26/dpll_52046/txpa_54199.png","plot")</f>
        <v>plot</v>
      </c>
    </row>
    <row r="168" spans="1:29" x14ac:dyDescent="0.35">
      <c r="A168" t="s">
        <v>48</v>
      </c>
      <c r="B168">
        <v>52046</v>
      </c>
      <c r="C168" t="s">
        <v>51</v>
      </c>
      <c r="D168">
        <v>54200</v>
      </c>
      <c r="E168" t="s">
        <v>220</v>
      </c>
      <c r="F168">
        <v>12240</v>
      </c>
      <c r="G168">
        <v>0.84867186747686929</v>
      </c>
      <c r="H168">
        <v>0</v>
      </c>
      <c r="I168">
        <v>0</v>
      </c>
      <c r="J168">
        <v>0.73816710603666424</v>
      </c>
      <c r="K168">
        <v>0</v>
      </c>
      <c r="L168">
        <v>0</v>
      </c>
      <c r="M168">
        <v>0.54536897878867951</v>
      </c>
      <c r="N168">
        <v>0</v>
      </c>
      <c r="O168">
        <v>0</v>
      </c>
      <c r="P168">
        <v>0.7202439386466768</v>
      </c>
      <c r="Q168">
        <v>1.7843914532686</v>
      </c>
      <c r="R168">
        <v>-2.308937238243117</v>
      </c>
      <c r="S168">
        <v>0.22273047814711561</v>
      </c>
      <c r="T168">
        <v>0.17185556515497349</v>
      </c>
      <c r="U168">
        <v>4.4921825285947721</v>
      </c>
      <c r="V168">
        <v>0.20028909768291919</v>
      </c>
      <c r="W168">
        <v>5.7068748723039224</v>
      </c>
      <c r="X168">
        <v>0.42112171710230722</v>
      </c>
      <c r="Z168" t="s">
        <v>392</v>
      </c>
      <c r="AA168">
        <v>9400</v>
      </c>
      <c r="AB168" t="s">
        <v>2587</v>
      </c>
      <c r="AC168" t="str">
        <f>HYPERLINK("plots/3FT6Y578R01_012_S11P_20251111092011_M5358ACSH101811_RBGEUFRF26/dpll_52046/txpa_54200.png","plot")</f>
        <v>plot</v>
      </c>
    </row>
    <row r="169" spans="1:29" x14ac:dyDescent="0.35">
      <c r="A169" t="s">
        <v>48</v>
      </c>
      <c r="B169">
        <v>52046</v>
      </c>
      <c r="C169" t="s">
        <v>51</v>
      </c>
      <c r="D169">
        <v>54201</v>
      </c>
      <c r="E169" t="s">
        <v>221</v>
      </c>
      <c r="F169">
        <v>12241</v>
      </c>
      <c r="G169">
        <v>0.84765815066034578</v>
      </c>
      <c r="H169">
        <v>0</v>
      </c>
      <c r="I169">
        <v>0</v>
      </c>
      <c r="J169">
        <v>0.73357134671072288</v>
      </c>
      <c r="K169">
        <v>0</v>
      </c>
      <c r="L169">
        <v>0</v>
      </c>
      <c r="M169">
        <v>0.54146880706916345</v>
      </c>
      <c r="N169">
        <v>0</v>
      </c>
      <c r="O169">
        <v>0</v>
      </c>
      <c r="P169">
        <v>0.7185243403809175</v>
      </c>
      <c r="Q169">
        <v>1.780111945284071</v>
      </c>
      <c r="R169">
        <v>-2.284830468303126</v>
      </c>
      <c r="S169">
        <v>0.223178566643041</v>
      </c>
      <c r="T169">
        <v>0.17181329766566669</v>
      </c>
      <c r="U169">
        <v>4.4922515145004489</v>
      </c>
      <c r="V169">
        <v>0.20031950074504501</v>
      </c>
      <c r="W169">
        <v>5.7118801138795847</v>
      </c>
      <c r="X169">
        <v>0.42067800076222139</v>
      </c>
      <c r="Z169" t="s">
        <v>392</v>
      </c>
      <c r="AA169">
        <v>9400</v>
      </c>
      <c r="AB169" t="s">
        <v>2588</v>
      </c>
      <c r="AC169" t="str">
        <f>HYPERLINK("plots/3FT6Y578R01_012_S11P_20251111092011_M5358ACSH101811_RBGEUFRF26/dpll_52046/txpa_54201.png","plot")</f>
        <v>plot</v>
      </c>
    </row>
    <row r="170" spans="1:29" x14ac:dyDescent="0.35">
      <c r="A170" t="s">
        <v>48</v>
      </c>
      <c r="B170">
        <v>52046</v>
      </c>
      <c r="C170" t="s">
        <v>51</v>
      </c>
      <c r="D170">
        <v>54202</v>
      </c>
      <c r="E170" t="s">
        <v>222</v>
      </c>
      <c r="F170">
        <v>12235</v>
      </c>
      <c r="G170">
        <v>0.84397598635578686</v>
      </c>
      <c r="H170">
        <v>0</v>
      </c>
      <c r="I170">
        <v>0</v>
      </c>
      <c r="J170">
        <v>0.72692475409519286</v>
      </c>
      <c r="K170">
        <v>0</v>
      </c>
      <c r="L170">
        <v>0</v>
      </c>
      <c r="M170">
        <v>0.53564444907860764</v>
      </c>
      <c r="N170">
        <v>0</v>
      </c>
      <c r="O170">
        <v>0</v>
      </c>
      <c r="P170">
        <v>0.71229546554522327</v>
      </c>
      <c r="Q170">
        <v>1.758793247160277</v>
      </c>
      <c r="R170">
        <v>-2.2054667035427551</v>
      </c>
      <c r="S170">
        <v>0.22388136367620659</v>
      </c>
      <c r="T170">
        <v>0.17202039795195639</v>
      </c>
      <c r="U170">
        <v>4.492365550143032</v>
      </c>
      <c r="V170">
        <v>0.20029847339670609</v>
      </c>
      <c r="W170">
        <v>5.6956754898242741</v>
      </c>
      <c r="X170">
        <v>0.41740950941953742</v>
      </c>
      <c r="Z170" t="s">
        <v>392</v>
      </c>
      <c r="AA170">
        <v>9400</v>
      </c>
      <c r="AB170" t="s">
        <v>2589</v>
      </c>
      <c r="AC170" t="str">
        <f>HYPERLINK("plots/3FT6Y578R01_012_S11P_20251111092011_M5358ACSH101811_RBGEUFRF26/dpll_52046/txpa_54202.png","plot")</f>
        <v>plot</v>
      </c>
    </row>
    <row r="171" spans="1:29" x14ac:dyDescent="0.35">
      <c r="A171" t="s">
        <v>48</v>
      </c>
      <c r="B171">
        <v>52046</v>
      </c>
      <c r="C171" t="s">
        <v>51</v>
      </c>
      <c r="D171">
        <v>54203</v>
      </c>
      <c r="E171" t="s">
        <v>223</v>
      </c>
      <c r="F171">
        <v>12239</v>
      </c>
      <c r="G171">
        <v>0.82989970250110912</v>
      </c>
      <c r="H171">
        <v>0</v>
      </c>
      <c r="I171">
        <v>0</v>
      </c>
      <c r="J171">
        <v>0.72520467074444417</v>
      </c>
      <c r="K171">
        <v>0</v>
      </c>
      <c r="L171">
        <v>0</v>
      </c>
      <c r="M171">
        <v>0.53162813517040253</v>
      </c>
      <c r="N171">
        <v>0</v>
      </c>
      <c r="O171">
        <v>0</v>
      </c>
      <c r="P171">
        <v>0.68873351621142942</v>
      </c>
      <c r="Q171">
        <v>1.831829712356317</v>
      </c>
      <c r="R171">
        <v>-1.577455638229617</v>
      </c>
      <c r="S171">
        <v>0.24664354176202041</v>
      </c>
      <c r="T171">
        <v>0.1848279026244779</v>
      </c>
      <c r="U171">
        <v>4.492307785766811</v>
      </c>
      <c r="V171">
        <v>0.20029117814837211</v>
      </c>
      <c r="W171">
        <v>6.6516872407876448</v>
      </c>
      <c r="X171">
        <v>0.44210081067543228</v>
      </c>
      <c r="Z171" t="s">
        <v>392</v>
      </c>
      <c r="AA171">
        <v>9400</v>
      </c>
      <c r="AB171" t="s">
        <v>2590</v>
      </c>
      <c r="AC171" t="str">
        <f>HYPERLINK("plots/3FT6Y578R01_012_S11P_20251111092011_M5358ACSH101811_RBGEUFRF26/dpll_52046/txpa_54203.png","plot")</f>
        <v>plot</v>
      </c>
    </row>
    <row r="172" spans="1:29" x14ac:dyDescent="0.35">
      <c r="A172" t="s">
        <v>48</v>
      </c>
      <c r="B172">
        <v>52046</v>
      </c>
      <c r="C172" t="s">
        <v>51</v>
      </c>
      <c r="D172">
        <v>54204</v>
      </c>
      <c r="E172" t="s">
        <v>224</v>
      </c>
      <c r="F172">
        <v>12239</v>
      </c>
      <c r="G172">
        <v>0.84157158148711531</v>
      </c>
      <c r="H172">
        <v>0</v>
      </c>
      <c r="I172">
        <v>0</v>
      </c>
      <c r="J172">
        <v>0.73405733002041285</v>
      </c>
      <c r="K172">
        <v>0</v>
      </c>
      <c r="L172">
        <v>0</v>
      </c>
      <c r="M172">
        <v>0.54133395855694122</v>
      </c>
      <c r="N172">
        <v>0</v>
      </c>
      <c r="O172">
        <v>0</v>
      </c>
      <c r="P172">
        <v>0.7082427267667244</v>
      </c>
      <c r="Q172">
        <v>1.8577445941110751</v>
      </c>
      <c r="R172">
        <v>-1.659013045019551</v>
      </c>
      <c r="S172">
        <v>0.23882386343549161</v>
      </c>
      <c r="T172">
        <v>0.18168512694537639</v>
      </c>
      <c r="U172">
        <v>4.492268155159735</v>
      </c>
      <c r="V172">
        <v>0.20030402315410911</v>
      </c>
      <c r="W172">
        <v>6.6864738355257787</v>
      </c>
      <c r="X172">
        <v>0.44216525887874569</v>
      </c>
      <c r="Z172" t="s">
        <v>392</v>
      </c>
      <c r="AA172">
        <v>9400</v>
      </c>
      <c r="AB172" t="s">
        <v>2591</v>
      </c>
      <c r="AC172" t="str">
        <f>HYPERLINK("plots/3FT6Y578R01_012_S11P_20251111092011_M5358ACSH101811_RBGEUFRF26/dpll_52046/txpa_54204.png","plot")</f>
        <v>plot</v>
      </c>
    </row>
    <row r="173" spans="1:29" x14ac:dyDescent="0.35">
      <c r="A173" t="s">
        <v>48</v>
      </c>
      <c r="B173">
        <v>52046</v>
      </c>
      <c r="C173" t="s">
        <v>51</v>
      </c>
      <c r="D173">
        <v>54205</v>
      </c>
      <c r="E173" t="s">
        <v>225</v>
      </c>
      <c r="F173">
        <v>12239</v>
      </c>
      <c r="G173">
        <v>0.84101554422559266</v>
      </c>
      <c r="H173">
        <v>0</v>
      </c>
      <c r="I173">
        <v>0</v>
      </c>
      <c r="J173">
        <v>0.73097016277261806</v>
      </c>
      <c r="K173">
        <v>0</v>
      </c>
      <c r="L173">
        <v>0</v>
      </c>
      <c r="M173">
        <v>0.53810703740908694</v>
      </c>
      <c r="N173">
        <v>0</v>
      </c>
      <c r="O173">
        <v>0</v>
      </c>
      <c r="P173">
        <v>0.70730714562906982</v>
      </c>
      <c r="Q173">
        <v>1.839044678419919</v>
      </c>
      <c r="R173">
        <v>-1.5689726169601941</v>
      </c>
      <c r="S173">
        <v>0.2369763575523394</v>
      </c>
      <c r="T173">
        <v>0.18003752347323229</v>
      </c>
      <c r="U173">
        <v>4.492281195359098</v>
      </c>
      <c r="V173">
        <v>0.20032190676012709</v>
      </c>
      <c r="W173">
        <v>6.6925332093308274</v>
      </c>
      <c r="X173">
        <v>0.43804295785919972</v>
      </c>
      <c r="Z173" t="s">
        <v>392</v>
      </c>
      <c r="AA173">
        <v>9400</v>
      </c>
      <c r="AB173" t="s">
        <v>2592</v>
      </c>
      <c r="AC173" t="str">
        <f>HYPERLINK("plots/3FT6Y578R01_012_S11P_20251111092011_M5358ACSH101811_RBGEUFRF26/dpll_52046/txpa_54205.png","plot")</f>
        <v>plot</v>
      </c>
    </row>
    <row r="174" spans="1:29" x14ac:dyDescent="0.35">
      <c r="A174" t="s">
        <v>48</v>
      </c>
      <c r="B174">
        <v>52046</v>
      </c>
      <c r="C174" t="s">
        <v>51</v>
      </c>
      <c r="D174">
        <v>54206</v>
      </c>
      <c r="E174" t="s">
        <v>226</v>
      </c>
      <c r="F174">
        <v>12240</v>
      </c>
      <c r="G174">
        <v>0.84911151307743393</v>
      </c>
      <c r="H174">
        <v>0</v>
      </c>
      <c r="I174">
        <v>0</v>
      </c>
      <c r="J174">
        <v>0.73763748631106008</v>
      </c>
      <c r="K174">
        <v>0</v>
      </c>
      <c r="L174">
        <v>0</v>
      </c>
      <c r="M174">
        <v>0.54496332043967999</v>
      </c>
      <c r="N174">
        <v>0</v>
      </c>
      <c r="O174">
        <v>0</v>
      </c>
      <c r="P174">
        <v>0.72099036164064922</v>
      </c>
      <c r="Q174">
        <v>1.8635369950321541</v>
      </c>
      <c r="R174">
        <v>-1.660064375160752</v>
      </c>
      <c r="S174">
        <v>0.2322239871306408</v>
      </c>
      <c r="T174">
        <v>0.17799754508286911</v>
      </c>
      <c r="U174">
        <v>4.4922587900326798</v>
      </c>
      <c r="V174">
        <v>0.2003281251120857</v>
      </c>
      <c r="W174">
        <v>6.7114260713235296</v>
      </c>
      <c r="X174">
        <v>0.43965823869091403</v>
      </c>
      <c r="Z174" t="s">
        <v>392</v>
      </c>
      <c r="AA174">
        <v>9400</v>
      </c>
      <c r="AB174" t="s">
        <v>2593</v>
      </c>
      <c r="AC174" t="str">
        <f>HYPERLINK("plots/3FT6Y578R01_012_S11P_20251111092011_M5358ACSH101811_RBGEUFRF26/dpll_52046/txpa_54206.png","plot")</f>
        <v>plot</v>
      </c>
    </row>
    <row r="175" spans="1:29" x14ac:dyDescent="0.35">
      <c r="A175" t="s">
        <v>48</v>
      </c>
      <c r="B175">
        <v>52046</v>
      </c>
      <c r="C175" t="s">
        <v>51</v>
      </c>
      <c r="D175">
        <v>54207</v>
      </c>
      <c r="E175" t="s">
        <v>227</v>
      </c>
      <c r="F175">
        <v>12239</v>
      </c>
      <c r="G175">
        <v>0.84931778077736042</v>
      </c>
      <c r="H175">
        <v>0</v>
      </c>
      <c r="I175">
        <v>0</v>
      </c>
      <c r="J175">
        <v>0.73487883772945328</v>
      </c>
      <c r="K175">
        <v>0</v>
      </c>
      <c r="L175">
        <v>0</v>
      </c>
      <c r="M175">
        <v>0.54178541210293285</v>
      </c>
      <c r="N175">
        <v>0</v>
      </c>
      <c r="O175">
        <v>0</v>
      </c>
      <c r="P175">
        <v>0.72134069274458046</v>
      </c>
      <c r="Q175">
        <v>1.8706841980178279</v>
      </c>
      <c r="R175">
        <v>-1.719790125553105</v>
      </c>
      <c r="S175">
        <v>0.23288404671295651</v>
      </c>
      <c r="T175">
        <v>0.17934465066201941</v>
      </c>
      <c r="U175">
        <v>4.4922505857504698</v>
      </c>
      <c r="V175">
        <v>0.2003043790864783</v>
      </c>
      <c r="W175">
        <v>6.6837920587466302</v>
      </c>
      <c r="X175">
        <v>0.44118496660683099</v>
      </c>
      <c r="Z175" t="s">
        <v>392</v>
      </c>
      <c r="AA175">
        <v>9400</v>
      </c>
      <c r="AB175" t="s">
        <v>2594</v>
      </c>
      <c r="AC175" t="str">
        <f>HYPERLINK("plots/3FT6Y578R01_012_S11P_20251111092011_M5358ACSH101811_RBGEUFRF26/dpll_52046/txpa_54207.png","plot")</f>
        <v>plot</v>
      </c>
    </row>
    <row r="176" spans="1:29" x14ac:dyDescent="0.35">
      <c r="A176" t="s">
        <v>48</v>
      </c>
      <c r="B176">
        <v>52046</v>
      </c>
      <c r="C176" t="s">
        <v>51</v>
      </c>
      <c r="D176">
        <v>54208</v>
      </c>
      <c r="E176" t="s">
        <v>228</v>
      </c>
      <c r="F176">
        <v>12240</v>
      </c>
      <c r="G176">
        <v>0.85083669249375993</v>
      </c>
      <c r="H176">
        <v>0</v>
      </c>
      <c r="I176">
        <v>0</v>
      </c>
      <c r="J176">
        <v>0.73911801439035951</v>
      </c>
      <c r="K176">
        <v>0</v>
      </c>
      <c r="L176">
        <v>0</v>
      </c>
      <c r="M176">
        <v>0.54658837428733553</v>
      </c>
      <c r="N176">
        <v>0</v>
      </c>
      <c r="O176">
        <v>0</v>
      </c>
      <c r="P176">
        <v>0.72392307729372096</v>
      </c>
      <c r="Q176">
        <v>1.877725321040316</v>
      </c>
      <c r="R176">
        <v>-1.7449895376217619</v>
      </c>
      <c r="S176">
        <v>0.23224184517053531</v>
      </c>
      <c r="T176">
        <v>0.17896984221883849</v>
      </c>
      <c r="U176">
        <v>4.4921825285947721</v>
      </c>
      <c r="V176">
        <v>0.20028909768291919</v>
      </c>
      <c r="W176">
        <v>6.6900953430555559</v>
      </c>
      <c r="X176">
        <v>0.44202126396928149</v>
      </c>
      <c r="Z176" t="s">
        <v>392</v>
      </c>
      <c r="AA176">
        <v>9400</v>
      </c>
      <c r="AB176" t="s">
        <v>2595</v>
      </c>
      <c r="AC176" t="str">
        <f>HYPERLINK("plots/3FT6Y578R01_012_S11P_20251111092011_M5358ACSH101811_RBGEUFRF26/dpll_52046/txpa_54208.png","plot")</f>
        <v>plot</v>
      </c>
    </row>
    <row r="177" spans="1:29" x14ac:dyDescent="0.35">
      <c r="A177" t="s">
        <v>48</v>
      </c>
      <c r="B177">
        <v>52046</v>
      </c>
      <c r="C177" t="s">
        <v>51</v>
      </c>
      <c r="D177">
        <v>54209</v>
      </c>
      <c r="E177" t="s">
        <v>229</v>
      </c>
      <c r="F177">
        <v>12240</v>
      </c>
      <c r="G177">
        <v>0.85014365188681129</v>
      </c>
      <c r="H177">
        <v>0</v>
      </c>
      <c r="I177">
        <v>0</v>
      </c>
      <c r="J177">
        <v>0.73487355180598846</v>
      </c>
      <c r="K177">
        <v>0</v>
      </c>
      <c r="L177">
        <v>0</v>
      </c>
      <c r="M177">
        <v>0.54304803840496574</v>
      </c>
      <c r="N177">
        <v>0</v>
      </c>
      <c r="O177">
        <v>0</v>
      </c>
      <c r="P177">
        <v>0.7227442288434438</v>
      </c>
      <c r="Q177">
        <v>1.8731768840362439</v>
      </c>
      <c r="R177">
        <v>-1.719601749382845</v>
      </c>
      <c r="S177">
        <v>0.23238692499460531</v>
      </c>
      <c r="T177">
        <v>0.1787192384599838</v>
      </c>
      <c r="U177">
        <v>4.4922755625000006</v>
      </c>
      <c r="V177">
        <v>0.20031001334033319</v>
      </c>
      <c r="W177">
        <v>6.6952249910130712</v>
      </c>
      <c r="X177">
        <v>0.44135609999245179</v>
      </c>
      <c r="Z177" t="s">
        <v>392</v>
      </c>
      <c r="AA177">
        <v>9400</v>
      </c>
      <c r="AB177" t="s">
        <v>2596</v>
      </c>
      <c r="AC177" t="str">
        <f>HYPERLINK("plots/3FT6Y578R01_012_S11P_20251111092011_M5358ACSH101811_RBGEUFRF26/dpll_52046/txpa_54209.png","plot")</f>
        <v>plot</v>
      </c>
    </row>
    <row r="178" spans="1:29" x14ac:dyDescent="0.35">
      <c r="A178" t="s">
        <v>48</v>
      </c>
      <c r="B178">
        <v>52046</v>
      </c>
      <c r="C178" t="s">
        <v>51</v>
      </c>
      <c r="D178">
        <v>54210</v>
      </c>
      <c r="E178" t="s">
        <v>230</v>
      </c>
      <c r="F178">
        <v>12235</v>
      </c>
      <c r="G178">
        <v>0.8463700670647526</v>
      </c>
      <c r="H178">
        <v>0</v>
      </c>
      <c r="I178">
        <v>0</v>
      </c>
      <c r="J178">
        <v>0.72840672670183537</v>
      </c>
      <c r="K178">
        <v>0</v>
      </c>
      <c r="L178">
        <v>0</v>
      </c>
      <c r="M178">
        <v>0.53723081743623968</v>
      </c>
      <c r="N178">
        <v>0</v>
      </c>
      <c r="O178">
        <v>0</v>
      </c>
      <c r="P178">
        <v>0.71634229042319386</v>
      </c>
      <c r="Q178">
        <v>1.851740076969419</v>
      </c>
      <c r="R178">
        <v>-1.6391567461883669</v>
      </c>
      <c r="S178">
        <v>0.2333871372123876</v>
      </c>
      <c r="T178">
        <v>0.1791642724082122</v>
      </c>
      <c r="U178">
        <v>4.492365550143032</v>
      </c>
      <c r="V178">
        <v>0.20029847339670609</v>
      </c>
      <c r="W178">
        <v>6.6795365834082547</v>
      </c>
      <c r="X178">
        <v>0.43822522201284031</v>
      </c>
      <c r="Z178" t="s">
        <v>392</v>
      </c>
      <c r="AA178">
        <v>9400</v>
      </c>
      <c r="AB178" t="s">
        <v>2597</v>
      </c>
      <c r="AC178" t="str">
        <f>HYPERLINK("plots/3FT6Y578R01_012_S11P_20251111092011_M5358ACSH101811_RBGEUFRF26/dpll_52046/txpa_54210.png","plot")</f>
        <v>plot</v>
      </c>
    </row>
    <row r="179" spans="1:29" x14ac:dyDescent="0.35">
      <c r="A179" t="s">
        <v>48</v>
      </c>
      <c r="B179">
        <v>52046</v>
      </c>
      <c r="C179" t="s">
        <v>51</v>
      </c>
      <c r="D179">
        <v>54211</v>
      </c>
      <c r="E179" t="s">
        <v>231</v>
      </c>
      <c r="F179">
        <v>12237</v>
      </c>
      <c r="G179">
        <v>0.83243267919756603</v>
      </c>
      <c r="H179">
        <v>0</v>
      </c>
      <c r="I179">
        <v>0</v>
      </c>
      <c r="J179">
        <v>0.72648750164931652</v>
      </c>
      <c r="K179">
        <v>0</v>
      </c>
      <c r="L179">
        <v>0</v>
      </c>
      <c r="M179">
        <v>0.5330369916715294</v>
      </c>
      <c r="N179">
        <v>0</v>
      </c>
      <c r="O179">
        <v>0</v>
      </c>
      <c r="P179">
        <v>0.69294416539603787</v>
      </c>
      <c r="Q179">
        <v>1.924955867875092</v>
      </c>
      <c r="R179">
        <v>-1.0450479917999549</v>
      </c>
      <c r="S179">
        <v>0.25659330349652609</v>
      </c>
      <c r="T179">
        <v>0.192235426110133</v>
      </c>
      <c r="U179">
        <v>4.4923665365694214</v>
      </c>
      <c r="V179">
        <v>0.20025470601101389</v>
      </c>
      <c r="W179">
        <v>7.6025593334150523</v>
      </c>
      <c r="X179">
        <v>0.46307825369985728</v>
      </c>
      <c r="Z179" t="s">
        <v>392</v>
      </c>
      <c r="AA179">
        <v>9400</v>
      </c>
      <c r="AB179" t="s">
        <v>2598</v>
      </c>
      <c r="AC179" t="str">
        <f>HYPERLINK("plots/3FT6Y578R01_012_S11P_20251111092011_M5358ACSH101811_RBGEUFRF26/dpll_52046/txpa_54211.png","plot")</f>
        <v>plot</v>
      </c>
    </row>
    <row r="180" spans="1:29" x14ac:dyDescent="0.35">
      <c r="A180" t="s">
        <v>48</v>
      </c>
      <c r="B180">
        <v>52046</v>
      </c>
      <c r="C180" t="s">
        <v>51</v>
      </c>
      <c r="D180">
        <v>54212</v>
      </c>
      <c r="E180" t="s">
        <v>232</v>
      </c>
      <c r="F180">
        <v>12235</v>
      </c>
      <c r="G180">
        <v>0.84404391561943848</v>
      </c>
      <c r="H180">
        <v>0</v>
      </c>
      <c r="I180">
        <v>0</v>
      </c>
      <c r="J180">
        <v>0.73480403028139352</v>
      </c>
      <c r="K180">
        <v>0</v>
      </c>
      <c r="L180">
        <v>0</v>
      </c>
      <c r="M180">
        <v>0.54229652684628049</v>
      </c>
      <c r="N180">
        <v>0</v>
      </c>
      <c r="O180">
        <v>0</v>
      </c>
      <c r="P180">
        <v>0.71241013149419374</v>
      </c>
      <c r="Q180">
        <v>1.9494564540733581</v>
      </c>
      <c r="R180">
        <v>-1.119774445974288</v>
      </c>
      <c r="S180">
        <v>0.2480330844559141</v>
      </c>
      <c r="T180">
        <v>0.18892583832601531</v>
      </c>
      <c r="U180">
        <v>4.492367491622395</v>
      </c>
      <c r="V180">
        <v>0.2002590154432789</v>
      </c>
      <c r="W180">
        <v>7.6379003546383331</v>
      </c>
      <c r="X180">
        <v>0.46253070831719328</v>
      </c>
      <c r="Z180" t="s">
        <v>392</v>
      </c>
      <c r="AA180">
        <v>9400</v>
      </c>
      <c r="AB180" t="s">
        <v>2599</v>
      </c>
      <c r="AC180" t="str">
        <f>HYPERLINK("plots/3FT6Y578R01_012_S11P_20251111092011_M5358ACSH101811_RBGEUFRF26/dpll_52046/txpa_54212.png","plot")</f>
        <v>plot</v>
      </c>
    </row>
    <row r="181" spans="1:29" x14ac:dyDescent="0.35">
      <c r="A181" t="s">
        <v>48</v>
      </c>
      <c r="B181">
        <v>52046</v>
      </c>
      <c r="C181" t="s">
        <v>51</v>
      </c>
      <c r="D181">
        <v>54213</v>
      </c>
      <c r="E181" t="s">
        <v>233</v>
      </c>
      <c r="F181">
        <v>12238</v>
      </c>
      <c r="G181">
        <v>0.84323305533417248</v>
      </c>
      <c r="H181">
        <v>0</v>
      </c>
      <c r="I181">
        <v>0</v>
      </c>
      <c r="J181">
        <v>0.73207566324525508</v>
      </c>
      <c r="K181">
        <v>0</v>
      </c>
      <c r="L181">
        <v>0</v>
      </c>
      <c r="M181">
        <v>0.53935420832842929</v>
      </c>
      <c r="N181">
        <v>0</v>
      </c>
      <c r="O181">
        <v>0</v>
      </c>
      <c r="P181">
        <v>0.71104198560820353</v>
      </c>
      <c r="Q181">
        <v>1.932906658599838</v>
      </c>
      <c r="R181">
        <v>-1.039115525550601</v>
      </c>
      <c r="S181">
        <v>0.24680725027734809</v>
      </c>
      <c r="T181">
        <v>0.18744538021028509</v>
      </c>
      <c r="U181">
        <v>4.4923089881516587</v>
      </c>
      <c r="V181">
        <v>0.20030649259705219</v>
      </c>
      <c r="W181">
        <v>7.6440984301356423</v>
      </c>
      <c r="X181">
        <v>0.45915390869987283</v>
      </c>
      <c r="Z181" t="s">
        <v>392</v>
      </c>
      <c r="AA181">
        <v>9400</v>
      </c>
      <c r="AB181" t="s">
        <v>2600</v>
      </c>
      <c r="AC181" t="str">
        <f>HYPERLINK("plots/3FT6Y578R01_012_S11P_20251111092011_M5358ACSH101811_RBGEUFRF26/dpll_52046/txpa_54213.png","plot")</f>
        <v>plot</v>
      </c>
    </row>
    <row r="182" spans="1:29" x14ac:dyDescent="0.35">
      <c r="A182" t="s">
        <v>48</v>
      </c>
      <c r="B182">
        <v>52046</v>
      </c>
      <c r="C182" t="s">
        <v>51</v>
      </c>
      <c r="D182">
        <v>54214</v>
      </c>
      <c r="E182" t="s">
        <v>234</v>
      </c>
      <c r="F182">
        <v>12240</v>
      </c>
      <c r="G182">
        <v>0.85081734693913846</v>
      </c>
      <c r="H182">
        <v>0</v>
      </c>
      <c r="I182">
        <v>0</v>
      </c>
      <c r="J182">
        <v>0.7383754226982937</v>
      </c>
      <c r="K182">
        <v>0</v>
      </c>
      <c r="L182">
        <v>0</v>
      </c>
      <c r="M182">
        <v>0.54587979536635001</v>
      </c>
      <c r="N182">
        <v>0</v>
      </c>
      <c r="O182">
        <v>0</v>
      </c>
      <c r="P182">
        <v>0.72389015785255428</v>
      </c>
      <c r="Q182">
        <v>1.958741877016247</v>
      </c>
      <c r="R182">
        <v>-1.137515175297362</v>
      </c>
      <c r="S182">
        <v>0.24232934098973991</v>
      </c>
      <c r="T182">
        <v>0.1855475191371509</v>
      </c>
      <c r="U182">
        <v>4.4922587900326798</v>
      </c>
      <c r="V182">
        <v>0.2003281251120857</v>
      </c>
      <c r="W182">
        <v>7.6616602391339859</v>
      </c>
      <c r="X182">
        <v>0.46119309768758321</v>
      </c>
      <c r="Z182" t="s">
        <v>392</v>
      </c>
      <c r="AA182">
        <v>9400</v>
      </c>
      <c r="AB182" t="s">
        <v>2601</v>
      </c>
      <c r="AC182" t="str">
        <f>HYPERLINK("plots/3FT6Y578R01_012_S11P_20251111092011_M5358ACSH101811_RBGEUFRF26/dpll_52046/txpa_54214.png","plot")</f>
        <v>plot</v>
      </c>
    </row>
    <row r="183" spans="1:29" x14ac:dyDescent="0.35">
      <c r="A183" t="s">
        <v>48</v>
      </c>
      <c r="B183">
        <v>52046</v>
      </c>
      <c r="C183" t="s">
        <v>51</v>
      </c>
      <c r="D183">
        <v>54215</v>
      </c>
      <c r="E183" t="s">
        <v>235</v>
      </c>
      <c r="F183">
        <v>12239</v>
      </c>
      <c r="G183">
        <v>0.85109996244878061</v>
      </c>
      <c r="H183">
        <v>0</v>
      </c>
      <c r="I183">
        <v>0</v>
      </c>
      <c r="J183">
        <v>0.73564713029857842</v>
      </c>
      <c r="K183">
        <v>0</v>
      </c>
      <c r="L183">
        <v>0</v>
      </c>
      <c r="M183">
        <v>0.54277755696019603</v>
      </c>
      <c r="N183">
        <v>0</v>
      </c>
      <c r="O183">
        <v>0</v>
      </c>
      <c r="P183">
        <v>0.72437114608031572</v>
      </c>
      <c r="Q183">
        <v>1.966412340671037</v>
      </c>
      <c r="R183">
        <v>-1.200540157112294</v>
      </c>
      <c r="S183">
        <v>0.24295680088178731</v>
      </c>
      <c r="T183">
        <v>0.18690626980058181</v>
      </c>
      <c r="U183">
        <v>4.4922505857504698</v>
      </c>
      <c r="V183">
        <v>0.2003043790864783</v>
      </c>
      <c r="W183">
        <v>7.6330768320941251</v>
      </c>
      <c r="X183">
        <v>0.46279053026019212</v>
      </c>
      <c r="Z183" t="s">
        <v>392</v>
      </c>
      <c r="AA183">
        <v>9400</v>
      </c>
      <c r="AB183" t="s">
        <v>2602</v>
      </c>
      <c r="AC183" t="str">
        <f>HYPERLINK("plots/3FT6Y578R01_012_S11P_20251111092011_M5358ACSH101811_RBGEUFRF26/dpll_52046/txpa_54215.png","plot")</f>
        <v>plot</v>
      </c>
    </row>
    <row r="184" spans="1:29" x14ac:dyDescent="0.35">
      <c r="A184" t="s">
        <v>48</v>
      </c>
      <c r="B184">
        <v>52046</v>
      </c>
      <c r="C184" t="s">
        <v>51</v>
      </c>
      <c r="D184">
        <v>54216</v>
      </c>
      <c r="E184" t="s">
        <v>236</v>
      </c>
      <c r="F184">
        <v>12239</v>
      </c>
      <c r="G184">
        <v>0.85302222105332082</v>
      </c>
      <c r="H184">
        <v>0</v>
      </c>
      <c r="I184">
        <v>0</v>
      </c>
      <c r="J184">
        <v>0.73967129769638518</v>
      </c>
      <c r="K184">
        <v>0</v>
      </c>
      <c r="L184">
        <v>0</v>
      </c>
      <c r="M184">
        <v>0.54741978787382839</v>
      </c>
      <c r="N184">
        <v>0</v>
      </c>
      <c r="O184">
        <v>0</v>
      </c>
      <c r="P184">
        <v>0.72764690961074052</v>
      </c>
      <c r="Q184">
        <v>1.9718757317131961</v>
      </c>
      <c r="R184">
        <v>-1.2172459433904821</v>
      </c>
      <c r="S184">
        <v>0.24163058628339451</v>
      </c>
      <c r="T184">
        <v>0.18626805951432029</v>
      </c>
      <c r="U184">
        <v>4.4922426758722116</v>
      </c>
      <c r="V184">
        <v>0.20030154507572481</v>
      </c>
      <c r="W184">
        <v>7.6408983701282782</v>
      </c>
      <c r="X184">
        <v>0.46302399399603628</v>
      </c>
      <c r="Z184" t="s">
        <v>392</v>
      </c>
      <c r="AA184">
        <v>9400</v>
      </c>
      <c r="AB184" t="s">
        <v>2603</v>
      </c>
      <c r="AC184" t="str">
        <f>HYPERLINK("plots/3FT6Y578R01_012_S11P_20251111092011_M5358ACSH101811_RBGEUFRF26/dpll_52046/txpa_54216.png","plot")</f>
        <v>plot</v>
      </c>
    </row>
    <row r="185" spans="1:29" x14ac:dyDescent="0.35">
      <c r="A185" t="s">
        <v>48</v>
      </c>
      <c r="B185">
        <v>52046</v>
      </c>
      <c r="C185" t="s">
        <v>51</v>
      </c>
      <c r="D185">
        <v>54217</v>
      </c>
      <c r="E185" t="s">
        <v>237</v>
      </c>
      <c r="F185">
        <v>12239</v>
      </c>
      <c r="G185">
        <v>0.8520594922075162</v>
      </c>
      <c r="H185">
        <v>0</v>
      </c>
      <c r="I185">
        <v>0</v>
      </c>
      <c r="J185">
        <v>0.7354351380644899</v>
      </c>
      <c r="K185">
        <v>0</v>
      </c>
      <c r="L185">
        <v>0</v>
      </c>
      <c r="M185">
        <v>0.54389141693194865</v>
      </c>
      <c r="N185">
        <v>0</v>
      </c>
      <c r="O185">
        <v>0</v>
      </c>
      <c r="P185">
        <v>0.72600537826093037</v>
      </c>
      <c r="Q185">
        <v>1.9677627149824359</v>
      </c>
      <c r="R185">
        <v>-1.193691316522034</v>
      </c>
      <c r="S185">
        <v>0.24213239852113841</v>
      </c>
      <c r="T185">
        <v>0.18611158244080539</v>
      </c>
      <c r="U185">
        <v>4.4922944304273233</v>
      </c>
      <c r="V185">
        <v>0.20030731966924389</v>
      </c>
      <c r="W185">
        <v>7.6460781683961114</v>
      </c>
      <c r="X185">
        <v>0.46259360853081188</v>
      </c>
      <c r="Z185" t="s">
        <v>392</v>
      </c>
      <c r="AA185">
        <v>9400</v>
      </c>
      <c r="AB185" t="s">
        <v>2604</v>
      </c>
      <c r="AC185" t="str">
        <f>HYPERLINK("plots/3FT6Y578R01_012_S11P_20251111092011_M5358ACSH101811_RBGEUFRF26/dpll_52046/txpa_54217.png","plot")</f>
        <v>plot</v>
      </c>
    </row>
    <row r="186" spans="1:29" x14ac:dyDescent="0.35">
      <c r="A186" t="s">
        <v>48</v>
      </c>
      <c r="B186">
        <v>52046</v>
      </c>
      <c r="C186" t="s">
        <v>51</v>
      </c>
      <c r="D186">
        <v>54218</v>
      </c>
      <c r="E186" t="s">
        <v>238</v>
      </c>
      <c r="F186">
        <v>12233</v>
      </c>
      <c r="G186">
        <v>0.84847090770595768</v>
      </c>
      <c r="H186">
        <v>0</v>
      </c>
      <c r="I186">
        <v>0</v>
      </c>
      <c r="J186">
        <v>0.72918701552905985</v>
      </c>
      <c r="K186">
        <v>0</v>
      </c>
      <c r="L186">
        <v>0</v>
      </c>
      <c r="M186">
        <v>0.53817805808194286</v>
      </c>
      <c r="N186">
        <v>0</v>
      </c>
      <c r="O186">
        <v>0</v>
      </c>
      <c r="P186">
        <v>0.71990288122337176</v>
      </c>
      <c r="Q186">
        <v>1.9450374841716169</v>
      </c>
      <c r="R186">
        <v>-1.107043945951681</v>
      </c>
      <c r="S186">
        <v>0.2429761420836003</v>
      </c>
      <c r="T186">
        <v>0.1865355173804511</v>
      </c>
      <c r="U186">
        <v>4.4924131264612113</v>
      </c>
      <c r="V186">
        <v>0.20027929022073221</v>
      </c>
      <c r="W186">
        <v>7.6308679793999827</v>
      </c>
      <c r="X186">
        <v>0.4591209000151259</v>
      </c>
      <c r="Z186" t="s">
        <v>392</v>
      </c>
      <c r="AA186">
        <v>9400</v>
      </c>
      <c r="AB186" t="s">
        <v>2605</v>
      </c>
      <c r="AC186" t="str">
        <f>HYPERLINK("plots/3FT6Y578R01_012_S11P_20251111092011_M5358ACSH101811_RBGEUFRF26/dpll_52046/txpa_54218.png","plot")</f>
        <v>plot</v>
      </c>
    </row>
    <row r="187" spans="1:29" x14ac:dyDescent="0.35">
      <c r="A187" t="s">
        <v>48</v>
      </c>
      <c r="B187">
        <v>52046</v>
      </c>
      <c r="C187" t="s">
        <v>51</v>
      </c>
      <c r="D187">
        <v>54219</v>
      </c>
      <c r="E187" t="s">
        <v>239</v>
      </c>
      <c r="F187">
        <v>12226</v>
      </c>
      <c r="G187">
        <v>0.83606730881108116</v>
      </c>
      <c r="H187">
        <v>0</v>
      </c>
      <c r="I187">
        <v>0</v>
      </c>
      <c r="J187">
        <v>0.72742287045837972</v>
      </c>
      <c r="K187">
        <v>0</v>
      </c>
      <c r="L187">
        <v>0</v>
      </c>
      <c r="M187">
        <v>0.53427906132602132</v>
      </c>
      <c r="N187">
        <v>0</v>
      </c>
      <c r="O187">
        <v>0</v>
      </c>
      <c r="P187">
        <v>0.69900854486260378</v>
      </c>
      <c r="Q187">
        <v>2.0266023191953839</v>
      </c>
      <c r="R187">
        <v>-0.54234205158330084</v>
      </c>
      <c r="S187">
        <v>0.26608515330693538</v>
      </c>
      <c r="T187">
        <v>0.19981658563655039</v>
      </c>
      <c r="U187">
        <v>4.4926530628169479</v>
      </c>
      <c r="V187">
        <v>0.20009398270855561</v>
      </c>
      <c r="W187">
        <v>8.5624790648617708</v>
      </c>
      <c r="X187">
        <v>0.48502186981913148</v>
      </c>
      <c r="Z187" t="s">
        <v>392</v>
      </c>
      <c r="AA187">
        <v>9400</v>
      </c>
      <c r="AB187" t="s">
        <v>2606</v>
      </c>
      <c r="AC187" t="str">
        <f>HYPERLINK("plots/3FT6Y578R01_012_S11P_20251111092011_M5358ACSH101811_RBGEUFRF26/dpll_52046/txpa_54219.png","plot")</f>
        <v>plot</v>
      </c>
    </row>
    <row r="188" spans="1:29" x14ac:dyDescent="0.35">
      <c r="A188" t="s">
        <v>48</v>
      </c>
      <c r="B188">
        <v>52046</v>
      </c>
      <c r="C188" t="s">
        <v>51</v>
      </c>
      <c r="D188">
        <v>54220</v>
      </c>
      <c r="E188" t="s">
        <v>240</v>
      </c>
      <c r="F188">
        <v>12234</v>
      </c>
      <c r="G188">
        <v>0.84624103261072514</v>
      </c>
      <c r="H188">
        <v>0</v>
      </c>
      <c r="I188">
        <v>0</v>
      </c>
      <c r="J188">
        <v>0.73584527624419271</v>
      </c>
      <c r="K188">
        <v>0</v>
      </c>
      <c r="L188">
        <v>0</v>
      </c>
      <c r="M188">
        <v>0.543541558523572</v>
      </c>
      <c r="N188">
        <v>0</v>
      </c>
      <c r="O188">
        <v>0</v>
      </c>
      <c r="P188">
        <v>0.71612388527406634</v>
      </c>
      <c r="Q188">
        <v>2.058912496557705</v>
      </c>
      <c r="R188">
        <v>-0.6537967401786311</v>
      </c>
      <c r="S188">
        <v>0.25955589276573149</v>
      </c>
      <c r="T188">
        <v>0.19747140434572941</v>
      </c>
      <c r="U188">
        <v>4.4923998598986437</v>
      </c>
      <c r="V188">
        <v>0.20023519136942419</v>
      </c>
      <c r="W188">
        <v>8.595661470900767</v>
      </c>
      <c r="X188">
        <v>0.48717412873404781</v>
      </c>
      <c r="Z188" t="s">
        <v>392</v>
      </c>
      <c r="AA188">
        <v>9400</v>
      </c>
      <c r="AB188" t="s">
        <v>2607</v>
      </c>
      <c r="AC188" t="str">
        <f>HYPERLINK("plots/3FT6Y578R01_012_S11P_20251111092011_M5358ACSH101811_RBGEUFRF26/dpll_52046/txpa_54220.png","plot")</f>
        <v>plot</v>
      </c>
    </row>
    <row r="189" spans="1:29" x14ac:dyDescent="0.35">
      <c r="A189" t="s">
        <v>48</v>
      </c>
      <c r="B189">
        <v>52046</v>
      </c>
      <c r="C189" t="s">
        <v>51</v>
      </c>
      <c r="D189">
        <v>54221</v>
      </c>
      <c r="E189" t="s">
        <v>241</v>
      </c>
      <c r="F189">
        <v>12236</v>
      </c>
      <c r="G189">
        <v>0.84573974226371817</v>
      </c>
      <c r="H189">
        <v>0</v>
      </c>
      <c r="I189">
        <v>0</v>
      </c>
      <c r="J189">
        <v>0.73321028391164333</v>
      </c>
      <c r="K189">
        <v>0</v>
      </c>
      <c r="L189">
        <v>0</v>
      </c>
      <c r="M189">
        <v>0.54067712867476203</v>
      </c>
      <c r="N189">
        <v>0</v>
      </c>
      <c r="O189">
        <v>0</v>
      </c>
      <c r="P189">
        <v>0.71527571164430048</v>
      </c>
      <c r="Q189">
        <v>2.0415323132150109</v>
      </c>
      <c r="R189">
        <v>-0.56889651192225621</v>
      </c>
      <c r="S189">
        <v>0.25794847420977401</v>
      </c>
      <c r="T189">
        <v>0.1957610843607655</v>
      </c>
      <c r="U189">
        <v>4.4923670004086302</v>
      </c>
      <c r="V189">
        <v>0.20027139979607531</v>
      </c>
      <c r="W189">
        <v>8.6024158822327568</v>
      </c>
      <c r="X189">
        <v>0.4834354041376</v>
      </c>
      <c r="Z189" t="s">
        <v>392</v>
      </c>
      <c r="AA189">
        <v>9400</v>
      </c>
      <c r="AB189" t="s">
        <v>2608</v>
      </c>
      <c r="AC189" t="str">
        <f>HYPERLINK("plots/3FT6Y578R01_012_S11P_20251111092011_M5358ACSH101811_RBGEUFRF26/dpll_52046/txpa_54221.png","plot")</f>
        <v>plot</v>
      </c>
    </row>
    <row r="190" spans="1:29" x14ac:dyDescent="0.35">
      <c r="A190" t="s">
        <v>48</v>
      </c>
      <c r="B190">
        <v>52046</v>
      </c>
      <c r="C190" t="s">
        <v>51</v>
      </c>
      <c r="D190">
        <v>54222</v>
      </c>
      <c r="E190" t="s">
        <v>242</v>
      </c>
      <c r="F190">
        <v>12240</v>
      </c>
      <c r="G190">
        <v>0.85271970594506497</v>
      </c>
      <c r="H190">
        <v>0</v>
      </c>
      <c r="I190">
        <v>0</v>
      </c>
      <c r="J190">
        <v>0.73913663381152106</v>
      </c>
      <c r="K190">
        <v>0</v>
      </c>
      <c r="L190">
        <v>0</v>
      </c>
      <c r="M190">
        <v>0.54688760513150048</v>
      </c>
      <c r="N190">
        <v>0</v>
      </c>
      <c r="O190">
        <v>0</v>
      </c>
      <c r="P190">
        <v>0.72713089690703803</v>
      </c>
      <c r="Q190">
        <v>2.069692318286608</v>
      </c>
      <c r="R190">
        <v>-0.67862072370181892</v>
      </c>
      <c r="S190">
        <v>0.253980781370377</v>
      </c>
      <c r="T190">
        <v>0.19415989692707539</v>
      </c>
      <c r="U190">
        <v>4.4922587900326798</v>
      </c>
      <c r="V190">
        <v>0.2003281251120857</v>
      </c>
      <c r="W190">
        <v>8.6189727857843135</v>
      </c>
      <c r="X190">
        <v>0.48622962362729027</v>
      </c>
      <c r="Z190" t="s">
        <v>392</v>
      </c>
      <c r="AA190">
        <v>9400</v>
      </c>
      <c r="AB190" t="s">
        <v>2609</v>
      </c>
      <c r="AC190" t="str">
        <f>HYPERLINK("plots/3FT6Y578R01_012_S11P_20251111092011_M5358ACSH101811_RBGEUFRF26/dpll_52046/txpa_54222.png","plot")</f>
        <v>plot</v>
      </c>
    </row>
    <row r="191" spans="1:29" x14ac:dyDescent="0.35">
      <c r="A191" t="s">
        <v>48</v>
      </c>
      <c r="B191">
        <v>52046</v>
      </c>
      <c r="C191" t="s">
        <v>51</v>
      </c>
      <c r="D191">
        <v>54223</v>
      </c>
      <c r="E191" t="s">
        <v>243</v>
      </c>
      <c r="F191">
        <v>12238</v>
      </c>
      <c r="G191">
        <v>0.85316581082517906</v>
      </c>
      <c r="H191">
        <v>0</v>
      </c>
      <c r="I191">
        <v>0</v>
      </c>
      <c r="J191">
        <v>0.7365423361914788</v>
      </c>
      <c r="K191">
        <v>0</v>
      </c>
      <c r="L191">
        <v>0</v>
      </c>
      <c r="M191">
        <v>0.54392974728817423</v>
      </c>
      <c r="N191">
        <v>0</v>
      </c>
      <c r="O191">
        <v>0</v>
      </c>
      <c r="P191">
        <v>0.7278919007609852</v>
      </c>
      <c r="Q191">
        <v>2.07696088856048</v>
      </c>
      <c r="R191">
        <v>-0.74087925000813115</v>
      </c>
      <c r="S191">
        <v>0.25434190738202572</v>
      </c>
      <c r="T191">
        <v>0.19536879241419289</v>
      </c>
      <c r="U191">
        <v>4.4922745768916492</v>
      </c>
      <c r="V191">
        <v>0.20029497741322561</v>
      </c>
      <c r="W191">
        <v>8.5893993468704029</v>
      </c>
      <c r="X191">
        <v>0.48760138883204429</v>
      </c>
      <c r="Z191" t="s">
        <v>392</v>
      </c>
      <c r="AA191">
        <v>9400</v>
      </c>
      <c r="AB191" t="s">
        <v>2610</v>
      </c>
      <c r="AC191" t="str">
        <f>HYPERLINK("plots/3FT6Y578R01_012_S11P_20251111092011_M5358ACSH101811_RBGEUFRF26/dpll_52046/txpa_54223.png","plot")</f>
        <v>plot</v>
      </c>
    </row>
    <row r="192" spans="1:29" x14ac:dyDescent="0.35">
      <c r="A192" t="s">
        <v>48</v>
      </c>
      <c r="B192">
        <v>52046</v>
      </c>
      <c r="C192" t="s">
        <v>51</v>
      </c>
      <c r="D192">
        <v>54224</v>
      </c>
      <c r="E192" t="s">
        <v>244</v>
      </c>
      <c r="F192">
        <v>12238</v>
      </c>
      <c r="G192">
        <v>0.85499088630109243</v>
      </c>
      <c r="H192">
        <v>0</v>
      </c>
      <c r="I192">
        <v>0</v>
      </c>
      <c r="J192">
        <v>0.74030944561259238</v>
      </c>
      <c r="K192">
        <v>0</v>
      </c>
      <c r="L192">
        <v>0</v>
      </c>
      <c r="M192">
        <v>0.54834458279238696</v>
      </c>
      <c r="N192">
        <v>0</v>
      </c>
      <c r="O192">
        <v>0</v>
      </c>
      <c r="P192">
        <v>0.73100941565792754</v>
      </c>
      <c r="Q192">
        <v>2.0816421799126981</v>
      </c>
      <c r="R192">
        <v>-0.75270682054401128</v>
      </c>
      <c r="S192">
        <v>0.25290888461570848</v>
      </c>
      <c r="T192">
        <v>0.19466365224807319</v>
      </c>
      <c r="U192">
        <v>4.4922651116195453</v>
      </c>
      <c r="V192">
        <v>0.20029434949285149</v>
      </c>
      <c r="W192">
        <v>8.5985817191534561</v>
      </c>
      <c r="X192">
        <v>0.48765568497026718</v>
      </c>
      <c r="Z192" t="s">
        <v>392</v>
      </c>
      <c r="AA192">
        <v>9400</v>
      </c>
      <c r="AB192" t="s">
        <v>2611</v>
      </c>
      <c r="AC192" t="str">
        <f>HYPERLINK("plots/3FT6Y578R01_012_S11P_20251111092011_M5358ACSH101811_RBGEUFRF26/dpll_52046/txpa_54224.png","plot")</f>
        <v>plot</v>
      </c>
    </row>
    <row r="193" spans="1:29" x14ac:dyDescent="0.35">
      <c r="A193" t="s">
        <v>48</v>
      </c>
      <c r="B193">
        <v>52046</v>
      </c>
      <c r="C193" t="s">
        <v>51</v>
      </c>
      <c r="D193">
        <v>54225</v>
      </c>
      <c r="E193" t="s">
        <v>245</v>
      </c>
      <c r="F193">
        <v>12233</v>
      </c>
      <c r="G193">
        <v>0.85490395834312549</v>
      </c>
      <c r="H193">
        <v>0</v>
      </c>
      <c r="I193">
        <v>0</v>
      </c>
      <c r="J193">
        <v>0.73617685659770515</v>
      </c>
      <c r="K193">
        <v>0</v>
      </c>
      <c r="L193">
        <v>0</v>
      </c>
      <c r="M193">
        <v>0.54504095529662899</v>
      </c>
      <c r="N193">
        <v>0</v>
      </c>
      <c r="O193">
        <v>0</v>
      </c>
      <c r="P193">
        <v>0.73086077799074445</v>
      </c>
      <c r="Q193">
        <v>2.075024459724041</v>
      </c>
      <c r="R193">
        <v>-0.71708200939111144</v>
      </c>
      <c r="S193">
        <v>0.25216541480172189</v>
      </c>
      <c r="T193">
        <v>0.1940234517102967</v>
      </c>
      <c r="U193">
        <v>4.4924234870432436</v>
      </c>
      <c r="V193">
        <v>0.20026676589965439</v>
      </c>
      <c r="W193">
        <v>8.6048066096623881</v>
      </c>
      <c r="X193">
        <v>0.4860878624506525</v>
      </c>
      <c r="Z193" t="s">
        <v>392</v>
      </c>
      <c r="AA193">
        <v>9400</v>
      </c>
      <c r="AB193" t="s">
        <v>2612</v>
      </c>
      <c r="AC193" t="str">
        <f>HYPERLINK("plots/3FT6Y578R01_012_S11P_20251111092011_M5358ACSH101811_RBGEUFRF26/dpll_52046/txpa_54225.png","plot")</f>
        <v>plot</v>
      </c>
    </row>
    <row r="194" spans="1:29" x14ac:dyDescent="0.35">
      <c r="A194" t="s">
        <v>48</v>
      </c>
      <c r="B194">
        <v>52046</v>
      </c>
      <c r="C194" t="s">
        <v>51</v>
      </c>
      <c r="D194">
        <v>54226</v>
      </c>
      <c r="E194" t="s">
        <v>246</v>
      </c>
      <c r="F194">
        <v>12231</v>
      </c>
      <c r="G194">
        <v>0.85067108539159908</v>
      </c>
      <c r="H194">
        <v>0</v>
      </c>
      <c r="I194">
        <v>0</v>
      </c>
      <c r="J194">
        <v>0.72988479637092585</v>
      </c>
      <c r="K194">
        <v>0</v>
      </c>
      <c r="L194">
        <v>0</v>
      </c>
      <c r="M194">
        <v>0.53912466467569675</v>
      </c>
      <c r="N194">
        <v>0</v>
      </c>
      <c r="O194">
        <v>0</v>
      </c>
      <c r="P194">
        <v>0.72364129552132128</v>
      </c>
      <c r="Q194">
        <v>2.0531666388183041</v>
      </c>
      <c r="R194">
        <v>-0.63350929589321225</v>
      </c>
      <c r="S194">
        <v>0.25408683279206329</v>
      </c>
      <c r="T194">
        <v>0.19493879980272</v>
      </c>
      <c r="U194">
        <v>4.4924586863706972</v>
      </c>
      <c r="V194">
        <v>0.20026304372145959</v>
      </c>
      <c r="W194">
        <v>8.5902570052326066</v>
      </c>
      <c r="X194">
        <v>0.48335180002954042</v>
      </c>
      <c r="Z194" t="s">
        <v>392</v>
      </c>
      <c r="AA194">
        <v>9400</v>
      </c>
      <c r="AB194" t="s">
        <v>2613</v>
      </c>
      <c r="AC194" t="str">
        <f>HYPERLINK("plots/3FT6Y578R01_012_S11P_20251111092011_M5358ACSH101811_RBGEUFRF26/dpll_52046/txpa_54226.png","plot")</f>
        <v>plot</v>
      </c>
    </row>
    <row r="195" spans="1:29" x14ac:dyDescent="0.35">
      <c r="A195" t="s">
        <v>48</v>
      </c>
      <c r="B195">
        <v>52046</v>
      </c>
      <c r="C195" t="s">
        <v>51</v>
      </c>
      <c r="D195">
        <v>54227</v>
      </c>
      <c r="E195" t="s">
        <v>247</v>
      </c>
      <c r="F195">
        <v>12223</v>
      </c>
      <c r="G195">
        <v>0.83710995257648257</v>
      </c>
      <c r="H195">
        <v>0</v>
      </c>
      <c r="I195">
        <v>0</v>
      </c>
      <c r="J195">
        <v>0.72735699035850998</v>
      </c>
      <c r="K195">
        <v>0</v>
      </c>
      <c r="L195">
        <v>0</v>
      </c>
      <c r="M195">
        <v>0.5343698823498706</v>
      </c>
      <c r="N195">
        <v>0</v>
      </c>
      <c r="O195">
        <v>0</v>
      </c>
      <c r="P195">
        <v>0.7007530727026009</v>
      </c>
      <c r="Q195">
        <v>2.0852062076774058</v>
      </c>
      <c r="R195">
        <v>-0.34007979531267551</v>
      </c>
      <c r="S195">
        <v>0.27257993050766399</v>
      </c>
      <c r="T195">
        <v>0.20469643662479059</v>
      </c>
      <c r="U195">
        <v>4.4927346960647956</v>
      </c>
      <c r="V195">
        <v>0.2000461921362576</v>
      </c>
      <c r="W195">
        <v>9.0281984823693033</v>
      </c>
      <c r="X195">
        <v>0.4983067760464111</v>
      </c>
      <c r="Z195" t="s">
        <v>392</v>
      </c>
      <c r="AA195">
        <v>9400</v>
      </c>
      <c r="AB195" t="s">
        <v>2614</v>
      </c>
      <c r="AC195" t="str">
        <f>HYPERLINK("plots/3FT6Y578R01_012_S11P_20251111092011_M5358ACSH101811_RBGEUFRF26/dpll_52046/txpa_54227.png","plot")</f>
        <v>plot</v>
      </c>
    </row>
    <row r="196" spans="1:29" x14ac:dyDescent="0.35">
      <c r="A196" t="s">
        <v>48</v>
      </c>
      <c r="B196">
        <v>52046</v>
      </c>
      <c r="C196" t="s">
        <v>51</v>
      </c>
      <c r="D196">
        <v>54228</v>
      </c>
      <c r="E196" t="s">
        <v>248</v>
      </c>
      <c r="F196">
        <v>12232</v>
      </c>
      <c r="G196">
        <v>0.84725955637985828</v>
      </c>
      <c r="H196">
        <v>0</v>
      </c>
      <c r="I196">
        <v>0</v>
      </c>
      <c r="J196">
        <v>0.73561830908719328</v>
      </c>
      <c r="K196">
        <v>0</v>
      </c>
      <c r="L196">
        <v>0</v>
      </c>
      <c r="M196">
        <v>0.54351150279361182</v>
      </c>
      <c r="N196">
        <v>0</v>
      </c>
      <c r="O196">
        <v>0</v>
      </c>
      <c r="P196">
        <v>0.71784875587699426</v>
      </c>
      <c r="Q196">
        <v>2.118953932862619</v>
      </c>
      <c r="R196">
        <v>-0.4581020852305997</v>
      </c>
      <c r="S196">
        <v>0.26598647020487531</v>
      </c>
      <c r="T196">
        <v>0.20234387016245459</v>
      </c>
      <c r="U196">
        <v>4.4924365111183766</v>
      </c>
      <c r="V196">
        <v>0.20023098115780091</v>
      </c>
      <c r="W196">
        <v>9.0611639281393064</v>
      </c>
      <c r="X196">
        <v>0.5007677066731625</v>
      </c>
      <c r="Z196" t="s">
        <v>392</v>
      </c>
      <c r="AA196">
        <v>9400</v>
      </c>
      <c r="AB196" t="s">
        <v>2615</v>
      </c>
      <c r="AC196" t="str">
        <f>HYPERLINK("plots/3FT6Y578R01_012_S11P_20251111092011_M5358ACSH101811_RBGEUFRF26/dpll_52046/txpa_54228.png","plot")</f>
        <v>plot</v>
      </c>
    </row>
    <row r="197" spans="1:29" x14ac:dyDescent="0.35">
      <c r="A197" t="s">
        <v>48</v>
      </c>
      <c r="B197">
        <v>52046</v>
      </c>
      <c r="C197" t="s">
        <v>51</v>
      </c>
      <c r="D197">
        <v>54229</v>
      </c>
      <c r="E197" t="s">
        <v>249</v>
      </c>
      <c r="F197">
        <v>12231</v>
      </c>
      <c r="G197">
        <v>0.84717532914692284</v>
      </c>
      <c r="H197">
        <v>0</v>
      </c>
      <c r="I197">
        <v>0</v>
      </c>
      <c r="J197">
        <v>0.73295416600546781</v>
      </c>
      <c r="K197">
        <v>0</v>
      </c>
      <c r="L197">
        <v>0</v>
      </c>
      <c r="M197">
        <v>0.5406641492302755</v>
      </c>
      <c r="N197">
        <v>0</v>
      </c>
      <c r="O197">
        <v>0</v>
      </c>
      <c r="P197">
        <v>0.71770603831519708</v>
      </c>
      <c r="Q197">
        <v>2.0999500558839022</v>
      </c>
      <c r="R197">
        <v>-0.36544026577944783</v>
      </c>
      <c r="S197">
        <v>0.26368162966879161</v>
      </c>
      <c r="T197">
        <v>0.20035868603485599</v>
      </c>
      <c r="U197">
        <v>4.4924788369716291</v>
      </c>
      <c r="V197">
        <v>0.2002217111498184</v>
      </c>
      <c r="W197">
        <v>9.068540918976371</v>
      </c>
      <c r="X197">
        <v>0.49630292461610792</v>
      </c>
      <c r="Z197" t="s">
        <v>392</v>
      </c>
      <c r="AA197">
        <v>9400</v>
      </c>
      <c r="AB197" t="s">
        <v>2616</v>
      </c>
      <c r="AC197" t="str">
        <f>HYPERLINK("plots/3FT6Y578R01_012_S11P_20251111092011_M5358ACSH101811_RBGEUFRF26/dpll_52046/txpa_54229.png","plot")</f>
        <v>plot</v>
      </c>
    </row>
    <row r="198" spans="1:29" x14ac:dyDescent="0.35">
      <c r="A198" t="s">
        <v>48</v>
      </c>
      <c r="B198">
        <v>52046</v>
      </c>
      <c r="C198" t="s">
        <v>51</v>
      </c>
      <c r="D198">
        <v>54230</v>
      </c>
      <c r="E198" t="s">
        <v>250</v>
      </c>
      <c r="F198">
        <v>12238</v>
      </c>
      <c r="G198">
        <v>0.85338997800005556</v>
      </c>
      <c r="H198">
        <v>0</v>
      </c>
      <c r="I198">
        <v>0</v>
      </c>
      <c r="J198">
        <v>0.7387381920113667</v>
      </c>
      <c r="K198">
        <v>0</v>
      </c>
      <c r="L198">
        <v>0</v>
      </c>
      <c r="M198">
        <v>0.54667442369806218</v>
      </c>
      <c r="N198">
        <v>0</v>
      </c>
      <c r="O198">
        <v>0</v>
      </c>
      <c r="P198">
        <v>0.72827445455093531</v>
      </c>
      <c r="Q198">
        <v>2.1303778637661068</v>
      </c>
      <c r="R198">
        <v>-0.48605465276923893</v>
      </c>
      <c r="S198">
        <v>0.26064374160890202</v>
      </c>
      <c r="T198">
        <v>0.1991685854208699</v>
      </c>
      <c r="U198">
        <v>4.4923098699950978</v>
      </c>
      <c r="V198">
        <v>0.20030450117725501</v>
      </c>
      <c r="W198">
        <v>9.0842628514463151</v>
      </c>
      <c r="X198">
        <v>0.50003431762905981</v>
      </c>
      <c r="Z198" t="s">
        <v>392</v>
      </c>
      <c r="AA198">
        <v>9400</v>
      </c>
      <c r="AB198" t="s">
        <v>2617</v>
      </c>
      <c r="AC198" t="str">
        <f>HYPERLINK("plots/3FT6Y578R01_012_S11P_20251111092011_M5358ACSH101811_RBGEUFRF26/dpll_52046/txpa_54230.png","plot")</f>
        <v>plot</v>
      </c>
    </row>
    <row r="199" spans="1:29" x14ac:dyDescent="0.35">
      <c r="A199" t="s">
        <v>48</v>
      </c>
      <c r="B199">
        <v>52046</v>
      </c>
      <c r="C199" t="s">
        <v>51</v>
      </c>
      <c r="D199">
        <v>54231</v>
      </c>
      <c r="E199" t="s">
        <v>251</v>
      </c>
      <c r="F199">
        <v>12235</v>
      </c>
      <c r="G199">
        <v>0.85395323085771346</v>
      </c>
      <c r="H199">
        <v>0</v>
      </c>
      <c r="I199">
        <v>0</v>
      </c>
      <c r="J199">
        <v>0.73625540422429669</v>
      </c>
      <c r="K199">
        <v>0</v>
      </c>
      <c r="L199">
        <v>0</v>
      </c>
      <c r="M199">
        <v>0.54390684582889681</v>
      </c>
      <c r="N199">
        <v>0</v>
      </c>
      <c r="O199">
        <v>0</v>
      </c>
      <c r="P199">
        <v>0.72923612049232722</v>
      </c>
      <c r="Q199">
        <v>2.1369729984298389</v>
      </c>
      <c r="R199">
        <v>-0.54594294832467227</v>
      </c>
      <c r="S199">
        <v>0.26075873532593152</v>
      </c>
      <c r="T199">
        <v>0.2002490675456669</v>
      </c>
      <c r="U199">
        <v>4.4923493210461789</v>
      </c>
      <c r="V199">
        <v>0.2002609638491531</v>
      </c>
      <c r="W199">
        <v>9.0540862502656321</v>
      </c>
      <c r="X199">
        <v>0.50114251802213738</v>
      </c>
      <c r="Z199" t="s">
        <v>392</v>
      </c>
      <c r="AA199">
        <v>9400</v>
      </c>
      <c r="AB199" t="s">
        <v>2618</v>
      </c>
      <c r="AC199" t="str">
        <f>HYPERLINK("plots/3FT6Y578R01_012_S11P_20251111092011_M5358ACSH101811_RBGEUFRF26/dpll_52046/txpa_54231.png","plot")</f>
        <v>plot</v>
      </c>
    </row>
    <row r="200" spans="1:29" x14ac:dyDescent="0.35">
      <c r="A200" t="s">
        <v>48</v>
      </c>
      <c r="B200">
        <v>52046</v>
      </c>
      <c r="C200" t="s">
        <v>51</v>
      </c>
      <c r="D200">
        <v>54232</v>
      </c>
      <c r="E200" t="s">
        <v>252</v>
      </c>
      <c r="F200">
        <v>12237</v>
      </c>
      <c r="G200">
        <v>0.85562936324553529</v>
      </c>
      <c r="H200">
        <v>0</v>
      </c>
      <c r="I200">
        <v>0</v>
      </c>
      <c r="J200">
        <v>0.73995361356150269</v>
      </c>
      <c r="K200">
        <v>0</v>
      </c>
      <c r="L200">
        <v>0</v>
      </c>
      <c r="M200">
        <v>0.54821839841335385</v>
      </c>
      <c r="N200">
        <v>0</v>
      </c>
      <c r="O200">
        <v>0</v>
      </c>
      <c r="P200">
        <v>0.73210160724796014</v>
      </c>
      <c r="Q200">
        <v>2.1430861201775731</v>
      </c>
      <c r="R200">
        <v>-0.56382120474371433</v>
      </c>
      <c r="S200">
        <v>0.25964681601108702</v>
      </c>
      <c r="T200">
        <v>0.19970356324605529</v>
      </c>
      <c r="U200">
        <v>4.4922844187300814</v>
      </c>
      <c r="V200">
        <v>0.20029114519977639</v>
      </c>
      <c r="W200">
        <v>9.0635311809266987</v>
      </c>
      <c r="X200">
        <v>0.50166718407598032</v>
      </c>
      <c r="Z200" t="s">
        <v>392</v>
      </c>
      <c r="AA200">
        <v>9400</v>
      </c>
      <c r="AB200" t="s">
        <v>2619</v>
      </c>
      <c r="AC200" t="str">
        <f>HYPERLINK("plots/3FT6Y578R01_012_S11P_20251111092011_M5358ACSH101811_RBGEUFRF26/dpll_52046/txpa_54232.png","plot")</f>
        <v>plot</v>
      </c>
    </row>
    <row r="201" spans="1:29" x14ac:dyDescent="0.35">
      <c r="A201" t="s">
        <v>48</v>
      </c>
      <c r="B201">
        <v>52046</v>
      </c>
      <c r="C201" t="s">
        <v>51</v>
      </c>
      <c r="D201">
        <v>54233</v>
      </c>
      <c r="E201" t="s">
        <v>253</v>
      </c>
      <c r="F201">
        <v>12229</v>
      </c>
      <c r="G201">
        <v>0.85598436427323388</v>
      </c>
      <c r="H201">
        <v>0</v>
      </c>
      <c r="I201">
        <v>0</v>
      </c>
      <c r="J201">
        <v>0.73577361300885991</v>
      </c>
      <c r="K201">
        <v>0</v>
      </c>
      <c r="L201">
        <v>0</v>
      </c>
      <c r="M201">
        <v>0.54492205499866886</v>
      </c>
      <c r="N201">
        <v>0</v>
      </c>
      <c r="O201">
        <v>0</v>
      </c>
      <c r="P201">
        <v>0.73270923188025239</v>
      </c>
      <c r="Q201">
        <v>2.1345172070815721</v>
      </c>
      <c r="R201">
        <v>-0.51892435027831141</v>
      </c>
      <c r="S201">
        <v>0.25813981616836768</v>
      </c>
      <c r="T201">
        <v>0.19876804150058569</v>
      </c>
      <c r="U201">
        <v>4.4925079933763996</v>
      </c>
      <c r="V201">
        <v>0.2002382061729884</v>
      </c>
      <c r="W201">
        <v>9.0704112645351209</v>
      </c>
      <c r="X201">
        <v>0.49932208394283201</v>
      </c>
      <c r="Z201" t="s">
        <v>392</v>
      </c>
      <c r="AA201">
        <v>9400</v>
      </c>
      <c r="AB201" t="s">
        <v>2620</v>
      </c>
      <c r="AC201" t="str">
        <f>HYPERLINK("plots/3FT6Y578R01_012_S11P_20251111092011_M5358ACSH101811_RBGEUFRF26/dpll_52046/txpa_54233.png","plot")</f>
        <v>plot</v>
      </c>
    </row>
    <row r="202" spans="1:29" x14ac:dyDescent="0.35">
      <c r="A202" t="s">
        <v>48</v>
      </c>
      <c r="B202">
        <v>52046</v>
      </c>
      <c r="C202" t="s">
        <v>51</v>
      </c>
      <c r="D202">
        <v>54234</v>
      </c>
      <c r="E202" t="s">
        <v>254</v>
      </c>
      <c r="F202">
        <v>12227</v>
      </c>
      <c r="G202">
        <v>0.85135642380001708</v>
      </c>
      <c r="H202">
        <v>0</v>
      </c>
      <c r="I202">
        <v>0</v>
      </c>
      <c r="J202">
        <v>0.72930452197055573</v>
      </c>
      <c r="K202">
        <v>0</v>
      </c>
      <c r="L202">
        <v>0</v>
      </c>
      <c r="M202">
        <v>0.53876881137456001</v>
      </c>
      <c r="N202">
        <v>0</v>
      </c>
      <c r="O202">
        <v>0</v>
      </c>
      <c r="P202">
        <v>0.72480776034555428</v>
      </c>
      <c r="Q202">
        <v>2.1117301310081711</v>
      </c>
      <c r="R202">
        <v>-0.43079729222457708</v>
      </c>
      <c r="S202">
        <v>0.26049031157654418</v>
      </c>
      <c r="T202">
        <v>0.1998709224583575</v>
      </c>
      <c r="U202">
        <v>4.4925698033859494</v>
      </c>
      <c r="V202">
        <v>0.20020007915149279</v>
      </c>
      <c r="W202">
        <v>9.0562977272429865</v>
      </c>
      <c r="X202">
        <v>0.49658230977738682</v>
      </c>
      <c r="Z202" t="s">
        <v>392</v>
      </c>
      <c r="AA202">
        <v>9400</v>
      </c>
      <c r="AB202" t="s">
        <v>2621</v>
      </c>
      <c r="AC202" t="str">
        <f>HYPERLINK("plots/3FT6Y578R01_012_S11P_20251111092011_M5358ACSH101811_RBGEUFRF26/dpll_52046/txpa_54234.png","plot")</f>
        <v>plot</v>
      </c>
    </row>
    <row r="203" spans="1:29" x14ac:dyDescent="0.35">
      <c r="A203" t="s">
        <v>48</v>
      </c>
      <c r="B203">
        <v>52046</v>
      </c>
      <c r="C203" t="s">
        <v>51</v>
      </c>
      <c r="D203">
        <v>54235</v>
      </c>
      <c r="E203" t="s">
        <v>255</v>
      </c>
      <c r="F203">
        <v>12217</v>
      </c>
      <c r="G203">
        <v>0.83857938693872436</v>
      </c>
      <c r="H203">
        <v>0</v>
      </c>
      <c r="I203">
        <v>0</v>
      </c>
      <c r="J203">
        <v>0.72701310073651337</v>
      </c>
      <c r="K203">
        <v>0</v>
      </c>
      <c r="L203">
        <v>0</v>
      </c>
      <c r="M203">
        <v>0.53424999409371754</v>
      </c>
      <c r="N203">
        <v>0</v>
      </c>
      <c r="O203">
        <v>0</v>
      </c>
      <c r="P203">
        <v>0.7032153881985268</v>
      </c>
      <c r="Q203">
        <v>2.14887254833712</v>
      </c>
      <c r="R203">
        <v>-0.1793637431729547</v>
      </c>
      <c r="S203">
        <v>0.27914629042238009</v>
      </c>
      <c r="T203">
        <v>0.20986588704597439</v>
      </c>
      <c r="U203">
        <v>4.4928837163788158</v>
      </c>
      <c r="V203">
        <v>0.19996890626225461</v>
      </c>
      <c r="W203">
        <v>9.4752707378243421</v>
      </c>
      <c r="X203">
        <v>0.51242339113131163</v>
      </c>
      <c r="Z203" t="s">
        <v>392</v>
      </c>
      <c r="AA203">
        <v>9400</v>
      </c>
      <c r="AB203" t="s">
        <v>2622</v>
      </c>
      <c r="AC203" t="str">
        <f>HYPERLINK("plots/3FT6Y578R01_012_S11P_20251111092011_M5358ACSH101811_RBGEUFRF26/dpll_52046/txpa_54235.png","plot")</f>
        <v>plot</v>
      </c>
    </row>
    <row r="204" spans="1:29" x14ac:dyDescent="0.35">
      <c r="A204" t="s">
        <v>48</v>
      </c>
      <c r="B204">
        <v>52046</v>
      </c>
      <c r="C204" t="s">
        <v>51</v>
      </c>
      <c r="D204">
        <v>54236</v>
      </c>
      <c r="E204" t="s">
        <v>256</v>
      </c>
      <c r="F204">
        <v>12231</v>
      </c>
      <c r="G204">
        <v>0.8479000821712176</v>
      </c>
      <c r="H204">
        <v>0</v>
      </c>
      <c r="I204">
        <v>0</v>
      </c>
      <c r="J204">
        <v>0.73537068102349812</v>
      </c>
      <c r="K204">
        <v>0</v>
      </c>
      <c r="L204">
        <v>0</v>
      </c>
      <c r="M204">
        <v>0.54340828070168323</v>
      </c>
      <c r="N204">
        <v>0</v>
      </c>
      <c r="O204">
        <v>0</v>
      </c>
      <c r="P204">
        <v>0.71893454934595757</v>
      </c>
      <c r="Q204">
        <v>2.186753660349666</v>
      </c>
      <c r="R204">
        <v>-0.31620057442648708</v>
      </c>
      <c r="S204">
        <v>0.27373469733679229</v>
      </c>
      <c r="T204">
        <v>0.20802989178086209</v>
      </c>
      <c r="U204">
        <v>4.4924666888234812</v>
      </c>
      <c r="V204">
        <v>0.20021134708567009</v>
      </c>
      <c r="W204">
        <v>9.5077174013572066</v>
      </c>
      <c r="X204">
        <v>0.51634963280345392</v>
      </c>
      <c r="Z204" t="s">
        <v>392</v>
      </c>
      <c r="AA204">
        <v>9400</v>
      </c>
      <c r="AB204" t="s">
        <v>2623</v>
      </c>
      <c r="AC204" t="str">
        <f>HYPERLINK("plots/3FT6Y578R01_012_S11P_20251111092011_M5358ACSH101811_RBGEUFRF26/dpll_52046/txpa_54236.png","plot")</f>
        <v>plot</v>
      </c>
    </row>
    <row r="205" spans="1:29" x14ac:dyDescent="0.35">
      <c r="A205" t="s">
        <v>48</v>
      </c>
      <c r="B205">
        <v>52046</v>
      </c>
      <c r="C205" t="s">
        <v>51</v>
      </c>
      <c r="D205">
        <v>54237</v>
      </c>
      <c r="E205" t="s">
        <v>257</v>
      </c>
      <c r="F205">
        <v>12224</v>
      </c>
      <c r="G205">
        <v>0.84865367396869806</v>
      </c>
      <c r="H205">
        <v>0</v>
      </c>
      <c r="I205">
        <v>0</v>
      </c>
      <c r="J205">
        <v>0.73242257392733379</v>
      </c>
      <c r="K205">
        <v>0</v>
      </c>
      <c r="L205">
        <v>0</v>
      </c>
      <c r="M205">
        <v>0.54039819383568433</v>
      </c>
      <c r="N205">
        <v>0</v>
      </c>
      <c r="O205">
        <v>0</v>
      </c>
      <c r="P205">
        <v>0.72021305834056926</v>
      </c>
      <c r="Q205">
        <v>2.163581341421509</v>
      </c>
      <c r="R205">
        <v>-0.20386563419845949</v>
      </c>
      <c r="S205">
        <v>0.26988647448490299</v>
      </c>
      <c r="T205">
        <v>0.20537856058170501</v>
      </c>
      <c r="U205">
        <v>4.4926489218750003</v>
      </c>
      <c r="V205">
        <v>0.20014393431084429</v>
      </c>
      <c r="W205">
        <v>9.5163457467277475</v>
      </c>
      <c r="X205">
        <v>0.51025252721595671</v>
      </c>
      <c r="Z205" t="s">
        <v>392</v>
      </c>
      <c r="AA205">
        <v>9400</v>
      </c>
      <c r="AB205" t="s">
        <v>2624</v>
      </c>
      <c r="AC205" t="str">
        <f>HYPERLINK("plots/3FT6Y578R01_012_S11P_20251111092011_M5358ACSH101811_RBGEUFRF26/dpll_52046/txpa_54237.png","plot")</f>
        <v>plot</v>
      </c>
    </row>
    <row r="206" spans="1:29" x14ac:dyDescent="0.35">
      <c r="A206" t="s">
        <v>48</v>
      </c>
      <c r="B206">
        <v>52046</v>
      </c>
      <c r="C206" t="s">
        <v>51</v>
      </c>
      <c r="D206">
        <v>54238</v>
      </c>
      <c r="E206" t="s">
        <v>258</v>
      </c>
      <c r="F206">
        <v>12236</v>
      </c>
      <c r="G206">
        <v>0.8541456653125955</v>
      </c>
      <c r="H206">
        <v>0</v>
      </c>
      <c r="I206">
        <v>0</v>
      </c>
      <c r="J206">
        <v>0.73825288732416272</v>
      </c>
      <c r="K206">
        <v>0</v>
      </c>
      <c r="L206">
        <v>0</v>
      </c>
      <c r="M206">
        <v>0.54637508148942882</v>
      </c>
      <c r="N206">
        <v>0</v>
      </c>
      <c r="O206">
        <v>0</v>
      </c>
      <c r="P206">
        <v>0.72956481757229641</v>
      </c>
      <c r="Q206">
        <v>2.1983604660437281</v>
      </c>
      <c r="R206">
        <v>-0.34517643386310048</v>
      </c>
      <c r="S206">
        <v>0.26805267969875901</v>
      </c>
      <c r="T206">
        <v>0.2047165107949821</v>
      </c>
      <c r="U206">
        <v>4.4923601779176199</v>
      </c>
      <c r="V206">
        <v>0.20028081084756399</v>
      </c>
      <c r="W206">
        <v>9.5306505805001631</v>
      </c>
      <c r="X206">
        <v>0.51547345441755765</v>
      </c>
      <c r="Z206" t="s">
        <v>392</v>
      </c>
      <c r="AA206">
        <v>9400</v>
      </c>
      <c r="AB206" t="s">
        <v>2625</v>
      </c>
      <c r="AC206" t="str">
        <f>HYPERLINK("plots/3FT6Y578R01_012_S11P_20251111092011_M5358ACSH101811_RBGEUFRF26/dpll_52046/txpa_54238.png","plot")</f>
        <v>plot</v>
      </c>
    </row>
    <row r="207" spans="1:29" x14ac:dyDescent="0.35">
      <c r="A207" t="s">
        <v>48</v>
      </c>
      <c r="B207">
        <v>52046</v>
      </c>
      <c r="C207" t="s">
        <v>51</v>
      </c>
      <c r="D207">
        <v>54239</v>
      </c>
      <c r="E207" t="s">
        <v>259</v>
      </c>
      <c r="F207">
        <v>12233</v>
      </c>
      <c r="G207">
        <v>0.85411514574580949</v>
      </c>
      <c r="H207">
        <v>0</v>
      </c>
      <c r="I207">
        <v>0</v>
      </c>
      <c r="J207">
        <v>0.73549492970953623</v>
      </c>
      <c r="K207">
        <v>0</v>
      </c>
      <c r="L207">
        <v>0</v>
      </c>
      <c r="M207">
        <v>0.54347559433907311</v>
      </c>
      <c r="N207">
        <v>0</v>
      </c>
      <c r="O207">
        <v>0</v>
      </c>
      <c r="P207">
        <v>0.72951268219238541</v>
      </c>
      <c r="Q207">
        <v>2.2036175837499701</v>
      </c>
      <c r="R207">
        <v>-0.39931161672699028</v>
      </c>
      <c r="S207">
        <v>0.26865217308367229</v>
      </c>
      <c r="T207">
        <v>0.20588103572460489</v>
      </c>
      <c r="U207">
        <v>4.4924086504536911</v>
      </c>
      <c r="V207">
        <v>0.20022340826608331</v>
      </c>
      <c r="W207">
        <v>9.5002390788032365</v>
      </c>
      <c r="X207">
        <v>0.51657651234860491</v>
      </c>
      <c r="Z207" t="s">
        <v>392</v>
      </c>
      <c r="AA207">
        <v>9400</v>
      </c>
      <c r="AB207" t="s">
        <v>2626</v>
      </c>
      <c r="AC207" t="str">
        <f>HYPERLINK("plots/3FT6Y578R01_012_S11P_20251111092011_M5358ACSH101811_RBGEUFRF26/dpll_52046/txpa_54239.png","plot")</f>
        <v>plot</v>
      </c>
    </row>
    <row r="208" spans="1:29" x14ac:dyDescent="0.35">
      <c r="A208" t="s">
        <v>48</v>
      </c>
      <c r="B208">
        <v>52046</v>
      </c>
      <c r="C208" t="s">
        <v>51</v>
      </c>
      <c r="D208">
        <v>54240</v>
      </c>
      <c r="E208" t="s">
        <v>260</v>
      </c>
      <c r="F208">
        <v>12234</v>
      </c>
      <c r="G208">
        <v>0.85635338008700734</v>
      </c>
      <c r="H208">
        <v>0</v>
      </c>
      <c r="I208">
        <v>0</v>
      </c>
      <c r="J208">
        <v>0.73928708516765296</v>
      </c>
      <c r="K208">
        <v>0</v>
      </c>
      <c r="L208">
        <v>0</v>
      </c>
      <c r="M208">
        <v>0.54780921952568884</v>
      </c>
      <c r="N208">
        <v>0</v>
      </c>
      <c r="O208">
        <v>0</v>
      </c>
      <c r="P208">
        <v>0.73334111158644244</v>
      </c>
      <c r="Q208">
        <v>2.2102653578930411</v>
      </c>
      <c r="R208">
        <v>-0.41905423625430421</v>
      </c>
      <c r="S208">
        <v>0.26688305895262771</v>
      </c>
      <c r="T208">
        <v>0.20523397266366561</v>
      </c>
      <c r="U208">
        <v>4.4923648815595882</v>
      </c>
      <c r="V208">
        <v>0.20024852421763989</v>
      </c>
      <c r="W208">
        <v>9.5102642364721284</v>
      </c>
      <c r="X208">
        <v>0.51684548264699559</v>
      </c>
      <c r="Z208" t="s">
        <v>392</v>
      </c>
      <c r="AA208">
        <v>9400</v>
      </c>
      <c r="AB208" t="s">
        <v>2627</v>
      </c>
      <c r="AC208" t="str">
        <f>HYPERLINK("plots/3FT6Y578R01_012_S11P_20251111092011_M5358ACSH101811_RBGEUFRF26/dpll_52046/txpa_54240.png","plot")</f>
        <v>plot</v>
      </c>
    </row>
    <row r="209" spans="1:29" x14ac:dyDescent="0.35">
      <c r="A209" t="s">
        <v>48</v>
      </c>
      <c r="B209">
        <v>52046</v>
      </c>
      <c r="C209" t="s">
        <v>51</v>
      </c>
      <c r="D209">
        <v>54241</v>
      </c>
      <c r="E209" t="s">
        <v>261</v>
      </c>
      <c r="F209">
        <v>12227</v>
      </c>
      <c r="G209">
        <v>0.85678662326263288</v>
      </c>
      <c r="H209">
        <v>0</v>
      </c>
      <c r="I209">
        <v>0</v>
      </c>
      <c r="J209">
        <v>0.73544762917561723</v>
      </c>
      <c r="K209">
        <v>0</v>
      </c>
      <c r="L209">
        <v>0</v>
      </c>
      <c r="M209">
        <v>0.54485999481016634</v>
      </c>
      <c r="N209">
        <v>0</v>
      </c>
      <c r="O209">
        <v>0</v>
      </c>
      <c r="P209">
        <v>0.73408331780178482</v>
      </c>
      <c r="Q209">
        <v>2.2026777525638672</v>
      </c>
      <c r="R209">
        <v>-0.37854976057934842</v>
      </c>
      <c r="S209">
        <v>0.26542271490904878</v>
      </c>
      <c r="T209">
        <v>0.20424206513207979</v>
      </c>
      <c r="U209">
        <v>4.4925564283961723</v>
      </c>
      <c r="V209">
        <v>0.20021876016611939</v>
      </c>
      <c r="W209">
        <v>9.5171043363866854</v>
      </c>
      <c r="X209">
        <v>0.51473423684469188</v>
      </c>
      <c r="Z209" t="s">
        <v>392</v>
      </c>
      <c r="AA209">
        <v>9400</v>
      </c>
      <c r="AB209" t="s">
        <v>2628</v>
      </c>
      <c r="AC209" t="str">
        <f>HYPERLINK("plots/3FT6Y578R01_012_S11P_20251111092011_M5358ACSH101811_RBGEUFRF26/dpll_52046/txpa_54241.png","plot")</f>
        <v>plot</v>
      </c>
    </row>
    <row r="210" spans="1:29" x14ac:dyDescent="0.35">
      <c r="A210" t="s">
        <v>48</v>
      </c>
      <c r="B210">
        <v>52046</v>
      </c>
      <c r="C210" t="s">
        <v>51</v>
      </c>
      <c r="D210">
        <v>54242</v>
      </c>
      <c r="E210" t="s">
        <v>262</v>
      </c>
      <c r="F210">
        <v>12224</v>
      </c>
      <c r="G210">
        <v>0.85199851072267641</v>
      </c>
      <c r="H210">
        <v>0</v>
      </c>
      <c r="I210">
        <v>0</v>
      </c>
      <c r="J210">
        <v>0.7287493788823779</v>
      </c>
      <c r="K210">
        <v>0</v>
      </c>
      <c r="L210">
        <v>0</v>
      </c>
      <c r="M210">
        <v>0.53839423279311394</v>
      </c>
      <c r="N210">
        <v>0</v>
      </c>
      <c r="O210">
        <v>0</v>
      </c>
      <c r="P210">
        <v>0.72590146227365859</v>
      </c>
      <c r="Q210">
        <v>2.1780682014117678</v>
      </c>
      <c r="R210">
        <v>-0.28195536832780382</v>
      </c>
      <c r="S210">
        <v>0.26786998158884662</v>
      </c>
      <c r="T210">
        <v>0.2054505441370077</v>
      </c>
      <c r="U210">
        <v>4.4926548601112568</v>
      </c>
      <c r="V210">
        <v>0.20015010130834041</v>
      </c>
      <c r="W210">
        <v>9.50335332239856</v>
      </c>
      <c r="X210">
        <v>0.51166823143771645</v>
      </c>
      <c r="Z210" t="s">
        <v>392</v>
      </c>
      <c r="AA210">
        <v>9400</v>
      </c>
      <c r="AB210" t="s">
        <v>2629</v>
      </c>
      <c r="AC210" t="str">
        <f>HYPERLINK("plots/3FT6Y578R01_012_S11P_20251111092011_M5358ACSH101811_RBGEUFRF26/dpll_52046/txpa_54242.png","plot")</f>
        <v>plot</v>
      </c>
    </row>
    <row r="211" spans="1:29" x14ac:dyDescent="0.35">
      <c r="A211" t="s">
        <v>48</v>
      </c>
      <c r="B211">
        <v>52046</v>
      </c>
      <c r="C211" t="s">
        <v>51</v>
      </c>
      <c r="D211">
        <v>54243</v>
      </c>
      <c r="E211" t="s">
        <v>263</v>
      </c>
      <c r="F211">
        <v>12197</v>
      </c>
      <c r="G211">
        <v>0.84411070539244404</v>
      </c>
      <c r="H211">
        <v>0</v>
      </c>
      <c r="I211">
        <v>0</v>
      </c>
      <c r="J211">
        <v>0.72357349209641986</v>
      </c>
      <c r="K211">
        <v>0</v>
      </c>
      <c r="L211">
        <v>0</v>
      </c>
      <c r="M211">
        <v>0.53214765905787997</v>
      </c>
      <c r="N211">
        <v>0</v>
      </c>
      <c r="O211">
        <v>0</v>
      </c>
      <c r="P211">
        <v>0.71252288295812949</v>
      </c>
      <c r="Q211">
        <v>2.4502525061667559</v>
      </c>
      <c r="R211">
        <v>-0.14674251384241371</v>
      </c>
      <c r="S211">
        <v>0.31102990818548198</v>
      </c>
      <c r="T211">
        <v>0.23586836498578731</v>
      </c>
      <c r="U211">
        <v>4.4932825940805117</v>
      </c>
      <c r="V211">
        <v>0.19985125596546141</v>
      </c>
      <c r="W211">
        <v>10.862934423218819</v>
      </c>
      <c r="X211">
        <v>0.58012063780458889</v>
      </c>
      <c r="Z211" t="s">
        <v>392</v>
      </c>
      <c r="AA211">
        <v>9400</v>
      </c>
      <c r="AB211" t="s">
        <v>2630</v>
      </c>
      <c r="AC211" t="str">
        <f>HYPERLINK("plots/3FT6Y578R01_012_S11P_20251111092011_M5358ACSH101811_RBGEUFRF26/dpll_52046/txpa_54243.png","plot")</f>
        <v>plot</v>
      </c>
    </row>
    <row r="212" spans="1:29" x14ac:dyDescent="0.35">
      <c r="A212" t="s">
        <v>48</v>
      </c>
      <c r="B212">
        <v>52046</v>
      </c>
      <c r="C212" t="s">
        <v>51</v>
      </c>
      <c r="D212">
        <v>54244</v>
      </c>
      <c r="E212" t="s">
        <v>264</v>
      </c>
      <c r="F212">
        <v>12210</v>
      </c>
      <c r="G212">
        <v>0.85272158393159514</v>
      </c>
      <c r="H212">
        <v>0</v>
      </c>
      <c r="I212">
        <v>0</v>
      </c>
      <c r="J212">
        <v>0.73155278764349518</v>
      </c>
      <c r="K212">
        <v>0</v>
      </c>
      <c r="L212">
        <v>0</v>
      </c>
      <c r="M212">
        <v>0.54086987046004786</v>
      </c>
      <c r="N212">
        <v>0</v>
      </c>
      <c r="O212">
        <v>0</v>
      </c>
      <c r="P212">
        <v>0.7271340997028084</v>
      </c>
      <c r="Q212">
        <v>2.4898745442799308</v>
      </c>
      <c r="R212">
        <v>-0.2903341048883199</v>
      </c>
      <c r="S212">
        <v>0.30516343998883488</v>
      </c>
      <c r="T212">
        <v>0.2339620309640339</v>
      </c>
      <c r="U212">
        <v>4.4928903880425883</v>
      </c>
      <c r="V212">
        <v>0.2000808136578415</v>
      </c>
      <c r="W212">
        <v>10.896399302538899</v>
      </c>
      <c r="X212">
        <v>0.58421896913710536</v>
      </c>
      <c r="Z212" t="s">
        <v>392</v>
      </c>
      <c r="AA212">
        <v>9400</v>
      </c>
      <c r="AB212" t="s">
        <v>2631</v>
      </c>
      <c r="AC212" t="str">
        <f>HYPERLINK("plots/3FT6Y578R01_012_S11P_20251111092011_M5358ACSH101811_RBGEUFRF26/dpll_52046/txpa_54244.png","plot")</f>
        <v>plot</v>
      </c>
    </row>
    <row r="213" spans="1:29" x14ac:dyDescent="0.35">
      <c r="A213" t="s">
        <v>48</v>
      </c>
      <c r="B213">
        <v>52046</v>
      </c>
      <c r="C213" t="s">
        <v>51</v>
      </c>
      <c r="D213">
        <v>54245</v>
      </c>
      <c r="E213" t="s">
        <v>265</v>
      </c>
      <c r="F213">
        <v>12203</v>
      </c>
      <c r="G213">
        <v>0.85319381755582857</v>
      </c>
      <c r="H213">
        <v>0</v>
      </c>
      <c r="I213">
        <v>0</v>
      </c>
      <c r="J213">
        <v>0.72891749099463832</v>
      </c>
      <c r="K213">
        <v>0</v>
      </c>
      <c r="L213">
        <v>0</v>
      </c>
      <c r="M213">
        <v>0.53825130061240145</v>
      </c>
      <c r="N213">
        <v>0</v>
      </c>
      <c r="O213">
        <v>0</v>
      </c>
      <c r="P213">
        <v>0.72793969031548844</v>
      </c>
      <c r="Q213">
        <v>2.4658984997523228</v>
      </c>
      <c r="R213">
        <v>-0.17463143115545421</v>
      </c>
      <c r="S213">
        <v>0.30141080192490949</v>
      </c>
      <c r="T213">
        <v>0.23115038425677961</v>
      </c>
      <c r="U213">
        <v>4.4931259105957544</v>
      </c>
      <c r="V213">
        <v>0.19994774802756099</v>
      </c>
      <c r="W213">
        <v>10.904961010980911</v>
      </c>
      <c r="X213">
        <v>0.57788844896049107</v>
      </c>
      <c r="Z213" t="s">
        <v>392</v>
      </c>
      <c r="AA213">
        <v>9400</v>
      </c>
      <c r="AB213" t="s">
        <v>2632</v>
      </c>
      <c r="AC213" t="str">
        <f>HYPERLINK("plots/3FT6Y578R01_012_S11P_20251111092011_M5358ACSH101811_RBGEUFRF26/dpll_52046/txpa_54245.png","plot")</f>
        <v>plot</v>
      </c>
    </row>
    <row r="214" spans="1:29" x14ac:dyDescent="0.35">
      <c r="A214" t="s">
        <v>48</v>
      </c>
      <c r="B214">
        <v>52046</v>
      </c>
      <c r="C214" t="s">
        <v>51</v>
      </c>
      <c r="D214">
        <v>54246</v>
      </c>
      <c r="E214" t="s">
        <v>266</v>
      </c>
      <c r="F214">
        <v>12218</v>
      </c>
      <c r="G214">
        <v>0.85780283025162607</v>
      </c>
      <c r="H214">
        <v>0</v>
      </c>
      <c r="I214">
        <v>0</v>
      </c>
      <c r="J214">
        <v>0.73406386285550673</v>
      </c>
      <c r="K214">
        <v>0</v>
      </c>
      <c r="L214">
        <v>0</v>
      </c>
      <c r="M214">
        <v>0.54357799727862743</v>
      </c>
      <c r="N214">
        <v>0</v>
      </c>
      <c r="O214">
        <v>0</v>
      </c>
      <c r="P214">
        <v>0.73582569558770006</v>
      </c>
      <c r="Q214">
        <v>2.507062215759114</v>
      </c>
      <c r="R214">
        <v>-0.3471188734650692</v>
      </c>
      <c r="S214">
        <v>0.30062569902199499</v>
      </c>
      <c r="T214">
        <v>0.23105739665722619</v>
      </c>
      <c r="U214">
        <v>4.4927513437551152</v>
      </c>
      <c r="V214">
        <v>0.20013403612210551</v>
      </c>
      <c r="W214">
        <v>10.916488265264359</v>
      </c>
      <c r="X214">
        <v>0.58492285447684833</v>
      </c>
      <c r="Z214" t="s">
        <v>392</v>
      </c>
      <c r="AA214">
        <v>9400</v>
      </c>
      <c r="AB214" t="s">
        <v>2633</v>
      </c>
      <c r="AC214" t="str">
        <f>HYPERLINK("plots/3FT6Y578R01_012_S11P_20251111092011_M5358ACSH101811_RBGEUFRF26/dpll_52046/txpa_54246.png","plot")</f>
        <v>plot</v>
      </c>
    </row>
    <row r="215" spans="1:29" x14ac:dyDescent="0.35">
      <c r="A215" t="s">
        <v>48</v>
      </c>
      <c r="B215">
        <v>52046</v>
      </c>
      <c r="C215" t="s">
        <v>51</v>
      </c>
      <c r="D215">
        <v>54247</v>
      </c>
      <c r="E215" t="s">
        <v>267</v>
      </c>
      <c r="F215">
        <v>12214</v>
      </c>
      <c r="G215">
        <v>0.8569159399663131</v>
      </c>
      <c r="H215">
        <v>0</v>
      </c>
      <c r="I215">
        <v>0</v>
      </c>
      <c r="J215">
        <v>0.73143161899325171</v>
      </c>
      <c r="K215">
        <v>0</v>
      </c>
      <c r="L215">
        <v>0</v>
      </c>
      <c r="M215">
        <v>0.54082692052349146</v>
      </c>
      <c r="N215">
        <v>0</v>
      </c>
      <c r="O215">
        <v>0</v>
      </c>
      <c r="P215">
        <v>0.73430492816834991</v>
      </c>
      <c r="Q215">
        <v>2.5083044277212161</v>
      </c>
      <c r="R215">
        <v>-0.38418870499658547</v>
      </c>
      <c r="S215">
        <v>0.30169784364535929</v>
      </c>
      <c r="T215">
        <v>0.23239792395317879</v>
      </c>
      <c r="U215">
        <v>4.4929100510070414</v>
      </c>
      <c r="V215">
        <v>0.19996602449168299</v>
      </c>
      <c r="W215">
        <v>10.88539746929753</v>
      </c>
      <c r="X215">
        <v>0.58532656615772083</v>
      </c>
      <c r="Z215" t="s">
        <v>392</v>
      </c>
      <c r="AA215">
        <v>9400</v>
      </c>
      <c r="AB215" t="s">
        <v>2634</v>
      </c>
      <c r="AC215" t="str">
        <f>HYPERLINK("plots/3FT6Y578R01_012_S11P_20251111092011_M5358ACSH101811_RBGEUFRF26/dpll_52046/txpa_54247.png","plot")</f>
        <v>plot</v>
      </c>
    </row>
    <row r="216" spans="1:29" x14ac:dyDescent="0.35">
      <c r="A216" t="s">
        <v>48</v>
      </c>
      <c r="B216">
        <v>52046</v>
      </c>
      <c r="C216" t="s">
        <v>51</v>
      </c>
      <c r="D216">
        <v>54248</v>
      </c>
      <c r="E216" t="s">
        <v>268</v>
      </c>
      <c r="F216">
        <v>12223</v>
      </c>
      <c r="G216">
        <v>0.85849869398152967</v>
      </c>
      <c r="H216">
        <v>0</v>
      </c>
      <c r="I216">
        <v>0</v>
      </c>
      <c r="J216">
        <v>0.73544230846450043</v>
      </c>
      <c r="K216">
        <v>0</v>
      </c>
      <c r="L216">
        <v>0</v>
      </c>
      <c r="M216">
        <v>0.54524457734967813</v>
      </c>
      <c r="N216">
        <v>0</v>
      </c>
      <c r="O216">
        <v>0</v>
      </c>
      <c r="P216">
        <v>0.73702000756799213</v>
      </c>
      <c r="Q216">
        <v>2.5215877083729672</v>
      </c>
      <c r="R216">
        <v>-0.43141760134728102</v>
      </c>
      <c r="S216">
        <v>0.30144575279322372</v>
      </c>
      <c r="T216">
        <v>0.2322432513227761</v>
      </c>
      <c r="U216">
        <v>4.4926264217458893</v>
      </c>
      <c r="V216">
        <v>0.2001387307297158</v>
      </c>
      <c r="W216">
        <v>10.897133962038779</v>
      </c>
      <c r="X216">
        <v>0.5878487258226115</v>
      </c>
      <c r="Z216" t="s">
        <v>392</v>
      </c>
      <c r="AA216">
        <v>9400</v>
      </c>
      <c r="AB216" t="s">
        <v>2635</v>
      </c>
      <c r="AC216" t="str">
        <f>HYPERLINK("plots/3FT6Y578R01_012_S11P_20251111092011_M5358ACSH101811_RBGEUFRF26/dpll_52046/txpa_54248.png","plot")</f>
        <v>plot</v>
      </c>
    </row>
    <row r="217" spans="1:29" x14ac:dyDescent="0.35">
      <c r="A217" t="s">
        <v>48</v>
      </c>
      <c r="B217">
        <v>52046</v>
      </c>
      <c r="C217" t="s">
        <v>51</v>
      </c>
      <c r="D217">
        <v>54249</v>
      </c>
      <c r="E217" t="s">
        <v>269</v>
      </c>
      <c r="F217">
        <v>12209</v>
      </c>
      <c r="G217">
        <v>0.85951824917703212</v>
      </c>
      <c r="H217">
        <v>0</v>
      </c>
      <c r="I217">
        <v>0</v>
      </c>
      <c r="J217">
        <v>0.73167702880951524</v>
      </c>
      <c r="K217">
        <v>0</v>
      </c>
      <c r="L217">
        <v>0</v>
      </c>
      <c r="M217">
        <v>0.54248528712373734</v>
      </c>
      <c r="N217">
        <v>0</v>
      </c>
      <c r="O217">
        <v>0</v>
      </c>
      <c r="P217">
        <v>0.73877162066835067</v>
      </c>
      <c r="Q217">
        <v>2.5092602359357659</v>
      </c>
      <c r="R217">
        <v>-0.36813629563129702</v>
      </c>
      <c r="S217">
        <v>0.29843077430948761</v>
      </c>
      <c r="T217">
        <v>0.2306673559239949</v>
      </c>
      <c r="U217">
        <v>4.4929957718895892</v>
      </c>
      <c r="V217">
        <v>0.2000140997734414</v>
      </c>
      <c r="W217">
        <v>10.905959334998769</v>
      </c>
      <c r="X217">
        <v>0.583917127610182</v>
      </c>
      <c r="Z217" t="s">
        <v>392</v>
      </c>
      <c r="AA217">
        <v>9400</v>
      </c>
      <c r="AB217" t="s">
        <v>2636</v>
      </c>
      <c r="AC217" t="str">
        <f>HYPERLINK("plots/3FT6Y578R01_012_S11P_20251111092011_M5358ACSH101811_RBGEUFRF26/dpll_52046/txpa_54249.png","plot")</f>
        <v>plot</v>
      </c>
    </row>
    <row r="218" spans="1:29" x14ac:dyDescent="0.35">
      <c r="A218" t="s">
        <v>48</v>
      </c>
      <c r="B218">
        <v>52046</v>
      </c>
      <c r="C218" t="s">
        <v>51</v>
      </c>
      <c r="D218">
        <v>54250</v>
      </c>
      <c r="E218" t="s">
        <v>270</v>
      </c>
      <c r="F218">
        <v>12203</v>
      </c>
      <c r="G218">
        <v>0.85455627238974796</v>
      </c>
      <c r="H218">
        <v>0</v>
      </c>
      <c r="I218">
        <v>0</v>
      </c>
      <c r="J218">
        <v>0.72414060025554206</v>
      </c>
      <c r="K218">
        <v>0</v>
      </c>
      <c r="L218">
        <v>0</v>
      </c>
      <c r="M218">
        <v>0.53512402076706267</v>
      </c>
      <c r="N218">
        <v>0</v>
      </c>
      <c r="O218">
        <v>0</v>
      </c>
      <c r="P218">
        <v>0.73026642268066111</v>
      </c>
      <c r="Q218">
        <v>2.4813854762021559</v>
      </c>
      <c r="R218">
        <v>-0.25643034478217253</v>
      </c>
      <c r="S218">
        <v>0.30146180382318649</v>
      </c>
      <c r="T218">
        <v>0.23228437151230749</v>
      </c>
      <c r="U218">
        <v>4.4931714649676309</v>
      </c>
      <c r="V218">
        <v>0.19990746545109669</v>
      </c>
      <c r="W218">
        <v>10.89286007047447</v>
      </c>
      <c r="X218">
        <v>0.58047374688099795</v>
      </c>
      <c r="Z218" t="s">
        <v>392</v>
      </c>
      <c r="AA218">
        <v>9400</v>
      </c>
      <c r="AB218" t="s">
        <v>2637</v>
      </c>
      <c r="AC218" t="str">
        <f>HYPERLINK("plots/3FT6Y578R01_012_S11P_20251111092011_M5358ACSH101811_RBGEUFRF26/dpll_52046/txpa_54250.png","plot")</f>
        <v>plot</v>
      </c>
    </row>
    <row r="219" spans="1:29" x14ac:dyDescent="0.35">
      <c r="A219" t="s">
        <v>48</v>
      </c>
      <c r="B219">
        <v>52046</v>
      </c>
      <c r="C219" t="s">
        <v>51</v>
      </c>
      <c r="D219">
        <v>54251</v>
      </c>
      <c r="E219" t="s">
        <v>271</v>
      </c>
      <c r="F219">
        <v>12194</v>
      </c>
      <c r="G219">
        <v>0.84537096337953965</v>
      </c>
      <c r="H219">
        <v>0</v>
      </c>
      <c r="I219">
        <v>0</v>
      </c>
      <c r="J219">
        <v>0.72184470694896052</v>
      </c>
      <c r="K219">
        <v>0</v>
      </c>
      <c r="L219">
        <v>0</v>
      </c>
      <c r="M219">
        <v>0.53103592737983485</v>
      </c>
      <c r="N219">
        <v>0</v>
      </c>
      <c r="O219">
        <v>0</v>
      </c>
      <c r="P219">
        <v>0.71465206572525097</v>
      </c>
      <c r="Q219">
        <v>2.6071054859960952</v>
      </c>
      <c r="R219">
        <v>-0.39915248355027982</v>
      </c>
      <c r="S219">
        <v>0.32917126453879447</v>
      </c>
      <c r="T219">
        <v>0.25040086793524652</v>
      </c>
      <c r="U219">
        <v>4.4933518249138924</v>
      </c>
      <c r="V219">
        <v>0.19982097837060439</v>
      </c>
      <c r="W219">
        <v>11.31548970969329</v>
      </c>
      <c r="X219">
        <v>0.61624350905606051</v>
      </c>
      <c r="Z219" t="s">
        <v>392</v>
      </c>
      <c r="AA219">
        <v>9400</v>
      </c>
      <c r="AB219" t="s">
        <v>2638</v>
      </c>
      <c r="AC219" t="str">
        <f>HYPERLINK("plots/3FT6Y578R01_012_S11P_20251111092011_M5358ACSH101811_RBGEUFRF26/dpll_52046/txpa_54251.png","plot")</f>
        <v>plot</v>
      </c>
    </row>
    <row r="220" spans="1:29" x14ac:dyDescent="0.35">
      <c r="A220" t="s">
        <v>48</v>
      </c>
      <c r="B220">
        <v>52046</v>
      </c>
      <c r="C220" t="s">
        <v>51</v>
      </c>
      <c r="D220">
        <v>54252</v>
      </c>
      <c r="E220" t="s">
        <v>272</v>
      </c>
      <c r="F220">
        <v>12207</v>
      </c>
      <c r="G220">
        <v>0.8533541265807848</v>
      </c>
      <c r="H220">
        <v>0</v>
      </c>
      <c r="I220">
        <v>0</v>
      </c>
      <c r="J220">
        <v>0.72969531360328632</v>
      </c>
      <c r="K220">
        <v>0</v>
      </c>
      <c r="L220">
        <v>0</v>
      </c>
      <c r="M220">
        <v>0.53955874251553981</v>
      </c>
      <c r="N220">
        <v>0</v>
      </c>
      <c r="O220">
        <v>0</v>
      </c>
      <c r="P220">
        <v>0.72821326535245412</v>
      </c>
      <c r="Q220">
        <v>2.6468082158778379</v>
      </c>
      <c r="R220">
        <v>-0.54237452205763326</v>
      </c>
      <c r="S220">
        <v>0.32341624530275359</v>
      </c>
      <c r="T220">
        <v>0.24840686254832611</v>
      </c>
      <c r="U220">
        <v>4.4929821261571226</v>
      </c>
      <c r="V220">
        <v>0.20001948802065481</v>
      </c>
      <c r="W220">
        <v>11.349687483247321</v>
      </c>
      <c r="X220">
        <v>0.62039100502155919</v>
      </c>
      <c r="Z220" t="s">
        <v>392</v>
      </c>
      <c r="AA220">
        <v>9400</v>
      </c>
      <c r="AB220" t="s">
        <v>2639</v>
      </c>
      <c r="AC220" t="str">
        <f>HYPERLINK("plots/3FT6Y578R01_012_S11P_20251111092011_M5358ACSH101811_RBGEUFRF26/dpll_52046/txpa_54252.png","plot")</f>
        <v>plot</v>
      </c>
    </row>
    <row r="221" spans="1:29" x14ac:dyDescent="0.35">
      <c r="A221" t="s">
        <v>48</v>
      </c>
      <c r="B221">
        <v>52046</v>
      </c>
      <c r="C221" t="s">
        <v>51</v>
      </c>
      <c r="D221">
        <v>54253</v>
      </c>
      <c r="E221" t="s">
        <v>273</v>
      </c>
      <c r="F221">
        <v>12196</v>
      </c>
      <c r="G221">
        <v>0.85447188556665987</v>
      </c>
      <c r="H221">
        <v>0</v>
      </c>
      <c r="I221">
        <v>0</v>
      </c>
      <c r="J221">
        <v>0.72706215154082587</v>
      </c>
      <c r="K221">
        <v>0</v>
      </c>
      <c r="L221">
        <v>0</v>
      </c>
      <c r="M221">
        <v>0.53704625989224808</v>
      </c>
      <c r="N221">
        <v>0</v>
      </c>
      <c r="O221">
        <v>0</v>
      </c>
      <c r="P221">
        <v>0.73012220322384314</v>
      </c>
      <c r="Q221">
        <v>2.6199019880578729</v>
      </c>
      <c r="R221">
        <v>-0.41337148999800277</v>
      </c>
      <c r="S221">
        <v>0.31835090516344189</v>
      </c>
      <c r="T221">
        <v>0.24506753820360261</v>
      </c>
      <c r="U221">
        <v>4.4932953369137421</v>
      </c>
      <c r="V221">
        <v>0.19987250243660171</v>
      </c>
      <c r="W221">
        <v>11.35862189611348</v>
      </c>
      <c r="X221">
        <v>0.61283042231926499</v>
      </c>
      <c r="Z221" t="s">
        <v>392</v>
      </c>
      <c r="AA221">
        <v>9400</v>
      </c>
      <c r="AB221" t="s">
        <v>2640</v>
      </c>
      <c r="AC221" t="str">
        <f>HYPERLINK("plots/3FT6Y578R01_012_S11P_20251111092011_M5358ACSH101811_RBGEUFRF26/dpll_52046/txpa_54253.png","plot")</f>
        <v>plot</v>
      </c>
    </row>
    <row r="222" spans="1:29" x14ac:dyDescent="0.35">
      <c r="A222" t="s">
        <v>48</v>
      </c>
      <c r="B222">
        <v>52046</v>
      </c>
      <c r="C222" t="s">
        <v>51</v>
      </c>
      <c r="D222">
        <v>54254</v>
      </c>
      <c r="E222" t="s">
        <v>274</v>
      </c>
      <c r="F222">
        <v>12211</v>
      </c>
      <c r="G222">
        <v>0.85887441157104183</v>
      </c>
      <c r="H222">
        <v>0</v>
      </c>
      <c r="I222">
        <v>0</v>
      </c>
      <c r="J222">
        <v>0.731791883242777</v>
      </c>
      <c r="K222">
        <v>0</v>
      </c>
      <c r="L222">
        <v>0</v>
      </c>
      <c r="M222">
        <v>0.54202247075926269</v>
      </c>
      <c r="N222">
        <v>0</v>
      </c>
      <c r="O222">
        <v>0</v>
      </c>
      <c r="P222">
        <v>0.73766525485150336</v>
      </c>
      <c r="Q222">
        <v>2.6632505092928032</v>
      </c>
      <c r="R222">
        <v>-0.59701592934966818</v>
      </c>
      <c r="S222">
        <v>0.31774146230348038</v>
      </c>
      <c r="T222">
        <v>0.2451552315680969</v>
      </c>
      <c r="U222">
        <v>4.4929113177462936</v>
      </c>
      <c r="V222">
        <v>0.20006974166816349</v>
      </c>
      <c r="W222">
        <v>11.36873242584555</v>
      </c>
      <c r="X222">
        <v>0.62038853901487112</v>
      </c>
      <c r="Z222" t="s">
        <v>392</v>
      </c>
      <c r="AA222">
        <v>9400</v>
      </c>
      <c r="AB222" t="s">
        <v>2641</v>
      </c>
      <c r="AC222" t="str">
        <f>HYPERLINK("plots/3FT6Y578R01_012_S11P_20251111092011_M5358ACSH101811_RBGEUFRF26/dpll_52046/txpa_54254.png","plot")</f>
        <v>plot</v>
      </c>
    </row>
    <row r="223" spans="1:29" x14ac:dyDescent="0.35">
      <c r="A223" t="s">
        <v>48</v>
      </c>
      <c r="B223">
        <v>52046</v>
      </c>
      <c r="C223" t="s">
        <v>51</v>
      </c>
      <c r="D223">
        <v>54255</v>
      </c>
      <c r="E223" t="s">
        <v>275</v>
      </c>
      <c r="F223">
        <v>12211</v>
      </c>
      <c r="G223">
        <v>0.85763119766139106</v>
      </c>
      <c r="H223">
        <v>0</v>
      </c>
      <c r="I223">
        <v>0</v>
      </c>
      <c r="J223">
        <v>0.72963534332800339</v>
      </c>
      <c r="K223">
        <v>0</v>
      </c>
      <c r="L223">
        <v>0</v>
      </c>
      <c r="M223">
        <v>0.53963419355761744</v>
      </c>
      <c r="N223">
        <v>0</v>
      </c>
      <c r="O223">
        <v>0</v>
      </c>
      <c r="P223">
        <v>0.73553127120211204</v>
      </c>
      <c r="Q223">
        <v>2.6673750732629382</v>
      </c>
      <c r="R223">
        <v>-0.64800635575706877</v>
      </c>
      <c r="S223">
        <v>0.31977286900429702</v>
      </c>
      <c r="T223">
        <v>0.24694858900062419</v>
      </c>
      <c r="U223">
        <v>4.4929816221439687</v>
      </c>
      <c r="V223">
        <v>0.19993494872331019</v>
      </c>
      <c r="W223">
        <v>11.336460827778231</v>
      </c>
      <c r="X223">
        <v>0.62183080554075021</v>
      </c>
      <c r="Z223" t="s">
        <v>392</v>
      </c>
      <c r="AA223">
        <v>9400</v>
      </c>
      <c r="AB223" t="s">
        <v>2642</v>
      </c>
      <c r="AC223" t="str">
        <f>HYPERLINK("plots/3FT6Y578R01_012_S11P_20251111092011_M5358ACSH101811_RBGEUFRF26/dpll_52046/txpa_54255.png","plot")</f>
        <v>plot</v>
      </c>
    </row>
    <row r="224" spans="1:29" x14ac:dyDescent="0.35">
      <c r="A224" t="s">
        <v>48</v>
      </c>
      <c r="B224">
        <v>52046</v>
      </c>
      <c r="C224" t="s">
        <v>51</v>
      </c>
      <c r="D224">
        <v>54256</v>
      </c>
      <c r="E224" t="s">
        <v>276</v>
      </c>
      <c r="F224">
        <v>12219</v>
      </c>
      <c r="G224">
        <v>0.85878682218005742</v>
      </c>
      <c r="H224">
        <v>0</v>
      </c>
      <c r="I224">
        <v>0</v>
      </c>
      <c r="J224">
        <v>0.73329615564055894</v>
      </c>
      <c r="K224">
        <v>0</v>
      </c>
      <c r="L224">
        <v>0</v>
      </c>
      <c r="M224">
        <v>0.54375381881836993</v>
      </c>
      <c r="N224">
        <v>0</v>
      </c>
      <c r="O224">
        <v>0</v>
      </c>
      <c r="P224">
        <v>0.73751480595012153</v>
      </c>
      <c r="Q224">
        <v>2.679295807877506</v>
      </c>
      <c r="R224">
        <v>-0.68826608429086633</v>
      </c>
      <c r="S224">
        <v>0.31977196909099292</v>
      </c>
      <c r="T224">
        <v>0.2467841044838632</v>
      </c>
      <c r="U224">
        <v>4.4927446091333163</v>
      </c>
      <c r="V224">
        <v>0.20006469885811121</v>
      </c>
      <c r="W224">
        <v>11.349125712824289</v>
      </c>
      <c r="X224">
        <v>0.62417411994524685</v>
      </c>
      <c r="Z224" t="s">
        <v>392</v>
      </c>
      <c r="AA224">
        <v>9400</v>
      </c>
      <c r="AB224" t="s">
        <v>2643</v>
      </c>
      <c r="AC224" t="str">
        <f>HYPERLINK("plots/3FT6Y578R01_012_S11P_20251111092011_M5358ACSH101811_RBGEUFRF26/dpll_52046/txpa_54256.png","plot")</f>
        <v>plot</v>
      </c>
    </row>
    <row r="225" spans="1:29" x14ac:dyDescent="0.35">
      <c r="A225" t="s">
        <v>48</v>
      </c>
      <c r="B225">
        <v>52046</v>
      </c>
      <c r="C225" t="s">
        <v>51</v>
      </c>
      <c r="D225">
        <v>54257</v>
      </c>
      <c r="E225" t="s">
        <v>277</v>
      </c>
      <c r="F225">
        <v>12203</v>
      </c>
      <c r="G225">
        <v>0.86054030293013595</v>
      </c>
      <c r="H225">
        <v>0</v>
      </c>
      <c r="I225">
        <v>0</v>
      </c>
      <c r="J225">
        <v>0.72996589099591036</v>
      </c>
      <c r="K225">
        <v>0</v>
      </c>
      <c r="L225">
        <v>0</v>
      </c>
      <c r="M225">
        <v>0.54141427084890825</v>
      </c>
      <c r="N225">
        <v>0</v>
      </c>
      <c r="O225">
        <v>0</v>
      </c>
      <c r="P225">
        <v>0.74052961296709019</v>
      </c>
      <c r="Q225">
        <v>2.6664568970359821</v>
      </c>
      <c r="R225">
        <v>-0.62208834394215451</v>
      </c>
      <c r="S225">
        <v>0.31560879319681789</v>
      </c>
      <c r="T225">
        <v>0.24491463775084571</v>
      </c>
      <c r="U225">
        <v>4.4931233124641494</v>
      </c>
      <c r="V225">
        <v>0.19996760146007589</v>
      </c>
      <c r="W225">
        <v>11.35863130181103</v>
      </c>
      <c r="X225">
        <v>0.61961652264443767</v>
      </c>
      <c r="Z225" t="s">
        <v>392</v>
      </c>
      <c r="AA225">
        <v>9400</v>
      </c>
      <c r="AB225" t="s">
        <v>2644</v>
      </c>
      <c r="AC225" t="str">
        <f>HYPERLINK("plots/3FT6Y578R01_012_S11P_20251111092011_M5358ACSH101811_RBGEUFRF26/dpll_52046/txpa_54257.png","plot")</f>
        <v>plot</v>
      </c>
    </row>
    <row r="226" spans="1:29" x14ac:dyDescent="0.35">
      <c r="A226" t="s">
        <v>48</v>
      </c>
      <c r="B226">
        <v>52046</v>
      </c>
      <c r="C226" t="s">
        <v>51</v>
      </c>
      <c r="D226">
        <v>54258</v>
      </c>
      <c r="E226" t="s">
        <v>278</v>
      </c>
      <c r="F226">
        <v>12198</v>
      </c>
      <c r="G226">
        <v>0.85500585328353829</v>
      </c>
      <c r="H226">
        <v>0</v>
      </c>
      <c r="I226">
        <v>0</v>
      </c>
      <c r="J226">
        <v>0.72182645430350212</v>
      </c>
      <c r="K226">
        <v>0</v>
      </c>
      <c r="L226">
        <v>0</v>
      </c>
      <c r="M226">
        <v>0.53345657596432527</v>
      </c>
      <c r="N226">
        <v>0</v>
      </c>
      <c r="O226">
        <v>0</v>
      </c>
      <c r="P226">
        <v>0.73103500914911135</v>
      </c>
      <c r="Q226">
        <v>2.638716269263421</v>
      </c>
      <c r="R226">
        <v>-0.51200920340293976</v>
      </c>
      <c r="S226">
        <v>0.31985777631958912</v>
      </c>
      <c r="T226">
        <v>0.2470565476390186</v>
      </c>
      <c r="U226">
        <v>4.4932965858337433</v>
      </c>
      <c r="V226">
        <v>0.19984957635095479</v>
      </c>
      <c r="W226">
        <v>11.34452560026234</v>
      </c>
      <c r="X226">
        <v>0.61677510919657696</v>
      </c>
      <c r="Z226" t="s">
        <v>392</v>
      </c>
      <c r="AA226">
        <v>9400</v>
      </c>
      <c r="AB226" t="s">
        <v>2645</v>
      </c>
      <c r="AC226" t="str">
        <f>HYPERLINK("plots/3FT6Y578R01_012_S11P_20251111092011_M5358ACSH101811_RBGEUFRF26/dpll_52046/txpa_54258.png","plot")</f>
        <v>plot</v>
      </c>
    </row>
    <row r="227" spans="1:29" x14ac:dyDescent="0.35">
      <c r="A227" t="s">
        <v>48</v>
      </c>
      <c r="B227">
        <v>52046</v>
      </c>
      <c r="C227" t="s">
        <v>51</v>
      </c>
      <c r="D227">
        <v>55146</v>
      </c>
      <c r="E227" t="s">
        <v>279</v>
      </c>
      <c r="F227">
        <v>12233</v>
      </c>
      <c r="G227">
        <v>1.7110289009932E-3</v>
      </c>
      <c r="H227">
        <v>0.84991604575357438</v>
      </c>
      <c r="I227">
        <v>0.85328204989517265</v>
      </c>
      <c r="J227">
        <v>-5.6399214397311907E-3</v>
      </c>
      <c r="K227">
        <v>0.53280304857556693</v>
      </c>
      <c r="L227">
        <v>0.53280304857556693</v>
      </c>
      <c r="M227">
        <v>-3.7626355259106638E-3</v>
      </c>
      <c r="N227">
        <v>0.53253779190105544</v>
      </c>
      <c r="O227">
        <v>0.53253779190105544</v>
      </c>
      <c r="P227">
        <v>2.927619900033999E-6</v>
      </c>
      <c r="Q227">
        <v>4.5171492098130893E-2</v>
      </c>
      <c r="R227">
        <v>-10.82379734788309</v>
      </c>
      <c r="S227">
        <v>5.2895048818643531</v>
      </c>
      <c r="T227">
        <v>3.9752412403311439</v>
      </c>
      <c r="U227">
        <v>4.4922002121311211</v>
      </c>
      <c r="V227">
        <v>0.20036705668165569</v>
      </c>
      <c r="W227">
        <v>-10.620877961497589</v>
      </c>
      <c r="X227">
        <v>5.2897288364722286</v>
      </c>
      <c r="Z227" t="s">
        <v>392</v>
      </c>
      <c r="AA227">
        <v>9400</v>
      </c>
      <c r="AB227" t="s">
        <v>2646</v>
      </c>
      <c r="AC227" t="str">
        <f>HYPERLINK("plots/3FT6Y578R01_012_S11P_20251111092011_M5358ACSH101811_RBGEUFRF26/dpll_52046/txpa_55146.png","plot")</f>
        <v>plot</v>
      </c>
    </row>
    <row r="228" spans="1:29" x14ac:dyDescent="0.35">
      <c r="A228" t="s">
        <v>48</v>
      </c>
      <c r="B228">
        <v>52046</v>
      </c>
      <c r="C228" t="s">
        <v>51</v>
      </c>
      <c r="D228">
        <v>55147</v>
      </c>
      <c r="E228" t="s">
        <v>280</v>
      </c>
      <c r="F228">
        <v>12243</v>
      </c>
      <c r="G228">
        <v>0.23162168070776409</v>
      </c>
      <c r="H228">
        <v>8.3464736548974917E-149</v>
      </c>
      <c r="I228">
        <v>8.4212181950906033E-149</v>
      </c>
      <c r="J228">
        <v>0.20982636623966611</v>
      </c>
      <c r="K228">
        <v>7.1213694699067095E-122</v>
      </c>
      <c r="L228">
        <v>7.1851429278461728E-122</v>
      </c>
      <c r="M228">
        <v>0.14649744203391241</v>
      </c>
      <c r="N228">
        <v>2.1517142133348538E-120</v>
      </c>
      <c r="O228">
        <v>2.17098329584233E-120</v>
      </c>
      <c r="P228">
        <v>5.3648602973889438E-2</v>
      </c>
      <c r="Q228">
        <v>1.4577867926410291</v>
      </c>
      <c r="R228">
        <v>-31.458016439140831</v>
      </c>
      <c r="S228">
        <v>1.2265616398721391</v>
      </c>
      <c r="T228">
        <v>1.0291554247667969</v>
      </c>
      <c r="U228">
        <v>4.492205754635302</v>
      </c>
      <c r="V228">
        <v>0.20033927554587111</v>
      </c>
      <c r="W228">
        <v>-24.909338220207459</v>
      </c>
      <c r="X228">
        <v>1.2609007457575749</v>
      </c>
      <c r="Z228" t="s">
        <v>392</v>
      </c>
      <c r="AA228">
        <v>9400</v>
      </c>
      <c r="AB228" t="s">
        <v>2647</v>
      </c>
      <c r="AC228" t="str">
        <f>HYPERLINK("plots/3FT6Y578R01_012_S11P_20251111092011_M5358ACSH101811_RBGEUFRF26/dpll_52046/txpa_55147.png","plot")</f>
        <v>plot</v>
      </c>
    </row>
    <row r="229" spans="1:29" x14ac:dyDescent="0.35">
      <c r="A229" t="s">
        <v>48</v>
      </c>
      <c r="B229">
        <v>52046</v>
      </c>
      <c r="C229" t="s">
        <v>51</v>
      </c>
      <c r="D229">
        <v>55148</v>
      </c>
      <c r="E229" t="s">
        <v>281</v>
      </c>
      <c r="F229">
        <v>12243</v>
      </c>
      <c r="G229">
        <v>0.22831400781899569</v>
      </c>
      <c r="H229">
        <v>1.575267349811159E-144</v>
      </c>
      <c r="I229">
        <v>1.584643941179083E-144</v>
      </c>
      <c r="J229">
        <v>0.2021278131711918</v>
      </c>
      <c r="K229">
        <v>4.7034418693037853E-113</v>
      </c>
      <c r="L229">
        <v>4.7314385470972598E-113</v>
      </c>
      <c r="M229">
        <v>0.1407502348866401</v>
      </c>
      <c r="N229">
        <v>4.882997142828724E-112</v>
      </c>
      <c r="O229">
        <v>4.9120626020122284E-112</v>
      </c>
      <c r="P229">
        <v>5.2127286166372411E-2</v>
      </c>
      <c r="Q229">
        <v>1.467003506246364</v>
      </c>
      <c r="R229">
        <v>-31.42929878877878</v>
      </c>
      <c r="S229">
        <v>1.2532045606734901</v>
      </c>
      <c r="T229">
        <v>1.0571698634301241</v>
      </c>
      <c r="U229">
        <v>4.492205754635302</v>
      </c>
      <c r="V229">
        <v>0.20033927554587111</v>
      </c>
      <c r="W229">
        <v>-24.839217195948699</v>
      </c>
      <c r="X229">
        <v>1.2872553132948741</v>
      </c>
      <c r="Z229" t="s">
        <v>392</v>
      </c>
      <c r="AA229">
        <v>9400</v>
      </c>
      <c r="AB229" t="s">
        <v>2648</v>
      </c>
      <c r="AC229" t="str">
        <f>HYPERLINK("plots/3FT6Y578R01_012_S11P_20251111092011_M5358ACSH101811_RBGEUFRF26/dpll_52046/txpa_55148.png","plot")</f>
        <v>plot</v>
      </c>
    </row>
    <row r="230" spans="1:29" x14ac:dyDescent="0.35">
      <c r="A230" t="s">
        <v>48</v>
      </c>
      <c r="B230">
        <v>52046</v>
      </c>
      <c r="C230" t="s">
        <v>51</v>
      </c>
      <c r="D230">
        <v>55149</v>
      </c>
      <c r="E230" t="s">
        <v>282</v>
      </c>
      <c r="F230">
        <v>12243</v>
      </c>
      <c r="G230">
        <v>0.24479794887875209</v>
      </c>
      <c r="H230">
        <v>1.610028131074301E-166</v>
      </c>
      <c r="I230">
        <v>1.649059116070041E-166</v>
      </c>
      <c r="J230">
        <v>0.21739168647134621</v>
      </c>
      <c r="K230">
        <v>6.8432388614500905E-131</v>
      </c>
      <c r="L230">
        <v>7.0020627704443925E-131</v>
      </c>
      <c r="M230">
        <v>0.15161224382198821</v>
      </c>
      <c r="N230">
        <v>2.9131658048240159E-130</v>
      </c>
      <c r="O230">
        <v>2.9837880061530828E-130</v>
      </c>
      <c r="P230">
        <v>5.9926035775244121E-2</v>
      </c>
      <c r="Q230">
        <v>1.5772379571531769</v>
      </c>
      <c r="R230">
        <v>-31.900915267951319</v>
      </c>
      <c r="S230">
        <v>1.25146532160839</v>
      </c>
      <c r="T230">
        <v>1.0576473829721009</v>
      </c>
      <c r="U230">
        <v>4.492205754635302</v>
      </c>
      <c r="V230">
        <v>0.20033927554587111</v>
      </c>
      <c r="W230">
        <v>-24.81563784039859</v>
      </c>
      <c r="X230">
        <v>1.2907898581128341</v>
      </c>
      <c r="Z230" t="s">
        <v>392</v>
      </c>
      <c r="AA230">
        <v>9400</v>
      </c>
      <c r="AB230" t="s">
        <v>2649</v>
      </c>
      <c r="AC230" t="str">
        <f>HYPERLINK("plots/3FT6Y578R01_012_S11P_20251111092011_M5358ACSH101811_RBGEUFRF26/dpll_52046/txpa_55149.png","plot")</f>
        <v>plot</v>
      </c>
    </row>
    <row r="231" spans="1:29" x14ac:dyDescent="0.35">
      <c r="A231" t="s">
        <v>48</v>
      </c>
      <c r="B231">
        <v>52046</v>
      </c>
      <c r="C231" t="s">
        <v>51</v>
      </c>
      <c r="D231">
        <v>55150</v>
      </c>
      <c r="E231" t="s">
        <v>283</v>
      </c>
      <c r="F231">
        <v>12243</v>
      </c>
      <c r="G231">
        <v>0.25232691481386182</v>
      </c>
      <c r="H231">
        <v>3.8865020310973058E-177</v>
      </c>
      <c r="I231">
        <v>4.0172406315317721E-177</v>
      </c>
      <c r="J231">
        <v>0.23351395483566401</v>
      </c>
      <c r="K231">
        <v>2.783788189655988E-151</v>
      </c>
      <c r="L231">
        <v>2.916075644949557E-151</v>
      </c>
      <c r="M231">
        <v>0.1618112823801294</v>
      </c>
      <c r="N231">
        <v>5.243623925138502E-149</v>
      </c>
      <c r="O231">
        <v>5.4928044009198768E-149</v>
      </c>
      <c r="P231">
        <v>6.3668871939481883E-2</v>
      </c>
      <c r="Q231">
        <v>1.653318025506886</v>
      </c>
      <c r="R231">
        <v>-32.177531967243233</v>
      </c>
      <c r="S231">
        <v>1.2701526413911901</v>
      </c>
      <c r="T231">
        <v>1.0698527712373329</v>
      </c>
      <c r="U231">
        <v>4.492205754635302</v>
      </c>
      <c r="V231">
        <v>0.20033927554587111</v>
      </c>
      <c r="W231">
        <v>-24.750487218818922</v>
      </c>
      <c r="X231">
        <v>1.312680162246344</v>
      </c>
      <c r="Z231" t="s">
        <v>392</v>
      </c>
      <c r="AA231">
        <v>9400</v>
      </c>
      <c r="AB231" t="s">
        <v>2650</v>
      </c>
      <c r="AC231" t="str">
        <f>HYPERLINK("plots/3FT6Y578R01_012_S11P_20251111092011_M5358ACSH101811_RBGEUFRF26/dpll_52046/txpa_55150.png","plot")</f>
        <v>plot</v>
      </c>
    </row>
    <row r="232" spans="1:29" x14ac:dyDescent="0.35">
      <c r="A232" t="s">
        <v>48</v>
      </c>
      <c r="B232">
        <v>52046</v>
      </c>
      <c r="C232" t="s">
        <v>51</v>
      </c>
      <c r="D232">
        <v>55151</v>
      </c>
      <c r="E232" t="s">
        <v>284</v>
      </c>
      <c r="F232">
        <v>12242</v>
      </c>
      <c r="G232">
        <v>0.23837201071234379</v>
      </c>
      <c r="H232">
        <v>9.899681724410712E-158</v>
      </c>
      <c r="I232">
        <v>1.005839405666579E-157</v>
      </c>
      <c r="J232">
        <v>0.21430344634225881</v>
      </c>
      <c r="K232">
        <v>3.7032345534648262E-127</v>
      </c>
      <c r="L232">
        <v>3.7588386758892229E-127</v>
      </c>
      <c r="M232">
        <v>0.14911254084731401</v>
      </c>
      <c r="N232">
        <v>4.4312982643443118E-126</v>
      </c>
      <c r="O232">
        <v>4.4978342743194507E-126</v>
      </c>
      <c r="P232">
        <v>5.6821215491045747E-2</v>
      </c>
      <c r="Q232">
        <v>1.534502159448464</v>
      </c>
      <c r="R232">
        <v>-31.701611108652269</v>
      </c>
      <c r="S232">
        <v>1.252453545721979</v>
      </c>
      <c r="T232">
        <v>1.0606889106659481</v>
      </c>
      <c r="U232">
        <v>4.4922201507106676</v>
      </c>
      <c r="V232">
        <v>0.20034112557569189</v>
      </c>
      <c r="W232">
        <v>-24.808289586668849</v>
      </c>
      <c r="X232">
        <v>1.289681153855013</v>
      </c>
      <c r="Z232" t="s">
        <v>392</v>
      </c>
      <c r="AA232">
        <v>9400</v>
      </c>
      <c r="AB232" t="s">
        <v>2651</v>
      </c>
      <c r="AC232" t="str">
        <f>HYPERLINK("plots/3FT6Y578R01_012_S11P_20251111092011_M5358ACSH101811_RBGEUFRF26/dpll_52046/txpa_55151.png","plot")</f>
        <v>plot</v>
      </c>
    </row>
    <row r="233" spans="1:29" x14ac:dyDescent="0.35">
      <c r="A233" t="s">
        <v>48</v>
      </c>
      <c r="B233">
        <v>52046</v>
      </c>
      <c r="C233" t="s">
        <v>51</v>
      </c>
      <c r="D233">
        <v>55152</v>
      </c>
      <c r="E233" t="s">
        <v>285</v>
      </c>
      <c r="F233">
        <v>12243</v>
      </c>
      <c r="G233">
        <v>0.24096516260941089</v>
      </c>
      <c r="H233">
        <v>2.9706749738195522E-161</v>
      </c>
      <c r="I233">
        <v>3.033498915864074E-161</v>
      </c>
      <c r="J233">
        <v>0.21523525752494549</v>
      </c>
      <c r="K233">
        <v>2.7613962877051461E-128</v>
      </c>
      <c r="L233">
        <v>2.8084812795717342E-128</v>
      </c>
      <c r="M233">
        <v>0.1504337615124908</v>
      </c>
      <c r="N233">
        <v>1.1613720607542021E-127</v>
      </c>
      <c r="O233">
        <v>1.183549014678152E-127</v>
      </c>
      <c r="P233">
        <v>5.8064209591379819E-2</v>
      </c>
      <c r="Q233">
        <v>1.5439979726741191</v>
      </c>
      <c r="R233">
        <v>-31.786300933133631</v>
      </c>
      <c r="S233">
        <v>1.245809039568639</v>
      </c>
      <c r="T233">
        <v>1.049220128367182</v>
      </c>
      <c r="U233">
        <v>4.492205754635302</v>
      </c>
      <c r="V233">
        <v>0.20033927554587111</v>
      </c>
      <c r="W233">
        <v>-24.850344355141711</v>
      </c>
      <c r="X233">
        <v>1.2836852926795079</v>
      </c>
      <c r="Z233" t="s">
        <v>392</v>
      </c>
      <c r="AA233">
        <v>9400</v>
      </c>
      <c r="AB233" t="s">
        <v>2652</v>
      </c>
      <c r="AC233" t="str">
        <f>HYPERLINK("plots/3FT6Y578R01_012_S11P_20251111092011_M5358ACSH101811_RBGEUFRF26/dpll_52046/txpa_55152.png","plot")</f>
        <v>plot</v>
      </c>
    </row>
    <row r="234" spans="1:29" x14ac:dyDescent="0.35">
      <c r="A234" t="s">
        <v>48</v>
      </c>
      <c r="B234">
        <v>52046</v>
      </c>
      <c r="C234" t="s">
        <v>51</v>
      </c>
      <c r="D234">
        <v>55153</v>
      </c>
      <c r="E234" t="s">
        <v>286</v>
      </c>
      <c r="F234">
        <v>12243</v>
      </c>
      <c r="G234">
        <v>0.2376198050127166</v>
      </c>
      <c r="H234">
        <v>9.8430384793381111E-157</v>
      </c>
      <c r="I234">
        <v>9.990831849898744E-157</v>
      </c>
      <c r="J234">
        <v>0.21575981195401209</v>
      </c>
      <c r="K234">
        <v>6.4545307106813989E-129</v>
      </c>
      <c r="L234">
        <v>6.5777830559104908E-129</v>
      </c>
      <c r="M234">
        <v>0.15059707033445541</v>
      </c>
      <c r="N234">
        <v>1.2904516968769381E-127</v>
      </c>
      <c r="O234">
        <v>1.313773113085558E-127</v>
      </c>
      <c r="P234">
        <v>5.6463171734281441E-2</v>
      </c>
      <c r="Q234">
        <v>1.5017984823788351</v>
      </c>
      <c r="R234">
        <v>-31.623274074969739</v>
      </c>
      <c r="S234">
        <v>1.2298632259561839</v>
      </c>
      <c r="T234">
        <v>1.038686122982202</v>
      </c>
      <c r="U234">
        <v>4.492205754635302</v>
      </c>
      <c r="V234">
        <v>0.20033927554587111</v>
      </c>
      <c r="W234">
        <v>-24.876886290124968</v>
      </c>
      <c r="X234">
        <v>1.26617905422304</v>
      </c>
      <c r="Z234" t="s">
        <v>392</v>
      </c>
      <c r="AA234">
        <v>9400</v>
      </c>
      <c r="AB234" t="s">
        <v>2653</v>
      </c>
      <c r="AC234" t="str">
        <f>HYPERLINK("plots/3FT6Y578R01_012_S11P_20251111092011_M5358ACSH101811_RBGEUFRF26/dpll_52046/txpa_55153.png","plot")</f>
        <v>plot</v>
      </c>
    </row>
    <row r="235" spans="1:29" x14ac:dyDescent="0.35">
      <c r="A235" t="s">
        <v>48</v>
      </c>
      <c r="B235">
        <v>52046</v>
      </c>
      <c r="C235" t="s">
        <v>51</v>
      </c>
      <c r="D235">
        <v>55154</v>
      </c>
      <c r="E235" t="s">
        <v>287</v>
      </c>
      <c r="F235">
        <v>12243</v>
      </c>
      <c r="G235">
        <v>0.2320891974428845</v>
      </c>
      <c r="H235">
        <v>2.049443723161734E-149</v>
      </c>
      <c r="I235">
        <v>2.0698565092490031E-149</v>
      </c>
      <c r="J235">
        <v>0.21281886038909539</v>
      </c>
      <c r="K235">
        <v>2.1252533514868389E-125</v>
      </c>
      <c r="L235">
        <v>2.1507054874327889E-125</v>
      </c>
      <c r="M235">
        <v>0.14957033585447199</v>
      </c>
      <c r="N235">
        <v>3.3084361604372881E-124</v>
      </c>
      <c r="O235">
        <v>3.348058150382645E-124</v>
      </c>
      <c r="P235">
        <v>5.3865395569682242E-2</v>
      </c>
      <c r="Q235">
        <v>1.4254613823930671</v>
      </c>
      <c r="R235">
        <v>-31.393707657063828</v>
      </c>
      <c r="S235">
        <v>1.196810400680429</v>
      </c>
      <c r="T235">
        <v>1.006294137207302</v>
      </c>
      <c r="U235">
        <v>4.492205754635302</v>
      </c>
      <c r="V235">
        <v>0.20033927554587111</v>
      </c>
      <c r="W235">
        <v>-24.990241832067301</v>
      </c>
      <c r="X235">
        <v>1.230457530180918</v>
      </c>
      <c r="Z235" t="s">
        <v>392</v>
      </c>
      <c r="AA235">
        <v>9400</v>
      </c>
      <c r="AB235" t="s">
        <v>2654</v>
      </c>
      <c r="AC235" t="str">
        <f>HYPERLINK("plots/3FT6Y578R01_012_S11P_20251111092011_M5358ACSH101811_RBGEUFRF26/dpll_52046/txpa_55154.png","plot")</f>
        <v>plot</v>
      </c>
    </row>
    <row r="236" spans="1:29" x14ac:dyDescent="0.35">
      <c r="A236" t="s">
        <v>48</v>
      </c>
      <c r="B236">
        <v>52046</v>
      </c>
      <c r="C236" t="s">
        <v>51</v>
      </c>
      <c r="D236">
        <v>55155</v>
      </c>
      <c r="E236" t="s">
        <v>288</v>
      </c>
      <c r="F236">
        <v>12243</v>
      </c>
      <c r="G236">
        <v>0.71993568487366844</v>
      </c>
      <c r="H236">
        <v>0</v>
      </c>
      <c r="I236">
        <v>0</v>
      </c>
      <c r="J236">
        <v>0.62264841465111287</v>
      </c>
      <c r="K236">
        <v>0</v>
      </c>
      <c r="L236">
        <v>0</v>
      </c>
      <c r="M236">
        <v>0.44487435714825668</v>
      </c>
      <c r="N236">
        <v>0</v>
      </c>
      <c r="O236">
        <v>0</v>
      </c>
      <c r="P236">
        <v>0.51830739035451801</v>
      </c>
      <c r="Q236">
        <v>1.386913809242843</v>
      </c>
      <c r="R236">
        <v>-17.454783771474879</v>
      </c>
      <c r="S236">
        <v>0.26784844235396571</v>
      </c>
      <c r="T236">
        <v>0.20657247054268199</v>
      </c>
      <c r="U236">
        <v>4.492205754635302</v>
      </c>
      <c r="V236">
        <v>0.20033927554587111</v>
      </c>
      <c r="W236">
        <v>-11.22448157641101</v>
      </c>
      <c r="X236">
        <v>0.38594184678737292</v>
      </c>
      <c r="Z236" t="s">
        <v>392</v>
      </c>
      <c r="AA236">
        <v>9400</v>
      </c>
      <c r="AB236" t="s">
        <v>2655</v>
      </c>
      <c r="AC236" t="str">
        <f>HYPERLINK("plots/3FT6Y578R01_012_S11P_20251111092011_M5358ACSH101811_RBGEUFRF26/dpll_52046/txpa_55155.png","plot")</f>
        <v>plot</v>
      </c>
    </row>
    <row r="237" spans="1:29" x14ac:dyDescent="0.35">
      <c r="A237" t="s">
        <v>48</v>
      </c>
      <c r="B237">
        <v>52046</v>
      </c>
      <c r="C237" t="s">
        <v>51</v>
      </c>
      <c r="D237">
        <v>55156</v>
      </c>
      <c r="E237" t="s">
        <v>289</v>
      </c>
      <c r="F237">
        <v>12242</v>
      </c>
      <c r="G237">
        <v>0.73559349948613328</v>
      </c>
      <c r="H237">
        <v>0</v>
      </c>
      <c r="I237">
        <v>0</v>
      </c>
      <c r="J237">
        <v>0.63080666043901656</v>
      </c>
      <c r="K237">
        <v>0</v>
      </c>
      <c r="L237">
        <v>0</v>
      </c>
      <c r="M237">
        <v>0.45259972692016059</v>
      </c>
      <c r="N237">
        <v>0</v>
      </c>
      <c r="O237">
        <v>0</v>
      </c>
      <c r="P237">
        <v>0.541097796486256</v>
      </c>
      <c r="Q237">
        <v>1.413826724848098</v>
      </c>
      <c r="R237">
        <v>-17.51190244591492</v>
      </c>
      <c r="S237">
        <v>0.26083742388669973</v>
      </c>
      <c r="T237">
        <v>0.2034235859997533</v>
      </c>
      <c r="U237">
        <v>4.492190922643359</v>
      </c>
      <c r="V237">
        <v>0.20034073623739329</v>
      </c>
      <c r="W237">
        <v>-11.160722866361709</v>
      </c>
      <c r="X237">
        <v>0.38505925781840061</v>
      </c>
      <c r="Z237" t="s">
        <v>392</v>
      </c>
      <c r="AA237">
        <v>9400</v>
      </c>
      <c r="AB237" t="s">
        <v>2656</v>
      </c>
      <c r="AC237" t="str">
        <f>HYPERLINK("plots/3FT6Y578R01_012_S11P_20251111092011_M5358ACSH101811_RBGEUFRF26/dpll_52046/txpa_55156.png","plot")</f>
        <v>plot</v>
      </c>
    </row>
    <row r="238" spans="1:29" x14ac:dyDescent="0.35">
      <c r="A238" t="s">
        <v>48</v>
      </c>
      <c r="B238">
        <v>52046</v>
      </c>
      <c r="C238" t="s">
        <v>51</v>
      </c>
      <c r="D238">
        <v>55157</v>
      </c>
      <c r="E238" t="s">
        <v>290</v>
      </c>
      <c r="F238">
        <v>12243</v>
      </c>
      <c r="G238">
        <v>0.73937651113548575</v>
      </c>
      <c r="H238">
        <v>0</v>
      </c>
      <c r="I238">
        <v>0</v>
      </c>
      <c r="J238">
        <v>0.63253547931025333</v>
      </c>
      <c r="K238">
        <v>0</v>
      </c>
      <c r="L238">
        <v>0</v>
      </c>
      <c r="M238">
        <v>0.45487312075669001</v>
      </c>
      <c r="N238">
        <v>0</v>
      </c>
      <c r="O238">
        <v>0</v>
      </c>
      <c r="P238">
        <v>0.54667762521888308</v>
      </c>
      <c r="Q238">
        <v>1.410054883773658</v>
      </c>
      <c r="R238">
        <v>-17.473257024262271</v>
      </c>
      <c r="S238">
        <v>0.25723040820244519</v>
      </c>
      <c r="T238">
        <v>0.2001471240251127</v>
      </c>
      <c r="U238">
        <v>4.492205754635302</v>
      </c>
      <c r="V238">
        <v>0.20033927554587111</v>
      </c>
      <c r="W238">
        <v>-11.13900036102263</v>
      </c>
      <c r="X238">
        <v>0.38206430639959582</v>
      </c>
      <c r="Z238" t="s">
        <v>392</v>
      </c>
      <c r="AA238">
        <v>9400</v>
      </c>
      <c r="AB238" t="s">
        <v>2657</v>
      </c>
      <c r="AC238" t="str">
        <f>HYPERLINK("plots/3FT6Y578R01_012_S11P_20251111092011_M5358ACSH101811_RBGEUFRF26/dpll_52046/txpa_55157.png","plot")</f>
        <v>plot</v>
      </c>
    </row>
    <row r="239" spans="1:29" x14ac:dyDescent="0.35">
      <c r="A239" t="s">
        <v>48</v>
      </c>
      <c r="B239">
        <v>52046</v>
      </c>
      <c r="C239" t="s">
        <v>51</v>
      </c>
      <c r="D239">
        <v>55158</v>
      </c>
      <c r="E239" t="s">
        <v>291</v>
      </c>
      <c r="F239">
        <v>12242</v>
      </c>
      <c r="G239">
        <v>0.74653987946434608</v>
      </c>
      <c r="H239">
        <v>0</v>
      </c>
      <c r="I239">
        <v>0</v>
      </c>
      <c r="J239">
        <v>0.63651152057759341</v>
      </c>
      <c r="K239">
        <v>0</v>
      </c>
      <c r="L239">
        <v>0</v>
      </c>
      <c r="M239">
        <v>0.45744198038261358</v>
      </c>
      <c r="N239">
        <v>0</v>
      </c>
      <c r="O239">
        <v>0</v>
      </c>
      <c r="P239">
        <v>0.55732179163064033</v>
      </c>
      <c r="Q239">
        <v>1.4299090066190629</v>
      </c>
      <c r="R239">
        <v>-17.514616687246111</v>
      </c>
      <c r="S239">
        <v>0.25530707742062753</v>
      </c>
      <c r="T239">
        <v>0.1993805585796844</v>
      </c>
      <c r="U239">
        <v>4.4922121462179394</v>
      </c>
      <c r="V239">
        <v>0.20034621017914711</v>
      </c>
      <c r="W239">
        <v>-11.091162079725541</v>
      </c>
      <c r="X239">
        <v>0.3837395137989274</v>
      </c>
      <c r="Z239" t="s">
        <v>392</v>
      </c>
      <c r="AA239">
        <v>9400</v>
      </c>
      <c r="AB239" t="s">
        <v>2658</v>
      </c>
      <c r="AC239" t="str">
        <f>HYPERLINK("plots/3FT6Y578R01_012_S11P_20251111092011_M5358ACSH101811_RBGEUFRF26/dpll_52046/txpa_55158.png","plot")</f>
        <v>plot</v>
      </c>
    </row>
    <row r="240" spans="1:29" x14ac:dyDescent="0.35">
      <c r="A240" t="s">
        <v>48</v>
      </c>
      <c r="B240">
        <v>52046</v>
      </c>
      <c r="C240" t="s">
        <v>51</v>
      </c>
      <c r="D240">
        <v>55159</v>
      </c>
      <c r="E240" t="s">
        <v>292</v>
      </c>
      <c r="F240">
        <v>12240</v>
      </c>
      <c r="G240">
        <v>0.74846812521414374</v>
      </c>
      <c r="H240">
        <v>0</v>
      </c>
      <c r="I240">
        <v>0</v>
      </c>
      <c r="J240">
        <v>0.63565512096197319</v>
      </c>
      <c r="K240">
        <v>0</v>
      </c>
      <c r="L240">
        <v>0</v>
      </c>
      <c r="M240">
        <v>0.45542153059716911</v>
      </c>
      <c r="N240">
        <v>0</v>
      </c>
      <c r="O240">
        <v>0</v>
      </c>
      <c r="P240">
        <v>0.56020453446157514</v>
      </c>
      <c r="Q240">
        <v>1.4311668215231059</v>
      </c>
      <c r="R240">
        <v>-17.54655356574974</v>
      </c>
      <c r="S240">
        <v>0.2539981885659191</v>
      </c>
      <c r="T240">
        <v>0.1995944833493723</v>
      </c>
      <c r="U240">
        <v>4.492228153022876</v>
      </c>
      <c r="V240">
        <v>0.2003115712750779</v>
      </c>
      <c r="W240">
        <v>-11.117425678431371</v>
      </c>
      <c r="X240">
        <v>0.38302135404100313</v>
      </c>
      <c r="Z240" t="s">
        <v>392</v>
      </c>
      <c r="AA240">
        <v>9400</v>
      </c>
      <c r="AB240" t="s">
        <v>2659</v>
      </c>
      <c r="AC240" t="str">
        <f>HYPERLINK("plots/3FT6Y578R01_012_S11P_20251111092011_M5358ACSH101811_RBGEUFRF26/dpll_52046/txpa_55159.png","plot")</f>
        <v>plot</v>
      </c>
    </row>
    <row r="241" spans="1:29" x14ac:dyDescent="0.35">
      <c r="A241" t="s">
        <v>48</v>
      </c>
      <c r="B241">
        <v>52046</v>
      </c>
      <c r="C241" t="s">
        <v>51</v>
      </c>
      <c r="D241">
        <v>55160</v>
      </c>
      <c r="E241" t="s">
        <v>293</v>
      </c>
      <c r="F241">
        <v>12241</v>
      </c>
      <c r="G241">
        <v>0.74922092764734616</v>
      </c>
      <c r="H241">
        <v>0</v>
      </c>
      <c r="I241">
        <v>0</v>
      </c>
      <c r="J241">
        <v>0.64172967322134955</v>
      </c>
      <c r="K241">
        <v>0</v>
      </c>
      <c r="L241">
        <v>0</v>
      </c>
      <c r="M241">
        <v>0.46180770057650328</v>
      </c>
      <c r="N241">
        <v>0</v>
      </c>
      <c r="O241">
        <v>0</v>
      </c>
      <c r="P241">
        <v>0.5613319984247499</v>
      </c>
      <c r="Q241">
        <v>1.430290506954645</v>
      </c>
      <c r="R241">
        <v>-17.564517609078621</v>
      </c>
      <c r="S241">
        <v>0.25325324759520401</v>
      </c>
      <c r="T241">
        <v>0.19836488595881729</v>
      </c>
      <c r="U241">
        <v>4.4922102342945847</v>
      </c>
      <c r="V241">
        <v>0.20030437210640301</v>
      </c>
      <c r="W241">
        <v>-11.139351955722571</v>
      </c>
      <c r="X241">
        <v>0.38238846694382489</v>
      </c>
      <c r="Z241" t="s">
        <v>392</v>
      </c>
      <c r="AA241">
        <v>9400</v>
      </c>
      <c r="AB241" t="s">
        <v>2660</v>
      </c>
      <c r="AC241" t="str">
        <f>HYPERLINK("plots/3FT6Y578R01_012_S11P_20251111092011_M5358ACSH101811_RBGEUFRF26/dpll_52046/txpa_55160.png","plot")</f>
        <v>plot</v>
      </c>
    </row>
    <row r="242" spans="1:29" x14ac:dyDescent="0.35">
      <c r="A242" t="s">
        <v>48</v>
      </c>
      <c r="B242">
        <v>52046</v>
      </c>
      <c r="C242" t="s">
        <v>51</v>
      </c>
      <c r="D242">
        <v>55161</v>
      </c>
      <c r="E242" t="s">
        <v>294</v>
      </c>
      <c r="F242">
        <v>12242</v>
      </c>
      <c r="G242">
        <v>0.75009038667911643</v>
      </c>
      <c r="H242">
        <v>0</v>
      </c>
      <c r="I242">
        <v>0</v>
      </c>
      <c r="J242">
        <v>0.63878902695208029</v>
      </c>
      <c r="K242">
        <v>0</v>
      </c>
      <c r="L242">
        <v>0</v>
      </c>
      <c r="M242">
        <v>0.45962345084628659</v>
      </c>
      <c r="N242">
        <v>0</v>
      </c>
      <c r="O242">
        <v>0</v>
      </c>
      <c r="P242">
        <v>0.56263558818842641</v>
      </c>
      <c r="Q242">
        <v>1.435097698308003</v>
      </c>
      <c r="R242">
        <v>-17.58385903219741</v>
      </c>
      <c r="S242">
        <v>0.25344956285069598</v>
      </c>
      <c r="T242">
        <v>0.1983585060714704</v>
      </c>
      <c r="U242">
        <v>4.4922368706093776</v>
      </c>
      <c r="V242">
        <v>0.20031787099771459</v>
      </c>
      <c r="W242">
        <v>-11.13706023893155</v>
      </c>
      <c r="X242">
        <v>0.38325476596430458</v>
      </c>
      <c r="Z242" t="s">
        <v>392</v>
      </c>
      <c r="AA242">
        <v>9400</v>
      </c>
      <c r="AB242" t="s">
        <v>2661</v>
      </c>
      <c r="AC242" t="str">
        <f>HYPERLINK("plots/3FT6Y578R01_012_S11P_20251111092011_M5358ACSH101811_RBGEUFRF26/dpll_52046/txpa_55161.png","plot")</f>
        <v>plot</v>
      </c>
    </row>
    <row r="243" spans="1:29" x14ac:dyDescent="0.35">
      <c r="A243" t="s">
        <v>48</v>
      </c>
      <c r="B243">
        <v>52046</v>
      </c>
      <c r="C243" t="s">
        <v>51</v>
      </c>
      <c r="D243">
        <v>55162</v>
      </c>
      <c r="E243" t="s">
        <v>295</v>
      </c>
      <c r="F243">
        <v>12241</v>
      </c>
      <c r="G243">
        <v>0.74060734522019922</v>
      </c>
      <c r="H243">
        <v>0</v>
      </c>
      <c r="I243">
        <v>0</v>
      </c>
      <c r="J243">
        <v>0.62709399506001029</v>
      </c>
      <c r="K243">
        <v>0</v>
      </c>
      <c r="L243">
        <v>0</v>
      </c>
      <c r="M243">
        <v>0.44992816017663162</v>
      </c>
      <c r="N243">
        <v>0</v>
      </c>
      <c r="O243">
        <v>0</v>
      </c>
      <c r="P243">
        <v>0.5484992397941113</v>
      </c>
      <c r="Q243">
        <v>1.413057151542028</v>
      </c>
      <c r="R243">
        <v>-17.546359115919241</v>
      </c>
      <c r="S243">
        <v>0.25679796787533388</v>
      </c>
      <c r="T243">
        <v>0.20040694034826231</v>
      </c>
      <c r="U243">
        <v>4.4922578171717999</v>
      </c>
      <c r="V243">
        <v>0.20031264585891739</v>
      </c>
      <c r="W243">
        <v>-11.19854208079405</v>
      </c>
      <c r="X243">
        <v>0.38219066905296578</v>
      </c>
      <c r="Z243" t="s">
        <v>392</v>
      </c>
      <c r="AA243">
        <v>9400</v>
      </c>
      <c r="AB243" t="s">
        <v>2662</v>
      </c>
      <c r="AC243" t="str">
        <f>HYPERLINK("plots/3FT6Y578R01_012_S11P_20251111092011_M5358ACSH101811_RBGEUFRF26/dpll_52046/txpa_55162.png","plot")</f>
        <v>plot</v>
      </c>
    </row>
    <row r="244" spans="1:29" x14ac:dyDescent="0.35">
      <c r="A244" t="s">
        <v>48</v>
      </c>
      <c r="B244">
        <v>52046</v>
      </c>
      <c r="C244" t="s">
        <v>51</v>
      </c>
      <c r="D244">
        <v>55163</v>
      </c>
      <c r="E244" t="s">
        <v>296</v>
      </c>
      <c r="F244">
        <v>12243</v>
      </c>
      <c r="G244">
        <v>0.76526002421033557</v>
      </c>
      <c r="H244">
        <v>0</v>
      </c>
      <c r="I244">
        <v>0</v>
      </c>
      <c r="J244">
        <v>0.6641459528448781</v>
      </c>
      <c r="K244">
        <v>0</v>
      </c>
      <c r="L244">
        <v>0</v>
      </c>
      <c r="M244">
        <v>0.47776558518572138</v>
      </c>
      <c r="N244">
        <v>0</v>
      </c>
      <c r="O244">
        <v>0</v>
      </c>
      <c r="P244">
        <v>0.58562290465440336</v>
      </c>
      <c r="Q244">
        <v>1.2403872690706961</v>
      </c>
      <c r="R244">
        <v>-10.47806733458925</v>
      </c>
      <c r="S244">
        <v>0.20902320648613351</v>
      </c>
      <c r="T244">
        <v>0.1584644003799528</v>
      </c>
      <c r="U244">
        <v>4.492205754635302</v>
      </c>
      <c r="V244">
        <v>0.20033927554587111</v>
      </c>
      <c r="W244">
        <v>-4.9059925064935062</v>
      </c>
      <c r="X244">
        <v>0.3247239879521574</v>
      </c>
      <c r="Z244" t="s">
        <v>392</v>
      </c>
      <c r="AA244">
        <v>9400</v>
      </c>
      <c r="AB244" t="s">
        <v>2663</v>
      </c>
      <c r="AC244" t="str">
        <f>HYPERLINK("plots/3FT6Y578R01_012_S11P_20251111092011_M5358ACSH101811_RBGEUFRF26/dpll_52046/txpa_55163.png","plot")</f>
        <v>plot</v>
      </c>
    </row>
    <row r="245" spans="1:29" x14ac:dyDescent="0.35">
      <c r="A245" t="s">
        <v>48</v>
      </c>
      <c r="B245">
        <v>52046</v>
      </c>
      <c r="C245" t="s">
        <v>51</v>
      </c>
      <c r="D245">
        <v>55164</v>
      </c>
      <c r="E245" t="s">
        <v>297</v>
      </c>
      <c r="F245">
        <v>12242</v>
      </c>
      <c r="G245">
        <v>0.78233419032256823</v>
      </c>
      <c r="H245">
        <v>0</v>
      </c>
      <c r="I245">
        <v>0</v>
      </c>
      <c r="J245">
        <v>0.67513429305604467</v>
      </c>
      <c r="K245">
        <v>0</v>
      </c>
      <c r="L245">
        <v>0</v>
      </c>
      <c r="M245">
        <v>0.48897868635496428</v>
      </c>
      <c r="N245">
        <v>0</v>
      </c>
      <c r="O245">
        <v>0</v>
      </c>
      <c r="P245">
        <v>0.61204678534766843</v>
      </c>
      <c r="Q245">
        <v>1.2642220026826361</v>
      </c>
      <c r="R245">
        <v>-10.544053358455351</v>
      </c>
      <c r="S245">
        <v>0.2016379336506651</v>
      </c>
      <c r="T245">
        <v>0.1550940047646657</v>
      </c>
      <c r="U245">
        <v>4.492190922643359</v>
      </c>
      <c r="V245">
        <v>0.20034073623739329</v>
      </c>
      <c r="W245">
        <v>-4.8649267537983976</v>
      </c>
      <c r="X245">
        <v>0.32374293481986538</v>
      </c>
      <c r="Z245" t="s">
        <v>392</v>
      </c>
      <c r="AA245">
        <v>9400</v>
      </c>
      <c r="AB245" t="s">
        <v>2664</v>
      </c>
      <c r="AC245" t="str">
        <f>HYPERLINK("plots/3FT6Y578R01_012_S11P_20251111092011_M5358ACSH101811_RBGEUFRF26/dpll_52046/txpa_55164.png","plot")</f>
        <v>plot</v>
      </c>
    </row>
    <row r="246" spans="1:29" x14ac:dyDescent="0.35">
      <c r="A246" t="s">
        <v>48</v>
      </c>
      <c r="B246">
        <v>52046</v>
      </c>
      <c r="C246" t="s">
        <v>51</v>
      </c>
      <c r="D246">
        <v>55165</v>
      </c>
      <c r="E246" t="s">
        <v>298</v>
      </c>
      <c r="F246">
        <v>12243</v>
      </c>
      <c r="G246">
        <v>0.78079035077563341</v>
      </c>
      <c r="H246">
        <v>0</v>
      </c>
      <c r="I246">
        <v>0</v>
      </c>
      <c r="J246">
        <v>0.67254138074125547</v>
      </c>
      <c r="K246">
        <v>0</v>
      </c>
      <c r="L246">
        <v>0</v>
      </c>
      <c r="M246">
        <v>0.48674153820469329</v>
      </c>
      <c r="N246">
        <v>0</v>
      </c>
      <c r="O246">
        <v>0</v>
      </c>
      <c r="P246">
        <v>0.60963357186433664</v>
      </c>
      <c r="Q246">
        <v>1.2504388071558481</v>
      </c>
      <c r="R246">
        <v>-10.467267996438091</v>
      </c>
      <c r="S246">
        <v>0.20045301746327371</v>
      </c>
      <c r="T246">
        <v>0.1535830506650834</v>
      </c>
      <c r="U246">
        <v>4.492205754635302</v>
      </c>
      <c r="V246">
        <v>0.20033927554587111</v>
      </c>
      <c r="W246">
        <v>-4.8500395911132896</v>
      </c>
      <c r="X246">
        <v>0.32084413503725873</v>
      </c>
      <c r="Z246" t="s">
        <v>392</v>
      </c>
      <c r="AA246">
        <v>9400</v>
      </c>
      <c r="AB246" t="s">
        <v>2665</v>
      </c>
      <c r="AC246" t="str">
        <f>HYPERLINK("plots/3FT6Y578R01_012_S11P_20251111092011_M5358ACSH101811_RBGEUFRF26/dpll_52046/txpa_55165.png","plot")</f>
        <v>plot</v>
      </c>
    </row>
    <row r="247" spans="1:29" x14ac:dyDescent="0.35">
      <c r="A247" t="s">
        <v>48</v>
      </c>
      <c r="B247">
        <v>52046</v>
      </c>
      <c r="C247" t="s">
        <v>51</v>
      </c>
      <c r="D247">
        <v>55166</v>
      </c>
      <c r="E247" t="s">
        <v>299</v>
      </c>
      <c r="F247">
        <v>12242</v>
      </c>
      <c r="G247">
        <v>0.79253022259994055</v>
      </c>
      <c r="H247">
        <v>0</v>
      </c>
      <c r="I247">
        <v>0</v>
      </c>
      <c r="J247">
        <v>0.68096321891572653</v>
      </c>
      <c r="K247">
        <v>0</v>
      </c>
      <c r="L247">
        <v>0</v>
      </c>
      <c r="M247">
        <v>0.49417092053926842</v>
      </c>
      <c r="N247">
        <v>0</v>
      </c>
      <c r="O247">
        <v>0</v>
      </c>
      <c r="P247">
        <v>0.62810415373431128</v>
      </c>
      <c r="Q247">
        <v>1.2745580727071619</v>
      </c>
      <c r="R247">
        <v>-10.5433335442803</v>
      </c>
      <c r="S247">
        <v>0.1964797749936453</v>
      </c>
      <c r="T247">
        <v>0.15186926144358209</v>
      </c>
      <c r="U247">
        <v>4.4922121462179394</v>
      </c>
      <c r="V247">
        <v>0.20034621017914711</v>
      </c>
      <c r="W247">
        <v>-4.8177482890050642</v>
      </c>
      <c r="X247">
        <v>0.32219954802785677</v>
      </c>
      <c r="Z247" t="s">
        <v>392</v>
      </c>
      <c r="AA247">
        <v>9400</v>
      </c>
      <c r="AB247" t="s">
        <v>2666</v>
      </c>
      <c r="AC247" t="str">
        <f>HYPERLINK("plots/3FT6Y578R01_012_S11P_20251111092011_M5358ACSH101811_RBGEUFRF26/dpll_52046/txpa_55166.png","plot")</f>
        <v>plot</v>
      </c>
    </row>
    <row r="248" spans="1:29" x14ac:dyDescent="0.35">
      <c r="A248" t="s">
        <v>48</v>
      </c>
      <c r="B248">
        <v>52046</v>
      </c>
      <c r="C248" t="s">
        <v>51</v>
      </c>
      <c r="D248">
        <v>55167</v>
      </c>
      <c r="E248" t="s">
        <v>300</v>
      </c>
      <c r="F248">
        <v>12240</v>
      </c>
      <c r="G248">
        <v>0.79189967610381085</v>
      </c>
      <c r="H248">
        <v>0</v>
      </c>
      <c r="I248">
        <v>0</v>
      </c>
      <c r="J248">
        <v>0.67490910967631079</v>
      </c>
      <c r="K248">
        <v>0</v>
      </c>
      <c r="L248">
        <v>0</v>
      </c>
      <c r="M248">
        <v>0.48812119351043298</v>
      </c>
      <c r="N248">
        <v>0</v>
      </c>
      <c r="O248">
        <v>0</v>
      </c>
      <c r="P248">
        <v>0.62710509701332051</v>
      </c>
      <c r="Q248">
        <v>1.275765223134147</v>
      </c>
      <c r="R248">
        <v>-10.573026745801579</v>
      </c>
      <c r="S248">
        <v>0.1970525746460515</v>
      </c>
      <c r="T248">
        <v>0.15337783037155631</v>
      </c>
      <c r="U248">
        <v>4.492228153022876</v>
      </c>
      <c r="V248">
        <v>0.2003115712750779</v>
      </c>
      <c r="W248">
        <v>-4.8419982937908497</v>
      </c>
      <c r="X248">
        <v>0.32270569635970031</v>
      </c>
      <c r="Z248" t="s">
        <v>392</v>
      </c>
      <c r="AA248">
        <v>9400</v>
      </c>
      <c r="AB248" t="s">
        <v>2667</v>
      </c>
      <c r="AC248" t="str">
        <f>HYPERLINK("plots/3FT6Y578R01_012_S11P_20251111092011_M5358ACSH101811_RBGEUFRF26/dpll_52046/txpa_55167.png","plot")</f>
        <v>plot</v>
      </c>
    </row>
    <row r="249" spans="1:29" x14ac:dyDescent="0.35">
      <c r="A249" t="s">
        <v>48</v>
      </c>
      <c r="B249">
        <v>52046</v>
      </c>
      <c r="C249" t="s">
        <v>51</v>
      </c>
      <c r="D249">
        <v>55168</v>
      </c>
      <c r="E249" t="s">
        <v>301</v>
      </c>
      <c r="F249">
        <v>12241</v>
      </c>
      <c r="G249">
        <v>0.79460821059623454</v>
      </c>
      <c r="H249">
        <v>0</v>
      </c>
      <c r="I249">
        <v>0</v>
      </c>
      <c r="J249">
        <v>0.6840433428130519</v>
      </c>
      <c r="K249">
        <v>0</v>
      </c>
      <c r="L249">
        <v>0</v>
      </c>
      <c r="M249">
        <v>0.49679820428479021</v>
      </c>
      <c r="N249">
        <v>0</v>
      </c>
      <c r="O249">
        <v>0</v>
      </c>
      <c r="P249">
        <v>0.63140220834694982</v>
      </c>
      <c r="Q249">
        <v>1.282829106660454</v>
      </c>
      <c r="R249">
        <v>-10.613538812479741</v>
      </c>
      <c r="S249">
        <v>0.19632011974991909</v>
      </c>
      <c r="T249">
        <v>0.15264557611754989</v>
      </c>
      <c r="U249">
        <v>4.4922102342945847</v>
      </c>
      <c r="V249">
        <v>0.20030437210640301</v>
      </c>
      <c r="W249">
        <v>-4.8508007706886689</v>
      </c>
      <c r="X249">
        <v>0.32337480950094011</v>
      </c>
      <c r="Z249" t="s">
        <v>392</v>
      </c>
      <c r="AA249">
        <v>9400</v>
      </c>
      <c r="AB249" t="s">
        <v>2668</v>
      </c>
      <c r="AC249" t="str">
        <f>HYPERLINK("plots/3FT6Y578R01_012_S11P_20251111092011_M5358ACSH101811_RBGEUFRF26/dpll_52046/txpa_55168.png","plot")</f>
        <v>plot</v>
      </c>
    </row>
    <row r="250" spans="1:29" x14ac:dyDescent="0.35">
      <c r="A250" t="s">
        <v>48</v>
      </c>
      <c r="B250">
        <v>52046</v>
      </c>
      <c r="C250" t="s">
        <v>51</v>
      </c>
      <c r="D250">
        <v>55169</v>
      </c>
      <c r="E250" t="s">
        <v>302</v>
      </c>
      <c r="F250">
        <v>12242</v>
      </c>
      <c r="G250">
        <v>0.79358064040036203</v>
      </c>
      <c r="H250">
        <v>0</v>
      </c>
      <c r="I250">
        <v>0</v>
      </c>
      <c r="J250">
        <v>0.67750727073354255</v>
      </c>
      <c r="K250">
        <v>0</v>
      </c>
      <c r="L250">
        <v>0</v>
      </c>
      <c r="M250">
        <v>0.4913557931987072</v>
      </c>
      <c r="N250">
        <v>0</v>
      </c>
      <c r="O250">
        <v>0</v>
      </c>
      <c r="P250">
        <v>0.62977023281824873</v>
      </c>
      <c r="Q250">
        <v>1.275956743378251</v>
      </c>
      <c r="R250">
        <v>-10.57847499856484</v>
      </c>
      <c r="S250">
        <v>0.19596680457481569</v>
      </c>
      <c r="T250">
        <v>0.15255128901386961</v>
      </c>
      <c r="U250">
        <v>4.4922368706093776</v>
      </c>
      <c r="V250">
        <v>0.20031787099771459</v>
      </c>
      <c r="W250">
        <v>-4.846575070658389</v>
      </c>
      <c r="X250">
        <v>0.32208061198388072</v>
      </c>
      <c r="Z250" t="s">
        <v>392</v>
      </c>
      <c r="AA250">
        <v>9400</v>
      </c>
      <c r="AB250" t="s">
        <v>2669</v>
      </c>
      <c r="AC250" t="str">
        <f>HYPERLINK("plots/3FT6Y578R01_012_S11P_20251111092011_M5358ACSH101811_RBGEUFRF26/dpll_52046/txpa_55169.png","plot")</f>
        <v>plot</v>
      </c>
    </row>
    <row r="251" spans="1:29" x14ac:dyDescent="0.35">
      <c r="A251" t="s">
        <v>48</v>
      </c>
      <c r="B251">
        <v>52046</v>
      </c>
      <c r="C251" t="s">
        <v>51</v>
      </c>
      <c r="D251">
        <v>55170</v>
      </c>
      <c r="E251" t="s">
        <v>303</v>
      </c>
      <c r="F251">
        <v>12239</v>
      </c>
      <c r="G251">
        <v>0.78714280317292395</v>
      </c>
      <c r="H251">
        <v>0</v>
      </c>
      <c r="I251">
        <v>0</v>
      </c>
      <c r="J251">
        <v>0.66908490691760181</v>
      </c>
      <c r="K251">
        <v>0</v>
      </c>
      <c r="L251">
        <v>0</v>
      </c>
      <c r="M251">
        <v>0.48477006147636531</v>
      </c>
      <c r="N251">
        <v>0</v>
      </c>
      <c r="O251">
        <v>0</v>
      </c>
      <c r="P251">
        <v>0.61959379258692848</v>
      </c>
      <c r="Q251">
        <v>1.2638321336223839</v>
      </c>
      <c r="R251">
        <v>-10.55348923171036</v>
      </c>
      <c r="S251">
        <v>0.1983654066295337</v>
      </c>
      <c r="T251">
        <v>0.1535392167208102</v>
      </c>
      <c r="U251">
        <v>4.4922816766075657</v>
      </c>
      <c r="V251">
        <v>0.2003198646137857</v>
      </c>
      <c r="W251">
        <v>-4.875999295530681</v>
      </c>
      <c r="X251">
        <v>0.32163246729979961</v>
      </c>
      <c r="Z251" t="s">
        <v>392</v>
      </c>
      <c r="AA251">
        <v>9400</v>
      </c>
      <c r="AB251" t="s">
        <v>2670</v>
      </c>
      <c r="AC251" t="str">
        <f>HYPERLINK("plots/3FT6Y578R01_012_S11P_20251111092011_M5358ACSH101811_RBGEUFRF26/dpll_52046/txpa_55170.png","plot")</f>
        <v>plot</v>
      </c>
    </row>
    <row r="252" spans="1:29" x14ac:dyDescent="0.35">
      <c r="A252" t="s">
        <v>48</v>
      </c>
      <c r="B252">
        <v>52046</v>
      </c>
      <c r="C252" t="s">
        <v>51</v>
      </c>
      <c r="D252">
        <v>55171</v>
      </c>
      <c r="E252" t="s">
        <v>304</v>
      </c>
      <c r="F252">
        <v>12243</v>
      </c>
      <c r="G252">
        <v>0.77695508995741702</v>
      </c>
      <c r="H252">
        <v>0</v>
      </c>
      <c r="I252">
        <v>0</v>
      </c>
      <c r="J252">
        <v>0.67834093588682487</v>
      </c>
      <c r="K252">
        <v>0</v>
      </c>
      <c r="L252">
        <v>0</v>
      </c>
      <c r="M252">
        <v>0.48910200620665961</v>
      </c>
      <c r="N252">
        <v>0</v>
      </c>
      <c r="O252">
        <v>0</v>
      </c>
      <c r="P252">
        <v>0.60365921181073801</v>
      </c>
      <c r="Q252">
        <v>1.2633338315467819</v>
      </c>
      <c r="R252">
        <v>-7.6061135228838772</v>
      </c>
      <c r="S252">
        <v>0.2050713339897795</v>
      </c>
      <c r="T252">
        <v>0.1546520795816764</v>
      </c>
      <c r="U252">
        <v>4.492205754635302</v>
      </c>
      <c r="V252">
        <v>0.20033927554587111</v>
      </c>
      <c r="W252">
        <v>-1.930958014783958</v>
      </c>
      <c r="X252">
        <v>0.32575291397929262</v>
      </c>
      <c r="Z252" t="s">
        <v>392</v>
      </c>
      <c r="AA252">
        <v>9400</v>
      </c>
      <c r="AB252" t="s">
        <v>2671</v>
      </c>
      <c r="AC252" t="str">
        <f>HYPERLINK("plots/3FT6Y578R01_012_S11P_20251111092011_M5358ACSH101811_RBGEUFRF26/dpll_52046/txpa_55171.png","plot")</f>
        <v>plot</v>
      </c>
    </row>
    <row r="253" spans="1:29" x14ac:dyDescent="0.35">
      <c r="A253" t="s">
        <v>48</v>
      </c>
      <c r="B253">
        <v>52046</v>
      </c>
      <c r="C253" t="s">
        <v>51</v>
      </c>
      <c r="D253">
        <v>55172</v>
      </c>
      <c r="E253" t="s">
        <v>305</v>
      </c>
      <c r="F253">
        <v>12242</v>
      </c>
      <c r="G253">
        <v>0.79533723161945225</v>
      </c>
      <c r="H253">
        <v>0</v>
      </c>
      <c r="I253">
        <v>0</v>
      </c>
      <c r="J253">
        <v>0.69071335735369388</v>
      </c>
      <c r="K253">
        <v>0</v>
      </c>
      <c r="L253">
        <v>0</v>
      </c>
      <c r="M253">
        <v>0.50206748093676234</v>
      </c>
      <c r="N253">
        <v>0</v>
      </c>
      <c r="O253">
        <v>0</v>
      </c>
      <c r="P253">
        <v>0.63256131200009424</v>
      </c>
      <c r="Q253">
        <v>1.2896933129312711</v>
      </c>
      <c r="R253">
        <v>-7.6889051423552974</v>
      </c>
      <c r="S253">
        <v>0.19691513721856721</v>
      </c>
      <c r="T253">
        <v>0.15049642053910861</v>
      </c>
      <c r="U253">
        <v>4.492190922643359</v>
      </c>
      <c r="V253">
        <v>0.20034073623739329</v>
      </c>
      <c r="W253">
        <v>-1.8953565490116</v>
      </c>
      <c r="X253">
        <v>0.32486610403864619</v>
      </c>
      <c r="Z253" t="s">
        <v>392</v>
      </c>
      <c r="AA253">
        <v>9400</v>
      </c>
      <c r="AB253" t="s">
        <v>2672</v>
      </c>
      <c r="AC253" t="str">
        <f>HYPERLINK("plots/3FT6Y578R01_012_S11P_20251111092011_M5358ACSH101811_RBGEUFRF26/dpll_52046/txpa_55172.png","plot")</f>
        <v>plot</v>
      </c>
    </row>
    <row r="254" spans="1:29" x14ac:dyDescent="0.35">
      <c r="A254" t="s">
        <v>48</v>
      </c>
      <c r="B254">
        <v>52046</v>
      </c>
      <c r="C254" t="s">
        <v>51</v>
      </c>
      <c r="D254">
        <v>55173</v>
      </c>
      <c r="E254" t="s">
        <v>306</v>
      </c>
      <c r="F254">
        <v>12243</v>
      </c>
      <c r="G254">
        <v>0.79288223868842733</v>
      </c>
      <c r="H254">
        <v>0</v>
      </c>
      <c r="I254">
        <v>0</v>
      </c>
      <c r="J254">
        <v>0.68724318424159248</v>
      </c>
      <c r="K254">
        <v>0</v>
      </c>
      <c r="L254">
        <v>0</v>
      </c>
      <c r="M254">
        <v>0.49883781593614701</v>
      </c>
      <c r="N254">
        <v>0</v>
      </c>
      <c r="O254">
        <v>0</v>
      </c>
      <c r="P254">
        <v>0.62866224442757224</v>
      </c>
      <c r="Q254">
        <v>1.272735299559361</v>
      </c>
      <c r="R254">
        <v>-7.6002662536993322</v>
      </c>
      <c r="S254">
        <v>0.1959576921667536</v>
      </c>
      <c r="T254">
        <v>0.1495350412147701</v>
      </c>
      <c r="U254">
        <v>4.492205754635302</v>
      </c>
      <c r="V254">
        <v>0.20033927554587111</v>
      </c>
      <c r="W254">
        <v>-1.882877416891285</v>
      </c>
      <c r="X254">
        <v>0.3215847895611354</v>
      </c>
      <c r="Z254" t="s">
        <v>392</v>
      </c>
      <c r="AA254">
        <v>9400</v>
      </c>
      <c r="AB254" t="s">
        <v>2673</v>
      </c>
      <c r="AC254" t="str">
        <f>HYPERLINK("plots/3FT6Y578R01_012_S11P_20251111092011_M5358ACSH101811_RBGEUFRF26/dpll_52046/txpa_55173.png","plot")</f>
        <v>plot</v>
      </c>
    </row>
    <row r="255" spans="1:29" x14ac:dyDescent="0.35">
      <c r="A255" t="s">
        <v>48</v>
      </c>
      <c r="B255">
        <v>52046</v>
      </c>
      <c r="C255" t="s">
        <v>51</v>
      </c>
      <c r="D255">
        <v>55174</v>
      </c>
      <c r="E255" t="s">
        <v>307</v>
      </c>
      <c r="F255">
        <v>12242</v>
      </c>
      <c r="G255">
        <v>0.80414065506440346</v>
      </c>
      <c r="H255">
        <v>0</v>
      </c>
      <c r="I255">
        <v>0</v>
      </c>
      <c r="J255">
        <v>0.6942487665493724</v>
      </c>
      <c r="K255">
        <v>0</v>
      </c>
      <c r="L255">
        <v>0</v>
      </c>
      <c r="M255">
        <v>0.50522473316651773</v>
      </c>
      <c r="N255">
        <v>0</v>
      </c>
      <c r="O255">
        <v>0</v>
      </c>
      <c r="P255">
        <v>0.64664219312740789</v>
      </c>
      <c r="Q255">
        <v>1.295329820704497</v>
      </c>
      <c r="R255">
        <v>-7.6745545458074549</v>
      </c>
      <c r="S255">
        <v>0.19183112901924149</v>
      </c>
      <c r="T255">
        <v>0.14793804474930269</v>
      </c>
      <c r="U255">
        <v>4.4922121462179394</v>
      </c>
      <c r="V255">
        <v>0.20034621017914711</v>
      </c>
      <c r="W255">
        <v>-1.855658191880412</v>
      </c>
      <c r="X255">
        <v>0.32272267155724821</v>
      </c>
      <c r="Z255" t="s">
        <v>392</v>
      </c>
      <c r="AA255">
        <v>9400</v>
      </c>
      <c r="AB255" t="s">
        <v>2674</v>
      </c>
      <c r="AC255" t="str">
        <f>HYPERLINK("plots/3FT6Y578R01_012_S11P_20251111092011_M5358ACSH101811_RBGEUFRF26/dpll_52046/txpa_55174.png","plot")</f>
        <v>plot</v>
      </c>
    </row>
    <row r="256" spans="1:29" x14ac:dyDescent="0.35">
      <c r="A256" t="s">
        <v>48</v>
      </c>
      <c r="B256">
        <v>52046</v>
      </c>
      <c r="C256" t="s">
        <v>51</v>
      </c>
      <c r="D256">
        <v>55175</v>
      </c>
      <c r="E256" t="s">
        <v>308</v>
      </c>
      <c r="F256">
        <v>12240</v>
      </c>
      <c r="G256">
        <v>0.8037496126494873</v>
      </c>
      <c r="H256">
        <v>0</v>
      </c>
      <c r="I256">
        <v>0</v>
      </c>
      <c r="J256">
        <v>0.68894748830217101</v>
      </c>
      <c r="K256">
        <v>0</v>
      </c>
      <c r="L256">
        <v>0</v>
      </c>
      <c r="M256">
        <v>0.49980382458948552</v>
      </c>
      <c r="N256">
        <v>0</v>
      </c>
      <c r="O256">
        <v>0</v>
      </c>
      <c r="P256">
        <v>0.6460134398342009</v>
      </c>
      <c r="Q256">
        <v>1.3000772240873251</v>
      </c>
      <c r="R256">
        <v>-7.718844765155449</v>
      </c>
      <c r="S256">
        <v>0.19276583160164251</v>
      </c>
      <c r="T256">
        <v>0.14953124607976159</v>
      </c>
      <c r="U256">
        <v>4.492228153022876</v>
      </c>
      <c r="V256">
        <v>0.2003115712750779</v>
      </c>
      <c r="W256">
        <v>-1.8786012580065361</v>
      </c>
      <c r="X256">
        <v>0.3240070134247669</v>
      </c>
      <c r="Z256" t="s">
        <v>392</v>
      </c>
      <c r="AA256">
        <v>9400</v>
      </c>
      <c r="AB256" t="s">
        <v>2675</v>
      </c>
      <c r="AC256" t="str">
        <f>HYPERLINK("plots/3FT6Y578R01_012_S11P_20251111092011_M5358ACSH101811_RBGEUFRF26/dpll_52046/txpa_55175.png","plot")</f>
        <v>plot</v>
      </c>
    </row>
    <row r="257" spans="1:29" x14ac:dyDescent="0.35">
      <c r="A257" t="s">
        <v>48</v>
      </c>
      <c r="B257">
        <v>52046</v>
      </c>
      <c r="C257" t="s">
        <v>51</v>
      </c>
      <c r="D257">
        <v>55176</v>
      </c>
      <c r="E257" t="s">
        <v>309</v>
      </c>
      <c r="F257">
        <v>12240</v>
      </c>
      <c r="G257">
        <v>0.80780951456309324</v>
      </c>
      <c r="H257">
        <v>0</v>
      </c>
      <c r="I257">
        <v>0</v>
      </c>
      <c r="J257">
        <v>0.6987882683284492</v>
      </c>
      <c r="K257">
        <v>0</v>
      </c>
      <c r="L257">
        <v>0</v>
      </c>
      <c r="M257">
        <v>0.50909991890936224</v>
      </c>
      <c r="N257">
        <v>0</v>
      </c>
      <c r="O257">
        <v>0</v>
      </c>
      <c r="P257">
        <v>0.6525562118186603</v>
      </c>
      <c r="Q257">
        <v>1.3068072235766479</v>
      </c>
      <c r="R257">
        <v>-7.7547470488257941</v>
      </c>
      <c r="S257">
        <v>0.19097846863502271</v>
      </c>
      <c r="T257">
        <v>0.14843676409714501</v>
      </c>
      <c r="U257">
        <v>4.4921825285947721</v>
      </c>
      <c r="V257">
        <v>0.20028909768291919</v>
      </c>
      <c r="W257">
        <v>-1.884330470833333</v>
      </c>
      <c r="X257">
        <v>0.32401108793234562</v>
      </c>
      <c r="Z257" t="s">
        <v>392</v>
      </c>
      <c r="AA257">
        <v>9400</v>
      </c>
      <c r="AB257" t="s">
        <v>2676</v>
      </c>
      <c r="AC257" t="str">
        <f>HYPERLINK("plots/3FT6Y578R01_012_S11P_20251111092011_M5358ACSH101811_RBGEUFRF26/dpll_52046/txpa_55176.png","plot")</f>
        <v>plot</v>
      </c>
    </row>
    <row r="258" spans="1:29" x14ac:dyDescent="0.35">
      <c r="A258" t="s">
        <v>48</v>
      </c>
      <c r="B258">
        <v>52046</v>
      </c>
      <c r="C258" t="s">
        <v>51</v>
      </c>
      <c r="D258">
        <v>55177</v>
      </c>
      <c r="E258" t="s">
        <v>310</v>
      </c>
      <c r="F258">
        <v>12242</v>
      </c>
      <c r="G258">
        <v>0.80610733180725525</v>
      </c>
      <c r="H258">
        <v>0</v>
      </c>
      <c r="I258">
        <v>0</v>
      </c>
      <c r="J258">
        <v>0.69275137254344388</v>
      </c>
      <c r="K258">
        <v>0</v>
      </c>
      <c r="L258">
        <v>0</v>
      </c>
      <c r="M258">
        <v>0.50411587651553247</v>
      </c>
      <c r="N258">
        <v>0</v>
      </c>
      <c r="O258">
        <v>0</v>
      </c>
      <c r="P258">
        <v>0.64980903039341231</v>
      </c>
      <c r="Q258">
        <v>1.3011865102530089</v>
      </c>
      <c r="R258">
        <v>-7.7244342702880822</v>
      </c>
      <c r="S258">
        <v>0.191337946882466</v>
      </c>
      <c r="T258">
        <v>0.14844157155723511</v>
      </c>
      <c r="U258">
        <v>4.4922368706093776</v>
      </c>
      <c r="V258">
        <v>0.20031787099771459</v>
      </c>
      <c r="W258">
        <v>-1.8791962533899691</v>
      </c>
      <c r="X258">
        <v>0.32334516908618283</v>
      </c>
      <c r="Z258" t="s">
        <v>392</v>
      </c>
      <c r="AA258">
        <v>9400</v>
      </c>
      <c r="AB258" t="s">
        <v>2677</v>
      </c>
      <c r="AC258" t="str">
        <f>HYPERLINK("plots/3FT6Y578R01_012_S11P_20251111092011_M5358ACSH101811_RBGEUFRF26/dpll_52046/txpa_55177.png","plot")</f>
        <v>plot</v>
      </c>
    </row>
    <row r="259" spans="1:29" x14ac:dyDescent="0.35">
      <c r="A259" t="s">
        <v>48</v>
      </c>
      <c r="B259">
        <v>52046</v>
      </c>
      <c r="C259" t="s">
        <v>51</v>
      </c>
      <c r="D259">
        <v>55178</v>
      </c>
      <c r="E259" t="s">
        <v>311</v>
      </c>
      <c r="F259">
        <v>12239</v>
      </c>
      <c r="G259">
        <v>0.79896312885517373</v>
      </c>
      <c r="H259">
        <v>0</v>
      </c>
      <c r="I259">
        <v>0</v>
      </c>
      <c r="J259">
        <v>0.68315062403826787</v>
      </c>
      <c r="K259">
        <v>0</v>
      </c>
      <c r="L259">
        <v>0</v>
      </c>
      <c r="M259">
        <v>0.49622523760555243</v>
      </c>
      <c r="N259">
        <v>0</v>
      </c>
      <c r="O259">
        <v>0</v>
      </c>
      <c r="P259">
        <v>0.63834208127004899</v>
      </c>
      <c r="Q259">
        <v>1.287765205493804</v>
      </c>
      <c r="R259">
        <v>-7.6861647252760594</v>
      </c>
      <c r="S259">
        <v>0.1941624365574719</v>
      </c>
      <c r="T259">
        <v>0.149654036112842</v>
      </c>
      <c r="U259">
        <v>4.4922816766075657</v>
      </c>
      <c r="V259">
        <v>0.2003198646137857</v>
      </c>
      <c r="W259">
        <v>-1.9011606888634689</v>
      </c>
      <c r="X259">
        <v>0.32287466380144231</v>
      </c>
      <c r="Z259" t="s">
        <v>392</v>
      </c>
      <c r="AA259">
        <v>9400</v>
      </c>
      <c r="AB259" t="s">
        <v>2678</v>
      </c>
      <c r="AC259" t="str">
        <f>HYPERLINK("plots/3FT6Y578R01_012_S11P_20251111092011_M5358ACSH101811_RBGEUFRF26/dpll_52046/txpa_55178.png","plot")</f>
        <v>plot</v>
      </c>
    </row>
    <row r="260" spans="1:29" x14ac:dyDescent="0.35">
      <c r="A260" t="s">
        <v>48</v>
      </c>
      <c r="B260">
        <v>52046</v>
      </c>
      <c r="C260" t="s">
        <v>51</v>
      </c>
      <c r="D260">
        <v>55179</v>
      </c>
      <c r="E260" t="s">
        <v>312</v>
      </c>
      <c r="F260">
        <v>12242</v>
      </c>
      <c r="G260">
        <v>0.7960387847174627</v>
      </c>
      <c r="H260">
        <v>0</v>
      </c>
      <c r="I260">
        <v>0</v>
      </c>
      <c r="J260">
        <v>0.69891812662838049</v>
      </c>
      <c r="K260">
        <v>0</v>
      </c>
      <c r="L260">
        <v>0</v>
      </c>
      <c r="M260">
        <v>0.506892893111901</v>
      </c>
      <c r="N260">
        <v>0</v>
      </c>
      <c r="O260">
        <v>0</v>
      </c>
      <c r="P260">
        <v>0.63367774677445488</v>
      </c>
      <c r="Q260">
        <v>1.3924466557683779</v>
      </c>
      <c r="R260">
        <v>-4.8322710511707996</v>
      </c>
      <c r="S260">
        <v>0.21207708436566031</v>
      </c>
      <c r="T260">
        <v>0.15884163710708141</v>
      </c>
      <c r="U260">
        <v>4.4922327689103092</v>
      </c>
      <c r="V260">
        <v>0.2003251577115534</v>
      </c>
      <c r="W260">
        <v>1.422923444831482</v>
      </c>
      <c r="X260">
        <v>0.35041269505571898</v>
      </c>
      <c r="Z260" t="s">
        <v>392</v>
      </c>
      <c r="AA260">
        <v>9400</v>
      </c>
      <c r="AB260" t="s">
        <v>2679</v>
      </c>
      <c r="AC260" t="str">
        <f>HYPERLINK("plots/3FT6Y578R01_012_S11P_20251111092011_M5358ACSH101811_RBGEUFRF26/dpll_52046/txpa_55179.png","plot")</f>
        <v>plot</v>
      </c>
    </row>
    <row r="261" spans="1:29" x14ac:dyDescent="0.35">
      <c r="A261" t="s">
        <v>48</v>
      </c>
      <c r="B261">
        <v>52046</v>
      </c>
      <c r="C261" t="s">
        <v>51</v>
      </c>
      <c r="D261">
        <v>55180</v>
      </c>
      <c r="E261" t="s">
        <v>313</v>
      </c>
      <c r="F261">
        <v>12242</v>
      </c>
      <c r="G261">
        <v>0.81268736108771877</v>
      </c>
      <c r="H261">
        <v>0</v>
      </c>
      <c r="I261">
        <v>0</v>
      </c>
      <c r="J261">
        <v>0.71118235013900222</v>
      </c>
      <c r="K261">
        <v>0</v>
      </c>
      <c r="L261">
        <v>0</v>
      </c>
      <c r="M261">
        <v>0.51962864795460351</v>
      </c>
      <c r="N261">
        <v>0</v>
      </c>
      <c r="O261">
        <v>0</v>
      </c>
      <c r="P261">
        <v>0.66046074687172018</v>
      </c>
      <c r="Q261">
        <v>1.419731377727564</v>
      </c>
      <c r="R261">
        <v>-4.922349610549464</v>
      </c>
      <c r="S261">
        <v>0.20392909716687829</v>
      </c>
      <c r="T261">
        <v>0.15511399297360759</v>
      </c>
      <c r="U261">
        <v>4.492190922643359</v>
      </c>
      <c r="V261">
        <v>0.20034073623739329</v>
      </c>
      <c r="W261">
        <v>1.4553547970702501</v>
      </c>
      <c r="X261">
        <v>0.3499870221835143</v>
      </c>
      <c r="Z261" t="s">
        <v>392</v>
      </c>
      <c r="AA261">
        <v>9400</v>
      </c>
      <c r="AB261" t="s">
        <v>2680</v>
      </c>
      <c r="AC261" t="str">
        <f>HYPERLINK("plots/3FT6Y578R01_012_S11P_20251111092011_M5358ACSH101811_RBGEUFRF26/dpll_52046/txpa_55180.png","plot")</f>
        <v>plot</v>
      </c>
    </row>
    <row r="262" spans="1:29" x14ac:dyDescent="0.35">
      <c r="A262" t="s">
        <v>48</v>
      </c>
      <c r="B262">
        <v>52046</v>
      </c>
      <c r="C262" t="s">
        <v>51</v>
      </c>
      <c r="D262">
        <v>55181</v>
      </c>
      <c r="E262" t="s">
        <v>314</v>
      </c>
      <c r="F262">
        <v>12243</v>
      </c>
      <c r="G262">
        <v>0.8103288586398314</v>
      </c>
      <c r="H262">
        <v>0</v>
      </c>
      <c r="I262">
        <v>0</v>
      </c>
      <c r="J262">
        <v>0.70755581199959428</v>
      </c>
      <c r="K262">
        <v>0</v>
      </c>
      <c r="L262">
        <v>0</v>
      </c>
      <c r="M262">
        <v>0.51607846945135094</v>
      </c>
      <c r="N262">
        <v>0</v>
      </c>
      <c r="O262">
        <v>0</v>
      </c>
      <c r="P262">
        <v>0.65663285914453184</v>
      </c>
      <c r="Q262">
        <v>1.4035813460970961</v>
      </c>
      <c r="R262">
        <v>-4.8385884297045196</v>
      </c>
      <c r="S262">
        <v>0.20333119342963721</v>
      </c>
      <c r="T262">
        <v>0.15403717198678471</v>
      </c>
      <c r="U262">
        <v>4.492205754635302</v>
      </c>
      <c r="V262">
        <v>0.20033927554587111</v>
      </c>
      <c r="W262">
        <v>1.4665877703316179</v>
      </c>
      <c r="X262">
        <v>0.3470103119846718</v>
      </c>
      <c r="Z262" t="s">
        <v>392</v>
      </c>
      <c r="AA262">
        <v>9400</v>
      </c>
      <c r="AB262" t="s">
        <v>2681</v>
      </c>
      <c r="AC262" t="str">
        <f>HYPERLINK("plots/3FT6Y578R01_012_S11P_20251111092011_M5358ACSH101811_RBGEUFRF26/dpll_52046/txpa_55181.png","plot")</f>
        <v>plot</v>
      </c>
    </row>
    <row r="263" spans="1:29" x14ac:dyDescent="0.35">
      <c r="A263" t="s">
        <v>48</v>
      </c>
      <c r="B263">
        <v>52046</v>
      </c>
      <c r="C263" t="s">
        <v>51</v>
      </c>
      <c r="D263">
        <v>55182</v>
      </c>
      <c r="E263" t="s">
        <v>315</v>
      </c>
      <c r="F263">
        <v>12242</v>
      </c>
      <c r="G263">
        <v>0.82125186127481309</v>
      </c>
      <c r="H263">
        <v>0</v>
      </c>
      <c r="I263">
        <v>0</v>
      </c>
      <c r="J263">
        <v>0.71423034843559885</v>
      </c>
      <c r="K263">
        <v>0</v>
      </c>
      <c r="L263">
        <v>0</v>
      </c>
      <c r="M263">
        <v>0.52253598540987412</v>
      </c>
      <c r="N263">
        <v>0</v>
      </c>
      <c r="O263">
        <v>0</v>
      </c>
      <c r="P263">
        <v>0.67445461964734488</v>
      </c>
      <c r="Q263">
        <v>1.4249065959111411</v>
      </c>
      <c r="R263">
        <v>-4.9120456685617144</v>
      </c>
      <c r="S263">
        <v>0.19832578930340211</v>
      </c>
      <c r="T263">
        <v>0.15214522929505739</v>
      </c>
      <c r="U263">
        <v>4.4922121462179394</v>
      </c>
      <c r="V263">
        <v>0.20034621017914711</v>
      </c>
      <c r="W263">
        <v>1.48893704881637</v>
      </c>
      <c r="X263">
        <v>0.347609119456886</v>
      </c>
      <c r="Z263" t="s">
        <v>392</v>
      </c>
      <c r="AA263">
        <v>9400</v>
      </c>
      <c r="AB263" t="s">
        <v>2682</v>
      </c>
      <c r="AC263" t="str">
        <f>HYPERLINK("plots/3FT6Y578R01_012_S11P_20251111092011_M5358ACSH101811_RBGEUFRF26/dpll_52046/txpa_55182.png","plot")</f>
        <v>plot</v>
      </c>
    </row>
    <row r="264" spans="1:29" x14ac:dyDescent="0.35">
      <c r="A264" t="s">
        <v>48</v>
      </c>
      <c r="B264">
        <v>52046</v>
      </c>
      <c r="C264" t="s">
        <v>51</v>
      </c>
      <c r="D264">
        <v>55183</v>
      </c>
      <c r="E264" t="s">
        <v>316</v>
      </c>
      <c r="F264">
        <v>12240</v>
      </c>
      <c r="G264">
        <v>0.82138545825830922</v>
      </c>
      <c r="H264">
        <v>0</v>
      </c>
      <c r="I264">
        <v>0</v>
      </c>
      <c r="J264">
        <v>0.71079198203417671</v>
      </c>
      <c r="K264">
        <v>0</v>
      </c>
      <c r="L264">
        <v>0</v>
      </c>
      <c r="M264">
        <v>0.51874665269890152</v>
      </c>
      <c r="N264">
        <v>0</v>
      </c>
      <c r="O264">
        <v>0</v>
      </c>
      <c r="P264">
        <v>0.67467407103821264</v>
      </c>
      <c r="Q264">
        <v>1.4302329057434</v>
      </c>
      <c r="R264">
        <v>-4.9591564801066221</v>
      </c>
      <c r="S264">
        <v>0.19893325617190591</v>
      </c>
      <c r="T264">
        <v>0.15347062892640359</v>
      </c>
      <c r="U264">
        <v>4.492228153022876</v>
      </c>
      <c r="V264">
        <v>0.2003115712750779</v>
      </c>
      <c r="W264">
        <v>1.465776044453595</v>
      </c>
      <c r="X264">
        <v>0.34879142034760108</v>
      </c>
      <c r="Z264" t="s">
        <v>392</v>
      </c>
      <c r="AA264">
        <v>9400</v>
      </c>
      <c r="AB264" t="s">
        <v>2683</v>
      </c>
      <c r="AC264" t="str">
        <f>HYPERLINK("plots/3FT6Y578R01_012_S11P_20251111092011_M5358ACSH101811_RBGEUFRF26/dpll_52046/txpa_55183.png","plot")</f>
        <v>plot</v>
      </c>
    </row>
    <row r="265" spans="1:29" x14ac:dyDescent="0.35">
      <c r="A265" t="s">
        <v>48</v>
      </c>
      <c r="B265">
        <v>52046</v>
      </c>
      <c r="C265" t="s">
        <v>51</v>
      </c>
      <c r="D265">
        <v>55184</v>
      </c>
      <c r="E265" t="s">
        <v>317</v>
      </c>
      <c r="F265">
        <v>12240</v>
      </c>
      <c r="G265">
        <v>0.82441347166690659</v>
      </c>
      <c r="H265">
        <v>0</v>
      </c>
      <c r="I265">
        <v>0</v>
      </c>
      <c r="J265">
        <v>0.71755704799760145</v>
      </c>
      <c r="K265">
        <v>0</v>
      </c>
      <c r="L265">
        <v>0</v>
      </c>
      <c r="M265">
        <v>0.52552886475976157</v>
      </c>
      <c r="N265">
        <v>0</v>
      </c>
      <c r="O265">
        <v>0</v>
      </c>
      <c r="P265">
        <v>0.67965757226588142</v>
      </c>
      <c r="Q265">
        <v>1.437712813646906</v>
      </c>
      <c r="R265">
        <v>-4.9944326950606133</v>
      </c>
      <c r="S265">
        <v>0.19768506656977711</v>
      </c>
      <c r="T265">
        <v>0.152898139988001</v>
      </c>
      <c r="U265">
        <v>4.4921825285947721</v>
      </c>
      <c r="V265">
        <v>0.20028909768291919</v>
      </c>
      <c r="W265">
        <v>1.46403568754085</v>
      </c>
      <c r="X265">
        <v>0.34928856947264381</v>
      </c>
      <c r="Z265" t="s">
        <v>392</v>
      </c>
      <c r="AA265">
        <v>9400</v>
      </c>
      <c r="AB265" t="s">
        <v>2684</v>
      </c>
      <c r="AC265" t="str">
        <f>HYPERLINK("plots/3FT6Y578R01_012_S11P_20251111092011_M5358ACSH101811_RBGEUFRF26/dpll_52046/txpa_55184.png","plot")</f>
        <v>plot</v>
      </c>
    </row>
    <row r="266" spans="1:29" x14ac:dyDescent="0.35">
      <c r="A266" t="s">
        <v>48</v>
      </c>
      <c r="B266">
        <v>52046</v>
      </c>
      <c r="C266" t="s">
        <v>51</v>
      </c>
      <c r="D266">
        <v>55185</v>
      </c>
      <c r="E266" t="s">
        <v>318</v>
      </c>
      <c r="F266">
        <v>12242</v>
      </c>
      <c r="G266">
        <v>0.82299689243485064</v>
      </c>
      <c r="H266">
        <v>0</v>
      </c>
      <c r="I266">
        <v>0</v>
      </c>
      <c r="J266">
        <v>0.71214063868165089</v>
      </c>
      <c r="K266">
        <v>0</v>
      </c>
      <c r="L266">
        <v>0</v>
      </c>
      <c r="M266">
        <v>0.52102613159944666</v>
      </c>
      <c r="N266">
        <v>0</v>
      </c>
      <c r="O266">
        <v>0</v>
      </c>
      <c r="P266">
        <v>0.67732388495742113</v>
      </c>
      <c r="Q266">
        <v>1.4327298162443789</v>
      </c>
      <c r="R266">
        <v>-4.9663351884285367</v>
      </c>
      <c r="S266">
        <v>0.19808494562426401</v>
      </c>
      <c r="T266">
        <v>0.15280137878391711</v>
      </c>
      <c r="U266">
        <v>4.4922368706093776</v>
      </c>
      <c r="V266">
        <v>0.20031787099771459</v>
      </c>
      <c r="W266">
        <v>1.469826517725862</v>
      </c>
      <c r="X266">
        <v>0.34872718128487978</v>
      </c>
      <c r="Z266" t="s">
        <v>392</v>
      </c>
      <c r="AA266">
        <v>9400</v>
      </c>
      <c r="AB266" t="s">
        <v>2685</v>
      </c>
      <c r="AC266" t="str">
        <f>HYPERLINK("plots/3FT6Y578R01_012_S11P_20251111092011_M5358ACSH101811_RBGEUFRF26/dpll_52046/txpa_55185.png","plot")</f>
        <v>plot</v>
      </c>
    </row>
    <row r="267" spans="1:29" x14ac:dyDescent="0.35">
      <c r="A267" t="s">
        <v>48</v>
      </c>
      <c r="B267">
        <v>52046</v>
      </c>
      <c r="C267" t="s">
        <v>51</v>
      </c>
      <c r="D267">
        <v>55186</v>
      </c>
      <c r="E267" t="s">
        <v>319</v>
      </c>
      <c r="F267">
        <v>12238</v>
      </c>
      <c r="G267">
        <v>0.8167673871060509</v>
      </c>
      <c r="H267">
        <v>0</v>
      </c>
      <c r="I267">
        <v>0</v>
      </c>
      <c r="J267">
        <v>0.7033364698127138</v>
      </c>
      <c r="K267">
        <v>0</v>
      </c>
      <c r="L267">
        <v>0</v>
      </c>
      <c r="M267">
        <v>0.51348846202678466</v>
      </c>
      <c r="N267">
        <v>0</v>
      </c>
      <c r="O267">
        <v>0</v>
      </c>
      <c r="P267">
        <v>0.66710896464004565</v>
      </c>
      <c r="Q267">
        <v>1.4160287242287519</v>
      </c>
      <c r="R267">
        <v>-4.9088824747039093</v>
      </c>
      <c r="S267">
        <v>0.20035972086284251</v>
      </c>
      <c r="T267">
        <v>0.15387062531420939</v>
      </c>
      <c r="U267">
        <v>4.4923057310017978</v>
      </c>
      <c r="V267">
        <v>0.20031037208272351</v>
      </c>
      <c r="W267">
        <v>1.452351478412077</v>
      </c>
      <c r="X267">
        <v>0.34727787263285581</v>
      </c>
      <c r="Z267" t="s">
        <v>392</v>
      </c>
      <c r="AA267">
        <v>9400</v>
      </c>
      <c r="AB267" t="s">
        <v>2686</v>
      </c>
      <c r="AC267" t="str">
        <f>HYPERLINK("plots/3FT6Y578R01_012_S11P_20251111092011_M5358ACSH101811_RBGEUFRF26/dpll_52046/txpa_55186.png","plot")</f>
        <v>plot</v>
      </c>
    </row>
    <row r="268" spans="1:29" x14ac:dyDescent="0.35">
      <c r="A268" t="s">
        <v>48</v>
      </c>
      <c r="B268">
        <v>52046</v>
      </c>
      <c r="C268" t="s">
        <v>51</v>
      </c>
      <c r="D268">
        <v>55187</v>
      </c>
      <c r="E268" t="s">
        <v>320</v>
      </c>
      <c r="F268">
        <v>12242</v>
      </c>
      <c r="G268">
        <v>0.807304214150524</v>
      </c>
      <c r="H268">
        <v>0</v>
      </c>
      <c r="I268">
        <v>0</v>
      </c>
      <c r="J268">
        <v>0.70934827231911202</v>
      </c>
      <c r="K268">
        <v>0</v>
      </c>
      <c r="L268">
        <v>0</v>
      </c>
      <c r="M268">
        <v>0.51633767941508224</v>
      </c>
      <c r="N268">
        <v>0</v>
      </c>
      <c r="O268">
        <v>0</v>
      </c>
      <c r="P268">
        <v>0.65174009418519507</v>
      </c>
      <c r="Q268">
        <v>1.521020796500969</v>
      </c>
      <c r="R268">
        <v>-3.5412894179197489</v>
      </c>
      <c r="S268">
        <v>0.22272420959855849</v>
      </c>
      <c r="T268">
        <v>0.16648731276951489</v>
      </c>
      <c r="U268">
        <v>4.4922327689103092</v>
      </c>
      <c r="V268">
        <v>0.2003251577115534</v>
      </c>
      <c r="W268">
        <v>3.2914900463159609</v>
      </c>
      <c r="X268">
        <v>0.3774274004778046</v>
      </c>
      <c r="Z268" t="s">
        <v>392</v>
      </c>
      <c r="AA268">
        <v>9400</v>
      </c>
      <c r="AB268" t="s">
        <v>2687</v>
      </c>
      <c r="AC268" t="str">
        <f>HYPERLINK("plots/3FT6Y578R01_012_S11P_20251111092011_M5358ACSH101811_RBGEUFRF26/dpll_52046/txpa_55187.png","plot")</f>
        <v>plot</v>
      </c>
    </row>
    <row r="269" spans="1:29" x14ac:dyDescent="0.35">
      <c r="A269" t="s">
        <v>48</v>
      </c>
      <c r="B269">
        <v>52046</v>
      </c>
      <c r="C269" t="s">
        <v>51</v>
      </c>
      <c r="D269">
        <v>55188</v>
      </c>
      <c r="E269" t="s">
        <v>321</v>
      </c>
      <c r="F269">
        <v>12242</v>
      </c>
      <c r="G269">
        <v>0.82258973811332992</v>
      </c>
      <c r="H269">
        <v>0</v>
      </c>
      <c r="I269">
        <v>0</v>
      </c>
      <c r="J269">
        <v>0.72070806071101723</v>
      </c>
      <c r="K269">
        <v>0</v>
      </c>
      <c r="L269">
        <v>0</v>
      </c>
      <c r="M269">
        <v>0.52832458444410502</v>
      </c>
      <c r="N269">
        <v>0</v>
      </c>
      <c r="O269">
        <v>0</v>
      </c>
      <c r="P269">
        <v>0.67665387724935666</v>
      </c>
      <c r="Q269">
        <v>1.549179648221394</v>
      </c>
      <c r="R269">
        <v>-3.6353022579400789</v>
      </c>
      <c r="S269">
        <v>0.21453781407986039</v>
      </c>
      <c r="T269">
        <v>0.1628879419005102</v>
      </c>
      <c r="U269">
        <v>4.492190922643359</v>
      </c>
      <c r="V269">
        <v>0.20034073623739329</v>
      </c>
      <c r="W269">
        <v>3.3239084953438982</v>
      </c>
      <c r="X269">
        <v>0.37730083042429191</v>
      </c>
      <c r="Z269" t="s">
        <v>392</v>
      </c>
      <c r="AA269">
        <v>9400</v>
      </c>
      <c r="AB269" t="s">
        <v>2688</v>
      </c>
      <c r="AC269" t="str">
        <f>HYPERLINK("plots/3FT6Y578R01_012_S11P_20251111092011_M5358ACSH101811_RBGEUFRF26/dpll_52046/txpa_55188.png","plot")</f>
        <v>plot</v>
      </c>
    </row>
    <row r="270" spans="1:29" x14ac:dyDescent="0.35">
      <c r="A270" t="s">
        <v>48</v>
      </c>
      <c r="B270">
        <v>52046</v>
      </c>
      <c r="C270" t="s">
        <v>51</v>
      </c>
      <c r="D270">
        <v>55189</v>
      </c>
      <c r="E270" t="s">
        <v>322</v>
      </c>
      <c r="F270">
        <v>12243</v>
      </c>
      <c r="G270">
        <v>0.82055617902399658</v>
      </c>
      <c r="H270">
        <v>0</v>
      </c>
      <c r="I270">
        <v>0</v>
      </c>
      <c r="J270">
        <v>0.71734181552199328</v>
      </c>
      <c r="K270">
        <v>0</v>
      </c>
      <c r="L270">
        <v>0</v>
      </c>
      <c r="M270">
        <v>0.52486258755917659</v>
      </c>
      <c r="N270">
        <v>0</v>
      </c>
      <c r="O270">
        <v>0</v>
      </c>
      <c r="P270">
        <v>0.67331244293446113</v>
      </c>
      <c r="Q270">
        <v>1.532774795349831</v>
      </c>
      <c r="R270">
        <v>-3.5506321432271122</v>
      </c>
      <c r="S270">
        <v>0.21388714752533949</v>
      </c>
      <c r="T270">
        <v>0.16169653394109601</v>
      </c>
      <c r="U270">
        <v>4.492205754635302</v>
      </c>
      <c r="V270">
        <v>0.20033927554587111</v>
      </c>
      <c r="W270">
        <v>3.3349076130033479</v>
      </c>
      <c r="X270">
        <v>0.37422787119902479</v>
      </c>
      <c r="Z270" t="s">
        <v>392</v>
      </c>
      <c r="AA270">
        <v>9400</v>
      </c>
      <c r="AB270" t="s">
        <v>2689</v>
      </c>
      <c r="AC270" t="str">
        <f>HYPERLINK("plots/3FT6Y578R01_012_S11P_20251111092011_M5358ACSH101811_RBGEUFRF26/dpll_52046/txpa_55189.png","plot")</f>
        <v>plot</v>
      </c>
    </row>
    <row r="271" spans="1:29" x14ac:dyDescent="0.35">
      <c r="A271" t="s">
        <v>48</v>
      </c>
      <c r="B271">
        <v>52046</v>
      </c>
      <c r="C271" t="s">
        <v>51</v>
      </c>
      <c r="D271">
        <v>55190</v>
      </c>
      <c r="E271" t="s">
        <v>323</v>
      </c>
      <c r="F271">
        <v>12242</v>
      </c>
      <c r="G271">
        <v>0.83050742683830081</v>
      </c>
      <c r="H271">
        <v>0</v>
      </c>
      <c r="I271">
        <v>0</v>
      </c>
      <c r="J271">
        <v>0.72344927769079459</v>
      </c>
      <c r="K271">
        <v>0</v>
      </c>
      <c r="L271">
        <v>0</v>
      </c>
      <c r="M271">
        <v>0.53091806410078513</v>
      </c>
      <c r="N271">
        <v>0</v>
      </c>
      <c r="O271">
        <v>0</v>
      </c>
      <c r="P271">
        <v>0.68974258603357552</v>
      </c>
      <c r="Q271">
        <v>1.553223424743609</v>
      </c>
      <c r="R271">
        <v>-3.6229038117637682</v>
      </c>
      <c r="S271">
        <v>0.20869636670140149</v>
      </c>
      <c r="T271">
        <v>0.1597767513721236</v>
      </c>
      <c r="U271">
        <v>4.4922121462179394</v>
      </c>
      <c r="V271">
        <v>0.20034621017914711</v>
      </c>
      <c r="W271">
        <v>3.3545053226596959</v>
      </c>
      <c r="X271">
        <v>0.3746895170986167</v>
      </c>
      <c r="Z271" t="s">
        <v>392</v>
      </c>
      <c r="AA271">
        <v>9400</v>
      </c>
      <c r="AB271" t="s">
        <v>2690</v>
      </c>
      <c r="AC271" t="str">
        <f>HYPERLINK("plots/3FT6Y578R01_012_S11P_20251111092011_M5358ACSH101811_RBGEUFRF26/dpll_52046/txpa_55190.png","plot")</f>
        <v>plot</v>
      </c>
    </row>
    <row r="272" spans="1:29" x14ac:dyDescent="0.35">
      <c r="A272" t="s">
        <v>48</v>
      </c>
      <c r="B272">
        <v>52046</v>
      </c>
      <c r="C272" t="s">
        <v>51</v>
      </c>
      <c r="D272">
        <v>55191</v>
      </c>
      <c r="E272" t="s">
        <v>324</v>
      </c>
      <c r="F272">
        <v>12240</v>
      </c>
      <c r="G272">
        <v>0.83103395493787002</v>
      </c>
      <c r="H272">
        <v>0</v>
      </c>
      <c r="I272">
        <v>0</v>
      </c>
      <c r="J272">
        <v>0.72044160015296832</v>
      </c>
      <c r="K272">
        <v>0</v>
      </c>
      <c r="L272">
        <v>0</v>
      </c>
      <c r="M272">
        <v>0.52745595918234667</v>
      </c>
      <c r="N272">
        <v>0</v>
      </c>
      <c r="O272">
        <v>0</v>
      </c>
      <c r="P272">
        <v>0.69061743425967781</v>
      </c>
      <c r="Q272">
        <v>1.5588965333655249</v>
      </c>
      <c r="R272">
        <v>-3.6727286674650959</v>
      </c>
      <c r="S272">
        <v>0.2089944421554274</v>
      </c>
      <c r="T272">
        <v>0.1610341980863951</v>
      </c>
      <c r="U272">
        <v>4.492228153022876</v>
      </c>
      <c r="V272">
        <v>0.2003115712750779</v>
      </c>
      <c r="W272">
        <v>3.3301902273692812</v>
      </c>
      <c r="X272">
        <v>0.37575481988225862</v>
      </c>
      <c r="Z272" t="s">
        <v>392</v>
      </c>
      <c r="AA272">
        <v>9400</v>
      </c>
      <c r="AB272" t="s">
        <v>2691</v>
      </c>
      <c r="AC272" t="str">
        <f>HYPERLINK("plots/3FT6Y578R01_012_S11P_20251111092011_M5358ACSH101811_RBGEUFRF26/dpll_52046/txpa_55191.png","plot")</f>
        <v>plot</v>
      </c>
    </row>
    <row r="273" spans="1:29" x14ac:dyDescent="0.35">
      <c r="A273" t="s">
        <v>48</v>
      </c>
      <c r="B273">
        <v>52046</v>
      </c>
      <c r="C273" t="s">
        <v>51</v>
      </c>
      <c r="D273">
        <v>55192</v>
      </c>
      <c r="E273" t="s">
        <v>325</v>
      </c>
      <c r="F273">
        <v>12240</v>
      </c>
      <c r="G273">
        <v>0.83356367969927547</v>
      </c>
      <c r="H273">
        <v>0</v>
      </c>
      <c r="I273">
        <v>0</v>
      </c>
      <c r="J273">
        <v>0.72618567199815021</v>
      </c>
      <c r="K273">
        <v>0</v>
      </c>
      <c r="L273">
        <v>0</v>
      </c>
      <c r="M273">
        <v>0.53353299054863723</v>
      </c>
      <c r="N273">
        <v>0</v>
      </c>
      <c r="O273">
        <v>0</v>
      </c>
      <c r="P273">
        <v>0.69482840811379631</v>
      </c>
      <c r="Q273">
        <v>1.5670321386454751</v>
      </c>
      <c r="R273">
        <v>-3.7079169947246058</v>
      </c>
      <c r="S273">
        <v>0.2079939681444064</v>
      </c>
      <c r="T273">
        <v>0.16054135004402439</v>
      </c>
      <c r="U273">
        <v>4.4921825285947721</v>
      </c>
      <c r="V273">
        <v>0.20028909768291919</v>
      </c>
      <c r="W273">
        <v>3.331477400245098</v>
      </c>
      <c r="X273">
        <v>0.37652726568253098</v>
      </c>
      <c r="Z273" t="s">
        <v>392</v>
      </c>
      <c r="AA273">
        <v>9400</v>
      </c>
      <c r="AB273" t="s">
        <v>2692</v>
      </c>
      <c r="AC273" t="str">
        <f>HYPERLINK("plots/3FT6Y578R01_012_S11P_20251111092011_M5358ACSH101811_RBGEUFRF26/dpll_52046/txpa_55192.png","plot")</f>
        <v>plot</v>
      </c>
    </row>
    <row r="274" spans="1:29" x14ac:dyDescent="0.35">
      <c r="A274" t="s">
        <v>48</v>
      </c>
      <c r="B274">
        <v>52046</v>
      </c>
      <c r="C274" t="s">
        <v>51</v>
      </c>
      <c r="D274">
        <v>55193</v>
      </c>
      <c r="E274" t="s">
        <v>326</v>
      </c>
      <c r="F274">
        <v>12242</v>
      </c>
      <c r="G274">
        <v>0.83238977975028727</v>
      </c>
      <c r="H274">
        <v>0</v>
      </c>
      <c r="I274">
        <v>0</v>
      </c>
      <c r="J274">
        <v>0.72121963460019789</v>
      </c>
      <c r="K274">
        <v>0</v>
      </c>
      <c r="L274">
        <v>0</v>
      </c>
      <c r="M274">
        <v>0.52936189581662252</v>
      </c>
      <c r="N274">
        <v>0</v>
      </c>
      <c r="O274">
        <v>0</v>
      </c>
      <c r="P274">
        <v>0.69287274543273181</v>
      </c>
      <c r="Q274">
        <v>1.5624485968357109</v>
      </c>
      <c r="R274">
        <v>-3.68202676979827</v>
      </c>
      <c r="S274">
        <v>0.20837237180696941</v>
      </c>
      <c r="T274">
        <v>0.16045605725883211</v>
      </c>
      <c r="U274">
        <v>4.4922368706093776</v>
      </c>
      <c r="V274">
        <v>0.20031787099771459</v>
      </c>
      <c r="W274">
        <v>3.336862425338996</v>
      </c>
      <c r="X274">
        <v>0.37600939376669218</v>
      </c>
      <c r="Z274" t="s">
        <v>392</v>
      </c>
      <c r="AA274">
        <v>9400</v>
      </c>
      <c r="AB274" t="s">
        <v>2693</v>
      </c>
      <c r="AC274" t="str">
        <f>HYPERLINK("plots/3FT6Y578R01_012_S11P_20251111092011_M5358ACSH101811_RBGEUFRF26/dpll_52046/txpa_55193.png","plot")</f>
        <v>plot</v>
      </c>
    </row>
    <row r="275" spans="1:29" x14ac:dyDescent="0.35">
      <c r="A275" t="s">
        <v>48</v>
      </c>
      <c r="B275">
        <v>52046</v>
      </c>
      <c r="C275" t="s">
        <v>51</v>
      </c>
      <c r="D275">
        <v>55194</v>
      </c>
      <c r="E275" t="s">
        <v>327</v>
      </c>
      <c r="F275">
        <v>12238</v>
      </c>
      <c r="G275">
        <v>0.82684133722592457</v>
      </c>
      <c r="H275">
        <v>0</v>
      </c>
      <c r="I275">
        <v>0</v>
      </c>
      <c r="J275">
        <v>0.71310608365963168</v>
      </c>
      <c r="K275">
        <v>0</v>
      </c>
      <c r="L275">
        <v>0</v>
      </c>
      <c r="M275">
        <v>0.52227394334988586</v>
      </c>
      <c r="N275">
        <v>0</v>
      </c>
      <c r="O275">
        <v>0</v>
      </c>
      <c r="P275">
        <v>0.68366659694555509</v>
      </c>
      <c r="Q275">
        <v>1.544780138530089</v>
      </c>
      <c r="R275">
        <v>-3.618852611767303</v>
      </c>
      <c r="S275">
        <v>0.21047606529130969</v>
      </c>
      <c r="T275">
        <v>0.16130777798098669</v>
      </c>
      <c r="U275">
        <v>4.4923057310017978</v>
      </c>
      <c r="V275">
        <v>0.20031037208272351</v>
      </c>
      <c r="W275">
        <v>3.3207720576891648</v>
      </c>
      <c r="X275">
        <v>0.37423804350799372</v>
      </c>
      <c r="Z275" t="s">
        <v>392</v>
      </c>
      <c r="AA275">
        <v>9400</v>
      </c>
      <c r="AB275" t="s">
        <v>2694</v>
      </c>
      <c r="AC275" t="str">
        <f>HYPERLINK("plots/3FT6Y578R01_012_S11P_20251111092011_M5358ACSH101811_RBGEUFRF26/dpll_52046/txpa_55194.png","plot")</f>
        <v>plot</v>
      </c>
    </row>
    <row r="276" spans="1:29" x14ac:dyDescent="0.35">
      <c r="A276" t="s">
        <v>48</v>
      </c>
      <c r="B276">
        <v>52046</v>
      </c>
      <c r="C276" t="s">
        <v>51</v>
      </c>
      <c r="D276">
        <v>55195</v>
      </c>
      <c r="E276" t="s">
        <v>328</v>
      </c>
      <c r="F276">
        <v>12241</v>
      </c>
      <c r="G276">
        <v>0.81908371902672894</v>
      </c>
      <c r="H276">
        <v>0</v>
      </c>
      <c r="I276">
        <v>0</v>
      </c>
      <c r="J276">
        <v>0.71860257984211595</v>
      </c>
      <c r="K276">
        <v>0</v>
      </c>
      <c r="L276">
        <v>0</v>
      </c>
      <c r="M276">
        <v>0.52523345690725631</v>
      </c>
      <c r="N276">
        <v>0</v>
      </c>
      <c r="O276">
        <v>0</v>
      </c>
      <c r="P276">
        <v>0.67089813877465743</v>
      </c>
      <c r="Q276">
        <v>1.7126465417868799</v>
      </c>
      <c r="R276">
        <v>-2.1674023709608869</v>
      </c>
      <c r="S276">
        <v>0.24027400265876089</v>
      </c>
      <c r="T276">
        <v>0.17944419178980969</v>
      </c>
      <c r="U276">
        <v>4.4922551983498087</v>
      </c>
      <c r="V276">
        <v>0.20031796777918809</v>
      </c>
      <c r="W276">
        <v>5.5262429593170488</v>
      </c>
      <c r="X276">
        <v>0.41885080463137231</v>
      </c>
      <c r="Z276" t="s">
        <v>392</v>
      </c>
      <c r="AA276">
        <v>9400</v>
      </c>
      <c r="AB276" t="s">
        <v>2695</v>
      </c>
      <c r="AC276" t="str">
        <f>HYPERLINK("plots/3FT6Y578R01_012_S11P_20251111092011_M5358ACSH101811_RBGEUFRF26/dpll_52046/txpa_55195.png","plot")</f>
        <v>plot</v>
      </c>
    </row>
    <row r="277" spans="1:29" x14ac:dyDescent="0.35">
      <c r="A277" t="s">
        <v>48</v>
      </c>
      <c r="B277">
        <v>52046</v>
      </c>
      <c r="C277" t="s">
        <v>51</v>
      </c>
      <c r="D277">
        <v>55196</v>
      </c>
      <c r="E277" t="s">
        <v>329</v>
      </c>
      <c r="F277">
        <v>12239</v>
      </c>
      <c r="G277">
        <v>0.83273297579102845</v>
      </c>
      <c r="H277">
        <v>0</v>
      </c>
      <c r="I277">
        <v>0</v>
      </c>
      <c r="J277">
        <v>0.72811430672566346</v>
      </c>
      <c r="K277">
        <v>0</v>
      </c>
      <c r="L277">
        <v>0</v>
      </c>
      <c r="M277">
        <v>0.53556452045882652</v>
      </c>
      <c r="N277">
        <v>0</v>
      </c>
      <c r="O277">
        <v>0</v>
      </c>
      <c r="P277">
        <v>0.69344420896978154</v>
      </c>
      <c r="Q277">
        <v>1.7383930082097561</v>
      </c>
      <c r="R277">
        <v>-2.2495876084735902</v>
      </c>
      <c r="S277">
        <v>0.23150954178913799</v>
      </c>
      <c r="T277">
        <v>0.1758283625192999</v>
      </c>
      <c r="U277">
        <v>4.492268155159735</v>
      </c>
      <c r="V277">
        <v>0.20030402315410911</v>
      </c>
      <c r="W277">
        <v>5.5597399434594319</v>
      </c>
      <c r="X277">
        <v>0.41814978329232122</v>
      </c>
      <c r="Z277" t="s">
        <v>392</v>
      </c>
      <c r="AA277">
        <v>9400</v>
      </c>
      <c r="AB277" t="s">
        <v>2696</v>
      </c>
      <c r="AC277" t="str">
        <f>HYPERLINK("plots/3FT6Y578R01_012_S11P_20251111092011_M5358ACSH101811_RBGEUFRF26/dpll_52046/txpa_55196.png","plot")</f>
        <v>plot</v>
      </c>
    </row>
    <row r="278" spans="1:29" x14ac:dyDescent="0.35">
      <c r="A278" t="s">
        <v>48</v>
      </c>
      <c r="B278">
        <v>52046</v>
      </c>
      <c r="C278" t="s">
        <v>51</v>
      </c>
      <c r="D278">
        <v>55197</v>
      </c>
      <c r="E278" t="s">
        <v>330</v>
      </c>
      <c r="F278">
        <v>12241</v>
      </c>
      <c r="G278">
        <v>0.83094279400338067</v>
      </c>
      <c r="H278">
        <v>0</v>
      </c>
      <c r="I278">
        <v>0</v>
      </c>
      <c r="J278">
        <v>0.724830294709635</v>
      </c>
      <c r="K278">
        <v>0</v>
      </c>
      <c r="L278">
        <v>0</v>
      </c>
      <c r="M278">
        <v>0.53209000790244354</v>
      </c>
      <c r="N278">
        <v>0</v>
      </c>
      <c r="O278">
        <v>0</v>
      </c>
      <c r="P278">
        <v>0.69046592690614472</v>
      </c>
      <c r="Q278">
        <v>1.7214365969838059</v>
      </c>
      <c r="R278">
        <v>-2.162453061760147</v>
      </c>
      <c r="S278">
        <v>0.23087467789593399</v>
      </c>
      <c r="T278">
        <v>0.17464907991485051</v>
      </c>
      <c r="U278">
        <v>4.4922551983498087</v>
      </c>
      <c r="V278">
        <v>0.20031796777918809</v>
      </c>
      <c r="W278">
        <v>5.570679439669961</v>
      </c>
      <c r="X278">
        <v>0.41499208279687477</v>
      </c>
      <c r="Z278" t="s">
        <v>392</v>
      </c>
      <c r="AA278">
        <v>9400</v>
      </c>
      <c r="AB278" t="s">
        <v>2697</v>
      </c>
      <c r="AC278" t="str">
        <f>HYPERLINK("plots/3FT6Y578R01_012_S11P_20251111092011_M5358ACSH101811_RBGEUFRF26/dpll_52046/txpa_55197.png","plot")</f>
        <v>plot</v>
      </c>
    </row>
    <row r="279" spans="1:29" x14ac:dyDescent="0.35">
      <c r="A279" t="s">
        <v>48</v>
      </c>
      <c r="B279">
        <v>52046</v>
      </c>
      <c r="C279" t="s">
        <v>51</v>
      </c>
      <c r="D279">
        <v>55198</v>
      </c>
      <c r="E279" t="s">
        <v>331</v>
      </c>
      <c r="F279">
        <v>12242</v>
      </c>
      <c r="G279">
        <v>0.83973229578025099</v>
      </c>
      <c r="H279">
        <v>0</v>
      </c>
      <c r="I279">
        <v>0</v>
      </c>
      <c r="J279">
        <v>0.73092900927787596</v>
      </c>
      <c r="K279">
        <v>0</v>
      </c>
      <c r="L279">
        <v>0</v>
      </c>
      <c r="M279">
        <v>0.53831069049114033</v>
      </c>
      <c r="N279">
        <v>0</v>
      </c>
      <c r="O279">
        <v>0</v>
      </c>
      <c r="P279">
        <v>0.70515032857637094</v>
      </c>
      <c r="Q279">
        <v>1.744643067887087</v>
      </c>
      <c r="R279">
        <v>-2.2503947349598832</v>
      </c>
      <c r="S279">
        <v>0.22601093392949459</v>
      </c>
      <c r="T279">
        <v>0.17276445524569631</v>
      </c>
      <c r="U279">
        <v>4.4922121462179394</v>
      </c>
      <c r="V279">
        <v>0.20034621017914711</v>
      </c>
      <c r="W279">
        <v>5.5869120454174146</v>
      </c>
      <c r="X279">
        <v>0.41624292470700353</v>
      </c>
      <c r="Z279" t="s">
        <v>392</v>
      </c>
      <c r="AA279">
        <v>9400</v>
      </c>
      <c r="AB279" t="s">
        <v>2698</v>
      </c>
      <c r="AC279" t="str">
        <f>HYPERLINK("plots/3FT6Y578R01_012_S11P_20251111092011_M5358ACSH101811_RBGEUFRF26/dpll_52046/txpa_55198.png","plot")</f>
        <v>plot</v>
      </c>
    </row>
    <row r="280" spans="1:29" x14ac:dyDescent="0.35">
      <c r="A280" t="s">
        <v>48</v>
      </c>
      <c r="B280">
        <v>52046</v>
      </c>
      <c r="C280" t="s">
        <v>51</v>
      </c>
      <c r="D280">
        <v>55199</v>
      </c>
      <c r="E280" t="s">
        <v>332</v>
      </c>
      <c r="F280">
        <v>12240</v>
      </c>
      <c r="G280">
        <v>0.84050440123279213</v>
      </c>
      <c r="H280">
        <v>0</v>
      </c>
      <c r="I280">
        <v>0</v>
      </c>
      <c r="J280">
        <v>0.72837766383369662</v>
      </c>
      <c r="K280">
        <v>0</v>
      </c>
      <c r="L280">
        <v>0</v>
      </c>
      <c r="M280">
        <v>0.5353879160403614</v>
      </c>
      <c r="N280">
        <v>0</v>
      </c>
      <c r="O280">
        <v>0</v>
      </c>
      <c r="P280">
        <v>0.70644764849169439</v>
      </c>
      <c r="Q280">
        <v>1.7504508872083471</v>
      </c>
      <c r="R280">
        <v>-2.3021165140894411</v>
      </c>
      <c r="S280">
        <v>0.2260169532203776</v>
      </c>
      <c r="T280">
        <v>0.17380369418095329</v>
      </c>
      <c r="U280">
        <v>4.492228153022876</v>
      </c>
      <c r="V280">
        <v>0.2003115712750779</v>
      </c>
      <c r="W280">
        <v>5.5613082419117648</v>
      </c>
      <c r="X280">
        <v>0.41717279188814582</v>
      </c>
      <c r="Z280" t="s">
        <v>392</v>
      </c>
      <c r="AA280">
        <v>9400</v>
      </c>
      <c r="AB280" t="s">
        <v>2699</v>
      </c>
      <c r="AC280" t="str">
        <f>HYPERLINK("plots/3FT6Y578R01_012_S11P_20251111092011_M5358ACSH101811_RBGEUFRF26/dpll_52046/txpa_55199.png","plot")</f>
        <v>plot</v>
      </c>
    </row>
    <row r="281" spans="1:29" x14ac:dyDescent="0.35">
      <c r="A281" t="s">
        <v>48</v>
      </c>
      <c r="B281">
        <v>52046</v>
      </c>
      <c r="C281" t="s">
        <v>51</v>
      </c>
      <c r="D281">
        <v>55200</v>
      </c>
      <c r="E281" t="s">
        <v>333</v>
      </c>
      <c r="F281">
        <v>12240</v>
      </c>
      <c r="G281">
        <v>0.84243300230323181</v>
      </c>
      <c r="H281">
        <v>0</v>
      </c>
      <c r="I281">
        <v>0</v>
      </c>
      <c r="J281">
        <v>0.73273865282748374</v>
      </c>
      <c r="K281">
        <v>0</v>
      </c>
      <c r="L281">
        <v>0</v>
      </c>
      <c r="M281">
        <v>0.54027084877346521</v>
      </c>
      <c r="N281">
        <v>0</v>
      </c>
      <c r="O281">
        <v>0</v>
      </c>
      <c r="P281">
        <v>0.70969336336963695</v>
      </c>
      <c r="Q281">
        <v>1.758034776957117</v>
      </c>
      <c r="R281">
        <v>-2.3315255063590952</v>
      </c>
      <c r="S281">
        <v>0.22519572434057311</v>
      </c>
      <c r="T281">
        <v>0.1733776730242243</v>
      </c>
      <c r="U281">
        <v>4.4921825285947721</v>
      </c>
      <c r="V281">
        <v>0.20028909768291919</v>
      </c>
      <c r="W281">
        <v>5.5658876033496734</v>
      </c>
      <c r="X281">
        <v>0.41797412756770203</v>
      </c>
      <c r="Z281" t="s">
        <v>392</v>
      </c>
      <c r="AA281">
        <v>9400</v>
      </c>
      <c r="AB281" t="s">
        <v>2700</v>
      </c>
      <c r="AC281" t="str">
        <f>HYPERLINK("plots/3FT6Y578R01_012_S11P_20251111092011_M5358ACSH101811_RBGEUFRF26/dpll_52046/txpa_55200.png","plot")</f>
        <v>plot</v>
      </c>
    </row>
    <row r="282" spans="1:29" x14ac:dyDescent="0.35">
      <c r="A282" t="s">
        <v>48</v>
      </c>
      <c r="B282">
        <v>52046</v>
      </c>
      <c r="C282" t="s">
        <v>51</v>
      </c>
      <c r="D282">
        <v>55201</v>
      </c>
      <c r="E282" t="s">
        <v>334</v>
      </c>
      <c r="F282">
        <v>12242</v>
      </c>
      <c r="G282">
        <v>0.84146372795143343</v>
      </c>
      <c r="H282">
        <v>0</v>
      </c>
      <c r="I282">
        <v>0</v>
      </c>
      <c r="J282">
        <v>0.72850236302986449</v>
      </c>
      <c r="K282">
        <v>0</v>
      </c>
      <c r="L282">
        <v>0</v>
      </c>
      <c r="M282">
        <v>0.5366451675171674</v>
      </c>
      <c r="N282">
        <v>0</v>
      </c>
      <c r="O282">
        <v>0</v>
      </c>
      <c r="P282">
        <v>0.70806120545792395</v>
      </c>
      <c r="Q282">
        <v>1.754404339136086</v>
      </c>
      <c r="R282">
        <v>-2.3101426640565812</v>
      </c>
      <c r="S282">
        <v>0.22565354215164071</v>
      </c>
      <c r="T282">
        <v>0.17321351661717529</v>
      </c>
      <c r="U282">
        <v>4.4922368706093776</v>
      </c>
      <c r="V282">
        <v>0.20031787099771459</v>
      </c>
      <c r="W282">
        <v>5.5710571941676204</v>
      </c>
      <c r="X282">
        <v>0.4176514452268546</v>
      </c>
      <c r="Z282" t="s">
        <v>392</v>
      </c>
      <c r="AA282">
        <v>9400</v>
      </c>
      <c r="AB282" t="s">
        <v>2701</v>
      </c>
      <c r="AC282" t="str">
        <f>HYPERLINK("plots/3FT6Y578R01_012_S11P_20251111092011_M5358ACSH101811_RBGEUFRF26/dpll_52046/txpa_55201.png","plot")</f>
        <v>plot</v>
      </c>
    </row>
    <row r="283" spans="1:29" x14ac:dyDescent="0.35">
      <c r="A283" t="s">
        <v>48</v>
      </c>
      <c r="B283">
        <v>52046</v>
      </c>
      <c r="C283" t="s">
        <v>51</v>
      </c>
      <c r="D283">
        <v>55202</v>
      </c>
      <c r="E283" t="s">
        <v>335</v>
      </c>
      <c r="F283">
        <v>12237</v>
      </c>
      <c r="G283">
        <v>0.83678106781824757</v>
      </c>
      <c r="H283">
        <v>0</v>
      </c>
      <c r="I283">
        <v>0</v>
      </c>
      <c r="J283">
        <v>0.72104910372255104</v>
      </c>
      <c r="K283">
        <v>0</v>
      </c>
      <c r="L283">
        <v>0</v>
      </c>
      <c r="M283">
        <v>0.53002715275905088</v>
      </c>
      <c r="N283">
        <v>0</v>
      </c>
      <c r="O283">
        <v>0</v>
      </c>
      <c r="P283">
        <v>0.70020255545904664</v>
      </c>
      <c r="Q283">
        <v>1.7355942021008191</v>
      </c>
      <c r="R283">
        <v>-2.240585155901619</v>
      </c>
      <c r="S283">
        <v>0.22747112511298351</v>
      </c>
      <c r="T283">
        <v>0.1741437490298047</v>
      </c>
      <c r="U283">
        <v>4.4923260961837048</v>
      </c>
      <c r="V283">
        <v>0.20030588695659429</v>
      </c>
      <c r="W283">
        <v>5.5562699705810257</v>
      </c>
      <c r="X283">
        <v>0.41546080500477861</v>
      </c>
      <c r="Z283" t="s">
        <v>392</v>
      </c>
      <c r="AA283">
        <v>9400</v>
      </c>
      <c r="AB283" t="s">
        <v>2702</v>
      </c>
      <c r="AC283" t="str">
        <f>HYPERLINK("plots/3FT6Y578R01_012_S11P_20251111092011_M5358ACSH101811_RBGEUFRF26/dpll_52046/txpa_55202.png","plot")</f>
        <v>plot</v>
      </c>
    </row>
    <row r="284" spans="1:29" x14ac:dyDescent="0.35">
      <c r="A284" t="s">
        <v>48</v>
      </c>
      <c r="B284">
        <v>52046</v>
      </c>
      <c r="C284" t="s">
        <v>51</v>
      </c>
      <c r="D284">
        <v>55203</v>
      </c>
      <c r="E284" t="s">
        <v>336</v>
      </c>
      <c r="F284">
        <v>12241</v>
      </c>
      <c r="G284">
        <v>0.82241107565713178</v>
      </c>
      <c r="H284">
        <v>0</v>
      </c>
      <c r="I284">
        <v>0</v>
      </c>
      <c r="J284">
        <v>0.72063606472113118</v>
      </c>
      <c r="K284">
        <v>0</v>
      </c>
      <c r="L284">
        <v>0</v>
      </c>
      <c r="M284">
        <v>0.52734531218189662</v>
      </c>
      <c r="N284">
        <v>0</v>
      </c>
      <c r="O284">
        <v>0</v>
      </c>
      <c r="P284">
        <v>0.67635997736352049</v>
      </c>
      <c r="Q284">
        <v>1.8010520555987699</v>
      </c>
      <c r="R284">
        <v>-1.57954585661534</v>
      </c>
      <c r="S284">
        <v>0.24955748022458241</v>
      </c>
      <c r="T284">
        <v>0.1862399051375484</v>
      </c>
      <c r="U284">
        <v>4.4922551983498087</v>
      </c>
      <c r="V284">
        <v>0.20031796777918809</v>
      </c>
      <c r="W284">
        <v>6.5112396026468424</v>
      </c>
      <c r="X284">
        <v>0.43868948062718888</v>
      </c>
      <c r="Z284" t="s">
        <v>392</v>
      </c>
      <c r="AA284">
        <v>9400</v>
      </c>
      <c r="AB284" t="s">
        <v>2703</v>
      </c>
      <c r="AC284" t="str">
        <f>HYPERLINK("plots/3FT6Y578R01_012_S11P_20251111092011_M5358ACSH101811_RBGEUFRF26/dpll_52046/txpa_55203.png","plot")</f>
        <v>plot</v>
      </c>
    </row>
    <row r="285" spans="1:29" x14ac:dyDescent="0.35">
      <c r="A285" t="s">
        <v>48</v>
      </c>
      <c r="B285">
        <v>52046</v>
      </c>
      <c r="C285" t="s">
        <v>51</v>
      </c>
      <c r="D285">
        <v>55204</v>
      </c>
      <c r="E285" t="s">
        <v>337</v>
      </c>
      <c r="F285">
        <v>12239</v>
      </c>
      <c r="G285">
        <v>0.8355505965097243</v>
      </c>
      <c r="H285">
        <v>0</v>
      </c>
      <c r="I285">
        <v>0</v>
      </c>
      <c r="J285">
        <v>0.72994322781037713</v>
      </c>
      <c r="K285">
        <v>0</v>
      </c>
      <c r="L285">
        <v>0</v>
      </c>
      <c r="M285">
        <v>0.5374795387805823</v>
      </c>
      <c r="N285">
        <v>0</v>
      </c>
      <c r="O285">
        <v>0</v>
      </c>
      <c r="P285">
        <v>0.69814479932775608</v>
      </c>
      <c r="Q285">
        <v>1.826577287294286</v>
      </c>
      <c r="R285">
        <v>-1.6607885772675459</v>
      </c>
      <c r="S285">
        <v>0.24056728130158009</v>
      </c>
      <c r="T285">
        <v>0.18253315421967381</v>
      </c>
      <c r="U285">
        <v>4.492268155159735</v>
      </c>
      <c r="V285">
        <v>0.20030402315410911</v>
      </c>
      <c r="W285">
        <v>6.5446864033826291</v>
      </c>
      <c r="X285">
        <v>0.43787986122598199</v>
      </c>
      <c r="Z285" t="s">
        <v>392</v>
      </c>
      <c r="AA285">
        <v>9400</v>
      </c>
      <c r="AB285" t="s">
        <v>2704</v>
      </c>
      <c r="AC285" t="str">
        <f>HYPERLINK("plots/3FT6Y578R01_012_S11P_20251111092011_M5358ACSH101811_RBGEUFRF26/dpll_52046/txpa_55204.png","plot")</f>
        <v>plot</v>
      </c>
    </row>
    <row r="286" spans="1:29" x14ac:dyDescent="0.35">
      <c r="A286" t="s">
        <v>48</v>
      </c>
      <c r="B286">
        <v>52046</v>
      </c>
      <c r="C286" t="s">
        <v>51</v>
      </c>
      <c r="D286">
        <v>55205</v>
      </c>
      <c r="E286" t="s">
        <v>338</v>
      </c>
      <c r="F286">
        <v>12240</v>
      </c>
      <c r="G286">
        <v>0.83410637132188026</v>
      </c>
      <c r="H286">
        <v>0</v>
      </c>
      <c r="I286">
        <v>0</v>
      </c>
      <c r="J286">
        <v>0.72649078081344176</v>
      </c>
      <c r="K286">
        <v>0</v>
      </c>
      <c r="L286">
        <v>0</v>
      </c>
      <c r="M286">
        <v>0.5338408700342645</v>
      </c>
      <c r="N286">
        <v>0</v>
      </c>
      <c r="O286">
        <v>0</v>
      </c>
      <c r="P286">
        <v>0.69573343867975435</v>
      </c>
      <c r="Q286">
        <v>1.808621536344831</v>
      </c>
      <c r="R286">
        <v>-1.5687419509684599</v>
      </c>
      <c r="S286">
        <v>0.23957952689325629</v>
      </c>
      <c r="T286">
        <v>0.18127235029883071</v>
      </c>
      <c r="U286">
        <v>4.4922740630718954</v>
      </c>
      <c r="V286">
        <v>0.20031527700333429</v>
      </c>
      <c r="W286">
        <v>6.5560816666666666</v>
      </c>
      <c r="X286">
        <v>0.43435050552719262</v>
      </c>
      <c r="Z286" t="s">
        <v>392</v>
      </c>
      <c r="AA286">
        <v>9400</v>
      </c>
      <c r="AB286" t="s">
        <v>2705</v>
      </c>
      <c r="AC286" t="str">
        <f>HYPERLINK("plots/3FT6Y578R01_012_S11P_20251111092011_M5358ACSH101811_RBGEUFRF26/dpll_52046/txpa_55205.png","plot")</f>
        <v>plot</v>
      </c>
    </row>
    <row r="287" spans="1:29" x14ac:dyDescent="0.35">
      <c r="A287" t="s">
        <v>48</v>
      </c>
      <c r="B287">
        <v>52046</v>
      </c>
      <c r="C287" t="s">
        <v>51</v>
      </c>
      <c r="D287">
        <v>55206</v>
      </c>
      <c r="E287" t="s">
        <v>339</v>
      </c>
      <c r="F287">
        <v>12242</v>
      </c>
      <c r="G287">
        <v>0.84236098888815092</v>
      </c>
      <c r="H287">
        <v>0</v>
      </c>
      <c r="I287">
        <v>0</v>
      </c>
      <c r="J287">
        <v>0.73243872177937941</v>
      </c>
      <c r="K287">
        <v>0</v>
      </c>
      <c r="L287">
        <v>0</v>
      </c>
      <c r="M287">
        <v>0.5399736040487485</v>
      </c>
      <c r="N287">
        <v>0</v>
      </c>
      <c r="O287">
        <v>0</v>
      </c>
      <c r="P287">
        <v>0.70957203560062354</v>
      </c>
      <c r="Q287">
        <v>1.833111956716998</v>
      </c>
      <c r="R287">
        <v>-1.663796203647588</v>
      </c>
      <c r="S287">
        <v>0.23494886579136601</v>
      </c>
      <c r="T287">
        <v>0.17946531474496349</v>
      </c>
      <c r="U287">
        <v>4.4922121462179394</v>
      </c>
      <c r="V287">
        <v>0.20034621017914711</v>
      </c>
      <c r="W287">
        <v>6.5709315936938397</v>
      </c>
      <c r="X287">
        <v>0.43598532957595859</v>
      </c>
      <c r="Z287" t="s">
        <v>392</v>
      </c>
      <c r="AA287">
        <v>9400</v>
      </c>
      <c r="AB287" t="s">
        <v>2706</v>
      </c>
      <c r="AC287" t="str">
        <f>HYPERLINK("plots/3FT6Y578R01_012_S11P_20251111092011_M5358ACSH101811_RBGEUFRF26/dpll_52046/txpa_55206.png","plot")</f>
        <v>plot</v>
      </c>
    </row>
    <row r="288" spans="1:29" x14ac:dyDescent="0.35">
      <c r="A288" t="s">
        <v>48</v>
      </c>
      <c r="B288">
        <v>52046</v>
      </c>
      <c r="C288" t="s">
        <v>51</v>
      </c>
      <c r="D288">
        <v>55207</v>
      </c>
      <c r="E288" t="s">
        <v>340</v>
      </c>
      <c r="F288">
        <v>12240</v>
      </c>
      <c r="G288">
        <v>0.84320867490863649</v>
      </c>
      <c r="H288">
        <v>0</v>
      </c>
      <c r="I288">
        <v>0</v>
      </c>
      <c r="J288">
        <v>0.72994253019792688</v>
      </c>
      <c r="K288">
        <v>0</v>
      </c>
      <c r="L288">
        <v>0</v>
      </c>
      <c r="M288">
        <v>0.53710638561731294</v>
      </c>
      <c r="N288">
        <v>0</v>
      </c>
      <c r="O288">
        <v>0</v>
      </c>
      <c r="P288">
        <v>0.71100086944117857</v>
      </c>
      <c r="Q288">
        <v>1.8395356257268429</v>
      </c>
      <c r="R288">
        <v>-1.7190860792381539</v>
      </c>
      <c r="S288">
        <v>0.23491443356173419</v>
      </c>
      <c r="T288">
        <v>0.18050938266244451</v>
      </c>
      <c r="U288">
        <v>4.492228153022876</v>
      </c>
      <c r="V288">
        <v>0.2003115712750779</v>
      </c>
      <c r="W288">
        <v>6.5445276471405238</v>
      </c>
      <c r="X288">
        <v>0.43699772377905532</v>
      </c>
      <c r="Z288" t="s">
        <v>392</v>
      </c>
      <c r="AA288">
        <v>9400</v>
      </c>
      <c r="AB288" t="s">
        <v>2707</v>
      </c>
      <c r="AC288" t="str">
        <f>HYPERLINK("plots/3FT6Y578R01_012_S11P_20251111092011_M5358ACSH101811_RBGEUFRF26/dpll_52046/txpa_55207.png","plot")</f>
        <v>plot</v>
      </c>
    </row>
    <row r="289" spans="1:29" x14ac:dyDescent="0.35">
      <c r="A289" t="s">
        <v>48</v>
      </c>
      <c r="B289">
        <v>52046</v>
      </c>
      <c r="C289" t="s">
        <v>51</v>
      </c>
      <c r="D289">
        <v>55208</v>
      </c>
      <c r="E289" t="s">
        <v>341</v>
      </c>
      <c r="F289">
        <v>12240</v>
      </c>
      <c r="G289">
        <v>0.84494799149272048</v>
      </c>
      <c r="H289">
        <v>0</v>
      </c>
      <c r="I289">
        <v>0</v>
      </c>
      <c r="J289">
        <v>0.734087315059331</v>
      </c>
      <c r="K289">
        <v>0</v>
      </c>
      <c r="L289">
        <v>0</v>
      </c>
      <c r="M289">
        <v>0.54179617323499429</v>
      </c>
      <c r="N289">
        <v>0</v>
      </c>
      <c r="O289">
        <v>0</v>
      </c>
      <c r="P289">
        <v>0.7139371083275825</v>
      </c>
      <c r="Q289">
        <v>1.846394806850798</v>
      </c>
      <c r="R289">
        <v>-1.744147779886672</v>
      </c>
      <c r="S289">
        <v>0.2340803309283169</v>
      </c>
      <c r="T289">
        <v>0.18001454484017371</v>
      </c>
      <c r="U289">
        <v>4.4921825285947721</v>
      </c>
      <c r="V289">
        <v>0.20028909768291919</v>
      </c>
      <c r="W289">
        <v>6.5501947123366024</v>
      </c>
      <c r="X289">
        <v>0.43767516291416653</v>
      </c>
      <c r="Z289" t="s">
        <v>392</v>
      </c>
      <c r="AA289">
        <v>9400</v>
      </c>
      <c r="AB289" t="s">
        <v>2708</v>
      </c>
      <c r="AC289" t="str">
        <f>HYPERLINK("plots/3FT6Y578R01_012_S11P_20251111092011_M5358ACSH101811_RBGEUFRF26/dpll_52046/txpa_55208.png","plot")</f>
        <v>plot</v>
      </c>
    </row>
    <row r="290" spans="1:29" x14ac:dyDescent="0.35">
      <c r="A290" t="s">
        <v>48</v>
      </c>
      <c r="B290">
        <v>52046</v>
      </c>
      <c r="C290" t="s">
        <v>51</v>
      </c>
      <c r="D290">
        <v>55209</v>
      </c>
      <c r="E290" t="s">
        <v>342</v>
      </c>
      <c r="F290">
        <v>12241</v>
      </c>
      <c r="G290">
        <v>0.84439029581564895</v>
      </c>
      <c r="H290">
        <v>0</v>
      </c>
      <c r="I290">
        <v>0</v>
      </c>
      <c r="J290">
        <v>0.72995305924142173</v>
      </c>
      <c r="K290">
        <v>0</v>
      </c>
      <c r="L290">
        <v>0</v>
      </c>
      <c r="M290">
        <v>0.53826929915169175</v>
      </c>
      <c r="N290">
        <v>0</v>
      </c>
      <c r="O290">
        <v>0</v>
      </c>
      <c r="P290">
        <v>0.71299497166763914</v>
      </c>
      <c r="Q290">
        <v>1.8430471025083199</v>
      </c>
      <c r="R290">
        <v>-1.7239764380860061</v>
      </c>
      <c r="S290">
        <v>0.23423049863911569</v>
      </c>
      <c r="T290">
        <v>0.1797161551969331</v>
      </c>
      <c r="U290">
        <v>4.4922515145004489</v>
      </c>
      <c r="V290">
        <v>0.20031950074504501</v>
      </c>
      <c r="W290">
        <v>6.5554546994526577</v>
      </c>
      <c r="X290">
        <v>0.43723652113675371</v>
      </c>
      <c r="Z290" t="s">
        <v>392</v>
      </c>
      <c r="AA290">
        <v>9400</v>
      </c>
      <c r="AB290" t="s">
        <v>2709</v>
      </c>
      <c r="AC290" t="str">
        <f>HYPERLINK("plots/3FT6Y578R01_012_S11P_20251111092011_M5358ACSH101811_RBGEUFRF26/dpll_52046/txpa_55209.png","plot")</f>
        <v>plot</v>
      </c>
    </row>
    <row r="291" spans="1:29" x14ac:dyDescent="0.35">
      <c r="A291" t="s">
        <v>48</v>
      </c>
      <c r="B291">
        <v>52046</v>
      </c>
      <c r="C291" t="s">
        <v>51</v>
      </c>
      <c r="D291">
        <v>55210</v>
      </c>
      <c r="E291" t="s">
        <v>343</v>
      </c>
      <c r="F291">
        <v>12235</v>
      </c>
      <c r="G291">
        <v>0.84009096433070318</v>
      </c>
      <c r="H291">
        <v>0</v>
      </c>
      <c r="I291">
        <v>0</v>
      </c>
      <c r="J291">
        <v>0.72272854345286686</v>
      </c>
      <c r="K291">
        <v>0</v>
      </c>
      <c r="L291">
        <v>0</v>
      </c>
      <c r="M291">
        <v>0.5318614772236897</v>
      </c>
      <c r="N291">
        <v>0</v>
      </c>
      <c r="O291">
        <v>0</v>
      </c>
      <c r="P291">
        <v>0.70575282835009079</v>
      </c>
      <c r="Q291">
        <v>1.822767471031336</v>
      </c>
      <c r="R291">
        <v>-1.6469975794600751</v>
      </c>
      <c r="S291">
        <v>0.23573333207713859</v>
      </c>
      <c r="T291">
        <v>0.18051371812981629</v>
      </c>
      <c r="U291">
        <v>4.492365550143032</v>
      </c>
      <c r="V291">
        <v>0.20029847339670609</v>
      </c>
      <c r="W291">
        <v>6.5415402133224347</v>
      </c>
      <c r="X291">
        <v>0.43459286828019028</v>
      </c>
      <c r="Z291" t="s">
        <v>392</v>
      </c>
      <c r="AA291">
        <v>9400</v>
      </c>
      <c r="AB291" t="s">
        <v>2710</v>
      </c>
      <c r="AC291" t="str">
        <f>HYPERLINK("plots/3FT6Y578R01_012_S11P_20251111092011_M5358ACSH101811_RBGEUFRF26/dpll_52046/txpa_55210.png","plot")</f>
        <v>plot</v>
      </c>
    </row>
    <row r="292" spans="1:29" x14ac:dyDescent="0.35">
      <c r="A292" t="s">
        <v>48</v>
      </c>
      <c r="B292">
        <v>52046</v>
      </c>
      <c r="C292" t="s">
        <v>51</v>
      </c>
      <c r="D292">
        <v>55211</v>
      </c>
      <c r="E292" t="s">
        <v>344</v>
      </c>
      <c r="F292">
        <v>12238</v>
      </c>
      <c r="G292">
        <v>0.82542945965858283</v>
      </c>
      <c r="H292">
        <v>0</v>
      </c>
      <c r="I292">
        <v>0</v>
      </c>
      <c r="J292">
        <v>0.72211774373295912</v>
      </c>
      <c r="K292">
        <v>0</v>
      </c>
      <c r="L292">
        <v>0</v>
      </c>
      <c r="M292">
        <v>0.52892672025657783</v>
      </c>
      <c r="N292">
        <v>0</v>
      </c>
      <c r="O292">
        <v>0</v>
      </c>
      <c r="P292">
        <v>0.68133379287226004</v>
      </c>
      <c r="Q292">
        <v>1.8877795791607701</v>
      </c>
      <c r="R292">
        <v>-1.0161994941278141</v>
      </c>
      <c r="S292">
        <v>0.25854657156824729</v>
      </c>
      <c r="T292">
        <v>0.1930083976188752</v>
      </c>
      <c r="U292">
        <v>4.4923384648635407</v>
      </c>
      <c r="V292">
        <v>0.2002706018626684</v>
      </c>
      <c r="W292">
        <v>7.4643453225200203</v>
      </c>
      <c r="X292">
        <v>0.45802430247517389</v>
      </c>
      <c r="Z292" t="s">
        <v>392</v>
      </c>
      <c r="AA292">
        <v>9400</v>
      </c>
      <c r="AB292" t="s">
        <v>2711</v>
      </c>
      <c r="AC292" t="str">
        <f>HYPERLINK("plots/3FT6Y578R01_012_S11P_20251111092011_M5358ACSH101811_RBGEUFRF26/dpll_52046/txpa_55211.png","plot")</f>
        <v>plot</v>
      </c>
    </row>
    <row r="293" spans="1:29" x14ac:dyDescent="0.35">
      <c r="A293" t="s">
        <v>48</v>
      </c>
      <c r="B293">
        <v>52046</v>
      </c>
      <c r="C293" t="s">
        <v>51</v>
      </c>
      <c r="D293">
        <v>55212</v>
      </c>
      <c r="E293" t="s">
        <v>345</v>
      </c>
      <c r="F293">
        <v>12237</v>
      </c>
      <c r="G293">
        <v>0.83793065444738779</v>
      </c>
      <c r="H293">
        <v>0</v>
      </c>
      <c r="I293">
        <v>0</v>
      </c>
      <c r="J293">
        <v>0.7307986373748292</v>
      </c>
      <c r="K293">
        <v>0</v>
      </c>
      <c r="L293">
        <v>0</v>
      </c>
      <c r="M293">
        <v>0.53843652425823407</v>
      </c>
      <c r="N293">
        <v>0</v>
      </c>
      <c r="O293">
        <v>0</v>
      </c>
      <c r="P293">
        <v>0.70212778166262757</v>
      </c>
      <c r="Q293">
        <v>1.9135999307409599</v>
      </c>
      <c r="R293">
        <v>-1.09874839536653</v>
      </c>
      <c r="S293">
        <v>0.24962593989221629</v>
      </c>
      <c r="T293">
        <v>0.18946359828526391</v>
      </c>
      <c r="U293">
        <v>4.4923150915257013</v>
      </c>
      <c r="V293">
        <v>0.2002854456994653</v>
      </c>
      <c r="W293">
        <v>7.4977454526436214</v>
      </c>
      <c r="X293">
        <v>0.45739610191452129</v>
      </c>
      <c r="Z293" t="s">
        <v>392</v>
      </c>
      <c r="AA293">
        <v>9400</v>
      </c>
      <c r="AB293" t="s">
        <v>2712</v>
      </c>
      <c r="AC293" t="str">
        <f>HYPERLINK("plots/3FT6Y578R01_012_S11P_20251111092011_M5358ACSH101811_RBGEUFRF26/dpll_52046/txpa_55212.png","plot")</f>
        <v>plot</v>
      </c>
    </row>
    <row r="294" spans="1:29" x14ac:dyDescent="0.35">
      <c r="A294" t="s">
        <v>48</v>
      </c>
      <c r="B294">
        <v>52046</v>
      </c>
      <c r="C294" t="s">
        <v>51</v>
      </c>
      <c r="D294">
        <v>55213</v>
      </c>
      <c r="E294" t="s">
        <v>346</v>
      </c>
      <c r="F294">
        <v>12240</v>
      </c>
      <c r="G294">
        <v>0.83643738148797431</v>
      </c>
      <c r="H294">
        <v>0</v>
      </c>
      <c r="I294">
        <v>0</v>
      </c>
      <c r="J294">
        <v>0.72773797853160582</v>
      </c>
      <c r="K294">
        <v>0</v>
      </c>
      <c r="L294">
        <v>0</v>
      </c>
      <c r="M294">
        <v>0.53518107598019871</v>
      </c>
      <c r="N294">
        <v>0</v>
      </c>
      <c r="O294">
        <v>0</v>
      </c>
      <c r="P294">
        <v>0.69962749315045902</v>
      </c>
      <c r="Q294">
        <v>1.8972642174047001</v>
      </c>
      <c r="R294">
        <v>-1.0138882760630969</v>
      </c>
      <c r="S294">
        <v>0.24901230142698841</v>
      </c>
      <c r="T294">
        <v>0.18826491837376411</v>
      </c>
      <c r="U294">
        <v>4.4922740630718954</v>
      </c>
      <c r="V294">
        <v>0.20031527700333429</v>
      </c>
      <c r="W294">
        <v>7.5091425585784322</v>
      </c>
      <c r="X294">
        <v>0.45436874973455621</v>
      </c>
      <c r="Z294" t="s">
        <v>392</v>
      </c>
      <c r="AA294">
        <v>9400</v>
      </c>
      <c r="AB294" t="s">
        <v>2713</v>
      </c>
      <c r="AC294" t="str">
        <f>HYPERLINK("plots/3FT6Y578R01_012_S11P_20251111092011_M5358ACSH101811_RBGEUFRF26/dpll_52046/txpa_55213.png","plot")</f>
        <v>plot</v>
      </c>
    </row>
    <row r="295" spans="1:29" x14ac:dyDescent="0.35">
      <c r="A295" t="s">
        <v>48</v>
      </c>
      <c r="B295">
        <v>52046</v>
      </c>
      <c r="C295" t="s">
        <v>51</v>
      </c>
      <c r="D295">
        <v>55214</v>
      </c>
      <c r="E295" t="s">
        <v>347</v>
      </c>
      <c r="F295">
        <v>12240</v>
      </c>
      <c r="G295">
        <v>0.84467249010198564</v>
      </c>
      <c r="H295">
        <v>0</v>
      </c>
      <c r="I295">
        <v>0</v>
      </c>
      <c r="J295">
        <v>0.73308086621083168</v>
      </c>
      <c r="K295">
        <v>0</v>
      </c>
      <c r="L295">
        <v>0</v>
      </c>
      <c r="M295">
        <v>0.54079841648723315</v>
      </c>
      <c r="N295">
        <v>0</v>
      </c>
      <c r="O295">
        <v>0</v>
      </c>
      <c r="P295">
        <v>0.71347161553508898</v>
      </c>
      <c r="Q295">
        <v>1.9205938334429939</v>
      </c>
      <c r="R295">
        <v>-1.1046328171315569</v>
      </c>
      <c r="S295">
        <v>0.24381206376365261</v>
      </c>
      <c r="T295">
        <v>0.18629600504806459</v>
      </c>
      <c r="U295">
        <v>4.4922587900326798</v>
      </c>
      <c r="V295">
        <v>0.2003281251120857</v>
      </c>
      <c r="W295">
        <v>7.5231717132352944</v>
      </c>
      <c r="X295">
        <v>0.45550076066643752</v>
      </c>
      <c r="Z295" t="s">
        <v>392</v>
      </c>
      <c r="AA295">
        <v>9400</v>
      </c>
      <c r="AB295" t="s">
        <v>2714</v>
      </c>
      <c r="AC295" t="str">
        <f>HYPERLINK("plots/3FT6Y578R01_012_S11P_20251111092011_M5358ACSH101811_RBGEUFRF26/dpll_52046/txpa_55214.png","plot")</f>
        <v>plot</v>
      </c>
    </row>
    <row r="296" spans="1:29" x14ac:dyDescent="0.35">
      <c r="A296" t="s">
        <v>48</v>
      </c>
      <c r="B296">
        <v>52046</v>
      </c>
      <c r="C296" t="s">
        <v>51</v>
      </c>
      <c r="D296">
        <v>55215</v>
      </c>
      <c r="E296" t="s">
        <v>348</v>
      </c>
      <c r="F296">
        <v>12239</v>
      </c>
      <c r="G296">
        <v>0.8454004509537969</v>
      </c>
      <c r="H296">
        <v>0</v>
      </c>
      <c r="I296">
        <v>0</v>
      </c>
      <c r="J296">
        <v>0.73093052251650847</v>
      </c>
      <c r="K296">
        <v>0</v>
      </c>
      <c r="L296">
        <v>0</v>
      </c>
      <c r="M296">
        <v>0.53833606712366033</v>
      </c>
      <c r="N296">
        <v>0</v>
      </c>
      <c r="O296">
        <v>0</v>
      </c>
      <c r="P296">
        <v>0.71470192247288311</v>
      </c>
      <c r="Q296">
        <v>1.9288906175131431</v>
      </c>
      <c r="R296">
        <v>-1.1692313473312319</v>
      </c>
      <c r="S296">
        <v>0.24409970192662081</v>
      </c>
      <c r="T296">
        <v>0.18749076780275059</v>
      </c>
      <c r="U296">
        <v>4.4922505857504698</v>
      </c>
      <c r="V296">
        <v>0.2003043790864783</v>
      </c>
      <c r="W296">
        <v>7.4958286590407717</v>
      </c>
      <c r="X296">
        <v>0.45702038250724758</v>
      </c>
      <c r="Z296" t="s">
        <v>392</v>
      </c>
      <c r="AA296">
        <v>9400</v>
      </c>
      <c r="AB296" t="s">
        <v>2715</v>
      </c>
      <c r="AC296" t="str">
        <f>HYPERLINK("plots/3FT6Y578R01_012_S11P_20251111092011_M5358ACSH101811_RBGEUFRF26/dpll_52046/txpa_55215.png","plot")</f>
        <v>plot</v>
      </c>
    </row>
    <row r="297" spans="1:29" x14ac:dyDescent="0.35">
      <c r="A297" t="s">
        <v>48</v>
      </c>
      <c r="B297">
        <v>52046</v>
      </c>
      <c r="C297" t="s">
        <v>51</v>
      </c>
      <c r="D297">
        <v>55216</v>
      </c>
      <c r="E297" t="s">
        <v>349</v>
      </c>
      <c r="F297">
        <v>12241</v>
      </c>
      <c r="G297">
        <v>0.84684098822562459</v>
      </c>
      <c r="H297">
        <v>0</v>
      </c>
      <c r="I297">
        <v>0</v>
      </c>
      <c r="J297">
        <v>0.73475825023486352</v>
      </c>
      <c r="K297">
        <v>0</v>
      </c>
      <c r="L297">
        <v>0</v>
      </c>
      <c r="M297">
        <v>0.54268352418016896</v>
      </c>
      <c r="N297">
        <v>0</v>
      </c>
      <c r="O297">
        <v>0</v>
      </c>
      <c r="P297">
        <v>0.71713965933895241</v>
      </c>
      <c r="Q297">
        <v>1.9359730197011249</v>
      </c>
      <c r="R297">
        <v>-1.194194419776476</v>
      </c>
      <c r="S297">
        <v>0.2435299136480934</v>
      </c>
      <c r="T297">
        <v>0.18708353725559709</v>
      </c>
      <c r="U297">
        <v>4.4922091693489099</v>
      </c>
      <c r="V297">
        <v>0.20030260363901081</v>
      </c>
      <c r="W297">
        <v>7.502601330937015</v>
      </c>
      <c r="X297">
        <v>0.4579141088027931</v>
      </c>
      <c r="Z297" t="s">
        <v>392</v>
      </c>
      <c r="AA297">
        <v>9400</v>
      </c>
      <c r="AB297" t="s">
        <v>2716</v>
      </c>
      <c r="AC297" t="str">
        <f>HYPERLINK("plots/3FT6Y578R01_012_S11P_20251111092011_M5358ACSH101811_RBGEUFRF26/dpll_52046/txpa_55216.png","plot")</f>
        <v>plot</v>
      </c>
    </row>
    <row r="298" spans="1:29" x14ac:dyDescent="0.35">
      <c r="A298" t="s">
        <v>48</v>
      </c>
      <c r="B298">
        <v>52046</v>
      </c>
      <c r="C298" t="s">
        <v>51</v>
      </c>
      <c r="D298">
        <v>55217</v>
      </c>
      <c r="E298" t="s">
        <v>350</v>
      </c>
      <c r="F298">
        <v>12239</v>
      </c>
      <c r="G298">
        <v>0.84664042776672366</v>
      </c>
      <c r="H298">
        <v>0</v>
      </c>
      <c r="I298">
        <v>0</v>
      </c>
      <c r="J298">
        <v>0.73058964658209447</v>
      </c>
      <c r="K298">
        <v>0</v>
      </c>
      <c r="L298">
        <v>0</v>
      </c>
      <c r="M298">
        <v>0.53919656538768168</v>
      </c>
      <c r="N298">
        <v>0</v>
      </c>
      <c r="O298">
        <v>0</v>
      </c>
      <c r="P298">
        <v>0.71680001392902082</v>
      </c>
      <c r="Q298">
        <v>1.9313980874420991</v>
      </c>
      <c r="R298">
        <v>-1.1681446958130011</v>
      </c>
      <c r="S298">
        <v>0.2431635555240417</v>
      </c>
      <c r="T298">
        <v>0.18657283671367189</v>
      </c>
      <c r="U298">
        <v>4.4922944304273233</v>
      </c>
      <c r="V298">
        <v>0.20030731966924389</v>
      </c>
      <c r="W298">
        <v>7.5082641753411226</v>
      </c>
      <c r="X298">
        <v>0.45695098110342858</v>
      </c>
      <c r="Z298" t="s">
        <v>392</v>
      </c>
      <c r="AA298">
        <v>9400</v>
      </c>
      <c r="AB298" t="s">
        <v>2717</v>
      </c>
      <c r="AC298" t="str">
        <f>HYPERLINK("plots/3FT6Y578R01_012_S11P_20251111092011_M5358ACSH101811_RBGEUFRF26/dpll_52046/txpa_55217.png","plot")</f>
        <v>plot</v>
      </c>
    </row>
    <row r="299" spans="1:29" x14ac:dyDescent="0.35">
      <c r="A299" t="s">
        <v>48</v>
      </c>
      <c r="B299">
        <v>52046</v>
      </c>
      <c r="C299" t="s">
        <v>51</v>
      </c>
      <c r="D299">
        <v>55218</v>
      </c>
      <c r="E299" t="s">
        <v>351</v>
      </c>
      <c r="F299">
        <v>12234</v>
      </c>
      <c r="G299">
        <v>0.8423479282582691</v>
      </c>
      <c r="H299">
        <v>0</v>
      </c>
      <c r="I299">
        <v>0</v>
      </c>
      <c r="J299">
        <v>0.72360606961978291</v>
      </c>
      <c r="K299">
        <v>0</v>
      </c>
      <c r="L299">
        <v>0</v>
      </c>
      <c r="M299">
        <v>0.5328952965875533</v>
      </c>
      <c r="N299">
        <v>0</v>
      </c>
      <c r="O299">
        <v>0</v>
      </c>
      <c r="P299">
        <v>0.70955003224099811</v>
      </c>
      <c r="Q299">
        <v>1.9107294661119081</v>
      </c>
      <c r="R299">
        <v>-1.089169185106508</v>
      </c>
      <c r="S299">
        <v>0.2448471913416751</v>
      </c>
      <c r="T299">
        <v>0.18744501078422079</v>
      </c>
      <c r="U299">
        <v>4.4923853137976133</v>
      </c>
      <c r="V299">
        <v>0.2002947294592593</v>
      </c>
      <c r="W299">
        <v>7.4945638070949796</v>
      </c>
      <c r="X299">
        <v>0.45433606309930741</v>
      </c>
      <c r="Z299" t="s">
        <v>392</v>
      </c>
      <c r="AA299">
        <v>9400</v>
      </c>
      <c r="AB299" t="s">
        <v>2718</v>
      </c>
      <c r="AC299" t="str">
        <f>HYPERLINK("plots/3FT6Y578R01_012_S11P_20251111092011_M5358ACSH101811_RBGEUFRF26/dpll_52046/txpa_55218.png","plot")</f>
        <v>plot</v>
      </c>
    </row>
    <row r="300" spans="1:29" x14ac:dyDescent="0.35">
      <c r="A300" t="s">
        <v>48</v>
      </c>
      <c r="B300">
        <v>52046</v>
      </c>
      <c r="C300" t="s">
        <v>51</v>
      </c>
      <c r="D300">
        <v>55219</v>
      </c>
      <c r="E300" t="s">
        <v>352</v>
      </c>
      <c r="F300">
        <v>12232</v>
      </c>
      <c r="G300">
        <v>0.82876103914496513</v>
      </c>
      <c r="H300">
        <v>0</v>
      </c>
      <c r="I300">
        <v>0</v>
      </c>
      <c r="J300">
        <v>0.72328743775148274</v>
      </c>
      <c r="K300">
        <v>0</v>
      </c>
      <c r="L300">
        <v>0</v>
      </c>
      <c r="M300">
        <v>0.53029360385361168</v>
      </c>
      <c r="N300">
        <v>0</v>
      </c>
      <c r="O300">
        <v>0</v>
      </c>
      <c r="P300">
        <v>0.6868448600046424</v>
      </c>
      <c r="Q300">
        <v>1.984735937398999</v>
      </c>
      <c r="R300">
        <v>-0.48939584173733047</v>
      </c>
      <c r="S300">
        <v>0.26824507554390381</v>
      </c>
      <c r="T300">
        <v>0.20030707089432559</v>
      </c>
      <c r="U300">
        <v>4.4925083614290386</v>
      </c>
      <c r="V300">
        <v>0.20016877510990119</v>
      </c>
      <c r="W300">
        <v>8.4270469522563758</v>
      </c>
      <c r="X300">
        <v>0.47936877186653981</v>
      </c>
      <c r="Z300" t="s">
        <v>392</v>
      </c>
      <c r="AA300">
        <v>9400</v>
      </c>
      <c r="AB300" t="s">
        <v>2719</v>
      </c>
      <c r="AC300" t="str">
        <f>HYPERLINK("plots/3FT6Y578R01_012_S11P_20251111092011_M5358ACSH101811_RBGEUFRF26/dpll_52046/txpa_55219.png","plot")</f>
        <v>plot</v>
      </c>
    </row>
    <row r="301" spans="1:29" x14ac:dyDescent="0.35">
      <c r="A301" t="s">
        <v>48</v>
      </c>
      <c r="B301">
        <v>52046</v>
      </c>
      <c r="C301" t="s">
        <v>51</v>
      </c>
      <c r="D301">
        <v>55220</v>
      </c>
      <c r="E301" t="s">
        <v>353</v>
      </c>
      <c r="F301">
        <v>12235</v>
      </c>
      <c r="G301">
        <v>0.84059113374911842</v>
      </c>
      <c r="H301">
        <v>0</v>
      </c>
      <c r="I301">
        <v>0</v>
      </c>
      <c r="J301">
        <v>0.73184109330114144</v>
      </c>
      <c r="K301">
        <v>0</v>
      </c>
      <c r="L301">
        <v>0</v>
      </c>
      <c r="M301">
        <v>0.53968194476828091</v>
      </c>
      <c r="N301">
        <v>0</v>
      </c>
      <c r="O301">
        <v>0</v>
      </c>
      <c r="P301">
        <v>0.70659345413762831</v>
      </c>
      <c r="Q301">
        <v>2.0142417715849961</v>
      </c>
      <c r="R301">
        <v>-0.58968804586400481</v>
      </c>
      <c r="S301">
        <v>0.25991779886639249</v>
      </c>
      <c r="T301">
        <v>0.19721976141347719</v>
      </c>
      <c r="U301">
        <v>4.492367491622395</v>
      </c>
      <c r="V301">
        <v>0.2002590154432789</v>
      </c>
      <c r="W301">
        <v>8.4590262090723325</v>
      </c>
      <c r="X301">
        <v>0.47986477354723839</v>
      </c>
      <c r="Z301" t="s">
        <v>392</v>
      </c>
      <c r="AA301">
        <v>9400</v>
      </c>
      <c r="AB301" t="s">
        <v>2720</v>
      </c>
      <c r="AC301" t="str">
        <f>HYPERLINK("plots/3FT6Y578R01_012_S11P_20251111092011_M5358ACSH101811_RBGEUFRF26/dpll_52046/txpa_55220.png","plot")</f>
        <v>plot</v>
      </c>
    </row>
    <row r="302" spans="1:29" x14ac:dyDescent="0.35">
      <c r="A302" t="s">
        <v>48</v>
      </c>
      <c r="B302">
        <v>52046</v>
      </c>
      <c r="C302" t="s">
        <v>51</v>
      </c>
      <c r="D302">
        <v>55221</v>
      </c>
      <c r="E302" t="s">
        <v>354</v>
      </c>
      <c r="F302">
        <v>12237</v>
      </c>
      <c r="G302">
        <v>0.8397344798882036</v>
      </c>
      <c r="H302">
        <v>0</v>
      </c>
      <c r="I302">
        <v>0</v>
      </c>
      <c r="J302">
        <v>0.72906567422894664</v>
      </c>
      <c r="K302">
        <v>0</v>
      </c>
      <c r="L302">
        <v>0</v>
      </c>
      <c r="M302">
        <v>0.53672861129820193</v>
      </c>
      <c r="N302">
        <v>0</v>
      </c>
      <c r="O302">
        <v>0</v>
      </c>
      <c r="P302">
        <v>0.70515399671311185</v>
      </c>
      <c r="Q302">
        <v>1.997560164794788</v>
      </c>
      <c r="R302">
        <v>-0.50302029244949331</v>
      </c>
      <c r="S302">
        <v>0.25869686114970009</v>
      </c>
      <c r="T302">
        <v>0.19566427217221211</v>
      </c>
      <c r="U302">
        <v>4.4923389263708424</v>
      </c>
      <c r="V302">
        <v>0.20028729432247169</v>
      </c>
      <c r="W302">
        <v>8.4706969936258876</v>
      </c>
      <c r="X302">
        <v>0.47644336422432398</v>
      </c>
      <c r="Z302" t="s">
        <v>392</v>
      </c>
      <c r="AA302">
        <v>9400</v>
      </c>
      <c r="AB302" t="s">
        <v>2721</v>
      </c>
      <c r="AC302" t="str">
        <f>HYPERLINK("plots/3FT6Y578R01_012_S11P_20251111092011_M5358ACSH101811_RBGEUFRF26/dpll_52046/txpa_55221.png","plot")</f>
        <v>plot</v>
      </c>
    </row>
    <row r="303" spans="1:29" x14ac:dyDescent="0.35">
      <c r="A303" t="s">
        <v>48</v>
      </c>
      <c r="B303">
        <v>52046</v>
      </c>
      <c r="C303" t="s">
        <v>51</v>
      </c>
      <c r="D303">
        <v>55222</v>
      </c>
      <c r="E303" t="s">
        <v>355</v>
      </c>
      <c r="F303">
        <v>12240</v>
      </c>
      <c r="G303">
        <v>0.84696523966049408</v>
      </c>
      <c r="H303">
        <v>0</v>
      </c>
      <c r="I303">
        <v>0</v>
      </c>
      <c r="J303">
        <v>0.73411202811029019</v>
      </c>
      <c r="K303">
        <v>0</v>
      </c>
      <c r="L303">
        <v>0</v>
      </c>
      <c r="M303">
        <v>0.5420447143655609</v>
      </c>
      <c r="N303">
        <v>0</v>
      </c>
      <c r="O303">
        <v>0</v>
      </c>
      <c r="P303">
        <v>0.71735011719315822</v>
      </c>
      <c r="Q303">
        <v>2.023807456353834</v>
      </c>
      <c r="R303">
        <v>-0.60794742206729424</v>
      </c>
      <c r="S303">
        <v>0.25447914365128532</v>
      </c>
      <c r="T303">
        <v>0.19412397584641769</v>
      </c>
      <c r="U303">
        <v>4.4922587900326798</v>
      </c>
      <c r="V303">
        <v>0.2003281251120857</v>
      </c>
      <c r="W303">
        <v>8.4835194130718961</v>
      </c>
      <c r="X303">
        <v>0.47868027438969912</v>
      </c>
      <c r="Z303" t="s">
        <v>392</v>
      </c>
      <c r="AA303">
        <v>9400</v>
      </c>
      <c r="AB303" t="s">
        <v>2722</v>
      </c>
      <c r="AC303" t="str">
        <f>HYPERLINK("plots/3FT6Y578R01_012_S11P_20251111092011_M5358ACSH101811_RBGEUFRF26/dpll_52046/txpa_55222.png","plot")</f>
        <v>plot</v>
      </c>
    </row>
    <row r="304" spans="1:29" x14ac:dyDescent="0.35">
      <c r="A304" t="s">
        <v>48</v>
      </c>
      <c r="B304">
        <v>52046</v>
      </c>
      <c r="C304" t="s">
        <v>51</v>
      </c>
      <c r="D304">
        <v>55223</v>
      </c>
      <c r="E304" t="s">
        <v>356</v>
      </c>
      <c r="F304">
        <v>12239</v>
      </c>
      <c r="G304">
        <v>0.84767428842532122</v>
      </c>
      <c r="H304">
        <v>0</v>
      </c>
      <c r="I304">
        <v>0</v>
      </c>
      <c r="J304">
        <v>0.73198938485178711</v>
      </c>
      <c r="K304">
        <v>0</v>
      </c>
      <c r="L304">
        <v>0</v>
      </c>
      <c r="M304">
        <v>0.53960290531314381</v>
      </c>
      <c r="N304">
        <v>0</v>
      </c>
      <c r="O304">
        <v>0</v>
      </c>
      <c r="P304">
        <v>0.71855169925737472</v>
      </c>
      <c r="Q304">
        <v>2.0319565128587711</v>
      </c>
      <c r="R304">
        <v>-0.67294476663964709</v>
      </c>
      <c r="S304">
        <v>0.25471669746989789</v>
      </c>
      <c r="T304">
        <v>0.19529536882346291</v>
      </c>
      <c r="U304">
        <v>4.4922505857504698</v>
      </c>
      <c r="V304">
        <v>0.2003043790864783</v>
      </c>
      <c r="W304">
        <v>8.4551130684696467</v>
      </c>
      <c r="X304">
        <v>0.48014879440897262</v>
      </c>
      <c r="Z304" t="s">
        <v>392</v>
      </c>
      <c r="AA304">
        <v>9400</v>
      </c>
      <c r="AB304" t="s">
        <v>2723</v>
      </c>
      <c r="AC304" t="str">
        <f>HYPERLINK("plots/3FT6Y578R01_012_S11P_20251111092011_M5358ACSH101811_RBGEUFRF26/dpll_52046/txpa_55223.png","plot")</f>
        <v>plot</v>
      </c>
    </row>
    <row r="305" spans="1:29" x14ac:dyDescent="0.35">
      <c r="A305" t="s">
        <v>48</v>
      </c>
      <c r="B305">
        <v>52046</v>
      </c>
      <c r="C305" t="s">
        <v>51</v>
      </c>
      <c r="D305">
        <v>55224</v>
      </c>
      <c r="E305" t="s">
        <v>357</v>
      </c>
      <c r="F305">
        <v>12238</v>
      </c>
      <c r="G305">
        <v>0.84964801014103719</v>
      </c>
      <c r="H305">
        <v>0</v>
      </c>
      <c r="I305">
        <v>0</v>
      </c>
      <c r="J305">
        <v>0.73536577914210544</v>
      </c>
      <c r="K305">
        <v>0</v>
      </c>
      <c r="L305">
        <v>0</v>
      </c>
      <c r="M305">
        <v>0.54361236797799695</v>
      </c>
      <c r="N305">
        <v>0</v>
      </c>
      <c r="O305">
        <v>0</v>
      </c>
      <c r="P305">
        <v>0.72190174113662409</v>
      </c>
      <c r="Q305">
        <v>2.0362550632219261</v>
      </c>
      <c r="R305">
        <v>-0.68358509259824451</v>
      </c>
      <c r="S305">
        <v>0.25312976773824808</v>
      </c>
      <c r="T305">
        <v>0.19451030085520751</v>
      </c>
      <c r="U305">
        <v>4.4922651116195453</v>
      </c>
      <c r="V305">
        <v>0.20029434949285149</v>
      </c>
      <c r="W305">
        <v>8.4638124862722659</v>
      </c>
      <c r="X305">
        <v>0.48002276050980192</v>
      </c>
      <c r="Z305" t="s">
        <v>392</v>
      </c>
      <c r="AA305">
        <v>9400</v>
      </c>
      <c r="AB305" t="s">
        <v>2724</v>
      </c>
      <c r="AC305" t="str">
        <f>HYPERLINK("plots/3FT6Y578R01_012_S11P_20251111092011_M5358ACSH101811_RBGEUFRF26/dpll_52046/txpa_55224.png","plot")</f>
        <v>plot</v>
      </c>
    </row>
    <row r="306" spans="1:29" x14ac:dyDescent="0.35">
      <c r="A306" t="s">
        <v>48</v>
      </c>
      <c r="B306">
        <v>52046</v>
      </c>
      <c r="C306" t="s">
        <v>51</v>
      </c>
      <c r="D306">
        <v>55225</v>
      </c>
      <c r="E306" t="s">
        <v>358</v>
      </c>
      <c r="F306">
        <v>12239</v>
      </c>
      <c r="G306">
        <v>0.84886297069886507</v>
      </c>
      <c r="H306">
        <v>0</v>
      </c>
      <c r="I306">
        <v>0</v>
      </c>
      <c r="J306">
        <v>0.731736454802286</v>
      </c>
      <c r="K306">
        <v>0</v>
      </c>
      <c r="L306">
        <v>0</v>
      </c>
      <c r="M306">
        <v>0.54060346661674041</v>
      </c>
      <c r="N306">
        <v>0</v>
      </c>
      <c r="O306">
        <v>0</v>
      </c>
      <c r="P306">
        <v>0.72056834302370221</v>
      </c>
      <c r="Q306">
        <v>2.0344437500505652</v>
      </c>
      <c r="R306">
        <v>-0.67014913405338561</v>
      </c>
      <c r="S306">
        <v>0.25376105853304959</v>
      </c>
      <c r="T306">
        <v>0.1943260690562886</v>
      </c>
      <c r="U306">
        <v>4.4922944304273233</v>
      </c>
      <c r="V306">
        <v>0.20030731966924389</v>
      </c>
      <c r="W306">
        <v>8.4691711933164466</v>
      </c>
      <c r="X306">
        <v>0.48007038669029167</v>
      </c>
      <c r="Z306" t="s">
        <v>392</v>
      </c>
      <c r="AA306">
        <v>9400</v>
      </c>
      <c r="AB306" t="s">
        <v>2725</v>
      </c>
      <c r="AC306" t="str">
        <f>HYPERLINK("plots/3FT6Y578R01_012_S11P_20251111092011_M5358ACSH101811_RBGEUFRF26/dpll_52046/txpa_55225.png","plot")</f>
        <v>plot</v>
      </c>
    </row>
    <row r="307" spans="1:29" x14ac:dyDescent="0.35">
      <c r="A307" t="s">
        <v>48</v>
      </c>
      <c r="B307">
        <v>52046</v>
      </c>
      <c r="C307" t="s">
        <v>51</v>
      </c>
      <c r="D307">
        <v>55226</v>
      </c>
      <c r="E307" t="s">
        <v>359</v>
      </c>
      <c r="F307">
        <v>12234</v>
      </c>
      <c r="G307">
        <v>0.84462346596338334</v>
      </c>
      <c r="H307">
        <v>0</v>
      </c>
      <c r="I307">
        <v>0</v>
      </c>
      <c r="J307">
        <v>0.72471650625156125</v>
      </c>
      <c r="K307">
        <v>0</v>
      </c>
      <c r="L307">
        <v>0</v>
      </c>
      <c r="M307">
        <v>0.53413480265267288</v>
      </c>
      <c r="N307">
        <v>0</v>
      </c>
      <c r="O307">
        <v>0</v>
      </c>
      <c r="P307">
        <v>0.71338879925599852</v>
      </c>
      <c r="Q307">
        <v>2.012674735179329</v>
      </c>
      <c r="R307">
        <v>-0.58483986798658449</v>
      </c>
      <c r="S307">
        <v>0.2555105297400998</v>
      </c>
      <c r="T307">
        <v>0.1953053623601316</v>
      </c>
      <c r="U307">
        <v>4.4923853137976133</v>
      </c>
      <c r="V307">
        <v>0.2002947294592593</v>
      </c>
      <c r="W307">
        <v>8.4568705537845332</v>
      </c>
      <c r="X307">
        <v>0.47728740417177429</v>
      </c>
      <c r="Z307" t="s">
        <v>392</v>
      </c>
      <c r="AA307">
        <v>9400</v>
      </c>
      <c r="AB307" t="s">
        <v>2726</v>
      </c>
      <c r="AC307" t="str">
        <f>HYPERLINK("plots/3FT6Y578R01_012_S11P_20251111092011_M5358ACSH101811_RBGEUFRF26/dpll_52046/txpa_55226.png","plot")</f>
        <v>plot</v>
      </c>
    </row>
    <row r="308" spans="1:29" x14ac:dyDescent="0.35">
      <c r="A308" t="s">
        <v>48</v>
      </c>
      <c r="B308">
        <v>52046</v>
      </c>
      <c r="C308" t="s">
        <v>51</v>
      </c>
      <c r="D308">
        <v>55227</v>
      </c>
      <c r="E308" t="s">
        <v>360</v>
      </c>
      <c r="F308">
        <v>12227</v>
      </c>
      <c r="G308">
        <v>0.83040586558835561</v>
      </c>
      <c r="H308">
        <v>0</v>
      </c>
      <c r="I308">
        <v>0</v>
      </c>
      <c r="J308">
        <v>0.72327319292310488</v>
      </c>
      <c r="K308">
        <v>0</v>
      </c>
      <c r="L308">
        <v>0</v>
      </c>
      <c r="M308">
        <v>0.53048186900217753</v>
      </c>
      <c r="N308">
        <v>0</v>
      </c>
      <c r="O308">
        <v>0</v>
      </c>
      <c r="P308">
        <v>0.68957390160354615</v>
      </c>
      <c r="Q308">
        <v>2.037374826434077</v>
      </c>
      <c r="R308">
        <v>-0.25765416919854012</v>
      </c>
      <c r="S308">
        <v>0.27354420969192239</v>
      </c>
      <c r="T308">
        <v>0.20451801553427509</v>
      </c>
      <c r="U308">
        <v>4.4926207162836347</v>
      </c>
      <c r="V308">
        <v>0.200117765860232</v>
      </c>
      <c r="W308">
        <v>8.8954981828739683</v>
      </c>
      <c r="X308">
        <v>0.49098268133859158</v>
      </c>
      <c r="Z308" t="s">
        <v>392</v>
      </c>
      <c r="AA308">
        <v>9400</v>
      </c>
      <c r="AB308" t="s">
        <v>2727</v>
      </c>
      <c r="AC308" t="str">
        <f>HYPERLINK("plots/3FT6Y578R01_012_S11P_20251111092011_M5358ACSH101811_RBGEUFRF26/dpll_52046/txpa_55227.png","plot")</f>
        <v>plot</v>
      </c>
    </row>
    <row r="309" spans="1:29" x14ac:dyDescent="0.35">
      <c r="A309" t="s">
        <v>48</v>
      </c>
      <c r="B309">
        <v>52046</v>
      </c>
      <c r="C309" t="s">
        <v>51</v>
      </c>
      <c r="D309">
        <v>55228</v>
      </c>
      <c r="E309" t="s">
        <v>361</v>
      </c>
      <c r="F309">
        <v>12234</v>
      </c>
      <c r="G309">
        <v>0.84128496380704321</v>
      </c>
      <c r="H309">
        <v>0</v>
      </c>
      <c r="I309">
        <v>0</v>
      </c>
      <c r="J309">
        <v>0.7316539440287273</v>
      </c>
      <c r="K309">
        <v>0</v>
      </c>
      <c r="L309">
        <v>0</v>
      </c>
      <c r="M309">
        <v>0.53964823416039842</v>
      </c>
      <c r="N309">
        <v>0</v>
      </c>
      <c r="O309">
        <v>0</v>
      </c>
      <c r="P309">
        <v>0.70776039032781801</v>
      </c>
      <c r="Q309">
        <v>2.0697668336984951</v>
      </c>
      <c r="R309">
        <v>-0.37158920275073898</v>
      </c>
      <c r="S309">
        <v>0.26629958712759849</v>
      </c>
      <c r="T309">
        <v>0.2018481560976455</v>
      </c>
      <c r="U309">
        <v>4.4923998598986437</v>
      </c>
      <c r="V309">
        <v>0.20023519136942419</v>
      </c>
      <c r="W309">
        <v>8.9266310309792374</v>
      </c>
      <c r="X309">
        <v>0.49262755887167048</v>
      </c>
      <c r="Z309" t="s">
        <v>392</v>
      </c>
      <c r="AA309">
        <v>9400</v>
      </c>
      <c r="AB309" t="s">
        <v>2728</v>
      </c>
      <c r="AC309" t="str">
        <f>HYPERLINK("plots/3FT6Y578R01_012_S11P_20251111092011_M5358ACSH101811_RBGEUFRF26/dpll_52046/txpa_55228.png","plot")</f>
        <v>plot</v>
      </c>
    </row>
    <row r="310" spans="1:29" x14ac:dyDescent="0.35">
      <c r="A310" t="s">
        <v>48</v>
      </c>
      <c r="B310">
        <v>52046</v>
      </c>
      <c r="C310" t="s">
        <v>51</v>
      </c>
      <c r="D310">
        <v>55229</v>
      </c>
      <c r="E310" t="s">
        <v>362</v>
      </c>
      <c r="F310">
        <v>12236</v>
      </c>
      <c r="G310">
        <v>0.8406078746862945</v>
      </c>
      <c r="H310">
        <v>0</v>
      </c>
      <c r="I310">
        <v>0</v>
      </c>
      <c r="J310">
        <v>0.72899357178130464</v>
      </c>
      <c r="K310">
        <v>0</v>
      </c>
      <c r="L310">
        <v>0</v>
      </c>
      <c r="M310">
        <v>0.53678242920143815</v>
      </c>
      <c r="N310">
        <v>0</v>
      </c>
      <c r="O310">
        <v>0</v>
      </c>
      <c r="P310">
        <v>0.70662159898460897</v>
      </c>
      <c r="Q310">
        <v>2.0533993702015811</v>
      </c>
      <c r="R310">
        <v>-0.28626176590460689</v>
      </c>
      <c r="S310">
        <v>0.26496909659299411</v>
      </c>
      <c r="T310">
        <v>0.20025409458159471</v>
      </c>
      <c r="U310">
        <v>4.4923670004086302</v>
      </c>
      <c r="V310">
        <v>0.20027139979607531</v>
      </c>
      <c r="W310">
        <v>8.9383618034488403</v>
      </c>
      <c r="X310">
        <v>0.48921403022083232</v>
      </c>
      <c r="Z310" t="s">
        <v>392</v>
      </c>
      <c r="AA310">
        <v>9400</v>
      </c>
      <c r="AB310" t="s">
        <v>2729</v>
      </c>
      <c r="AC310" t="str">
        <f>HYPERLINK("plots/3FT6Y578R01_012_S11P_20251111092011_M5358ACSH101811_RBGEUFRF26/dpll_52046/txpa_55229.png","plot")</f>
        <v>plot</v>
      </c>
    </row>
    <row r="311" spans="1:29" x14ac:dyDescent="0.35">
      <c r="A311" t="s">
        <v>48</v>
      </c>
      <c r="B311">
        <v>52046</v>
      </c>
      <c r="C311" t="s">
        <v>51</v>
      </c>
      <c r="D311">
        <v>55230</v>
      </c>
      <c r="E311" t="s">
        <v>363</v>
      </c>
      <c r="F311">
        <v>12240</v>
      </c>
      <c r="G311">
        <v>0.8475657760736709</v>
      </c>
      <c r="H311">
        <v>0</v>
      </c>
      <c r="I311">
        <v>0</v>
      </c>
      <c r="J311">
        <v>0.73397666540386253</v>
      </c>
      <c r="K311">
        <v>0</v>
      </c>
      <c r="L311">
        <v>0</v>
      </c>
      <c r="M311">
        <v>0.54204541808880824</v>
      </c>
      <c r="N311">
        <v>0</v>
      </c>
      <c r="O311">
        <v>0</v>
      </c>
      <c r="P311">
        <v>0.718367744771364</v>
      </c>
      <c r="Q311">
        <v>2.080509937873972</v>
      </c>
      <c r="R311">
        <v>-0.39552564856665379</v>
      </c>
      <c r="S311">
        <v>0.26095268153806161</v>
      </c>
      <c r="T311">
        <v>0.19880959869681919</v>
      </c>
      <c r="U311">
        <v>4.4922587900326798</v>
      </c>
      <c r="V311">
        <v>0.2003281251120857</v>
      </c>
      <c r="W311">
        <v>8.9506634075980394</v>
      </c>
      <c r="X311">
        <v>0.49174313887719728</v>
      </c>
      <c r="Z311" t="s">
        <v>392</v>
      </c>
      <c r="AA311">
        <v>9400</v>
      </c>
      <c r="AB311" t="s">
        <v>2730</v>
      </c>
      <c r="AC311" t="str">
        <f>HYPERLINK("plots/3FT6Y578R01_012_S11P_20251111092011_M5358ACSH101811_RBGEUFRF26/dpll_52046/txpa_55230.png","plot")</f>
        <v>plot</v>
      </c>
    </row>
    <row r="312" spans="1:29" x14ac:dyDescent="0.35">
      <c r="A312" t="s">
        <v>48</v>
      </c>
      <c r="B312">
        <v>52046</v>
      </c>
      <c r="C312" t="s">
        <v>51</v>
      </c>
      <c r="D312">
        <v>55231</v>
      </c>
      <c r="E312" t="s">
        <v>364</v>
      </c>
      <c r="F312">
        <v>12239</v>
      </c>
      <c r="G312">
        <v>0.84823341574020483</v>
      </c>
      <c r="H312">
        <v>0</v>
      </c>
      <c r="I312">
        <v>0</v>
      </c>
      <c r="J312">
        <v>0.73176274691197485</v>
      </c>
      <c r="K312">
        <v>0</v>
      </c>
      <c r="L312">
        <v>0</v>
      </c>
      <c r="M312">
        <v>0.53952207908626071</v>
      </c>
      <c r="N312">
        <v>0</v>
      </c>
      <c r="O312">
        <v>0</v>
      </c>
      <c r="P312">
        <v>0.71949992757829517</v>
      </c>
      <c r="Q312">
        <v>2.089071227598378</v>
      </c>
      <c r="R312">
        <v>-0.4630030115857604</v>
      </c>
      <c r="S312">
        <v>0.26126248918483852</v>
      </c>
      <c r="T312">
        <v>0.20000279846177069</v>
      </c>
      <c r="U312">
        <v>4.4922505857504698</v>
      </c>
      <c r="V312">
        <v>0.2003043790864783</v>
      </c>
      <c r="W312">
        <v>8.9216284342675056</v>
      </c>
      <c r="X312">
        <v>0.49331953604582129</v>
      </c>
      <c r="Z312" t="s">
        <v>392</v>
      </c>
      <c r="AA312">
        <v>9400</v>
      </c>
      <c r="AB312" t="s">
        <v>2731</v>
      </c>
      <c r="AC312" t="str">
        <f>HYPERLINK("plots/3FT6Y578R01_012_S11P_20251111092011_M5358ACSH101811_RBGEUFRF26/dpll_52046/txpa_55231.png","plot")</f>
        <v>plot</v>
      </c>
    </row>
    <row r="313" spans="1:29" x14ac:dyDescent="0.35">
      <c r="A313" t="s">
        <v>48</v>
      </c>
      <c r="B313">
        <v>52046</v>
      </c>
      <c r="C313" t="s">
        <v>51</v>
      </c>
      <c r="D313">
        <v>55232</v>
      </c>
      <c r="E313" t="s">
        <v>365</v>
      </c>
      <c r="F313">
        <v>12238</v>
      </c>
      <c r="G313">
        <v>0.85023655212891902</v>
      </c>
      <c r="H313">
        <v>0</v>
      </c>
      <c r="I313">
        <v>0</v>
      </c>
      <c r="J313">
        <v>0.73519013564324809</v>
      </c>
      <c r="K313">
        <v>0</v>
      </c>
      <c r="L313">
        <v>0</v>
      </c>
      <c r="M313">
        <v>0.54360796064075856</v>
      </c>
      <c r="N313">
        <v>0</v>
      </c>
      <c r="O313">
        <v>0</v>
      </c>
      <c r="P313">
        <v>0.72290219457607208</v>
      </c>
      <c r="Q313">
        <v>2.0933296227108449</v>
      </c>
      <c r="R313">
        <v>-0.47290427846991528</v>
      </c>
      <c r="S313">
        <v>0.25957648300476671</v>
      </c>
      <c r="T313">
        <v>0.19919011619090229</v>
      </c>
      <c r="U313">
        <v>4.4922651116195453</v>
      </c>
      <c r="V313">
        <v>0.20029434949285149</v>
      </c>
      <c r="W313">
        <v>8.9308873527537198</v>
      </c>
      <c r="X313">
        <v>0.49313581497424291</v>
      </c>
      <c r="Z313" t="s">
        <v>392</v>
      </c>
      <c r="AA313">
        <v>9400</v>
      </c>
      <c r="AB313" t="s">
        <v>2732</v>
      </c>
      <c r="AC313" t="str">
        <f>HYPERLINK("plots/3FT6Y578R01_012_S11P_20251111092011_M5358ACSH101811_RBGEUFRF26/dpll_52046/txpa_55232.png","plot")</f>
        <v>plot</v>
      </c>
    </row>
    <row r="314" spans="1:29" x14ac:dyDescent="0.35">
      <c r="A314" t="s">
        <v>48</v>
      </c>
      <c r="B314">
        <v>52046</v>
      </c>
      <c r="C314" t="s">
        <v>51</v>
      </c>
      <c r="D314">
        <v>55233</v>
      </c>
      <c r="E314" t="s">
        <v>366</v>
      </c>
      <c r="F314">
        <v>12236</v>
      </c>
      <c r="G314">
        <v>0.84984000860336695</v>
      </c>
      <c r="H314">
        <v>0</v>
      </c>
      <c r="I314">
        <v>0</v>
      </c>
      <c r="J314">
        <v>0.73146214139207277</v>
      </c>
      <c r="K314">
        <v>0</v>
      </c>
      <c r="L314">
        <v>0</v>
      </c>
      <c r="M314">
        <v>0.54057338438265201</v>
      </c>
      <c r="N314">
        <v>0</v>
      </c>
      <c r="O314">
        <v>0</v>
      </c>
      <c r="P314">
        <v>0.72222804022297082</v>
      </c>
      <c r="Q314">
        <v>2.0897803330185289</v>
      </c>
      <c r="R314">
        <v>-0.45129347677660903</v>
      </c>
      <c r="S314">
        <v>0.25954508267038973</v>
      </c>
      <c r="T314">
        <v>0.1986913848342394</v>
      </c>
      <c r="U314">
        <v>4.4923686556064082</v>
      </c>
      <c r="V314">
        <v>0.20027322263016731</v>
      </c>
      <c r="W314">
        <v>8.9367701883785546</v>
      </c>
      <c r="X314">
        <v>0.49247745180951819</v>
      </c>
      <c r="Z314" t="s">
        <v>392</v>
      </c>
      <c r="AA314">
        <v>9400</v>
      </c>
      <c r="AB314" t="s">
        <v>2733</v>
      </c>
      <c r="AC314" t="str">
        <f>HYPERLINK("plots/3FT6Y578R01_012_S11P_20251111092011_M5358ACSH101811_RBGEUFRF26/dpll_52046/txpa_55233.png","plot")</f>
        <v>plot</v>
      </c>
    </row>
    <row r="315" spans="1:29" x14ac:dyDescent="0.35">
      <c r="A315" t="s">
        <v>48</v>
      </c>
      <c r="B315">
        <v>52046</v>
      </c>
      <c r="C315" t="s">
        <v>51</v>
      </c>
      <c r="D315">
        <v>55234</v>
      </c>
      <c r="E315" t="s">
        <v>367</v>
      </c>
      <c r="F315">
        <v>12232</v>
      </c>
      <c r="G315">
        <v>0.84539568376254082</v>
      </c>
      <c r="H315">
        <v>0</v>
      </c>
      <c r="I315">
        <v>0</v>
      </c>
      <c r="J315">
        <v>0.7242386683186034</v>
      </c>
      <c r="K315">
        <v>0</v>
      </c>
      <c r="L315">
        <v>0</v>
      </c>
      <c r="M315">
        <v>0.53386811355449648</v>
      </c>
      <c r="N315">
        <v>0</v>
      </c>
      <c r="O315">
        <v>0</v>
      </c>
      <c r="P315">
        <v>0.71469386212433395</v>
      </c>
      <c r="Q315">
        <v>2.067816300689139</v>
      </c>
      <c r="R315">
        <v>-0.36462122787504292</v>
      </c>
      <c r="S315">
        <v>0.26164949290749712</v>
      </c>
      <c r="T315">
        <v>0.19995027190995471</v>
      </c>
      <c r="U315">
        <v>4.4924320164323088</v>
      </c>
      <c r="V315">
        <v>0.2002765791086932</v>
      </c>
      <c r="W315">
        <v>8.9249029254414651</v>
      </c>
      <c r="X315">
        <v>0.48987140918918892</v>
      </c>
      <c r="Z315" t="s">
        <v>392</v>
      </c>
      <c r="AA315">
        <v>9400</v>
      </c>
      <c r="AB315" t="s">
        <v>2734</v>
      </c>
      <c r="AC315" t="str">
        <f>HYPERLINK("plots/3FT6Y578R01_012_S11P_20251111092011_M5358ACSH101811_RBGEUFRF26/dpll_52046/txpa_55234.png","plot")</f>
        <v>plot</v>
      </c>
    </row>
    <row r="316" spans="1:29" x14ac:dyDescent="0.35">
      <c r="A316" t="s">
        <v>48</v>
      </c>
      <c r="B316">
        <v>52046</v>
      </c>
      <c r="C316" t="s">
        <v>51</v>
      </c>
      <c r="D316">
        <v>55235</v>
      </c>
      <c r="E316" t="s">
        <v>368</v>
      </c>
      <c r="F316">
        <v>12225</v>
      </c>
      <c r="G316">
        <v>0.83163867813839654</v>
      </c>
      <c r="H316">
        <v>0</v>
      </c>
      <c r="I316">
        <v>0</v>
      </c>
      <c r="J316">
        <v>0.72322165468489041</v>
      </c>
      <c r="K316">
        <v>0</v>
      </c>
      <c r="L316">
        <v>0</v>
      </c>
      <c r="M316">
        <v>0.53055228323651416</v>
      </c>
      <c r="N316">
        <v>0</v>
      </c>
      <c r="O316">
        <v>0</v>
      </c>
      <c r="P316">
        <v>0.69162289097577956</v>
      </c>
      <c r="Q316">
        <v>2.098493384737111</v>
      </c>
      <c r="R316">
        <v>-8.2981539435845519E-2</v>
      </c>
      <c r="S316">
        <v>0.28036774280350252</v>
      </c>
      <c r="T316">
        <v>0.2095397630792622</v>
      </c>
      <c r="U316">
        <v>4.4926704186503068</v>
      </c>
      <c r="V316">
        <v>0.20009296380937841</v>
      </c>
      <c r="W316">
        <v>9.3448576139059298</v>
      </c>
      <c r="X316">
        <v>0.50489926926720718</v>
      </c>
      <c r="Z316" t="s">
        <v>392</v>
      </c>
      <c r="AA316">
        <v>9400</v>
      </c>
      <c r="AB316" t="s">
        <v>2735</v>
      </c>
      <c r="AC316" t="str">
        <f>HYPERLINK("plots/3FT6Y578R01_012_S11P_20251111092011_M5358ACSH101811_RBGEUFRF26/dpll_52046/txpa_55235.png","plot")</f>
        <v>plot</v>
      </c>
    </row>
    <row r="317" spans="1:29" x14ac:dyDescent="0.35">
      <c r="A317" t="s">
        <v>48</v>
      </c>
      <c r="B317">
        <v>52046</v>
      </c>
      <c r="C317" t="s">
        <v>51</v>
      </c>
      <c r="D317">
        <v>55236</v>
      </c>
      <c r="E317" t="s">
        <v>369</v>
      </c>
      <c r="F317">
        <v>12232</v>
      </c>
      <c r="G317">
        <v>0.84243071622720556</v>
      </c>
      <c r="H317">
        <v>0</v>
      </c>
      <c r="I317">
        <v>0</v>
      </c>
      <c r="J317">
        <v>0.73139855281655719</v>
      </c>
      <c r="K317">
        <v>0</v>
      </c>
      <c r="L317">
        <v>0</v>
      </c>
      <c r="M317">
        <v>0.53956272152169615</v>
      </c>
      <c r="N317">
        <v>0</v>
      </c>
      <c r="O317">
        <v>0</v>
      </c>
      <c r="P317">
        <v>0.70968951164308258</v>
      </c>
      <c r="Q317">
        <v>2.131360396242294</v>
      </c>
      <c r="R317">
        <v>-0.19878959042276459</v>
      </c>
      <c r="S317">
        <v>0.27294024921091548</v>
      </c>
      <c r="T317">
        <v>0.2068621708165739</v>
      </c>
      <c r="U317">
        <v>4.4924365111183766</v>
      </c>
      <c r="V317">
        <v>0.20023098115780091</v>
      </c>
      <c r="W317">
        <v>9.3762116720078481</v>
      </c>
      <c r="X317">
        <v>0.506586921772893</v>
      </c>
      <c r="Z317" t="s">
        <v>392</v>
      </c>
      <c r="AA317">
        <v>9400</v>
      </c>
      <c r="AB317" t="s">
        <v>2736</v>
      </c>
      <c r="AC317" t="str">
        <f>HYPERLINK("plots/3FT6Y578R01_012_S11P_20251111092011_M5358ACSH101811_RBGEUFRF26/dpll_52046/txpa_55236.png","plot")</f>
        <v>plot</v>
      </c>
    </row>
    <row r="318" spans="1:29" x14ac:dyDescent="0.35">
      <c r="A318" t="s">
        <v>48</v>
      </c>
      <c r="B318">
        <v>52046</v>
      </c>
      <c r="C318" t="s">
        <v>51</v>
      </c>
      <c r="D318">
        <v>55237</v>
      </c>
      <c r="E318" t="s">
        <v>370</v>
      </c>
      <c r="F318">
        <v>12232</v>
      </c>
      <c r="G318">
        <v>0.84234893922542853</v>
      </c>
      <c r="H318">
        <v>0</v>
      </c>
      <c r="I318">
        <v>0</v>
      </c>
      <c r="J318">
        <v>0.72886456633162511</v>
      </c>
      <c r="K318">
        <v>0</v>
      </c>
      <c r="L318">
        <v>0</v>
      </c>
      <c r="M318">
        <v>0.53686446894810302</v>
      </c>
      <c r="N318">
        <v>0</v>
      </c>
      <c r="O318">
        <v>0</v>
      </c>
      <c r="P318">
        <v>0.70955173541420469</v>
      </c>
      <c r="Q318">
        <v>2.1142867414190878</v>
      </c>
      <c r="R318">
        <v>-0.1098550762227113</v>
      </c>
      <c r="S318">
        <v>0.27087153194302338</v>
      </c>
      <c r="T318">
        <v>0.2049269036719133</v>
      </c>
      <c r="U318">
        <v>4.4924430549378682</v>
      </c>
      <c r="V318">
        <v>0.2002510818507631</v>
      </c>
      <c r="W318">
        <v>9.3884577114126877</v>
      </c>
      <c r="X318">
        <v>0.50262805305034075</v>
      </c>
      <c r="Z318" t="s">
        <v>392</v>
      </c>
      <c r="AA318">
        <v>9400</v>
      </c>
      <c r="AB318" t="s">
        <v>2737</v>
      </c>
      <c r="AC318" t="str">
        <f>HYPERLINK("plots/3FT6Y578R01_012_S11P_20251111092011_M5358ACSH101811_RBGEUFRF26/dpll_52046/txpa_55237.png","plot")</f>
        <v>plot</v>
      </c>
    </row>
    <row r="319" spans="1:29" x14ac:dyDescent="0.35">
      <c r="A319" t="s">
        <v>48</v>
      </c>
      <c r="B319">
        <v>52046</v>
      </c>
      <c r="C319" t="s">
        <v>51</v>
      </c>
      <c r="D319">
        <v>55238</v>
      </c>
      <c r="E319" t="s">
        <v>371</v>
      </c>
      <c r="F319">
        <v>12239</v>
      </c>
      <c r="G319">
        <v>0.8483257365051291</v>
      </c>
      <c r="H319">
        <v>0</v>
      </c>
      <c r="I319">
        <v>0</v>
      </c>
      <c r="J319">
        <v>0.73356920803695469</v>
      </c>
      <c r="K319">
        <v>0</v>
      </c>
      <c r="L319">
        <v>0</v>
      </c>
      <c r="M319">
        <v>0.54181170633286124</v>
      </c>
      <c r="N319">
        <v>0</v>
      </c>
      <c r="O319">
        <v>0</v>
      </c>
      <c r="P319">
        <v>0.7196565552169697</v>
      </c>
      <c r="Q319">
        <v>2.1434889147198248</v>
      </c>
      <c r="R319">
        <v>-0.22956293917818901</v>
      </c>
      <c r="S319">
        <v>0.26797689530918473</v>
      </c>
      <c r="T319">
        <v>0.20396753674036491</v>
      </c>
      <c r="U319">
        <v>4.4922858152626857</v>
      </c>
      <c r="V319">
        <v>0.20031399496326899</v>
      </c>
      <c r="W319">
        <v>9.3996019075904886</v>
      </c>
      <c r="X319">
        <v>0.50613910340136659</v>
      </c>
      <c r="Z319" t="s">
        <v>392</v>
      </c>
      <c r="AA319">
        <v>9400</v>
      </c>
      <c r="AB319" t="s">
        <v>2738</v>
      </c>
      <c r="AC319" t="str">
        <f>HYPERLINK("plots/3FT6Y578R01_012_S11P_20251111092011_M5358ACSH101811_RBGEUFRF26/dpll_52046/txpa_55238.png","plot")</f>
        <v>plot</v>
      </c>
    </row>
    <row r="320" spans="1:29" x14ac:dyDescent="0.35">
      <c r="A320" t="s">
        <v>48</v>
      </c>
      <c r="B320">
        <v>52046</v>
      </c>
      <c r="C320" t="s">
        <v>51</v>
      </c>
      <c r="D320">
        <v>55239</v>
      </c>
      <c r="E320" t="s">
        <v>372</v>
      </c>
      <c r="F320">
        <v>12237</v>
      </c>
      <c r="G320">
        <v>0.84857108030935091</v>
      </c>
      <c r="H320">
        <v>0</v>
      </c>
      <c r="I320">
        <v>0</v>
      </c>
      <c r="J320">
        <v>0.73120579191764756</v>
      </c>
      <c r="K320">
        <v>0</v>
      </c>
      <c r="L320">
        <v>0</v>
      </c>
      <c r="M320">
        <v>0.53926152759196289</v>
      </c>
      <c r="N320">
        <v>0</v>
      </c>
      <c r="O320">
        <v>0</v>
      </c>
      <c r="P320">
        <v>0.72007287833737887</v>
      </c>
      <c r="Q320">
        <v>2.1500320069543961</v>
      </c>
      <c r="R320">
        <v>-0.28811893696458668</v>
      </c>
      <c r="S320">
        <v>0.26846471833152069</v>
      </c>
      <c r="T320">
        <v>0.2050761856443355</v>
      </c>
      <c r="U320">
        <v>4.4923071067255052</v>
      </c>
      <c r="V320">
        <v>0.20027455566394889</v>
      </c>
      <c r="W320">
        <v>9.3704851275639456</v>
      </c>
      <c r="X320">
        <v>0.50743740253212921</v>
      </c>
      <c r="Z320" t="s">
        <v>392</v>
      </c>
      <c r="AA320">
        <v>9400</v>
      </c>
      <c r="AB320" t="s">
        <v>2739</v>
      </c>
      <c r="AC320" t="str">
        <f>HYPERLINK("plots/3FT6Y578R01_012_S11P_20251111092011_M5358ACSH101811_RBGEUFRF26/dpll_52046/txpa_55239.png","plot")</f>
        <v>plot</v>
      </c>
    </row>
    <row r="321" spans="1:29" x14ac:dyDescent="0.35">
      <c r="A321" t="s">
        <v>48</v>
      </c>
      <c r="B321">
        <v>52046</v>
      </c>
      <c r="C321" t="s">
        <v>51</v>
      </c>
      <c r="D321">
        <v>55240</v>
      </c>
      <c r="E321" t="s">
        <v>373</v>
      </c>
      <c r="F321">
        <v>12238</v>
      </c>
      <c r="G321">
        <v>0.85089648430587217</v>
      </c>
      <c r="H321">
        <v>0</v>
      </c>
      <c r="I321">
        <v>0</v>
      </c>
      <c r="J321">
        <v>0.73490178926965022</v>
      </c>
      <c r="K321">
        <v>0</v>
      </c>
      <c r="L321">
        <v>0</v>
      </c>
      <c r="M321">
        <v>0.54350258741681223</v>
      </c>
      <c r="N321">
        <v>0</v>
      </c>
      <c r="O321">
        <v>0</v>
      </c>
      <c r="P321">
        <v>0.72402482700409332</v>
      </c>
      <c r="Q321">
        <v>2.1572681781500909</v>
      </c>
      <c r="R321">
        <v>-0.31095684439686799</v>
      </c>
      <c r="S321">
        <v>0.26675549124433778</v>
      </c>
      <c r="T321">
        <v>0.20438981529295339</v>
      </c>
      <c r="U321">
        <v>4.4922651116195453</v>
      </c>
      <c r="V321">
        <v>0.20029434949285149</v>
      </c>
      <c r="W321">
        <v>9.3800637287138429</v>
      </c>
      <c r="X321">
        <v>0.50780398602384891</v>
      </c>
      <c r="Z321" t="s">
        <v>392</v>
      </c>
      <c r="AA321">
        <v>9400</v>
      </c>
      <c r="AB321" t="s">
        <v>2740</v>
      </c>
      <c r="AC321" t="str">
        <f>HYPERLINK("plots/3FT6Y578R01_012_S11P_20251111092011_M5358ACSH101811_RBGEUFRF26/dpll_52046/txpa_55240.png","plot")</f>
        <v>plot</v>
      </c>
    </row>
    <row r="322" spans="1:29" x14ac:dyDescent="0.35">
      <c r="A322" t="s">
        <v>48</v>
      </c>
      <c r="B322">
        <v>52046</v>
      </c>
      <c r="C322" t="s">
        <v>51</v>
      </c>
      <c r="D322">
        <v>55241</v>
      </c>
      <c r="E322" t="s">
        <v>374</v>
      </c>
      <c r="F322">
        <v>12234</v>
      </c>
      <c r="G322">
        <v>0.85084649746939678</v>
      </c>
      <c r="H322">
        <v>0</v>
      </c>
      <c r="I322">
        <v>0</v>
      </c>
      <c r="J322">
        <v>0.73113712477037407</v>
      </c>
      <c r="K322">
        <v>0</v>
      </c>
      <c r="L322">
        <v>0</v>
      </c>
      <c r="M322">
        <v>0.54048978196452935</v>
      </c>
      <c r="N322">
        <v>0</v>
      </c>
      <c r="O322">
        <v>0</v>
      </c>
      <c r="P322">
        <v>0.72393976225594026</v>
      </c>
      <c r="Q322">
        <v>2.1523392200463252</v>
      </c>
      <c r="R322">
        <v>-0.28299206655176512</v>
      </c>
      <c r="S322">
        <v>0.26616470103714879</v>
      </c>
      <c r="T322">
        <v>0.20366185649871779</v>
      </c>
      <c r="U322">
        <v>4.4924081197482426</v>
      </c>
      <c r="V322">
        <v>0.2002657935256115</v>
      </c>
      <c r="W322">
        <v>9.3861941220369456</v>
      </c>
      <c r="X322">
        <v>0.50660127663553878</v>
      </c>
      <c r="Z322" t="s">
        <v>392</v>
      </c>
      <c r="AA322">
        <v>9400</v>
      </c>
      <c r="AB322" t="s">
        <v>2741</v>
      </c>
      <c r="AC322" t="str">
        <f>HYPERLINK("plots/3FT6Y578R01_012_S11P_20251111092011_M5358ACSH101811_RBGEUFRF26/dpll_52046/txpa_55241.png","plot")</f>
        <v>plot</v>
      </c>
    </row>
    <row r="323" spans="1:29" x14ac:dyDescent="0.35">
      <c r="A323" t="s">
        <v>48</v>
      </c>
      <c r="B323">
        <v>52046</v>
      </c>
      <c r="C323" t="s">
        <v>51</v>
      </c>
      <c r="D323">
        <v>55242</v>
      </c>
      <c r="E323" t="s">
        <v>375</v>
      </c>
      <c r="F323">
        <v>12228</v>
      </c>
      <c r="G323">
        <v>0.84631245462824933</v>
      </c>
      <c r="H323">
        <v>0</v>
      </c>
      <c r="I323">
        <v>0</v>
      </c>
      <c r="J323">
        <v>0.72375588247835076</v>
      </c>
      <c r="K323">
        <v>0</v>
      </c>
      <c r="L323">
        <v>0</v>
      </c>
      <c r="M323">
        <v>0.53360162165182057</v>
      </c>
      <c r="N323">
        <v>0</v>
      </c>
      <c r="O323">
        <v>0</v>
      </c>
      <c r="P323">
        <v>0.7162447708588926</v>
      </c>
      <c r="Q323">
        <v>2.1278844374090702</v>
      </c>
      <c r="R323">
        <v>-0.1847095703712309</v>
      </c>
      <c r="S323">
        <v>0.26814676475944621</v>
      </c>
      <c r="T323">
        <v>0.20492332507263189</v>
      </c>
      <c r="U323">
        <v>4.4925410964180577</v>
      </c>
      <c r="V323">
        <v>0.20021705888274829</v>
      </c>
      <c r="W323">
        <v>9.3748987131174353</v>
      </c>
      <c r="X323">
        <v>0.50340599546955378</v>
      </c>
      <c r="Z323" t="s">
        <v>392</v>
      </c>
      <c r="AA323">
        <v>9400</v>
      </c>
      <c r="AB323" t="s">
        <v>2742</v>
      </c>
      <c r="AC323" t="str">
        <f>HYPERLINK("plots/3FT6Y578R01_012_S11P_20251111092011_M5358ACSH101811_RBGEUFRF26/dpll_52046/txpa_55242.png","plot")</f>
        <v>plot</v>
      </c>
    </row>
    <row r="324" spans="1:29" x14ac:dyDescent="0.35">
      <c r="A324" t="s">
        <v>48</v>
      </c>
      <c r="B324">
        <v>52046</v>
      </c>
      <c r="C324" t="s">
        <v>51</v>
      </c>
      <c r="D324">
        <v>55243</v>
      </c>
      <c r="E324" t="s">
        <v>376</v>
      </c>
      <c r="F324">
        <v>12203</v>
      </c>
      <c r="G324">
        <v>0.83760953652227443</v>
      </c>
      <c r="H324">
        <v>0</v>
      </c>
      <c r="I324">
        <v>0</v>
      </c>
      <c r="J324">
        <v>0.71992327870021322</v>
      </c>
      <c r="K324">
        <v>0</v>
      </c>
      <c r="L324">
        <v>0</v>
      </c>
      <c r="M324">
        <v>0.52848439523711643</v>
      </c>
      <c r="N324">
        <v>0</v>
      </c>
      <c r="O324">
        <v>0</v>
      </c>
      <c r="P324">
        <v>0.70158973567305938</v>
      </c>
      <c r="Q324">
        <v>2.3753655894145229</v>
      </c>
      <c r="R324">
        <v>7.7052398877038186E-2</v>
      </c>
      <c r="S324">
        <v>0.3096863498119295</v>
      </c>
      <c r="T324">
        <v>0.2334748385413167</v>
      </c>
      <c r="U324">
        <v>4.4931420447430961</v>
      </c>
      <c r="V324">
        <v>0.19991442508309359</v>
      </c>
      <c r="W324">
        <v>10.7499074003114</v>
      </c>
      <c r="X324">
        <v>0.56693462223652713</v>
      </c>
      <c r="Z324" t="s">
        <v>392</v>
      </c>
      <c r="AA324">
        <v>9400</v>
      </c>
      <c r="AB324" t="s">
        <v>2743</v>
      </c>
      <c r="AC324" t="str">
        <f>HYPERLINK("plots/3FT6Y578R01_012_S11P_20251111092011_M5358ACSH101811_RBGEUFRF26/dpll_52046/txpa_55243.png","plot")</f>
        <v>plot</v>
      </c>
    </row>
    <row r="325" spans="1:29" x14ac:dyDescent="0.35">
      <c r="A325" t="s">
        <v>48</v>
      </c>
      <c r="B325">
        <v>52046</v>
      </c>
      <c r="C325" t="s">
        <v>51</v>
      </c>
      <c r="D325">
        <v>55244</v>
      </c>
      <c r="E325" t="s">
        <v>377</v>
      </c>
      <c r="F325">
        <v>12219</v>
      </c>
      <c r="G325">
        <v>0.84622560032250349</v>
      </c>
      <c r="H325">
        <v>0</v>
      </c>
      <c r="I325">
        <v>0</v>
      </c>
      <c r="J325">
        <v>0.72803178201959451</v>
      </c>
      <c r="K325">
        <v>0</v>
      </c>
      <c r="L325">
        <v>0</v>
      </c>
      <c r="M325">
        <v>0.53726412909808308</v>
      </c>
      <c r="N325">
        <v>0</v>
      </c>
      <c r="O325">
        <v>0</v>
      </c>
      <c r="P325">
        <v>0.71609776664118141</v>
      </c>
      <c r="Q325">
        <v>2.4163802252277131</v>
      </c>
      <c r="R325">
        <v>-7.6280060478406853E-2</v>
      </c>
      <c r="S325">
        <v>0.30448956468444938</v>
      </c>
      <c r="T325">
        <v>0.231647277524341</v>
      </c>
      <c r="U325">
        <v>4.4927163503560026</v>
      </c>
      <c r="V325">
        <v>0.2001366690930956</v>
      </c>
      <c r="W325">
        <v>10.779830886079059</v>
      </c>
      <c r="X325">
        <v>0.57148624356813627</v>
      </c>
      <c r="Z325" t="s">
        <v>392</v>
      </c>
      <c r="AA325">
        <v>9400</v>
      </c>
      <c r="AB325" t="s">
        <v>2744</v>
      </c>
      <c r="AC325" t="str">
        <f>HYPERLINK("plots/3FT6Y578R01_012_S11P_20251111092011_M5358ACSH101811_RBGEUFRF26/dpll_52046/txpa_55244.png","plot")</f>
        <v>plot</v>
      </c>
    </row>
    <row r="326" spans="1:29" x14ac:dyDescent="0.35">
      <c r="A326" t="s">
        <v>48</v>
      </c>
      <c r="B326">
        <v>52046</v>
      </c>
      <c r="C326" t="s">
        <v>51</v>
      </c>
      <c r="D326">
        <v>55245</v>
      </c>
      <c r="E326" t="s">
        <v>378</v>
      </c>
      <c r="F326">
        <v>12214</v>
      </c>
      <c r="G326">
        <v>0.84720868613327927</v>
      </c>
      <c r="H326">
        <v>0</v>
      </c>
      <c r="I326">
        <v>0</v>
      </c>
      <c r="J326">
        <v>0.72579826019966664</v>
      </c>
      <c r="K326">
        <v>0</v>
      </c>
      <c r="L326">
        <v>0</v>
      </c>
      <c r="M326">
        <v>0.53496021571979346</v>
      </c>
      <c r="N326">
        <v>0</v>
      </c>
      <c r="O326">
        <v>0</v>
      </c>
      <c r="P326">
        <v>0.71776255785967735</v>
      </c>
      <c r="Q326">
        <v>2.3960527290451918</v>
      </c>
      <c r="R326">
        <v>2.766988268440684E-2</v>
      </c>
      <c r="S326">
        <v>0.3006191687395674</v>
      </c>
      <c r="T326">
        <v>0.22891326076605911</v>
      </c>
      <c r="U326">
        <v>4.492848966759456</v>
      </c>
      <c r="V326">
        <v>0.20008805550782441</v>
      </c>
      <c r="W326">
        <v>10.79277291067627</v>
      </c>
      <c r="X326">
        <v>0.56588363563289501</v>
      </c>
      <c r="Z326" t="s">
        <v>392</v>
      </c>
      <c r="AA326">
        <v>9400</v>
      </c>
      <c r="AB326" t="s">
        <v>2745</v>
      </c>
      <c r="AC326" t="str">
        <f>HYPERLINK("plots/3FT6Y578R01_012_S11P_20251111092011_M5358ACSH101811_RBGEUFRF26/dpll_52046/txpa_55245.png","plot")</f>
        <v>plot</v>
      </c>
    </row>
    <row r="327" spans="1:29" x14ac:dyDescent="0.35">
      <c r="A327" t="s">
        <v>48</v>
      </c>
      <c r="B327">
        <v>52046</v>
      </c>
      <c r="C327" t="s">
        <v>51</v>
      </c>
      <c r="D327">
        <v>55246</v>
      </c>
      <c r="E327" t="s">
        <v>379</v>
      </c>
      <c r="F327">
        <v>12227</v>
      </c>
      <c r="G327">
        <v>0.85152049428109144</v>
      </c>
      <c r="H327">
        <v>0</v>
      </c>
      <c r="I327">
        <v>0</v>
      </c>
      <c r="J327">
        <v>0.72981885628993948</v>
      </c>
      <c r="K327">
        <v>0</v>
      </c>
      <c r="L327">
        <v>0</v>
      </c>
      <c r="M327">
        <v>0.53921244306679628</v>
      </c>
      <c r="N327">
        <v>0</v>
      </c>
      <c r="O327">
        <v>0</v>
      </c>
      <c r="P327">
        <v>0.72508715218071429</v>
      </c>
      <c r="Q327">
        <v>2.4330472128432281</v>
      </c>
      <c r="R327">
        <v>-0.13020973739400429</v>
      </c>
      <c r="S327">
        <v>0.29991342177982239</v>
      </c>
      <c r="T327">
        <v>0.22891232843557199</v>
      </c>
      <c r="U327">
        <v>4.4925637439273736</v>
      </c>
      <c r="V327">
        <v>0.20019845077498721</v>
      </c>
      <c r="W327">
        <v>10.80040995828903</v>
      </c>
      <c r="X327">
        <v>0.5720264937191557</v>
      </c>
      <c r="Z327" t="s">
        <v>392</v>
      </c>
      <c r="AA327">
        <v>9400</v>
      </c>
      <c r="AB327" t="s">
        <v>2746</v>
      </c>
      <c r="AC327" t="str">
        <f>HYPERLINK("plots/3FT6Y578R01_012_S11P_20251111092011_M5358ACSH101811_RBGEUFRF26/dpll_52046/txpa_55246.png","plot")</f>
        <v>plot</v>
      </c>
    </row>
    <row r="328" spans="1:29" x14ac:dyDescent="0.35">
      <c r="A328" t="s">
        <v>48</v>
      </c>
      <c r="B328">
        <v>52046</v>
      </c>
      <c r="C328" t="s">
        <v>51</v>
      </c>
      <c r="D328">
        <v>55247</v>
      </c>
      <c r="E328" t="s">
        <v>380</v>
      </c>
      <c r="F328">
        <v>12229</v>
      </c>
      <c r="G328">
        <v>0.85142170520294147</v>
      </c>
      <c r="H328">
        <v>0</v>
      </c>
      <c r="I328">
        <v>0</v>
      </c>
      <c r="J328">
        <v>0.72806420384429338</v>
      </c>
      <c r="K328">
        <v>0</v>
      </c>
      <c r="L328">
        <v>0</v>
      </c>
      <c r="M328">
        <v>0.53719422668286165</v>
      </c>
      <c r="N328">
        <v>0</v>
      </c>
      <c r="O328">
        <v>0</v>
      </c>
      <c r="P328">
        <v>0.72491892009068459</v>
      </c>
      <c r="Q328">
        <v>2.4412230075218919</v>
      </c>
      <c r="R328">
        <v>-0.19735982706414029</v>
      </c>
      <c r="S328">
        <v>0.3010255871362113</v>
      </c>
      <c r="T328">
        <v>0.23045361005182949</v>
      </c>
      <c r="U328">
        <v>4.4925055553193234</v>
      </c>
      <c r="V328">
        <v>0.20018340513272539</v>
      </c>
      <c r="W328">
        <v>10.76984809600131</v>
      </c>
      <c r="X328">
        <v>0.57397213548555515</v>
      </c>
      <c r="Z328" t="s">
        <v>392</v>
      </c>
      <c r="AA328">
        <v>9400</v>
      </c>
      <c r="AB328" t="s">
        <v>2747</v>
      </c>
      <c r="AC328" t="str">
        <f>HYPERLINK("plots/3FT6Y578R01_012_S11P_20251111092011_M5358ACSH101811_RBGEUFRF26/dpll_52046/txpa_55247.png","plot")</f>
        <v>plot</v>
      </c>
    </row>
    <row r="329" spans="1:29" x14ac:dyDescent="0.35">
      <c r="A329" t="s">
        <v>48</v>
      </c>
      <c r="B329">
        <v>52046</v>
      </c>
      <c r="C329" t="s">
        <v>51</v>
      </c>
      <c r="D329">
        <v>55248</v>
      </c>
      <c r="E329" t="s">
        <v>381</v>
      </c>
      <c r="F329">
        <v>12231</v>
      </c>
      <c r="G329">
        <v>0.85306035572888894</v>
      </c>
      <c r="H329">
        <v>0</v>
      </c>
      <c r="I329">
        <v>0</v>
      </c>
      <c r="J329">
        <v>0.73155577129676885</v>
      </c>
      <c r="K329">
        <v>0</v>
      </c>
      <c r="L329">
        <v>0</v>
      </c>
      <c r="M329">
        <v>0.54122839494264918</v>
      </c>
      <c r="N329">
        <v>0</v>
      </c>
      <c r="O329">
        <v>0</v>
      </c>
      <c r="P329">
        <v>0.72771197051629855</v>
      </c>
      <c r="Q329">
        <v>2.4487987306705761</v>
      </c>
      <c r="R329">
        <v>-0.21837968041506531</v>
      </c>
      <c r="S329">
        <v>0.29989262559577118</v>
      </c>
      <c r="T329">
        <v>0.22978441563368809</v>
      </c>
      <c r="U329">
        <v>4.4924398971465953</v>
      </c>
      <c r="V329">
        <v>0.20021468794384911</v>
      </c>
      <c r="W329">
        <v>10.782701437331371</v>
      </c>
      <c r="X329">
        <v>0.57473714539176246</v>
      </c>
      <c r="Z329" t="s">
        <v>392</v>
      </c>
      <c r="AA329">
        <v>9400</v>
      </c>
      <c r="AB329" t="s">
        <v>2748</v>
      </c>
      <c r="AC329" t="str">
        <f>HYPERLINK("plots/3FT6Y578R01_012_S11P_20251111092011_M5358ACSH101811_RBGEUFRF26/dpll_52046/txpa_55248.png","plot")</f>
        <v>plot</v>
      </c>
    </row>
    <row r="330" spans="1:29" x14ac:dyDescent="0.35">
      <c r="A330" t="s">
        <v>48</v>
      </c>
      <c r="B330">
        <v>52046</v>
      </c>
      <c r="C330" t="s">
        <v>51</v>
      </c>
      <c r="D330">
        <v>55249</v>
      </c>
      <c r="E330" t="s">
        <v>382</v>
      </c>
      <c r="F330">
        <v>12224</v>
      </c>
      <c r="G330">
        <v>0.85374942729195302</v>
      </c>
      <c r="H330">
        <v>0</v>
      </c>
      <c r="I330">
        <v>0</v>
      </c>
      <c r="J330">
        <v>0.72809333238236973</v>
      </c>
      <c r="K330">
        <v>0</v>
      </c>
      <c r="L330">
        <v>0</v>
      </c>
      <c r="M330">
        <v>0.53859722476811289</v>
      </c>
      <c r="N330">
        <v>0</v>
      </c>
      <c r="O330">
        <v>0</v>
      </c>
      <c r="P330">
        <v>0.7288880846013378</v>
      </c>
      <c r="Q330">
        <v>2.442996222290637</v>
      </c>
      <c r="R330">
        <v>-0.18580765252246861</v>
      </c>
      <c r="S330">
        <v>0.29825269807569782</v>
      </c>
      <c r="T330">
        <v>0.22877246930258399</v>
      </c>
      <c r="U330">
        <v>4.4926287411649222</v>
      </c>
      <c r="V330">
        <v>0.20018681647950709</v>
      </c>
      <c r="W330">
        <v>10.789667390297771</v>
      </c>
      <c r="X330">
        <v>0.57283275487877383</v>
      </c>
      <c r="Z330" t="s">
        <v>392</v>
      </c>
      <c r="AA330">
        <v>9400</v>
      </c>
      <c r="AB330" t="s">
        <v>2749</v>
      </c>
      <c r="AC330" t="str">
        <f>HYPERLINK("plots/3FT6Y578R01_012_S11P_20251111092011_M5358ACSH101811_RBGEUFRF26/dpll_52046/txpa_55249.png","plot")</f>
        <v>plot</v>
      </c>
    </row>
    <row r="331" spans="1:29" x14ac:dyDescent="0.35">
      <c r="A331" t="s">
        <v>48</v>
      </c>
      <c r="B331">
        <v>52046</v>
      </c>
      <c r="C331" t="s">
        <v>51</v>
      </c>
      <c r="D331">
        <v>55250</v>
      </c>
      <c r="E331" t="s">
        <v>383</v>
      </c>
      <c r="F331">
        <v>12220</v>
      </c>
      <c r="G331">
        <v>0.84803245866840082</v>
      </c>
      <c r="H331">
        <v>0</v>
      </c>
      <c r="I331">
        <v>0</v>
      </c>
      <c r="J331">
        <v>0.72018439945040447</v>
      </c>
      <c r="K331">
        <v>0</v>
      </c>
      <c r="L331">
        <v>0</v>
      </c>
      <c r="M331">
        <v>0.53097711182685559</v>
      </c>
      <c r="N331">
        <v>0</v>
      </c>
      <c r="O331">
        <v>0</v>
      </c>
      <c r="P331">
        <v>0.71915905095517296</v>
      </c>
      <c r="Q331">
        <v>2.4178638334406699</v>
      </c>
      <c r="R331">
        <v>-8.4139797265619265E-2</v>
      </c>
      <c r="S331">
        <v>0.30230275749190211</v>
      </c>
      <c r="T331">
        <v>0.23097399401587951</v>
      </c>
      <c r="U331">
        <v>4.4927688267594101</v>
      </c>
      <c r="V331">
        <v>0.2000830501961251</v>
      </c>
      <c r="W331">
        <v>10.77876346096563</v>
      </c>
      <c r="X331">
        <v>0.57046586579166669</v>
      </c>
      <c r="Z331" t="s">
        <v>392</v>
      </c>
      <c r="AA331">
        <v>9400</v>
      </c>
      <c r="AB331" t="s">
        <v>2750</v>
      </c>
      <c r="AC331" t="str">
        <f>HYPERLINK("plots/3FT6Y578R01_012_S11P_20251111092011_M5358ACSH101811_RBGEUFRF26/dpll_52046/txpa_55250.png","plot")</f>
        <v>plot</v>
      </c>
    </row>
    <row r="332" spans="1:29" x14ac:dyDescent="0.35">
      <c r="A332" t="s">
        <v>48</v>
      </c>
      <c r="B332">
        <v>52046</v>
      </c>
      <c r="C332" t="s">
        <v>51</v>
      </c>
      <c r="D332">
        <v>55251</v>
      </c>
      <c r="E332" t="s">
        <v>384</v>
      </c>
      <c r="F332">
        <v>12202</v>
      </c>
      <c r="G332">
        <v>0.83880544707170168</v>
      </c>
      <c r="H332">
        <v>0</v>
      </c>
      <c r="I332">
        <v>0</v>
      </c>
      <c r="J332">
        <v>0.71819265109072505</v>
      </c>
      <c r="K332">
        <v>0</v>
      </c>
      <c r="L332">
        <v>0</v>
      </c>
      <c r="M332">
        <v>0.5273191087671929</v>
      </c>
      <c r="N332">
        <v>0</v>
      </c>
      <c r="O332">
        <v>0</v>
      </c>
      <c r="P332">
        <v>0.7035945780371573</v>
      </c>
      <c r="Q332">
        <v>2.52617785144019</v>
      </c>
      <c r="R332">
        <v>-0.13785658007742899</v>
      </c>
      <c r="S332">
        <v>0.32776459616258907</v>
      </c>
      <c r="T332">
        <v>0.2476288083613582</v>
      </c>
      <c r="U332">
        <v>4.4931625368792014</v>
      </c>
      <c r="V332">
        <v>0.19990980009541179</v>
      </c>
      <c r="W332">
        <v>11.212671103507621</v>
      </c>
      <c r="X332">
        <v>0.60205582957271475</v>
      </c>
      <c r="Z332" t="s">
        <v>392</v>
      </c>
      <c r="AA332">
        <v>9400</v>
      </c>
      <c r="AB332" t="s">
        <v>2751</v>
      </c>
      <c r="AC332" t="str">
        <f>HYPERLINK("plots/3FT6Y578R01_012_S11P_20251111092011_M5358ACSH101811_RBGEUFRF26/dpll_52046/txpa_55251.png","plot")</f>
        <v>plot</v>
      </c>
    </row>
    <row r="333" spans="1:29" x14ac:dyDescent="0.35">
      <c r="A333" t="s">
        <v>48</v>
      </c>
      <c r="B333">
        <v>52046</v>
      </c>
      <c r="C333" t="s">
        <v>51</v>
      </c>
      <c r="D333">
        <v>55252</v>
      </c>
      <c r="E333" t="s">
        <v>385</v>
      </c>
      <c r="F333">
        <v>12215</v>
      </c>
      <c r="G333">
        <v>0.84785392100636148</v>
      </c>
      <c r="H333">
        <v>0</v>
      </c>
      <c r="I333">
        <v>0</v>
      </c>
      <c r="J333">
        <v>0.72615315343424636</v>
      </c>
      <c r="K333">
        <v>0</v>
      </c>
      <c r="L333">
        <v>0</v>
      </c>
      <c r="M333">
        <v>0.53589929133841463</v>
      </c>
      <c r="N333">
        <v>0</v>
      </c>
      <c r="O333">
        <v>0</v>
      </c>
      <c r="P333">
        <v>0.7188562713658615</v>
      </c>
      <c r="Q333">
        <v>2.5665094160879058</v>
      </c>
      <c r="R333">
        <v>-0.28751557441461978</v>
      </c>
      <c r="S333">
        <v>0.32120653438879337</v>
      </c>
      <c r="T333">
        <v>0.24530775905525681</v>
      </c>
      <c r="U333">
        <v>4.4927718754809662</v>
      </c>
      <c r="V333">
        <v>0.20013180869598979</v>
      </c>
      <c r="W333">
        <v>11.2432257483422</v>
      </c>
      <c r="X333">
        <v>0.60581210837274313</v>
      </c>
      <c r="Z333" t="s">
        <v>392</v>
      </c>
      <c r="AA333">
        <v>9400</v>
      </c>
      <c r="AB333" t="s">
        <v>2752</v>
      </c>
      <c r="AC333" t="str">
        <f>HYPERLINK("plots/3FT6Y578R01_012_S11P_20251111092011_M5358ACSH101811_RBGEUFRF26/dpll_52046/txpa_55252.png","plot")</f>
        <v>plot</v>
      </c>
    </row>
    <row r="334" spans="1:29" x14ac:dyDescent="0.35">
      <c r="A334" t="s">
        <v>48</v>
      </c>
      <c r="B334">
        <v>52046</v>
      </c>
      <c r="C334" t="s">
        <v>51</v>
      </c>
      <c r="D334">
        <v>55253</v>
      </c>
      <c r="E334" t="s">
        <v>386</v>
      </c>
      <c r="F334">
        <v>12214</v>
      </c>
      <c r="G334">
        <v>0.84810169587279205</v>
      </c>
      <c r="H334">
        <v>0</v>
      </c>
      <c r="I334">
        <v>0</v>
      </c>
      <c r="J334">
        <v>0.7243738285673792</v>
      </c>
      <c r="K334">
        <v>0</v>
      </c>
      <c r="L334">
        <v>0</v>
      </c>
      <c r="M334">
        <v>0.53404190383171624</v>
      </c>
      <c r="N334">
        <v>0</v>
      </c>
      <c r="O334">
        <v>0</v>
      </c>
      <c r="P334">
        <v>0.7192764865423058</v>
      </c>
      <c r="Q334">
        <v>2.5480889092019141</v>
      </c>
      <c r="R334">
        <v>-0.19293339997816081</v>
      </c>
      <c r="S334">
        <v>0.31849999195691509</v>
      </c>
      <c r="T334">
        <v>0.24285614508562731</v>
      </c>
      <c r="U334">
        <v>4.492848966759456</v>
      </c>
      <c r="V334">
        <v>0.20008805550782441</v>
      </c>
      <c r="W334">
        <v>11.255245222940889</v>
      </c>
      <c r="X334">
        <v>0.60115686312663164</v>
      </c>
      <c r="Z334" t="s">
        <v>392</v>
      </c>
      <c r="AA334">
        <v>9400</v>
      </c>
      <c r="AB334" t="s">
        <v>2753</v>
      </c>
      <c r="AC334" t="str">
        <f>HYPERLINK("plots/3FT6Y578R01_012_S11P_20251111092011_M5358ACSH101811_RBGEUFRF26/dpll_52046/txpa_55253.png","plot")</f>
        <v>plot</v>
      </c>
    </row>
    <row r="335" spans="1:29" x14ac:dyDescent="0.35">
      <c r="A335" t="s">
        <v>48</v>
      </c>
      <c r="B335">
        <v>52046</v>
      </c>
      <c r="C335" t="s">
        <v>51</v>
      </c>
      <c r="D335">
        <v>55254</v>
      </c>
      <c r="E335" t="s">
        <v>387</v>
      </c>
      <c r="F335">
        <v>12223</v>
      </c>
      <c r="G335">
        <v>0.85242127450894456</v>
      </c>
      <c r="H335">
        <v>0</v>
      </c>
      <c r="I335">
        <v>0</v>
      </c>
      <c r="J335">
        <v>0.72766021891621269</v>
      </c>
      <c r="K335">
        <v>0</v>
      </c>
      <c r="L335">
        <v>0</v>
      </c>
      <c r="M335">
        <v>0.53767006388423444</v>
      </c>
      <c r="N335">
        <v>0</v>
      </c>
      <c r="O335">
        <v>0</v>
      </c>
      <c r="P335">
        <v>0.72662202923545338</v>
      </c>
      <c r="Q335">
        <v>2.5835819847788888</v>
      </c>
      <c r="R335">
        <v>-0.34518153174009208</v>
      </c>
      <c r="S335">
        <v>0.31716098500334222</v>
      </c>
      <c r="T335">
        <v>0.24264145127293299</v>
      </c>
      <c r="U335">
        <v>4.4926666267692053</v>
      </c>
      <c r="V335">
        <v>0.20014640742022241</v>
      </c>
      <c r="W335">
        <v>11.261991028798169</v>
      </c>
      <c r="X335">
        <v>0.60661866144411536</v>
      </c>
      <c r="Z335" t="s">
        <v>392</v>
      </c>
      <c r="AA335">
        <v>9400</v>
      </c>
      <c r="AB335" t="s">
        <v>2754</v>
      </c>
      <c r="AC335" t="str">
        <f>HYPERLINK("plots/3FT6Y578R01_012_S11P_20251111092011_M5358ACSH101811_RBGEUFRF26/dpll_52046/txpa_55254.png","plot")</f>
        <v>plot</v>
      </c>
    </row>
    <row r="336" spans="1:29" x14ac:dyDescent="0.35">
      <c r="A336" t="s">
        <v>48</v>
      </c>
      <c r="B336">
        <v>52046</v>
      </c>
      <c r="C336" t="s">
        <v>51</v>
      </c>
      <c r="D336">
        <v>55255</v>
      </c>
      <c r="E336" t="s">
        <v>388</v>
      </c>
      <c r="F336">
        <v>12226</v>
      </c>
      <c r="G336">
        <v>0.85212675625311629</v>
      </c>
      <c r="H336">
        <v>0</v>
      </c>
      <c r="I336">
        <v>0</v>
      </c>
      <c r="J336">
        <v>0.72632920708326021</v>
      </c>
      <c r="K336">
        <v>0</v>
      </c>
      <c r="L336">
        <v>0</v>
      </c>
      <c r="M336">
        <v>0.53602433655276327</v>
      </c>
      <c r="N336">
        <v>0</v>
      </c>
      <c r="O336">
        <v>0</v>
      </c>
      <c r="P336">
        <v>0.72612000872245785</v>
      </c>
      <c r="Q336">
        <v>2.592912544711552</v>
      </c>
      <c r="R336">
        <v>-0.4181980612344276</v>
      </c>
      <c r="S336">
        <v>0.31867388443044559</v>
      </c>
      <c r="T336">
        <v>0.24439781504600469</v>
      </c>
      <c r="U336">
        <v>4.4925960281367576</v>
      </c>
      <c r="V336">
        <v>0.20012457219327451</v>
      </c>
      <c r="W336">
        <v>11.23071053844266</v>
      </c>
      <c r="X336">
        <v>0.60895343320358986</v>
      </c>
      <c r="Z336" t="s">
        <v>392</v>
      </c>
      <c r="AA336">
        <v>9400</v>
      </c>
      <c r="AB336" t="s">
        <v>2755</v>
      </c>
      <c r="AC336" t="str">
        <f>HYPERLINK("plots/3FT6Y578R01_012_S11P_20251111092011_M5358ACSH101811_RBGEUFRF26/dpll_52046/txpa_55255.png","plot")</f>
        <v>plot</v>
      </c>
    </row>
    <row r="337" spans="1:29" x14ac:dyDescent="0.35">
      <c r="A337" t="s">
        <v>48</v>
      </c>
      <c r="B337">
        <v>52046</v>
      </c>
      <c r="C337" t="s">
        <v>51</v>
      </c>
      <c r="D337">
        <v>55256</v>
      </c>
      <c r="E337" t="s">
        <v>389</v>
      </c>
      <c r="F337">
        <v>12230</v>
      </c>
      <c r="G337">
        <v>0.85354954937369476</v>
      </c>
      <c r="H337">
        <v>0</v>
      </c>
      <c r="I337">
        <v>0</v>
      </c>
      <c r="J337">
        <v>0.72955754400915906</v>
      </c>
      <c r="K337">
        <v>0</v>
      </c>
      <c r="L337">
        <v>0</v>
      </c>
      <c r="M337">
        <v>0.53979947864577349</v>
      </c>
      <c r="N337">
        <v>0</v>
      </c>
      <c r="O337">
        <v>0</v>
      </c>
      <c r="P337">
        <v>0.72854683323603742</v>
      </c>
      <c r="Q337">
        <v>2.6022642834341978</v>
      </c>
      <c r="R337">
        <v>-0.44630421397100761</v>
      </c>
      <c r="S337">
        <v>0.31800936754171288</v>
      </c>
      <c r="T337">
        <v>0.2439455069960931</v>
      </c>
      <c r="U337">
        <v>4.4924597598528209</v>
      </c>
      <c r="V337">
        <v>0.20021082226579609</v>
      </c>
      <c r="W337">
        <v>11.244263363859361</v>
      </c>
      <c r="X337">
        <v>0.61039393942808162</v>
      </c>
      <c r="Z337" t="s">
        <v>392</v>
      </c>
      <c r="AA337">
        <v>9400</v>
      </c>
      <c r="AB337" t="s">
        <v>2756</v>
      </c>
      <c r="AC337" t="str">
        <f>HYPERLINK("plots/3FT6Y578R01_012_S11P_20251111092011_M5358ACSH101811_RBGEUFRF26/dpll_52046/txpa_55256.png","plot")</f>
        <v>plot</v>
      </c>
    </row>
    <row r="338" spans="1:29" x14ac:dyDescent="0.35">
      <c r="A338" t="s">
        <v>48</v>
      </c>
      <c r="B338">
        <v>52046</v>
      </c>
      <c r="C338" t="s">
        <v>51</v>
      </c>
      <c r="D338">
        <v>55257</v>
      </c>
      <c r="E338" t="s">
        <v>390</v>
      </c>
      <c r="F338">
        <v>12221</v>
      </c>
      <c r="G338">
        <v>0.85444148557888688</v>
      </c>
      <c r="H338">
        <v>0</v>
      </c>
      <c r="I338">
        <v>0</v>
      </c>
      <c r="J338">
        <v>0.72647010456577221</v>
      </c>
      <c r="K338">
        <v>0</v>
      </c>
      <c r="L338">
        <v>0</v>
      </c>
      <c r="M338">
        <v>0.5375489260495635</v>
      </c>
      <c r="N338">
        <v>0</v>
      </c>
      <c r="O338">
        <v>0</v>
      </c>
      <c r="P338">
        <v>0.73007025227825517</v>
      </c>
      <c r="Q338">
        <v>2.5950265479880321</v>
      </c>
      <c r="R338">
        <v>-0.40705731851554278</v>
      </c>
      <c r="S338">
        <v>0.31580866165857818</v>
      </c>
      <c r="T338">
        <v>0.24271674901520371</v>
      </c>
      <c r="U338">
        <v>4.49270502160216</v>
      </c>
      <c r="V338">
        <v>0.20015062617536819</v>
      </c>
      <c r="W338">
        <v>11.25163148482121</v>
      </c>
      <c r="X338">
        <v>0.60787800836895978</v>
      </c>
      <c r="Z338" t="s">
        <v>392</v>
      </c>
      <c r="AA338">
        <v>9400</v>
      </c>
      <c r="AB338" t="s">
        <v>2757</v>
      </c>
      <c r="AC338" t="str">
        <f>HYPERLINK("plots/3FT6Y578R01_012_S11P_20251111092011_M5358ACSH101811_RBGEUFRF26/dpll_52046/txpa_55257.png","plot")</f>
        <v>plot</v>
      </c>
    </row>
    <row r="339" spans="1:29" x14ac:dyDescent="0.35">
      <c r="A339" t="s">
        <v>48</v>
      </c>
      <c r="B339">
        <v>52046</v>
      </c>
      <c r="C339" t="s">
        <v>51</v>
      </c>
      <c r="D339">
        <v>55258</v>
      </c>
      <c r="E339" t="s">
        <v>391</v>
      </c>
      <c r="F339">
        <v>12214</v>
      </c>
      <c r="G339">
        <v>0.84895911849181183</v>
      </c>
      <c r="H339">
        <v>0</v>
      </c>
      <c r="I339">
        <v>0</v>
      </c>
      <c r="J339">
        <v>0.71790269682620633</v>
      </c>
      <c r="K339">
        <v>0</v>
      </c>
      <c r="L339">
        <v>0</v>
      </c>
      <c r="M339">
        <v>0.52935254887888006</v>
      </c>
      <c r="N339">
        <v>0</v>
      </c>
      <c r="O339">
        <v>0</v>
      </c>
      <c r="P339">
        <v>0.72073158487039424</v>
      </c>
      <c r="Q339">
        <v>2.5676205190870629</v>
      </c>
      <c r="R339">
        <v>-0.2952365036026805</v>
      </c>
      <c r="S339">
        <v>0.31969595404685192</v>
      </c>
      <c r="T339">
        <v>0.24498547070897789</v>
      </c>
      <c r="U339">
        <v>4.4929058822662524</v>
      </c>
      <c r="V339">
        <v>0.2000322172067413</v>
      </c>
      <c r="W339">
        <v>11.240840830031109</v>
      </c>
      <c r="X339">
        <v>0.60498416730706572</v>
      </c>
      <c r="Z339" t="s">
        <v>392</v>
      </c>
      <c r="AA339">
        <v>9400</v>
      </c>
      <c r="AB339" t="s">
        <v>2758</v>
      </c>
      <c r="AC339" t="str">
        <f>HYPERLINK("plots/3FT6Y578R01_012_S11P_20251111092011_M5358ACSH101811_RBGEUFRF26/dpll_52046/txpa_55258.png","plot")</f>
        <v>plot</v>
      </c>
    </row>
    <row r="340" spans="1:29" x14ac:dyDescent="0.35">
      <c r="A340" t="s">
        <v>48</v>
      </c>
      <c r="B340">
        <v>52084</v>
      </c>
      <c r="C340" t="s">
        <v>52</v>
      </c>
      <c r="D340">
        <v>53179</v>
      </c>
      <c r="E340" t="s">
        <v>54</v>
      </c>
      <c r="F340">
        <v>12243</v>
      </c>
      <c r="G340">
        <v>0.29494454334999642</v>
      </c>
      <c r="H340">
        <v>2.9632615013652968E-244</v>
      </c>
      <c r="I340">
        <v>3.1364792926768379E-244</v>
      </c>
      <c r="J340">
        <v>0.25616815979504709</v>
      </c>
      <c r="K340">
        <v>1.077048953387944E-182</v>
      </c>
      <c r="L340">
        <v>1.1400079736277401E-182</v>
      </c>
      <c r="M340">
        <v>0.1740392547341921</v>
      </c>
      <c r="N340">
        <v>8.6306771776366829E-181</v>
      </c>
      <c r="O340">
        <v>9.1351844030517702E-181</v>
      </c>
      <c r="P340">
        <v>8.6992283651937882E-2</v>
      </c>
      <c r="Q340">
        <v>2.2047652445431338</v>
      </c>
      <c r="R340">
        <v>-33.445725536586103</v>
      </c>
      <c r="S340">
        <v>1.37754969368282</v>
      </c>
      <c r="T340">
        <v>1.142680310684437</v>
      </c>
      <c r="U340">
        <v>4.3297121556807969</v>
      </c>
      <c r="V340">
        <v>0.19287049691405411</v>
      </c>
      <c r="W340">
        <v>-23.899726656865148</v>
      </c>
      <c r="X340">
        <v>1.44174278820024</v>
      </c>
      <c r="Z340" t="s">
        <v>392</v>
      </c>
      <c r="AA340">
        <v>9400</v>
      </c>
      <c r="AB340" t="s">
        <v>2759</v>
      </c>
      <c r="AC340" t="str">
        <f>HYPERLINK("plots/3FT6Y578R01_012_S11P_20251111092011_M5358ACSH101811_RBGEUFRF26/dpll_52084/txpa_53179.png","plot")</f>
        <v>plot</v>
      </c>
    </row>
    <row r="341" spans="1:29" x14ac:dyDescent="0.35">
      <c r="A341" t="s">
        <v>48</v>
      </c>
      <c r="B341">
        <v>52084</v>
      </c>
      <c r="C341" t="s">
        <v>52</v>
      </c>
      <c r="D341">
        <v>53180</v>
      </c>
      <c r="E341" t="s">
        <v>55</v>
      </c>
      <c r="F341">
        <v>12243</v>
      </c>
      <c r="G341">
        <v>0.31000384892231769</v>
      </c>
      <c r="H341">
        <v>6.2248663359662194E-271</v>
      </c>
      <c r="I341">
        <v>6.736408180010402E-271</v>
      </c>
      <c r="J341">
        <v>0.27424570363601958</v>
      </c>
      <c r="K341">
        <v>3.8402987770687503E-210</v>
      </c>
      <c r="L341">
        <v>4.1514530489847679E-210</v>
      </c>
      <c r="M341">
        <v>0.18581858902003859</v>
      </c>
      <c r="N341">
        <v>2.5426170739128298E-206</v>
      </c>
      <c r="O341">
        <v>2.7486286918418008E-206</v>
      </c>
      <c r="P341">
        <v>9.6102386346651206E-2</v>
      </c>
      <c r="Q341">
        <v>2.3013120042807782</v>
      </c>
      <c r="R341">
        <v>-33.779494273234327</v>
      </c>
      <c r="S341">
        <v>1.3611816917170521</v>
      </c>
      <c r="T341">
        <v>1.123568367245829</v>
      </c>
      <c r="U341">
        <v>4.3297121556807969</v>
      </c>
      <c r="V341">
        <v>0.19287049691405411</v>
      </c>
      <c r="W341">
        <v>-23.815475714285711</v>
      </c>
      <c r="X341">
        <v>1.431773158181447</v>
      </c>
      <c r="Z341" t="s">
        <v>392</v>
      </c>
      <c r="AA341">
        <v>9400</v>
      </c>
      <c r="AB341" t="s">
        <v>2760</v>
      </c>
      <c r="AC341" t="str">
        <f>HYPERLINK("plots/3FT6Y578R01_012_S11P_20251111092011_M5358ACSH101811_RBGEUFRF26/dpll_52084/txpa_53180.png","plot")</f>
        <v>plot</v>
      </c>
    </row>
    <row r="342" spans="1:29" x14ac:dyDescent="0.35">
      <c r="A342" t="s">
        <v>48</v>
      </c>
      <c r="B342">
        <v>52084</v>
      </c>
      <c r="C342" t="s">
        <v>52</v>
      </c>
      <c r="D342">
        <v>53181</v>
      </c>
      <c r="E342" t="s">
        <v>56</v>
      </c>
      <c r="F342">
        <v>12243</v>
      </c>
      <c r="G342">
        <v>0.30882417110049409</v>
      </c>
      <c r="H342">
        <v>8.7435096922768246E-269</v>
      </c>
      <c r="I342">
        <v>9.4218053432185971E-269</v>
      </c>
      <c r="J342">
        <v>0.26782114095844312</v>
      </c>
      <c r="K342">
        <v>3.8514485216103072E-200</v>
      </c>
      <c r="L342">
        <v>4.1414303297060987E-200</v>
      </c>
      <c r="M342">
        <v>0.18122175650583919</v>
      </c>
      <c r="N342">
        <v>8.5115708998335094E-197</v>
      </c>
      <c r="O342">
        <v>9.1330506798213524E-197</v>
      </c>
      <c r="P342">
        <v>9.5372368655907258E-2</v>
      </c>
      <c r="Q342">
        <v>2.273025708291617</v>
      </c>
      <c r="R342">
        <v>-33.604579799309633</v>
      </c>
      <c r="S342">
        <v>1.3501314378905731</v>
      </c>
      <c r="T342">
        <v>1.109032014616699</v>
      </c>
      <c r="U342">
        <v>4.3297121556807969</v>
      </c>
      <c r="V342">
        <v>0.19287049691405411</v>
      </c>
      <c r="W342">
        <v>-23.763032759944451</v>
      </c>
      <c r="X342">
        <v>1.4195767005360631</v>
      </c>
      <c r="Z342" t="s">
        <v>392</v>
      </c>
      <c r="AA342">
        <v>9400</v>
      </c>
      <c r="AB342" t="s">
        <v>2761</v>
      </c>
      <c r="AC342" t="str">
        <f>HYPERLINK("plots/3FT6Y578R01_012_S11P_20251111092011_M5358ACSH101811_RBGEUFRF26/dpll_52084/txpa_53181.png","plot")</f>
        <v>plot</v>
      </c>
    </row>
    <row r="343" spans="1:29" x14ac:dyDescent="0.35">
      <c r="A343" t="s">
        <v>48</v>
      </c>
      <c r="B343">
        <v>52084</v>
      </c>
      <c r="C343" t="s">
        <v>52</v>
      </c>
      <c r="D343">
        <v>53182</v>
      </c>
      <c r="E343" t="s">
        <v>57</v>
      </c>
      <c r="F343">
        <v>12243</v>
      </c>
      <c r="G343">
        <v>0.30891303325644798</v>
      </c>
      <c r="H343">
        <v>6.0292150198741709E-269</v>
      </c>
      <c r="I343">
        <v>6.5038553512259674E-269</v>
      </c>
      <c r="J343">
        <v>0.26757930209969322</v>
      </c>
      <c r="K343">
        <v>9.0522491957788981E-200</v>
      </c>
      <c r="L343">
        <v>9.723496487838773E-200</v>
      </c>
      <c r="M343">
        <v>0.1813445156958351</v>
      </c>
      <c r="N343">
        <v>3.3977534855944102E-197</v>
      </c>
      <c r="O343">
        <v>3.6497055449075539E-197</v>
      </c>
      <c r="P343">
        <v>9.5427262115699338E-2</v>
      </c>
      <c r="Q343">
        <v>2.2836282151617189</v>
      </c>
      <c r="R343">
        <v>-33.596238688030773</v>
      </c>
      <c r="S343">
        <v>1.3559977784275781</v>
      </c>
      <c r="T343">
        <v>1.1123184788146501</v>
      </c>
      <c r="U343">
        <v>4.3297121556807969</v>
      </c>
      <c r="V343">
        <v>0.19287049691405411</v>
      </c>
      <c r="W343">
        <v>-23.708785845789428</v>
      </c>
      <c r="X343">
        <v>1.425788041320855</v>
      </c>
      <c r="Z343" t="s">
        <v>392</v>
      </c>
      <c r="AA343">
        <v>9400</v>
      </c>
      <c r="AB343" t="s">
        <v>2762</v>
      </c>
      <c r="AC343" t="str">
        <f>HYPERLINK("plots/3FT6Y578R01_012_S11P_20251111092011_M5358ACSH101811_RBGEUFRF26/dpll_52084/txpa_53182.png","plot")</f>
        <v>plot</v>
      </c>
    </row>
    <row r="344" spans="1:29" x14ac:dyDescent="0.35">
      <c r="A344" t="s">
        <v>48</v>
      </c>
      <c r="B344">
        <v>52084</v>
      </c>
      <c r="C344" t="s">
        <v>52</v>
      </c>
      <c r="D344">
        <v>53183</v>
      </c>
      <c r="E344" t="s">
        <v>58</v>
      </c>
      <c r="F344">
        <v>12242</v>
      </c>
      <c r="G344">
        <v>0.30692881243314302</v>
      </c>
      <c r="H344">
        <v>2.4711474475595291E-265</v>
      </c>
      <c r="I344">
        <v>2.6404041220499081E-265</v>
      </c>
      <c r="J344">
        <v>0.26466361901092639</v>
      </c>
      <c r="K344">
        <v>2.610222703610452E-195</v>
      </c>
      <c r="L344">
        <v>2.7743876535230589E-195</v>
      </c>
      <c r="M344">
        <v>0.17899546675481939</v>
      </c>
      <c r="N344">
        <v>5.9667874822233836E-192</v>
      </c>
      <c r="O344">
        <v>6.3420571351934083E-192</v>
      </c>
      <c r="P344">
        <v>9.4205295901619482E-2</v>
      </c>
      <c r="Q344">
        <v>2.2853839384928651</v>
      </c>
      <c r="R344">
        <v>-33.625596525015133</v>
      </c>
      <c r="S344">
        <v>1.3667465938771599</v>
      </c>
      <c r="T344">
        <v>1.1227962953153241</v>
      </c>
      <c r="U344">
        <v>4.3297262510210759</v>
      </c>
      <c r="V344">
        <v>0.19287206860220879</v>
      </c>
      <c r="W344">
        <v>-23.73050969286064</v>
      </c>
      <c r="X344">
        <v>1.4361203963651901</v>
      </c>
      <c r="Z344" t="s">
        <v>392</v>
      </c>
      <c r="AA344">
        <v>9400</v>
      </c>
      <c r="AB344" t="s">
        <v>2763</v>
      </c>
      <c r="AC344" t="str">
        <f>HYPERLINK("plots/3FT6Y578R01_012_S11P_20251111092011_M5358ACSH101811_RBGEUFRF26/dpll_52084/txpa_53183.png","plot")</f>
        <v>plot</v>
      </c>
    </row>
    <row r="345" spans="1:29" x14ac:dyDescent="0.35">
      <c r="A345" t="s">
        <v>48</v>
      </c>
      <c r="B345">
        <v>52084</v>
      </c>
      <c r="C345" t="s">
        <v>52</v>
      </c>
      <c r="D345">
        <v>53184</v>
      </c>
      <c r="E345" t="s">
        <v>59</v>
      </c>
      <c r="F345">
        <v>12243</v>
      </c>
      <c r="G345">
        <v>0.30378363127886848</v>
      </c>
      <c r="H345">
        <v>1.0152654846697121E-259</v>
      </c>
      <c r="I345">
        <v>1.081385715814168E-259</v>
      </c>
      <c r="J345">
        <v>0.2653542457050404</v>
      </c>
      <c r="K345">
        <v>2.2557174574985899E-196</v>
      </c>
      <c r="L345">
        <v>2.4076815809511271E-196</v>
      </c>
      <c r="M345">
        <v>0.179816113791395</v>
      </c>
      <c r="N345">
        <v>2.6785085043592809E-193</v>
      </c>
      <c r="O345">
        <v>2.8529491842650332E-193</v>
      </c>
      <c r="P345">
        <v>9.2284494632975556E-2</v>
      </c>
      <c r="Q345">
        <v>2.2513582716652309</v>
      </c>
      <c r="R345">
        <v>-33.604132286484813</v>
      </c>
      <c r="S345">
        <v>1.3617681814368889</v>
      </c>
      <c r="T345">
        <v>1.12389159578746</v>
      </c>
      <c r="U345">
        <v>4.3297121556807969</v>
      </c>
      <c r="V345">
        <v>0.19287049691405411</v>
      </c>
      <c r="W345">
        <v>-23.856399010863349</v>
      </c>
      <c r="X345">
        <v>1.429374541214274</v>
      </c>
      <c r="Z345" t="s">
        <v>392</v>
      </c>
      <c r="AA345">
        <v>9400</v>
      </c>
      <c r="AB345" t="s">
        <v>2764</v>
      </c>
      <c r="AC345" t="str">
        <f>HYPERLINK("plots/3FT6Y578R01_012_S11P_20251111092011_M5358ACSH101811_RBGEUFRF26/dpll_52084/txpa_53184.png","plot")</f>
        <v>plot</v>
      </c>
    </row>
    <row r="346" spans="1:29" x14ac:dyDescent="0.35">
      <c r="A346" t="s">
        <v>48</v>
      </c>
      <c r="B346">
        <v>52084</v>
      </c>
      <c r="C346" t="s">
        <v>52</v>
      </c>
      <c r="D346">
        <v>53185</v>
      </c>
      <c r="E346" t="s">
        <v>60</v>
      </c>
      <c r="F346">
        <v>12243</v>
      </c>
      <c r="G346">
        <v>0.3029587670914502</v>
      </c>
      <c r="H346">
        <v>2.9711883519054398E-258</v>
      </c>
      <c r="I346">
        <v>3.1580555438491778E-258</v>
      </c>
      <c r="J346">
        <v>0.26594364814089272</v>
      </c>
      <c r="K346">
        <v>2.8624870264769171E-197</v>
      </c>
      <c r="L346">
        <v>3.0585477817150618E-197</v>
      </c>
      <c r="M346">
        <v>0.18040792603941261</v>
      </c>
      <c r="N346">
        <v>9.2120371288847221E-195</v>
      </c>
      <c r="O346">
        <v>9.8429985760686072E-195</v>
      </c>
      <c r="P346">
        <v>9.1784014557571569E-2</v>
      </c>
      <c r="Q346">
        <v>2.2389003708692572</v>
      </c>
      <c r="R346">
        <v>-33.522373228951267</v>
      </c>
      <c r="S346">
        <v>1.358294294975366</v>
      </c>
      <c r="T346">
        <v>1.1224924511529719</v>
      </c>
      <c r="U346">
        <v>4.3297121556807969</v>
      </c>
      <c r="V346">
        <v>0.19287049691405411</v>
      </c>
      <c r="W346">
        <v>-23.828579077840399</v>
      </c>
      <c r="X346">
        <v>1.425335306240755</v>
      </c>
      <c r="Z346" t="s">
        <v>392</v>
      </c>
      <c r="AA346">
        <v>9400</v>
      </c>
      <c r="AB346" t="s">
        <v>2765</v>
      </c>
      <c r="AC346" t="str">
        <f>HYPERLINK("plots/3FT6Y578R01_012_S11P_20251111092011_M5358ACSH101811_RBGEUFRF26/dpll_52084/txpa_53185.png","plot")</f>
        <v>plot</v>
      </c>
    </row>
    <row r="347" spans="1:29" x14ac:dyDescent="0.35">
      <c r="A347" t="s">
        <v>48</v>
      </c>
      <c r="B347">
        <v>52084</v>
      </c>
      <c r="C347" t="s">
        <v>52</v>
      </c>
      <c r="D347">
        <v>53186</v>
      </c>
      <c r="E347" t="s">
        <v>61</v>
      </c>
      <c r="F347">
        <v>12243</v>
      </c>
      <c r="G347">
        <v>0.30849765505292981</v>
      </c>
      <c r="H347">
        <v>3.4225156643825572E-268</v>
      </c>
      <c r="I347">
        <v>3.6841092183481022E-268</v>
      </c>
      <c r="J347">
        <v>0.26782506044911791</v>
      </c>
      <c r="K347">
        <v>3.7984460347244638E-200</v>
      </c>
      <c r="L347">
        <v>4.0887731201811112E-200</v>
      </c>
      <c r="M347">
        <v>0.18248060068454519</v>
      </c>
      <c r="N347">
        <v>5.4324190261104044E-198</v>
      </c>
      <c r="O347">
        <v>5.8538500451391608E-198</v>
      </c>
      <c r="P347">
        <v>9.5170803173156474E-2</v>
      </c>
      <c r="Q347">
        <v>2.3124504789980138</v>
      </c>
      <c r="R347">
        <v>-34.011533906916164</v>
      </c>
      <c r="S347">
        <v>1.375155908185075</v>
      </c>
      <c r="T347">
        <v>1.138776826303086</v>
      </c>
      <c r="U347">
        <v>4.3297121556807969</v>
      </c>
      <c r="V347">
        <v>0.19287049691405411</v>
      </c>
      <c r="W347">
        <v>-23.999288958588579</v>
      </c>
      <c r="X347">
        <v>1.44572727107753</v>
      </c>
      <c r="Z347" t="s">
        <v>392</v>
      </c>
      <c r="AA347">
        <v>9400</v>
      </c>
      <c r="AB347" t="s">
        <v>2766</v>
      </c>
      <c r="AC347" t="str">
        <f>HYPERLINK("plots/3FT6Y578R01_012_S11P_20251111092011_M5358ACSH101811_RBGEUFRF26/dpll_52084/txpa_53186.png","plot")</f>
        <v>plot</v>
      </c>
    </row>
    <row r="348" spans="1:29" x14ac:dyDescent="0.35">
      <c r="A348" t="s">
        <v>48</v>
      </c>
      <c r="B348">
        <v>52084</v>
      </c>
      <c r="C348" t="s">
        <v>52</v>
      </c>
      <c r="D348">
        <v>53187</v>
      </c>
      <c r="E348" t="s">
        <v>62</v>
      </c>
      <c r="F348">
        <v>12243</v>
      </c>
      <c r="G348">
        <v>0.76871098235365187</v>
      </c>
      <c r="H348">
        <v>0</v>
      </c>
      <c r="I348">
        <v>0</v>
      </c>
      <c r="J348">
        <v>0.63878872012704901</v>
      </c>
      <c r="K348">
        <v>0</v>
      </c>
      <c r="L348">
        <v>0</v>
      </c>
      <c r="M348">
        <v>0.45686999764077618</v>
      </c>
      <c r="N348">
        <v>0</v>
      </c>
      <c r="O348">
        <v>0</v>
      </c>
      <c r="P348">
        <v>0.59091657439111644</v>
      </c>
      <c r="Q348">
        <v>1.4945076683240279</v>
      </c>
      <c r="R348">
        <v>-16.715419283758521</v>
      </c>
      <c r="S348">
        <v>0.23982202527703961</v>
      </c>
      <c r="T348">
        <v>0.18650378137912679</v>
      </c>
      <c r="U348">
        <v>4.3297121556807969</v>
      </c>
      <c r="V348">
        <v>0.19287049691405411</v>
      </c>
      <c r="W348">
        <v>-10.24463126545781</v>
      </c>
      <c r="X348">
        <v>0.37497374598312871</v>
      </c>
      <c r="Z348" t="s">
        <v>392</v>
      </c>
      <c r="AA348">
        <v>9400</v>
      </c>
      <c r="AB348" t="s">
        <v>2767</v>
      </c>
      <c r="AC348" t="str">
        <f>HYPERLINK("plots/3FT6Y578R01_012_S11P_20251111092011_M5358ACSH101811_RBGEUFRF26/dpll_52084/txpa_53187.png","plot")</f>
        <v>plot</v>
      </c>
    </row>
    <row r="349" spans="1:29" x14ac:dyDescent="0.35">
      <c r="A349" t="s">
        <v>48</v>
      </c>
      <c r="B349">
        <v>52084</v>
      </c>
      <c r="C349" t="s">
        <v>52</v>
      </c>
      <c r="D349">
        <v>53188</v>
      </c>
      <c r="E349" t="s">
        <v>63</v>
      </c>
      <c r="F349">
        <v>12242</v>
      </c>
      <c r="G349">
        <v>0.78281807935394232</v>
      </c>
      <c r="H349">
        <v>0</v>
      </c>
      <c r="I349">
        <v>0</v>
      </c>
      <c r="J349">
        <v>0.65319606221426652</v>
      </c>
      <c r="K349">
        <v>0</v>
      </c>
      <c r="L349">
        <v>0</v>
      </c>
      <c r="M349">
        <v>0.47046808021062858</v>
      </c>
      <c r="N349">
        <v>0</v>
      </c>
      <c r="O349">
        <v>0</v>
      </c>
      <c r="P349">
        <v>0.61280414536339511</v>
      </c>
      <c r="Q349">
        <v>1.502420366693368</v>
      </c>
      <c r="R349">
        <v>-16.689217883071461</v>
      </c>
      <c r="S349">
        <v>0.23032913415699971</v>
      </c>
      <c r="T349">
        <v>0.1795807948869228</v>
      </c>
      <c r="U349">
        <v>4.3296987265969609</v>
      </c>
      <c r="V349">
        <v>0.1928726506826407</v>
      </c>
      <c r="W349">
        <v>-10.18419033458585</v>
      </c>
      <c r="X349">
        <v>0.37017003848823471</v>
      </c>
      <c r="Z349" t="s">
        <v>392</v>
      </c>
      <c r="AA349">
        <v>9400</v>
      </c>
      <c r="AB349" t="s">
        <v>2768</v>
      </c>
      <c r="AC349" t="str">
        <f>HYPERLINK("plots/3FT6Y578R01_012_S11P_20251111092011_M5358ACSH101811_RBGEUFRF26/dpll_52084/txpa_53188.png","plot")</f>
        <v>plot</v>
      </c>
    </row>
    <row r="350" spans="1:29" x14ac:dyDescent="0.35">
      <c r="A350" t="s">
        <v>48</v>
      </c>
      <c r="B350">
        <v>52084</v>
      </c>
      <c r="C350" t="s">
        <v>52</v>
      </c>
      <c r="D350">
        <v>53189</v>
      </c>
      <c r="E350" t="s">
        <v>64</v>
      </c>
      <c r="F350">
        <v>12243</v>
      </c>
      <c r="G350">
        <v>0.78037246700349328</v>
      </c>
      <c r="H350">
        <v>0</v>
      </c>
      <c r="I350">
        <v>0</v>
      </c>
      <c r="J350">
        <v>0.64789732812990031</v>
      </c>
      <c r="K350">
        <v>0</v>
      </c>
      <c r="L350">
        <v>0</v>
      </c>
      <c r="M350">
        <v>0.46590911017199138</v>
      </c>
      <c r="N350">
        <v>0</v>
      </c>
      <c r="O350">
        <v>0</v>
      </c>
      <c r="P350">
        <v>0.60898118725711825</v>
      </c>
      <c r="Q350">
        <v>1.493184495006562</v>
      </c>
      <c r="R350">
        <v>-16.632500688043219</v>
      </c>
      <c r="S350">
        <v>0.23075887975574891</v>
      </c>
      <c r="T350">
        <v>0.17970739875602931</v>
      </c>
      <c r="U350">
        <v>4.3297121556807969</v>
      </c>
      <c r="V350">
        <v>0.19287049691405411</v>
      </c>
      <c r="W350">
        <v>-10.16744162933921</v>
      </c>
      <c r="X350">
        <v>0.36904330651505068</v>
      </c>
      <c r="Z350" t="s">
        <v>392</v>
      </c>
      <c r="AA350">
        <v>9400</v>
      </c>
      <c r="AB350" t="s">
        <v>2769</v>
      </c>
      <c r="AC350" t="str">
        <f>HYPERLINK("plots/3FT6Y578R01_012_S11P_20251111092011_M5358ACSH101811_RBGEUFRF26/dpll_52084/txpa_53189.png","plot")</f>
        <v>plot</v>
      </c>
    </row>
    <row r="351" spans="1:29" x14ac:dyDescent="0.35">
      <c r="A351" t="s">
        <v>48</v>
      </c>
      <c r="B351">
        <v>52084</v>
      </c>
      <c r="C351" t="s">
        <v>52</v>
      </c>
      <c r="D351">
        <v>53190</v>
      </c>
      <c r="E351" t="s">
        <v>65</v>
      </c>
      <c r="F351">
        <v>12242</v>
      </c>
      <c r="G351">
        <v>0.7867024567958355</v>
      </c>
      <c r="H351">
        <v>0</v>
      </c>
      <c r="I351">
        <v>0</v>
      </c>
      <c r="J351">
        <v>0.64941691751419062</v>
      </c>
      <c r="K351">
        <v>0</v>
      </c>
      <c r="L351">
        <v>0</v>
      </c>
      <c r="M351">
        <v>0.46744094429243482</v>
      </c>
      <c r="N351">
        <v>0</v>
      </c>
      <c r="O351">
        <v>0</v>
      </c>
      <c r="P351">
        <v>0.61890075552860346</v>
      </c>
      <c r="Q351">
        <v>1.507378385843676</v>
      </c>
      <c r="R351">
        <v>-16.64498778278362</v>
      </c>
      <c r="S351">
        <v>0.228135755344435</v>
      </c>
      <c r="T351">
        <v>0.17872941054517541</v>
      </c>
      <c r="U351">
        <v>4.3297189133311553</v>
      </c>
      <c r="V351">
        <v>0.19287692535756709</v>
      </c>
      <c r="W351">
        <v>-10.11846307604967</v>
      </c>
      <c r="X351">
        <v>0.36956603592688769</v>
      </c>
      <c r="Z351" t="s">
        <v>392</v>
      </c>
      <c r="AA351">
        <v>9400</v>
      </c>
      <c r="AB351" t="s">
        <v>2770</v>
      </c>
      <c r="AC351" t="str">
        <f>HYPERLINK("plots/3FT6Y578R01_012_S11P_20251111092011_M5358ACSH101811_RBGEUFRF26/dpll_52084/txpa_53190.png","plot")</f>
        <v>plot</v>
      </c>
    </row>
    <row r="352" spans="1:29" x14ac:dyDescent="0.35">
      <c r="A352" t="s">
        <v>48</v>
      </c>
      <c r="B352">
        <v>52084</v>
      </c>
      <c r="C352" t="s">
        <v>52</v>
      </c>
      <c r="D352">
        <v>53191</v>
      </c>
      <c r="E352" t="s">
        <v>66</v>
      </c>
      <c r="F352">
        <v>12240</v>
      </c>
      <c r="G352">
        <v>0.79001966960259074</v>
      </c>
      <c r="H352">
        <v>0</v>
      </c>
      <c r="I352">
        <v>0</v>
      </c>
      <c r="J352">
        <v>0.65141991083965922</v>
      </c>
      <c r="K352">
        <v>0</v>
      </c>
      <c r="L352">
        <v>0</v>
      </c>
      <c r="M352">
        <v>0.4681293218966211</v>
      </c>
      <c r="N352">
        <v>0</v>
      </c>
      <c r="O352">
        <v>0</v>
      </c>
      <c r="P352">
        <v>0.62413107835898662</v>
      </c>
      <c r="Q352">
        <v>1.517419826731524</v>
      </c>
      <c r="R352">
        <v>-16.707988410973378</v>
      </c>
      <c r="S352">
        <v>0.2270753276449865</v>
      </c>
      <c r="T352">
        <v>0.1791249214196694</v>
      </c>
      <c r="U352">
        <v>4.3297345467320261</v>
      </c>
      <c r="V352">
        <v>0.1928420022508596</v>
      </c>
      <c r="W352">
        <v>-10.137963365277781</v>
      </c>
      <c r="X352">
        <v>0.37039872410931168</v>
      </c>
      <c r="Z352" t="s">
        <v>392</v>
      </c>
      <c r="AA352">
        <v>9400</v>
      </c>
      <c r="AB352" t="s">
        <v>2771</v>
      </c>
      <c r="AC352" t="str">
        <f>HYPERLINK("plots/3FT6Y578R01_012_S11P_20251111092011_M5358ACSH101811_RBGEUFRF26/dpll_52084/txpa_53191.png","plot")</f>
        <v>plot</v>
      </c>
    </row>
    <row r="353" spans="1:29" x14ac:dyDescent="0.35">
      <c r="A353" t="s">
        <v>48</v>
      </c>
      <c r="B353">
        <v>52084</v>
      </c>
      <c r="C353" t="s">
        <v>52</v>
      </c>
      <c r="D353">
        <v>53192</v>
      </c>
      <c r="E353" t="s">
        <v>67</v>
      </c>
      <c r="F353">
        <v>12240</v>
      </c>
      <c r="G353">
        <v>0.7930170896083889</v>
      </c>
      <c r="H353">
        <v>0</v>
      </c>
      <c r="I353">
        <v>0</v>
      </c>
      <c r="J353">
        <v>0.66216397869943222</v>
      </c>
      <c r="K353">
        <v>0</v>
      </c>
      <c r="L353">
        <v>0</v>
      </c>
      <c r="M353">
        <v>0.47799239890438711</v>
      </c>
      <c r="N353">
        <v>0</v>
      </c>
      <c r="O353">
        <v>0</v>
      </c>
      <c r="P353">
        <v>0.62887610441095954</v>
      </c>
      <c r="Q353">
        <v>1.5192315785184549</v>
      </c>
      <c r="R353">
        <v>-16.750768962276901</v>
      </c>
      <c r="S353">
        <v>0.2250252275180539</v>
      </c>
      <c r="T353">
        <v>0.17659099333556499</v>
      </c>
      <c r="U353">
        <v>4.329689001062091</v>
      </c>
      <c r="V353">
        <v>0.19281821557856541</v>
      </c>
      <c r="W353">
        <v>-10.172968706699351</v>
      </c>
      <c r="X353">
        <v>0.3693937064650073</v>
      </c>
      <c r="Z353" t="s">
        <v>392</v>
      </c>
      <c r="AA353">
        <v>9400</v>
      </c>
      <c r="AB353" t="s">
        <v>2772</v>
      </c>
      <c r="AC353" t="str">
        <f>HYPERLINK("plots/3FT6Y578R01_012_S11P_20251111092011_M5358ACSH101811_RBGEUFRF26/dpll_52084/txpa_53192.png","plot")</f>
        <v>plot</v>
      </c>
    </row>
    <row r="354" spans="1:29" x14ac:dyDescent="0.35">
      <c r="A354" t="s">
        <v>48</v>
      </c>
      <c r="B354">
        <v>52084</v>
      </c>
      <c r="C354" t="s">
        <v>52</v>
      </c>
      <c r="D354">
        <v>53193</v>
      </c>
      <c r="E354" t="s">
        <v>68</v>
      </c>
      <c r="F354">
        <v>12242</v>
      </c>
      <c r="G354">
        <v>0.7917384836030914</v>
      </c>
      <c r="H354">
        <v>0</v>
      </c>
      <c r="I354">
        <v>0</v>
      </c>
      <c r="J354">
        <v>0.66011308426702586</v>
      </c>
      <c r="K354">
        <v>0</v>
      </c>
      <c r="L354">
        <v>0</v>
      </c>
      <c r="M354">
        <v>0.47705036677661111</v>
      </c>
      <c r="N354">
        <v>0</v>
      </c>
      <c r="O354">
        <v>0</v>
      </c>
      <c r="P354">
        <v>0.62684982641812259</v>
      </c>
      <c r="Q354">
        <v>1.517465816799169</v>
      </c>
      <c r="R354">
        <v>-16.729303188631778</v>
      </c>
      <c r="S354">
        <v>0.22577583803251819</v>
      </c>
      <c r="T354">
        <v>0.17602796258063841</v>
      </c>
      <c r="U354">
        <v>4.3297428452050317</v>
      </c>
      <c r="V354">
        <v>0.19284847807112951</v>
      </c>
      <c r="W354">
        <v>-10.15906642550237</v>
      </c>
      <c r="X354">
        <v>0.36961822540558459</v>
      </c>
      <c r="Z354" t="s">
        <v>392</v>
      </c>
      <c r="AA354">
        <v>9400</v>
      </c>
      <c r="AB354" t="s">
        <v>2773</v>
      </c>
      <c r="AC354" t="str">
        <f>HYPERLINK("plots/3FT6Y578R01_012_S11P_20251111092011_M5358ACSH101811_RBGEUFRF26/dpll_52084/txpa_53193.png","plot")</f>
        <v>plot</v>
      </c>
    </row>
    <row r="355" spans="1:29" x14ac:dyDescent="0.35">
      <c r="A355" t="s">
        <v>48</v>
      </c>
      <c r="B355">
        <v>52084</v>
      </c>
      <c r="C355" t="s">
        <v>52</v>
      </c>
      <c r="D355">
        <v>53194</v>
      </c>
      <c r="E355" t="s">
        <v>69</v>
      </c>
      <c r="F355">
        <v>12239</v>
      </c>
      <c r="G355">
        <v>0.7866246843086715</v>
      </c>
      <c r="H355">
        <v>0</v>
      </c>
      <c r="I355">
        <v>0</v>
      </c>
      <c r="J355">
        <v>0.64884504168143364</v>
      </c>
      <c r="K355">
        <v>0</v>
      </c>
      <c r="L355">
        <v>0</v>
      </c>
      <c r="M355">
        <v>0.46767940621319037</v>
      </c>
      <c r="N355">
        <v>0</v>
      </c>
      <c r="O355">
        <v>0</v>
      </c>
      <c r="P355">
        <v>0.61877839396371714</v>
      </c>
      <c r="Q355">
        <v>1.515000880218897</v>
      </c>
      <c r="R355">
        <v>-16.77249804527694</v>
      </c>
      <c r="S355">
        <v>0.22931892259094741</v>
      </c>
      <c r="T355">
        <v>0.17930661821002719</v>
      </c>
      <c r="U355">
        <v>4.3297844997140276</v>
      </c>
      <c r="V355">
        <v>0.1928517426499661</v>
      </c>
      <c r="W355">
        <v>-10.21287071705205</v>
      </c>
      <c r="X355">
        <v>0.37142307595295232</v>
      </c>
      <c r="Z355" t="s">
        <v>392</v>
      </c>
      <c r="AA355">
        <v>9400</v>
      </c>
      <c r="AB355" t="s">
        <v>2774</v>
      </c>
      <c r="AC355" t="str">
        <f>HYPERLINK("plots/3FT6Y578R01_012_S11P_20251111092011_M5358ACSH101811_RBGEUFRF26/dpll_52084/txpa_53194.png","plot")</f>
        <v>plot</v>
      </c>
    </row>
    <row r="356" spans="1:29" x14ac:dyDescent="0.35">
      <c r="A356" t="s">
        <v>48</v>
      </c>
      <c r="B356">
        <v>52084</v>
      </c>
      <c r="C356" t="s">
        <v>52</v>
      </c>
      <c r="D356">
        <v>53195</v>
      </c>
      <c r="E356" t="s">
        <v>70</v>
      </c>
      <c r="F356">
        <v>12242</v>
      </c>
      <c r="G356">
        <v>0.80780221636663174</v>
      </c>
      <c r="H356">
        <v>0</v>
      </c>
      <c r="I356">
        <v>0</v>
      </c>
      <c r="J356">
        <v>0.68697864455432811</v>
      </c>
      <c r="K356">
        <v>0</v>
      </c>
      <c r="L356">
        <v>0</v>
      </c>
      <c r="M356">
        <v>0.49685485835973631</v>
      </c>
      <c r="N356">
        <v>0</v>
      </c>
      <c r="O356">
        <v>0</v>
      </c>
      <c r="P356">
        <v>0.65254442076684249</v>
      </c>
      <c r="Q356">
        <v>1.3739082492853809</v>
      </c>
      <c r="R356">
        <v>-9.9442397939998681</v>
      </c>
      <c r="S356">
        <v>0.19333955016373719</v>
      </c>
      <c r="T356">
        <v>0.1474721183787509</v>
      </c>
      <c r="U356">
        <v>4.3297379161084786</v>
      </c>
      <c r="V356">
        <v>0.19285731086450791</v>
      </c>
      <c r="W356">
        <v>-3.995577153814736</v>
      </c>
      <c r="X356">
        <v>0.32801129405602331</v>
      </c>
      <c r="Z356" t="s">
        <v>392</v>
      </c>
      <c r="AA356">
        <v>9400</v>
      </c>
      <c r="AB356" t="s">
        <v>2775</v>
      </c>
      <c r="AC356" t="str">
        <f>HYPERLINK("plots/3FT6Y578R01_012_S11P_20251111092011_M5358ACSH101811_RBGEUFRF26/dpll_52084/txpa_53195.png","plot")</f>
        <v>plot</v>
      </c>
    </row>
    <row r="357" spans="1:29" x14ac:dyDescent="0.35">
      <c r="A357" t="s">
        <v>48</v>
      </c>
      <c r="B357">
        <v>52084</v>
      </c>
      <c r="C357" t="s">
        <v>52</v>
      </c>
      <c r="D357">
        <v>53196</v>
      </c>
      <c r="E357" t="s">
        <v>71</v>
      </c>
      <c r="F357">
        <v>12240</v>
      </c>
      <c r="G357">
        <v>0.82133397583363799</v>
      </c>
      <c r="H357">
        <v>0</v>
      </c>
      <c r="I357">
        <v>0</v>
      </c>
      <c r="J357">
        <v>0.69927166850648503</v>
      </c>
      <c r="K357">
        <v>0</v>
      </c>
      <c r="L357">
        <v>0</v>
      </c>
      <c r="M357">
        <v>0.50982503483355091</v>
      </c>
      <c r="N357">
        <v>0</v>
      </c>
      <c r="O357">
        <v>0</v>
      </c>
      <c r="P357">
        <v>0.67458949985869099</v>
      </c>
      <c r="Q357">
        <v>1.3868357736836809</v>
      </c>
      <c r="R357">
        <v>-9.959836776516731</v>
      </c>
      <c r="S357">
        <v>0.185742730129317</v>
      </c>
      <c r="T357">
        <v>0.14320130888723559</v>
      </c>
      <c r="U357">
        <v>4.3297509804738556</v>
      </c>
      <c r="V357">
        <v>0.19284506863093431</v>
      </c>
      <c r="W357">
        <v>-3.9551832256535948</v>
      </c>
      <c r="X357">
        <v>0.32562203418458779</v>
      </c>
      <c r="Z357" t="s">
        <v>392</v>
      </c>
      <c r="AA357">
        <v>9400</v>
      </c>
      <c r="AB357" t="s">
        <v>2776</v>
      </c>
      <c r="AC357" t="str">
        <f>HYPERLINK("plots/3FT6Y578R01_012_S11P_20251111092011_M5358ACSH101811_RBGEUFRF26/dpll_52084/txpa_53196.png","plot")</f>
        <v>plot</v>
      </c>
    </row>
    <row r="358" spans="1:29" x14ac:dyDescent="0.35">
      <c r="A358" t="s">
        <v>48</v>
      </c>
      <c r="B358">
        <v>52084</v>
      </c>
      <c r="C358" t="s">
        <v>52</v>
      </c>
      <c r="D358">
        <v>53197</v>
      </c>
      <c r="E358" t="s">
        <v>72</v>
      </c>
      <c r="F358">
        <v>12243</v>
      </c>
      <c r="G358">
        <v>0.81757016149704564</v>
      </c>
      <c r="H358">
        <v>0</v>
      </c>
      <c r="I358">
        <v>0</v>
      </c>
      <c r="J358">
        <v>0.69441162074148577</v>
      </c>
      <c r="K358">
        <v>0</v>
      </c>
      <c r="L358">
        <v>0</v>
      </c>
      <c r="M358">
        <v>0.50483327331150873</v>
      </c>
      <c r="N358">
        <v>0</v>
      </c>
      <c r="O358">
        <v>0</v>
      </c>
      <c r="P358">
        <v>0.66842096897030534</v>
      </c>
      <c r="Q358">
        <v>1.370052207779143</v>
      </c>
      <c r="R358">
        <v>-9.8747523408366522</v>
      </c>
      <c r="S358">
        <v>0.18610312910126811</v>
      </c>
      <c r="T358">
        <v>0.14272005241540289</v>
      </c>
      <c r="U358">
        <v>4.3297121556807969</v>
      </c>
      <c r="V358">
        <v>0.19287049691405411</v>
      </c>
      <c r="W358">
        <v>-3.9428206428979831</v>
      </c>
      <c r="X358">
        <v>0.32320486064303983</v>
      </c>
      <c r="Z358" t="s">
        <v>392</v>
      </c>
      <c r="AA358">
        <v>9400</v>
      </c>
      <c r="AB358" t="s">
        <v>2777</v>
      </c>
      <c r="AC358" t="str">
        <f>HYPERLINK("plots/3FT6Y578R01_012_S11P_20251111092011_M5358ACSH101811_RBGEUFRF26/dpll_52084/txpa_53197.png","plot")</f>
        <v>plot</v>
      </c>
    </row>
    <row r="359" spans="1:29" x14ac:dyDescent="0.35">
      <c r="A359" t="s">
        <v>48</v>
      </c>
      <c r="B359">
        <v>52084</v>
      </c>
      <c r="C359" t="s">
        <v>52</v>
      </c>
      <c r="D359">
        <v>53198</v>
      </c>
      <c r="E359" t="s">
        <v>73</v>
      </c>
      <c r="F359">
        <v>12242</v>
      </c>
      <c r="G359">
        <v>0.82718081564923951</v>
      </c>
      <c r="H359">
        <v>0</v>
      </c>
      <c r="I359">
        <v>0</v>
      </c>
      <c r="J359">
        <v>0.70077048202891856</v>
      </c>
      <c r="K359">
        <v>0</v>
      </c>
      <c r="L359">
        <v>0</v>
      </c>
      <c r="M359">
        <v>0.51127344536642128</v>
      </c>
      <c r="N359">
        <v>0</v>
      </c>
      <c r="O359">
        <v>0</v>
      </c>
      <c r="P359">
        <v>0.6842281017781412</v>
      </c>
      <c r="Q359">
        <v>1.3889747910561141</v>
      </c>
      <c r="R359">
        <v>-9.9218572020152216</v>
      </c>
      <c r="S359">
        <v>0.1819881812621415</v>
      </c>
      <c r="T359">
        <v>0.141156282019961</v>
      </c>
      <c r="U359">
        <v>4.3297189133311553</v>
      </c>
      <c r="V359">
        <v>0.19287692535756709</v>
      </c>
      <c r="W359">
        <v>-3.9079867790393732</v>
      </c>
      <c r="X359">
        <v>0.32387258266839952</v>
      </c>
      <c r="Z359" t="s">
        <v>392</v>
      </c>
      <c r="AA359">
        <v>9400</v>
      </c>
      <c r="AB359" t="s">
        <v>2778</v>
      </c>
      <c r="AC359" t="str">
        <f>HYPERLINK("plots/3FT6Y578R01_012_S11P_20251111092011_M5358ACSH101811_RBGEUFRF26/dpll_52084/txpa_53198.png","plot")</f>
        <v>plot</v>
      </c>
    </row>
    <row r="360" spans="1:29" x14ac:dyDescent="0.35">
      <c r="A360" t="s">
        <v>48</v>
      </c>
      <c r="B360">
        <v>52084</v>
      </c>
      <c r="C360" t="s">
        <v>52</v>
      </c>
      <c r="D360">
        <v>53199</v>
      </c>
      <c r="E360" t="s">
        <v>74</v>
      </c>
      <c r="F360">
        <v>12240</v>
      </c>
      <c r="G360">
        <v>0.82811016768949652</v>
      </c>
      <c r="H360">
        <v>0</v>
      </c>
      <c r="I360">
        <v>0</v>
      </c>
      <c r="J360">
        <v>0.69994756007115477</v>
      </c>
      <c r="K360">
        <v>0</v>
      </c>
      <c r="L360">
        <v>0</v>
      </c>
      <c r="M360">
        <v>0.50975735486695073</v>
      </c>
      <c r="N360">
        <v>0</v>
      </c>
      <c r="O360">
        <v>0</v>
      </c>
      <c r="P360">
        <v>0.6857664498307261</v>
      </c>
      <c r="Q360">
        <v>1.40335758972262</v>
      </c>
      <c r="R360">
        <v>-10.00517447489552</v>
      </c>
      <c r="S360">
        <v>0.18318520603638561</v>
      </c>
      <c r="T360">
        <v>0.14238094796240741</v>
      </c>
      <c r="U360">
        <v>4.3297345467320261</v>
      </c>
      <c r="V360">
        <v>0.1928420022508596</v>
      </c>
      <c r="W360">
        <v>-3.9290086372549018</v>
      </c>
      <c r="X360">
        <v>0.32679986073727679</v>
      </c>
      <c r="Z360" t="s">
        <v>392</v>
      </c>
      <c r="AA360">
        <v>9400</v>
      </c>
      <c r="AB360" t="s">
        <v>2779</v>
      </c>
      <c r="AC360" t="str">
        <f>HYPERLINK("plots/3FT6Y578R01_012_S11P_20251111092011_M5358ACSH101811_RBGEUFRF26/dpll_52084/txpa_53199.png","plot")</f>
        <v>plot</v>
      </c>
    </row>
    <row r="361" spans="1:29" x14ac:dyDescent="0.35">
      <c r="A361" t="s">
        <v>48</v>
      </c>
      <c r="B361">
        <v>52084</v>
      </c>
      <c r="C361" t="s">
        <v>52</v>
      </c>
      <c r="D361">
        <v>53200</v>
      </c>
      <c r="E361" t="s">
        <v>75</v>
      </c>
      <c r="F361">
        <v>12240</v>
      </c>
      <c r="G361">
        <v>0.83095482881007421</v>
      </c>
      <c r="H361">
        <v>0</v>
      </c>
      <c r="I361">
        <v>0</v>
      </c>
      <c r="J361">
        <v>0.70917953287092628</v>
      </c>
      <c r="K361">
        <v>0</v>
      </c>
      <c r="L361">
        <v>0</v>
      </c>
      <c r="M361">
        <v>0.51836918063795945</v>
      </c>
      <c r="N361">
        <v>0</v>
      </c>
      <c r="O361">
        <v>0</v>
      </c>
      <c r="P361">
        <v>0.69048592752277971</v>
      </c>
      <c r="Q361">
        <v>1.405737257301896</v>
      </c>
      <c r="R361">
        <v>-10.033325220898369</v>
      </c>
      <c r="S361">
        <v>0.18146683186601131</v>
      </c>
      <c r="T361">
        <v>0.14111539089957101</v>
      </c>
      <c r="U361">
        <v>4.329689001062091</v>
      </c>
      <c r="V361">
        <v>0.19281821557856541</v>
      </c>
      <c r="W361">
        <v>-3.9469200795751629</v>
      </c>
      <c r="X361">
        <v>0.32619312160855229</v>
      </c>
      <c r="Z361" t="s">
        <v>392</v>
      </c>
      <c r="AA361">
        <v>9400</v>
      </c>
      <c r="AB361" t="s">
        <v>2780</v>
      </c>
      <c r="AC361" t="str">
        <f>HYPERLINK("plots/3FT6Y578R01_012_S11P_20251111092011_M5358ACSH101811_RBGEUFRF26/dpll_52084/txpa_53200.png","plot")</f>
        <v>plot</v>
      </c>
    </row>
    <row r="362" spans="1:29" x14ac:dyDescent="0.35">
      <c r="A362" t="s">
        <v>48</v>
      </c>
      <c r="B362">
        <v>52084</v>
      </c>
      <c r="C362" t="s">
        <v>52</v>
      </c>
      <c r="D362">
        <v>53201</v>
      </c>
      <c r="E362" t="s">
        <v>76</v>
      </c>
      <c r="F362">
        <v>12241</v>
      </c>
      <c r="G362">
        <v>0.83019524821809809</v>
      </c>
      <c r="H362">
        <v>0</v>
      </c>
      <c r="I362">
        <v>0</v>
      </c>
      <c r="J362">
        <v>0.70531392766796719</v>
      </c>
      <c r="K362">
        <v>0</v>
      </c>
      <c r="L362">
        <v>0</v>
      </c>
      <c r="M362">
        <v>0.51570701517770101</v>
      </c>
      <c r="N362">
        <v>0</v>
      </c>
      <c r="O362">
        <v>0</v>
      </c>
      <c r="P362">
        <v>0.68922415016390948</v>
      </c>
      <c r="Q362">
        <v>1.403377441392907</v>
      </c>
      <c r="R362">
        <v>-10.012333208186281</v>
      </c>
      <c r="S362">
        <v>0.18171705666769369</v>
      </c>
      <c r="T362">
        <v>0.1405885416176702</v>
      </c>
      <c r="U362">
        <v>4.3297660227105634</v>
      </c>
      <c r="V362">
        <v>0.19283930366172891</v>
      </c>
      <c r="W362">
        <v>-3.9360372454047869</v>
      </c>
      <c r="X362">
        <v>0.32597913461158651</v>
      </c>
      <c r="Z362" t="s">
        <v>392</v>
      </c>
      <c r="AA362">
        <v>9400</v>
      </c>
      <c r="AB362" t="s">
        <v>2781</v>
      </c>
      <c r="AC362" t="str">
        <f>HYPERLINK("plots/3FT6Y578R01_012_S11P_20251111092011_M5358ACSH101811_RBGEUFRF26/dpll_52084/txpa_53201.png","plot")</f>
        <v>plot</v>
      </c>
    </row>
    <row r="363" spans="1:29" x14ac:dyDescent="0.35">
      <c r="A363" t="s">
        <v>48</v>
      </c>
      <c r="B363">
        <v>52084</v>
      </c>
      <c r="C363" t="s">
        <v>52</v>
      </c>
      <c r="D363">
        <v>53202</v>
      </c>
      <c r="E363" t="s">
        <v>77</v>
      </c>
      <c r="F363">
        <v>12237</v>
      </c>
      <c r="G363">
        <v>0.82585571284087911</v>
      </c>
      <c r="H363">
        <v>0</v>
      </c>
      <c r="I363">
        <v>0</v>
      </c>
      <c r="J363">
        <v>0.69693354936310015</v>
      </c>
      <c r="K363">
        <v>0</v>
      </c>
      <c r="L363">
        <v>0</v>
      </c>
      <c r="M363">
        <v>0.50816589492558795</v>
      </c>
      <c r="N363">
        <v>0</v>
      </c>
      <c r="O363">
        <v>0</v>
      </c>
      <c r="P363">
        <v>0.68203765843191655</v>
      </c>
      <c r="Q363">
        <v>1.3941084858454771</v>
      </c>
      <c r="R363">
        <v>-9.9997563468161133</v>
      </c>
      <c r="S363">
        <v>0.18355061381847149</v>
      </c>
      <c r="T363">
        <v>0.14234518204867999</v>
      </c>
      <c r="U363">
        <v>4.3298272266895479</v>
      </c>
      <c r="V363">
        <v>0.19283832493052161</v>
      </c>
      <c r="W363">
        <v>-3.9635074678434261</v>
      </c>
      <c r="X363">
        <v>0.32552604650161882</v>
      </c>
      <c r="Z363" t="s">
        <v>392</v>
      </c>
      <c r="AA363">
        <v>9400</v>
      </c>
      <c r="AB363" t="s">
        <v>2782</v>
      </c>
      <c r="AC363" t="str">
        <f>HYPERLINK("plots/3FT6Y578R01_012_S11P_20251111092011_M5358ACSH101811_RBGEUFRF26/dpll_52084/txpa_53202.png","plot")</f>
        <v>plot</v>
      </c>
    </row>
    <row r="364" spans="1:29" x14ac:dyDescent="0.35">
      <c r="A364" t="s">
        <v>48</v>
      </c>
      <c r="B364">
        <v>52084</v>
      </c>
      <c r="C364" t="s">
        <v>52</v>
      </c>
      <c r="D364">
        <v>53203</v>
      </c>
      <c r="E364" t="s">
        <v>78</v>
      </c>
      <c r="F364">
        <v>12241</v>
      </c>
      <c r="G364">
        <v>0.82003958504690111</v>
      </c>
      <c r="H364">
        <v>0</v>
      </c>
      <c r="I364">
        <v>0</v>
      </c>
      <c r="J364">
        <v>0.70512434795762746</v>
      </c>
      <c r="K364">
        <v>0</v>
      </c>
      <c r="L364">
        <v>0</v>
      </c>
      <c r="M364">
        <v>0.51286245849204604</v>
      </c>
      <c r="N364">
        <v>0</v>
      </c>
      <c r="O364">
        <v>0</v>
      </c>
      <c r="P364">
        <v>0.67246492104389377</v>
      </c>
      <c r="Q364">
        <v>1.42959751529802</v>
      </c>
      <c r="R364">
        <v>-7.227639668290978</v>
      </c>
      <c r="S364">
        <v>0.1924026207555844</v>
      </c>
      <c r="T364">
        <v>0.14562191291943499</v>
      </c>
      <c r="U364">
        <v>4.3297594032350304</v>
      </c>
      <c r="V364">
        <v>0.1928505341528253</v>
      </c>
      <c r="W364">
        <v>-1.037826383587942</v>
      </c>
      <c r="X364">
        <v>0.3362016291359966</v>
      </c>
      <c r="Z364" t="s">
        <v>392</v>
      </c>
      <c r="AA364">
        <v>9400</v>
      </c>
      <c r="AB364" t="s">
        <v>2783</v>
      </c>
      <c r="AC364" t="str">
        <f>HYPERLINK("plots/3FT6Y578R01_012_S11P_20251111092011_M5358ACSH101811_RBGEUFRF26/dpll_52084/txpa_53203.png","plot")</f>
        <v>plot</v>
      </c>
    </row>
    <row r="365" spans="1:29" x14ac:dyDescent="0.35">
      <c r="A365" t="s">
        <v>48</v>
      </c>
      <c r="B365">
        <v>52084</v>
      </c>
      <c r="C365" t="s">
        <v>52</v>
      </c>
      <c r="D365">
        <v>53204</v>
      </c>
      <c r="E365" t="s">
        <v>79</v>
      </c>
      <c r="F365">
        <v>12239</v>
      </c>
      <c r="G365">
        <v>0.83312977489860562</v>
      </c>
      <c r="H365">
        <v>0</v>
      </c>
      <c r="I365">
        <v>0</v>
      </c>
      <c r="J365">
        <v>0.71696871119544692</v>
      </c>
      <c r="K365">
        <v>0</v>
      </c>
      <c r="L365">
        <v>0</v>
      </c>
      <c r="M365">
        <v>0.52546947310552561</v>
      </c>
      <c r="N365">
        <v>0</v>
      </c>
      <c r="O365">
        <v>0</v>
      </c>
      <c r="P365">
        <v>0.69410522182260126</v>
      </c>
      <c r="Q365">
        <v>1.4465326343605911</v>
      </c>
      <c r="R365">
        <v>-7.2651735849079389</v>
      </c>
      <c r="S365">
        <v>0.18515790861715581</v>
      </c>
      <c r="T365">
        <v>0.14189664569440019</v>
      </c>
      <c r="U365">
        <v>4.329781797205654</v>
      </c>
      <c r="V365">
        <v>0.19282280571669411</v>
      </c>
      <c r="W365">
        <v>-1.0020029155895089</v>
      </c>
      <c r="X365">
        <v>0.33479115681841531</v>
      </c>
      <c r="Z365" t="s">
        <v>392</v>
      </c>
      <c r="AA365">
        <v>9400</v>
      </c>
      <c r="AB365" t="s">
        <v>2784</v>
      </c>
      <c r="AC365" t="str">
        <f>HYPERLINK("plots/3FT6Y578R01_012_S11P_20251111092011_M5358ACSH101811_RBGEUFRF26/dpll_52084/txpa_53204.png","plot")</f>
        <v>plot</v>
      </c>
    </row>
    <row r="366" spans="1:29" x14ac:dyDescent="0.35">
      <c r="A366" t="s">
        <v>48</v>
      </c>
      <c r="B366">
        <v>52084</v>
      </c>
      <c r="C366" t="s">
        <v>52</v>
      </c>
      <c r="D366">
        <v>53205</v>
      </c>
      <c r="E366" t="s">
        <v>80</v>
      </c>
      <c r="F366">
        <v>12242</v>
      </c>
      <c r="G366">
        <v>0.82975759278066519</v>
      </c>
      <c r="H366">
        <v>0</v>
      </c>
      <c r="I366">
        <v>0</v>
      </c>
      <c r="J366">
        <v>0.71095153352622142</v>
      </c>
      <c r="K366">
        <v>0</v>
      </c>
      <c r="L366">
        <v>0</v>
      </c>
      <c r="M366">
        <v>0.51966492742144521</v>
      </c>
      <c r="N366">
        <v>0</v>
      </c>
      <c r="O366">
        <v>0</v>
      </c>
      <c r="P366">
        <v>0.68849766277716418</v>
      </c>
      <c r="Q366">
        <v>1.4289157868479381</v>
      </c>
      <c r="R366">
        <v>-7.1778866856273007</v>
      </c>
      <c r="S366">
        <v>0.18537366145562781</v>
      </c>
      <c r="T366">
        <v>0.14143013381067809</v>
      </c>
      <c r="U366">
        <v>4.3297194717366443</v>
      </c>
      <c r="V366">
        <v>0.19287667591446611</v>
      </c>
      <c r="W366">
        <v>-0.99108217983989544</v>
      </c>
      <c r="X366">
        <v>0.3321506540305757</v>
      </c>
      <c r="Z366" t="s">
        <v>392</v>
      </c>
      <c r="AA366">
        <v>9400</v>
      </c>
      <c r="AB366" t="s">
        <v>2785</v>
      </c>
      <c r="AC366" t="str">
        <f>HYPERLINK("plots/3FT6Y578R01_012_S11P_20251111092011_M5358ACSH101811_RBGEUFRF26/dpll_52084/txpa_53205.png","plot")</f>
        <v>plot</v>
      </c>
    </row>
    <row r="367" spans="1:29" x14ac:dyDescent="0.35">
      <c r="A367" t="s">
        <v>48</v>
      </c>
      <c r="B367">
        <v>52084</v>
      </c>
      <c r="C367" t="s">
        <v>52</v>
      </c>
      <c r="D367">
        <v>53206</v>
      </c>
      <c r="E367" t="s">
        <v>81</v>
      </c>
      <c r="F367">
        <v>12241</v>
      </c>
      <c r="G367">
        <v>0.83898872410932435</v>
      </c>
      <c r="H367">
        <v>0</v>
      </c>
      <c r="I367">
        <v>0</v>
      </c>
      <c r="J367">
        <v>0.71895667511690509</v>
      </c>
      <c r="K367">
        <v>0</v>
      </c>
      <c r="L367">
        <v>0</v>
      </c>
      <c r="M367">
        <v>0.52724760858960262</v>
      </c>
      <c r="N367">
        <v>0</v>
      </c>
      <c r="O367">
        <v>0</v>
      </c>
      <c r="P367">
        <v>0.70390207918259196</v>
      </c>
      <c r="Q367">
        <v>1.448631399837949</v>
      </c>
      <c r="R367">
        <v>-7.2325372537637866</v>
      </c>
      <c r="S367">
        <v>0.18119640450552901</v>
      </c>
      <c r="T367">
        <v>0.13977948796689749</v>
      </c>
      <c r="U367">
        <v>4.3297454031533373</v>
      </c>
      <c r="V367">
        <v>0.1928625329874733</v>
      </c>
      <c r="W367">
        <v>-0.96033210945184222</v>
      </c>
      <c r="X367">
        <v>0.33300414309445558</v>
      </c>
      <c r="Z367" t="s">
        <v>392</v>
      </c>
      <c r="AA367">
        <v>9400</v>
      </c>
      <c r="AB367" t="s">
        <v>2786</v>
      </c>
      <c r="AC367" t="str">
        <f>HYPERLINK("plots/3FT6Y578R01_012_S11P_20251111092011_M5358ACSH101811_RBGEUFRF26/dpll_52084/txpa_53206.png","plot")</f>
        <v>plot</v>
      </c>
    </row>
    <row r="368" spans="1:29" x14ac:dyDescent="0.35">
      <c r="A368" t="s">
        <v>48</v>
      </c>
      <c r="B368">
        <v>52084</v>
      </c>
      <c r="C368" t="s">
        <v>52</v>
      </c>
      <c r="D368">
        <v>53207</v>
      </c>
      <c r="E368" t="s">
        <v>82</v>
      </c>
      <c r="F368">
        <v>12240</v>
      </c>
      <c r="G368">
        <v>0.83924584370718713</v>
      </c>
      <c r="H368">
        <v>0</v>
      </c>
      <c r="I368">
        <v>0</v>
      </c>
      <c r="J368">
        <v>0.71756145198304799</v>
      </c>
      <c r="K368">
        <v>0</v>
      </c>
      <c r="L368">
        <v>0</v>
      </c>
      <c r="M368">
        <v>0.5254337577481486</v>
      </c>
      <c r="N368">
        <v>0</v>
      </c>
      <c r="O368">
        <v>0</v>
      </c>
      <c r="P368">
        <v>0.70433358617978836</v>
      </c>
      <c r="Q368">
        <v>1.4606099655858999</v>
      </c>
      <c r="R368">
        <v>-7.3051740781970409</v>
      </c>
      <c r="S368">
        <v>0.1824861663800926</v>
      </c>
      <c r="T368">
        <v>0.14116826807011479</v>
      </c>
      <c r="U368">
        <v>4.3297345467320261</v>
      </c>
      <c r="V368">
        <v>0.1928420022508596</v>
      </c>
      <c r="W368">
        <v>-0.98112065089869283</v>
      </c>
      <c r="X368">
        <v>0.33561911850160769</v>
      </c>
      <c r="Z368" t="s">
        <v>392</v>
      </c>
      <c r="AA368">
        <v>9400</v>
      </c>
      <c r="AB368" t="s">
        <v>2787</v>
      </c>
      <c r="AC368" t="str">
        <f>HYPERLINK("plots/3FT6Y578R01_012_S11P_20251111092011_M5358ACSH101811_RBGEUFRF26/dpll_52084/txpa_53207.png","plot")</f>
        <v>plot</v>
      </c>
    </row>
    <row r="369" spans="1:29" x14ac:dyDescent="0.35">
      <c r="A369" t="s">
        <v>48</v>
      </c>
      <c r="B369">
        <v>52084</v>
      </c>
      <c r="C369" t="s">
        <v>52</v>
      </c>
      <c r="D369">
        <v>53208</v>
      </c>
      <c r="E369" t="s">
        <v>83</v>
      </c>
      <c r="F369">
        <v>12240</v>
      </c>
      <c r="G369">
        <v>0.84260374424972762</v>
      </c>
      <c r="H369">
        <v>0</v>
      </c>
      <c r="I369">
        <v>0</v>
      </c>
      <c r="J369">
        <v>0.72732303312244562</v>
      </c>
      <c r="K369">
        <v>0</v>
      </c>
      <c r="L369">
        <v>0</v>
      </c>
      <c r="M369">
        <v>0.53465739708724536</v>
      </c>
      <c r="N369">
        <v>0</v>
      </c>
      <c r="O369">
        <v>0</v>
      </c>
      <c r="P369">
        <v>0.70998106982366038</v>
      </c>
      <c r="Q369">
        <v>1.4666684969648911</v>
      </c>
      <c r="R369">
        <v>-7.3445928920866894</v>
      </c>
      <c r="S369">
        <v>0.18073908114835391</v>
      </c>
      <c r="T369">
        <v>0.13978087917689269</v>
      </c>
      <c r="U369">
        <v>4.329689001062091</v>
      </c>
      <c r="V369">
        <v>0.19281821557856541</v>
      </c>
      <c r="W369">
        <v>-0.99437443257352942</v>
      </c>
      <c r="X369">
        <v>0.3356268048415551</v>
      </c>
      <c r="Z369" t="s">
        <v>392</v>
      </c>
      <c r="AA369">
        <v>9400</v>
      </c>
      <c r="AB369" t="s">
        <v>2788</v>
      </c>
      <c r="AC369" t="str">
        <f>HYPERLINK("plots/3FT6Y578R01_012_S11P_20251111092011_M5358ACSH101811_RBGEUFRF26/dpll_52084/txpa_53208.png","plot")</f>
        <v>plot</v>
      </c>
    </row>
    <row r="370" spans="1:29" x14ac:dyDescent="0.35">
      <c r="A370" t="s">
        <v>48</v>
      </c>
      <c r="B370">
        <v>52084</v>
      </c>
      <c r="C370" t="s">
        <v>52</v>
      </c>
      <c r="D370">
        <v>53209</v>
      </c>
      <c r="E370" t="s">
        <v>84</v>
      </c>
      <c r="F370">
        <v>12241</v>
      </c>
      <c r="G370">
        <v>0.84123208517723946</v>
      </c>
      <c r="H370">
        <v>0</v>
      </c>
      <c r="I370">
        <v>0</v>
      </c>
      <c r="J370">
        <v>0.72279708747605698</v>
      </c>
      <c r="K370">
        <v>0</v>
      </c>
      <c r="L370">
        <v>0</v>
      </c>
      <c r="M370">
        <v>0.5311091897302529</v>
      </c>
      <c r="N370">
        <v>0</v>
      </c>
      <c r="O370">
        <v>0</v>
      </c>
      <c r="P370">
        <v>0.70767142113164627</v>
      </c>
      <c r="Q370">
        <v>1.4621545236103459</v>
      </c>
      <c r="R370">
        <v>-7.3148918923659139</v>
      </c>
      <c r="S370">
        <v>0.18121364489199651</v>
      </c>
      <c r="T370">
        <v>0.13958072281454381</v>
      </c>
      <c r="U370">
        <v>4.3297660227105634</v>
      </c>
      <c r="V370">
        <v>0.19283930366172891</v>
      </c>
      <c r="W370">
        <v>-0.98410491608528716</v>
      </c>
      <c r="X370">
        <v>0.33517606513957388</v>
      </c>
      <c r="Z370" t="s">
        <v>392</v>
      </c>
      <c r="AA370">
        <v>9400</v>
      </c>
      <c r="AB370" t="s">
        <v>2789</v>
      </c>
      <c r="AC370" t="str">
        <f>HYPERLINK("plots/3FT6Y578R01_012_S11P_20251111092011_M5358ACSH101811_RBGEUFRF26/dpll_52084/txpa_53209.png","plot")</f>
        <v>plot</v>
      </c>
    </row>
    <row r="371" spans="1:29" x14ac:dyDescent="0.35">
      <c r="A371" t="s">
        <v>48</v>
      </c>
      <c r="B371">
        <v>52084</v>
      </c>
      <c r="C371" t="s">
        <v>52</v>
      </c>
      <c r="D371">
        <v>53210</v>
      </c>
      <c r="E371" t="s">
        <v>85</v>
      </c>
      <c r="F371">
        <v>12235</v>
      </c>
      <c r="G371">
        <v>0.83736782041675117</v>
      </c>
      <c r="H371">
        <v>0</v>
      </c>
      <c r="I371">
        <v>0</v>
      </c>
      <c r="J371">
        <v>0.71373809027897051</v>
      </c>
      <c r="K371">
        <v>0</v>
      </c>
      <c r="L371">
        <v>0</v>
      </c>
      <c r="M371">
        <v>0.52322881678491895</v>
      </c>
      <c r="N371">
        <v>0</v>
      </c>
      <c r="O371">
        <v>0</v>
      </c>
      <c r="P371">
        <v>0.70118486666950042</v>
      </c>
      <c r="Q371">
        <v>1.4477790983421821</v>
      </c>
      <c r="R371">
        <v>-7.274330951394262</v>
      </c>
      <c r="S371">
        <v>0.1822394201288646</v>
      </c>
      <c r="T371">
        <v>0.1407702971982418</v>
      </c>
      <c r="U371">
        <v>4.3298668506742954</v>
      </c>
      <c r="V371">
        <v>0.19282917546891709</v>
      </c>
      <c r="W371">
        <v>-1.005640226383326</v>
      </c>
      <c r="X371">
        <v>0.33339476749358798</v>
      </c>
      <c r="Z371" t="s">
        <v>392</v>
      </c>
      <c r="AA371">
        <v>9400</v>
      </c>
      <c r="AB371" t="s">
        <v>2790</v>
      </c>
      <c r="AC371" t="str">
        <f>HYPERLINK("plots/3FT6Y578R01_012_S11P_20251111092011_M5358ACSH101811_RBGEUFRF26/dpll_52084/txpa_53210.png","plot")</f>
        <v>plot</v>
      </c>
    </row>
    <row r="372" spans="1:29" x14ac:dyDescent="0.35">
      <c r="A372" t="s">
        <v>48</v>
      </c>
      <c r="B372">
        <v>52084</v>
      </c>
      <c r="C372" t="s">
        <v>52</v>
      </c>
      <c r="D372">
        <v>53211</v>
      </c>
      <c r="E372" t="s">
        <v>86</v>
      </c>
      <c r="F372">
        <v>12238</v>
      </c>
      <c r="G372">
        <v>0.83627327979280297</v>
      </c>
      <c r="H372">
        <v>0</v>
      </c>
      <c r="I372">
        <v>0</v>
      </c>
      <c r="J372">
        <v>0.72705319213371722</v>
      </c>
      <c r="K372">
        <v>0</v>
      </c>
      <c r="L372">
        <v>0</v>
      </c>
      <c r="M372">
        <v>0.53296400126937304</v>
      </c>
      <c r="N372">
        <v>0</v>
      </c>
      <c r="O372">
        <v>0</v>
      </c>
      <c r="P372">
        <v>0.69935299849541177</v>
      </c>
      <c r="Q372">
        <v>1.6158781399998829</v>
      </c>
      <c r="R372">
        <v>-4.6948637668362494</v>
      </c>
      <c r="S372">
        <v>0.20426205813258841</v>
      </c>
      <c r="T372">
        <v>0.15328805036269411</v>
      </c>
      <c r="U372">
        <v>4.3298398786566432</v>
      </c>
      <c r="V372">
        <v>0.1928042595766489</v>
      </c>
      <c r="W372">
        <v>2.3016298427847679</v>
      </c>
      <c r="X372">
        <v>0.37254351642797912</v>
      </c>
      <c r="Z372" t="s">
        <v>392</v>
      </c>
      <c r="AA372">
        <v>9400</v>
      </c>
      <c r="AB372" t="s">
        <v>2791</v>
      </c>
      <c r="AC372" t="str">
        <f>HYPERLINK("plots/3FT6Y578R01_012_S11P_20251111092011_M5358ACSH101811_RBGEUFRF26/dpll_52084/txpa_53211.png","plot")</f>
        <v>plot</v>
      </c>
    </row>
    <row r="373" spans="1:29" x14ac:dyDescent="0.35">
      <c r="A373" t="s">
        <v>48</v>
      </c>
      <c r="B373">
        <v>52084</v>
      </c>
      <c r="C373" t="s">
        <v>52</v>
      </c>
      <c r="D373">
        <v>53212</v>
      </c>
      <c r="E373" t="s">
        <v>87</v>
      </c>
      <c r="F373">
        <v>12235</v>
      </c>
      <c r="G373">
        <v>0.8483772053117451</v>
      </c>
      <c r="H373">
        <v>0</v>
      </c>
      <c r="I373">
        <v>0</v>
      </c>
      <c r="J373">
        <v>0.73806414276440102</v>
      </c>
      <c r="K373">
        <v>0</v>
      </c>
      <c r="L373">
        <v>0</v>
      </c>
      <c r="M373">
        <v>0.54510419905439933</v>
      </c>
      <c r="N373">
        <v>0</v>
      </c>
      <c r="O373">
        <v>0</v>
      </c>
      <c r="P373">
        <v>0.71974388249256693</v>
      </c>
      <c r="Q373">
        <v>1.635426250192743</v>
      </c>
      <c r="R373">
        <v>-4.7451375846110277</v>
      </c>
      <c r="S373">
        <v>0.1967213590714314</v>
      </c>
      <c r="T373">
        <v>0.14989112495910659</v>
      </c>
      <c r="U373">
        <v>4.3298811404985704</v>
      </c>
      <c r="V373">
        <v>0.19277456910181129</v>
      </c>
      <c r="W373">
        <v>2.3360636927748271</v>
      </c>
      <c r="X373">
        <v>0.37161369813424971</v>
      </c>
      <c r="Z373" t="s">
        <v>392</v>
      </c>
      <c r="AA373">
        <v>9400</v>
      </c>
      <c r="AB373" t="s">
        <v>2792</v>
      </c>
      <c r="AC373" t="str">
        <f>HYPERLINK("plots/3FT6Y578R01_012_S11P_20251111092011_M5358ACSH101811_RBGEUFRF26/dpll_52084/txpa_53212.png","plot")</f>
        <v>plot</v>
      </c>
    </row>
    <row r="374" spans="1:29" x14ac:dyDescent="0.35">
      <c r="A374" t="s">
        <v>48</v>
      </c>
      <c r="B374">
        <v>52084</v>
      </c>
      <c r="C374" t="s">
        <v>52</v>
      </c>
      <c r="D374">
        <v>53213</v>
      </c>
      <c r="E374" t="s">
        <v>88</v>
      </c>
      <c r="F374">
        <v>12239</v>
      </c>
      <c r="G374">
        <v>0.84579692341664059</v>
      </c>
      <c r="H374">
        <v>0</v>
      </c>
      <c r="I374">
        <v>0</v>
      </c>
      <c r="J374">
        <v>0.73248290161015683</v>
      </c>
      <c r="K374">
        <v>0</v>
      </c>
      <c r="L374">
        <v>0</v>
      </c>
      <c r="M374">
        <v>0.53946543614221709</v>
      </c>
      <c r="N374">
        <v>0</v>
      </c>
      <c r="O374">
        <v>0</v>
      </c>
      <c r="P374">
        <v>0.71537243566105457</v>
      </c>
      <c r="Q374">
        <v>1.6194328405991001</v>
      </c>
      <c r="R374">
        <v>-4.6655474802138066</v>
      </c>
      <c r="S374">
        <v>0.19696723073657449</v>
      </c>
      <c r="T374">
        <v>0.14904414441954819</v>
      </c>
      <c r="U374">
        <v>4.3297993540321924</v>
      </c>
      <c r="V374">
        <v>0.19283079985658039</v>
      </c>
      <c r="W374">
        <v>2.346271786910695</v>
      </c>
      <c r="X374">
        <v>0.36920982013658948</v>
      </c>
      <c r="Z374" t="s">
        <v>392</v>
      </c>
      <c r="AA374">
        <v>9400</v>
      </c>
      <c r="AB374" t="s">
        <v>2793</v>
      </c>
      <c r="AC374" t="str">
        <f>HYPERLINK("plots/3FT6Y578R01_012_S11P_20251111092011_M5358ACSH101811_RBGEUFRF26/dpll_52084/txpa_53213.png","plot")</f>
        <v>plot</v>
      </c>
    </row>
    <row r="375" spans="1:29" x14ac:dyDescent="0.35">
      <c r="A375" t="s">
        <v>48</v>
      </c>
      <c r="B375">
        <v>52084</v>
      </c>
      <c r="C375" t="s">
        <v>52</v>
      </c>
      <c r="D375">
        <v>53214</v>
      </c>
      <c r="E375" t="s">
        <v>89</v>
      </c>
      <c r="F375">
        <v>12240</v>
      </c>
      <c r="G375">
        <v>0.85385562792858438</v>
      </c>
      <c r="H375">
        <v>0</v>
      </c>
      <c r="I375">
        <v>0</v>
      </c>
      <c r="J375">
        <v>0.74098633181054552</v>
      </c>
      <c r="K375">
        <v>0</v>
      </c>
      <c r="L375">
        <v>0</v>
      </c>
      <c r="M375">
        <v>0.54788004177923777</v>
      </c>
      <c r="N375">
        <v>0</v>
      </c>
      <c r="O375">
        <v>0</v>
      </c>
      <c r="P375">
        <v>0.72906943334531715</v>
      </c>
      <c r="Q375">
        <v>1.637620260794777</v>
      </c>
      <c r="R375">
        <v>-4.7180459763510036</v>
      </c>
      <c r="S375">
        <v>0.19252272727501429</v>
      </c>
      <c r="T375">
        <v>0.14730404397816871</v>
      </c>
      <c r="U375">
        <v>4.3297635834967316</v>
      </c>
      <c r="V375">
        <v>0.1928599219077857</v>
      </c>
      <c r="W375">
        <v>2.372462592434641</v>
      </c>
      <c r="X375">
        <v>0.36988842759950041</v>
      </c>
      <c r="Z375" t="s">
        <v>392</v>
      </c>
      <c r="AA375">
        <v>9400</v>
      </c>
      <c r="AB375" t="s">
        <v>2794</v>
      </c>
      <c r="AC375" t="str">
        <f>HYPERLINK("plots/3FT6Y578R01_012_S11P_20251111092011_M5358ACSH101811_RBGEUFRF26/dpll_52084/txpa_53214.png","plot")</f>
        <v>plot</v>
      </c>
    </row>
    <row r="376" spans="1:29" x14ac:dyDescent="0.35">
      <c r="A376" t="s">
        <v>48</v>
      </c>
      <c r="B376">
        <v>52084</v>
      </c>
      <c r="C376" t="s">
        <v>52</v>
      </c>
      <c r="D376">
        <v>53215</v>
      </c>
      <c r="E376" t="s">
        <v>90</v>
      </c>
      <c r="F376">
        <v>12237</v>
      </c>
      <c r="G376">
        <v>0.85419913467262398</v>
      </c>
      <c r="H376">
        <v>0</v>
      </c>
      <c r="I376">
        <v>0</v>
      </c>
      <c r="J376">
        <v>0.74049845320241747</v>
      </c>
      <c r="K376">
        <v>0</v>
      </c>
      <c r="L376">
        <v>0</v>
      </c>
      <c r="M376">
        <v>0.54681916623958648</v>
      </c>
      <c r="N376">
        <v>0</v>
      </c>
      <c r="O376">
        <v>0</v>
      </c>
      <c r="P376">
        <v>0.72965616167545966</v>
      </c>
      <c r="Q376">
        <v>1.648753046096685</v>
      </c>
      <c r="R376">
        <v>-4.7881238314850592</v>
      </c>
      <c r="S376">
        <v>0.1934885634374344</v>
      </c>
      <c r="T376">
        <v>0.14857779307122329</v>
      </c>
      <c r="U376">
        <v>4.3298093309634718</v>
      </c>
      <c r="V376">
        <v>0.19280501431080821</v>
      </c>
      <c r="W376">
        <v>2.350662491958813</v>
      </c>
      <c r="X376">
        <v>0.37214724499749352</v>
      </c>
      <c r="Z376" t="s">
        <v>392</v>
      </c>
      <c r="AA376">
        <v>9400</v>
      </c>
      <c r="AB376" t="s">
        <v>2795</v>
      </c>
      <c r="AC376" t="str">
        <f>HYPERLINK("plots/3FT6Y578R01_012_S11P_20251111092011_M5358ACSH101811_RBGEUFRF26/dpll_52084/txpa_53215.png","plot")</f>
        <v>plot</v>
      </c>
    </row>
    <row r="377" spans="1:29" x14ac:dyDescent="0.35">
      <c r="A377" t="s">
        <v>48</v>
      </c>
      <c r="B377">
        <v>52084</v>
      </c>
      <c r="C377" t="s">
        <v>52</v>
      </c>
      <c r="D377">
        <v>53216</v>
      </c>
      <c r="E377" t="s">
        <v>91</v>
      </c>
      <c r="F377">
        <v>12237</v>
      </c>
      <c r="G377">
        <v>0.85655530561898585</v>
      </c>
      <c r="H377">
        <v>0</v>
      </c>
      <c r="I377">
        <v>0</v>
      </c>
      <c r="J377">
        <v>0.74585248103966895</v>
      </c>
      <c r="K377">
        <v>0</v>
      </c>
      <c r="L377">
        <v>0</v>
      </c>
      <c r="M377">
        <v>0.55217688668131859</v>
      </c>
      <c r="N377">
        <v>0</v>
      </c>
      <c r="O377">
        <v>0</v>
      </c>
      <c r="P377">
        <v>0.73368699158403428</v>
      </c>
      <c r="Q377">
        <v>1.6561348190512371</v>
      </c>
      <c r="R377">
        <v>-4.8285672608581924</v>
      </c>
      <c r="S377">
        <v>0.19237498849926071</v>
      </c>
      <c r="T377">
        <v>0.14809211489157309</v>
      </c>
      <c r="U377">
        <v>4.3297430427392332</v>
      </c>
      <c r="V377">
        <v>0.19281014619340489</v>
      </c>
      <c r="W377">
        <v>2.3420709497671002</v>
      </c>
      <c r="X377">
        <v>0.37279507170468368</v>
      </c>
      <c r="Z377" t="s">
        <v>392</v>
      </c>
      <c r="AA377">
        <v>9400</v>
      </c>
      <c r="AB377" t="s">
        <v>2796</v>
      </c>
      <c r="AC377" t="str">
        <f>HYPERLINK("plots/3FT6Y578R01_012_S11P_20251111092011_M5358ACSH101811_RBGEUFRF26/dpll_52084/txpa_53216.png","plot")</f>
        <v>plot</v>
      </c>
    </row>
    <row r="378" spans="1:29" x14ac:dyDescent="0.35">
      <c r="A378" t="s">
        <v>48</v>
      </c>
      <c r="B378">
        <v>52084</v>
      </c>
      <c r="C378" t="s">
        <v>52</v>
      </c>
      <c r="D378">
        <v>53217</v>
      </c>
      <c r="E378" t="s">
        <v>92</v>
      </c>
      <c r="F378">
        <v>12236</v>
      </c>
      <c r="G378">
        <v>0.85577538893113669</v>
      </c>
      <c r="H378">
        <v>0</v>
      </c>
      <c r="I378">
        <v>0</v>
      </c>
      <c r="J378">
        <v>0.74154475417519006</v>
      </c>
      <c r="K378">
        <v>0</v>
      </c>
      <c r="L378">
        <v>0</v>
      </c>
      <c r="M378">
        <v>0.54891882990915264</v>
      </c>
      <c r="N378">
        <v>0</v>
      </c>
      <c r="O378">
        <v>0</v>
      </c>
      <c r="P378">
        <v>0.73235151630023831</v>
      </c>
      <c r="Q378">
        <v>1.6507491301135431</v>
      </c>
      <c r="R378">
        <v>-4.7955040267533739</v>
      </c>
      <c r="S378">
        <v>0.19240509898725511</v>
      </c>
      <c r="T378">
        <v>0.14757326747796201</v>
      </c>
      <c r="U378">
        <v>4.3298654944426289</v>
      </c>
      <c r="V378">
        <v>0.1928104846723474</v>
      </c>
      <c r="W378">
        <v>2.3520176717064398</v>
      </c>
      <c r="X378">
        <v>0.37192205334063422</v>
      </c>
      <c r="Z378" t="s">
        <v>392</v>
      </c>
      <c r="AA378">
        <v>9400</v>
      </c>
      <c r="AB378" t="s">
        <v>2797</v>
      </c>
      <c r="AC378" t="str">
        <f>HYPERLINK("plots/3FT6Y578R01_012_S11P_20251111092011_M5358ACSH101811_RBGEUFRF26/dpll_52084/txpa_53217.png","plot")</f>
        <v>plot</v>
      </c>
    </row>
    <row r="379" spans="1:29" x14ac:dyDescent="0.35">
      <c r="A379" t="s">
        <v>48</v>
      </c>
      <c r="B379">
        <v>52084</v>
      </c>
      <c r="C379" t="s">
        <v>52</v>
      </c>
      <c r="D379">
        <v>53218</v>
      </c>
      <c r="E379" t="s">
        <v>93</v>
      </c>
      <c r="F379">
        <v>12232</v>
      </c>
      <c r="G379">
        <v>0.85248344371343954</v>
      </c>
      <c r="H379">
        <v>0</v>
      </c>
      <c r="I379">
        <v>0</v>
      </c>
      <c r="J379">
        <v>0.73534270322780415</v>
      </c>
      <c r="K379">
        <v>0</v>
      </c>
      <c r="L379">
        <v>0</v>
      </c>
      <c r="M379">
        <v>0.54326726005075243</v>
      </c>
      <c r="N379">
        <v>0</v>
      </c>
      <c r="O379">
        <v>0</v>
      </c>
      <c r="P379">
        <v>0.72672802180552498</v>
      </c>
      <c r="Q379">
        <v>1.634222731923338</v>
      </c>
      <c r="R379">
        <v>-4.7432123366038779</v>
      </c>
      <c r="S379">
        <v>0.1931888332406583</v>
      </c>
      <c r="T379">
        <v>0.14842701035506389</v>
      </c>
      <c r="U379">
        <v>4.3299459228253756</v>
      </c>
      <c r="V379">
        <v>0.19278663739167259</v>
      </c>
      <c r="W379">
        <v>2.3328837184761282</v>
      </c>
      <c r="X379">
        <v>0.36957469093374989</v>
      </c>
      <c r="Z379" t="s">
        <v>392</v>
      </c>
      <c r="AA379">
        <v>9400</v>
      </c>
      <c r="AB379" t="s">
        <v>2798</v>
      </c>
      <c r="AC379" t="str">
        <f>HYPERLINK("plots/3FT6Y578R01_012_S11P_20251111092011_M5358ACSH101811_RBGEUFRF26/dpll_52084/txpa_53218.png","plot")</f>
        <v>plot</v>
      </c>
    </row>
    <row r="380" spans="1:29" x14ac:dyDescent="0.35">
      <c r="A380" t="s">
        <v>48</v>
      </c>
      <c r="B380">
        <v>52084</v>
      </c>
      <c r="C380" t="s">
        <v>52</v>
      </c>
      <c r="D380">
        <v>53219</v>
      </c>
      <c r="E380" t="s">
        <v>94</v>
      </c>
      <c r="F380">
        <v>12229</v>
      </c>
      <c r="G380">
        <v>0.84475912769661754</v>
      </c>
      <c r="H380">
        <v>0</v>
      </c>
      <c r="I380">
        <v>0</v>
      </c>
      <c r="J380">
        <v>0.73491160407390221</v>
      </c>
      <c r="K380">
        <v>0</v>
      </c>
      <c r="L380">
        <v>0</v>
      </c>
      <c r="M380">
        <v>0.5408257693550943</v>
      </c>
      <c r="N380">
        <v>0</v>
      </c>
      <c r="O380">
        <v>0</v>
      </c>
      <c r="P380">
        <v>0.71361798382675012</v>
      </c>
      <c r="Q380">
        <v>1.7807395399814201</v>
      </c>
      <c r="R380">
        <v>-3.5498867279856041</v>
      </c>
      <c r="S380">
        <v>0.21730007062378581</v>
      </c>
      <c r="T380">
        <v>0.16304969992493329</v>
      </c>
      <c r="U380">
        <v>4.3300991395862294</v>
      </c>
      <c r="V380">
        <v>0.1926359082457379</v>
      </c>
      <c r="W380">
        <v>4.16089202191512</v>
      </c>
      <c r="X380">
        <v>0.40607359824422518</v>
      </c>
      <c r="Z380" t="s">
        <v>392</v>
      </c>
      <c r="AA380">
        <v>9400</v>
      </c>
      <c r="AB380" t="s">
        <v>2799</v>
      </c>
      <c r="AC380" t="str">
        <f>HYPERLINK("plots/3FT6Y578R01_012_S11P_20251111092011_M5358ACSH101811_RBGEUFRF26/dpll_52084/txpa_53219.png","plot")</f>
        <v>plot</v>
      </c>
    </row>
    <row r="381" spans="1:29" x14ac:dyDescent="0.35">
      <c r="A381" t="s">
        <v>48</v>
      </c>
      <c r="B381">
        <v>52084</v>
      </c>
      <c r="C381" t="s">
        <v>52</v>
      </c>
      <c r="D381">
        <v>53220</v>
      </c>
      <c r="E381" t="s">
        <v>95</v>
      </c>
      <c r="F381">
        <v>12230</v>
      </c>
      <c r="G381">
        <v>0.85612622222915968</v>
      </c>
      <c r="H381">
        <v>0</v>
      </c>
      <c r="I381">
        <v>0</v>
      </c>
      <c r="J381">
        <v>0.74542641972070545</v>
      </c>
      <c r="K381">
        <v>0</v>
      </c>
      <c r="L381">
        <v>0</v>
      </c>
      <c r="M381">
        <v>0.55254971417179377</v>
      </c>
      <c r="N381">
        <v>0</v>
      </c>
      <c r="O381">
        <v>0</v>
      </c>
      <c r="P381">
        <v>0.73295210838837255</v>
      </c>
      <c r="Q381">
        <v>1.805925073765857</v>
      </c>
      <c r="R381">
        <v>-3.6242602287706052</v>
      </c>
      <c r="S381">
        <v>0.21009055266266299</v>
      </c>
      <c r="T381">
        <v>0.16013496898318011</v>
      </c>
      <c r="U381">
        <v>4.3299874423548648</v>
      </c>
      <c r="V381">
        <v>0.19273818909018881</v>
      </c>
      <c r="W381">
        <v>4.1953726624693379</v>
      </c>
      <c r="X381">
        <v>0.40656473229367879</v>
      </c>
      <c r="Z381" t="s">
        <v>392</v>
      </c>
      <c r="AA381">
        <v>9400</v>
      </c>
      <c r="AB381" t="s">
        <v>2800</v>
      </c>
      <c r="AC381" t="str">
        <f>HYPERLINK("plots/3FT6Y578R01_012_S11P_20251111092011_M5358ACSH101811_RBGEUFRF26/dpll_52084/txpa_53220.png","plot")</f>
        <v>plot</v>
      </c>
    </row>
    <row r="382" spans="1:29" x14ac:dyDescent="0.35">
      <c r="A382" t="s">
        <v>48</v>
      </c>
      <c r="B382">
        <v>52084</v>
      </c>
      <c r="C382" t="s">
        <v>52</v>
      </c>
      <c r="D382">
        <v>53221</v>
      </c>
      <c r="E382" t="s">
        <v>96</v>
      </c>
      <c r="F382">
        <v>12231</v>
      </c>
      <c r="G382">
        <v>0.85409892234657248</v>
      </c>
      <c r="H382">
        <v>0</v>
      </c>
      <c r="I382">
        <v>0</v>
      </c>
      <c r="J382">
        <v>0.74003132844810082</v>
      </c>
      <c r="K382">
        <v>0</v>
      </c>
      <c r="L382">
        <v>0</v>
      </c>
      <c r="M382">
        <v>0.54711331703877497</v>
      </c>
      <c r="N382">
        <v>0</v>
      </c>
      <c r="O382">
        <v>0</v>
      </c>
      <c r="P382">
        <v>0.72948496915357641</v>
      </c>
      <c r="Q382">
        <v>1.787661247195542</v>
      </c>
      <c r="R382">
        <v>-3.5343149354260439</v>
      </c>
      <c r="S382">
        <v>0.20980646723037921</v>
      </c>
      <c r="T382">
        <v>0.1590149516991379</v>
      </c>
      <c r="U382">
        <v>4.3299945914479601</v>
      </c>
      <c r="V382">
        <v>0.1927364579182293</v>
      </c>
      <c r="W382">
        <v>4.2062485962717684</v>
      </c>
      <c r="X382">
        <v>0.4034046733082563</v>
      </c>
      <c r="Z382" t="s">
        <v>392</v>
      </c>
      <c r="AA382">
        <v>9400</v>
      </c>
      <c r="AB382" t="s">
        <v>2801</v>
      </c>
      <c r="AC382" t="str">
        <f>HYPERLINK("plots/3FT6Y578R01_012_S11P_20251111092011_M5358ACSH101811_RBGEUFRF26/dpll_52084/txpa_53221.png","plot")</f>
        <v>plot</v>
      </c>
    </row>
    <row r="383" spans="1:29" x14ac:dyDescent="0.35">
      <c r="A383" t="s">
        <v>48</v>
      </c>
      <c r="B383">
        <v>52084</v>
      </c>
      <c r="C383" t="s">
        <v>52</v>
      </c>
      <c r="D383">
        <v>53222</v>
      </c>
      <c r="E383" t="s">
        <v>97</v>
      </c>
      <c r="F383">
        <v>12234</v>
      </c>
      <c r="G383">
        <v>0.86144103045385423</v>
      </c>
      <c r="H383">
        <v>0</v>
      </c>
      <c r="I383">
        <v>0</v>
      </c>
      <c r="J383">
        <v>0.7487486699326027</v>
      </c>
      <c r="K383">
        <v>0</v>
      </c>
      <c r="L383">
        <v>0</v>
      </c>
      <c r="M383">
        <v>0.55568647716484243</v>
      </c>
      <c r="N383">
        <v>0</v>
      </c>
      <c r="O383">
        <v>0</v>
      </c>
      <c r="P383">
        <v>0.74208064894939818</v>
      </c>
      <c r="Q383">
        <v>1.807434201608394</v>
      </c>
      <c r="R383">
        <v>-3.5962011679957961</v>
      </c>
      <c r="S383">
        <v>0.2054288242739003</v>
      </c>
      <c r="T383">
        <v>0.15712811900682039</v>
      </c>
      <c r="U383">
        <v>4.3298983390550916</v>
      </c>
      <c r="V383">
        <v>0.19279697894596121</v>
      </c>
      <c r="W383">
        <v>4.2298051794997553</v>
      </c>
      <c r="X383">
        <v>0.40451736264537069</v>
      </c>
      <c r="Z383" t="s">
        <v>392</v>
      </c>
      <c r="AA383">
        <v>9400</v>
      </c>
      <c r="AB383" t="s">
        <v>2802</v>
      </c>
      <c r="AC383" t="str">
        <f>HYPERLINK("plots/3FT6Y578R01_012_S11P_20251111092011_M5358ACSH101811_RBGEUFRF26/dpll_52084/txpa_53222.png","plot")</f>
        <v>plot</v>
      </c>
    </row>
    <row r="384" spans="1:29" x14ac:dyDescent="0.35">
      <c r="A384" t="s">
        <v>48</v>
      </c>
      <c r="B384">
        <v>52084</v>
      </c>
      <c r="C384" t="s">
        <v>52</v>
      </c>
      <c r="D384">
        <v>53223</v>
      </c>
      <c r="E384" t="s">
        <v>98</v>
      </c>
      <c r="F384">
        <v>12234</v>
      </c>
      <c r="G384">
        <v>0.86109026149026013</v>
      </c>
      <c r="H384">
        <v>0</v>
      </c>
      <c r="I384">
        <v>0</v>
      </c>
      <c r="J384">
        <v>0.74829007176482576</v>
      </c>
      <c r="K384">
        <v>0</v>
      </c>
      <c r="L384">
        <v>0</v>
      </c>
      <c r="M384">
        <v>0.55466496260819409</v>
      </c>
      <c r="N384">
        <v>0</v>
      </c>
      <c r="O384">
        <v>0</v>
      </c>
      <c r="P384">
        <v>0.74147643843336453</v>
      </c>
      <c r="Q384">
        <v>1.819951936992009</v>
      </c>
      <c r="R384">
        <v>-3.6740544391565249</v>
      </c>
      <c r="S384">
        <v>0.20713218582131479</v>
      </c>
      <c r="T384">
        <v>0.15871427266736499</v>
      </c>
      <c r="U384">
        <v>4.3298931007029591</v>
      </c>
      <c r="V384">
        <v>0.19275428082937199</v>
      </c>
      <c r="W384">
        <v>4.2061428964361616</v>
      </c>
      <c r="X384">
        <v>0.40739460477905443</v>
      </c>
      <c r="Z384" t="s">
        <v>392</v>
      </c>
      <c r="AA384">
        <v>9400</v>
      </c>
      <c r="AB384" t="s">
        <v>2803</v>
      </c>
      <c r="AC384" t="str">
        <f>HYPERLINK("plots/3FT6Y578R01_012_S11P_20251111092011_M5358ACSH101811_RBGEUFRF26/dpll_52084/txpa_53223.png","plot")</f>
        <v>plot</v>
      </c>
    </row>
    <row r="385" spans="1:29" x14ac:dyDescent="0.35">
      <c r="A385" t="s">
        <v>48</v>
      </c>
      <c r="B385">
        <v>52084</v>
      </c>
      <c r="C385" t="s">
        <v>52</v>
      </c>
      <c r="D385">
        <v>53224</v>
      </c>
      <c r="E385" t="s">
        <v>99</v>
      </c>
      <c r="F385">
        <v>12231</v>
      </c>
      <c r="G385">
        <v>0.8636511017184475</v>
      </c>
      <c r="H385">
        <v>0</v>
      </c>
      <c r="I385">
        <v>0</v>
      </c>
      <c r="J385">
        <v>0.75243419521601096</v>
      </c>
      <c r="K385">
        <v>0</v>
      </c>
      <c r="L385">
        <v>0</v>
      </c>
      <c r="M385">
        <v>0.55906432525859484</v>
      </c>
      <c r="N385">
        <v>0</v>
      </c>
      <c r="O385">
        <v>0</v>
      </c>
      <c r="P385">
        <v>0.74589322549948811</v>
      </c>
      <c r="Q385">
        <v>1.8259894186938119</v>
      </c>
      <c r="R385">
        <v>-3.7054340729154269</v>
      </c>
      <c r="S385">
        <v>0.20541597126202851</v>
      </c>
      <c r="T385">
        <v>0.15813054009606739</v>
      </c>
      <c r="U385">
        <v>4.329887003433897</v>
      </c>
      <c r="V385">
        <v>0.19274535244560259</v>
      </c>
      <c r="W385">
        <v>4.2008937794947263</v>
      </c>
      <c r="X385">
        <v>0.40751522619236641</v>
      </c>
      <c r="Z385" t="s">
        <v>392</v>
      </c>
      <c r="AA385">
        <v>9400</v>
      </c>
      <c r="AB385" t="s">
        <v>2804</v>
      </c>
      <c r="AC385" t="str">
        <f>HYPERLINK("plots/3FT6Y578R01_012_S11P_20251111092011_M5358ACSH101811_RBGEUFRF26/dpll_52084/txpa_53224.png","plot")</f>
        <v>plot</v>
      </c>
    </row>
    <row r="386" spans="1:29" x14ac:dyDescent="0.35">
      <c r="A386" t="s">
        <v>48</v>
      </c>
      <c r="B386">
        <v>52084</v>
      </c>
      <c r="C386" t="s">
        <v>52</v>
      </c>
      <c r="D386">
        <v>53225</v>
      </c>
      <c r="E386" t="s">
        <v>100</v>
      </c>
      <c r="F386">
        <v>12227</v>
      </c>
      <c r="G386">
        <v>0.86332800625903872</v>
      </c>
      <c r="H386">
        <v>0</v>
      </c>
      <c r="I386">
        <v>0</v>
      </c>
      <c r="J386">
        <v>0.74813480592170467</v>
      </c>
      <c r="K386">
        <v>0</v>
      </c>
      <c r="L386">
        <v>0</v>
      </c>
      <c r="M386">
        <v>0.55584266303791319</v>
      </c>
      <c r="N386">
        <v>0</v>
      </c>
      <c r="O386">
        <v>0</v>
      </c>
      <c r="P386">
        <v>0.74533524639120674</v>
      </c>
      <c r="Q386">
        <v>1.81957948172072</v>
      </c>
      <c r="R386">
        <v>-3.668427712835217</v>
      </c>
      <c r="S386">
        <v>0.20496778052921019</v>
      </c>
      <c r="T386">
        <v>0.15745031589622441</v>
      </c>
      <c r="U386">
        <v>4.3300711811564572</v>
      </c>
      <c r="V386">
        <v>0.19271864646334599</v>
      </c>
      <c r="W386">
        <v>4.2104809627872726</v>
      </c>
      <c r="X386">
        <v>0.40618037675992802</v>
      </c>
      <c r="Z386" t="s">
        <v>392</v>
      </c>
      <c r="AA386">
        <v>9400</v>
      </c>
      <c r="AB386" t="s">
        <v>2805</v>
      </c>
      <c r="AC386" t="str">
        <f>HYPERLINK("plots/3FT6Y578R01_012_S11P_20251111092011_M5358ACSH101811_RBGEUFRF26/dpll_52084/txpa_53225.png","plot")</f>
        <v>plot</v>
      </c>
    </row>
    <row r="387" spans="1:29" x14ac:dyDescent="0.35">
      <c r="A387" t="s">
        <v>48</v>
      </c>
      <c r="B387">
        <v>52084</v>
      </c>
      <c r="C387" t="s">
        <v>52</v>
      </c>
      <c r="D387">
        <v>53226</v>
      </c>
      <c r="E387" t="s">
        <v>101</v>
      </c>
      <c r="F387">
        <v>12225</v>
      </c>
      <c r="G387">
        <v>0.86009280133198285</v>
      </c>
      <c r="H387">
        <v>0</v>
      </c>
      <c r="I387">
        <v>0</v>
      </c>
      <c r="J387">
        <v>0.74319947221899829</v>
      </c>
      <c r="K387">
        <v>0</v>
      </c>
      <c r="L387">
        <v>0</v>
      </c>
      <c r="M387">
        <v>0.55106676820612832</v>
      </c>
      <c r="N387">
        <v>0</v>
      </c>
      <c r="O387">
        <v>0</v>
      </c>
      <c r="P387">
        <v>0.73975962690309771</v>
      </c>
      <c r="Q387">
        <v>1.801567693178914</v>
      </c>
      <c r="R387">
        <v>-3.609311866174528</v>
      </c>
      <c r="S387">
        <v>0.20589789372221051</v>
      </c>
      <c r="T387">
        <v>0.15823064708417581</v>
      </c>
      <c r="U387">
        <v>4.3301207368507164</v>
      </c>
      <c r="V387">
        <v>0.19269793396874041</v>
      </c>
      <c r="W387">
        <v>4.1916937608997964</v>
      </c>
      <c r="X387">
        <v>0.40362897101659201</v>
      </c>
      <c r="Z387" t="s">
        <v>392</v>
      </c>
      <c r="AA387">
        <v>9400</v>
      </c>
      <c r="AB387" t="s">
        <v>2806</v>
      </c>
      <c r="AC387" t="str">
        <f>HYPERLINK("plots/3FT6Y578R01_012_S11P_20251111092011_M5358ACSH101811_RBGEUFRF26/dpll_52084/txpa_53226.png","plot")</f>
        <v>plot</v>
      </c>
    </row>
    <row r="388" spans="1:29" x14ac:dyDescent="0.35">
      <c r="A388" t="s">
        <v>48</v>
      </c>
      <c r="B388">
        <v>52084</v>
      </c>
      <c r="C388" t="s">
        <v>52</v>
      </c>
      <c r="D388">
        <v>53227</v>
      </c>
      <c r="E388" t="s">
        <v>102</v>
      </c>
      <c r="F388">
        <v>12200</v>
      </c>
      <c r="G388">
        <v>0.85563051157419867</v>
      </c>
      <c r="H388">
        <v>0</v>
      </c>
      <c r="I388">
        <v>0</v>
      </c>
      <c r="J388">
        <v>0.7399105909012621</v>
      </c>
      <c r="K388">
        <v>0</v>
      </c>
      <c r="L388">
        <v>0</v>
      </c>
      <c r="M388">
        <v>0.54667310909530931</v>
      </c>
      <c r="N388">
        <v>0</v>
      </c>
      <c r="O388">
        <v>0</v>
      </c>
      <c r="P388">
        <v>0.73210357233672496</v>
      </c>
      <c r="Q388">
        <v>2.020322838403771</v>
      </c>
      <c r="R388">
        <v>-2.3687945349333721</v>
      </c>
      <c r="S388">
        <v>0.23513010779235069</v>
      </c>
      <c r="T388">
        <v>0.17836782734644599</v>
      </c>
      <c r="U388">
        <v>4.3307062177868847</v>
      </c>
      <c r="V388">
        <v>0.19240133058688569</v>
      </c>
      <c r="W388">
        <v>6.3806301432786876</v>
      </c>
      <c r="X388">
        <v>0.45429983744829422</v>
      </c>
      <c r="Z388" t="s">
        <v>392</v>
      </c>
      <c r="AA388">
        <v>9400</v>
      </c>
      <c r="AB388" t="s">
        <v>2807</v>
      </c>
      <c r="AC388" t="str">
        <f>HYPERLINK("plots/3FT6Y578R01_012_S11P_20251111092011_M5358ACSH101811_RBGEUFRF26/dpll_52084/txpa_53227.png","plot")</f>
        <v>plot</v>
      </c>
    </row>
    <row r="389" spans="1:29" x14ac:dyDescent="0.35">
      <c r="A389" t="s">
        <v>48</v>
      </c>
      <c r="B389">
        <v>52084</v>
      </c>
      <c r="C389" t="s">
        <v>52</v>
      </c>
      <c r="D389">
        <v>53228</v>
      </c>
      <c r="E389" t="s">
        <v>103</v>
      </c>
      <c r="F389">
        <v>12215</v>
      </c>
      <c r="G389">
        <v>0.86360325694223405</v>
      </c>
      <c r="H389">
        <v>0</v>
      </c>
      <c r="I389">
        <v>0</v>
      </c>
      <c r="J389">
        <v>0.75009352045062805</v>
      </c>
      <c r="K389">
        <v>0</v>
      </c>
      <c r="L389">
        <v>0</v>
      </c>
      <c r="M389">
        <v>0.55778295049759541</v>
      </c>
      <c r="N389">
        <v>0</v>
      </c>
      <c r="O389">
        <v>0</v>
      </c>
      <c r="P389">
        <v>0.74581058540123435</v>
      </c>
      <c r="Q389">
        <v>2.0544966745501951</v>
      </c>
      <c r="R389">
        <v>-2.4818317553310432</v>
      </c>
      <c r="S389">
        <v>0.2310170556337128</v>
      </c>
      <c r="T389">
        <v>0.17693811448765739</v>
      </c>
      <c r="U389">
        <v>4.3303044022922634</v>
      </c>
      <c r="V389">
        <v>0.19261580523868091</v>
      </c>
      <c r="W389">
        <v>6.4147642389684814</v>
      </c>
      <c r="X389">
        <v>0.45822954944593047</v>
      </c>
      <c r="Z389" t="s">
        <v>392</v>
      </c>
      <c r="AA389">
        <v>9400</v>
      </c>
      <c r="AB389" t="s">
        <v>2808</v>
      </c>
      <c r="AC389" t="str">
        <f>HYPERLINK("plots/3FT6Y578R01_012_S11P_20251111092011_M5358ACSH101811_RBGEUFRF26/dpll_52084/txpa_53228.png","plot")</f>
        <v>plot</v>
      </c>
    </row>
    <row r="390" spans="1:29" x14ac:dyDescent="0.35">
      <c r="A390" t="s">
        <v>48</v>
      </c>
      <c r="B390">
        <v>52084</v>
      </c>
      <c r="C390" t="s">
        <v>52</v>
      </c>
      <c r="D390">
        <v>53229</v>
      </c>
      <c r="E390" t="s">
        <v>104</v>
      </c>
      <c r="F390">
        <v>12207</v>
      </c>
      <c r="G390">
        <v>0.86325215857970783</v>
      </c>
      <c r="H390">
        <v>0</v>
      </c>
      <c r="I390">
        <v>0</v>
      </c>
      <c r="J390">
        <v>0.74453991687505083</v>
      </c>
      <c r="K390">
        <v>0</v>
      </c>
      <c r="L390">
        <v>0</v>
      </c>
      <c r="M390">
        <v>0.552369349318099</v>
      </c>
      <c r="N390">
        <v>0</v>
      </c>
      <c r="O390">
        <v>0</v>
      </c>
      <c r="P390">
        <v>0.74520428929252502</v>
      </c>
      <c r="Q390">
        <v>2.0306266722981152</v>
      </c>
      <c r="R390">
        <v>-2.3664429560018569</v>
      </c>
      <c r="S390">
        <v>0.22859998969361461</v>
      </c>
      <c r="T390">
        <v>0.17490920888753231</v>
      </c>
      <c r="U390">
        <v>4.3305081548291966</v>
      </c>
      <c r="V390">
        <v>0.19253315440682031</v>
      </c>
      <c r="W390">
        <v>6.4272024077988039</v>
      </c>
      <c r="X390">
        <v>0.45289543125316301</v>
      </c>
      <c r="Z390" t="s">
        <v>392</v>
      </c>
      <c r="AA390">
        <v>9400</v>
      </c>
      <c r="AB390" t="s">
        <v>2809</v>
      </c>
      <c r="AC390" t="str">
        <f>HYPERLINK("plots/3FT6Y578R01_012_S11P_20251111092011_M5358ACSH101811_RBGEUFRF26/dpll_52084/txpa_53229.png","plot")</f>
        <v>plot</v>
      </c>
    </row>
    <row r="391" spans="1:29" x14ac:dyDescent="0.35">
      <c r="A391" t="s">
        <v>48</v>
      </c>
      <c r="B391">
        <v>52084</v>
      </c>
      <c r="C391" t="s">
        <v>52</v>
      </c>
      <c r="D391">
        <v>53230</v>
      </c>
      <c r="E391" t="s">
        <v>105</v>
      </c>
      <c r="F391">
        <v>12215</v>
      </c>
      <c r="G391">
        <v>0.86886095198320279</v>
      </c>
      <c r="H391">
        <v>0</v>
      </c>
      <c r="I391">
        <v>0</v>
      </c>
      <c r="J391">
        <v>0.75283518073738953</v>
      </c>
      <c r="K391">
        <v>0</v>
      </c>
      <c r="L391">
        <v>0</v>
      </c>
      <c r="M391">
        <v>0.56064823623449433</v>
      </c>
      <c r="N391">
        <v>0</v>
      </c>
      <c r="O391">
        <v>0</v>
      </c>
      <c r="P391">
        <v>0.75491935388115738</v>
      </c>
      <c r="Q391">
        <v>2.0538253234961221</v>
      </c>
      <c r="R391">
        <v>-2.445615142550206</v>
      </c>
      <c r="S391">
        <v>0.22539645474480011</v>
      </c>
      <c r="T391">
        <v>0.17341327552620009</v>
      </c>
      <c r="U391">
        <v>4.3303262375767497</v>
      </c>
      <c r="V391">
        <v>0.19261811376642951</v>
      </c>
      <c r="W391">
        <v>6.4481185431846084</v>
      </c>
      <c r="X391">
        <v>0.45531331441995571</v>
      </c>
      <c r="Z391" t="s">
        <v>392</v>
      </c>
      <c r="AA391">
        <v>9400</v>
      </c>
      <c r="AB391" t="s">
        <v>2810</v>
      </c>
      <c r="AC391" t="str">
        <f>HYPERLINK("plots/3FT6Y578R01_012_S11P_20251111092011_M5358ACSH101811_RBGEUFRF26/dpll_52084/txpa_53230.png","plot")</f>
        <v>plot</v>
      </c>
    </row>
    <row r="392" spans="1:29" x14ac:dyDescent="0.35">
      <c r="A392" t="s">
        <v>48</v>
      </c>
      <c r="B392">
        <v>52084</v>
      </c>
      <c r="C392" t="s">
        <v>52</v>
      </c>
      <c r="D392">
        <v>53231</v>
      </c>
      <c r="E392" t="s">
        <v>106</v>
      </c>
      <c r="F392">
        <v>12208</v>
      </c>
      <c r="G392">
        <v>0.86871704137496197</v>
      </c>
      <c r="H392">
        <v>0</v>
      </c>
      <c r="I392">
        <v>0</v>
      </c>
      <c r="J392">
        <v>0.75229863281211073</v>
      </c>
      <c r="K392">
        <v>0</v>
      </c>
      <c r="L392">
        <v>0</v>
      </c>
      <c r="M392">
        <v>0.55969241293672267</v>
      </c>
      <c r="N392">
        <v>0</v>
      </c>
      <c r="O392">
        <v>0</v>
      </c>
      <c r="P392">
        <v>0.75466929797526738</v>
      </c>
      <c r="Q392">
        <v>2.0621828561486581</v>
      </c>
      <c r="R392">
        <v>-2.5067352035207811</v>
      </c>
      <c r="S392">
        <v>0.22627714770384361</v>
      </c>
      <c r="T392">
        <v>0.17452923487490701</v>
      </c>
      <c r="U392">
        <v>4.3305224367627781</v>
      </c>
      <c r="V392">
        <v>0.19245699561637639</v>
      </c>
      <c r="W392">
        <v>6.4235939237385322</v>
      </c>
      <c r="X392">
        <v>0.45685936617267769</v>
      </c>
      <c r="Z392" t="s">
        <v>392</v>
      </c>
      <c r="AA392">
        <v>9400</v>
      </c>
      <c r="AB392" t="s">
        <v>2811</v>
      </c>
      <c r="AC392" t="str">
        <f>HYPERLINK("plots/3FT6Y578R01_012_S11P_20251111092011_M5358ACSH101811_RBGEUFRF26/dpll_52084/txpa_53231.png","plot")</f>
        <v>plot</v>
      </c>
    </row>
    <row r="393" spans="1:29" x14ac:dyDescent="0.35">
      <c r="A393" t="s">
        <v>48</v>
      </c>
      <c r="B393">
        <v>52084</v>
      </c>
      <c r="C393" t="s">
        <v>52</v>
      </c>
      <c r="D393">
        <v>53232</v>
      </c>
      <c r="E393" t="s">
        <v>107</v>
      </c>
      <c r="F393">
        <v>12217</v>
      </c>
      <c r="G393">
        <v>0.86943595194347978</v>
      </c>
      <c r="H393">
        <v>0</v>
      </c>
      <c r="I393">
        <v>0</v>
      </c>
      <c r="J393">
        <v>0.75557337569617944</v>
      </c>
      <c r="K393">
        <v>0</v>
      </c>
      <c r="L393">
        <v>0</v>
      </c>
      <c r="M393">
        <v>0.56306684405765128</v>
      </c>
      <c r="N393">
        <v>0</v>
      </c>
      <c r="O393">
        <v>0</v>
      </c>
      <c r="P393">
        <v>0.7559188745318649</v>
      </c>
      <c r="Q393">
        <v>2.0745775902407071</v>
      </c>
      <c r="R393">
        <v>-2.5639406353712371</v>
      </c>
      <c r="S393">
        <v>0.2269939080142796</v>
      </c>
      <c r="T393">
        <v>0.17508301676878349</v>
      </c>
      <c r="U393">
        <v>4.3302420934763033</v>
      </c>
      <c r="V393">
        <v>0.19256297662266891</v>
      </c>
      <c r="W393">
        <v>6.4194825720717041</v>
      </c>
      <c r="X393">
        <v>0.45947816526156671</v>
      </c>
      <c r="Z393" t="s">
        <v>392</v>
      </c>
      <c r="AA393">
        <v>9400</v>
      </c>
      <c r="AB393" t="s">
        <v>2812</v>
      </c>
      <c r="AC393" t="str">
        <f>HYPERLINK("plots/3FT6Y578R01_012_S11P_20251111092011_M5358ACSH101811_RBGEUFRF26/dpll_52084/txpa_53232.png","plot")</f>
        <v>plot</v>
      </c>
    </row>
    <row r="394" spans="1:29" x14ac:dyDescent="0.35">
      <c r="A394" t="s">
        <v>48</v>
      </c>
      <c r="B394">
        <v>52084</v>
      </c>
      <c r="C394" t="s">
        <v>52</v>
      </c>
      <c r="D394">
        <v>53233</v>
      </c>
      <c r="E394" t="s">
        <v>108</v>
      </c>
      <c r="F394">
        <v>12205</v>
      </c>
      <c r="G394">
        <v>0.87085003739375777</v>
      </c>
      <c r="H394">
        <v>0</v>
      </c>
      <c r="I394">
        <v>0</v>
      </c>
      <c r="J394">
        <v>0.7515420161688624</v>
      </c>
      <c r="K394">
        <v>0</v>
      </c>
      <c r="L394">
        <v>0</v>
      </c>
      <c r="M394">
        <v>0.56029220617312714</v>
      </c>
      <c r="N394">
        <v>0</v>
      </c>
      <c r="O394">
        <v>0</v>
      </c>
      <c r="P394">
        <v>0.75837978762870928</v>
      </c>
      <c r="Q394">
        <v>2.0644466584423529</v>
      </c>
      <c r="R394">
        <v>-2.510334994164773</v>
      </c>
      <c r="S394">
        <v>0.2243227825943695</v>
      </c>
      <c r="T394">
        <v>0.173381937302657</v>
      </c>
      <c r="U394">
        <v>4.3305622219582132</v>
      </c>
      <c r="V394">
        <v>0.19251485824846409</v>
      </c>
      <c r="W394">
        <v>6.4298797141335511</v>
      </c>
      <c r="X394">
        <v>0.45637783630460221</v>
      </c>
      <c r="Z394" t="s">
        <v>392</v>
      </c>
      <c r="AA394">
        <v>9400</v>
      </c>
      <c r="AB394" t="s">
        <v>2813</v>
      </c>
      <c r="AC394" t="str">
        <f>HYPERLINK("plots/3FT6Y578R01_012_S11P_20251111092011_M5358ACSH101811_RBGEUFRF26/dpll_52084/txpa_53233.png","plot")</f>
        <v>plot</v>
      </c>
    </row>
    <row r="395" spans="1:29" x14ac:dyDescent="0.35">
      <c r="A395" t="s">
        <v>48</v>
      </c>
      <c r="B395">
        <v>52084</v>
      </c>
      <c r="C395" t="s">
        <v>52</v>
      </c>
      <c r="D395">
        <v>53234</v>
      </c>
      <c r="E395" t="s">
        <v>109</v>
      </c>
      <c r="F395">
        <v>12195</v>
      </c>
      <c r="G395">
        <v>0.86769061646732415</v>
      </c>
      <c r="H395">
        <v>0</v>
      </c>
      <c r="I395">
        <v>0</v>
      </c>
      <c r="J395">
        <v>0.74678456446101471</v>
      </c>
      <c r="K395">
        <v>0</v>
      </c>
      <c r="L395">
        <v>0</v>
      </c>
      <c r="M395">
        <v>0.55554214785070066</v>
      </c>
      <c r="N395">
        <v>0</v>
      </c>
      <c r="O395">
        <v>0</v>
      </c>
      <c r="P395">
        <v>0.75288700590544499</v>
      </c>
      <c r="Q395">
        <v>2.039401075133199</v>
      </c>
      <c r="R395">
        <v>-2.420468718376009</v>
      </c>
      <c r="S395">
        <v>0.22468826210155621</v>
      </c>
      <c r="T395">
        <v>0.17393025460055289</v>
      </c>
      <c r="U395">
        <v>4.3308602751947518</v>
      </c>
      <c r="V395">
        <v>0.19231477788063769</v>
      </c>
      <c r="W395">
        <v>6.4118923831078316</v>
      </c>
      <c r="X395">
        <v>0.45201245389812839</v>
      </c>
      <c r="Z395" t="s">
        <v>392</v>
      </c>
      <c r="AA395">
        <v>9400</v>
      </c>
      <c r="AB395" t="s">
        <v>2814</v>
      </c>
      <c r="AC395" t="str">
        <f>HYPERLINK("plots/3FT6Y578R01_012_S11P_20251111092011_M5358ACSH101811_RBGEUFRF26/dpll_52084/txpa_53234.png","plot")</f>
        <v>plot</v>
      </c>
    </row>
    <row r="396" spans="1:29" x14ac:dyDescent="0.35">
      <c r="A396" t="s">
        <v>48</v>
      </c>
      <c r="B396">
        <v>52084</v>
      </c>
      <c r="C396" t="s">
        <v>52</v>
      </c>
      <c r="D396">
        <v>53235</v>
      </c>
      <c r="E396" t="s">
        <v>110</v>
      </c>
      <c r="F396">
        <v>12187</v>
      </c>
      <c r="G396">
        <v>0.85884723978905264</v>
      </c>
      <c r="H396">
        <v>0</v>
      </c>
      <c r="I396">
        <v>0</v>
      </c>
      <c r="J396">
        <v>0.74043729423431759</v>
      </c>
      <c r="K396">
        <v>0</v>
      </c>
      <c r="L396">
        <v>0</v>
      </c>
      <c r="M396">
        <v>0.5476625710157017</v>
      </c>
      <c r="N396">
        <v>0</v>
      </c>
      <c r="O396">
        <v>0</v>
      </c>
      <c r="P396">
        <v>0.73761858129327451</v>
      </c>
      <c r="Q396">
        <v>2.1390835968927151</v>
      </c>
      <c r="R396">
        <v>-1.9092507065288229</v>
      </c>
      <c r="S396">
        <v>0.24531642811076351</v>
      </c>
      <c r="T396">
        <v>0.1869086664569389</v>
      </c>
      <c r="U396">
        <v>4.3309801216049886</v>
      </c>
      <c r="V396">
        <v>0.19229415345012421</v>
      </c>
      <c r="W396">
        <v>7.3550778300648236</v>
      </c>
      <c r="X396">
        <v>0.4789364748084442</v>
      </c>
      <c r="Z396" t="s">
        <v>392</v>
      </c>
      <c r="AA396">
        <v>9400</v>
      </c>
      <c r="AB396" t="s">
        <v>2815</v>
      </c>
      <c r="AC396" t="str">
        <f>HYPERLINK("plots/3FT6Y578R01_012_S11P_20251111092011_M5358ACSH101811_RBGEUFRF26/dpll_52084/txpa_53235.png","plot")</f>
        <v>plot</v>
      </c>
    </row>
    <row r="397" spans="1:29" x14ac:dyDescent="0.35">
      <c r="A397" t="s">
        <v>48</v>
      </c>
      <c r="B397">
        <v>52084</v>
      </c>
      <c r="C397" t="s">
        <v>52</v>
      </c>
      <c r="D397">
        <v>53236</v>
      </c>
      <c r="E397" t="s">
        <v>111</v>
      </c>
      <c r="F397">
        <v>12192</v>
      </c>
      <c r="G397">
        <v>0.86687214075636765</v>
      </c>
      <c r="H397">
        <v>0</v>
      </c>
      <c r="I397">
        <v>0</v>
      </c>
      <c r="J397">
        <v>0.74995630659985368</v>
      </c>
      <c r="K397">
        <v>0</v>
      </c>
      <c r="L397">
        <v>0</v>
      </c>
      <c r="M397">
        <v>0.55818445651701809</v>
      </c>
      <c r="N397">
        <v>0</v>
      </c>
      <c r="O397">
        <v>0</v>
      </c>
      <c r="P397">
        <v>0.75146730841952769</v>
      </c>
      <c r="Q397">
        <v>2.167791843315277</v>
      </c>
      <c r="R397">
        <v>-1.9973330660059769</v>
      </c>
      <c r="S397">
        <v>0.23977916796145329</v>
      </c>
      <c r="T397">
        <v>0.18483953441653411</v>
      </c>
      <c r="U397">
        <v>4.3308506896325456</v>
      </c>
      <c r="V397">
        <v>0.19234237164242621</v>
      </c>
      <c r="W397">
        <v>7.3910497335957999</v>
      </c>
      <c r="X397">
        <v>0.48099160737425561</v>
      </c>
      <c r="Z397" t="s">
        <v>392</v>
      </c>
      <c r="AA397">
        <v>9400</v>
      </c>
      <c r="AB397" t="s">
        <v>2816</v>
      </c>
      <c r="AC397" t="str">
        <f>HYPERLINK("plots/3FT6Y578R01_012_S11P_20251111092011_M5358ACSH101811_RBGEUFRF26/dpll_52084/txpa_53236.png","plot")</f>
        <v>plot</v>
      </c>
    </row>
    <row r="398" spans="1:29" x14ac:dyDescent="0.35">
      <c r="A398" t="s">
        <v>48</v>
      </c>
      <c r="B398">
        <v>52084</v>
      </c>
      <c r="C398" t="s">
        <v>52</v>
      </c>
      <c r="D398">
        <v>53237</v>
      </c>
      <c r="E398" t="s">
        <v>112</v>
      </c>
      <c r="F398">
        <v>12188</v>
      </c>
      <c r="G398">
        <v>0.8661697505835666</v>
      </c>
      <c r="H398">
        <v>0</v>
      </c>
      <c r="I398">
        <v>0</v>
      </c>
      <c r="J398">
        <v>0.74471074347457</v>
      </c>
      <c r="K398">
        <v>0</v>
      </c>
      <c r="L398">
        <v>0</v>
      </c>
      <c r="M398">
        <v>0.55302830868311093</v>
      </c>
      <c r="N398">
        <v>0</v>
      </c>
      <c r="O398">
        <v>0</v>
      </c>
      <c r="P398">
        <v>0.750250036825998</v>
      </c>
      <c r="Q398">
        <v>2.145139202997612</v>
      </c>
      <c r="R398">
        <v>-1.887285942925955</v>
      </c>
      <c r="S398">
        <v>0.23799814140025211</v>
      </c>
      <c r="T398">
        <v>0.18303732146428181</v>
      </c>
      <c r="U398">
        <v>4.3309728524778466</v>
      </c>
      <c r="V398">
        <v>0.192303061888839</v>
      </c>
      <c r="W398">
        <v>7.403253710042665</v>
      </c>
      <c r="X398">
        <v>0.47625403292633861</v>
      </c>
      <c r="Z398" t="s">
        <v>392</v>
      </c>
      <c r="AA398">
        <v>9400</v>
      </c>
      <c r="AB398" t="s">
        <v>2817</v>
      </c>
      <c r="AC398" t="str">
        <f>HYPERLINK("plots/3FT6Y578R01_012_S11P_20251111092011_M5358ACSH101811_RBGEUFRF26/dpll_52084/txpa_53237.png","plot")</f>
        <v>plot</v>
      </c>
    </row>
    <row r="399" spans="1:29" x14ac:dyDescent="0.35">
      <c r="A399" t="s">
        <v>48</v>
      </c>
      <c r="B399">
        <v>52084</v>
      </c>
      <c r="C399" t="s">
        <v>52</v>
      </c>
      <c r="D399">
        <v>53238</v>
      </c>
      <c r="E399" t="s">
        <v>113</v>
      </c>
      <c r="F399">
        <v>12200</v>
      </c>
      <c r="G399">
        <v>0.87122515671959666</v>
      </c>
      <c r="H399">
        <v>0</v>
      </c>
      <c r="I399">
        <v>0</v>
      </c>
      <c r="J399">
        <v>0.75285576190820092</v>
      </c>
      <c r="K399">
        <v>0</v>
      </c>
      <c r="L399">
        <v>0</v>
      </c>
      <c r="M399">
        <v>0.56117580859974636</v>
      </c>
      <c r="N399">
        <v>0</v>
      </c>
      <c r="O399">
        <v>0</v>
      </c>
      <c r="P399">
        <v>0.75903327370108575</v>
      </c>
      <c r="Q399">
        <v>2.172625605572136</v>
      </c>
      <c r="R399">
        <v>-1.9857990399492911</v>
      </c>
      <c r="S399">
        <v>0.2355768205707226</v>
      </c>
      <c r="T399">
        <v>0.1819750334330307</v>
      </c>
      <c r="U399">
        <v>4.3306825181967206</v>
      </c>
      <c r="V399">
        <v>0.1924497408540799</v>
      </c>
      <c r="W399">
        <v>7.423152688688524</v>
      </c>
      <c r="X399">
        <v>0.47992327992414491</v>
      </c>
      <c r="Z399" t="s">
        <v>392</v>
      </c>
      <c r="AA399">
        <v>9400</v>
      </c>
      <c r="AB399" t="s">
        <v>2818</v>
      </c>
      <c r="AC399" t="str">
        <f>HYPERLINK("plots/3FT6Y578R01_012_S11P_20251111092011_M5358ACSH101811_RBGEUFRF26/dpll_52084/txpa_53238.png","plot")</f>
        <v>plot</v>
      </c>
    </row>
    <row r="400" spans="1:29" x14ac:dyDescent="0.35">
      <c r="A400" t="s">
        <v>48</v>
      </c>
      <c r="B400">
        <v>52084</v>
      </c>
      <c r="C400" t="s">
        <v>52</v>
      </c>
      <c r="D400">
        <v>53239</v>
      </c>
      <c r="E400" t="s">
        <v>114</v>
      </c>
      <c r="F400">
        <v>12190</v>
      </c>
      <c r="G400">
        <v>0.87183505388810467</v>
      </c>
      <c r="H400">
        <v>0</v>
      </c>
      <c r="I400">
        <v>0</v>
      </c>
      <c r="J400">
        <v>0.75222657129260873</v>
      </c>
      <c r="K400">
        <v>0</v>
      </c>
      <c r="L400">
        <v>0</v>
      </c>
      <c r="M400">
        <v>0.5601931629084953</v>
      </c>
      <c r="N400">
        <v>0</v>
      </c>
      <c r="O400">
        <v>0</v>
      </c>
      <c r="P400">
        <v>0.76009636118807433</v>
      </c>
      <c r="Q400">
        <v>2.1803360531130478</v>
      </c>
      <c r="R400">
        <v>-2.0447435421799822</v>
      </c>
      <c r="S400">
        <v>0.23552801305837959</v>
      </c>
      <c r="T400">
        <v>0.1827798088451196</v>
      </c>
      <c r="U400">
        <v>4.3309085109926171</v>
      </c>
      <c r="V400">
        <v>0.19228829806352329</v>
      </c>
      <c r="W400">
        <v>7.3980924270713686</v>
      </c>
      <c r="X400">
        <v>0.48088581319357743</v>
      </c>
      <c r="Z400" t="s">
        <v>392</v>
      </c>
      <c r="AA400">
        <v>9400</v>
      </c>
      <c r="AB400" t="s">
        <v>2819</v>
      </c>
      <c r="AC400" t="str">
        <f>HYPERLINK("plots/3FT6Y578R01_012_S11P_20251111092011_M5358ACSH101811_RBGEUFRF26/dpll_52084/txpa_53239.png","plot")</f>
        <v>plot</v>
      </c>
    </row>
    <row r="401" spans="1:29" x14ac:dyDescent="0.35">
      <c r="A401" t="s">
        <v>48</v>
      </c>
      <c r="B401">
        <v>52084</v>
      </c>
      <c r="C401" t="s">
        <v>52</v>
      </c>
      <c r="D401">
        <v>53240</v>
      </c>
      <c r="E401" t="s">
        <v>115</v>
      </c>
      <c r="F401">
        <v>12204</v>
      </c>
      <c r="G401">
        <v>0.87185984370024383</v>
      </c>
      <c r="H401">
        <v>0</v>
      </c>
      <c r="I401">
        <v>0</v>
      </c>
      <c r="J401">
        <v>0.75546067814527995</v>
      </c>
      <c r="K401">
        <v>0</v>
      </c>
      <c r="L401">
        <v>0</v>
      </c>
      <c r="M401">
        <v>0.56353406275555151</v>
      </c>
      <c r="N401">
        <v>0</v>
      </c>
      <c r="O401">
        <v>0</v>
      </c>
      <c r="P401">
        <v>0.76013958705701357</v>
      </c>
      <c r="Q401">
        <v>2.1952387366395278</v>
      </c>
      <c r="R401">
        <v>-2.112671518931919</v>
      </c>
      <c r="S401">
        <v>0.2372931632025857</v>
      </c>
      <c r="T401">
        <v>0.18372363005716821</v>
      </c>
      <c r="U401">
        <v>4.3305283060471984</v>
      </c>
      <c r="V401">
        <v>0.19243703142611279</v>
      </c>
      <c r="W401">
        <v>7.393871968616847</v>
      </c>
      <c r="X401">
        <v>0.48453341302843927</v>
      </c>
      <c r="Z401" t="s">
        <v>392</v>
      </c>
      <c r="AA401">
        <v>9400</v>
      </c>
      <c r="AB401" t="s">
        <v>2820</v>
      </c>
      <c r="AC401" t="str">
        <f>HYPERLINK("plots/3FT6Y578R01_012_S11P_20251111092011_M5358ACSH101811_RBGEUFRF26/dpll_52084/txpa_53240.png","plot")</f>
        <v>plot</v>
      </c>
    </row>
    <row r="402" spans="1:29" x14ac:dyDescent="0.35">
      <c r="A402" t="s">
        <v>48</v>
      </c>
      <c r="B402">
        <v>52084</v>
      </c>
      <c r="C402" t="s">
        <v>52</v>
      </c>
      <c r="D402">
        <v>53241</v>
      </c>
      <c r="E402" t="s">
        <v>116</v>
      </c>
      <c r="F402">
        <v>12186</v>
      </c>
      <c r="G402">
        <v>0.87283442690229529</v>
      </c>
      <c r="H402">
        <v>0</v>
      </c>
      <c r="I402">
        <v>0</v>
      </c>
      <c r="J402">
        <v>0.75129742944213407</v>
      </c>
      <c r="K402">
        <v>0</v>
      </c>
      <c r="L402">
        <v>0</v>
      </c>
      <c r="M402">
        <v>0.56060533815649827</v>
      </c>
      <c r="N402">
        <v>0</v>
      </c>
      <c r="O402">
        <v>0</v>
      </c>
      <c r="P402">
        <v>0.76183993678585826</v>
      </c>
      <c r="Q402">
        <v>2.180852210373454</v>
      </c>
      <c r="R402">
        <v>-2.0403577832129232</v>
      </c>
      <c r="S402">
        <v>0.23434430797177949</v>
      </c>
      <c r="T402">
        <v>0.18171100044974201</v>
      </c>
      <c r="U402">
        <v>4.3310747500410303</v>
      </c>
      <c r="V402">
        <v>0.1921955787054101</v>
      </c>
      <c r="W402">
        <v>7.4050761587067138</v>
      </c>
      <c r="X402">
        <v>0.48021725509988211</v>
      </c>
      <c r="Z402" t="s">
        <v>392</v>
      </c>
      <c r="AA402">
        <v>9400</v>
      </c>
      <c r="AB402" t="s">
        <v>2821</v>
      </c>
      <c r="AC402" t="str">
        <f>HYPERLINK("plots/3FT6Y578R01_012_S11P_20251111092011_M5358ACSH101811_RBGEUFRF26/dpll_52084/txpa_53241.png","plot")</f>
        <v>plot</v>
      </c>
    </row>
    <row r="403" spans="1:29" x14ac:dyDescent="0.35">
      <c r="A403" t="s">
        <v>48</v>
      </c>
      <c r="B403">
        <v>52084</v>
      </c>
      <c r="C403" t="s">
        <v>52</v>
      </c>
      <c r="D403">
        <v>53242</v>
      </c>
      <c r="E403" t="s">
        <v>117</v>
      </c>
      <c r="F403">
        <v>12177</v>
      </c>
      <c r="G403">
        <v>0.87004063977069479</v>
      </c>
      <c r="H403">
        <v>0</v>
      </c>
      <c r="I403">
        <v>0</v>
      </c>
      <c r="J403">
        <v>0.74643891597733369</v>
      </c>
      <c r="K403">
        <v>0</v>
      </c>
      <c r="L403">
        <v>0</v>
      </c>
      <c r="M403">
        <v>0.55578617129910524</v>
      </c>
      <c r="N403">
        <v>0</v>
      </c>
      <c r="O403">
        <v>0</v>
      </c>
      <c r="P403">
        <v>0.75697071485259992</v>
      </c>
      <c r="Q403">
        <v>2.15500324255652</v>
      </c>
      <c r="R403">
        <v>-1.9468873836151781</v>
      </c>
      <c r="S403">
        <v>0.23455450701560249</v>
      </c>
      <c r="T403">
        <v>0.1822635161428745</v>
      </c>
      <c r="U403">
        <v>4.3312985430730064</v>
      </c>
      <c r="V403">
        <v>0.19209847718797179</v>
      </c>
      <c r="W403">
        <v>7.387075021187484</v>
      </c>
      <c r="X403">
        <v>0.47580862583540279</v>
      </c>
      <c r="Z403" t="s">
        <v>392</v>
      </c>
      <c r="AA403">
        <v>9400</v>
      </c>
      <c r="AB403" t="s">
        <v>2822</v>
      </c>
      <c r="AC403" t="str">
        <f>HYPERLINK("plots/3FT6Y578R01_012_S11P_20251111092011_M5358ACSH101811_RBGEUFRF26/dpll_52084/txpa_53242.png","plot")</f>
        <v>plot</v>
      </c>
    </row>
    <row r="404" spans="1:29" x14ac:dyDescent="0.35">
      <c r="A404" t="s">
        <v>48</v>
      </c>
      <c r="B404">
        <v>52084</v>
      </c>
      <c r="C404" t="s">
        <v>52</v>
      </c>
      <c r="D404">
        <v>53243</v>
      </c>
      <c r="E404" t="s">
        <v>118</v>
      </c>
      <c r="F404">
        <v>12162</v>
      </c>
      <c r="G404">
        <v>0.86171046149780617</v>
      </c>
      <c r="H404">
        <v>0</v>
      </c>
      <c r="I404">
        <v>0</v>
      </c>
      <c r="J404">
        <v>0.73998255798393919</v>
      </c>
      <c r="K404">
        <v>0</v>
      </c>
      <c r="L404">
        <v>0</v>
      </c>
      <c r="M404">
        <v>0.54791018731186181</v>
      </c>
      <c r="N404">
        <v>0</v>
      </c>
      <c r="O404">
        <v>0</v>
      </c>
      <c r="P404">
        <v>0.74254491945476209</v>
      </c>
      <c r="Q404">
        <v>2.2613218146111391</v>
      </c>
      <c r="R404">
        <v>-1.5001941331701489</v>
      </c>
      <c r="S404">
        <v>0.25564134205832623</v>
      </c>
      <c r="T404">
        <v>0.1958878901656593</v>
      </c>
      <c r="U404">
        <v>4.3315899643973026</v>
      </c>
      <c r="V404">
        <v>0.1919982207187996</v>
      </c>
      <c r="W404">
        <v>8.2949247452721586</v>
      </c>
      <c r="X404">
        <v>0.50384645919614535</v>
      </c>
      <c r="Z404" t="s">
        <v>392</v>
      </c>
      <c r="AA404">
        <v>9400</v>
      </c>
      <c r="AB404" t="s">
        <v>2823</v>
      </c>
      <c r="AC404" t="str">
        <f>HYPERLINK("plots/3FT6Y578R01_012_S11P_20251111092011_M5358ACSH101811_RBGEUFRF26/dpll_52084/txpa_53243.png","plot")</f>
        <v>plot</v>
      </c>
    </row>
    <row r="405" spans="1:29" x14ac:dyDescent="0.35">
      <c r="A405" t="s">
        <v>48</v>
      </c>
      <c r="B405">
        <v>52084</v>
      </c>
      <c r="C405" t="s">
        <v>52</v>
      </c>
      <c r="D405">
        <v>53244</v>
      </c>
      <c r="E405" t="s">
        <v>119</v>
      </c>
      <c r="F405">
        <v>12173</v>
      </c>
      <c r="G405">
        <v>0.8688267330703523</v>
      </c>
      <c r="H405">
        <v>0</v>
      </c>
      <c r="I405">
        <v>0</v>
      </c>
      <c r="J405">
        <v>0.74913477163940867</v>
      </c>
      <c r="K405">
        <v>0</v>
      </c>
      <c r="L405">
        <v>0</v>
      </c>
      <c r="M405">
        <v>0.55795568848918531</v>
      </c>
      <c r="N405">
        <v>0</v>
      </c>
      <c r="O405">
        <v>0</v>
      </c>
      <c r="P405">
        <v>0.75485989209770121</v>
      </c>
      <c r="Q405">
        <v>2.294372912977062</v>
      </c>
      <c r="R405">
        <v>-1.6068829513885829</v>
      </c>
      <c r="S405">
        <v>0.25115317170112839</v>
      </c>
      <c r="T405">
        <v>0.1943266404871335</v>
      </c>
      <c r="U405">
        <v>4.3313231979791338</v>
      </c>
      <c r="V405">
        <v>0.19209607368753659</v>
      </c>
      <c r="W405">
        <v>8.3307876714039271</v>
      </c>
      <c r="X405">
        <v>0.50728184502380147</v>
      </c>
      <c r="Z405" t="s">
        <v>392</v>
      </c>
      <c r="AA405">
        <v>9400</v>
      </c>
      <c r="AB405" t="s">
        <v>2824</v>
      </c>
      <c r="AC405" t="str">
        <f>HYPERLINK("plots/3FT6Y578R01_012_S11P_20251111092011_M5358ACSH101811_RBGEUFRF26/dpll_52084/txpa_53244.png","plot")</f>
        <v>plot</v>
      </c>
    </row>
    <row r="406" spans="1:29" x14ac:dyDescent="0.35">
      <c r="A406" t="s">
        <v>48</v>
      </c>
      <c r="B406">
        <v>52084</v>
      </c>
      <c r="C406" t="s">
        <v>52</v>
      </c>
      <c r="D406">
        <v>53245</v>
      </c>
      <c r="E406" t="s">
        <v>120</v>
      </c>
      <c r="F406">
        <v>12158</v>
      </c>
      <c r="G406">
        <v>0.86865927070982429</v>
      </c>
      <c r="H406">
        <v>0</v>
      </c>
      <c r="I406">
        <v>0</v>
      </c>
      <c r="J406">
        <v>0.7435986701250662</v>
      </c>
      <c r="K406">
        <v>0</v>
      </c>
      <c r="L406">
        <v>0</v>
      </c>
      <c r="M406">
        <v>0.55258394572929603</v>
      </c>
      <c r="N406">
        <v>0</v>
      </c>
      <c r="O406">
        <v>0</v>
      </c>
      <c r="P406">
        <v>0.75456892859012381</v>
      </c>
      <c r="Q406">
        <v>2.264850419495156</v>
      </c>
      <c r="R406">
        <v>-1.465983116945377</v>
      </c>
      <c r="S406">
        <v>0.24777696910982419</v>
      </c>
      <c r="T406">
        <v>0.19180665176559181</v>
      </c>
      <c r="U406">
        <v>4.3317611625267309</v>
      </c>
      <c r="V406">
        <v>0.19183328336952521</v>
      </c>
      <c r="W406">
        <v>8.3448079691561112</v>
      </c>
      <c r="X406">
        <v>0.5001658382780767</v>
      </c>
      <c r="Z406" t="s">
        <v>392</v>
      </c>
      <c r="AA406">
        <v>9400</v>
      </c>
      <c r="AB406" t="s">
        <v>2825</v>
      </c>
      <c r="AC406" t="str">
        <f>HYPERLINK("plots/3FT6Y578R01_012_S11P_20251111092011_M5358ACSH101811_RBGEUFRF26/dpll_52084/txpa_53245.png","plot")</f>
        <v>plot</v>
      </c>
    </row>
    <row r="407" spans="1:29" x14ac:dyDescent="0.35">
      <c r="A407" t="s">
        <v>48</v>
      </c>
      <c r="B407">
        <v>52084</v>
      </c>
      <c r="C407" t="s">
        <v>52</v>
      </c>
      <c r="D407">
        <v>53246</v>
      </c>
      <c r="E407" t="s">
        <v>121</v>
      </c>
      <c r="F407">
        <v>12183</v>
      </c>
      <c r="G407">
        <v>0.87280389087209942</v>
      </c>
      <c r="H407">
        <v>0</v>
      </c>
      <c r="I407">
        <v>0</v>
      </c>
      <c r="J407">
        <v>0.75199192635048639</v>
      </c>
      <c r="K407">
        <v>0</v>
      </c>
      <c r="L407">
        <v>0</v>
      </c>
      <c r="M407">
        <v>0.56082644085829003</v>
      </c>
      <c r="N407">
        <v>0</v>
      </c>
      <c r="O407">
        <v>0</v>
      </c>
      <c r="P407">
        <v>0.76178663192147567</v>
      </c>
      <c r="Q407">
        <v>2.3015661000476122</v>
      </c>
      <c r="R407">
        <v>-1.605852642529229</v>
      </c>
      <c r="S407">
        <v>0.24735272198281599</v>
      </c>
      <c r="T407">
        <v>0.19170464831027351</v>
      </c>
      <c r="U407">
        <v>4.3311191126980217</v>
      </c>
      <c r="V407">
        <v>0.19219614614004249</v>
      </c>
      <c r="W407">
        <v>8.3625042825248297</v>
      </c>
      <c r="X407">
        <v>0.50681732648295508</v>
      </c>
      <c r="Z407" t="s">
        <v>392</v>
      </c>
      <c r="AA407">
        <v>9400</v>
      </c>
      <c r="AB407" t="s">
        <v>2826</v>
      </c>
      <c r="AC407" t="str">
        <f>HYPERLINK("plots/3FT6Y578R01_012_S11P_20251111092011_M5358ACSH101811_RBGEUFRF26/dpll_52084/txpa_53246.png","plot")</f>
        <v>plot</v>
      </c>
    </row>
    <row r="408" spans="1:29" x14ac:dyDescent="0.35">
      <c r="A408" t="s">
        <v>48</v>
      </c>
      <c r="B408">
        <v>52084</v>
      </c>
      <c r="C408" t="s">
        <v>52</v>
      </c>
      <c r="D408">
        <v>53247</v>
      </c>
      <c r="E408" t="s">
        <v>122</v>
      </c>
      <c r="F408">
        <v>12170</v>
      </c>
      <c r="G408">
        <v>0.87402401235540395</v>
      </c>
      <c r="H408">
        <v>0</v>
      </c>
      <c r="I408">
        <v>0</v>
      </c>
      <c r="J408">
        <v>0.75118005331235471</v>
      </c>
      <c r="K408">
        <v>0</v>
      </c>
      <c r="L408">
        <v>0</v>
      </c>
      <c r="M408">
        <v>0.55983864589322996</v>
      </c>
      <c r="N408">
        <v>0</v>
      </c>
      <c r="O408">
        <v>0</v>
      </c>
      <c r="P408">
        <v>0.76391797417383933</v>
      </c>
      <c r="Q408">
        <v>2.308242415598373</v>
      </c>
      <c r="R408">
        <v>-1.660954127834245</v>
      </c>
      <c r="S408">
        <v>0.24647244548666289</v>
      </c>
      <c r="T408">
        <v>0.19226641987902371</v>
      </c>
      <c r="U408">
        <v>4.3313672660640918</v>
      </c>
      <c r="V408">
        <v>0.1920864380094516</v>
      </c>
      <c r="W408">
        <v>8.3368915132292525</v>
      </c>
      <c r="X408">
        <v>0.50728819506886869</v>
      </c>
      <c r="Z408" t="s">
        <v>392</v>
      </c>
      <c r="AA408">
        <v>9400</v>
      </c>
      <c r="AB408" t="s">
        <v>2827</v>
      </c>
      <c r="AC408" t="str">
        <f>HYPERLINK("plots/3FT6Y578R01_012_S11P_20251111092011_M5358ACSH101811_RBGEUFRF26/dpll_52084/txpa_53247.png","plot")</f>
        <v>plot</v>
      </c>
    </row>
    <row r="409" spans="1:29" x14ac:dyDescent="0.35">
      <c r="A409" t="s">
        <v>48</v>
      </c>
      <c r="B409">
        <v>52084</v>
      </c>
      <c r="C409" t="s">
        <v>52</v>
      </c>
      <c r="D409">
        <v>53248</v>
      </c>
      <c r="E409" t="s">
        <v>123</v>
      </c>
      <c r="F409">
        <v>12180</v>
      </c>
      <c r="G409">
        <v>0.87375751848313965</v>
      </c>
      <c r="H409">
        <v>0</v>
      </c>
      <c r="I409">
        <v>0</v>
      </c>
      <c r="J409">
        <v>0.75414873670263871</v>
      </c>
      <c r="K409">
        <v>0</v>
      </c>
      <c r="L409">
        <v>0</v>
      </c>
      <c r="M409">
        <v>0.56292956351271362</v>
      </c>
      <c r="N409">
        <v>0</v>
      </c>
      <c r="O409">
        <v>0</v>
      </c>
      <c r="P409">
        <v>0.76345220110581413</v>
      </c>
      <c r="Q409">
        <v>2.3192628474217698</v>
      </c>
      <c r="R409">
        <v>-1.7111323069973161</v>
      </c>
      <c r="S409">
        <v>0.24795596975768719</v>
      </c>
      <c r="T409">
        <v>0.19289523985545901</v>
      </c>
      <c r="U409">
        <v>4.331212686535304</v>
      </c>
      <c r="V409">
        <v>0.19207635111678431</v>
      </c>
      <c r="W409">
        <v>8.3340883611658469</v>
      </c>
      <c r="X409">
        <v>0.50983886901122311</v>
      </c>
      <c r="Z409" t="s">
        <v>392</v>
      </c>
      <c r="AA409">
        <v>9400</v>
      </c>
      <c r="AB409" t="s">
        <v>2828</v>
      </c>
      <c r="AC409" t="str">
        <f>HYPERLINK("plots/3FT6Y578R01_012_S11P_20251111092011_M5358ACSH101811_RBGEUFRF26/dpll_52084/txpa_53248.png","plot")</f>
        <v>plot</v>
      </c>
    </row>
    <row r="410" spans="1:29" x14ac:dyDescent="0.35">
      <c r="A410" t="s">
        <v>48</v>
      </c>
      <c r="B410">
        <v>52084</v>
      </c>
      <c r="C410" t="s">
        <v>52</v>
      </c>
      <c r="D410">
        <v>53249</v>
      </c>
      <c r="E410" t="s">
        <v>124</v>
      </c>
      <c r="F410">
        <v>12155</v>
      </c>
      <c r="G410">
        <v>0.8747401374052387</v>
      </c>
      <c r="H410">
        <v>0</v>
      </c>
      <c r="I410">
        <v>0</v>
      </c>
      <c r="J410">
        <v>0.7496012571624836</v>
      </c>
      <c r="K410">
        <v>0</v>
      </c>
      <c r="L410">
        <v>0</v>
      </c>
      <c r="M410">
        <v>0.55977860782973121</v>
      </c>
      <c r="N410">
        <v>0</v>
      </c>
      <c r="O410">
        <v>0</v>
      </c>
      <c r="P410">
        <v>0.76517030798773589</v>
      </c>
      <c r="Q410">
        <v>2.3008017340036639</v>
      </c>
      <c r="R410">
        <v>-1.6204978886314509</v>
      </c>
      <c r="S410">
        <v>0.24434773159964179</v>
      </c>
      <c r="T410">
        <v>0.19056065368869879</v>
      </c>
      <c r="U410">
        <v>4.3318995446318382</v>
      </c>
      <c r="V410">
        <v>0.1917121031115113</v>
      </c>
      <c r="W410">
        <v>8.346344095187165</v>
      </c>
      <c r="X410">
        <v>0.50425437270647511</v>
      </c>
      <c r="Z410" t="s">
        <v>392</v>
      </c>
      <c r="AA410">
        <v>9400</v>
      </c>
      <c r="AB410" t="s">
        <v>2829</v>
      </c>
      <c r="AC410" t="str">
        <f>HYPERLINK("plots/3FT6Y578R01_012_S11P_20251111092011_M5358ACSH101811_RBGEUFRF26/dpll_52084/txpa_53249.png","plot")</f>
        <v>plot</v>
      </c>
    </row>
    <row r="411" spans="1:29" x14ac:dyDescent="0.35">
      <c r="A411" t="s">
        <v>48</v>
      </c>
      <c r="B411">
        <v>52084</v>
      </c>
      <c r="C411" t="s">
        <v>52</v>
      </c>
      <c r="D411">
        <v>53250</v>
      </c>
      <c r="E411" t="s">
        <v>125</v>
      </c>
      <c r="F411">
        <v>12164</v>
      </c>
      <c r="G411">
        <v>0.87105656191156755</v>
      </c>
      <c r="H411">
        <v>0</v>
      </c>
      <c r="I411">
        <v>0</v>
      </c>
      <c r="J411">
        <v>0.74597637134447081</v>
      </c>
      <c r="K411">
        <v>0</v>
      </c>
      <c r="L411">
        <v>0</v>
      </c>
      <c r="M411">
        <v>0.55575972413378927</v>
      </c>
      <c r="N411">
        <v>0</v>
      </c>
      <c r="O411">
        <v>0</v>
      </c>
      <c r="P411">
        <v>0.75873953404920047</v>
      </c>
      <c r="Q411">
        <v>2.2843925092369819</v>
      </c>
      <c r="R411">
        <v>-1.5698638452332729</v>
      </c>
      <c r="S411">
        <v>0.24714556883039279</v>
      </c>
      <c r="T411">
        <v>0.1922782757157811</v>
      </c>
      <c r="U411">
        <v>4.3316619989312724</v>
      </c>
      <c r="V411">
        <v>0.19186830053933629</v>
      </c>
      <c r="W411">
        <v>8.3253523776718179</v>
      </c>
      <c r="X411">
        <v>0.50318489944007527</v>
      </c>
      <c r="Z411" t="s">
        <v>392</v>
      </c>
      <c r="AA411">
        <v>9400</v>
      </c>
      <c r="AB411" t="s">
        <v>2830</v>
      </c>
      <c r="AC411" t="str">
        <f>HYPERLINK("plots/3FT6Y578R01_012_S11P_20251111092011_M5358ACSH101811_RBGEUFRF26/dpll_52084/txpa_53250.png","plot")</f>
        <v>plot</v>
      </c>
    </row>
    <row r="412" spans="1:29" x14ac:dyDescent="0.35">
      <c r="A412" t="s">
        <v>48</v>
      </c>
      <c r="B412">
        <v>52084</v>
      </c>
      <c r="C412" t="s">
        <v>52</v>
      </c>
      <c r="D412">
        <v>53251</v>
      </c>
      <c r="E412" t="s">
        <v>126</v>
      </c>
      <c r="F412">
        <v>12131</v>
      </c>
      <c r="G412">
        <v>0.86399388260571097</v>
      </c>
      <c r="H412">
        <v>0</v>
      </c>
      <c r="I412">
        <v>0</v>
      </c>
      <c r="J412">
        <v>0.73888300678541474</v>
      </c>
      <c r="K412">
        <v>0</v>
      </c>
      <c r="L412">
        <v>0</v>
      </c>
      <c r="M412">
        <v>0.54756334210019308</v>
      </c>
      <c r="N412">
        <v>0</v>
      </c>
      <c r="O412">
        <v>0</v>
      </c>
      <c r="P412">
        <v>0.74648542918009109</v>
      </c>
      <c r="Q412">
        <v>2.4110254011882608</v>
      </c>
      <c r="R412">
        <v>-1.209504964954039</v>
      </c>
      <c r="S412">
        <v>0.26904771753846918</v>
      </c>
      <c r="T412">
        <v>0.20727665233949849</v>
      </c>
      <c r="U412">
        <v>4.3324287109059432</v>
      </c>
      <c r="V412">
        <v>0.19149376229392229</v>
      </c>
      <c r="W412">
        <v>9.236090705877503</v>
      </c>
      <c r="X412">
        <v>0.53437453013825531</v>
      </c>
      <c r="Z412" t="s">
        <v>392</v>
      </c>
      <c r="AA412">
        <v>9400</v>
      </c>
      <c r="AB412" t="s">
        <v>2831</v>
      </c>
      <c r="AC412" t="str">
        <f>HYPERLINK("plots/3FT6Y578R01_012_S11P_20251111092011_M5358ACSH101811_RBGEUFRF26/dpll_52084/txpa_53251.png","plot")</f>
        <v>plot</v>
      </c>
    </row>
    <row r="413" spans="1:29" x14ac:dyDescent="0.35">
      <c r="A413" t="s">
        <v>48</v>
      </c>
      <c r="B413">
        <v>52084</v>
      </c>
      <c r="C413" t="s">
        <v>52</v>
      </c>
      <c r="D413">
        <v>53252</v>
      </c>
      <c r="E413" t="s">
        <v>127</v>
      </c>
      <c r="F413">
        <v>12142</v>
      </c>
      <c r="G413">
        <v>0.87138019499466879</v>
      </c>
      <c r="H413">
        <v>0</v>
      </c>
      <c r="I413">
        <v>0</v>
      </c>
      <c r="J413">
        <v>0.74776533780019683</v>
      </c>
      <c r="K413">
        <v>0</v>
      </c>
      <c r="L413">
        <v>0</v>
      </c>
      <c r="M413">
        <v>0.55739090216360199</v>
      </c>
      <c r="N413">
        <v>0</v>
      </c>
      <c r="O413">
        <v>0</v>
      </c>
      <c r="P413">
        <v>0.75930344422894702</v>
      </c>
      <c r="Q413">
        <v>2.4456675786658559</v>
      </c>
      <c r="R413">
        <v>-1.322993668233849</v>
      </c>
      <c r="S413">
        <v>0.26391143827052682</v>
      </c>
      <c r="T413">
        <v>0.20561274209059491</v>
      </c>
      <c r="U413">
        <v>4.3321083397298636</v>
      </c>
      <c r="V413">
        <v>0.19166879784814261</v>
      </c>
      <c r="W413">
        <v>9.2719032455114476</v>
      </c>
      <c r="X413">
        <v>0.53794906911090667</v>
      </c>
      <c r="Z413" t="s">
        <v>392</v>
      </c>
      <c r="AA413">
        <v>9400</v>
      </c>
      <c r="AB413" t="s">
        <v>2832</v>
      </c>
      <c r="AC413" t="str">
        <f>HYPERLINK("plots/3FT6Y578R01_012_S11P_20251111092011_M5358ACSH101811_RBGEUFRF26/dpll_52084/txpa_53252.png","plot")</f>
        <v>plot</v>
      </c>
    </row>
    <row r="414" spans="1:29" x14ac:dyDescent="0.35">
      <c r="A414" t="s">
        <v>48</v>
      </c>
      <c r="B414">
        <v>52084</v>
      </c>
      <c r="C414" t="s">
        <v>52</v>
      </c>
      <c r="D414">
        <v>53253</v>
      </c>
      <c r="E414" t="s">
        <v>128</v>
      </c>
      <c r="F414">
        <v>12128</v>
      </c>
      <c r="G414">
        <v>0.87094305008537898</v>
      </c>
      <c r="H414">
        <v>0</v>
      </c>
      <c r="I414">
        <v>0</v>
      </c>
      <c r="J414">
        <v>0.7424462213123969</v>
      </c>
      <c r="K414">
        <v>0</v>
      </c>
      <c r="L414">
        <v>0</v>
      </c>
      <c r="M414">
        <v>0.55223107743991506</v>
      </c>
      <c r="N414">
        <v>0</v>
      </c>
      <c r="O414">
        <v>0</v>
      </c>
      <c r="P414">
        <v>0.75854179649202291</v>
      </c>
      <c r="Q414">
        <v>2.4165073186468469</v>
      </c>
      <c r="R414">
        <v>-1.1836266906895501</v>
      </c>
      <c r="S414">
        <v>0.26090885398982361</v>
      </c>
      <c r="T414">
        <v>0.20315829646579531</v>
      </c>
      <c r="U414">
        <v>4.3325534583608194</v>
      </c>
      <c r="V414">
        <v>0.19137596040892371</v>
      </c>
      <c r="W414">
        <v>9.2860204498680741</v>
      </c>
      <c r="X414">
        <v>0.53098926375943645</v>
      </c>
      <c r="Z414" t="s">
        <v>392</v>
      </c>
      <c r="AA414">
        <v>9400</v>
      </c>
      <c r="AB414" t="s">
        <v>2833</v>
      </c>
      <c r="AC414" t="str">
        <f>HYPERLINK("plots/3FT6Y578R01_012_S11P_20251111092011_M5358ACSH101811_RBGEUFRF26/dpll_52084/txpa_53253.png","plot")</f>
        <v>plot</v>
      </c>
    </row>
    <row r="415" spans="1:29" x14ac:dyDescent="0.35">
      <c r="A415" t="s">
        <v>48</v>
      </c>
      <c r="B415">
        <v>52084</v>
      </c>
      <c r="C415" t="s">
        <v>52</v>
      </c>
      <c r="D415">
        <v>53254</v>
      </c>
      <c r="E415" t="s">
        <v>129</v>
      </c>
      <c r="F415">
        <v>12150</v>
      </c>
      <c r="G415">
        <v>0.87541647031365499</v>
      </c>
      <c r="H415">
        <v>0</v>
      </c>
      <c r="I415">
        <v>0</v>
      </c>
      <c r="J415">
        <v>0.7503047589992059</v>
      </c>
      <c r="K415">
        <v>0</v>
      </c>
      <c r="L415">
        <v>0</v>
      </c>
      <c r="M415">
        <v>0.55999791394686005</v>
      </c>
      <c r="N415">
        <v>0</v>
      </c>
      <c r="O415">
        <v>0</v>
      </c>
      <c r="P415">
        <v>0.76635399649641844</v>
      </c>
      <c r="Q415">
        <v>2.4534230708630149</v>
      </c>
      <c r="R415">
        <v>-1.323935501030912</v>
      </c>
      <c r="S415">
        <v>0.25976049761577891</v>
      </c>
      <c r="T415">
        <v>0.20290999767831761</v>
      </c>
      <c r="U415">
        <v>4.3319415112757209</v>
      </c>
      <c r="V415">
        <v>0.191758255685164</v>
      </c>
      <c r="W415">
        <v>9.3041497443621388</v>
      </c>
      <c r="X415">
        <v>0.53741749724889998</v>
      </c>
      <c r="Z415" t="s">
        <v>392</v>
      </c>
      <c r="AA415">
        <v>9400</v>
      </c>
      <c r="AB415" t="s">
        <v>2834</v>
      </c>
      <c r="AC415" t="str">
        <f>HYPERLINK("plots/3FT6Y578R01_012_S11P_20251111092011_M5358ACSH101811_RBGEUFRF26/dpll_52084/txpa_53254.png","plot")</f>
        <v>plot</v>
      </c>
    </row>
    <row r="416" spans="1:29" x14ac:dyDescent="0.35">
      <c r="A416" t="s">
        <v>48</v>
      </c>
      <c r="B416">
        <v>52084</v>
      </c>
      <c r="C416" t="s">
        <v>52</v>
      </c>
      <c r="D416">
        <v>53255</v>
      </c>
      <c r="E416" t="s">
        <v>130</v>
      </c>
      <c r="F416">
        <v>12131</v>
      </c>
      <c r="G416">
        <v>0.87601718600988621</v>
      </c>
      <c r="H416">
        <v>0</v>
      </c>
      <c r="I416">
        <v>0</v>
      </c>
      <c r="J416">
        <v>0.74888464273893118</v>
      </c>
      <c r="K416">
        <v>0</v>
      </c>
      <c r="L416">
        <v>0</v>
      </c>
      <c r="M416">
        <v>0.55846285353127711</v>
      </c>
      <c r="N416">
        <v>0</v>
      </c>
      <c r="O416">
        <v>0</v>
      </c>
      <c r="P416">
        <v>0.76740611018467952</v>
      </c>
      <c r="Q416">
        <v>2.4552904293353039</v>
      </c>
      <c r="R416">
        <v>-1.359012659682689</v>
      </c>
      <c r="S416">
        <v>0.25877468126440839</v>
      </c>
      <c r="T416">
        <v>0.20322524389096219</v>
      </c>
      <c r="U416">
        <v>4.3324191816008577</v>
      </c>
      <c r="V416">
        <v>0.19144775933919911</v>
      </c>
      <c r="W416">
        <v>9.2783346927705868</v>
      </c>
      <c r="X416">
        <v>0.53658747651318284</v>
      </c>
      <c r="Z416" t="s">
        <v>392</v>
      </c>
      <c r="AA416">
        <v>9400</v>
      </c>
      <c r="AB416" t="s">
        <v>2835</v>
      </c>
      <c r="AC416" t="str">
        <f>HYPERLINK("plots/3FT6Y578R01_012_S11P_20251111092011_M5358ACSH101811_RBGEUFRF26/dpll_52084/txpa_53255.png","plot")</f>
        <v>plot</v>
      </c>
    </row>
    <row r="417" spans="1:29" x14ac:dyDescent="0.35">
      <c r="A417" t="s">
        <v>48</v>
      </c>
      <c r="B417">
        <v>52084</v>
      </c>
      <c r="C417" t="s">
        <v>52</v>
      </c>
      <c r="D417">
        <v>53256</v>
      </c>
      <c r="E417" t="s">
        <v>131</v>
      </c>
      <c r="F417">
        <v>12147</v>
      </c>
      <c r="G417">
        <v>0.87630718230468574</v>
      </c>
      <c r="H417">
        <v>0</v>
      </c>
      <c r="I417">
        <v>0</v>
      </c>
      <c r="J417">
        <v>0.75241589043953738</v>
      </c>
      <c r="K417">
        <v>0</v>
      </c>
      <c r="L417">
        <v>0</v>
      </c>
      <c r="M417">
        <v>0.56212762649802894</v>
      </c>
      <c r="N417">
        <v>0</v>
      </c>
      <c r="O417">
        <v>0</v>
      </c>
      <c r="P417">
        <v>0.76791427775877774</v>
      </c>
      <c r="Q417">
        <v>2.4708838029106142</v>
      </c>
      <c r="R417">
        <v>-1.428758724427603</v>
      </c>
      <c r="S417">
        <v>0.26031092723074112</v>
      </c>
      <c r="T417">
        <v>0.20399559881741189</v>
      </c>
      <c r="U417">
        <v>4.3320293620647066</v>
      </c>
      <c r="V417">
        <v>0.19164174351108551</v>
      </c>
      <c r="W417">
        <v>9.2751824600312833</v>
      </c>
      <c r="X417">
        <v>0.5403635729171169</v>
      </c>
      <c r="Z417" t="s">
        <v>392</v>
      </c>
      <c r="AA417">
        <v>9400</v>
      </c>
      <c r="AB417" t="s">
        <v>2836</v>
      </c>
      <c r="AC417" t="str">
        <f>HYPERLINK("plots/3FT6Y578R01_012_S11P_20251111092011_M5358ACSH101811_RBGEUFRF26/dpll_52084/txpa_53256.png","plot")</f>
        <v>plot</v>
      </c>
    </row>
    <row r="418" spans="1:29" x14ac:dyDescent="0.35">
      <c r="A418" t="s">
        <v>48</v>
      </c>
      <c r="B418">
        <v>52084</v>
      </c>
      <c r="C418" t="s">
        <v>52</v>
      </c>
      <c r="D418">
        <v>53257</v>
      </c>
      <c r="E418" t="s">
        <v>132</v>
      </c>
      <c r="F418">
        <v>12116</v>
      </c>
      <c r="G418">
        <v>0.87679149797394562</v>
      </c>
      <c r="H418">
        <v>0</v>
      </c>
      <c r="I418">
        <v>0</v>
      </c>
      <c r="J418">
        <v>0.74747718021109721</v>
      </c>
      <c r="K418">
        <v>0</v>
      </c>
      <c r="L418">
        <v>0</v>
      </c>
      <c r="M418">
        <v>0.55869641617813659</v>
      </c>
      <c r="N418">
        <v>0</v>
      </c>
      <c r="O418">
        <v>0</v>
      </c>
      <c r="P418">
        <v>0.76876333091939553</v>
      </c>
      <c r="Q418">
        <v>2.4477339249049899</v>
      </c>
      <c r="R418">
        <v>-1.3170423239296769</v>
      </c>
      <c r="S418">
        <v>0.25653955525234462</v>
      </c>
      <c r="T418">
        <v>0.20153782438160819</v>
      </c>
      <c r="U418">
        <v>4.3329347654341364</v>
      </c>
      <c r="V418">
        <v>0.1911067518243566</v>
      </c>
      <c r="W418">
        <v>9.2888290958237043</v>
      </c>
      <c r="X418">
        <v>0.5335116510593455</v>
      </c>
      <c r="Z418" t="s">
        <v>392</v>
      </c>
      <c r="AA418">
        <v>9400</v>
      </c>
      <c r="AB418" t="s">
        <v>2837</v>
      </c>
      <c r="AC418" t="str">
        <f>HYPERLINK("plots/3FT6Y578R01_012_S11P_20251111092011_M5358ACSH101811_RBGEUFRF26/dpll_52084/txpa_53257.png","plot")</f>
        <v>plot</v>
      </c>
    </row>
    <row r="419" spans="1:29" x14ac:dyDescent="0.35">
      <c r="A419" t="s">
        <v>48</v>
      </c>
      <c r="B419">
        <v>52084</v>
      </c>
      <c r="C419" t="s">
        <v>52</v>
      </c>
      <c r="D419">
        <v>53258</v>
      </c>
      <c r="E419" t="s">
        <v>133</v>
      </c>
      <c r="F419">
        <v>12137</v>
      </c>
      <c r="G419">
        <v>0.87268648019141093</v>
      </c>
      <c r="H419">
        <v>0</v>
      </c>
      <c r="I419">
        <v>0</v>
      </c>
      <c r="J419">
        <v>0.74443175006120599</v>
      </c>
      <c r="K419">
        <v>0</v>
      </c>
      <c r="L419">
        <v>0</v>
      </c>
      <c r="M419">
        <v>0.55490352104491147</v>
      </c>
      <c r="N419">
        <v>0</v>
      </c>
      <c r="O419">
        <v>0</v>
      </c>
      <c r="P419">
        <v>0.76158169270887388</v>
      </c>
      <c r="Q419">
        <v>2.439225100528013</v>
      </c>
      <c r="R419">
        <v>-1.3015260953859651</v>
      </c>
      <c r="S419">
        <v>0.26124897508359612</v>
      </c>
      <c r="T419">
        <v>0.204156515449846</v>
      </c>
      <c r="U419">
        <v>4.3323786249485048</v>
      </c>
      <c r="V419">
        <v>0.19142958361406931</v>
      </c>
      <c r="W419">
        <v>9.2661205915794689</v>
      </c>
      <c r="X419">
        <v>0.53506024893687776</v>
      </c>
      <c r="Z419" t="s">
        <v>392</v>
      </c>
      <c r="AA419">
        <v>9400</v>
      </c>
      <c r="AB419" t="s">
        <v>2838</v>
      </c>
      <c r="AC419" t="str">
        <f>HYPERLINK("plots/3FT6Y578R01_012_S11P_20251111092011_M5358ACSH101811_RBGEUFRF26/dpll_52084/txpa_53258.png","plot")</f>
        <v>plot</v>
      </c>
    </row>
    <row r="420" spans="1:29" x14ac:dyDescent="0.35">
      <c r="A420" t="s">
        <v>48</v>
      </c>
      <c r="B420">
        <v>52084</v>
      </c>
      <c r="C420" t="s">
        <v>52</v>
      </c>
      <c r="D420">
        <v>53259</v>
      </c>
      <c r="E420" t="s">
        <v>134</v>
      </c>
      <c r="F420">
        <v>12114</v>
      </c>
      <c r="G420">
        <v>0.86499280729057604</v>
      </c>
      <c r="H420">
        <v>0</v>
      </c>
      <c r="I420">
        <v>0</v>
      </c>
      <c r="J420">
        <v>0.73760920319367207</v>
      </c>
      <c r="K420">
        <v>0</v>
      </c>
      <c r="L420">
        <v>0</v>
      </c>
      <c r="M420">
        <v>0.54680460524592334</v>
      </c>
      <c r="N420">
        <v>0</v>
      </c>
      <c r="O420">
        <v>0</v>
      </c>
      <c r="P420">
        <v>0.74821255666443165</v>
      </c>
      <c r="Q420">
        <v>2.498421909572377</v>
      </c>
      <c r="R420">
        <v>-1.1361902418977221</v>
      </c>
      <c r="S420">
        <v>0.2771994707640541</v>
      </c>
      <c r="T420">
        <v>0.21423544671359279</v>
      </c>
      <c r="U420">
        <v>4.3328586635297999</v>
      </c>
      <c r="V420">
        <v>0.1912669820357922</v>
      </c>
      <c r="W420">
        <v>9.6891187741456175</v>
      </c>
      <c r="X420">
        <v>0.55245039550424913</v>
      </c>
      <c r="Z420" t="s">
        <v>392</v>
      </c>
      <c r="AA420">
        <v>9400</v>
      </c>
      <c r="AB420" t="s">
        <v>2839</v>
      </c>
      <c r="AC420" t="str">
        <f>HYPERLINK("plots/3FT6Y578R01_012_S11P_20251111092011_M5358ACSH101811_RBGEUFRF26/dpll_52084/txpa_53259.png","plot")</f>
        <v>plot</v>
      </c>
    </row>
    <row r="421" spans="1:29" x14ac:dyDescent="0.35">
      <c r="A421" t="s">
        <v>48</v>
      </c>
      <c r="B421">
        <v>52084</v>
      </c>
      <c r="C421" t="s">
        <v>52</v>
      </c>
      <c r="D421">
        <v>53260</v>
      </c>
      <c r="E421" t="s">
        <v>135</v>
      </c>
      <c r="F421">
        <v>12130</v>
      </c>
      <c r="G421">
        <v>0.87191803176977434</v>
      </c>
      <c r="H421">
        <v>0</v>
      </c>
      <c r="I421">
        <v>0</v>
      </c>
      <c r="J421">
        <v>0.74642584260734191</v>
      </c>
      <c r="K421">
        <v>0</v>
      </c>
      <c r="L421">
        <v>0</v>
      </c>
      <c r="M421">
        <v>0.55645796811330994</v>
      </c>
      <c r="N421">
        <v>0</v>
      </c>
      <c r="O421">
        <v>0</v>
      </c>
      <c r="P421">
        <v>0.7602410541252772</v>
      </c>
      <c r="Q421">
        <v>2.536799111521665</v>
      </c>
      <c r="R421">
        <v>-1.2660605889023631</v>
      </c>
      <c r="S421">
        <v>0.27279017451162102</v>
      </c>
      <c r="T421">
        <v>0.21303182549457619</v>
      </c>
      <c r="U421">
        <v>4.3324208415498768</v>
      </c>
      <c r="V421">
        <v>0.19149119002516321</v>
      </c>
      <c r="W421">
        <v>9.7244207526793076</v>
      </c>
      <c r="X421">
        <v>0.55713342656081954</v>
      </c>
      <c r="Z421" t="s">
        <v>392</v>
      </c>
      <c r="AA421">
        <v>9400</v>
      </c>
      <c r="AB421" t="s">
        <v>2840</v>
      </c>
      <c r="AC421" t="str">
        <f>HYPERLINK("plots/3FT6Y578R01_012_S11P_20251111092011_M5358ACSH101811_RBGEUFRF26/dpll_52084/txpa_53260.png","plot")</f>
        <v>plot</v>
      </c>
    </row>
    <row r="422" spans="1:29" x14ac:dyDescent="0.35">
      <c r="A422" t="s">
        <v>48</v>
      </c>
      <c r="B422">
        <v>52084</v>
      </c>
      <c r="C422" t="s">
        <v>52</v>
      </c>
      <c r="D422">
        <v>53261</v>
      </c>
      <c r="E422" t="s">
        <v>136</v>
      </c>
      <c r="F422">
        <v>12112</v>
      </c>
      <c r="G422">
        <v>0.87150502894425452</v>
      </c>
      <c r="H422">
        <v>0</v>
      </c>
      <c r="I422">
        <v>0</v>
      </c>
      <c r="J422">
        <v>0.74103002277668695</v>
      </c>
      <c r="K422">
        <v>0</v>
      </c>
      <c r="L422">
        <v>0</v>
      </c>
      <c r="M422">
        <v>0.55126411600814107</v>
      </c>
      <c r="N422">
        <v>0</v>
      </c>
      <c r="O422">
        <v>0</v>
      </c>
      <c r="P422">
        <v>0.75952101547512596</v>
      </c>
      <c r="Q422">
        <v>2.504951738634122</v>
      </c>
      <c r="R422">
        <v>-1.1146994711341269</v>
      </c>
      <c r="S422">
        <v>0.26938179250979088</v>
      </c>
      <c r="T422">
        <v>0.21029596094915939</v>
      </c>
      <c r="U422">
        <v>4.3329828163804489</v>
      </c>
      <c r="V422">
        <v>0.19112528116367231</v>
      </c>
      <c r="W422">
        <v>9.739213368229855</v>
      </c>
      <c r="X422">
        <v>0.54934806965812688</v>
      </c>
      <c r="Z422" t="s">
        <v>392</v>
      </c>
      <c r="AA422">
        <v>9400</v>
      </c>
      <c r="AB422" t="s">
        <v>2841</v>
      </c>
      <c r="AC422" t="str">
        <f>HYPERLINK("plots/3FT6Y578R01_012_S11P_20251111092011_M5358ACSH101811_RBGEUFRF26/dpll_52084/txpa_53261.png","plot")</f>
        <v>plot</v>
      </c>
    </row>
    <row r="423" spans="1:29" x14ac:dyDescent="0.35">
      <c r="A423" t="s">
        <v>48</v>
      </c>
      <c r="B423">
        <v>52084</v>
      </c>
      <c r="C423" t="s">
        <v>52</v>
      </c>
      <c r="D423">
        <v>53262</v>
      </c>
      <c r="E423" t="s">
        <v>137</v>
      </c>
      <c r="F423">
        <v>12133</v>
      </c>
      <c r="G423">
        <v>0.87548673890012663</v>
      </c>
      <c r="H423">
        <v>0</v>
      </c>
      <c r="I423">
        <v>0</v>
      </c>
      <c r="J423">
        <v>0.74857588095020378</v>
      </c>
      <c r="K423">
        <v>0</v>
      </c>
      <c r="L423">
        <v>0</v>
      </c>
      <c r="M423">
        <v>0.55871256600397456</v>
      </c>
      <c r="N423">
        <v>0</v>
      </c>
      <c r="O423">
        <v>0</v>
      </c>
      <c r="P423">
        <v>0.76647702998997846</v>
      </c>
      <c r="Q423">
        <v>2.5417769678125999</v>
      </c>
      <c r="R423">
        <v>-1.254514325701908</v>
      </c>
      <c r="S423">
        <v>0.26854612323443222</v>
      </c>
      <c r="T423">
        <v>0.21022867313529889</v>
      </c>
      <c r="U423">
        <v>4.3324398138135667</v>
      </c>
      <c r="V423">
        <v>0.19141859075364431</v>
      </c>
      <c r="W423">
        <v>9.7575814074837233</v>
      </c>
      <c r="X423">
        <v>0.55574041681088493</v>
      </c>
      <c r="Z423" t="s">
        <v>392</v>
      </c>
      <c r="AA423">
        <v>9400</v>
      </c>
      <c r="AB423" t="s">
        <v>2842</v>
      </c>
      <c r="AC423" t="str">
        <f>HYPERLINK("plots/3FT6Y578R01_012_S11P_20251111092011_M5358ACSH101811_RBGEUFRF26/dpll_52084/txpa_53262.png","plot")</f>
        <v>plot</v>
      </c>
    </row>
    <row r="424" spans="1:29" x14ac:dyDescent="0.35">
      <c r="A424" t="s">
        <v>48</v>
      </c>
      <c r="B424">
        <v>52084</v>
      </c>
      <c r="C424" t="s">
        <v>52</v>
      </c>
      <c r="D424">
        <v>53263</v>
      </c>
      <c r="E424" t="s">
        <v>138</v>
      </c>
      <c r="F424">
        <v>12123</v>
      </c>
      <c r="G424">
        <v>0.87534947060054258</v>
      </c>
      <c r="H424">
        <v>0</v>
      </c>
      <c r="I424">
        <v>0</v>
      </c>
      <c r="J424">
        <v>0.74719883152264843</v>
      </c>
      <c r="K424">
        <v>0</v>
      </c>
      <c r="L424">
        <v>0</v>
      </c>
      <c r="M424">
        <v>0.55724786796617465</v>
      </c>
      <c r="N424">
        <v>0</v>
      </c>
      <c r="O424">
        <v>0</v>
      </c>
      <c r="P424">
        <v>0.76623669568065012</v>
      </c>
      <c r="Q424">
        <v>2.5480111876196498</v>
      </c>
      <c r="R424">
        <v>-1.3095466650594789</v>
      </c>
      <c r="S424">
        <v>0.26917270462757942</v>
      </c>
      <c r="T424">
        <v>0.21117938983253379</v>
      </c>
      <c r="U424">
        <v>4.332669610987379</v>
      </c>
      <c r="V424">
        <v>0.1912673783545652</v>
      </c>
      <c r="W424">
        <v>9.7301439759960395</v>
      </c>
      <c r="X424">
        <v>0.55675068785928405</v>
      </c>
      <c r="Z424" t="s">
        <v>392</v>
      </c>
      <c r="AA424">
        <v>9400</v>
      </c>
      <c r="AB424" t="s">
        <v>2843</v>
      </c>
      <c r="AC424" t="str">
        <f>HYPERLINK("plots/3FT6Y578R01_012_S11P_20251111092011_M5358ACSH101811_RBGEUFRF26/dpll_52084/txpa_53263.png","plot")</f>
        <v>plot</v>
      </c>
    </row>
    <row r="425" spans="1:29" x14ac:dyDescent="0.35">
      <c r="A425" t="s">
        <v>48</v>
      </c>
      <c r="B425">
        <v>52084</v>
      </c>
      <c r="C425" t="s">
        <v>52</v>
      </c>
      <c r="D425">
        <v>53264</v>
      </c>
      <c r="E425" t="s">
        <v>139</v>
      </c>
      <c r="F425">
        <v>12129</v>
      </c>
      <c r="G425">
        <v>0.87684622772110943</v>
      </c>
      <c r="H425">
        <v>0</v>
      </c>
      <c r="I425">
        <v>0</v>
      </c>
      <c r="J425">
        <v>0.75064683410174604</v>
      </c>
      <c r="K425">
        <v>0</v>
      </c>
      <c r="L425">
        <v>0</v>
      </c>
      <c r="M425">
        <v>0.56088245918651525</v>
      </c>
      <c r="N425">
        <v>0</v>
      </c>
      <c r="O425">
        <v>0</v>
      </c>
      <c r="P425">
        <v>0.76885930706873973</v>
      </c>
      <c r="Q425">
        <v>2.5595514124402978</v>
      </c>
      <c r="R425">
        <v>-1.3611453283926609</v>
      </c>
      <c r="S425">
        <v>0.26851277400526208</v>
      </c>
      <c r="T425">
        <v>0.21109411943602521</v>
      </c>
      <c r="U425">
        <v>4.3325159373402586</v>
      </c>
      <c r="V425">
        <v>0.19133932178097179</v>
      </c>
      <c r="W425">
        <v>9.7281519584466984</v>
      </c>
      <c r="X425">
        <v>0.55852761389266448</v>
      </c>
      <c r="Z425" t="s">
        <v>392</v>
      </c>
      <c r="AA425">
        <v>9400</v>
      </c>
      <c r="AB425" t="s">
        <v>2844</v>
      </c>
      <c r="AC425" t="str">
        <f>HYPERLINK("plots/3FT6Y578R01_012_S11P_20251111092011_M5358ACSH101811_RBGEUFRF26/dpll_52084/txpa_53264.png","plot")</f>
        <v>plot</v>
      </c>
    </row>
    <row r="426" spans="1:29" x14ac:dyDescent="0.35">
      <c r="A426" t="s">
        <v>48</v>
      </c>
      <c r="B426">
        <v>52084</v>
      </c>
      <c r="C426" t="s">
        <v>52</v>
      </c>
      <c r="D426">
        <v>53265</v>
      </c>
      <c r="E426" t="s">
        <v>140</v>
      </c>
      <c r="F426">
        <v>12105</v>
      </c>
      <c r="G426">
        <v>0.87697003733385748</v>
      </c>
      <c r="H426">
        <v>0</v>
      </c>
      <c r="I426">
        <v>0</v>
      </c>
      <c r="J426">
        <v>0.74624339901089198</v>
      </c>
      <c r="K426">
        <v>0</v>
      </c>
      <c r="L426">
        <v>0</v>
      </c>
      <c r="M426">
        <v>0.55787951092037813</v>
      </c>
      <c r="N426">
        <v>0</v>
      </c>
      <c r="O426">
        <v>0</v>
      </c>
      <c r="P426">
        <v>0.76907644638134742</v>
      </c>
      <c r="Q426">
        <v>2.539994796852747</v>
      </c>
      <c r="R426">
        <v>-1.2653006118031791</v>
      </c>
      <c r="S426">
        <v>0.26569684902144042</v>
      </c>
      <c r="T426">
        <v>0.20907009207567609</v>
      </c>
      <c r="U426">
        <v>4.3332446342007431</v>
      </c>
      <c r="V426">
        <v>0.19090713311865659</v>
      </c>
      <c r="W426">
        <v>9.7411182125567954</v>
      </c>
      <c r="X426">
        <v>0.55293009357269807</v>
      </c>
      <c r="Z426" t="s">
        <v>392</v>
      </c>
      <c r="AA426">
        <v>9400</v>
      </c>
      <c r="AB426" t="s">
        <v>2845</v>
      </c>
      <c r="AC426" t="str">
        <f>HYPERLINK("plots/3FT6Y578R01_012_S11P_20251111092011_M5358ACSH101811_RBGEUFRF26/dpll_52084/txpa_53265.png","plot")</f>
        <v>plot</v>
      </c>
    </row>
    <row r="427" spans="1:29" x14ac:dyDescent="0.35">
      <c r="A427" t="s">
        <v>48</v>
      </c>
      <c r="B427">
        <v>52084</v>
      </c>
      <c r="C427" t="s">
        <v>52</v>
      </c>
      <c r="D427">
        <v>53266</v>
      </c>
      <c r="E427" t="s">
        <v>141</v>
      </c>
      <c r="F427">
        <v>12117</v>
      </c>
      <c r="G427">
        <v>0.87304019553512557</v>
      </c>
      <c r="H427">
        <v>0</v>
      </c>
      <c r="I427">
        <v>0</v>
      </c>
      <c r="J427">
        <v>0.74259478039581617</v>
      </c>
      <c r="K427">
        <v>0</v>
      </c>
      <c r="L427">
        <v>0</v>
      </c>
      <c r="M427">
        <v>0.55353792103195076</v>
      </c>
      <c r="N427">
        <v>0</v>
      </c>
      <c r="O427">
        <v>0</v>
      </c>
      <c r="P427">
        <v>0.76219918302001033</v>
      </c>
      <c r="Q427">
        <v>2.526229065509602</v>
      </c>
      <c r="R427">
        <v>-1.2266213869405109</v>
      </c>
      <c r="S427">
        <v>0.26960545849013451</v>
      </c>
      <c r="T427">
        <v>0.21131779034268319</v>
      </c>
      <c r="U427">
        <v>4.3329305923908548</v>
      </c>
      <c r="V427">
        <v>0.1910739330069039</v>
      </c>
      <c r="W427">
        <v>9.7193538143930027</v>
      </c>
      <c r="X427">
        <v>0.55289152285526644</v>
      </c>
      <c r="Z427" t="s">
        <v>392</v>
      </c>
      <c r="AA427">
        <v>9400</v>
      </c>
      <c r="AB427" t="s">
        <v>2846</v>
      </c>
      <c r="AC427" t="str">
        <f>HYPERLINK("plots/3FT6Y578R01_012_S11P_20251111092011_M5358ACSH101811_RBGEUFRF26/dpll_52084/txpa_53266.png","plot")</f>
        <v>plot</v>
      </c>
    </row>
    <row r="428" spans="1:29" x14ac:dyDescent="0.35">
      <c r="A428" t="s">
        <v>48</v>
      </c>
      <c r="B428">
        <v>52084</v>
      </c>
      <c r="C428" t="s">
        <v>52</v>
      </c>
      <c r="D428">
        <v>53267</v>
      </c>
      <c r="E428" t="s">
        <v>142</v>
      </c>
      <c r="F428">
        <v>12103</v>
      </c>
      <c r="G428">
        <v>0.86526891180592169</v>
      </c>
      <c r="H428">
        <v>0</v>
      </c>
      <c r="I428">
        <v>0</v>
      </c>
      <c r="J428">
        <v>0.73642745169834967</v>
      </c>
      <c r="K428">
        <v>0</v>
      </c>
      <c r="L428">
        <v>0</v>
      </c>
      <c r="M428">
        <v>0.54600028541203904</v>
      </c>
      <c r="N428">
        <v>0</v>
      </c>
      <c r="O428">
        <v>0</v>
      </c>
      <c r="P428">
        <v>0.74869028973780394</v>
      </c>
      <c r="Q428">
        <v>2.6002368784343779</v>
      </c>
      <c r="R428">
        <v>-1.148844976457017</v>
      </c>
      <c r="S428">
        <v>0.28777939626365118</v>
      </c>
      <c r="T428">
        <v>0.22273601401826751</v>
      </c>
      <c r="U428">
        <v>4.3331891832603482</v>
      </c>
      <c r="V428">
        <v>0.19103422970415329</v>
      </c>
      <c r="W428">
        <v>10.11847333908948</v>
      </c>
      <c r="X428">
        <v>0.57408077690356218</v>
      </c>
      <c r="Z428" t="s">
        <v>392</v>
      </c>
      <c r="AA428">
        <v>9400</v>
      </c>
      <c r="AB428" t="s">
        <v>2847</v>
      </c>
      <c r="AC428" t="str">
        <f>HYPERLINK("plots/3FT6Y578R01_012_S11P_20251111092011_M5358ACSH101811_RBGEUFRF26/dpll_52084/txpa_53267.png","plot")</f>
        <v>plot</v>
      </c>
    </row>
    <row r="429" spans="1:29" x14ac:dyDescent="0.35">
      <c r="A429" t="s">
        <v>48</v>
      </c>
      <c r="B429">
        <v>52084</v>
      </c>
      <c r="C429" t="s">
        <v>52</v>
      </c>
      <c r="D429">
        <v>53268</v>
      </c>
      <c r="E429" t="s">
        <v>143</v>
      </c>
      <c r="F429">
        <v>12119</v>
      </c>
      <c r="G429">
        <v>0.87219015254537779</v>
      </c>
      <c r="H429">
        <v>0</v>
      </c>
      <c r="I429">
        <v>0</v>
      </c>
      <c r="J429">
        <v>0.74503299854322735</v>
      </c>
      <c r="K429">
        <v>0</v>
      </c>
      <c r="L429">
        <v>0</v>
      </c>
      <c r="M429">
        <v>0.55542696144570569</v>
      </c>
      <c r="N429">
        <v>0</v>
      </c>
      <c r="O429">
        <v>0</v>
      </c>
      <c r="P429">
        <v>0.76071566219712938</v>
      </c>
      <c r="Q429">
        <v>2.6393263998990211</v>
      </c>
      <c r="R429">
        <v>-1.2809287193953529</v>
      </c>
      <c r="S429">
        <v>0.28315305787788658</v>
      </c>
      <c r="T429">
        <v>0.22153436578013011</v>
      </c>
      <c r="U429">
        <v>4.3327295914679427</v>
      </c>
      <c r="V429">
        <v>0.19129345686126639</v>
      </c>
      <c r="W429">
        <v>10.154558874989689</v>
      </c>
      <c r="X429">
        <v>0.57887132679546827</v>
      </c>
      <c r="Z429" t="s">
        <v>392</v>
      </c>
      <c r="AA429">
        <v>9400</v>
      </c>
      <c r="AB429" t="s">
        <v>2848</v>
      </c>
      <c r="AC429" t="str">
        <f>HYPERLINK("plots/3FT6Y578R01_012_S11P_20251111092011_M5358ACSH101811_RBGEUFRF26/dpll_52084/txpa_53268.png","plot")</f>
        <v>plot</v>
      </c>
    </row>
    <row r="430" spans="1:29" x14ac:dyDescent="0.35">
      <c r="A430" t="s">
        <v>48</v>
      </c>
      <c r="B430">
        <v>52084</v>
      </c>
      <c r="C430" t="s">
        <v>52</v>
      </c>
      <c r="D430">
        <v>53269</v>
      </c>
      <c r="E430" t="s">
        <v>144</v>
      </c>
      <c r="F430">
        <v>12095</v>
      </c>
      <c r="G430">
        <v>0.87216765796752194</v>
      </c>
      <c r="H430">
        <v>0</v>
      </c>
      <c r="I430">
        <v>0</v>
      </c>
      <c r="J430">
        <v>0.73967631426835356</v>
      </c>
      <c r="K430">
        <v>0</v>
      </c>
      <c r="L430">
        <v>0</v>
      </c>
      <c r="M430">
        <v>0.55045588143061186</v>
      </c>
      <c r="N430">
        <v>0</v>
      </c>
      <c r="O430">
        <v>0</v>
      </c>
      <c r="P430">
        <v>0.76067642360455234</v>
      </c>
      <c r="Q430">
        <v>2.6035580186617371</v>
      </c>
      <c r="R430">
        <v>-1.1119239766165241</v>
      </c>
      <c r="S430">
        <v>0.27870812151280833</v>
      </c>
      <c r="T430">
        <v>0.21827533361018761</v>
      </c>
      <c r="U430">
        <v>4.3334397714758159</v>
      </c>
      <c r="V430">
        <v>0.1908567631723308</v>
      </c>
      <c r="W430">
        <v>10.17043788879702</v>
      </c>
      <c r="X430">
        <v>0.56973754029256829</v>
      </c>
      <c r="Z430" t="s">
        <v>392</v>
      </c>
      <c r="AA430">
        <v>9400</v>
      </c>
      <c r="AB430" t="s">
        <v>2849</v>
      </c>
      <c r="AC430" t="str">
        <f>HYPERLINK("plots/3FT6Y578R01_012_S11P_20251111092011_M5358ACSH101811_RBGEUFRF26/dpll_52084/txpa_53269.png","plot")</f>
        <v>plot</v>
      </c>
    </row>
    <row r="431" spans="1:29" x14ac:dyDescent="0.35">
      <c r="A431" t="s">
        <v>48</v>
      </c>
      <c r="B431">
        <v>52084</v>
      </c>
      <c r="C431" t="s">
        <v>52</v>
      </c>
      <c r="D431">
        <v>53270</v>
      </c>
      <c r="E431" t="s">
        <v>145</v>
      </c>
      <c r="F431">
        <v>12114</v>
      </c>
      <c r="G431">
        <v>0.87586083845979579</v>
      </c>
      <c r="H431">
        <v>0</v>
      </c>
      <c r="I431">
        <v>0</v>
      </c>
      <c r="J431">
        <v>0.74667248289308208</v>
      </c>
      <c r="K431">
        <v>0</v>
      </c>
      <c r="L431">
        <v>0</v>
      </c>
      <c r="M431">
        <v>0.55734395448281349</v>
      </c>
      <c r="N431">
        <v>0</v>
      </c>
      <c r="O431">
        <v>0</v>
      </c>
      <c r="P431">
        <v>0.76713220834749651</v>
      </c>
      <c r="Q431">
        <v>2.6398748326431472</v>
      </c>
      <c r="R431">
        <v>-1.2495531436159659</v>
      </c>
      <c r="S431">
        <v>0.27791901475682029</v>
      </c>
      <c r="T431">
        <v>0.21831556050973669</v>
      </c>
      <c r="U431">
        <v>4.3329666758296188</v>
      </c>
      <c r="V431">
        <v>0.19108792659623561</v>
      </c>
      <c r="W431">
        <v>10.18893653458808</v>
      </c>
      <c r="X431">
        <v>0.57594561383796672</v>
      </c>
      <c r="Z431" t="s">
        <v>392</v>
      </c>
      <c r="AA431">
        <v>9400</v>
      </c>
      <c r="AB431" t="s">
        <v>2850</v>
      </c>
      <c r="AC431" t="str">
        <f>HYPERLINK("plots/3FT6Y578R01_012_S11P_20251111092011_M5358ACSH101811_RBGEUFRF26/dpll_52084/txpa_53270.png","plot")</f>
        <v>plot</v>
      </c>
    </row>
    <row r="432" spans="1:29" x14ac:dyDescent="0.35">
      <c r="A432" t="s">
        <v>48</v>
      </c>
      <c r="B432">
        <v>52084</v>
      </c>
      <c r="C432" t="s">
        <v>52</v>
      </c>
      <c r="D432">
        <v>53271</v>
      </c>
      <c r="E432" t="s">
        <v>146</v>
      </c>
      <c r="F432">
        <v>12104</v>
      </c>
      <c r="G432">
        <v>0.87576345723951332</v>
      </c>
      <c r="H432">
        <v>0</v>
      </c>
      <c r="I432">
        <v>0</v>
      </c>
      <c r="J432">
        <v>0.74529374028912854</v>
      </c>
      <c r="K432">
        <v>0</v>
      </c>
      <c r="L432">
        <v>0</v>
      </c>
      <c r="M432">
        <v>0.55588703237854797</v>
      </c>
      <c r="N432">
        <v>0</v>
      </c>
      <c r="O432">
        <v>0</v>
      </c>
      <c r="P432">
        <v>0.76696163303610487</v>
      </c>
      <c r="Q432">
        <v>2.6461602343644328</v>
      </c>
      <c r="R432">
        <v>-1.3053513574215729</v>
      </c>
      <c r="S432">
        <v>0.27846666407259801</v>
      </c>
      <c r="T432">
        <v>0.21924802687460809</v>
      </c>
      <c r="U432">
        <v>4.3332064389458029</v>
      </c>
      <c r="V432">
        <v>0.1909185466644949</v>
      </c>
      <c r="W432">
        <v>10.161007208608719</v>
      </c>
      <c r="X432">
        <v>0.57686931557829202</v>
      </c>
      <c r="Z432" t="s">
        <v>392</v>
      </c>
      <c r="AA432">
        <v>9400</v>
      </c>
      <c r="AB432" t="s">
        <v>2851</v>
      </c>
      <c r="AC432" t="str">
        <f>HYPERLINK("plots/3FT6Y578R01_012_S11P_20251111092011_M5358ACSH101811_RBGEUFRF26/dpll_52084/txpa_53271.png","plot")</f>
        <v>plot</v>
      </c>
    </row>
    <row r="433" spans="1:29" x14ac:dyDescent="0.35">
      <c r="A433" t="s">
        <v>48</v>
      </c>
      <c r="B433">
        <v>52084</v>
      </c>
      <c r="C433" t="s">
        <v>52</v>
      </c>
      <c r="D433">
        <v>53272</v>
      </c>
      <c r="E433" t="s">
        <v>147</v>
      </c>
      <c r="F433">
        <v>12105</v>
      </c>
      <c r="G433">
        <v>0.87701857114834103</v>
      </c>
      <c r="H433">
        <v>0</v>
      </c>
      <c r="I433">
        <v>0</v>
      </c>
      <c r="J433">
        <v>0.74830505158006222</v>
      </c>
      <c r="K433">
        <v>0</v>
      </c>
      <c r="L433">
        <v>0</v>
      </c>
      <c r="M433">
        <v>0.55916339151141792</v>
      </c>
      <c r="N433">
        <v>0</v>
      </c>
      <c r="O433">
        <v>0</v>
      </c>
      <c r="P433">
        <v>0.76916157413907771</v>
      </c>
      <c r="Q433">
        <v>2.653918737419366</v>
      </c>
      <c r="R433">
        <v>-1.3399475959949909</v>
      </c>
      <c r="S433">
        <v>0.27750936993186459</v>
      </c>
      <c r="T433">
        <v>0.21881865676683709</v>
      </c>
      <c r="U433">
        <v>4.3332080872366792</v>
      </c>
      <c r="V433">
        <v>0.19088100275432249</v>
      </c>
      <c r="W433">
        <v>10.160034539859559</v>
      </c>
      <c r="X433">
        <v>0.57761909096610198</v>
      </c>
      <c r="Z433" t="s">
        <v>392</v>
      </c>
      <c r="AA433">
        <v>9400</v>
      </c>
      <c r="AB433" t="s">
        <v>2852</v>
      </c>
      <c r="AC433" t="str">
        <f>HYPERLINK("plots/3FT6Y578R01_012_S11P_20251111092011_M5358ACSH101811_RBGEUFRF26/dpll_52084/txpa_53272.png","plot")</f>
        <v>plot</v>
      </c>
    </row>
    <row r="434" spans="1:29" x14ac:dyDescent="0.35">
      <c r="A434" t="s">
        <v>48</v>
      </c>
      <c r="B434">
        <v>52084</v>
      </c>
      <c r="C434" t="s">
        <v>52</v>
      </c>
      <c r="D434">
        <v>53273</v>
      </c>
      <c r="E434" t="s">
        <v>148</v>
      </c>
      <c r="F434">
        <v>12089</v>
      </c>
      <c r="G434">
        <v>0.87678759677767681</v>
      </c>
      <c r="H434">
        <v>0</v>
      </c>
      <c r="I434">
        <v>0</v>
      </c>
      <c r="J434">
        <v>0.74459900051607764</v>
      </c>
      <c r="K434">
        <v>0</v>
      </c>
      <c r="L434">
        <v>0</v>
      </c>
      <c r="M434">
        <v>0.55671835312837048</v>
      </c>
      <c r="N434">
        <v>0</v>
      </c>
      <c r="O434">
        <v>0</v>
      </c>
      <c r="P434">
        <v>0.76875648986317402</v>
      </c>
      <c r="Q434">
        <v>2.639621717929828</v>
      </c>
      <c r="R434">
        <v>-1.267494880913471</v>
      </c>
      <c r="S434">
        <v>0.2758402341174282</v>
      </c>
      <c r="T434">
        <v>0.21737983328547381</v>
      </c>
      <c r="U434">
        <v>4.3337385600959548</v>
      </c>
      <c r="V434">
        <v>0.1905432216899671</v>
      </c>
      <c r="W434">
        <v>10.17193554214575</v>
      </c>
      <c r="X434">
        <v>0.57364181248185342</v>
      </c>
      <c r="Z434" t="s">
        <v>392</v>
      </c>
      <c r="AA434">
        <v>9400</v>
      </c>
      <c r="AB434" t="s">
        <v>2853</v>
      </c>
      <c r="AC434" t="str">
        <f>HYPERLINK("plots/3FT6Y578R01_012_S11P_20251111092011_M5358ACSH101811_RBGEUFRF26/dpll_52084/txpa_53273.png","plot")</f>
        <v>plot</v>
      </c>
    </row>
    <row r="435" spans="1:29" x14ac:dyDescent="0.35">
      <c r="A435" t="s">
        <v>48</v>
      </c>
      <c r="B435">
        <v>52084</v>
      </c>
      <c r="C435" t="s">
        <v>52</v>
      </c>
      <c r="D435">
        <v>53274</v>
      </c>
      <c r="E435" t="s">
        <v>149</v>
      </c>
      <c r="F435">
        <v>12101</v>
      </c>
      <c r="G435">
        <v>0.8731222568182706</v>
      </c>
      <c r="H435">
        <v>0</v>
      </c>
      <c r="I435">
        <v>0</v>
      </c>
      <c r="J435">
        <v>0.74073064737001437</v>
      </c>
      <c r="K435">
        <v>0</v>
      </c>
      <c r="L435">
        <v>0</v>
      </c>
      <c r="M435">
        <v>0.55220119442767923</v>
      </c>
      <c r="N435">
        <v>0</v>
      </c>
      <c r="O435">
        <v>0</v>
      </c>
      <c r="P435">
        <v>0.76234247535143007</v>
      </c>
      <c r="Q435">
        <v>2.6263803265614691</v>
      </c>
      <c r="R435">
        <v>-1.2317055862848021</v>
      </c>
      <c r="S435">
        <v>0.27978181280206471</v>
      </c>
      <c r="T435">
        <v>0.21974222465859941</v>
      </c>
      <c r="U435">
        <v>4.3333750547062229</v>
      </c>
      <c r="V435">
        <v>0.1908003130165723</v>
      </c>
      <c r="W435">
        <v>10.14938540500785</v>
      </c>
      <c r="X435">
        <v>0.57393358661431559</v>
      </c>
      <c r="Z435" t="s">
        <v>392</v>
      </c>
      <c r="AA435">
        <v>9400</v>
      </c>
      <c r="AB435" t="s">
        <v>2854</v>
      </c>
      <c r="AC435" t="str">
        <f>HYPERLINK("plots/3FT6Y578R01_012_S11P_20251111092011_M5358ACSH101811_RBGEUFRF26/dpll_52084/txpa_53274.png","plot")</f>
        <v>plot</v>
      </c>
    </row>
    <row r="436" spans="1:29" x14ac:dyDescent="0.35">
      <c r="A436" t="s">
        <v>48</v>
      </c>
      <c r="B436">
        <v>52084</v>
      </c>
      <c r="C436" t="s">
        <v>52</v>
      </c>
      <c r="D436">
        <v>53275</v>
      </c>
      <c r="E436" t="s">
        <v>150</v>
      </c>
      <c r="F436">
        <v>12051</v>
      </c>
      <c r="G436">
        <v>0.8660437849488507</v>
      </c>
      <c r="H436">
        <v>0</v>
      </c>
      <c r="I436">
        <v>0</v>
      </c>
      <c r="J436">
        <v>0.73059974801302008</v>
      </c>
      <c r="K436">
        <v>0</v>
      </c>
      <c r="L436">
        <v>0</v>
      </c>
      <c r="M436">
        <v>0.54214243822166164</v>
      </c>
      <c r="N436">
        <v>0</v>
      </c>
      <c r="O436">
        <v>0</v>
      </c>
      <c r="P436">
        <v>0.75003183744853119</v>
      </c>
      <c r="Q436">
        <v>3.0226405167941648</v>
      </c>
      <c r="R436">
        <v>-1.695935512807917</v>
      </c>
      <c r="S436">
        <v>0.33157916421812511</v>
      </c>
      <c r="T436">
        <v>0.25936417480380902</v>
      </c>
      <c r="U436">
        <v>4.3346979541946729</v>
      </c>
      <c r="V436">
        <v>0.19002741179870189</v>
      </c>
      <c r="W436">
        <v>11.406298151605681</v>
      </c>
      <c r="X436">
        <v>0.66322807713262411</v>
      </c>
      <c r="Z436" t="s">
        <v>392</v>
      </c>
      <c r="AA436">
        <v>9400</v>
      </c>
      <c r="AB436" t="s">
        <v>2855</v>
      </c>
      <c r="AC436" t="str">
        <f>HYPERLINK("plots/3FT6Y578R01_012_S11P_20251111092011_M5358ACSH101811_RBGEUFRF26/dpll_52084/txpa_53275.png","plot")</f>
        <v>plot</v>
      </c>
    </row>
    <row r="437" spans="1:29" x14ac:dyDescent="0.35">
      <c r="A437" t="s">
        <v>48</v>
      </c>
      <c r="B437">
        <v>52084</v>
      </c>
      <c r="C437" t="s">
        <v>52</v>
      </c>
      <c r="D437">
        <v>53276</v>
      </c>
      <c r="E437" t="s">
        <v>151</v>
      </c>
      <c r="F437">
        <v>12073</v>
      </c>
      <c r="G437">
        <v>0.87225380081187709</v>
      </c>
      <c r="H437">
        <v>0</v>
      </c>
      <c r="I437">
        <v>0</v>
      </c>
      <c r="J437">
        <v>0.73908666633032061</v>
      </c>
      <c r="K437">
        <v>0</v>
      </c>
      <c r="L437">
        <v>0</v>
      </c>
      <c r="M437">
        <v>0.55117341159518318</v>
      </c>
      <c r="N437">
        <v>0</v>
      </c>
      <c r="O437">
        <v>0</v>
      </c>
      <c r="P437">
        <v>0.76082669303076578</v>
      </c>
      <c r="Q437">
        <v>3.0666108812961088</v>
      </c>
      <c r="R437">
        <v>-1.846136665027194</v>
      </c>
      <c r="S437">
        <v>0.32732891936374992</v>
      </c>
      <c r="T437">
        <v>0.25825266359625582</v>
      </c>
      <c r="U437">
        <v>4.3340715979458304</v>
      </c>
      <c r="V437">
        <v>0.1903838949925209</v>
      </c>
      <c r="W437">
        <v>11.444774457549901</v>
      </c>
      <c r="X437">
        <v>0.66933881338685997</v>
      </c>
      <c r="Z437" t="s">
        <v>392</v>
      </c>
      <c r="AA437">
        <v>9400</v>
      </c>
      <c r="AB437" t="s">
        <v>2856</v>
      </c>
      <c r="AC437" t="str">
        <f>HYPERLINK("plots/3FT6Y578R01_012_S11P_20251111092011_M5358ACSH101811_RBGEUFRF26/dpll_52084/txpa_53276.png","plot")</f>
        <v>plot</v>
      </c>
    </row>
    <row r="438" spans="1:29" x14ac:dyDescent="0.35">
      <c r="A438" t="s">
        <v>48</v>
      </c>
      <c r="B438">
        <v>52084</v>
      </c>
      <c r="C438" t="s">
        <v>52</v>
      </c>
      <c r="D438">
        <v>53277</v>
      </c>
      <c r="E438" t="s">
        <v>152</v>
      </c>
      <c r="F438">
        <v>12042</v>
      </c>
      <c r="G438">
        <v>0.87228038641700245</v>
      </c>
      <c r="H438">
        <v>0</v>
      </c>
      <c r="I438">
        <v>0</v>
      </c>
      <c r="J438">
        <v>0.73389368512437458</v>
      </c>
      <c r="K438">
        <v>0</v>
      </c>
      <c r="L438">
        <v>0</v>
      </c>
      <c r="M438">
        <v>0.54655485323138053</v>
      </c>
      <c r="N438">
        <v>0</v>
      </c>
      <c r="O438">
        <v>0</v>
      </c>
      <c r="P438">
        <v>0.76087307252779512</v>
      </c>
      <c r="Q438">
        <v>3.0250401829497431</v>
      </c>
      <c r="R438">
        <v>-1.6519379056627841</v>
      </c>
      <c r="S438">
        <v>0.32186798904077518</v>
      </c>
      <c r="T438">
        <v>0.25458479943756968</v>
      </c>
      <c r="U438">
        <v>4.3349902061949841</v>
      </c>
      <c r="V438">
        <v>0.18980451427605249</v>
      </c>
      <c r="W438">
        <v>11.46158166077063</v>
      </c>
      <c r="X438">
        <v>0.65823591993025843</v>
      </c>
      <c r="Z438" t="s">
        <v>392</v>
      </c>
      <c r="AA438">
        <v>9400</v>
      </c>
      <c r="AB438" t="s">
        <v>2857</v>
      </c>
      <c r="AC438" t="str">
        <f>HYPERLINK("plots/3FT6Y578R01_012_S11P_20251111092011_M5358ACSH101811_RBGEUFRF26/dpll_52084/txpa_53277.png","plot")</f>
        <v>plot</v>
      </c>
    </row>
    <row r="439" spans="1:29" x14ac:dyDescent="0.35">
      <c r="A439" t="s">
        <v>48</v>
      </c>
      <c r="B439">
        <v>52084</v>
      </c>
      <c r="C439" t="s">
        <v>52</v>
      </c>
      <c r="D439">
        <v>53278</v>
      </c>
      <c r="E439" t="s">
        <v>153</v>
      </c>
      <c r="F439">
        <v>12055</v>
      </c>
      <c r="G439">
        <v>0.87596187431474148</v>
      </c>
      <c r="H439">
        <v>0</v>
      </c>
      <c r="I439">
        <v>0</v>
      </c>
      <c r="J439">
        <v>0.73920376773374963</v>
      </c>
      <c r="K439">
        <v>0</v>
      </c>
      <c r="L439">
        <v>0</v>
      </c>
      <c r="M439">
        <v>0.55195665842967945</v>
      </c>
      <c r="N439">
        <v>0</v>
      </c>
      <c r="O439">
        <v>0</v>
      </c>
      <c r="P439">
        <v>0.76730920525299495</v>
      </c>
      <c r="Q439">
        <v>3.0613618494537511</v>
      </c>
      <c r="R439">
        <v>-1.789136284181055</v>
      </c>
      <c r="S439">
        <v>0.32034761404348039</v>
      </c>
      <c r="T439">
        <v>0.25462441967519622</v>
      </c>
      <c r="U439">
        <v>4.3346232928245536</v>
      </c>
      <c r="V439">
        <v>0.19002924570285509</v>
      </c>
      <c r="W439">
        <v>11.480714096225631</v>
      </c>
      <c r="X439">
        <v>0.66412511792284445</v>
      </c>
      <c r="Z439" t="s">
        <v>392</v>
      </c>
      <c r="AA439">
        <v>9400</v>
      </c>
      <c r="AB439" t="s">
        <v>2858</v>
      </c>
      <c r="AC439" t="str">
        <f>HYPERLINK("plots/3FT6Y578R01_012_S11P_20251111092011_M5358ACSH101811_RBGEUFRF26/dpll_52084/txpa_53278.png","plot")</f>
        <v>plot</v>
      </c>
    </row>
    <row r="440" spans="1:29" x14ac:dyDescent="0.35">
      <c r="A440" t="s">
        <v>48</v>
      </c>
      <c r="B440">
        <v>52084</v>
      </c>
      <c r="C440" t="s">
        <v>52</v>
      </c>
      <c r="D440">
        <v>53279</v>
      </c>
      <c r="E440" t="s">
        <v>154</v>
      </c>
      <c r="F440">
        <v>12040</v>
      </c>
      <c r="G440">
        <v>0.87569400882435355</v>
      </c>
      <c r="H440">
        <v>0</v>
      </c>
      <c r="I440">
        <v>0</v>
      </c>
      <c r="J440">
        <v>0.73772759720467573</v>
      </c>
      <c r="K440">
        <v>0</v>
      </c>
      <c r="L440">
        <v>0</v>
      </c>
      <c r="M440">
        <v>0.55047857781351595</v>
      </c>
      <c r="N440">
        <v>0</v>
      </c>
      <c r="O440">
        <v>0</v>
      </c>
      <c r="P440">
        <v>0.76683999709086703</v>
      </c>
      <c r="Q440">
        <v>3.060656358565637</v>
      </c>
      <c r="R440">
        <v>-1.8147256002514121</v>
      </c>
      <c r="S440">
        <v>0.32010591258368593</v>
      </c>
      <c r="T440">
        <v>0.25501321105288799</v>
      </c>
      <c r="U440">
        <v>4.335056375083056</v>
      </c>
      <c r="V440">
        <v>0.18968042477729921</v>
      </c>
      <c r="W440">
        <v>11.453392258887041</v>
      </c>
      <c r="X440">
        <v>0.66295600100025076</v>
      </c>
      <c r="Z440" t="s">
        <v>392</v>
      </c>
      <c r="AA440">
        <v>9400</v>
      </c>
      <c r="AB440" t="s">
        <v>2859</v>
      </c>
      <c r="AC440" t="str">
        <f>HYPERLINK("plots/3FT6Y578R01_012_S11P_20251111092011_M5358ACSH101811_RBGEUFRF26/dpll_52084/txpa_53279.png","plot")</f>
        <v>plot</v>
      </c>
    </row>
    <row r="441" spans="1:29" x14ac:dyDescent="0.35">
      <c r="A441" t="s">
        <v>48</v>
      </c>
      <c r="B441">
        <v>52084</v>
      </c>
      <c r="C441" t="s">
        <v>52</v>
      </c>
      <c r="D441">
        <v>53280</v>
      </c>
      <c r="E441" t="s">
        <v>155</v>
      </c>
      <c r="F441">
        <v>12050</v>
      </c>
      <c r="G441">
        <v>0.87675759998060787</v>
      </c>
      <c r="H441">
        <v>0</v>
      </c>
      <c r="I441">
        <v>0</v>
      </c>
      <c r="J441">
        <v>0.74135034089853791</v>
      </c>
      <c r="K441">
        <v>0</v>
      </c>
      <c r="L441">
        <v>0</v>
      </c>
      <c r="M441">
        <v>0.55435220261528362</v>
      </c>
      <c r="N441">
        <v>0</v>
      </c>
      <c r="O441">
        <v>0</v>
      </c>
      <c r="P441">
        <v>0.76870388912375565</v>
      </c>
      <c r="Q441">
        <v>3.075245324645449</v>
      </c>
      <c r="R441">
        <v>-1.879194762782433</v>
      </c>
      <c r="S441">
        <v>0.32025629088566998</v>
      </c>
      <c r="T441">
        <v>0.2548573061415696</v>
      </c>
      <c r="U441">
        <v>4.3347738047302906</v>
      </c>
      <c r="V441">
        <v>0.18985904752184321</v>
      </c>
      <c r="W441">
        <v>11.45129811360996</v>
      </c>
      <c r="X441">
        <v>0.6659345162746243</v>
      </c>
      <c r="Z441" t="s">
        <v>392</v>
      </c>
      <c r="AA441">
        <v>9400</v>
      </c>
      <c r="AB441" t="s">
        <v>2860</v>
      </c>
      <c r="AC441" t="str">
        <f>HYPERLINK("plots/3FT6Y578R01_012_S11P_20251111092011_M5358ACSH101811_RBGEUFRF26/dpll_52084/txpa_53280.png","plot")</f>
        <v>plot</v>
      </c>
    </row>
    <row r="442" spans="1:29" x14ac:dyDescent="0.35">
      <c r="A442" t="s">
        <v>48</v>
      </c>
      <c r="B442">
        <v>52084</v>
      </c>
      <c r="C442" t="s">
        <v>52</v>
      </c>
      <c r="D442">
        <v>53281</v>
      </c>
      <c r="E442" t="s">
        <v>156</v>
      </c>
      <c r="F442">
        <v>12038</v>
      </c>
      <c r="G442">
        <v>0.87602950453716111</v>
      </c>
      <c r="H442">
        <v>0</v>
      </c>
      <c r="I442">
        <v>0</v>
      </c>
      <c r="J442">
        <v>0.7383984067446222</v>
      </c>
      <c r="K442">
        <v>0</v>
      </c>
      <c r="L442">
        <v>0</v>
      </c>
      <c r="M442">
        <v>0.55246386662682512</v>
      </c>
      <c r="N442">
        <v>0</v>
      </c>
      <c r="O442">
        <v>0</v>
      </c>
      <c r="P442">
        <v>0.76742769281962397</v>
      </c>
      <c r="Q442">
        <v>3.0635825747625951</v>
      </c>
      <c r="R442">
        <v>-1.8176222716009089</v>
      </c>
      <c r="S442">
        <v>0.31960826796289188</v>
      </c>
      <c r="T442">
        <v>0.25409487766242578</v>
      </c>
      <c r="U442">
        <v>4.3352371389765736</v>
      </c>
      <c r="V442">
        <v>0.18951613331799791</v>
      </c>
      <c r="W442">
        <v>11.463734684831371</v>
      </c>
      <c r="X442">
        <v>0.66276115206434116</v>
      </c>
      <c r="Z442" t="s">
        <v>392</v>
      </c>
      <c r="AA442">
        <v>9400</v>
      </c>
      <c r="AB442" t="s">
        <v>2861</v>
      </c>
      <c r="AC442" t="str">
        <f>HYPERLINK("plots/3FT6Y578R01_012_S11P_20251111092011_M5358ACSH101811_RBGEUFRF26/dpll_52084/txpa_53281.png","plot")</f>
        <v>plot</v>
      </c>
    </row>
    <row r="443" spans="1:29" x14ac:dyDescent="0.35">
      <c r="A443" t="s">
        <v>48</v>
      </c>
      <c r="B443">
        <v>52084</v>
      </c>
      <c r="C443" t="s">
        <v>52</v>
      </c>
      <c r="D443">
        <v>53282</v>
      </c>
      <c r="E443" t="s">
        <v>157</v>
      </c>
      <c r="F443">
        <v>12034</v>
      </c>
      <c r="G443">
        <v>0.87203672001631582</v>
      </c>
      <c r="H443">
        <v>0</v>
      </c>
      <c r="I443">
        <v>0</v>
      </c>
      <c r="J443">
        <v>0.73269676875199596</v>
      </c>
      <c r="K443">
        <v>0</v>
      </c>
      <c r="L443">
        <v>0</v>
      </c>
      <c r="M443">
        <v>0.54628930458177682</v>
      </c>
      <c r="N443">
        <v>0</v>
      </c>
      <c r="O443">
        <v>0</v>
      </c>
      <c r="P443">
        <v>0.76044804105681441</v>
      </c>
      <c r="Q443">
        <v>3.0412258198330329</v>
      </c>
      <c r="R443">
        <v>-1.745685003922649</v>
      </c>
      <c r="S443">
        <v>0.32341046254403921</v>
      </c>
      <c r="T443">
        <v>0.25628352058226861</v>
      </c>
      <c r="U443">
        <v>4.3353274040219372</v>
      </c>
      <c r="V443">
        <v>0.18947780768990849</v>
      </c>
      <c r="W443">
        <v>11.43902463461858</v>
      </c>
      <c r="X443">
        <v>0.6608033673411442</v>
      </c>
      <c r="Z443" t="s">
        <v>392</v>
      </c>
      <c r="AA443">
        <v>9400</v>
      </c>
      <c r="AB443" t="s">
        <v>2862</v>
      </c>
      <c r="AC443" t="str">
        <f>HYPERLINK("plots/3FT6Y578R01_012_S11P_20251111092011_M5358ACSH101811_RBGEUFRF26/dpll_52084/txpa_53282.png","plot")</f>
        <v>plot</v>
      </c>
    </row>
    <row r="444" spans="1:29" x14ac:dyDescent="0.35">
      <c r="A444" t="s">
        <v>48</v>
      </c>
      <c r="B444">
        <v>52084</v>
      </c>
      <c r="C444" t="s">
        <v>52</v>
      </c>
      <c r="D444">
        <v>53283</v>
      </c>
      <c r="E444" t="s">
        <v>158</v>
      </c>
      <c r="F444">
        <v>12038</v>
      </c>
      <c r="G444">
        <v>0.86634007720409256</v>
      </c>
      <c r="H444">
        <v>0</v>
      </c>
      <c r="I444">
        <v>0</v>
      </c>
      <c r="J444">
        <v>0.72923565474947105</v>
      </c>
      <c r="K444">
        <v>0</v>
      </c>
      <c r="L444">
        <v>0</v>
      </c>
      <c r="M444">
        <v>0.54150072261946758</v>
      </c>
      <c r="N444">
        <v>0</v>
      </c>
      <c r="O444">
        <v>0</v>
      </c>
      <c r="P444">
        <v>0.75054512936999307</v>
      </c>
      <c r="Q444">
        <v>3.2090230515534381</v>
      </c>
      <c r="R444">
        <v>-2.112186894326364</v>
      </c>
      <c r="S444">
        <v>0.35102598056290341</v>
      </c>
      <c r="T444">
        <v>0.27570512585683993</v>
      </c>
      <c r="U444">
        <v>4.3350914919421832</v>
      </c>
      <c r="V444">
        <v>0.1897478549913432</v>
      </c>
      <c r="W444">
        <v>11.799221633909291</v>
      </c>
      <c r="X444">
        <v>0.70284782693551096</v>
      </c>
      <c r="Z444" t="s">
        <v>392</v>
      </c>
      <c r="AA444">
        <v>9400</v>
      </c>
      <c r="AB444" t="s">
        <v>2863</v>
      </c>
      <c r="AC444" t="str">
        <f>HYPERLINK("plots/3FT6Y578R01_012_S11P_20251111092011_M5358ACSH101811_RBGEUFRF26/dpll_52084/txpa_53283.png","plot")</f>
        <v>plot</v>
      </c>
    </row>
    <row r="445" spans="1:29" x14ac:dyDescent="0.35">
      <c r="A445" t="s">
        <v>48</v>
      </c>
      <c r="B445">
        <v>52084</v>
      </c>
      <c r="C445" t="s">
        <v>52</v>
      </c>
      <c r="D445">
        <v>53284</v>
      </c>
      <c r="E445" t="s">
        <v>159</v>
      </c>
      <c r="F445">
        <v>12067</v>
      </c>
      <c r="G445">
        <v>0.87255025614244708</v>
      </c>
      <c r="H445">
        <v>0</v>
      </c>
      <c r="I445">
        <v>0</v>
      </c>
      <c r="J445">
        <v>0.73797472246116536</v>
      </c>
      <c r="K445">
        <v>0</v>
      </c>
      <c r="L445">
        <v>0</v>
      </c>
      <c r="M445">
        <v>0.55064021657368734</v>
      </c>
      <c r="N445">
        <v>0</v>
      </c>
      <c r="O445">
        <v>0</v>
      </c>
      <c r="P445">
        <v>0.76134394949424999</v>
      </c>
      <c r="Q445">
        <v>3.2581442137513181</v>
      </c>
      <c r="R445">
        <v>-2.2829786850278939</v>
      </c>
      <c r="S445">
        <v>0.34709732331886639</v>
      </c>
      <c r="T445">
        <v>0.27465588459117651</v>
      </c>
      <c r="U445">
        <v>4.3342361222341923</v>
      </c>
      <c r="V445">
        <v>0.1902843989533605</v>
      </c>
      <c r="W445">
        <v>11.838587657661391</v>
      </c>
      <c r="X445">
        <v>0.7105310084463784</v>
      </c>
      <c r="Z445" t="s">
        <v>392</v>
      </c>
      <c r="AA445">
        <v>9400</v>
      </c>
      <c r="AB445" t="s">
        <v>2864</v>
      </c>
      <c r="AC445" t="str">
        <f>HYPERLINK("plots/3FT6Y578R01_012_S11P_20251111092011_M5358ACSH101811_RBGEUFRF26/dpll_52084/txpa_53284.png","plot")</f>
        <v>plot</v>
      </c>
    </row>
    <row r="446" spans="1:29" x14ac:dyDescent="0.35">
      <c r="A446" t="s">
        <v>48</v>
      </c>
      <c r="B446">
        <v>52084</v>
      </c>
      <c r="C446" t="s">
        <v>52</v>
      </c>
      <c r="D446">
        <v>53285</v>
      </c>
      <c r="E446" t="s">
        <v>160</v>
      </c>
      <c r="F446">
        <v>12037</v>
      </c>
      <c r="G446">
        <v>0.87235915013618459</v>
      </c>
      <c r="H446">
        <v>0</v>
      </c>
      <c r="I446">
        <v>0</v>
      </c>
      <c r="J446">
        <v>0.73317057082260773</v>
      </c>
      <c r="K446">
        <v>0</v>
      </c>
      <c r="L446">
        <v>0</v>
      </c>
      <c r="M446">
        <v>0.54638589345421085</v>
      </c>
      <c r="N446">
        <v>0</v>
      </c>
      <c r="O446">
        <v>0</v>
      </c>
      <c r="P446">
        <v>0.76101048682632622</v>
      </c>
      <c r="Q446">
        <v>3.2165712609862842</v>
      </c>
      <c r="R446">
        <v>-2.0894374533246172</v>
      </c>
      <c r="S446">
        <v>0.34185177681648321</v>
      </c>
      <c r="T446">
        <v>0.27112544880857448</v>
      </c>
      <c r="U446">
        <v>4.3351625980726096</v>
      </c>
      <c r="V446">
        <v>0.1896568806757219</v>
      </c>
      <c r="W446">
        <v>11.854921971338371</v>
      </c>
      <c r="X446">
        <v>0.69930472069284488</v>
      </c>
      <c r="Z446" t="s">
        <v>392</v>
      </c>
      <c r="AA446">
        <v>9400</v>
      </c>
      <c r="AB446" t="s">
        <v>2865</v>
      </c>
      <c r="AC446" t="str">
        <f>HYPERLINK("plots/3FT6Y578R01_012_S11P_20251111092011_M5358ACSH101811_RBGEUFRF26/dpll_52084/txpa_53285.png","plot")</f>
        <v>plot</v>
      </c>
    </row>
    <row r="447" spans="1:29" x14ac:dyDescent="0.35">
      <c r="A447" t="s">
        <v>48</v>
      </c>
      <c r="B447">
        <v>52084</v>
      </c>
      <c r="C447" t="s">
        <v>52</v>
      </c>
      <c r="D447">
        <v>53286</v>
      </c>
      <c r="E447" t="s">
        <v>161</v>
      </c>
      <c r="F447">
        <v>12043</v>
      </c>
      <c r="G447">
        <v>0.87586179337474257</v>
      </c>
      <c r="H447">
        <v>0</v>
      </c>
      <c r="I447">
        <v>0</v>
      </c>
      <c r="J447">
        <v>0.73735740852989951</v>
      </c>
      <c r="K447">
        <v>0</v>
      </c>
      <c r="L447">
        <v>0</v>
      </c>
      <c r="M447">
        <v>0.55085122676401987</v>
      </c>
      <c r="N447">
        <v>0</v>
      </c>
      <c r="O447">
        <v>0</v>
      </c>
      <c r="P447">
        <v>0.76713388109362024</v>
      </c>
      <c r="Q447">
        <v>3.249233817014324</v>
      </c>
      <c r="R447">
        <v>-2.2106806404215238</v>
      </c>
      <c r="S447">
        <v>0.33972349486543729</v>
      </c>
      <c r="T447">
        <v>0.27084912948680551</v>
      </c>
      <c r="U447">
        <v>4.3349805085111681</v>
      </c>
      <c r="V447">
        <v>0.1897776567312113</v>
      </c>
      <c r="W447">
        <v>11.874684623930911</v>
      </c>
      <c r="X447">
        <v>0.70402886006577758</v>
      </c>
      <c r="Z447" t="s">
        <v>392</v>
      </c>
      <c r="AA447">
        <v>9400</v>
      </c>
      <c r="AB447" t="s">
        <v>2866</v>
      </c>
      <c r="AC447" t="str">
        <f>HYPERLINK("plots/3FT6Y578R01_012_S11P_20251111092011_M5358ACSH101811_RBGEUFRF26/dpll_52084/txpa_53286.png","plot")</f>
        <v>plot</v>
      </c>
    </row>
    <row r="448" spans="1:29" x14ac:dyDescent="0.35">
      <c r="A448" t="s">
        <v>48</v>
      </c>
      <c r="B448">
        <v>52084</v>
      </c>
      <c r="C448" t="s">
        <v>52</v>
      </c>
      <c r="D448">
        <v>53287</v>
      </c>
      <c r="E448" t="s">
        <v>162</v>
      </c>
      <c r="F448">
        <v>12041</v>
      </c>
      <c r="G448">
        <v>0.87576453082011285</v>
      </c>
      <c r="H448">
        <v>0</v>
      </c>
      <c r="I448">
        <v>0</v>
      </c>
      <c r="J448">
        <v>0.73690288985631924</v>
      </c>
      <c r="K448">
        <v>0</v>
      </c>
      <c r="L448">
        <v>0</v>
      </c>
      <c r="M448">
        <v>0.5502177179354808</v>
      </c>
      <c r="N448">
        <v>0</v>
      </c>
      <c r="O448">
        <v>0</v>
      </c>
      <c r="P448">
        <v>0.76696351344257241</v>
      </c>
      <c r="Q448">
        <v>3.2584694507662411</v>
      </c>
      <c r="R448">
        <v>-2.28047358505445</v>
      </c>
      <c r="S448">
        <v>0.34071692693513378</v>
      </c>
      <c r="T448">
        <v>0.27199347622597092</v>
      </c>
      <c r="U448">
        <v>4.3350263010547296</v>
      </c>
      <c r="V448">
        <v>0.1897026864008432</v>
      </c>
      <c r="W448">
        <v>11.845077185200561</v>
      </c>
      <c r="X448">
        <v>0.70582946284268455</v>
      </c>
      <c r="Z448" t="s">
        <v>392</v>
      </c>
      <c r="AA448">
        <v>9400</v>
      </c>
      <c r="AB448" t="s">
        <v>2867</v>
      </c>
      <c r="AC448" t="str">
        <f>HYPERLINK("plots/3FT6Y578R01_012_S11P_20251111092011_M5358ACSH101811_RBGEUFRF26/dpll_52084/txpa_53287.png","plot")</f>
        <v>plot</v>
      </c>
    </row>
    <row r="449" spans="1:29" x14ac:dyDescent="0.35">
      <c r="A449" t="s">
        <v>48</v>
      </c>
      <c r="B449">
        <v>52084</v>
      </c>
      <c r="C449" t="s">
        <v>52</v>
      </c>
      <c r="D449">
        <v>53288</v>
      </c>
      <c r="E449" t="s">
        <v>163</v>
      </c>
      <c r="F449">
        <v>12045</v>
      </c>
      <c r="G449">
        <v>0.87651317121812056</v>
      </c>
      <c r="H449">
        <v>0</v>
      </c>
      <c r="I449">
        <v>0</v>
      </c>
      <c r="J449">
        <v>0.74011988116311633</v>
      </c>
      <c r="K449">
        <v>0</v>
      </c>
      <c r="L449">
        <v>0</v>
      </c>
      <c r="M449">
        <v>0.55376095634711897</v>
      </c>
      <c r="N449">
        <v>0</v>
      </c>
      <c r="O449">
        <v>0</v>
      </c>
      <c r="P449">
        <v>0.76827533931884628</v>
      </c>
      <c r="Q449">
        <v>3.2682105039290699</v>
      </c>
      <c r="R449">
        <v>-2.323984614942757</v>
      </c>
      <c r="S449">
        <v>0.3405373382917099</v>
      </c>
      <c r="T449">
        <v>0.27151224750879599</v>
      </c>
      <c r="U449">
        <v>4.3349333427978411</v>
      </c>
      <c r="V449">
        <v>0.18973395670004781</v>
      </c>
      <c r="W449">
        <v>11.843490069821501</v>
      </c>
      <c r="X449">
        <v>0.70745144579785146</v>
      </c>
      <c r="Z449" t="s">
        <v>392</v>
      </c>
      <c r="AA449">
        <v>9400</v>
      </c>
      <c r="AB449" t="s">
        <v>2868</v>
      </c>
      <c r="AC449" t="str">
        <f>HYPERLINK("plots/3FT6Y578R01_012_S11P_20251111092011_M5358ACSH101811_RBGEUFRF26/dpll_52084/txpa_53288.png","plot")</f>
        <v>plot</v>
      </c>
    </row>
    <row r="450" spans="1:29" x14ac:dyDescent="0.35">
      <c r="A450" t="s">
        <v>48</v>
      </c>
      <c r="B450">
        <v>52084</v>
      </c>
      <c r="C450" t="s">
        <v>52</v>
      </c>
      <c r="D450">
        <v>53289</v>
      </c>
      <c r="E450" t="s">
        <v>164</v>
      </c>
      <c r="F450">
        <v>12032</v>
      </c>
      <c r="G450">
        <v>0.87601441335830965</v>
      </c>
      <c r="H450">
        <v>0</v>
      </c>
      <c r="I450">
        <v>0</v>
      </c>
      <c r="J450">
        <v>0.73773484490893315</v>
      </c>
      <c r="K450">
        <v>0</v>
      </c>
      <c r="L450">
        <v>0</v>
      </c>
      <c r="M450">
        <v>0.55240095142229884</v>
      </c>
      <c r="N450">
        <v>0</v>
      </c>
      <c r="O450">
        <v>0</v>
      </c>
      <c r="P450">
        <v>0.76740125241150337</v>
      </c>
      <c r="Q450">
        <v>3.2559618790416032</v>
      </c>
      <c r="R450">
        <v>-2.2593497965755809</v>
      </c>
      <c r="S450">
        <v>0.33949809566669559</v>
      </c>
      <c r="T450">
        <v>0.27066849384468888</v>
      </c>
      <c r="U450">
        <v>4.3354077329621008</v>
      </c>
      <c r="V450">
        <v>0.18940160072079981</v>
      </c>
      <c r="W450">
        <v>11.8565725120512</v>
      </c>
      <c r="X450">
        <v>0.70396603340377317</v>
      </c>
      <c r="Z450" t="s">
        <v>392</v>
      </c>
      <c r="AA450">
        <v>9400</v>
      </c>
      <c r="AB450" t="s">
        <v>2869</v>
      </c>
      <c r="AC450" t="str">
        <f>HYPERLINK("plots/3FT6Y578R01_012_S11P_20251111092011_M5358ACSH101811_RBGEUFRF26/dpll_52084/txpa_53289.png","plot")</f>
        <v>plot</v>
      </c>
    </row>
    <row r="451" spans="1:29" x14ac:dyDescent="0.35">
      <c r="A451" t="s">
        <v>48</v>
      </c>
      <c r="B451">
        <v>52084</v>
      </c>
      <c r="C451" t="s">
        <v>52</v>
      </c>
      <c r="D451">
        <v>53290</v>
      </c>
      <c r="E451" t="s">
        <v>165</v>
      </c>
      <c r="F451">
        <v>12026</v>
      </c>
      <c r="G451">
        <v>0.87177411733702004</v>
      </c>
      <c r="H451">
        <v>0</v>
      </c>
      <c r="I451">
        <v>0</v>
      </c>
      <c r="J451">
        <v>0.73133438536083695</v>
      </c>
      <c r="K451">
        <v>0</v>
      </c>
      <c r="L451">
        <v>0</v>
      </c>
      <c r="M451">
        <v>0.54556725267430473</v>
      </c>
      <c r="N451">
        <v>0</v>
      </c>
      <c r="O451">
        <v>0</v>
      </c>
      <c r="P451">
        <v>0.75999011165874042</v>
      </c>
      <c r="Q451">
        <v>3.2317997837307919</v>
      </c>
      <c r="R451">
        <v>-2.1828986887645851</v>
      </c>
      <c r="S451">
        <v>0.34380323754684261</v>
      </c>
      <c r="T451">
        <v>0.27304980333506479</v>
      </c>
      <c r="U451">
        <v>4.3355676653916513</v>
      </c>
      <c r="V451">
        <v>0.189309747017539</v>
      </c>
      <c r="W451">
        <v>11.82878795459837</v>
      </c>
      <c r="X451">
        <v>0.70180014214954356</v>
      </c>
      <c r="Z451" t="s">
        <v>392</v>
      </c>
      <c r="AA451">
        <v>9400</v>
      </c>
      <c r="AB451" t="s">
        <v>2870</v>
      </c>
      <c r="AC451" t="str">
        <f>HYPERLINK("plots/3FT6Y578R01_012_S11P_20251111092011_M5358ACSH101811_RBGEUFRF26/dpll_52084/txpa_53290.png","plot")</f>
        <v>plot</v>
      </c>
    </row>
    <row r="452" spans="1:29" x14ac:dyDescent="0.35">
      <c r="A452" t="s">
        <v>48</v>
      </c>
      <c r="B452">
        <v>52084</v>
      </c>
      <c r="C452" t="s">
        <v>52</v>
      </c>
      <c r="D452">
        <v>54146</v>
      </c>
      <c r="E452" t="s">
        <v>166</v>
      </c>
      <c r="F452">
        <v>12234</v>
      </c>
      <c r="G452">
        <v>1.5365132249912079E-3</v>
      </c>
      <c r="H452">
        <v>0.86506323004461605</v>
      </c>
      <c r="I452">
        <v>0.86763018324949626</v>
      </c>
      <c r="J452">
        <v>-6.1313504319234343E-3</v>
      </c>
      <c r="K452">
        <v>0.49770201863446989</v>
      </c>
      <c r="L452">
        <v>0.50016833190817889</v>
      </c>
      <c r="M452">
        <v>-4.0458974002677006E-3</v>
      </c>
      <c r="N452">
        <v>0.50212424503479758</v>
      </c>
      <c r="O452">
        <v>0.50411285590622257</v>
      </c>
      <c r="P452">
        <v>2.3608728905728808E-6</v>
      </c>
      <c r="Q452">
        <v>4.2223438172423813E-2</v>
      </c>
      <c r="R452">
        <v>-10.80505644024729</v>
      </c>
      <c r="S452">
        <v>5.3005632320661471</v>
      </c>
      <c r="T452">
        <v>3.976264360468909</v>
      </c>
      <c r="U452">
        <v>4.3297199820990686</v>
      </c>
      <c r="V452">
        <v>0.19289589744233709</v>
      </c>
      <c r="W452">
        <v>-10.62224077627922</v>
      </c>
      <c r="X452">
        <v>5.300786135060652</v>
      </c>
      <c r="Z452" t="s">
        <v>392</v>
      </c>
      <c r="AA452">
        <v>9400</v>
      </c>
      <c r="AB452" t="s">
        <v>2871</v>
      </c>
      <c r="AC452" t="str">
        <f>HYPERLINK("plots/3FT6Y578R01_012_S11P_20251111092011_M5358ACSH101811_RBGEUFRF26/dpll_52084/txpa_54146.png","plot")</f>
        <v>plot</v>
      </c>
    </row>
    <row r="453" spans="1:29" x14ac:dyDescent="0.35">
      <c r="A453" t="s">
        <v>48</v>
      </c>
      <c r="B453">
        <v>52084</v>
      </c>
      <c r="C453" t="s">
        <v>52</v>
      </c>
      <c r="D453">
        <v>54147</v>
      </c>
      <c r="E453" t="s">
        <v>167</v>
      </c>
      <c r="F453">
        <v>12243</v>
      </c>
      <c r="G453">
        <v>0.25224862195429959</v>
      </c>
      <c r="H453">
        <v>5.0331351730698481E-177</v>
      </c>
      <c r="I453">
        <v>5.1971477245344459E-177</v>
      </c>
      <c r="J453">
        <v>0.22509667048372031</v>
      </c>
      <c r="K453">
        <v>1.955085648662962E-140</v>
      </c>
      <c r="L453">
        <v>2.020853055804529E-140</v>
      </c>
      <c r="M453">
        <v>0.156711037473624</v>
      </c>
      <c r="N453">
        <v>1.424297767546455E-139</v>
      </c>
      <c r="O453">
        <v>1.473712179889903E-139</v>
      </c>
      <c r="P453">
        <v>6.3629367277843157E-2</v>
      </c>
      <c r="Q453">
        <v>1.721509783644835</v>
      </c>
      <c r="R453">
        <v>-32.217709292876222</v>
      </c>
      <c r="S453">
        <v>1.273657470852813</v>
      </c>
      <c r="T453">
        <v>1.0734127651196459</v>
      </c>
      <c r="U453">
        <v>4.3297121556807969</v>
      </c>
      <c r="V453">
        <v>0.19287049691405411</v>
      </c>
      <c r="W453">
        <v>-24.76406745650576</v>
      </c>
      <c r="X453">
        <v>1.316274574035688</v>
      </c>
      <c r="Z453" t="s">
        <v>392</v>
      </c>
      <c r="AA453">
        <v>9400</v>
      </c>
      <c r="AB453" t="s">
        <v>2872</v>
      </c>
      <c r="AC453" t="str">
        <f>HYPERLINK("plots/3FT6Y578R01_012_S11P_20251111092011_M5358ACSH101811_RBGEUFRF26/dpll_52084/txpa_54147.png","plot")</f>
        <v>plot</v>
      </c>
    </row>
    <row r="454" spans="1:29" x14ac:dyDescent="0.35">
      <c r="A454" t="s">
        <v>48</v>
      </c>
      <c r="B454">
        <v>52084</v>
      </c>
      <c r="C454" t="s">
        <v>52</v>
      </c>
      <c r="D454">
        <v>54148</v>
      </c>
      <c r="E454" t="s">
        <v>168</v>
      </c>
      <c r="F454">
        <v>12243</v>
      </c>
      <c r="G454">
        <v>0.25539169303086251</v>
      </c>
      <c r="H454">
        <v>1.4564086457007761E-181</v>
      </c>
      <c r="I454">
        <v>1.5177783830838499E-181</v>
      </c>
      <c r="J454">
        <v>0.23235744307016759</v>
      </c>
      <c r="K454">
        <v>9.1431892910988083E-150</v>
      </c>
      <c r="L454">
        <v>9.5579318981177239E-150</v>
      </c>
      <c r="M454">
        <v>0.16045233509134341</v>
      </c>
      <c r="N454">
        <v>4.0211552391489797E-148</v>
      </c>
      <c r="O454">
        <v>4.2035581572134702E-148</v>
      </c>
      <c r="P454">
        <v>6.5224916869170313E-2</v>
      </c>
      <c r="Q454">
        <v>1.7649757200447671</v>
      </c>
      <c r="R454">
        <v>-32.288634920713427</v>
      </c>
      <c r="S454">
        <v>1.2886458938811329</v>
      </c>
      <c r="T454">
        <v>1.086545010083102</v>
      </c>
      <c r="U454">
        <v>4.3297121556807969</v>
      </c>
      <c r="V454">
        <v>0.19287049691405411</v>
      </c>
      <c r="W454">
        <v>-24.646798091154128</v>
      </c>
      <c r="X454">
        <v>1.332900612883827</v>
      </c>
      <c r="Z454" t="s">
        <v>392</v>
      </c>
      <c r="AA454">
        <v>9400</v>
      </c>
      <c r="AB454" t="s">
        <v>2873</v>
      </c>
      <c r="AC454" t="str">
        <f>HYPERLINK("plots/3FT6Y578R01_012_S11P_20251111092011_M5358ACSH101811_RBGEUFRF26/dpll_52084/txpa_54148.png","plot")</f>
        <v>plot</v>
      </c>
    </row>
    <row r="455" spans="1:29" x14ac:dyDescent="0.35">
      <c r="A455" t="s">
        <v>48</v>
      </c>
      <c r="B455">
        <v>52084</v>
      </c>
      <c r="C455" t="s">
        <v>52</v>
      </c>
      <c r="D455">
        <v>54149</v>
      </c>
      <c r="E455" t="s">
        <v>169</v>
      </c>
      <c r="F455">
        <v>12243</v>
      </c>
      <c r="G455">
        <v>0.25565983684886773</v>
      </c>
      <c r="H455">
        <v>5.9310343473341172E-182</v>
      </c>
      <c r="I455">
        <v>6.1936857138998908E-182</v>
      </c>
      <c r="J455">
        <v>0.22512821892966381</v>
      </c>
      <c r="K455">
        <v>1.7837514690936499E-140</v>
      </c>
      <c r="L455">
        <v>1.845636724143838E-140</v>
      </c>
      <c r="M455">
        <v>0.15554781144041499</v>
      </c>
      <c r="N455">
        <v>6.1207423513147729E-139</v>
      </c>
      <c r="O455">
        <v>6.3266388830103772E-139</v>
      </c>
      <c r="P455">
        <v>6.5361952177589666E-2</v>
      </c>
      <c r="Q455">
        <v>1.748401794051444</v>
      </c>
      <c r="R455">
        <v>-32.260955898742012</v>
      </c>
      <c r="S455">
        <v>1.2751125685926541</v>
      </c>
      <c r="T455">
        <v>1.0801973752738421</v>
      </c>
      <c r="U455">
        <v>4.3297121556807969</v>
      </c>
      <c r="V455">
        <v>0.19287049691405411</v>
      </c>
      <c r="W455">
        <v>-24.690879398023359</v>
      </c>
      <c r="X455">
        <v>1.3189992099676919</v>
      </c>
      <c r="Z455" t="s">
        <v>392</v>
      </c>
      <c r="AA455">
        <v>9400</v>
      </c>
      <c r="AB455" t="s">
        <v>2874</v>
      </c>
      <c r="AC455" t="str">
        <f>HYPERLINK("plots/3FT6Y578R01_012_S11P_20251111092011_M5358ACSH101811_RBGEUFRF26/dpll_52084/txpa_54149.png","plot")</f>
        <v>plot</v>
      </c>
    </row>
    <row r="456" spans="1:29" x14ac:dyDescent="0.35">
      <c r="A456" t="s">
        <v>48</v>
      </c>
      <c r="B456">
        <v>52084</v>
      </c>
      <c r="C456" t="s">
        <v>52</v>
      </c>
      <c r="D456">
        <v>54150</v>
      </c>
      <c r="E456" t="s">
        <v>170</v>
      </c>
      <c r="F456">
        <v>12243</v>
      </c>
      <c r="G456">
        <v>0.26640697801060081</v>
      </c>
      <c r="H456">
        <v>5.6281492013850166E-198</v>
      </c>
      <c r="I456">
        <v>5.938546607913015E-198</v>
      </c>
      <c r="J456">
        <v>0.23860528488165239</v>
      </c>
      <c r="K456">
        <v>4.6653408929273206E-158</v>
      </c>
      <c r="L456">
        <v>4.9226385696444384E-158</v>
      </c>
      <c r="M456">
        <v>0.16409535580169149</v>
      </c>
      <c r="N456">
        <v>1.803523333065083E-155</v>
      </c>
      <c r="O456">
        <v>1.902989240091566E-155</v>
      </c>
      <c r="P456">
        <v>7.0972677932740744E-2</v>
      </c>
      <c r="Q456">
        <v>1.849034813081732</v>
      </c>
      <c r="R456">
        <v>-32.596027799133978</v>
      </c>
      <c r="S456">
        <v>1.290214140432089</v>
      </c>
      <c r="T456">
        <v>1.090652827851065</v>
      </c>
      <c r="U456">
        <v>4.3297121556807969</v>
      </c>
      <c r="V456">
        <v>0.19287049691405411</v>
      </c>
      <c r="W456">
        <v>-24.590239292657031</v>
      </c>
      <c r="X456">
        <v>1.3386446026059731</v>
      </c>
      <c r="Z456" t="s">
        <v>392</v>
      </c>
      <c r="AA456">
        <v>9400</v>
      </c>
      <c r="AB456" t="s">
        <v>2875</v>
      </c>
      <c r="AC456" t="str">
        <f>HYPERLINK("plots/3FT6Y578R01_012_S11P_20251111092011_M5358ACSH101811_RBGEUFRF26/dpll_52084/txpa_54150.png","plot")</f>
        <v>plot</v>
      </c>
    </row>
    <row r="457" spans="1:29" x14ac:dyDescent="0.35">
      <c r="A457" t="s">
        <v>48</v>
      </c>
      <c r="B457">
        <v>52084</v>
      </c>
      <c r="C457" t="s">
        <v>52</v>
      </c>
      <c r="D457">
        <v>54151</v>
      </c>
      <c r="E457" t="s">
        <v>171</v>
      </c>
      <c r="F457">
        <v>12242</v>
      </c>
      <c r="G457">
        <v>0.25735702522284692</v>
      </c>
      <c r="H457">
        <v>2.0313605398798511E-184</v>
      </c>
      <c r="I457">
        <v>2.134507344495512E-184</v>
      </c>
      <c r="J457">
        <v>0.2343308854111236</v>
      </c>
      <c r="K457">
        <v>2.4025890648497219E-152</v>
      </c>
      <c r="L457">
        <v>2.5219723724198948E-152</v>
      </c>
      <c r="M457">
        <v>0.16145596816763669</v>
      </c>
      <c r="N457">
        <v>3.4511857510481721E-150</v>
      </c>
      <c r="O457">
        <v>3.6226732417834851E-150</v>
      </c>
      <c r="P457">
        <v>6.6232638431553068E-2</v>
      </c>
      <c r="Q457">
        <v>1.780902042782923</v>
      </c>
      <c r="R457">
        <v>-32.345522122716368</v>
      </c>
      <c r="S457">
        <v>1.289659165027311</v>
      </c>
      <c r="T457">
        <v>1.0912462124730791</v>
      </c>
      <c r="U457">
        <v>4.3297262510210759</v>
      </c>
      <c r="V457">
        <v>0.19287206860220879</v>
      </c>
      <c r="W457">
        <v>-24.634703797582091</v>
      </c>
      <c r="X457">
        <v>1.334668290760725</v>
      </c>
      <c r="Z457" t="s">
        <v>392</v>
      </c>
      <c r="AA457">
        <v>9400</v>
      </c>
      <c r="AB457" t="s">
        <v>2876</v>
      </c>
      <c r="AC457" t="str">
        <f>HYPERLINK("plots/3FT6Y578R01_012_S11P_20251111092011_M5358ACSH101811_RBGEUFRF26/dpll_52084/txpa_54151.png","plot")</f>
        <v>plot</v>
      </c>
    </row>
    <row r="458" spans="1:29" x14ac:dyDescent="0.35">
      <c r="A458" t="s">
        <v>48</v>
      </c>
      <c r="B458">
        <v>52084</v>
      </c>
      <c r="C458" t="s">
        <v>52</v>
      </c>
      <c r="D458">
        <v>54152</v>
      </c>
      <c r="E458" t="s">
        <v>172</v>
      </c>
      <c r="F458">
        <v>12243</v>
      </c>
      <c r="G458">
        <v>0.25752811692639571</v>
      </c>
      <c r="H458">
        <v>1.10108557807743E-184</v>
      </c>
      <c r="I458">
        <v>1.158195825903023E-184</v>
      </c>
      <c r="J458">
        <v>0.23057451856562289</v>
      </c>
      <c r="K458">
        <v>1.916701337535919E-147</v>
      </c>
      <c r="L458">
        <v>1.9933693910373561E-147</v>
      </c>
      <c r="M458">
        <v>0.159504028054159</v>
      </c>
      <c r="N458">
        <v>9.8197121996426909E-146</v>
      </c>
      <c r="O458">
        <v>1.022298580127073E-145</v>
      </c>
      <c r="P458">
        <v>6.6320731007655315E-2</v>
      </c>
      <c r="Q458">
        <v>1.776233031401403</v>
      </c>
      <c r="R458">
        <v>-32.377162345926507</v>
      </c>
      <c r="S458">
        <v>1.2853523919713279</v>
      </c>
      <c r="T458">
        <v>1.0839780489703661</v>
      </c>
      <c r="U458">
        <v>4.3297121556807969</v>
      </c>
      <c r="V458">
        <v>0.19287049691405411</v>
      </c>
      <c r="W458">
        <v>-24.686584598546101</v>
      </c>
      <c r="X458">
        <v>1.3302739580061429</v>
      </c>
      <c r="Z458" t="s">
        <v>392</v>
      </c>
      <c r="AA458">
        <v>9400</v>
      </c>
      <c r="AB458" t="s">
        <v>2877</v>
      </c>
      <c r="AC458" t="str">
        <f>HYPERLINK("plots/3FT6Y578R01_012_S11P_20251111092011_M5358ACSH101811_RBGEUFRF26/dpll_52084/txpa_54152.png","plot")</f>
        <v>plot</v>
      </c>
    </row>
    <row r="459" spans="1:29" x14ac:dyDescent="0.35">
      <c r="A459" t="s">
        <v>48</v>
      </c>
      <c r="B459">
        <v>52084</v>
      </c>
      <c r="C459" t="s">
        <v>52</v>
      </c>
      <c r="D459">
        <v>54153</v>
      </c>
      <c r="E459" t="s">
        <v>173</v>
      </c>
      <c r="F459">
        <v>12243</v>
      </c>
      <c r="G459">
        <v>0.25532399458250482</v>
      </c>
      <c r="H459">
        <v>1.8268874051638291E-181</v>
      </c>
      <c r="I459">
        <v>1.901913581967272E-181</v>
      </c>
      <c r="J459">
        <v>0.23221495301877401</v>
      </c>
      <c r="K459">
        <v>1.4039673703355451E-149</v>
      </c>
      <c r="L459">
        <v>1.4661410025955119E-149</v>
      </c>
      <c r="M459">
        <v>0.16107244026638681</v>
      </c>
      <c r="N459">
        <v>1.0616707228391601E-147</v>
      </c>
      <c r="O459">
        <v>1.1086860071667429E-147</v>
      </c>
      <c r="P459">
        <v>6.5190342209566918E-2</v>
      </c>
      <c r="Q459">
        <v>1.7523430868194629</v>
      </c>
      <c r="R459">
        <v>-32.313759597315951</v>
      </c>
      <c r="S459">
        <v>1.2797854451583279</v>
      </c>
      <c r="T459">
        <v>1.081043694133095</v>
      </c>
      <c r="U459">
        <v>4.3297121556807969</v>
      </c>
      <c r="V459">
        <v>0.19287049691405411</v>
      </c>
      <c r="W459">
        <v>-24.726618433390509</v>
      </c>
      <c r="X459">
        <v>1.3237113984191751</v>
      </c>
      <c r="Z459" t="s">
        <v>392</v>
      </c>
      <c r="AA459">
        <v>9400</v>
      </c>
      <c r="AB459" t="s">
        <v>2878</v>
      </c>
      <c r="AC459" t="str">
        <f>HYPERLINK("plots/3FT6Y578R01_012_S11P_20251111092011_M5358ACSH101811_RBGEUFRF26/dpll_52084/txpa_54153.png","plot")</f>
        <v>plot</v>
      </c>
    </row>
    <row r="460" spans="1:29" x14ac:dyDescent="0.35">
      <c r="A460" t="s">
        <v>48</v>
      </c>
      <c r="B460">
        <v>52084</v>
      </c>
      <c r="C460" t="s">
        <v>52</v>
      </c>
      <c r="D460">
        <v>54154</v>
      </c>
      <c r="E460" t="s">
        <v>174</v>
      </c>
      <c r="F460">
        <v>12243</v>
      </c>
      <c r="G460">
        <v>0.24601146346957381</v>
      </c>
      <c r="H460">
        <v>3.3117768750287691E-168</v>
      </c>
      <c r="I460">
        <v>3.4058232771594032E-168</v>
      </c>
      <c r="J460">
        <v>0.2179698881054829</v>
      </c>
      <c r="K460">
        <v>1.3542977545513721E-131</v>
      </c>
      <c r="L460">
        <v>1.388531772613844E-131</v>
      </c>
      <c r="M460">
        <v>0.15266373891247181</v>
      </c>
      <c r="N460">
        <v>3.0681083633074899E-131</v>
      </c>
      <c r="O460">
        <v>3.1456641864446862E-131</v>
      </c>
      <c r="P460">
        <v>6.0521640158441449E-2</v>
      </c>
      <c r="Q460">
        <v>1.629782661320496</v>
      </c>
      <c r="R460">
        <v>-31.916614404100809</v>
      </c>
      <c r="S460">
        <v>1.238413852828105</v>
      </c>
      <c r="T460">
        <v>1.0406844965462549</v>
      </c>
      <c r="U460">
        <v>4.3297121556807969</v>
      </c>
      <c r="V460">
        <v>0.19287049691405411</v>
      </c>
      <c r="W460">
        <v>-24.86012460426366</v>
      </c>
      <c r="X460">
        <v>1.27773310770809</v>
      </c>
      <c r="Z460" t="s">
        <v>392</v>
      </c>
      <c r="AA460">
        <v>9400</v>
      </c>
      <c r="AB460" t="s">
        <v>2879</v>
      </c>
      <c r="AC460" t="str">
        <f>HYPERLINK("plots/3FT6Y578R01_012_S11P_20251111092011_M5358ACSH101811_RBGEUFRF26/dpll_52084/txpa_54154.png","plot")</f>
        <v>plot</v>
      </c>
    </row>
    <row r="461" spans="1:29" x14ac:dyDescent="0.35">
      <c r="A461" t="s">
        <v>48</v>
      </c>
      <c r="B461">
        <v>52084</v>
      </c>
      <c r="C461" t="s">
        <v>52</v>
      </c>
      <c r="D461">
        <v>54155</v>
      </c>
      <c r="E461" t="s">
        <v>175</v>
      </c>
      <c r="F461">
        <v>12243</v>
      </c>
      <c r="G461">
        <v>0.73036769975036098</v>
      </c>
      <c r="H461">
        <v>0</v>
      </c>
      <c r="I461">
        <v>0</v>
      </c>
      <c r="J461">
        <v>0.62788858302733397</v>
      </c>
      <c r="K461">
        <v>0</v>
      </c>
      <c r="L461">
        <v>0</v>
      </c>
      <c r="M461">
        <v>0.44953310981030792</v>
      </c>
      <c r="N461">
        <v>0</v>
      </c>
      <c r="O461">
        <v>0</v>
      </c>
      <c r="P461">
        <v>0.53343697683863345</v>
      </c>
      <c r="Q461">
        <v>1.454294834427992</v>
      </c>
      <c r="R461">
        <v>-17.361055918507208</v>
      </c>
      <c r="S461">
        <v>0.2623095627652281</v>
      </c>
      <c r="T461">
        <v>0.20153634755719241</v>
      </c>
      <c r="U461">
        <v>4.3297121556807969</v>
      </c>
      <c r="V461">
        <v>0.19287049691405411</v>
      </c>
      <c r="W461">
        <v>-11.06437789594054</v>
      </c>
      <c r="X461">
        <v>0.384040213541125</v>
      </c>
      <c r="Z461" t="s">
        <v>392</v>
      </c>
      <c r="AA461">
        <v>9400</v>
      </c>
      <c r="AB461" t="s">
        <v>2880</v>
      </c>
      <c r="AC461" t="str">
        <f>HYPERLINK("plots/3FT6Y578R01_012_S11P_20251111092011_M5358ACSH101811_RBGEUFRF26/dpll_52084/txpa_54155.png","plot")</f>
        <v>plot</v>
      </c>
    </row>
    <row r="462" spans="1:29" x14ac:dyDescent="0.35">
      <c r="A462" t="s">
        <v>48</v>
      </c>
      <c r="B462">
        <v>52084</v>
      </c>
      <c r="C462" t="s">
        <v>52</v>
      </c>
      <c r="D462">
        <v>54156</v>
      </c>
      <c r="E462" t="s">
        <v>176</v>
      </c>
      <c r="F462">
        <v>12242</v>
      </c>
      <c r="G462">
        <v>0.74795556919880557</v>
      </c>
      <c r="H462">
        <v>0</v>
      </c>
      <c r="I462">
        <v>0</v>
      </c>
      <c r="J462">
        <v>0.64297898708035628</v>
      </c>
      <c r="K462">
        <v>0</v>
      </c>
      <c r="L462">
        <v>0</v>
      </c>
      <c r="M462">
        <v>0.46262634818024262</v>
      </c>
      <c r="N462">
        <v>0</v>
      </c>
      <c r="O462">
        <v>0</v>
      </c>
      <c r="P462">
        <v>0.55943753349550918</v>
      </c>
      <c r="Q462">
        <v>1.4795597807087491</v>
      </c>
      <c r="R462">
        <v>-17.40151803539716</v>
      </c>
      <c r="S462">
        <v>0.25322896209425388</v>
      </c>
      <c r="T462">
        <v>0.19736405212655761</v>
      </c>
      <c r="U462">
        <v>4.3296987265969609</v>
      </c>
      <c r="V462">
        <v>0.1928726506826407</v>
      </c>
      <c r="W462">
        <v>-10.995469936938409</v>
      </c>
      <c r="X462">
        <v>0.3815288347333276</v>
      </c>
      <c r="Z462" t="s">
        <v>392</v>
      </c>
      <c r="AA462">
        <v>9400</v>
      </c>
      <c r="AB462" t="s">
        <v>2881</v>
      </c>
      <c r="AC462" t="str">
        <f>HYPERLINK("plots/3FT6Y578R01_012_S11P_20251111092011_M5358ACSH101811_RBGEUFRF26/dpll_52084/txpa_54156.png","plot")</f>
        <v>plot</v>
      </c>
    </row>
    <row r="463" spans="1:29" x14ac:dyDescent="0.35">
      <c r="A463" t="s">
        <v>48</v>
      </c>
      <c r="B463">
        <v>52084</v>
      </c>
      <c r="C463" t="s">
        <v>52</v>
      </c>
      <c r="D463">
        <v>54157</v>
      </c>
      <c r="E463" t="s">
        <v>177</v>
      </c>
      <c r="F463">
        <v>12243</v>
      </c>
      <c r="G463">
        <v>0.74950417290675575</v>
      </c>
      <c r="H463">
        <v>0</v>
      </c>
      <c r="I463">
        <v>0</v>
      </c>
      <c r="J463">
        <v>0.6373445729643934</v>
      </c>
      <c r="K463">
        <v>0</v>
      </c>
      <c r="L463">
        <v>0</v>
      </c>
      <c r="M463">
        <v>0.45734421974861028</v>
      </c>
      <c r="N463">
        <v>0</v>
      </c>
      <c r="O463">
        <v>0</v>
      </c>
      <c r="P463">
        <v>0.56175650520464004</v>
      </c>
      <c r="Q463">
        <v>1.4568097678884679</v>
      </c>
      <c r="R463">
        <v>-17.309244860402369</v>
      </c>
      <c r="S463">
        <v>0.24816160593373471</v>
      </c>
      <c r="T463">
        <v>0.1938218587527743</v>
      </c>
      <c r="U463">
        <v>4.3297121556807969</v>
      </c>
      <c r="V463">
        <v>0.19287049691405411</v>
      </c>
      <c r="W463">
        <v>-11.001677899861139</v>
      </c>
      <c r="X463">
        <v>0.37488200065945759</v>
      </c>
      <c r="Z463" t="s">
        <v>392</v>
      </c>
      <c r="AA463">
        <v>9400</v>
      </c>
      <c r="AB463" t="s">
        <v>2882</v>
      </c>
      <c r="AC463" t="str">
        <f>HYPERLINK("plots/3FT6Y578R01_012_S11P_20251111092011_M5358ACSH101811_RBGEUFRF26/dpll_52084/txpa_54157.png","plot")</f>
        <v>plot</v>
      </c>
    </row>
    <row r="464" spans="1:29" x14ac:dyDescent="0.35">
      <c r="A464" t="s">
        <v>48</v>
      </c>
      <c r="B464">
        <v>52084</v>
      </c>
      <c r="C464" t="s">
        <v>52</v>
      </c>
      <c r="D464">
        <v>54158</v>
      </c>
      <c r="E464" t="s">
        <v>178</v>
      </c>
      <c r="F464">
        <v>12242</v>
      </c>
      <c r="G464">
        <v>0.76178502794070602</v>
      </c>
      <c r="H464">
        <v>0</v>
      </c>
      <c r="I464">
        <v>0</v>
      </c>
      <c r="J464">
        <v>0.64642432494021429</v>
      </c>
      <c r="K464">
        <v>0</v>
      </c>
      <c r="L464">
        <v>0</v>
      </c>
      <c r="M464">
        <v>0.46471293411443609</v>
      </c>
      <c r="N464">
        <v>0</v>
      </c>
      <c r="O464">
        <v>0</v>
      </c>
      <c r="P464">
        <v>0.5803164287946222</v>
      </c>
      <c r="Q464">
        <v>1.5033938704745999</v>
      </c>
      <c r="R464">
        <v>-17.44775974889345</v>
      </c>
      <c r="S464">
        <v>0.24658341477897569</v>
      </c>
      <c r="T464">
        <v>0.19357382777918331</v>
      </c>
      <c r="U464">
        <v>4.3297189133311553</v>
      </c>
      <c r="V464">
        <v>0.19287692535756709</v>
      </c>
      <c r="W464">
        <v>-10.938486873713449</v>
      </c>
      <c r="X464">
        <v>0.38064542712583121</v>
      </c>
      <c r="Z464" t="s">
        <v>392</v>
      </c>
      <c r="AA464">
        <v>9400</v>
      </c>
      <c r="AB464" t="s">
        <v>2883</v>
      </c>
      <c r="AC464" t="str">
        <f>HYPERLINK("plots/3FT6Y578R01_012_S11P_20251111092011_M5358ACSH101811_RBGEUFRF26/dpll_52084/txpa_54158.png","plot")</f>
        <v>plot</v>
      </c>
    </row>
    <row r="465" spans="1:29" x14ac:dyDescent="0.35">
      <c r="A465" t="s">
        <v>48</v>
      </c>
      <c r="B465">
        <v>52084</v>
      </c>
      <c r="C465" t="s">
        <v>52</v>
      </c>
      <c r="D465">
        <v>54159</v>
      </c>
      <c r="E465" t="s">
        <v>179</v>
      </c>
      <c r="F465">
        <v>12240</v>
      </c>
      <c r="G465">
        <v>0.7584046481096145</v>
      </c>
      <c r="H465">
        <v>0</v>
      </c>
      <c r="I465">
        <v>0</v>
      </c>
      <c r="J465">
        <v>0.64157112037194619</v>
      </c>
      <c r="K465">
        <v>0</v>
      </c>
      <c r="L465">
        <v>0</v>
      </c>
      <c r="M465">
        <v>0.45932501962370681</v>
      </c>
      <c r="N465">
        <v>0</v>
      </c>
      <c r="O465">
        <v>0</v>
      </c>
      <c r="P465">
        <v>0.57517761027426817</v>
      </c>
      <c r="Q465">
        <v>1.498496900184882</v>
      </c>
      <c r="R465">
        <v>-17.450295228273891</v>
      </c>
      <c r="S465">
        <v>0.2483375842930729</v>
      </c>
      <c r="T465">
        <v>0.1957851674678586</v>
      </c>
      <c r="U465">
        <v>4.3297345467320261</v>
      </c>
      <c r="V465">
        <v>0.1928420022508596</v>
      </c>
      <c r="W465">
        <v>-10.96220143137255</v>
      </c>
      <c r="X465">
        <v>0.38102765234713232</v>
      </c>
      <c r="Z465" t="s">
        <v>392</v>
      </c>
      <c r="AA465">
        <v>9400</v>
      </c>
      <c r="AB465" t="s">
        <v>2884</v>
      </c>
      <c r="AC465" t="str">
        <f>HYPERLINK("plots/3FT6Y578R01_012_S11P_20251111092011_M5358ACSH101811_RBGEUFRF26/dpll_52084/txpa_54159.png","plot")</f>
        <v>plot</v>
      </c>
    </row>
    <row r="466" spans="1:29" x14ac:dyDescent="0.35">
      <c r="A466" t="s">
        <v>48</v>
      </c>
      <c r="B466">
        <v>52084</v>
      </c>
      <c r="C466" t="s">
        <v>52</v>
      </c>
      <c r="D466">
        <v>54160</v>
      </c>
      <c r="E466" t="s">
        <v>180</v>
      </c>
      <c r="F466">
        <v>12241</v>
      </c>
      <c r="G466">
        <v>0.76058675764179229</v>
      </c>
      <c r="H466">
        <v>0</v>
      </c>
      <c r="I466">
        <v>0</v>
      </c>
      <c r="J466">
        <v>0.65087106913325965</v>
      </c>
      <c r="K466">
        <v>0</v>
      </c>
      <c r="L466">
        <v>0</v>
      </c>
      <c r="M466">
        <v>0.46976619534619962</v>
      </c>
      <c r="N466">
        <v>0</v>
      </c>
      <c r="O466">
        <v>0</v>
      </c>
      <c r="P466">
        <v>0.57849221590005451</v>
      </c>
      <c r="Q466">
        <v>1.496748575206744</v>
      </c>
      <c r="R466">
        <v>-17.467017991067671</v>
      </c>
      <c r="S466">
        <v>0.24635787156429301</v>
      </c>
      <c r="T466">
        <v>0.1928469896850275</v>
      </c>
      <c r="U466">
        <v>4.3297157026386737</v>
      </c>
      <c r="V466">
        <v>0.19283296991716889</v>
      </c>
      <c r="W466">
        <v>-10.986522182092971</v>
      </c>
      <c r="X466">
        <v>0.37947343952093637</v>
      </c>
      <c r="Z466" t="s">
        <v>392</v>
      </c>
      <c r="AA466">
        <v>9400</v>
      </c>
      <c r="AB466" t="s">
        <v>2885</v>
      </c>
      <c r="AC466" t="str">
        <f>HYPERLINK("plots/3FT6Y578R01_012_S11P_20251111092011_M5358ACSH101811_RBGEUFRF26/dpll_52084/txpa_54160.png","plot")</f>
        <v>plot</v>
      </c>
    </row>
    <row r="467" spans="1:29" x14ac:dyDescent="0.35">
      <c r="A467" t="s">
        <v>48</v>
      </c>
      <c r="B467">
        <v>52084</v>
      </c>
      <c r="C467" t="s">
        <v>52</v>
      </c>
      <c r="D467">
        <v>54161</v>
      </c>
      <c r="E467" t="s">
        <v>181</v>
      </c>
      <c r="F467">
        <v>12242</v>
      </c>
      <c r="G467">
        <v>0.75657287214272317</v>
      </c>
      <c r="H467">
        <v>0</v>
      </c>
      <c r="I467">
        <v>0</v>
      </c>
      <c r="J467">
        <v>0.64518195405622458</v>
      </c>
      <c r="K467">
        <v>0</v>
      </c>
      <c r="L467">
        <v>0</v>
      </c>
      <c r="M467">
        <v>0.46409637279111798</v>
      </c>
      <c r="N467">
        <v>0</v>
      </c>
      <c r="O467">
        <v>0</v>
      </c>
      <c r="P467">
        <v>0.57240251086228933</v>
      </c>
      <c r="Q467">
        <v>1.4855435720985439</v>
      </c>
      <c r="R467">
        <v>-17.41764813423633</v>
      </c>
      <c r="S467">
        <v>0.247600022512977</v>
      </c>
      <c r="T467">
        <v>0.19431153506569929</v>
      </c>
      <c r="U467">
        <v>4.3297428452050317</v>
      </c>
      <c r="V467">
        <v>0.19284847807112951</v>
      </c>
      <c r="W467">
        <v>-10.98562648170234</v>
      </c>
      <c r="X467">
        <v>0.37866123348592617</v>
      </c>
      <c r="Z467" t="s">
        <v>392</v>
      </c>
      <c r="AA467">
        <v>9400</v>
      </c>
      <c r="AB467" t="s">
        <v>2886</v>
      </c>
      <c r="AC467" t="str">
        <f>HYPERLINK("plots/3FT6Y578R01_012_S11P_20251111092011_M5358ACSH101811_RBGEUFRF26/dpll_52084/txpa_54161.png","plot")</f>
        <v>plot</v>
      </c>
    </row>
    <row r="468" spans="1:29" x14ac:dyDescent="0.35">
      <c r="A468" t="s">
        <v>48</v>
      </c>
      <c r="B468">
        <v>52084</v>
      </c>
      <c r="C468" t="s">
        <v>52</v>
      </c>
      <c r="D468">
        <v>54162</v>
      </c>
      <c r="E468" t="s">
        <v>182</v>
      </c>
      <c r="F468">
        <v>12241</v>
      </c>
      <c r="G468">
        <v>0.75030523539287142</v>
      </c>
      <c r="H468">
        <v>0</v>
      </c>
      <c r="I468">
        <v>0</v>
      </c>
      <c r="J468">
        <v>0.6326306751937002</v>
      </c>
      <c r="K468">
        <v>0</v>
      </c>
      <c r="L468">
        <v>0</v>
      </c>
      <c r="M468">
        <v>0.45457565845609632</v>
      </c>
      <c r="N468">
        <v>0</v>
      </c>
      <c r="O468">
        <v>0</v>
      </c>
      <c r="P468">
        <v>0.56295794625795215</v>
      </c>
      <c r="Q468">
        <v>1.465896489960226</v>
      </c>
      <c r="R468">
        <v>-17.394762574802971</v>
      </c>
      <c r="S468">
        <v>0.2490672681307122</v>
      </c>
      <c r="T468">
        <v>0.19468215539284731</v>
      </c>
      <c r="U468">
        <v>4.329762099583367</v>
      </c>
      <c r="V468">
        <v>0.19284458788376191</v>
      </c>
      <c r="W468">
        <v>-11.0477795106609</v>
      </c>
      <c r="X468">
        <v>0.37676693584393278</v>
      </c>
      <c r="Z468" t="s">
        <v>392</v>
      </c>
      <c r="AA468">
        <v>9400</v>
      </c>
      <c r="AB468" t="s">
        <v>2887</v>
      </c>
      <c r="AC468" t="str">
        <f>HYPERLINK("plots/3FT6Y578R01_012_S11P_20251111092011_M5358ACSH101811_RBGEUFRF26/dpll_52084/txpa_54162.png","plot")</f>
        <v>plot</v>
      </c>
    </row>
    <row r="469" spans="1:29" x14ac:dyDescent="0.35">
      <c r="A469" t="s">
        <v>48</v>
      </c>
      <c r="B469">
        <v>52084</v>
      </c>
      <c r="C469" t="s">
        <v>52</v>
      </c>
      <c r="D469">
        <v>54163</v>
      </c>
      <c r="E469" t="s">
        <v>183</v>
      </c>
      <c r="F469">
        <v>12243</v>
      </c>
      <c r="G469">
        <v>0.77691477544216392</v>
      </c>
      <c r="H469">
        <v>0</v>
      </c>
      <c r="I469">
        <v>0</v>
      </c>
      <c r="J469">
        <v>0.67244677724598989</v>
      </c>
      <c r="K469">
        <v>0</v>
      </c>
      <c r="L469">
        <v>0</v>
      </c>
      <c r="M469">
        <v>0.48474618842378131</v>
      </c>
      <c r="N469">
        <v>0</v>
      </c>
      <c r="O469">
        <v>0</v>
      </c>
      <c r="P469">
        <v>0.60359656830034802</v>
      </c>
      <c r="Q469">
        <v>1.3025265116823941</v>
      </c>
      <c r="R469">
        <v>-10.39738528361676</v>
      </c>
      <c r="S469">
        <v>0.20357758389127581</v>
      </c>
      <c r="T469">
        <v>0.15457205329998761</v>
      </c>
      <c r="U469">
        <v>4.3297121556807969</v>
      </c>
      <c r="V469">
        <v>0.19287049691405411</v>
      </c>
      <c r="W469">
        <v>-4.7578204128889974</v>
      </c>
      <c r="X469">
        <v>0.32335456023337572</v>
      </c>
      <c r="Z469" t="s">
        <v>392</v>
      </c>
      <c r="AA469">
        <v>9400</v>
      </c>
      <c r="AB469" t="s">
        <v>2888</v>
      </c>
      <c r="AC469" t="str">
        <f>HYPERLINK("plots/3FT6Y578R01_012_S11P_20251111092011_M5358ACSH101811_RBGEUFRF26/dpll_52084/txpa_54163.png","plot")</f>
        <v>plot</v>
      </c>
    </row>
    <row r="470" spans="1:29" x14ac:dyDescent="0.35">
      <c r="A470" t="s">
        <v>48</v>
      </c>
      <c r="B470">
        <v>52084</v>
      </c>
      <c r="C470" t="s">
        <v>52</v>
      </c>
      <c r="D470">
        <v>54164</v>
      </c>
      <c r="E470" t="s">
        <v>184</v>
      </c>
      <c r="F470">
        <v>12242</v>
      </c>
      <c r="G470">
        <v>0.79276462104013912</v>
      </c>
      <c r="H470">
        <v>0</v>
      </c>
      <c r="I470">
        <v>0</v>
      </c>
      <c r="J470">
        <v>0.683199825359602</v>
      </c>
      <c r="K470">
        <v>0</v>
      </c>
      <c r="L470">
        <v>0</v>
      </c>
      <c r="M470">
        <v>0.4960635957614617</v>
      </c>
      <c r="N470">
        <v>0</v>
      </c>
      <c r="O470">
        <v>0</v>
      </c>
      <c r="P470">
        <v>0.62847574437291542</v>
      </c>
      <c r="Q470">
        <v>1.320536875604976</v>
      </c>
      <c r="R470">
        <v>-10.432337650574031</v>
      </c>
      <c r="S470">
        <v>0.19581807170908119</v>
      </c>
      <c r="T470">
        <v>0.15071102256712529</v>
      </c>
      <c r="U470">
        <v>4.3296987265969609</v>
      </c>
      <c r="V470">
        <v>0.1928726506826407</v>
      </c>
      <c r="W470">
        <v>-4.7148108218428364</v>
      </c>
      <c r="X470">
        <v>0.32127499230217088</v>
      </c>
      <c r="Z470" t="s">
        <v>392</v>
      </c>
      <c r="AA470">
        <v>9400</v>
      </c>
      <c r="AB470" t="s">
        <v>2889</v>
      </c>
      <c r="AC470" t="str">
        <f>HYPERLINK("plots/3FT6Y578R01_012_S11P_20251111092011_M5358ACSH101811_RBGEUFRF26/dpll_52084/txpa_54164.png","plot")</f>
        <v>plot</v>
      </c>
    </row>
    <row r="471" spans="1:29" x14ac:dyDescent="0.35">
      <c r="A471" t="s">
        <v>48</v>
      </c>
      <c r="B471">
        <v>52084</v>
      </c>
      <c r="C471" t="s">
        <v>52</v>
      </c>
      <c r="D471">
        <v>54165</v>
      </c>
      <c r="E471" t="s">
        <v>185</v>
      </c>
      <c r="F471">
        <v>12243</v>
      </c>
      <c r="G471">
        <v>0.79135708950951111</v>
      </c>
      <c r="H471">
        <v>0</v>
      </c>
      <c r="I471">
        <v>0</v>
      </c>
      <c r="J471">
        <v>0.6805552089518403</v>
      </c>
      <c r="K471">
        <v>0</v>
      </c>
      <c r="L471">
        <v>0</v>
      </c>
      <c r="M471">
        <v>0.49298204490074338</v>
      </c>
      <c r="N471">
        <v>0</v>
      </c>
      <c r="O471">
        <v>0</v>
      </c>
      <c r="P471">
        <v>0.62624604311696441</v>
      </c>
      <c r="Q471">
        <v>1.304764341685094</v>
      </c>
      <c r="R471">
        <v>-10.36391449761688</v>
      </c>
      <c r="S471">
        <v>0.1944019171970032</v>
      </c>
      <c r="T471">
        <v>0.14931177646996899</v>
      </c>
      <c r="U471">
        <v>4.3297121556807969</v>
      </c>
      <c r="V471">
        <v>0.19287049691405411</v>
      </c>
      <c r="W471">
        <v>-4.7146604671240713</v>
      </c>
      <c r="X471">
        <v>0.31799872683584302</v>
      </c>
      <c r="Z471" t="s">
        <v>392</v>
      </c>
      <c r="AA471">
        <v>9400</v>
      </c>
      <c r="AB471" t="s">
        <v>2890</v>
      </c>
      <c r="AC471" t="str">
        <f>HYPERLINK("plots/3FT6Y578R01_012_S11P_20251111092011_M5358ACSH101811_RBGEUFRF26/dpll_52084/txpa_54165.png","plot")</f>
        <v>plot</v>
      </c>
    </row>
    <row r="472" spans="1:29" x14ac:dyDescent="0.35">
      <c r="A472" t="s">
        <v>48</v>
      </c>
      <c r="B472">
        <v>52084</v>
      </c>
      <c r="C472" t="s">
        <v>52</v>
      </c>
      <c r="D472">
        <v>54166</v>
      </c>
      <c r="E472" t="s">
        <v>186</v>
      </c>
      <c r="F472">
        <v>12242</v>
      </c>
      <c r="G472">
        <v>0.80388267458893636</v>
      </c>
      <c r="H472">
        <v>0</v>
      </c>
      <c r="I472">
        <v>0</v>
      </c>
      <c r="J472">
        <v>0.68882565108149851</v>
      </c>
      <c r="K472">
        <v>0</v>
      </c>
      <c r="L472">
        <v>0</v>
      </c>
      <c r="M472">
        <v>0.50027435172567813</v>
      </c>
      <c r="N472">
        <v>0</v>
      </c>
      <c r="O472">
        <v>0</v>
      </c>
      <c r="P472">
        <v>0.64622735450426172</v>
      </c>
      <c r="Q472">
        <v>1.3328515416070521</v>
      </c>
      <c r="R472">
        <v>-10.445297180131231</v>
      </c>
      <c r="S472">
        <v>0.19020142668283649</v>
      </c>
      <c r="T472">
        <v>0.14774449455108629</v>
      </c>
      <c r="U472">
        <v>4.3297189133311553</v>
      </c>
      <c r="V472">
        <v>0.19287692535756709</v>
      </c>
      <c r="W472">
        <v>-4.6744246517725863</v>
      </c>
      <c r="X472">
        <v>0.3197933173951249</v>
      </c>
      <c r="Z472" t="s">
        <v>392</v>
      </c>
      <c r="AA472">
        <v>9400</v>
      </c>
      <c r="AB472" t="s">
        <v>2891</v>
      </c>
      <c r="AC472" t="str">
        <f>HYPERLINK("plots/3FT6Y578R01_012_S11P_20251111092011_M5358ACSH101811_RBGEUFRF26/dpll_52084/txpa_54166.png","plot")</f>
        <v>plot</v>
      </c>
    </row>
    <row r="473" spans="1:29" x14ac:dyDescent="0.35">
      <c r="A473" t="s">
        <v>48</v>
      </c>
      <c r="B473">
        <v>52084</v>
      </c>
      <c r="C473" t="s">
        <v>52</v>
      </c>
      <c r="D473">
        <v>54167</v>
      </c>
      <c r="E473" t="s">
        <v>187</v>
      </c>
      <c r="F473">
        <v>12240</v>
      </c>
      <c r="G473">
        <v>0.80224435986624609</v>
      </c>
      <c r="H473">
        <v>0</v>
      </c>
      <c r="I473">
        <v>0</v>
      </c>
      <c r="J473">
        <v>0.68323008930694562</v>
      </c>
      <c r="K473">
        <v>0</v>
      </c>
      <c r="L473">
        <v>0</v>
      </c>
      <c r="M473">
        <v>0.49475516365325217</v>
      </c>
      <c r="N473">
        <v>0</v>
      </c>
      <c r="O473">
        <v>0</v>
      </c>
      <c r="P473">
        <v>0.64359601293720292</v>
      </c>
      <c r="Q473">
        <v>1.339049010182066</v>
      </c>
      <c r="R473">
        <v>-10.496164113727779</v>
      </c>
      <c r="S473">
        <v>0.19215202592912589</v>
      </c>
      <c r="T473">
        <v>0.1497786675263216</v>
      </c>
      <c r="U473">
        <v>4.3297345467320261</v>
      </c>
      <c r="V473">
        <v>0.1928420022508596</v>
      </c>
      <c r="W473">
        <v>-4.6984373545751632</v>
      </c>
      <c r="X473">
        <v>0.32187810242579201</v>
      </c>
      <c r="Z473" t="s">
        <v>392</v>
      </c>
      <c r="AA473">
        <v>9400</v>
      </c>
      <c r="AB473" t="s">
        <v>2892</v>
      </c>
      <c r="AC473" t="str">
        <f>HYPERLINK("plots/3FT6Y578R01_012_S11P_20251111092011_M5358ACSH101811_RBGEUFRF26/dpll_52084/txpa_54167.png","plot")</f>
        <v>plot</v>
      </c>
    </row>
    <row r="474" spans="1:29" x14ac:dyDescent="0.35">
      <c r="A474" t="s">
        <v>48</v>
      </c>
      <c r="B474">
        <v>52084</v>
      </c>
      <c r="C474" t="s">
        <v>52</v>
      </c>
      <c r="D474">
        <v>54168</v>
      </c>
      <c r="E474" t="s">
        <v>188</v>
      </c>
      <c r="F474">
        <v>12240</v>
      </c>
      <c r="G474">
        <v>0.80652149449806576</v>
      </c>
      <c r="H474">
        <v>0</v>
      </c>
      <c r="I474">
        <v>0</v>
      </c>
      <c r="J474">
        <v>0.69393285739988897</v>
      </c>
      <c r="K474">
        <v>0</v>
      </c>
      <c r="L474">
        <v>0</v>
      </c>
      <c r="M474">
        <v>0.50535149219177722</v>
      </c>
      <c r="N474">
        <v>0</v>
      </c>
      <c r="O474">
        <v>0</v>
      </c>
      <c r="P474">
        <v>0.65047692108739352</v>
      </c>
      <c r="Q474">
        <v>1.3436919709615029</v>
      </c>
      <c r="R474">
        <v>-10.52466589405609</v>
      </c>
      <c r="S474">
        <v>0.18991183166032949</v>
      </c>
      <c r="T474">
        <v>0.14780771894955361</v>
      </c>
      <c r="U474">
        <v>4.329689001062091</v>
      </c>
      <c r="V474">
        <v>0.19281821557856541</v>
      </c>
      <c r="W474">
        <v>-4.7068975465686274</v>
      </c>
      <c r="X474">
        <v>0.32124164066983057</v>
      </c>
      <c r="Z474" t="s">
        <v>392</v>
      </c>
      <c r="AA474">
        <v>9400</v>
      </c>
      <c r="AB474" t="s">
        <v>2893</v>
      </c>
      <c r="AC474" t="str">
        <f>HYPERLINK("plots/3FT6Y578R01_012_S11P_20251111092011_M5358ACSH101811_RBGEUFRF26/dpll_52084/txpa_54168.png","plot")</f>
        <v>plot</v>
      </c>
    </row>
    <row r="475" spans="1:29" x14ac:dyDescent="0.35">
      <c r="A475" t="s">
        <v>48</v>
      </c>
      <c r="B475">
        <v>52084</v>
      </c>
      <c r="C475" t="s">
        <v>52</v>
      </c>
      <c r="D475">
        <v>54169</v>
      </c>
      <c r="E475" t="s">
        <v>189</v>
      </c>
      <c r="F475">
        <v>12242</v>
      </c>
      <c r="G475">
        <v>0.80380269786093173</v>
      </c>
      <c r="H475">
        <v>0</v>
      </c>
      <c r="I475">
        <v>0</v>
      </c>
      <c r="J475">
        <v>0.6868152738675859</v>
      </c>
      <c r="K475">
        <v>0</v>
      </c>
      <c r="L475">
        <v>0</v>
      </c>
      <c r="M475">
        <v>0.49912031135043078</v>
      </c>
      <c r="N475">
        <v>0</v>
      </c>
      <c r="O475">
        <v>0</v>
      </c>
      <c r="P475">
        <v>0.64609877708851227</v>
      </c>
      <c r="Q475">
        <v>1.334975512040238</v>
      </c>
      <c r="R475">
        <v>-10.483655938648299</v>
      </c>
      <c r="S475">
        <v>0.19052999178342289</v>
      </c>
      <c r="T475">
        <v>0.14855424262184541</v>
      </c>
      <c r="U475">
        <v>4.3297428452050317</v>
      </c>
      <c r="V475">
        <v>0.19284847807112951</v>
      </c>
      <c r="W475">
        <v>-4.7035552668681584</v>
      </c>
      <c r="X475">
        <v>0.32028754872844267</v>
      </c>
      <c r="Z475" t="s">
        <v>392</v>
      </c>
      <c r="AA475">
        <v>9400</v>
      </c>
      <c r="AB475" t="s">
        <v>2894</v>
      </c>
      <c r="AC475" t="str">
        <f>HYPERLINK("plots/3FT6Y578R01_012_S11P_20251111092011_M5358ACSH101811_RBGEUFRF26/dpll_52084/txpa_54169.png","plot")</f>
        <v>plot</v>
      </c>
    </row>
    <row r="476" spans="1:29" x14ac:dyDescent="0.35">
      <c r="A476" t="s">
        <v>48</v>
      </c>
      <c r="B476">
        <v>52084</v>
      </c>
      <c r="C476" t="s">
        <v>52</v>
      </c>
      <c r="D476">
        <v>54170</v>
      </c>
      <c r="E476" t="s">
        <v>190</v>
      </c>
      <c r="F476">
        <v>12239</v>
      </c>
      <c r="G476">
        <v>0.79849216710469018</v>
      </c>
      <c r="H476">
        <v>0</v>
      </c>
      <c r="I476">
        <v>0</v>
      </c>
      <c r="J476">
        <v>0.67754919341087727</v>
      </c>
      <c r="K476">
        <v>0</v>
      </c>
      <c r="L476">
        <v>0</v>
      </c>
      <c r="M476">
        <v>0.49155020136867278</v>
      </c>
      <c r="N476">
        <v>0</v>
      </c>
      <c r="O476">
        <v>0</v>
      </c>
      <c r="P476">
        <v>0.6375897409275445</v>
      </c>
      <c r="Q476">
        <v>1.32052405066451</v>
      </c>
      <c r="R476">
        <v>-10.45190770921573</v>
      </c>
      <c r="S476">
        <v>0.19199137607656369</v>
      </c>
      <c r="T476">
        <v>0.1490028358041785</v>
      </c>
      <c r="U476">
        <v>4.3297844997140276</v>
      </c>
      <c r="V476">
        <v>0.1928517426499661</v>
      </c>
      <c r="W476">
        <v>-4.7343231431489503</v>
      </c>
      <c r="X476">
        <v>0.31893282723768263</v>
      </c>
      <c r="Z476" t="s">
        <v>392</v>
      </c>
      <c r="AA476">
        <v>9400</v>
      </c>
      <c r="AB476" t="s">
        <v>2895</v>
      </c>
      <c r="AC476" t="str">
        <f>HYPERLINK("plots/3FT6Y578R01_012_S11P_20251111092011_M5358ACSH101811_RBGEUFRF26/dpll_52084/txpa_54170.png","plot")</f>
        <v>plot</v>
      </c>
    </row>
    <row r="477" spans="1:29" x14ac:dyDescent="0.35">
      <c r="A477" t="s">
        <v>48</v>
      </c>
      <c r="B477">
        <v>52084</v>
      </c>
      <c r="C477" t="s">
        <v>52</v>
      </c>
      <c r="D477">
        <v>54171</v>
      </c>
      <c r="E477" t="s">
        <v>191</v>
      </c>
      <c r="F477">
        <v>12243</v>
      </c>
      <c r="G477">
        <v>0.78924526070836742</v>
      </c>
      <c r="H477">
        <v>0</v>
      </c>
      <c r="I477">
        <v>0</v>
      </c>
      <c r="J477">
        <v>0.68743943432847865</v>
      </c>
      <c r="K477">
        <v>0</v>
      </c>
      <c r="L477">
        <v>0</v>
      </c>
      <c r="M477">
        <v>0.49722259119877132</v>
      </c>
      <c r="N477">
        <v>0</v>
      </c>
      <c r="O477">
        <v>0</v>
      </c>
      <c r="P477">
        <v>0.62290808155061883</v>
      </c>
      <c r="Q477">
        <v>1.329295940339944</v>
      </c>
      <c r="R477">
        <v>-7.5410138679695269</v>
      </c>
      <c r="S477">
        <v>0.19947173743621049</v>
      </c>
      <c r="T477">
        <v>0.15054091030916869</v>
      </c>
      <c r="U477">
        <v>4.3297121556807969</v>
      </c>
      <c r="V477">
        <v>0.19287049691405411</v>
      </c>
      <c r="W477">
        <v>-1.7855450765825369</v>
      </c>
      <c r="X477">
        <v>0.32484448285326478</v>
      </c>
      <c r="Z477" t="s">
        <v>392</v>
      </c>
      <c r="AA477">
        <v>9400</v>
      </c>
      <c r="AB477" t="s">
        <v>2896</v>
      </c>
      <c r="AC477" t="str">
        <f>HYPERLINK("plots/3FT6Y578R01_012_S11P_20251111092011_M5358ACSH101811_RBGEUFRF26/dpll_52084/txpa_54171.png","plot")</f>
        <v>plot</v>
      </c>
    </row>
    <row r="478" spans="1:29" x14ac:dyDescent="0.35">
      <c r="A478" t="s">
        <v>48</v>
      </c>
      <c r="B478">
        <v>52084</v>
      </c>
      <c r="C478" t="s">
        <v>52</v>
      </c>
      <c r="D478">
        <v>54172</v>
      </c>
      <c r="E478" t="s">
        <v>192</v>
      </c>
      <c r="F478">
        <v>12242</v>
      </c>
      <c r="G478">
        <v>0.80591812384230843</v>
      </c>
      <c r="H478">
        <v>0</v>
      </c>
      <c r="I478">
        <v>0</v>
      </c>
      <c r="J478">
        <v>0.69938046630244699</v>
      </c>
      <c r="K478">
        <v>0</v>
      </c>
      <c r="L478">
        <v>0</v>
      </c>
      <c r="M478">
        <v>0.50966210873838669</v>
      </c>
      <c r="N478">
        <v>0</v>
      </c>
      <c r="O478">
        <v>0</v>
      </c>
      <c r="P478">
        <v>0.64950402233750637</v>
      </c>
      <c r="Q478">
        <v>1.3515187729131311</v>
      </c>
      <c r="R478">
        <v>-7.6000202469677722</v>
      </c>
      <c r="S478">
        <v>0.1914809571413438</v>
      </c>
      <c r="T478">
        <v>0.1467636697696868</v>
      </c>
      <c r="U478">
        <v>4.3296987265969609</v>
      </c>
      <c r="V478">
        <v>0.1928726506826407</v>
      </c>
      <c r="W478">
        <v>-1.7483511369139031</v>
      </c>
      <c r="X478">
        <v>0.32344601823362168</v>
      </c>
      <c r="Z478" t="s">
        <v>392</v>
      </c>
      <c r="AA478">
        <v>9400</v>
      </c>
      <c r="AB478" t="s">
        <v>2897</v>
      </c>
      <c r="AC478" t="str">
        <f>HYPERLINK("plots/3FT6Y578R01_012_S11P_20251111092011_M5358ACSH101811_RBGEUFRF26/dpll_52084/txpa_54172.png","plot")</f>
        <v>plot</v>
      </c>
    </row>
    <row r="479" spans="1:29" x14ac:dyDescent="0.35">
      <c r="A479" t="s">
        <v>48</v>
      </c>
      <c r="B479">
        <v>52084</v>
      </c>
      <c r="C479" t="s">
        <v>52</v>
      </c>
      <c r="D479">
        <v>54173</v>
      </c>
      <c r="E479" t="s">
        <v>193</v>
      </c>
      <c r="F479">
        <v>12243</v>
      </c>
      <c r="G479">
        <v>0.80303382725792638</v>
      </c>
      <c r="H479">
        <v>0</v>
      </c>
      <c r="I479">
        <v>0</v>
      </c>
      <c r="J479">
        <v>0.69492802976249968</v>
      </c>
      <c r="K479">
        <v>0</v>
      </c>
      <c r="L479">
        <v>0</v>
      </c>
      <c r="M479">
        <v>0.50517123604285386</v>
      </c>
      <c r="N479">
        <v>0</v>
      </c>
      <c r="O479">
        <v>0</v>
      </c>
      <c r="P479">
        <v>0.64486332772051314</v>
      </c>
      <c r="Q479">
        <v>1.332720614217479</v>
      </c>
      <c r="R479">
        <v>-7.517200073602627</v>
      </c>
      <c r="S479">
        <v>0.1907440932180601</v>
      </c>
      <c r="T479">
        <v>0.145721440451127</v>
      </c>
      <c r="U479">
        <v>4.3297121556807969</v>
      </c>
      <c r="V479">
        <v>0.19287049691405411</v>
      </c>
      <c r="W479">
        <v>-1.746903430098832</v>
      </c>
      <c r="X479">
        <v>0.32008923956471003</v>
      </c>
      <c r="Z479" t="s">
        <v>392</v>
      </c>
      <c r="AA479">
        <v>9400</v>
      </c>
      <c r="AB479" t="s">
        <v>2898</v>
      </c>
      <c r="AC479" t="str">
        <f>HYPERLINK("plots/3FT6Y578R01_012_S11P_20251111092011_M5358ACSH101811_RBGEUFRF26/dpll_52084/txpa_54173.png","plot")</f>
        <v>plot</v>
      </c>
    </row>
    <row r="480" spans="1:29" x14ac:dyDescent="0.35">
      <c r="A480" t="s">
        <v>48</v>
      </c>
      <c r="B480">
        <v>52084</v>
      </c>
      <c r="C480" t="s">
        <v>52</v>
      </c>
      <c r="D480">
        <v>54174</v>
      </c>
      <c r="E480" t="s">
        <v>194</v>
      </c>
      <c r="F480">
        <v>12242</v>
      </c>
      <c r="G480">
        <v>0.81524823770595634</v>
      </c>
      <c r="H480">
        <v>0</v>
      </c>
      <c r="I480">
        <v>0</v>
      </c>
      <c r="J480">
        <v>0.70328070930836706</v>
      </c>
      <c r="K480">
        <v>0</v>
      </c>
      <c r="L480">
        <v>0</v>
      </c>
      <c r="M480">
        <v>0.51281889874552422</v>
      </c>
      <c r="N480">
        <v>0</v>
      </c>
      <c r="O480">
        <v>0</v>
      </c>
      <c r="P480">
        <v>0.66462968908266751</v>
      </c>
      <c r="Q480">
        <v>1.358854686334749</v>
      </c>
      <c r="R480">
        <v>-7.5967837605777468</v>
      </c>
      <c r="S480">
        <v>0.18616926763522179</v>
      </c>
      <c r="T480">
        <v>0.14394268825867171</v>
      </c>
      <c r="U480">
        <v>4.3297189133311553</v>
      </c>
      <c r="V480">
        <v>0.19287692535756709</v>
      </c>
      <c r="W480">
        <v>-1.7133249246855089</v>
      </c>
      <c r="X480">
        <v>0.32148700455394158</v>
      </c>
      <c r="Z480" t="s">
        <v>392</v>
      </c>
      <c r="AA480">
        <v>9400</v>
      </c>
      <c r="AB480" t="s">
        <v>2899</v>
      </c>
      <c r="AC480" t="str">
        <f>HYPERLINK("plots/3FT6Y578R01_012_S11P_20251111092011_M5358ACSH101811_RBGEUFRF26/dpll_52084/txpa_54174.png","plot")</f>
        <v>plot</v>
      </c>
    </row>
    <row r="481" spans="1:29" x14ac:dyDescent="0.35">
      <c r="A481" t="s">
        <v>48</v>
      </c>
      <c r="B481">
        <v>52084</v>
      </c>
      <c r="C481" t="s">
        <v>52</v>
      </c>
      <c r="D481">
        <v>54175</v>
      </c>
      <c r="E481" t="s">
        <v>195</v>
      </c>
      <c r="F481">
        <v>12240</v>
      </c>
      <c r="G481">
        <v>0.81466765565080346</v>
      </c>
      <c r="H481">
        <v>0</v>
      </c>
      <c r="I481">
        <v>0</v>
      </c>
      <c r="J481">
        <v>0.69852470061089678</v>
      </c>
      <c r="K481">
        <v>0</v>
      </c>
      <c r="L481">
        <v>0</v>
      </c>
      <c r="M481">
        <v>0.50778309215584339</v>
      </c>
      <c r="N481">
        <v>0</v>
      </c>
      <c r="O481">
        <v>0</v>
      </c>
      <c r="P481">
        <v>0.66368338916357605</v>
      </c>
      <c r="Q481">
        <v>1.3642752352927321</v>
      </c>
      <c r="R481">
        <v>-7.6434653639276444</v>
      </c>
      <c r="S481">
        <v>0.1872748988446368</v>
      </c>
      <c r="T481">
        <v>0.14552088196648019</v>
      </c>
      <c r="U481">
        <v>4.3297345467320261</v>
      </c>
      <c r="V481">
        <v>0.1928420022508596</v>
      </c>
      <c r="W481">
        <v>-1.7365157464297389</v>
      </c>
      <c r="X481">
        <v>0.32294097620083129</v>
      </c>
      <c r="Z481" t="s">
        <v>392</v>
      </c>
      <c r="AA481">
        <v>9400</v>
      </c>
      <c r="AB481" t="s">
        <v>2900</v>
      </c>
      <c r="AC481" t="str">
        <f>HYPERLINK("plots/3FT6Y578R01_012_S11P_20251111092011_M5358ACSH101811_RBGEUFRF26/dpll_52084/txpa_54175.png","plot")</f>
        <v>plot</v>
      </c>
    </row>
    <row r="482" spans="1:29" x14ac:dyDescent="0.35">
      <c r="A482" t="s">
        <v>48</v>
      </c>
      <c r="B482">
        <v>52084</v>
      </c>
      <c r="C482" t="s">
        <v>52</v>
      </c>
      <c r="D482">
        <v>54176</v>
      </c>
      <c r="E482" t="s">
        <v>196</v>
      </c>
      <c r="F482">
        <v>12240</v>
      </c>
      <c r="G482">
        <v>0.81864635730933255</v>
      </c>
      <c r="H482">
        <v>0</v>
      </c>
      <c r="I482">
        <v>0</v>
      </c>
      <c r="J482">
        <v>0.70797666337713006</v>
      </c>
      <c r="K482">
        <v>0</v>
      </c>
      <c r="L482">
        <v>0</v>
      </c>
      <c r="M482">
        <v>0.51731245906696133</v>
      </c>
      <c r="N482">
        <v>0</v>
      </c>
      <c r="O482">
        <v>0</v>
      </c>
      <c r="P482">
        <v>0.67018185833583943</v>
      </c>
      <c r="Q482">
        <v>1.371936342826436</v>
      </c>
      <c r="R482">
        <v>-7.6814037389135583</v>
      </c>
      <c r="S482">
        <v>0.1855689093006625</v>
      </c>
      <c r="T482">
        <v>0.14420845256977491</v>
      </c>
      <c r="U482">
        <v>4.329689001062091</v>
      </c>
      <c r="V482">
        <v>0.19281821557856541</v>
      </c>
      <c r="W482">
        <v>-1.741346045220588</v>
      </c>
      <c r="X482">
        <v>0.32313625431697812</v>
      </c>
      <c r="Z482" t="s">
        <v>392</v>
      </c>
      <c r="AA482">
        <v>9400</v>
      </c>
      <c r="AB482" t="s">
        <v>2901</v>
      </c>
      <c r="AC482" t="str">
        <f>HYPERLINK("plots/3FT6Y578R01_012_S11P_20251111092011_M5358ACSH101811_RBGEUFRF26/dpll_52084/txpa_54176.png","plot")</f>
        <v>plot</v>
      </c>
    </row>
    <row r="483" spans="1:29" x14ac:dyDescent="0.35">
      <c r="A483" t="s">
        <v>48</v>
      </c>
      <c r="B483">
        <v>52084</v>
      </c>
      <c r="C483" t="s">
        <v>52</v>
      </c>
      <c r="D483">
        <v>54177</v>
      </c>
      <c r="E483" t="s">
        <v>197</v>
      </c>
      <c r="F483">
        <v>12242</v>
      </c>
      <c r="G483">
        <v>0.81624486132328467</v>
      </c>
      <c r="H483">
        <v>0</v>
      </c>
      <c r="I483">
        <v>0</v>
      </c>
      <c r="J483">
        <v>0.70184195517384806</v>
      </c>
      <c r="K483">
        <v>0</v>
      </c>
      <c r="L483">
        <v>0</v>
      </c>
      <c r="M483">
        <v>0.51195622961063048</v>
      </c>
      <c r="N483">
        <v>0</v>
      </c>
      <c r="O483">
        <v>0</v>
      </c>
      <c r="P483">
        <v>0.66625567363666827</v>
      </c>
      <c r="Q483">
        <v>1.363554978494941</v>
      </c>
      <c r="R483">
        <v>-7.6408326415401184</v>
      </c>
      <c r="S483">
        <v>0.1861048178120408</v>
      </c>
      <c r="T483">
        <v>0.1447122536205753</v>
      </c>
      <c r="U483">
        <v>4.3297428452050317</v>
      </c>
      <c r="V483">
        <v>0.19284847807112951</v>
      </c>
      <c r="W483">
        <v>-1.736990229357948</v>
      </c>
      <c r="X483">
        <v>0.32215762062226633</v>
      </c>
      <c r="Z483" t="s">
        <v>392</v>
      </c>
      <c r="AA483">
        <v>9400</v>
      </c>
      <c r="AB483" t="s">
        <v>2902</v>
      </c>
      <c r="AC483" t="str">
        <f>HYPERLINK("plots/3FT6Y578R01_012_S11P_20251111092011_M5358ACSH101811_RBGEUFRF26/dpll_52084/txpa_54177.png","plot")</f>
        <v>plot</v>
      </c>
    </row>
    <row r="484" spans="1:29" x14ac:dyDescent="0.35">
      <c r="A484" t="s">
        <v>48</v>
      </c>
      <c r="B484">
        <v>52084</v>
      </c>
      <c r="C484" t="s">
        <v>52</v>
      </c>
      <c r="D484">
        <v>54178</v>
      </c>
      <c r="E484" t="s">
        <v>198</v>
      </c>
      <c r="F484">
        <v>12239</v>
      </c>
      <c r="G484">
        <v>0.81060055157287914</v>
      </c>
      <c r="H484">
        <v>0</v>
      </c>
      <c r="I484">
        <v>0</v>
      </c>
      <c r="J484">
        <v>0.69253091298359049</v>
      </c>
      <c r="K484">
        <v>0</v>
      </c>
      <c r="L484">
        <v>0</v>
      </c>
      <c r="M484">
        <v>0.50443522685428388</v>
      </c>
      <c r="N484">
        <v>0</v>
      </c>
      <c r="O484">
        <v>0</v>
      </c>
      <c r="P484">
        <v>0.65707325421025586</v>
      </c>
      <c r="Q484">
        <v>1.3502940862463459</v>
      </c>
      <c r="R484">
        <v>-7.6069129454644244</v>
      </c>
      <c r="S484">
        <v>0.1881169697886973</v>
      </c>
      <c r="T484">
        <v>0.145298553221199</v>
      </c>
      <c r="U484">
        <v>4.3297844997140276</v>
      </c>
      <c r="V484">
        <v>0.1928517426499661</v>
      </c>
      <c r="W484">
        <v>-1.760430540779476</v>
      </c>
      <c r="X484">
        <v>0.32125140689487791</v>
      </c>
      <c r="Z484" t="s">
        <v>392</v>
      </c>
      <c r="AA484">
        <v>9400</v>
      </c>
      <c r="AB484" t="s">
        <v>2903</v>
      </c>
      <c r="AC484" t="str">
        <f>HYPERLINK("plots/3FT6Y578R01_012_S11P_20251111092011_M5358ACSH101811_RBGEUFRF26/dpll_52084/txpa_54178.png","plot")</f>
        <v>plot</v>
      </c>
    </row>
    <row r="485" spans="1:29" x14ac:dyDescent="0.35">
      <c r="A485" t="s">
        <v>48</v>
      </c>
      <c r="B485">
        <v>52084</v>
      </c>
      <c r="C485" t="s">
        <v>52</v>
      </c>
      <c r="D485">
        <v>54179</v>
      </c>
      <c r="E485" t="s">
        <v>199</v>
      </c>
      <c r="F485">
        <v>12242</v>
      </c>
      <c r="G485">
        <v>0.80816937697379587</v>
      </c>
      <c r="H485">
        <v>0</v>
      </c>
      <c r="I485">
        <v>0</v>
      </c>
      <c r="J485">
        <v>0.70877284710478428</v>
      </c>
      <c r="K485">
        <v>0</v>
      </c>
      <c r="L485">
        <v>0</v>
      </c>
      <c r="M485">
        <v>0.51600724507177498</v>
      </c>
      <c r="N485">
        <v>0</v>
      </c>
      <c r="O485">
        <v>0</v>
      </c>
      <c r="P485">
        <v>0.65313774187821338</v>
      </c>
      <c r="Q485">
        <v>1.469250973868476</v>
      </c>
      <c r="R485">
        <v>-4.7946066914460452</v>
      </c>
      <c r="S485">
        <v>0.20648594175489349</v>
      </c>
      <c r="T485">
        <v>0.15477630866183659</v>
      </c>
      <c r="U485">
        <v>4.3297379161084786</v>
      </c>
      <c r="V485">
        <v>0.19285731086450791</v>
      </c>
      <c r="W485">
        <v>1.566864958391603</v>
      </c>
      <c r="X485">
        <v>0.35061436362061182</v>
      </c>
      <c r="Z485" t="s">
        <v>392</v>
      </c>
      <c r="AA485">
        <v>9400</v>
      </c>
      <c r="AB485" t="s">
        <v>2904</v>
      </c>
      <c r="AC485" t="str">
        <f>HYPERLINK("plots/3FT6Y578R01_012_S11P_20251111092011_M5358ACSH101811_RBGEUFRF26/dpll_52084/txpa_54179.png","plot")</f>
        <v>plot</v>
      </c>
    </row>
    <row r="486" spans="1:29" x14ac:dyDescent="0.35">
      <c r="A486" t="s">
        <v>48</v>
      </c>
      <c r="B486">
        <v>52084</v>
      </c>
      <c r="C486" t="s">
        <v>52</v>
      </c>
      <c r="D486">
        <v>54180</v>
      </c>
      <c r="E486" t="s">
        <v>200</v>
      </c>
      <c r="F486">
        <v>12242</v>
      </c>
      <c r="G486">
        <v>0.82309380151343303</v>
      </c>
      <c r="H486">
        <v>0</v>
      </c>
      <c r="I486">
        <v>0</v>
      </c>
      <c r="J486">
        <v>0.71961765576564307</v>
      </c>
      <c r="K486">
        <v>0</v>
      </c>
      <c r="L486">
        <v>0</v>
      </c>
      <c r="M486">
        <v>0.5276130664744858</v>
      </c>
      <c r="N486">
        <v>0</v>
      </c>
      <c r="O486">
        <v>0</v>
      </c>
      <c r="P486">
        <v>0.67748340608983471</v>
      </c>
      <c r="Q486">
        <v>1.494820220511156</v>
      </c>
      <c r="R486">
        <v>-4.8711804839266613</v>
      </c>
      <c r="S486">
        <v>0.19891547700841761</v>
      </c>
      <c r="T486">
        <v>0.15150289544793219</v>
      </c>
      <c r="U486">
        <v>4.3296987265969609</v>
      </c>
      <c r="V486">
        <v>0.1928726506826407</v>
      </c>
      <c r="W486">
        <v>1.6009407213118769</v>
      </c>
      <c r="X486">
        <v>0.35027591957791082</v>
      </c>
      <c r="Z486" t="s">
        <v>392</v>
      </c>
      <c r="AA486">
        <v>9400</v>
      </c>
      <c r="AB486" t="s">
        <v>2905</v>
      </c>
      <c r="AC486" t="str">
        <f>HYPERLINK("plots/3FT6Y578R01_012_S11P_20251111092011_M5358ACSH101811_RBGEUFRF26/dpll_52084/txpa_54180.png","plot")</f>
        <v>plot</v>
      </c>
    </row>
    <row r="487" spans="1:29" x14ac:dyDescent="0.35">
      <c r="A487" t="s">
        <v>48</v>
      </c>
      <c r="B487">
        <v>52084</v>
      </c>
      <c r="C487" t="s">
        <v>52</v>
      </c>
      <c r="D487">
        <v>54181</v>
      </c>
      <c r="E487" t="s">
        <v>201</v>
      </c>
      <c r="F487">
        <v>12243</v>
      </c>
      <c r="G487">
        <v>0.82098211491485018</v>
      </c>
      <c r="H487">
        <v>0</v>
      </c>
      <c r="I487">
        <v>0</v>
      </c>
      <c r="J487">
        <v>0.71621430007176401</v>
      </c>
      <c r="K487">
        <v>0</v>
      </c>
      <c r="L487">
        <v>0</v>
      </c>
      <c r="M487">
        <v>0.52405675002397178</v>
      </c>
      <c r="N487">
        <v>0</v>
      </c>
      <c r="O487">
        <v>0</v>
      </c>
      <c r="P487">
        <v>0.67401163301006028</v>
      </c>
      <c r="Q487">
        <v>1.4760100828360749</v>
      </c>
      <c r="R487">
        <v>-4.7866230203268021</v>
      </c>
      <c r="S487">
        <v>0.19797244262866889</v>
      </c>
      <c r="T487">
        <v>0.15006782241966221</v>
      </c>
      <c r="U487">
        <v>4.3297121556807969</v>
      </c>
      <c r="V487">
        <v>0.19287049691405411</v>
      </c>
      <c r="W487">
        <v>1.6040757772359719</v>
      </c>
      <c r="X487">
        <v>0.34675395840538348</v>
      </c>
      <c r="Z487" t="s">
        <v>392</v>
      </c>
      <c r="AA487">
        <v>9400</v>
      </c>
      <c r="AB487" t="s">
        <v>2906</v>
      </c>
      <c r="AC487" t="str">
        <f>HYPERLINK("plots/3FT6Y578R01_012_S11P_20251111092011_M5358ACSH101811_RBGEUFRF26/dpll_52084/txpa_54181.png","plot")</f>
        <v>plot</v>
      </c>
    </row>
    <row r="488" spans="1:29" x14ac:dyDescent="0.35">
      <c r="A488" t="s">
        <v>48</v>
      </c>
      <c r="B488">
        <v>52084</v>
      </c>
      <c r="C488" t="s">
        <v>52</v>
      </c>
      <c r="D488">
        <v>54182</v>
      </c>
      <c r="E488" t="s">
        <v>202</v>
      </c>
      <c r="F488">
        <v>12242</v>
      </c>
      <c r="G488">
        <v>0.83218297810905317</v>
      </c>
      <c r="H488">
        <v>0</v>
      </c>
      <c r="I488">
        <v>0</v>
      </c>
      <c r="J488">
        <v>0.72387262867675195</v>
      </c>
      <c r="K488">
        <v>0</v>
      </c>
      <c r="L488">
        <v>0</v>
      </c>
      <c r="M488">
        <v>0.53149833126358426</v>
      </c>
      <c r="N488">
        <v>0</v>
      </c>
      <c r="O488">
        <v>0</v>
      </c>
      <c r="P488">
        <v>0.69252850905445285</v>
      </c>
      <c r="Q488">
        <v>1.500257548855112</v>
      </c>
      <c r="R488">
        <v>-4.8644477812786384</v>
      </c>
      <c r="S488">
        <v>0.19280218662141799</v>
      </c>
      <c r="T488">
        <v>0.1480841399782111</v>
      </c>
      <c r="U488">
        <v>4.3297189133311553</v>
      </c>
      <c r="V488">
        <v>0.19287692535756709</v>
      </c>
      <c r="W488">
        <v>1.631245702867179</v>
      </c>
      <c r="X488">
        <v>0.34771807508628733</v>
      </c>
      <c r="Z488" t="s">
        <v>392</v>
      </c>
      <c r="AA488">
        <v>9400</v>
      </c>
      <c r="AB488" t="s">
        <v>2907</v>
      </c>
      <c r="AC488" t="str">
        <f>HYPERLINK("plots/3FT6Y578R01_012_S11P_20251111092011_M5358ACSH101811_RBGEUFRF26/dpll_52084/txpa_54182.png","plot")</f>
        <v>plot</v>
      </c>
    </row>
    <row r="489" spans="1:29" x14ac:dyDescent="0.35">
      <c r="A489" t="s">
        <v>48</v>
      </c>
      <c r="B489">
        <v>52084</v>
      </c>
      <c r="C489" t="s">
        <v>52</v>
      </c>
      <c r="D489">
        <v>54183</v>
      </c>
      <c r="E489" t="s">
        <v>203</v>
      </c>
      <c r="F489">
        <v>12240</v>
      </c>
      <c r="G489">
        <v>0.8318665030657717</v>
      </c>
      <c r="H489">
        <v>0</v>
      </c>
      <c r="I489">
        <v>0</v>
      </c>
      <c r="J489">
        <v>0.72012280223131619</v>
      </c>
      <c r="K489">
        <v>0</v>
      </c>
      <c r="L489">
        <v>0</v>
      </c>
      <c r="M489">
        <v>0.52721400642184468</v>
      </c>
      <c r="N489">
        <v>0</v>
      </c>
      <c r="O489">
        <v>0</v>
      </c>
      <c r="P489">
        <v>0.69200187892287557</v>
      </c>
      <c r="Q489">
        <v>1.5058536547162771</v>
      </c>
      <c r="R489">
        <v>-4.9126808959271564</v>
      </c>
      <c r="S489">
        <v>0.19372561782032011</v>
      </c>
      <c r="T489">
        <v>0.14956884231613549</v>
      </c>
      <c r="U489">
        <v>4.3297345467320261</v>
      </c>
      <c r="V489">
        <v>0.1928420022508596</v>
      </c>
      <c r="W489">
        <v>1.6072656952205879</v>
      </c>
      <c r="X489">
        <v>0.34908465817778161</v>
      </c>
      <c r="Z489" t="s">
        <v>392</v>
      </c>
      <c r="AA489">
        <v>9400</v>
      </c>
      <c r="AB489" t="s">
        <v>2908</v>
      </c>
      <c r="AC489" t="str">
        <f>HYPERLINK("plots/3FT6Y578R01_012_S11P_20251111092011_M5358ACSH101811_RBGEUFRF26/dpll_52084/txpa_54183.png","plot")</f>
        <v>plot</v>
      </c>
    </row>
    <row r="490" spans="1:29" x14ac:dyDescent="0.35">
      <c r="A490" t="s">
        <v>48</v>
      </c>
      <c r="B490">
        <v>52084</v>
      </c>
      <c r="C490" t="s">
        <v>52</v>
      </c>
      <c r="D490">
        <v>54184</v>
      </c>
      <c r="E490" t="s">
        <v>204</v>
      </c>
      <c r="F490">
        <v>12240</v>
      </c>
      <c r="G490">
        <v>0.83483333102624369</v>
      </c>
      <c r="H490">
        <v>0</v>
      </c>
      <c r="I490">
        <v>0</v>
      </c>
      <c r="J490">
        <v>0.72708533999546143</v>
      </c>
      <c r="K490">
        <v>0</v>
      </c>
      <c r="L490">
        <v>0</v>
      </c>
      <c r="M490">
        <v>0.53446967759861719</v>
      </c>
      <c r="N490">
        <v>0</v>
      </c>
      <c r="O490">
        <v>0</v>
      </c>
      <c r="P490">
        <v>0.6969466905923738</v>
      </c>
      <c r="Q490">
        <v>1.514110681577403</v>
      </c>
      <c r="R490">
        <v>-4.9489221349800321</v>
      </c>
      <c r="S490">
        <v>0.19250750995487181</v>
      </c>
      <c r="T490">
        <v>0.14885514628667601</v>
      </c>
      <c r="U490">
        <v>4.329689001062091</v>
      </c>
      <c r="V490">
        <v>0.19281821557856541</v>
      </c>
      <c r="W490">
        <v>1.6067062294362751</v>
      </c>
      <c r="X490">
        <v>0.34970826985467163</v>
      </c>
      <c r="Z490" t="s">
        <v>392</v>
      </c>
      <c r="AA490">
        <v>9400</v>
      </c>
      <c r="AB490" t="s">
        <v>2909</v>
      </c>
      <c r="AC490" t="str">
        <f>HYPERLINK("plots/3FT6Y578R01_012_S11P_20251111092011_M5358ACSH101811_RBGEUFRF26/dpll_52084/txpa_54184.png","plot")</f>
        <v>plot</v>
      </c>
    </row>
    <row r="491" spans="1:29" x14ac:dyDescent="0.35">
      <c r="A491" t="s">
        <v>48</v>
      </c>
      <c r="B491">
        <v>52084</v>
      </c>
      <c r="C491" t="s">
        <v>52</v>
      </c>
      <c r="D491">
        <v>54185</v>
      </c>
      <c r="E491" t="s">
        <v>205</v>
      </c>
      <c r="F491">
        <v>12242</v>
      </c>
      <c r="G491">
        <v>0.83302854545805671</v>
      </c>
      <c r="H491">
        <v>0</v>
      </c>
      <c r="I491">
        <v>0</v>
      </c>
      <c r="J491">
        <v>0.72148542352122791</v>
      </c>
      <c r="K491">
        <v>0</v>
      </c>
      <c r="L491">
        <v>0</v>
      </c>
      <c r="M491">
        <v>0.52978816956646291</v>
      </c>
      <c r="N491">
        <v>0</v>
      </c>
      <c r="O491">
        <v>0</v>
      </c>
      <c r="P491">
        <v>0.69393655754796568</v>
      </c>
      <c r="Q491">
        <v>1.5076799935963661</v>
      </c>
      <c r="R491">
        <v>-4.9160808637194657</v>
      </c>
      <c r="S491">
        <v>0.19308720445890651</v>
      </c>
      <c r="T491">
        <v>0.1490946875393063</v>
      </c>
      <c r="U491">
        <v>4.3297428452050317</v>
      </c>
      <c r="V491">
        <v>0.19284847807112951</v>
      </c>
      <c r="W491">
        <v>1.6117858014131681</v>
      </c>
      <c r="X491">
        <v>0.34903220756195458</v>
      </c>
      <c r="Z491" t="s">
        <v>392</v>
      </c>
      <c r="AA491">
        <v>9400</v>
      </c>
      <c r="AB491" t="s">
        <v>2910</v>
      </c>
      <c r="AC491" t="str">
        <f>HYPERLINK("plots/3FT6Y578R01_012_S11P_20251111092011_M5358ACSH101811_RBGEUFRF26/dpll_52084/txpa_54185.png","plot")</f>
        <v>plot</v>
      </c>
    </row>
    <row r="492" spans="1:29" x14ac:dyDescent="0.35">
      <c r="A492" t="s">
        <v>48</v>
      </c>
      <c r="B492">
        <v>52084</v>
      </c>
      <c r="C492" t="s">
        <v>52</v>
      </c>
      <c r="D492">
        <v>54186</v>
      </c>
      <c r="E492" t="s">
        <v>206</v>
      </c>
      <c r="F492">
        <v>12238</v>
      </c>
      <c r="G492">
        <v>0.82817966133246723</v>
      </c>
      <c r="H492">
        <v>0</v>
      </c>
      <c r="I492">
        <v>0</v>
      </c>
      <c r="J492">
        <v>0.71387832170567223</v>
      </c>
      <c r="K492">
        <v>0</v>
      </c>
      <c r="L492">
        <v>0</v>
      </c>
      <c r="M492">
        <v>0.52335068423366615</v>
      </c>
      <c r="N492">
        <v>0</v>
      </c>
      <c r="O492">
        <v>0</v>
      </c>
      <c r="P492">
        <v>0.68588155144476015</v>
      </c>
      <c r="Q492">
        <v>1.490013283374682</v>
      </c>
      <c r="R492">
        <v>-4.8586059091415734</v>
      </c>
      <c r="S492">
        <v>0.19444529911035979</v>
      </c>
      <c r="T492">
        <v>0.1493479387508399</v>
      </c>
      <c r="U492">
        <v>4.3298076863049522</v>
      </c>
      <c r="V492">
        <v>0.19284256140431191</v>
      </c>
      <c r="W492">
        <v>1.5928650579106061</v>
      </c>
      <c r="X492">
        <v>0.34695126131221488</v>
      </c>
      <c r="Z492" t="s">
        <v>392</v>
      </c>
      <c r="AA492">
        <v>9400</v>
      </c>
      <c r="AB492" t="s">
        <v>2911</v>
      </c>
      <c r="AC492" t="str">
        <f>HYPERLINK("plots/3FT6Y578R01_012_S11P_20251111092011_M5358ACSH101811_RBGEUFRF26/dpll_52084/txpa_54186.png","plot")</f>
        <v>plot</v>
      </c>
    </row>
    <row r="493" spans="1:29" x14ac:dyDescent="0.35">
      <c r="A493" t="s">
        <v>48</v>
      </c>
      <c r="B493">
        <v>52084</v>
      </c>
      <c r="C493" t="s">
        <v>52</v>
      </c>
      <c r="D493">
        <v>54187</v>
      </c>
      <c r="E493" t="s">
        <v>207</v>
      </c>
      <c r="F493">
        <v>12242</v>
      </c>
      <c r="G493">
        <v>0.81900944960313093</v>
      </c>
      <c r="H493">
        <v>0</v>
      </c>
      <c r="I493">
        <v>0</v>
      </c>
      <c r="J493">
        <v>0.71888192821790287</v>
      </c>
      <c r="K493">
        <v>0</v>
      </c>
      <c r="L493">
        <v>0</v>
      </c>
      <c r="M493">
        <v>0.52536339890543893</v>
      </c>
      <c r="N493">
        <v>0</v>
      </c>
      <c r="O493">
        <v>0</v>
      </c>
      <c r="P493">
        <v>0.67077647853922351</v>
      </c>
      <c r="Q493">
        <v>1.6077748789518469</v>
      </c>
      <c r="R493">
        <v>-3.5265161745820759</v>
      </c>
      <c r="S493">
        <v>0.2172201564737542</v>
      </c>
      <c r="T493">
        <v>0.1624611699910179</v>
      </c>
      <c r="U493">
        <v>4.3297379161084786</v>
      </c>
      <c r="V493">
        <v>0.19285731086450791</v>
      </c>
      <c r="W493">
        <v>3.4347276793824539</v>
      </c>
      <c r="X493">
        <v>0.37859287188983559</v>
      </c>
      <c r="Z493" t="s">
        <v>392</v>
      </c>
      <c r="AA493">
        <v>9400</v>
      </c>
      <c r="AB493" t="s">
        <v>2912</v>
      </c>
      <c r="AC493" t="str">
        <f>HYPERLINK("plots/3FT6Y578R01_012_S11P_20251111092011_M5358ACSH101811_RBGEUFRF26/dpll_52084/txpa_54187.png","plot")</f>
        <v>plot</v>
      </c>
    </row>
    <row r="494" spans="1:29" x14ac:dyDescent="0.35">
      <c r="A494" t="s">
        <v>48</v>
      </c>
      <c r="B494">
        <v>52084</v>
      </c>
      <c r="C494" t="s">
        <v>52</v>
      </c>
      <c r="D494">
        <v>54188</v>
      </c>
      <c r="E494" t="s">
        <v>208</v>
      </c>
      <c r="F494">
        <v>12242</v>
      </c>
      <c r="G494">
        <v>0.83276816494611949</v>
      </c>
      <c r="H494">
        <v>0</v>
      </c>
      <c r="I494">
        <v>0</v>
      </c>
      <c r="J494">
        <v>0.72930842964081111</v>
      </c>
      <c r="K494">
        <v>0</v>
      </c>
      <c r="L494">
        <v>0</v>
      </c>
      <c r="M494">
        <v>0.53672958809415594</v>
      </c>
      <c r="N494">
        <v>0</v>
      </c>
      <c r="O494">
        <v>0</v>
      </c>
      <c r="P494">
        <v>0.69350281654772727</v>
      </c>
      <c r="Q494">
        <v>1.6350481020146299</v>
      </c>
      <c r="R494">
        <v>-3.6106158612508512</v>
      </c>
      <c r="S494">
        <v>0.20963923859344999</v>
      </c>
      <c r="T494">
        <v>0.15921498224323019</v>
      </c>
      <c r="U494">
        <v>4.3296987265969609</v>
      </c>
      <c r="V494">
        <v>0.1928726506826407</v>
      </c>
      <c r="W494">
        <v>3.4686498239666719</v>
      </c>
      <c r="X494">
        <v>0.37868409805217063</v>
      </c>
      <c r="Z494" t="s">
        <v>392</v>
      </c>
      <c r="AA494">
        <v>9400</v>
      </c>
      <c r="AB494" t="s">
        <v>2913</v>
      </c>
      <c r="AC494" t="str">
        <f>HYPERLINK("plots/3FT6Y578R01_012_S11P_20251111092011_M5358ACSH101811_RBGEUFRF26/dpll_52084/txpa_54188.png","plot")</f>
        <v>plot</v>
      </c>
    </row>
    <row r="495" spans="1:29" x14ac:dyDescent="0.35">
      <c r="A495" t="s">
        <v>48</v>
      </c>
      <c r="B495">
        <v>52084</v>
      </c>
      <c r="C495" t="s">
        <v>52</v>
      </c>
      <c r="D495">
        <v>54189</v>
      </c>
      <c r="E495" t="s">
        <v>209</v>
      </c>
      <c r="F495">
        <v>12243</v>
      </c>
      <c r="G495">
        <v>0.83091270062497391</v>
      </c>
      <c r="H495">
        <v>0</v>
      </c>
      <c r="I495">
        <v>0</v>
      </c>
      <c r="J495">
        <v>0.72579033863380982</v>
      </c>
      <c r="K495">
        <v>0</v>
      </c>
      <c r="L495">
        <v>0</v>
      </c>
      <c r="M495">
        <v>0.53304693168986417</v>
      </c>
      <c r="N495">
        <v>0</v>
      </c>
      <c r="O495">
        <v>0</v>
      </c>
      <c r="P495">
        <v>0.6904159160598875</v>
      </c>
      <c r="Q495">
        <v>1.6157859476012331</v>
      </c>
      <c r="R495">
        <v>-3.5231064034024322</v>
      </c>
      <c r="S495">
        <v>0.20867278113867679</v>
      </c>
      <c r="T495">
        <v>0.15780170236270691</v>
      </c>
      <c r="U495">
        <v>4.3297121556807969</v>
      </c>
      <c r="V495">
        <v>0.19287049691405411</v>
      </c>
      <c r="W495">
        <v>3.472781654904844</v>
      </c>
      <c r="X495">
        <v>0.37505436899230982</v>
      </c>
      <c r="Z495" t="s">
        <v>392</v>
      </c>
      <c r="AA495">
        <v>9400</v>
      </c>
      <c r="AB495" t="s">
        <v>2914</v>
      </c>
      <c r="AC495" t="str">
        <f>HYPERLINK("plots/3FT6Y578R01_012_S11P_20251111092011_M5358ACSH101811_RBGEUFRF26/dpll_52084/txpa_54189.png","plot")</f>
        <v>plot</v>
      </c>
    </row>
    <row r="496" spans="1:29" x14ac:dyDescent="0.35">
      <c r="A496" t="s">
        <v>48</v>
      </c>
      <c r="B496">
        <v>52084</v>
      </c>
      <c r="C496" t="s">
        <v>52</v>
      </c>
      <c r="D496">
        <v>54190</v>
      </c>
      <c r="E496" t="s">
        <v>210</v>
      </c>
      <c r="F496">
        <v>12242</v>
      </c>
      <c r="G496">
        <v>0.84121488822690837</v>
      </c>
      <c r="H496">
        <v>0</v>
      </c>
      <c r="I496">
        <v>0</v>
      </c>
      <c r="J496">
        <v>0.73304810964870559</v>
      </c>
      <c r="K496">
        <v>0</v>
      </c>
      <c r="L496">
        <v>0</v>
      </c>
      <c r="M496">
        <v>0.54030207571600497</v>
      </c>
      <c r="N496">
        <v>0</v>
      </c>
      <c r="O496">
        <v>0</v>
      </c>
      <c r="P496">
        <v>0.70764248817460995</v>
      </c>
      <c r="Q496">
        <v>1.6395199309874691</v>
      </c>
      <c r="R496">
        <v>-3.6019987725552292</v>
      </c>
      <c r="S496">
        <v>0.20324946655278431</v>
      </c>
      <c r="T496">
        <v>0.15557003062374741</v>
      </c>
      <c r="U496">
        <v>4.3297189133311553</v>
      </c>
      <c r="V496">
        <v>0.19287692535756709</v>
      </c>
      <c r="W496">
        <v>3.4966616814246039</v>
      </c>
      <c r="X496">
        <v>0.37591531935180789</v>
      </c>
      <c r="Z496" t="s">
        <v>392</v>
      </c>
      <c r="AA496">
        <v>9400</v>
      </c>
      <c r="AB496" t="s">
        <v>2915</v>
      </c>
      <c r="AC496" t="str">
        <f>HYPERLINK("plots/3FT6Y578R01_012_S11P_20251111092011_M5358ACSH101811_RBGEUFRF26/dpll_52084/txpa_54190.png","plot")</f>
        <v>plot</v>
      </c>
    </row>
    <row r="497" spans="1:29" x14ac:dyDescent="0.35">
      <c r="A497" t="s">
        <v>48</v>
      </c>
      <c r="B497">
        <v>52084</v>
      </c>
      <c r="C497" t="s">
        <v>52</v>
      </c>
      <c r="D497">
        <v>54191</v>
      </c>
      <c r="E497" t="s">
        <v>211</v>
      </c>
      <c r="F497">
        <v>12240</v>
      </c>
      <c r="G497">
        <v>0.84115871802994047</v>
      </c>
      <c r="H497">
        <v>0</v>
      </c>
      <c r="I497">
        <v>0</v>
      </c>
      <c r="J497">
        <v>0.72968136664860694</v>
      </c>
      <c r="K497">
        <v>0</v>
      </c>
      <c r="L497">
        <v>0</v>
      </c>
      <c r="M497">
        <v>0.53637746777530915</v>
      </c>
      <c r="N497">
        <v>0</v>
      </c>
      <c r="O497">
        <v>0</v>
      </c>
      <c r="P497">
        <v>0.70754798891777293</v>
      </c>
      <c r="Q497">
        <v>1.6451209491132599</v>
      </c>
      <c r="R497">
        <v>-3.6515060548857781</v>
      </c>
      <c r="S497">
        <v>0.20395346073116499</v>
      </c>
      <c r="T497">
        <v>0.1570156037659815</v>
      </c>
      <c r="U497">
        <v>4.3297345467320261</v>
      </c>
      <c r="V497">
        <v>0.1928420022508596</v>
      </c>
      <c r="W497">
        <v>3.4714309520424842</v>
      </c>
      <c r="X497">
        <v>0.37715642835499152</v>
      </c>
      <c r="Z497" t="s">
        <v>392</v>
      </c>
      <c r="AA497">
        <v>9400</v>
      </c>
      <c r="AB497" t="s">
        <v>2916</v>
      </c>
      <c r="AC497" t="str">
        <f>HYPERLINK("plots/3FT6Y578R01_012_S11P_20251111092011_M5358ACSH101811_RBGEUFRF26/dpll_52084/txpa_54191.png","plot")</f>
        <v>plot</v>
      </c>
    </row>
    <row r="498" spans="1:29" x14ac:dyDescent="0.35">
      <c r="A498" t="s">
        <v>48</v>
      </c>
      <c r="B498">
        <v>52084</v>
      </c>
      <c r="C498" t="s">
        <v>52</v>
      </c>
      <c r="D498">
        <v>54192</v>
      </c>
      <c r="E498" t="s">
        <v>212</v>
      </c>
      <c r="F498">
        <v>12240</v>
      </c>
      <c r="G498">
        <v>0.84376882912858142</v>
      </c>
      <c r="H498">
        <v>0</v>
      </c>
      <c r="I498">
        <v>0</v>
      </c>
      <c r="J498">
        <v>0.73575683444006279</v>
      </c>
      <c r="K498">
        <v>0</v>
      </c>
      <c r="L498">
        <v>0</v>
      </c>
      <c r="M498">
        <v>0.54295313986196392</v>
      </c>
      <c r="N498">
        <v>0</v>
      </c>
      <c r="O498">
        <v>0</v>
      </c>
      <c r="P498">
        <v>0.71194583700901726</v>
      </c>
      <c r="Q498">
        <v>1.6533628088338921</v>
      </c>
      <c r="R498">
        <v>-3.6848270778137491</v>
      </c>
      <c r="S498">
        <v>0.20277391335948031</v>
      </c>
      <c r="T498">
        <v>0.15633352538297299</v>
      </c>
      <c r="U498">
        <v>4.329689001062091</v>
      </c>
      <c r="V498">
        <v>0.19281821557856541</v>
      </c>
      <c r="W498">
        <v>3.4737196903594771</v>
      </c>
      <c r="X498">
        <v>0.37782678797528108</v>
      </c>
      <c r="Z498" t="s">
        <v>392</v>
      </c>
      <c r="AA498">
        <v>9400</v>
      </c>
      <c r="AB498" t="s">
        <v>2917</v>
      </c>
      <c r="AC498" t="str">
        <f>HYPERLINK("plots/3FT6Y578R01_012_S11P_20251111092011_M5358ACSH101811_RBGEUFRF26/dpll_52084/txpa_54192.png","plot")</f>
        <v>plot</v>
      </c>
    </row>
    <row r="499" spans="1:29" x14ac:dyDescent="0.35">
      <c r="A499" t="s">
        <v>48</v>
      </c>
      <c r="B499">
        <v>52084</v>
      </c>
      <c r="C499" t="s">
        <v>52</v>
      </c>
      <c r="D499">
        <v>54193</v>
      </c>
      <c r="E499" t="s">
        <v>213</v>
      </c>
      <c r="F499">
        <v>12242</v>
      </c>
      <c r="G499">
        <v>0.84224079838163202</v>
      </c>
      <c r="H499">
        <v>0</v>
      </c>
      <c r="I499">
        <v>0</v>
      </c>
      <c r="J499">
        <v>0.73073057871350222</v>
      </c>
      <c r="K499">
        <v>0</v>
      </c>
      <c r="L499">
        <v>0</v>
      </c>
      <c r="M499">
        <v>0.53863552281797145</v>
      </c>
      <c r="N499">
        <v>0</v>
      </c>
      <c r="O499">
        <v>0</v>
      </c>
      <c r="P499">
        <v>0.70936956245852889</v>
      </c>
      <c r="Q499">
        <v>1.648208047619844</v>
      </c>
      <c r="R499">
        <v>-3.6578247937005059</v>
      </c>
      <c r="S499">
        <v>0.20344395051252701</v>
      </c>
      <c r="T499">
        <v>0.15665822340104199</v>
      </c>
      <c r="U499">
        <v>4.3297428452050317</v>
      </c>
      <c r="V499">
        <v>0.19284847807112951</v>
      </c>
      <c r="W499">
        <v>3.4784922078908669</v>
      </c>
      <c r="X499">
        <v>0.37739137564795328</v>
      </c>
      <c r="Z499" t="s">
        <v>392</v>
      </c>
      <c r="AA499">
        <v>9400</v>
      </c>
      <c r="AB499" t="s">
        <v>2918</v>
      </c>
      <c r="AC499" t="str">
        <f>HYPERLINK("plots/3FT6Y578R01_012_S11P_20251111092011_M5358ACSH101811_RBGEUFRF26/dpll_52084/txpa_54193.png","plot")</f>
        <v>plot</v>
      </c>
    </row>
    <row r="500" spans="1:29" x14ac:dyDescent="0.35">
      <c r="A500" t="s">
        <v>48</v>
      </c>
      <c r="B500">
        <v>52084</v>
      </c>
      <c r="C500" t="s">
        <v>52</v>
      </c>
      <c r="D500">
        <v>54194</v>
      </c>
      <c r="E500" t="s">
        <v>214</v>
      </c>
      <c r="F500">
        <v>12238</v>
      </c>
      <c r="G500">
        <v>0.83762624903514338</v>
      </c>
      <c r="H500">
        <v>0</v>
      </c>
      <c r="I500">
        <v>0</v>
      </c>
      <c r="J500">
        <v>0.72345012471999037</v>
      </c>
      <c r="K500">
        <v>0</v>
      </c>
      <c r="L500">
        <v>0</v>
      </c>
      <c r="M500">
        <v>0.53226593669904232</v>
      </c>
      <c r="N500">
        <v>0</v>
      </c>
      <c r="O500">
        <v>0</v>
      </c>
      <c r="P500">
        <v>0.70161773307268405</v>
      </c>
      <c r="Q500">
        <v>1.62851541010567</v>
      </c>
      <c r="R500">
        <v>-3.5901367385034502</v>
      </c>
      <c r="S500">
        <v>0.20479212169546229</v>
      </c>
      <c r="T500">
        <v>0.1569855824816038</v>
      </c>
      <c r="U500">
        <v>4.3298076863049522</v>
      </c>
      <c r="V500">
        <v>0.19284256140431191</v>
      </c>
      <c r="W500">
        <v>3.461021801438144</v>
      </c>
      <c r="X500">
        <v>0.37492507348345389</v>
      </c>
      <c r="Z500" t="s">
        <v>392</v>
      </c>
      <c r="AA500">
        <v>9400</v>
      </c>
      <c r="AB500" t="s">
        <v>2919</v>
      </c>
      <c r="AC500" t="str">
        <f>HYPERLINK("plots/3FT6Y578R01_012_S11P_20251111092011_M5358ACSH101811_RBGEUFRF26/dpll_52084/txpa_54194.png","plot")</f>
        <v>plot</v>
      </c>
    </row>
    <row r="501" spans="1:29" x14ac:dyDescent="0.35">
      <c r="A501" t="s">
        <v>48</v>
      </c>
      <c r="B501">
        <v>52084</v>
      </c>
      <c r="C501" t="s">
        <v>52</v>
      </c>
      <c r="D501">
        <v>54195</v>
      </c>
      <c r="E501" t="s">
        <v>215</v>
      </c>
      <c r="F501">
        <v>12241</v>
      </c>
      <c r="G501">
        <v>0.83015070363532084</v>
      </c>
      <c r="H501">
        <v>0</v>
      </c>
      <c r="I501">
        <v>0</v>
      </c>
      <c r="J501">
        <v>0.72776124230633843</v>
      </c>
      <c r="K501">
        <v>0</v>
      </c>
      <c r="L501">
        <v>0</v>
      </c>
      <c r="M501">
        <v>0.53431265488412449</v>
      </c>
      <c r="N501">
        <v>0</v>
      </c>
      <c r="O501">
        <v>0</v>
      </c>
      <c r="P501">
        <v>0.68915019074621831</v>
      </c>
      <c r="Q501">
        <v>1.8157289231038991</v>
      </c>
      <c r="R501">
        <v>-2.1938611620493371</v>
      </c>
      <c r="S501">
        <v>0.23516488869685531</v>
      </c>
      <c r="T501">
        <v>0.17558440851089949</v>
      </c>
      <c r="U501">
        <v>4.3297594032350304</v>
      </c>
      <c r="V501">
        <v>0.1928505341528253</v>
      </c>
      <c r="W501">
        <v>5.6678082164855823</v>
      </c>
      <c r="X501">
        <v>0.42180810202763569</v>
      </c>
      <c r="Z501" t="s">
        <v>392</v>
      </c>
      <c r="AA501">
        <v>9400</v>
      </c>
      <c r="AB501" t="s">
        <v>2920</v>
      </c>
      <c r="AC501" t="str">
        <f>HYPERLINK("plots/3FT6Y578R01_012_S11P_20251111092011_M5358ACSH101811_RBGEUFRF26/dpll_52084/txpa_54195.png","plot")</f>
        <v>plot</v>
      </c>
    </row>
    <row r="502" spans="1:29" x14ac:dyDescent="0.35">
      <c r="A502" t="s">
        <v>48</v>
      </c>
      <c r="B502">
        <v>52084</v>
      </c>
      <c r="C502" t="s">
        <v>52</v>
      </c>
      <c r="D502">
        <v>54196</v>
      </c>
      <c r="E502" t="s">
        <v>216</v>
      </c>
      <c r="F502">
        <v>12239</v>
      </c>
      <c r="G502">
        <v>0.84250516701887967</v>
      </c>
      <c r="H502">
        <v>0</v>
      </c>
      <c r="I502">
        <v>0</v>
      </c>
      <c r="J502">
        <v>0.73656349574982571</v>
      </c>
      <c r="K502">
        <v>0</v>
      </c>
      <c r="L502">
        <v>0</v>
      </c>
      <c r="M502">
        <v>0.54416935061856553</v>
      </c>
      <c r="N502">
        <v>0</v>
      </c>
      <c r="O502">
        <v>0</v>
      </c>
      <c r="P502">
        <v>0.70981495645351034</v>
      </c>
      <c r="Q502">
        <v>1.8406543650888989</v>
      </c>
      <c r="R502">
        <v>-2.266799490700202</v>
      </c>
      <c r="S502">
        <v>0.22694086634610661</v>
      </c>
      <c r="T502">
        <v>0.17222540621683399</v>
      </c>
      <c r="U502">
        <v>4.3297724721791004</v>
      </c>
      <c r="V502">
        <v>0.19283828792463359</v>
      </c>
      <c r="W502">
        <v>5.7028151100580118</v>
      </c>
      <c r="X502">
        <v>0.42130143567035572</v>
      </c>
      <c r="Z502" t="s">
        <v>392</v>
      </c>
      <c r="AA502">
        <v>9400</v>
      </c>
      <c r="AB502" t="s">
        <v>2921</v>
      </c>
      <c r="AC502" t="str">
        <f>HYPERLINK("plots/3FT6Y578R01_012_S11P_20251111092011_M5358ACSH101811_RBGEUFRF26/dpll_52084/txpa_54196.png","plot")</f>
        <v>plot</v>
      </c>
    </row>
    <row r="503" spans="1:29" x14ac:dyDescent="0.35">
      <c r="A503" t="s">
        <v>48</v>
      </c>
      <c r="B503">
        <v>52084</v>
      </c>
      <c r="C503" t="s">
        <v>52</v>
      </c>
      <c r="D503">
        <v>54197</v>
      </c>
      <c r="E503" t="s">
        <v>217</v>
      </c>
      <c r="F503">
        <v>12241</v>
      </c>
      <c r="G503">
        <v>0.84097595520641588</v>
      </c>
      <c r="H503">
        <v>0</v>
      </c>
      <c r="I503">
        <v>0</v>
      </c>
      <c r="J503">
        <v>0.73331279306064057</v>
      </c>
      <c r="K503">
        <v>0</v>
      </c>
      <c r="L503">
        <v>0</v>
      </c>
      <c r="M503">
        <v>0.54070398681791343</v>
      </c>
      <c r="N503">
        <v>0</v>
      </c>
      <c r="O503">
        <v>0</v>
      </c>
      <c r="P503">
        <v>0.70724055723534363</v>
      </c>
      <c r="Q503">
        <v>1.8220253114405871</v>
      </c>
      <c r="R503">
        <v>-2.1809411979384539</v>
      </c>
      <c r="S503">
        <v>0.2260629491628024</v>
      </c>
      <c r="T503">
        <v>0.1708725429537139</v>
      </c>
      <c r="U503">
        <v>4.3297594032350304</v>
      </c>
      <c r="V503">
        <v>0.1928505341528253</v>
      </c>
      <c r="W503">
        <v>5.7079900272036603</v>
      </c>
      <c r="X503">
        <v>0.41782235553338709</v>
      </c>
      <c r="Z503" t="s">
        <v>392</v>
      </c>
      <c r="AA503">
        <v>9400</v>
      </c>
      <c r="AB503" t="s">
        <v>2922</v>
      </c>
      <c r="AC503" t="str">
        <f>HYPERLINK("plots/3FT6Y578R01_012_S11P_20251111092011_M5358ACSH101811_RBGEUFRF26/dpll_52084/txpa_54197.png","plot")</f>
        <v>plot</v>
      </c>
    </row>
    <row r="504" spans="1:29" x14ac:dyDescent="0.35">
      <c r="A504" t="s">
        <v>48</v>
      </c>
      <c r="B504">
        <v>52084</v>
      </c>
      <c r="C504" t="s">
        <v>52</v>
      </c>
      <c r="D504">
        <v>54198</v>
      </c>
      <c r="E504" t="s">
        <v>218</v>
      </c>
      <c r="F504">
        <v>12242</v>
      </c>
      <c r="G504">
        <v>0.8498325168551113</v>
      </c>
      <c r="H504">
        <v>0</v>
      </c>
      <c r="I504">
        <v>0</v>
      </c>
      <c r="J504">
        <v>0.74023651166756865</v>
      </c>
      <c r="K504">
        <v>0</v>
      </c>
      <c r="L504">
        <v>0</v>
      </c>
      <c r="M504">
        <v>0.54778447614960279</v>
      </c>
      <c r="N504">
        <v>0</v>
      </c>
      <c r="O504">
        <v>0</v>
      </c>
      <c r="P504">
        <v>0.72221530670429301</v>
      </c>
      <c r="Q504">
        <v>1.8477266055524579</v>
      </c>
      <c r="R504">
        <v>-2.272051837587278</v>
      </c>
      <c r="S504">
        <v>0.22101464866797429</v>
      </c>
      <c r="T504">
        <v>0.16873387552252619</v>
      </c>
      <c r="U504">
        <v>4.3297189133311553</v>
      </c>
      <c r="V504">
        <v>0.19287692535756709</v>
      </c>
      <c r="W504">
        <v>5.728084993138375</v>
      </c>
      <c r="X504">
        <v>0.41935771991776161</v>
      </c>
      <c r="Z504" t="s">
        <v>392</v>
      </c>
      <c r="AA504">
        <v>9400</v>
      </c>
      <c r="AB504" t="s">
        <v>2923</v>
      </c>
      <c r="AC504" t="str">
        <f>HYPERLINK("plots/3FT6Y578R01_012_S11P_20251111092011_M5358ACSH101811_RBGEUFRF26/dpll_52084/txpa_54198.png","plot")</f>
        <v>plot</v>
      </c>
    </row>
    <row r="505" spans="1:29" x14ac:dyDescent="0.35">
      <c r="A505" t="s">
        <v>48</v>
      </c>
      <c r="B505">
        <v>52084</v>
      </c>
      <c r="C505" t="s">
        <v>52</v>
      </c>
      <c r="D505">
        <v>54199</v>
      </c>
      <c r="E505" t="s">
        <v>219</v>
      </c>
      <c r="F505">
        <v>12240</v>
      </c>
      <c r="G505">
        <v>0.85017208293740376</v>
      </c>
      <c r="H505">
        <v>0</v>
      </c>
      <c r="I505">
        <v>0</v>
      </c>
      <c r="J505">
        <v>0.73753895022747651</v>
      </c>
      <c r="K505">
        <v>0</v>
      </c>
      <c r="L505">
        <v>0</v>
      </c>
      <c r="M505">
        <v>0.54459475652950784</v>
      </c>
      <c r="N505">
        <v>0</v>
      </c>
      <c r="O505">
        <v>0</v>
      </c>
      <c r="P505">
        <v>0.72279257060612379</v>
      </c>
      <c r="Q505">
        <v>1.853730171705978</v>
      </c>
      <c r="R505">
        <v>-2.32463643019604</v>
      </c>
      <c r="S505">
        <v>0.22137368887592451</v>
      </c>
      <c r="T505">
        <v>0.16999284646212429</v>
      </c>
      <c r="U505">
        <v>4.3297345467320261</v>
      </c>
      <c r="V505">
        <v>0.1928420022508596</v>
      </c>
      <c r="W505">
        <v>5.7015231345588244</v>
      </c>
      <c r="X505">
        <v>0.42047609550939691</v>
      </c>
      <c r="Z505" t="s">
        <v>392</v>
      </c>
      <c r="AA505">
        <v>9400</v>
      </c>
      <c r="AB505" t="s">
        <v>2924</v>
      </c>
      <c r="AC505" t="str">
        <f>HYPERLINK("plots/3FT6Y578R01_012_S11P_20251111092011_M5358ACSH101811_RBGEUFRF26/dpll_52084/txpa_54199.png","plot")</f>
        <v>plot</v>
      </c>
    </row>
    <row r="506" spans="1:29" x14ac:dyDescent="0.35">
      <c r="A506" t="s">
        <v>48</v>
      </c>
      <c r="B506">
        <v>52084</v>
      </c>
      <c r="C506" t="s">
        <v>52</v>
      </c>
      <c r="D506">
        <v>54200</v>
      </c>
      <c r="E506" t="s">
        <v>220</v>
      </c>
      <c r="F506">
        <v>12240</v>
      </c>
      <c r="G506">
        <v>0.85200011420791921</v>
      </c>
      <c r="H506">
        <v>0</v>
      </c>
      <c r="I506">
        <v>0</v>
      </c>
      <c r="J506">
        <v>0.74194282107048459</v>
      </c>
      <c r="K506">
        <v>0</v>
      </c>
      <c r="L506">
        <v>0</v>
      </c>
      <c r="M506">
        <v>0.5496118714491981</v>
      </c>
      <c r="N506">
        <v>0</v>
      </c>
      <c r="O506">
        <v>0</v>
      </c>
      <c r="P506">
        <v>0.72590419461030742</v>
      </c>
      <c r="Q506">
        <v>1.86079800598718</v>
      </c>
      <c r="R506">
        <v>-2.349801787417046</v>
      </c>
      <c r="S506">
        <v>0.22046573044186071</v>
      </c>
      <c r="T506">
        <v>0.16943373840159051</v>
      </c>
      <c r="U506">
        <v>4.329689001062091</v>
      </c>
      <c r="V506">
        <v>0.19281821557856541</v>
      </c>
      <c r="W506">
        <v>5.7068748723039224</v>
      </c>
      <c r="X506">
        <v>0.42112171710230722</v>
      </c>
      <c r="Z506" t="s">
        <v>392</v>
      </c>
      <c r="AA506">
        <v>9400</v>
      </c>
      <c r="AB506" t="s">
        <v>2925</v>
      </c>
      <c r="AC506" t="str">
        <f>HYPERLINK("plots/3FT6Y578R01_012_S11P_20251111092011_M5358ACSH101811_RBGEUFRF26/dpll_52084/txpa_54200.png","plot")</f>
        <v>plot</v>
      </c>
    </row>
    <row r="507" spans="1:29" x14ac:dyDescent="0.35">
      <c r="A507" t="s">
        <v>48</v>
      </c>
      <c r="B507">
        <v>52084</v>
      </c>
      <c r="C507" t="s">
        <v>52</v>
      </c>
      <c r="D507">
        <v>54201</v>
      </c>
      <c r="E507" t="s">
        <v>221</v>
      </c>
      <c r="F507">
        <v>12241</v>
      </c>
      <c r="G507">
        <v>0.8510514681928778</v>
      </c>
      <c r="H507">
        <v>0</v>
      </c>
      <c r="I507">
        <v>0</v>
      </c>
      <c r="J507">
        <v>0.73741544062555964</v>
      </c>
      <c r="K507">
        <v>0</v>
      </c>
      <c r="L507">
        <v>0</v>
      </c>
      <c r="M507">
        <v>0.54572484841043423</v>
      </c>
      <c r="N507">
        <v>0</v>
      </c>
      <c r="O507">
        <v>0</v>
      </c>
      <c r="P507">
        <v>0.72428860151325292</v>
      </c>
      <c r="Q507">
        <v>1.856463578620692</v>
      </c>
      <c r="R507">
        <v>-2.326156462341026</v>
      </c>
      <c r="S507">
        <v>0.2208815401169916</v>
      </c>
      <c r="T507">
        <v>0.16959533670949231</v>
      </c>
      <c r="U507">
        <v>4.3297572162405036</v>
      </c>
      <c r="V507">
        <v>0.1928498001836009</v>
      </c>
      <c r="W507">
        <v>5.7118801138795847</v>
      </c>
      <c r="X507">
        <v>0.42067800076222139</v>
      </c>
      <c r="Z507" t="s">
        <v>392</v>
      </c>
      <c r="AA507">
        <v>9400</v>
      </c>
      <c r="AB507" t="s">
        <v>2926</v>
      </c>
      <c r="AC507" t="str">
        <f>HYPERLINK("plots/3FT6Y578R01_012_S11P_20251111092011_M5358ACSH101811_RBGEUFRF26/dpll_52084/txpa_54201.png","plot")</f>
        <v>plot</v>
      </c>
    </row>
    <row r="508" spans="1:29" x14ac:dyDescent="0.35">
      <c r="A508" t="s">
        <v>48</v>
      </c>
      <c r="B508">
        <v>52084</v>
      </c>
      <c r="C508" t="s">
        <v>52</v>
      </c>
      <c r="D508">
        <v>54202</v>
      </c>
      <c r="E508" t="s">
        <v>222</v>
      </c>
      <c r="F508">
        <v>12235</v>
      </c>
      <c r="G508">
        <v>0.84746444988712588</v>
      </c>
      <c r="H508">
        <v>0</v>
      </c>
      <c r="I508">
        <v>0</v>
      </c>
      <c r="J508">
        <v>0.7309947241034368</v>
      </c>
      <c r="K508">
        <v>0</v>
      </c>
      <c r="L508">
        <v>0</v>
      </c>
      <c r="M508">
        <v>0.54001734703130466</v>
      </c>
      <c r="N508">
        <v>0</v>
      </c>
      <c r="O508">
        <v>0</v>
      </c>
      <c r="P508">
        <v>0.71819599382248889</v>
      </c>
      <c r="Q508">
        <v>1.8344719849455771</v>
      </c>
      <c r="R508">
        <v>-2.2473439462822529</v>
      </c>
      <c r="S508">
        <v>0.22157368043955239</v>
      </c>
      <c r="T508">
        <v>0.16973222000251811</v>
      </c>
      <c r="U508">
        <v>4.3298668506742954</v>
      </c>
      <c r="V508">
        <v>0.19282917546891709</v>
      </c>
      <c r="W508">
        <v>5.6956754898242741</v>
      </c>
      <c r="X508">
        <v>0.41740950941953742</v>
      </c>
      <c r="Z508" t="s">
        <v>392</v>
      </c>
      <c r="AA508">
        <v>9400</v>
      </c>
      <c r="AB508" t="s">
        <v>2927</v>
      </c>
      <c r="AC508" t="str">
        <f>HYPERLINK("plots/3FT6Y578R01_012_S11P_20251111092011_M5358ACSH101811_RBGEUFRF26/dpll_52084/txpa_54202.png","plot")</f>
        <v>plot</v>
      </c>
    </row>
    <row r="509" spans="1:29" x14ac:dyDescent="0.35">
      <c r="A509" t="s">
        <v>48</v>
      </c>
      <c r="B509">
        <v>52084</v>
      </c>
      <c r="C509" t="s">
        <v>52</v>
      </c>
      <c r="D509">
        <v>54203</v>
      </c>
      <c r="E509" t="s">
        <v>223</v>
      </c>
      <c r="F509">
        <v>12239</v>
      </c>
      <c r="G509">
        <v>0.83352606348150293</v>
      </c>
      <c r="H509">
        <v>0</v>
      </c>
      <c r="I509">
        <v>0</v>
      </c>
      <c r="J509">
        <v>0.72954805604758877</v>
      </c>
      <c r="K509">
        <v>0</v>
      </c>
      <c r="L509">
        <v>0</v>
      </c>
      <c r="M509">
        <v>0.5362755395492953</v>
      </c>
      <c r="N509">
        <v>0</v>
      </c>
      <c r="O509">
        <v>0</v>
      </c>
      <c r="P509">
        <v>0.69476569850297043</v>
      </c>
      <c r="Q509">
        <v>1.9110879634260871</v>
      </c>
      <c r="R509">
        <v>-1.6229618385895941</v>
      </c>
      <c r="S509">
        <v>0.24424193770671521</v>
      </c>
      <c r="T509">
        <v>0.18231283398966269</v>
      </c>
      <c r="U509">
        <v>4.3298106825721048</v>
      </c>
      <c r="V509">
        <v>0.19282343640720981</v>
      </c>
      <c r="W509">
        <v>6.6516872407876448</v>
      </c>
      <c r="X509">
        <v>0.44210081067543228</v>
      </c>
      <c r="Z509" t="s">
        <v>392</v>
      </c>
      <c r="AA509">
        <v>9400</v>
      </c>
      <c r="AB509" t="s">
        <v>2928</v>
      </c>
      <c r="AC509" t="str">
        <f>HYPERLINK("plots/3FT6Y578R01_012_S11P_20251111092011_M5358ACSH101811_RBGEUFRF26/dpll_52084/txpa_54203.png","plot")</f>
        <v>plot</v>
      </c>
    </row>
    <row r="510" spans="1:29" x14ac:dyDescent="0.35">
      <c r="A510" t="s">
        <v>48</v>
      </c>
      <c r="B510">
        <v>52084</v>
      </c>
      <c r="C510" t="s">
        <v>52</v>
      </c>
      <c r="D510">
        <v>54204</v>
      </c>
      <c r="E510" t="s">
        <v>224</v>
      </c>
      <c r="F510">
        <v>12239</v>
      </c>
      <c r="G510">
        <v>0.8452159965251731</v>
      </c>
      <c r="H510">
        <v>0</v>
      </c>
      <c r="I510">
        <v>0</v>
      </c>
      <c r="J510">
        <v>0.73838310326164469</v>
      </c>
      <c r="K510">
        <v>0</v>
      </c>
      <c r="L510">
        <v>0</v>
      </c>
      <c r="M510">
        <v>0.54611855253102659</v>
      </c>
      <c r="N510">
        <v>0</v>
      </c>
      <c r="O510">
        <v>0</v>
      </c>
      <c r="P510">
        <v>0.71439008078204147</v>
      </c>
      <c r="Q510">
        <v>1.9380235840823901</v>
      </c>
      <c r="R510">
        <v>-1.7047273292680309</v>
      </c>
      <c r="S510">
        <v>0.2362944477736523</v>
      </c>
      <c r="T510">
        <v>0.17913537324309101</v>
      </c>
      <c r="U510">
        <v>4.3297724721791004</v>
      </c>
      <c r="V510">
        <v>0.19283828792463359</v>
      </c>
      <c r="W510">
        <v>6.6864738355257787</v>
      </c>
      <c r="X510">
        <v>0.44216525887874569</v>
      </c>
      <c r="Z510" t="s">
        <v>392</v>
      </c>
      <c r="AA510">
        <v>9400</v>
      </c>
      <c r="AB510" t="s">
        <v>2929</v>
      </c>
      <c r="AC510" t="str">
        <f>HYPERLINK("plots/3FT6Y578R01_012_S11P_20251111092011_M5358ACSH101811_RBGEUFRF26/dpll_52084/txpa_54204.png","plot")</f>
        <v>plot</v>
      </c>
    </row>
    <row r="511" spans="1:29" x14ac:dyDescent="0.35">
      <c r="A511" t="s">
        <v>48</v>
      </c>
      <c r="B511">
        <v>52084</v>
      </c>
      <c r="C511" t="s">
        <v>52</v>
      </c>
      <c r="D511">
        <v>54205</v>
      </c>
      <c r="E511" t="s">
        <v>225</v>
      </c>
      <c r="F511">
        <v>12239</v>
      </c>
      <c r="G511">
        <v>0.84449495513658557</v>
      </c>
      <c r="H511">
        <v>0</v>
      </c>
      <c r="I511">
        <v>0</v>
      </c>
      <c r="J511">
        <v>0.7350625583297149</v>
      </c>
      <c r="K511">
        <v>0</v>
      </c>
      <c r="L511">
        <v>0</v>
      </c>
      <c r="M511">
        <v>0.54264134201295133</v>
      </c>
      <c r="N511">
        <v>0</v>
      </c>
      <c r="O511">
        <v>0</v>
      </c>
      <c r="P511">
        <v>0.71317172925114369</v>
      </c>
      <c r="Q511">
        <v>1.918160271430094</v>
      </c>
      <c r="R511">
        <v>-1.612688184873774</v>
      </c>
      <c r="S511">
        <v>0.2345902387167523</v>
      </c>
      <c r="T511">
        <v>0.17745643740059411</v>
      </c>
      <c r="U511">
        <v>4.3297849079173139</v>
      </c>
      <c r="V511">
        <v>0.19285409751991289</v>
      </c>
      <c r="W511">
        <v>6.6925332093308274</v>
      </c>
      <c r="X511">
        <v>0.43804295785919972</v>
      </c>
      <c r="Z511" t="s">
        <v>392</v>
      </c>
      <c r="AA511">
        <v>9400</v>
      </c>
      <c r="AB511" t="s">
        <v>2930</v>
      </c>
      <c r="AC511" t="str">
        <f>HYPERLINK("plots/3FT6Y578R01_012_S11P_20251111092011_M5358ACSH101811_RBGEUFRF26/dpll_52084/txpa_54205.png","plot")</f>
        <v>plot</v>
      </c>
    </row>
    <row r="512" spans="1:29" x14ac:dyDescent="0.35">
      <c r="A512" t="s">
        <v>48</v>
      </c>
      <c r="B512">
        <v>52084</v>
      </c>
      <c r="C512" t="s">
        <v>52</v>
      </c>
      <c r="D512">
        <v>54206</v>
      </c>
      <c r="E512" t="s">
        <v>226</v>
      </c>
      <c r="F512">
        <v>12240</v>
      </c>
      <c r="G512">
        <v>0.85257156626171893</v>
      </c>
      <c r="H512">
        <v>0</v>
      </c>
      <c r="I512">
        <v>0</v>
      </c>
      <c r="J512">
        <v>0.74155349220203348</v>
      </c>
      <c r="K512">
        <v>0</v>
      </c>
      <c r="L512">
        <v>0</v>
      </c>
      <c r="M512">
        <v>0.54941429480314607</v>
      </c>
      <c r="N512">
        <v>0</v>
      </c>
      <c r="O512">
        <v>0</v>
      </c>
      <c r="P512">
        <v>0.72687827559796059</v>
      </c>
      <c r="Q512">
        <v>1.943587394792204</v>
      </c>
      <c r="R512">
        <v>-1.7038478519910389</v>
      </c>
      <c r="S512">
        <v>0.229760621393928</v>
      </c>
      <c r="T512">
        <v>0.1754423695333569</v>
      </c>
      <c r="U512">
        <v>4.3297635834967316</v>
      </c>
      <c r="V512">
        <v>0.1928599219077857</v>
      </c>
      <c r="W512">
        <v>6.7114260713235296</v>
      </c>
      <c r="X512">
        <v>0.43965823869091403</v>
      </c>
      <c r="Z512" t="s">
        <v>392</v>
      </c>
      <c r="AA512">
        <v>9400</v>
      </c>
      <c r="AB512" t="s">
        <v>2931</v>
      </c>
      <c r="AC512" t="str">
        <f>HYPERLINK("plots/3FT6Y578R01_012_S11P_20251111092011_M5358ACSH101811_RBGEUFRF26/dpll_52084/txpa_54206.png","plot")</f>
        <v>plot</v>
      </c>
    </row>
    <row r="513" spans="1:29" x14ac:dyDescent="0.35">
      <c r="A513" t="s">
        <v>48</v>
      </c>
      <c r="B513">
        <v>52084</v>
      </c>
      <c r="C513" t="s">
        <v>52</v>
      </c>
      <c r="D513">
        <v>54207</v>
      </c>
      <c r="E513" t="s">
        <v>227</v>
      </c>
      <c r="F513">
        <v>12239</v>
      </c>
      <c r="G513">
        <v>0.8528662637937362</v>
      </c>
      <c r="H513">
        <v>0</v>
      </c>
      <c r="I513">
        <v>0</v>
      </c>
      <c r="J513">
        <v>0.73919716917460243</v>
      </c>
      <c r="K513">
        <v>0</v>
      </c>
      <c r="L513">
        <v>0</v>
      </c>
      <c r="M513">
        <v>0.54656634639608226</v>
      </c>
      <c r="N513">
        <v>0</v>
      </c>
      <c r="O513">
        <v>0</v>
      </c>
      <c r="P513">
        <v>0.7273808639174868</v>
      </c>
      <c r="Q513">
        <v>1.951260605936503</v>
      </c>
      <c r="R513">
        <v>-1.7646903297516789</v>
      </c>
      <c r="S513">
        <v>0.23034624186323749</v>
      </c>
      <c r="T513">
        <v>0.17674618369343481</v>
      </c>
      <c r="U513">
        <v>4.3297560370945334</v>
      </c>
      <c r="V513">
        <v>0.1928352230179636</v>
      </c>
      <c r="W513">
        <v>6.6837920587466302</v>
      </c>
      <c r="X513">
        <v>0.44118496660683099</v>
      </c>
      <c r="Z513" t="s">
        <v>392</v>
      </c>
      <c r="AA513">
        <v>9400</v>
      </c>
      <c r="AB513" t="s">
        <v>2932</v>
      </c>
      <c r="AC513" t="str">
        <f>HYPERLINK("plots/3FT6Y578R01_012_S11P_20251111092011_M5358ACSH101811_RBGEUFRF26/dpll_52084/txpa_54207.png","plot")</f>
        <v>plot</v>
      </c>
    </row>
    <row r="514" spans="1:29" x14ac:dyDescent="0.35">
      <c r="A514" t="s">
        <v>48</v>
      </c>
      <c r="B514">
        <v>52084</v>
      </c>
      <c r="C514" t="s">
        <v>52</v>
      </c>
      <c r="D514">
        <v>54208</v>
      </c>
      <c r="E514" t="s">
        <v>228</v>
      </c>
      <c r="F514">
        <v>12240</v>
      </c>
      <c r="G514">
        <v>0.8542711276698286</v>
      </c>
      <c r="H514">
        <v>0</v>
      </c>
      <c r="I514">
        <v>0</v>
      </c>
      <c r="J514">
        <v>0.74302923174107494</v>
      </c>
      <c r="K514">
        <v>0</v>
      </c>
      <c r="L514">
        <v>0</v>
      </c>
      <c r="M514">
        <v>0.55103141808890521</v>
      </c>
      <c r="N514">
        <v>0</v>
      </c>
      <c r="O514">
        <v>0</v>
      </c>
      <c r="P514">
        <v>0.72977915957028061</v>
      </c>
      <c r="Q514">
        <v>1.95835233975196</v>
      </c>
      <c r="R514">
        <v>-1.788961242572715</v>
      </c>
      <c r="S514">
        <v>0.22976551174499901</v>
      </c>
      <c r="T514">
        <v>0.17630259238567381</v>
      </c>
      <c r="U514">
        <v>4.329689001062091</v>
      </c>
      <c r="V514">
        <v>0.19281821557856541</v>
      </c>
      <c r="W514">
        <v>6.6900953430555559</v>
      </c>
      <c r="X514">
        <v>0.44202126396928149</v>
      </c>
      <c r="Z514" t="s">
        <v>392</v>
      </c>
      <c r="AA514">
        <v>9400</v>
      </c>
      <c r="AB514" t="s">
        <v>2933</v>
      </c>
      <c r="AC514" t="str">
        <f>HYPERLINK("plots/3FT6Y578R01_012_S11P_20251111092011_M5358ACSH101811_RBGEUFRF26/dpll_52084/txpa_54208.png","plot")</f>
        <v>plot</v>
      </c>
    </row>
    <row r="515" spans="1:29" x14ac:dyDescent="0.35">
      <c r="A515" t="s">
        <v>48</v>
      </c>
      <c r="B515">
        <v>52084</v>
      </c>
      <c r="C515" t="s">
        <v>52</v>
      </c>
      <c r="D515">
        <v>54209</v>
      </c>
      <c r="E515" t="s">
        <v>229</v>
      </c>
      <c r="F515">
        <v>12240</v>
      </c>
      <c r="G515">
        <v>0.85363971161559982</v>
      </c>
      <c r="H515">
        <v>0</v>
      </c>
      <c r="I515">
        <v>0</v>
      </c>
      <c r="J515">
        <v>0.73885262525128059</v>
      </c>
      <c r="K515">
        <v>0</v>
      </c>
      <c r="L515">
        <v>0</v>
      </c>
      <c r="M515">
        <v>0.54750476509119173</v>
      </c>
      <c r="N515">
        <v>0</v>
      </c>
      <c r="O515">
        <v>0</v>
      </c>
      <c r="P515">
        <v>0.72870075724716443</v>
      </c>
      <c r="Q515">
        <v>1.9537330213023969</v>
      </c>
      <c r="R515">
        <v>-1.7640099452297</v>
      </c>
      <c r="S515">
        <v>0.2298770856807015</v>
      </c>
      <c r="T515">
        <v>0.17622995144655931</v>
      </c>
      <c r="U515">
        <v>4.3297803968137254</v>
      </c>
      <c r="V515">
        <v>0.192840623467677</v>
      </c>
      <c r="W515">
        <v>6.6952249910130712</v>
      </c>
      <c r="X515">
        <v>0.44135609999245179</v>
      </c>
      <c r="Z515" t="s">
        <v>392</v>
      </c>
      <c r="AA515">
        <v>9400</v>
      </c>
      <c r="AB515" t="s">
        <v>2934</v>
      </c>
      <c r="AC515" t="str">
        <f>HYPERLINK("plots/3FT6Y578R01_012_S11P_20251111092011_M5358ACSH101811_RBGEUFRF26/dpll_52084/txpa_54209.png","plot")</f>
        <v>plot</v>
      </c>
    </row>
    <row r="516" spans="1:29" x14ac:dyDescent="0.35">
      <c r="A516" t="s">
        <v>48</v>
      </c>
      <c r="B516">
        <v>52084</v>
      </c>
      <c r="C516" t="s">
        <v>52</v>
      </c>
      <c r="D516">
        <v>54210</v>
      </c>
      <c r="E516" t="s">
        <v>230</v>
      </c>
      <c r="F516">
        <v>12235</v>
      </c>
      <c r="G516">
        <v>0.8499501268135049</v>
      </c>
      <c r="H516">
        <v>0</v>
      </c>
      <c r="I516">
        <v>0</v>
      </c>
      <c r="J516">
        <v>0.73260247366988174</v>
      </c>
      <c r="K516">
        <v>0</v>
      </c>
      <c r="L516">
        <v>0</v>
      </c>
      <c r="M516">
        <v>0.54178520110263462</v>
      </c>
      <c r="N516">
        <v>0</v>
      </c>
      <c r="O516">
        <v>0</v>
      </c>
      <c r="P516">
        <v>0.72241521807029307</v>
      </c>
      <c r="Q516">
        <v>1.9316038774574851</v>
      </c>
      <c r="R516">
        <v>-1.684051014228843</v>
      </c>
      <c r="S516">
        <v>0.23087528655651909</v>
      </c>
      <c r="T516">
        <v>0.17661615031322431</v>
      </c>
      <c r="U516">
        <v>4.3298668506742954</v>
      </c>
      <c r="V516">
        <v>0.19282917546891709</v>
      </c>
      <c r="W516">
        <v>6.6795365834082547</v>
      </c>
      <c r="X516">
        <v>0.43822522201284031</v>
      </c>
      <c r="Z516" t="s">
        <v>392</v>
      </c>
      <c r="AA516">
        <v>9400</v>
      </c>
      <c r="AB516" t="s">
        <v>2935</v>
      </c>
      <c r="AC516" t="str">
        <f>HYPERLINK("plots/3FT6Y578R01_012_S11P_20251111092011_M5358ACSH101811_RBGEUFRF26/dpll_52084/txpa_54210.png","plot")</f>
        <v>plot</v>
      </c>
    </row>
    <row r="517" spans="1:29" x14ac:dyDescent="0.35">
      <c r="A517" t="s">
        <v>48</v>
      </c>
      <c r="B517">
        <v>52084</v>
      </c>
      <c r="C517" t="s">
        <v>52</v>
      </c>
      <c r="D517">
        <v>54211</v>
      </c>
      <c r="E517" t="s">
        <v>231</v>
      </c>
      <c r="F517">
        <v>12237</v>
      </c>
      <c r="G517">
        <v>0.83612807238614906</v>
      </c>
      <c r="H517">
        <v>0</v>
      </c>
      <c r="I517">
        <v>0</v>
      </c>
      <c r="J517">
        <v>0.73095864475014893</v>
      </c>
      <c r="K517">
        <v>0</v>
      </c>
      <c r="L517">
        <v>0</v>
      </c>
      <c r="M517">
        <v>0.53786013009414502</v>
      </c>
      <c r="N517">
        <v>0</v>
      </c>
      <c r="O517">
        <v>0</v>
      </c>
      <c r="P517">
        <v>0.69911015343217731</v>
      </c>
      <c r="Q517">
        <v>2.0083911389286819</v>
      </c>
      <c r="R517">
        <v>-1.093508655962405</v>
      </c>
      <c r="S517">
        <v>0.25400391319734372</v>
      </c>
      <c r="T517">
        <v>0.18948197743007161</v>
      </c>
      <c r="U517">
        <v>4.3298677338399933</v>
      </c>
      <c r="V517">
        <v>0.19278751042316511</v>
      </c>
      <c r="W517">
        <v>7.6025593334150523</v>
      </c>
      <c r="X517">
        <v>0.46307825369985728</v>
      </c>
      <c r="Z517" t="s">
        <v>392</v>
      </c>
      <c r="AA517">
        <v>9400</v>
      </c>
      <c r="AB517" t="s">
        <v>2936</v>
      </c>
      <c r="AC517" t="str">
        <f>HYPERLINK("plots/3FT6Y578R01_012_S11P_20251111092011_M5358ACSH101811_RBGEUFRF26/dpll_52084/txpa_54211.png","plot")</f>
        <v>plot</v>
      </c>
    </row>
    <row r="518" spans="1:29" x14ac:dyDescent="0.35">
      <c r="A518" t="s">
        <v>48</v>
      </c>
      <c r="B518">
        <v>52084</v>
      </c>
      <c r="C518" t="s">
        <v>52</v>
      </c>
      <c r="D518">
        <v>54212</v>
      </c>
      <c r="E518" t="s">
        <v>232</v>
      </c>
      <c r="F518">
        <v>12235</v>
      </c>
      <c r="G518">
        <v>0.84776116081733954</v>
      </c>
      <c r="H518">
        <v>0</v>
      </c>
      <c r="I518">
        <v>0</v>
      </c>
      <c r="J518">
        <v>0.73926241093185407</v>
      </c>
      <c r="K518">
        <v>0</v>
      </c>
      <c r="L518">
        <v>0</v>
      </c>
      <c r="M518">
        <v>0.54724877968955787</v>
      </c>
      <c r="N518">
        <v>0</v>
      </c>
      <c r="O518">
        <v>0</v>
      </c>
      <c r="P518">
        <v>0.71869898579036307</v>
      </c>
      <c r="Q518">
        <v>2.0338552518086619</v>
      </c>
      <c r="R518">
        <v>-1.168425437634024</v>
      </c>
      <c r="S518">
        <v>0.24530617005470781</v>
      </c>
      <c r="T518">
        <v>0.18613859414210709</v>
      </c>
      <c r="U518">
        <v>4.3298685019207186</v>
      </c>
      <c r="V518">
        <v>0.1927942363882339</v>
      </c>
      <c r="W518">
        <v>7.6379003546383331</v>
      </c>
      <c r="X518">
        <v>0.46253070831719328</v>
      </c>
      <c r="Z518" t="s">
        <v>392</v>
      </c>
      <c r="AA518">
        <v>9400</v>
      </c>
      <c r="AB518" t="s">
        <v>2937</v>
      </c>
      <c r="AC518" t="str">
        <f>HYPERLINK("plots/3FT6Y578R01_012_S11P_20251111092011_M5358ACSH101811_RBGEUFRF26/dpll_52084/txpa_54212.png","plot")</f>
        <v>plot</v>
      </c>
    </row>
    <row r="519" spans="1:29" x14ac:dyDescent="0.35">
      <c r="A519" t="s">
        <v>48</v>
      </c>
      <c r="B519">
        <v>52084</v>
      </c>
      <c r="C519" t="s">
        <v>52</v>
      </c>
      <c r="D519">
        <v>54213</v>
      </c>
      <c r="E519" t="s">
        <v>233</v>
      </c>
      <c r="F519">
        <v>12238</v>
      </c>
      <c r="G519">
        <v>0.84679347027661278</v>
      </c>
      <c r="H519">
        <v>0</v>
      </c>
      <c r="I519">
        <v>0</v>
      </c>
      <c r="J519">
        <v>0.73631118467923695</v>
      </c>
      <c r="K519">
        <v>0</v>
      </c>
      <c r="L519">
        <v>0</v>
      </c>
      <c r="M519">
        <v>0.54408669321300474</v>
      </c>
      <c r="N519">
        <v>0</v>
      </c>
      <c r="O519">
        <v>0</v>
      </c>
      <c r="P519">
        <v>0.71705918130310864</v>
      </c>
      <c r="Q519">
        <v>2.0162267103513329</v>
      </c>
      <c r="R519">
        <v>-1.085782984735763</v>
      </c>
      <c r="S519">
        <v>0.24422400238193731</v>
      </c>
      <c r="T519">
        <v>0.18462905727334539</v>
      </c>
      <c r="U519">
        <v>4.3298114096257558</v>
      </c>
      <c r="V519">
        <v>0.19283968898085149</v>
      </c>
      <c r="W519">
        <v>7.6440984301356423</v>
      </c>
      <c r="X519">
        <v>0.45915390869987283</v>
      </c>
      <c r="Z519" t="s">
        <v>392</v>
      </c>
      <c r="AA519">
        <v>9400</v>
      </c>
      <c r="AB519" t="s">
        <v>2938</v>
      </c>
      <c r="AC519" t="str">
        <f>HYPERLINK("plots/3FT6Y578R01_012_S11P_20251111092011_M5358ACSH101811_RBGEUFRF26/dpll_52084/txpa_54213.png","plot")</f>
        <v>plot</v>
      </c>
    </row>
    <row r="520" spans="1:29" x14ac:dyDescent="0.35">
      <c r="A520" t="s">
        <v>48</v>
      </c>
      <c r="B520">
        <v>52084</v>
      </c>
      <c r="C520" t="s">
        <v>52</v>
      </c>
      <c r="D520">
        <v>54214</v>
      </c>
      <c r="E520" t="s">
        <v>234</v>
      </c>
      <c r="F520">
        <v>12240</v>
      </c>
      <c r="G520">
        <v>0.85435537204492029</v>
      </c>
      <c r="H520">
        <v>0</v>
      </c>
      <c r="I520">
        <v>0</v>
      </c>
      <c r="J520">
        <v>0.74241226667115323</v>
      </c>
      <c r="K520">
        <v>0</v>
      </c>
      <c r="L520">
        <v>0</v>
      </c>
      <c r="M520">
        <v>0.55050096330412612</v>
      </c>
      <c r="N520">
        <v>0</v>
      </c>
      <c r="O520">
        <v>0</v>
      </c>
      <c r="P520">
        <v>0.72992310174201414</v>
      </c>
      <c r="Q520">
        <v>2.043051747930412</v>
      </c>
      <c r="R520">
        <v>-1.184270818254459</v>
      </c>
      <c r="S520">
        <v>0.2396672959883405</v>
      </c>
      <c r="T520">
        <v>0.1827711936922779</v>
      </c>
      <c r="U520">
        <v>4.3297635834967316</v>
      </c>
      <c r="V520">
        <v>0.1928599219077857</v>
      </c>
      <c r="W520">
        <v>7.6616602391339859</v>
      </c>
      <c r="X520">
        <v>0.46119309768758321</v>
      </c>
      <c r="Z520" t="s">
        <v>392</v>
      </c>
      <c r="AA520">
        <v>9400</v>
      </c>
      <c r="AB520" t="s">
        <v>2939</v>
      </c>
      <c r="AC520" t="str">
        <f>HYPERLINK("plots/3FT6Y578R01_012_S11P_20251111092011_M5358ACSH101811_RBGEUFRF26/dpll_52084/txpa_54214.png","plot")</f>
        <v>plot</v>
      </c>
    </row>
    <row r="521" spans="1:29" x14ac:dyDescent="0.35">
      <c r="A521" t="s">
        <v>48</v>
      </c>
      <c r="B521">
        <v>52084</v>
      </c>
      <c r="C521" t="s">
        <v>52</v>
      </c>
      <c r="D521">
        <v>54215</v>
      </c>
      <c r="E521" t="s">
        <v>235</v>
      </c>
      <c r="F521">
        <v>12239</v>
      </c>
      <c r="G521">
        <v>0.85472276066546959</v>
      </c>
      <c r="H521">
        <v>0</v>
      </c>
      <c r="I521">
        <v>0</v>
      </c>
      <c r="J521">
        <v>0.74008601874485713</v>
      </c>
      <c r="K521">
        <v>0</v>
      </c>
      <c r="L521">
        <v>0</v>
      </c>
      <c r="M521">
        <v>0.54771928339336762</v>
      </c>
      <c r="N521">
        <v>0</v>
      </c>
      <c r="O521">
        <v>0</v>
      </c>
      <c r="P521">
        <v>0.73055099759960163</v>
      </c>
      <c r="Q521">
        <v>2.0512725499167739</v>
      </c>
      <c r="R521">
        <v>-1.2484328746343261</v>
      </c>
      <c r="S521">
        <v>0.24021770350321839</v>
      </c>
      <c r="T521">
        <v>0.18408954304960121</v>
      </c>
      <c r="U521">
        <v>4.3297560370945334</v>
      </c>
      <c r="V521">
        <v>0.1928352230179636</v>
      </c>
      <c r="W521">
        <v>7.6330768320941251</v>
      </c>
      <c r="X521">
        <v>0.46279053026019212</v>
      </c>
      <c r="Z521" t="s">
        <v>392</v>
      </c>
      <c r="AA521">
        <v>9400</v>
      </c>
      <c r="AB521" t="s">
        <v>2940</v>
      </c>
      <c r="AC521" t="str">
        <f>HYPERLINK("plots/3FT6Y578R01_012_S11P_20251111092011_M5358ACSH101811_RBGEUFRF26/dpll_52084/txpa_54215.png","plot")</f>
        <v>plot</v>
      </c>
    </row>
    <row r="522" spans="1:29" x14ac:dyDescent="0.35">
      <c r="A522" t="s">
        <v>48</v>
      </c>
      <c r="B522">
        <v>52084</v>
      </c>
      <c r="C522" t="s">
        <v>52</v>
      </c>
      <c r="D522">
        <v>54216</v>
      </c>
      <c r="E522" t="s">
        <v>236</v>
      </c>
      <c r="F522">
        <v>12239</v>
      </c>
      <c r="G522">
        <v>0.85654320667529726</v>
      </c>
      <c r="H522">
        <v>0</v>
      </c>
      <c r="I522">
        <v>0</v>
      </c>
      <c r="J522">
        <v>0.74373315327256562</v>
      </c>
      <c r="K522">
        <v>0</v>
      </c>
      <c r="L522">
        <v>0</v>
      </c>
      <c r="M522">
        <v>0.55205395016388037</v>
      </c>
      <c r="N522">
        <v>0</v>
      </c>
      <c r="O522">
        <v>0</v>
      </c>
      <c r="P522">
        <v>0.73366626490160103</v>
      </c>
      <c r="Q522">
        <v>2.056708160651548</v>
      </c>
      <c r="R522">
        <v>-1.264131111993013</v>
      </c>
      <c r="S522">
        <v>0.23894549326264319</v>
      </c>
      <c r="T522">
        <v>0.1833836518988185</v>
      </c>
      <c r="U522">
        <v>4.3297486986681912</v>
      </c>
      <c r="V522">
        <v>0.19283244174969821</v>
      </c>
      <c r="W522">
        <v>7.6408983701282782</v>
      </c>
      <c r="X522">
        <v>0.46302399399603628</v>
      </c>
      <c r="Z522" t="s">
        <v>392</v>
      </c>
      <c r="AA522">
        <v>9400</v>
      </c>
      <c r="AB522" t="s">
        <v>2941</v>
      </c>
      <c r="AC522" t="str">
        <f>HYPERLINK("plots/3FT6Y578R01_012_S11P_20251111092011_M5358ACSH101811_RBGEUFRF26/dpll_52084/txpa_54216.png","plot")</f>
        <v>plot</v>
      </c>
    </row>
    <row r="523" spans="1:29" x14ac:dyDescent="0.35">
      <c r="A523" t="s">
        <v>48</v>
      </c>
      <c r="B523">
        <v>52084</v>
      </c>
      <c r="C523" t="s">
        <v>52</v>
      </c>
      <c r="D523">
        <v>54217</v>
      </c>
      <c r="E523" t="s">
        <v>237</v>
      </c>
      <c r="F523">
        <v>12239</v>
      </c>
      <c r="G523">
        <v>0.85563854824814778</v>
      </c>
      <c r="H523">
        <v>0</v>
      </c>
      <c r="I523">
        <v>0</v>
      </c>
      <c r="J523">
        <v>0.73955706374367991</v>
      </c>
      <c r="K523">
        <v>0</v>
      </c>
      <c r="L523">
        <v>0</v>
      </c>
      <c r="M523">
        <v>0.54853807876540028</v>
      </c>
      <c r="N523">
        <v>0</v>
      </c>
      <c r="O523">
        <v>0</v>
      </c>
      <c r="P523">
        <v>0.73211732524819795</v>
      </c>
      <c r="Q523">
        <v>2.0525669717630981</v>
      </c>
      <c r="R523">
        <v>-1.2411233943811051</v>
      </c>
      <c r="S523">
        <v>0.23941656656038021</v>
      </c>
      <c r="T523">
        <v>0.18336799846307991</v>
      </c>
      <c r="U523">
        <v>4.3297985815017563</v>
      </c>
      <c r="V523">
        <v>0.1928380067872689</v>
      </c>
      <c r="W523">
        <v>7.6460781683961114</v>
      </c>
      <c r="X523">
        <v>0.46259360853081188</v>
      </c>
      <c r="Z523" t="s">
        <v>392</v>
      </c>
      <c r="AA523">
        <v>9400</v>
      </c>
      <c r="AB523" t="s">
        <v>2942</v>
      </c>
      <c r="AC523" t="str">
        <f>HYPERLINK("plots/3FT6Y578R01_012_S11P_20251111092011_M5358ACSH101811_RBGEUFRF26/dpll_52084/txpa_54217.png","plot")</f>
        <v>plot</v>
      </c>
    </row>
    <row r="524" spans="1:29" x14ac:dyDescent="0.35">
      <c r="A524" t="s">
        <v>48</v>
      </c>
      <c r="B524">
        <v>52084</v>
      </c>
      <c r="C524" t="s">
        <v>52</v>
      </c>
      <c r="D524">
        <v>54218</v>
      </c>
      <c r="E524" t="s">
        <v>238</v>
      </c>
      <c r="F524">
        <v>12233</v>
      </c>
      <c r="G524">
        <v>0.85213663103305415</v>
      </c>
      <c r="H524">
        <v>0</v>
      </c>
      <c r="I524">
        <v>0</v>
      </c>
      <c r="J524">
        <v>0.73354679983394677</v>
      </c>
      <c r="K524">
        <v>0</v>
      </c>
      <c r="L524">
        <v>0</v>
      </c>
      <c r="M524">
        <v>0.54292936556525262</v>
      </c>
      <c r="N524">
        <v>0</v>
      </c>
      <c r="O524">
        <v>0</v>
      </c>
      <c r="P524">
        <v>0.72613683794836348</v>
      </c>
      <c r="Q524">
        <v>2.029103785326936</v>
      </c>
      <c r="R524">
        <v>-1.154973718766485</v>
      </c>
      <c r="S524">
        <v>0.24025703908652471</v>
      </c>
      <c r="T524">
        <v>0.18371991117099881</v>
      </c>
      <c r="U524">
        <v>4.3299124281860539</v>
      </c>
      <c r="V524">
        <v>0.19281110202685661</v>
      </c>
      <c r="W524">
        <v>7.6308679793999827</v>
      </c>
      <c r="X524">
        <v>0.4591209000151259</v>
      </c>
      <c r="Z524" t="s">
        <v>392</v>
      </c>
      <c r="AA524">
        <v>9400</v>
      </c>
      <c r="AB524" t="s">
        <v>2943</v>
      </c>
      <c r="AC524" t="str">
        <f>HYPERLINK("plots/3FT6Y578R01_012_S11P_20251111092011_M5358ACSH101811_RBGEUFRF26/dpll_52084/txpa_54218.png","plot")</f>
        <v>plot</v>
      </c>
    </row>
    <row r="525" spans="1:29" x14ac:dyDescent="0.35">
      <c r="A525" t="s">
        <v>48</v>
      </c>
      <c r="B525">
        <v>52084</v>
      </c>
      <c r="C525" t="s">
        <v>52</v>
      </c>
      <c r="D525">
        <v>54219</v>
      </c>
      <c r="E525" t="s">
        <v>239</v>
      </c>
      <c r="F525">
        <v>12226</v>
      </c>
      <c r="G525">
        <v>0.83984083862198888</v>
      </c>
      <c r="H525">
        <v>0</v>
      </c>
      <c r="I525">
        <v>0</v>
      </c>
      <c r="J525">
        <v>0.73204268884970836</v>
      </c>
      <c r="K525">
        <v>0</v>
      </c>
      <c r="L525">
        <v>0</v>
      </c>
      <c r="M525">
        <v>0.53929379141197198</v>
      </c>
      <c r="N525">
        <v>0</v>
      </c>
      <c r="O525">
        <v>0</v>
      </c>
      <c r="P525">
        <v>0.70533263421728554</v>
      </c>
      <c r="Q525">
        <v>2.1145815267175641</v>
      </c>
      <c r="R525">
        <v>-0.59396131403374319</v>
      </c>
      <c r="S525">
        <v>0.2632749749144086</v>
      </c>
      <c r="T525">
        <v>0.19678927648757311</v>
      </c>
      <c r="U525">
        <v>4.3301429919842951</v>
      </c>
      <c r="V525">
        <v>0.19263441430476069</v>
      </c>
      <c r="W525">
        <v>8.5624790648617708</v>
      </c>
      <c r="X525">
        <v>0.48502186981913148</v>
      </c>
      <c r="Z525" t="s">
        <v>392</v>
      </c>
      <c r="AA525">
        <v>9400</v>
      </c>
      <c r="AB525" t="s">
        <v>2944</v>
      </c>
      <c r="AC525" t="str">
        <f>HYPERLINK("plots/3FT6Y578R01_012_S11P_20251111092011_M5358ACSH101811_RBGEUFRF26/dpll_52084/txpa_54219.png","plot")</f>
        <v>plot</v>
      </c>
    </row>
    <row r="526" spans="1:29" x14ac:dyDescent="0.35">
      <c r="A526" t="s">
        <v>48</v>
      </c>
      <c r="B526">
        <v>52084</v>
      </c>
      <c r="C526" t="s">
        <v>52</v>
      </c>
      <c r="D526">
        <v>54220</v>
      </c>
      <c r="E526" t="s">
        <v>240</v>
      </c>
      <c r="F526">
        <v>12234</v>
      </c>
      <c r="G526">
        <v>0.85000454723819474</v>
      </c>
      <c r="H526">
        <v>0</v>
      </c>
      <c r="I526">
        <v>0</v>
      </c>
      <c r="J526">
        <v>0.74043348865830805</v>
      </c>
      <c r="K526">
        <v>0</v>
      </c>
      <c r="L526">
        <v>0</v>
      </c>
      <c r="M526">
        <v>0.54864528333116491</v>
      </c>
      <c r="N526">
        <v>0</v>
      </c>
      <c r="O526">
        <v>0</v>
      </c>
      <c r="P526">
        <v>0.72250773032560844</v>
      </c>
      <c r="Q526">
        <v>2.1481354303707989</v>
      </c>
      <c r="R526">
        <v>-0.7055487131255056</v>
      </c>
      <c r="S526">
        <v>0.2566208336552922</v>
      </c>
      <c r="T526">
        <v>0.19442133352061261</v>
      </c>
      <c r="U526">
        <v>4.3298993408533599</v>
      </c>
      <c r="V526">
        <v>0.19277193554284741</v>
      </c>
      <c r="W526">
        <v>8.595661470900767</v>
      </c>
      <c r="X526">
        <v>0.48717412873404781</v>
      </c>
      <c r="Z526" t="s">
        <v>392</v>
      </c>
      <c r="AA526">
        <v>9400</v>
      </c>
      <c r="AB526" t="s">
        <v>2945</v>
      </c>
      <c r="AC526" t="str">
        <f>HYPERLINK("plots/3FT6Y578R01_012_S11P_20251111092011_M5358ACSH101811_RBGEUFRF26/dpll_52084/txpa_54220.png","plot")</f>
        <v>plot</v>
      </c>
    </row>
    <row r="527" spans="1:29" x14ac:dyDescent="0.35">
      <c r="A527" t="s">
        <v>48</v>
      </c>
      <c r="B527">
        <v>52084</v>
      </c>
      <c r="C527" t="s">
        <v>52</v>
      </c>
      <c r="D527">
        <v>54221</v>
      </c>
      <c r="E527" t="s">
        <v>241</v>
      </c>
      <c r="F527">
        <v>12236</v>
      </c>
      <c r="G527">
        <v>0.84934053071177407</v>
      </c>
      <c r="H527">
        <v>0</v>
      </c>
      <c r="I527">
        <v>0</v>
      </c>
      <c r="J527">
        <v>0.73757997648106799</v>
      </c>
      <c r="K527">
        <v>0</v>
      </c>
      <c r="L527">
        <v>0</v>
      </c>
      <c r="M527">
        <v>0.54558287946143846</v>
      </c>
      <c r="N527">
        <v>0</v>
      </c>
      <c r="O527">
        <v>0</v>
      </c>
      <c r="P527">
        <v>0.72137933710975799</v>
      </c>
      <c r="Q527">
        <v>2.1296198468921128</v>
      </c>
      <c r="R527">
        <v>-0.61855654155300144</v>
      </c>
      <c r="S527">
        <v>0.25516867931209541</v>
      </c>
      <c r="T527">
        <v>0.192671995331997</v>
      </c>
      <c r="U527">
        <v>4.3298678105590058</v>
      </c>
      <c r="V527">
        <v>0.19280496625456711</v>
      </c>
      <c r="W527">
        <v>8.6024158822327568</v>
      </c>
      <c r="X527">
        <v>0.4834354041376</v>
      </c>
      <c r="Z527" t="s">
        <v>392</v>
      </c>
      <c r="AA527">
        <v>9400</v>
      </c>
      <c r="AB527" t="s">
        <v>2946</v>
      </c>
      <c r="AC527" t="str">
        <f>HYPERLINK("plots/3FT6Y578R01_012_S11P_20251111092011_M5358ACSH101811_RBGEUFRF26/dpll_52084/txpa_54221.png","plot")</f>
        <v>plot</v>
      </c>
    </row>
    <row r="528" spans="1:29" x14ac:dyDescent="0.35">
      <c r="A528" t="s">
        <v>48</v>
      </c>
      <c r="B528">
        <v>52084</v>
      </c>
      <c r="C528" t="s">
        <v>52</v>
      </c>
      <c r="D528">
        <v>54222</v>
      </c>
      <c r="E528" t="s">
        <v>242</v>
      </c>
      <c r="F528">
        <v>12240</v>
      </c>
      <c r="G528">
        <v>0.85630209816020542</v>
      </c>
      <c r="H528">
        <v>0</v>
      </c>
      <c r="I528">
        <v>0</v>
      </c>
      <c r="J528">
        <v>0.74331340757480879</v>
      </c>
      <c r="K528">
        <v>0</v>
      </c>
      <c r="L528">
        <v>0</v>
      </c>
      <c r="M528">
        <v>0.55167455860982895</v>
      </c>
      <c r="N528">
        <v>0</v>
      </c>
      <c r="O528">
        <v>0</v>
      </c>
      <c r="P528">
        <v>0.73325328331357009</v>
      </c>
      <c r="Q528">
        <v>2.1588697266961172</v>
      </c>
      <c r="R528">
        <v>-0.72842273837807703</v>
      </c>
      <c r="S528">
        <v>0.25111532326364749</v>
      </c>
      <c r="T528">
        <v>0.19114147016716951</v>
      </c>
      <c r="U528">
        <v>4.3297635834967316</v>
      </c>
      <c r="V528">
        <v>0.1928599219077857</v>
      </c>
      <c r="W528">
        <v>8.6189727857843135</v>
      </c>
      <c r="X528">
        <v>0.48622962362729027</v>
      </c>
      <c r="Z528" t="s">
        <v>392</v>
      </c>
      <c r="AA528">
        <v>9400</v>
      </c>
      <c r="AB528" t="s">
        <v>2947</v>
      </c>
      <c r="AC528" t="str">
        <f>HYPERLINK("plots/3FT6Y578R01_012_S11P_20251111092011_M5358ACSH101811_RBGEUFRF26/dpll_52084/txpa_54222.png","plot")</f>
        <v>plot</v>
      </c>
    </row>
    <row r="529" spans="1:29" x14ac:dyDescent="0.35">
      <c r="A529" t="s">
        <v>48</v>
      </c>
      <c r="B529">
        <v>52084</v>
      </c>
      <c r="C529" t="s">
        <v>52</v>
      </c>
      <c r="D529">
        <v>54223</v>
      </c>
      <c r="E529" t="s">
        <v>243</v>
      </c>
      <c r="F529">
        <v>12238</v>
      </c>
      <c r="G529">
        <v>0.85683738387114028</v>
      </c>
      <c r="H529">
        <v>0</v>
      </c>
      <c r="I529">
        <v>0</v>
      </c>
      <c r="J529">
        <v>0.74109734314839315</v>
      </c>
      <c r="K529">
        <v>0</v>
      </c>
      <c r="L529">
        <v>0</v>
      </c>
      <c r="M529">
        <v>0.54901763389906932</v>
      </c>
      <c r="N529">
        <v>0</v>
      </c>
      <c r="O529">
        <v>0</v>
      </c>
      <c r="P529">
        <v>0.73417030239913983</v>
      </c>
      <c r="Q529">
        <v>2.166689484903547</v>
      </c>
      <c r="R529">
        <v>-0.79188712221161239</v>
      </c>
      <c r="S529">
        <v>0.25139054422433149</v>
      </c>
      <c r="T529">
        <v>0.1923062818833382</v>
      </c>
      <c r="U529">
        <v>4.3297789251511682</v>
      </c>
      <c r="V529">
        <v>0.19282647619318749</v>
      </c>
      <c r="W529">
        <v>8.5893993468704029</v>
      </c>
      <c r="X529">
        <v>0.48760138883204429</v>
      </c>
      <c r="Z529" t="s">
        <v>392</v>
      </c>
      <c r="AA529">
        <v>9400</v>
      </c>
      <c r="AB529" t="s">
        <v>2948</v>
      </c>
      <c r="AC529" t="str">
        <f>HYPERLINK("plots/3FT6Y578R01_012_S11P_20251111092011_M5358ACSH101811_RBGEUFRF26/dpll_52084/txpa_54223.png","plot")</f>
        <v>plot</v>
      </c>
    </row>
    <row r="530" spans="1:29" x14ac:dyDescent="0.35">
      <c r="A530" t="s">
        <v>48</v>
      </c>
      <c r="B530">
        <v>52084</v>
      </c>
      <c r="C530" t="s">
        <v>52</v>
      </c>
      <c r="D530">
        <v>54224</v>
      </c>
      <c r="E530" t="s">
        <v>244</v>
      </c>
      <c r="F530">
        <v>12238</v>
      </c>
      <c r="G530">
        <v>0.85855528344365484</v>
      </c>
      <c r="H530">
        <v>0</v>
      </c>
      <c r="I530">
        <v>0</v>
      </c>
      <c r="J530">
        <v>0.74451803346421652</v>
      </c>
      <c r="K530">
        <v>0</v>
      </c>
      <c r="L530">
        <v>0</v>
      </c>
      <c r="M530">
        <v>0.5531573623970425</v>
      </c>
      <c r="N530">
        <v>0</v>
      </c>
      <c r="O530">
        <v>0</v>
      </c>
      <c r="P530">
        <v>0.7371171747290145</v>
      </c>
      <c r="Q530">
        <v>2.1712844982502668</v>
      </c>
      <c r="R530">
        <v>-0.80258117959873765</v>
      </c>
      <c r="S530">
        <v>0.2500210955584618</v>
      </c>
      <c r="T530">
        <v>0.1915708026168523</v>
      </c>
      <c r="U530">
        <v>4.3297701919431271</v>
      </c>
      <c r="V530">
        <v>0.19282565926756759</v>
      </c>
      <c r="W530">
        <v>8.5985817191534561</v>
      </c>
      <c r="X530">
        <v>0.48765568497026718</v>
      </c>
      <c r="Z530" t="s">
        <v>392</v>
      </c>
      <c r="AA530">
        <v>9400</v>
      </c>
      <c r="AB530" t="s">
        <v>2949</v>
      </c>
      <c r="AC530" t="str">
        <f>HYPERLINK("plots/3FT6Y578R01_012_S11P_20251111092011_M5358ACSH101811_RBGEUFRF26/dpll_52084/txpa_54224.png","plot")</f>
        <v>plot</v>
      </c>
    </row>
    <row r="531" spans="1:29" x14ac:dyDescent="0.35">
      <c r="A531" t="s">
        <v>48</v>
      </c>
      <c r="B531">
        <v>52084</v>
      </c>
      <c r="C531" t="s">
        <v>52</v>
      </c>
      <c r="D531">
        <v>54225</v>
      </c>
      <c r="E531" t="s">
        <v>245</v>
      </c>
      <c r="F531">
        <v>12233</v>
      </c>
      <c r="G531">
        <v>0.8585182534662088</v>
      </c>
      <c r="H531">
        <v>0</v>
      </c>
      <c r="I531">
        <v>0</v>
      </c>
      <c r="J531">
        <v>0.74043471272665495</v>
      </c>
      <c r="K531">
        <v>0</v>
      </c>
      <c r="L531">
        <v>0</v>
      </c>
      <c r="M531">
        <v>0.54985593341929928</v>
      </c>
      <c r="N531">
        <v>0</v>
      </c>
      <c r="O531">
        <v>0</v>
      </c>
      <c r="P531">
        <v>0.73705359153466954</v>
      </c>
      <c r="Q531">
        <v>2.1645231762122719</v>
      </c>
      <c r="R531">
        <v>-0.76741443173363422</v>
      </c>
      <c r="S531">
        <v>0.2492474058454188</v>
      </c>
      <c r="T531">
        <v>0.19096797346380831</v>
      </c>
      <c r="U531">
        <v>4.3299240887762611</v>
      </c>
      <c r="V531">
        <v>0.1927977982811542</v>
      </c>
      <c r="W531">
        <v>8.6048066096623881</v>
      </c>
      <c r="X531">
        <v>0.4860878624506525</v>
      </c>
      <c r="Z531" t="s">
        <v>392</v>
      </c>
      <c r="AA531">
        <v>9400</v>
      </c>
      <c r="AB531" t="s">
        <v>2950</v>
      </c>
      <c r="AC531" t="str">
        <f>HYPERLINK("plots/3FT6Y578R01_012_S11P_20251111092011_M5358ACSH101811_RBGEUFRF26/dpll_52084/txpa_54225.png","plot")</f>
        <v>plot</v>
      </c>
    </row>
    <row r="532" spans="1:29" x14ac:dyDescent="0.35">
      <c r="A532" t="s">
        <v>48</v>
      </c>
      <c r="B532">
        <v>52084</v>
      </c>
      <c r="C532" t="s">
        <v>52</v>
      </c>
      <c r="D532">
        <v>54226</v>
      </c>
      <c r="E532" t="s">
        <v>246</v>
      </c>
      <c r="F532">
        <v>12231</v>
      </c>
      <c r="G532">
        <v>0.85439169346083532</v>
      </c>
      <c r="H532">
        <v>0</v>
      </c>
      <c r="I532">
        <v>0</v>
      </c>
      <c r="J532">
        <v>0.73440382726568432</v>
      </c>
      <c r="K532">
        <v>0</v>
      </c>
      <c r="L532">
        <v>0</v>
      </c>
      <c r="M532">
        <v>0.54405842578044505</v>
      </c>
      <c r="N532">
        <v>0</v>
      </c>
      <c r="O532">
        <v>0</v>
      </c>
      <c r="P532">
        <v>0.72998516585487394</v>
      </c>
      <c r="Q532">
        <v>2.1420144353512631</v>
      </c>
      <c r="R532">
        <v>-0.68457120251708226</v>
      </c>
      <c r="S532">
        <v>0.25115359430063261</v>
      </c>
      <c r="T532">
        <v>0.19184780458768211</v>
      </c>
      <c r="U532">
        <v>4.3299559772708696</v>
      </c>
      <c r="V532">
        <v>0.1927959756708455</v>
      </c>
      <c r="W532">
        <v>8.5902570052326066</v>
      </c>
      <c r="X532">
        <v>0.48335180002954042</v>
      </c>
      <c r="Z532" t="s">
        <v>392</v>
      </c>
      <c r="AA532">
        <v>9400</v>
      </c>
      <c r="AB532" t="s">
        <v>2951</v>
      </c>
      <c r="AC532" t="str">
        <f>HYPERLINK("plots/3FT6Y578R01_012_S11P_20251111092011_M5358ACSH101811_RBGEUFRF26/dpll_52084/txpa_54226.png","plot")</f>
        <v>plot</v>
      </c>
    </row>
    <row r="533" spans="1:29" x14ac:dyDescent="0.35">
      <c r="A533" t="s">
        <v>48</v>
      </c>
      <c r="B533">
        <v>52084</v>
      </c>
      <c r="C533" t="s">
        <v>52</v>
      </c>
      <c r="D533">
        <v>54227</v>
      </c>
      <c r="E533" t="s">
        <v>247</v>
      </c>
      <c r="F533">
        <v>12223</v>
      </c>
      <c r="G533">
        <v>0.84089226629269898</v>
      </c>
      <c r="H533">
        <v>0</v>
      </c>
      <c r="I533">
        <v>0</v>
      </c>
      <c r="J533">
        <v>0.73207074891079194</v>
      </c>
      <c r="K533">
        <v>0</v>
      </c>
      <c r="L533">
        <v>0</v>
      </c>
      <c r="M533">
        <v>0.53948700011623418</v>
      </c>
      <c r="N533">
        <v>0</v>
      </c>
      <c r="O533">
        <v>0</v>
      </c>
      <c r="P533">
        <v>0.70709980351087132</v>
      </c>
      <c r="Q533">
        <v>2.17576199290807</v>
      </c>
      <c r="R533">
        <v>-0.39333540597206529</v>
      </c>
      <c r="S533">
        <v>0.26967386411650429</v>
      </c>
      <c r="T533">
        <v>0.20151607668958069</v>
      </c>
      <c r="U533">
        <v>4.33022266178516</v>
      </c>
      <c r="V533">
        <v>0.19258646652735209</v>
      </c>
      <c r="W533">
        <v>9.0281984823693033</v>
      </c>
      <c r="X533">
        <v>0.4983067760464111</v>
      </c>
      <c r="Z533" t="s">
        <v>392</v>
      </c>
      <c r="AA533">
        <v>9400</v>
      </c>
      <c r="AB533" t="s">
        <v>2952</v>
      </c>
      <c r="AC533" t="str">
        <f>HYPERLINK("plots/3FT6Y578R01_012_S11P_20251111092011_M5358ACSH101811_RBGEUFRF26/dpll_52084/txpa_54227.png","plot")</f>
        <v>plot</v>
      </c>
    </row>
    <row r="534" spans="1:29" x14ac:dyDescent="0.35">
      <c r="A534" t="s">
        <v>48</v>
      </c>
      <c r="B534">
        <v>52084</v>
      </c>
      <c r="C534" t="s">
        <v>52</v>
      </c>
      <c r="D534">
        <v>54228</v>
      </c>
      <c r="E534" t="s">
        <v>248</v>
      </c>
      <c r="F534">
        <v>12232</v>
      </c>
      <c r="G534">
        <v>0.85101381084308492</v>
      </c>
      <c r="H534">
        <v>0</v>
      </c>
      <c r="I534">
        <v>0</v>
      </c>
      <c r="J534">
        <v>0.74028337717089931</v>
      </c>
      <c r="K534">
        <v>0</v>
      </c>
      <c r="L534">
        <v>0</v>
      </c>
      <c r="M534">
        <v>0.54869689045271586</v>
      </c>
      <c r="N534">
        <v>0</v>
      </c>
      <c r="O534">
        <v>0</v>
      </c>
      <c r="P534">
        <v>0.72422450624566992</v>
      </c>
      <c r="Q534">
        <v>2.21076622895644</v>
      </c>
      <c r="R534">
        <v>-0.51131307100352963</v>
      </c>
      <c r="S534">
        <v>0.26296406025418928</v>
      </c>
      <c r="T534">
        <v>0.19915262727419239</v>
      </c>
      <c r="U534">
        <v>4.3299363242315234</v>
      </c>
      <c r="V534">
        <v>0.1927658514144405</v>
      </c>
      <c r="W534">
        <v>9.0611639281393064</v>
      </c>
      <c r="X534">
        <v>0.5007677066731625</v>
      </c>
      <c r="Z534" t="s">
        <v>392</v>
      </c>
      <c r="AA534">
        <v>9400</v>
      </c>
      <c r="AB534" t="s">
        <v>2953</v>
      </c>
      <c r="AC534" t="str">
        <f>HYPERLINK("plots/3FT6Y578R01_012_S11P_20251111092011_M5358ACSH101811_RBGEUFRF26/dpll_52084/txpa_54228.png","plot")</f>
        <v>plot</v>
      </c>
    </row>
    <row r="535" spans="1:29" x14ac:dyDescent="0.35">
      <c r="A535" t="s">
        <v>48</v>
      </c>
      <c r="B535">
        <v>52084</v>
      </c>
      <c r="C535" t="s">
        <v>52</v>
      </c>
      <c r="D535">
        <v>54229</v>
      </c>
      <c r="E535" t="s">
        <v>249</v>
      </c>
      <c r="F535">
        <v>12231</v>
      </c>
      <c r="G535">
        <v>0.85079127491442808</v>
      </c>
      <c r="H535">
        <v>0</v>
      </c>
      <c r="I535">
        <v>0</v>
      </c>
      <c r="J535">
        <v>0.73740688577970959</v>
      </c>
      <c r="K535">
        <v>0</v>
      </c>
      <c r="L535">
        <v>0</v>
      </c>
      <c r="M535">
        <v>0.54565087099242071</v>
      </c>
      <c r="N535">
        <v>0</v>
      </c>
      <c r="O535">
        <v>0</v>
      </c>
      <c r="P535">
        <v>0.72384579347051792</v>
      </c>
      <c r="Q535">
        <v>2.1905994082653808</v>
      </c>
      <c r="R535">
        <v>-0.41670320745587652</v>
      </c>
      <c r="S535">
        <v>0.26079839320814141</v>
      </c>
      <c r="T535">
        <v>0.19714061538056471</v>
      </c>
      <c r="U535">
        <v>4.3299765765677378</v>
      </c>
      <c r="V535">
        <v>0.1927555519209489</v>
      </c>
      <c r="W535">
        <v>9.068540918976371</v>
      </c>
      <c r="X535">
        <v>0.49630292461610792</v>
      </c>
      <c r="Z535" t="s">
        <v>392</v>
      </c>
      <c r="AA535">
        <v>9400</v>
      </c>
      <c r="AB535" t="s">
        <v>2954</v>
      </c>
      <c r="AC535" t="str">
        <f>HYPERLINK("plots/3FT6Y578R01_012_S11P_20251111092011_M5358ACSH101811_RBGEUFRF26/dpll_52084/txpa_54229.png","plot")</f>
        <v>plot</v>
      </c>
    </row>
    <row r="536" spans="1:29" x14ac:dyDescent="0.35">
      <c r="A536" t="s">
        <v>48</v>
      </c>
      <c r="B536">
        <v>52084</v>
      </c>
      <c r="C536" t="s">
        <v>52</v>
      </c>
      <c r="D536">
        <v>54230</v>
      </c>
      <c r="E536" t="s">
        <v>250</v>
      </c>
      <c r="F536">
        <v>12238</v>
      </c>
      <c r="G536">
        <v>0.85699957087867962</v>
      </c>
      <c r="H536">
        <v>0</v>
      </c>
      <c r="I536">
        <v>0</v>
      </c>
      <c r="J536">
        <v>0.74301564955237598</v>
      </c>
      <c r="K536">
        <v>0</v>
      </c>
      <c r="L536">
        <v>0</v>
      </c>
      <c r="M536">
        <v>0.55156128884396516</v>
      </c>
      <c r="N536">
        <v>0</v>
      </c>
      <c r="O536">
        <v>0</v>
      </c>
      <c r="P536">
        <v>0.73444826448624101</v>
      </c>
      <c r="Q536">
        <v>2.222229094426051</v>
      </c>
      <c r="R536">
        <v>-0.53757255152653904</v>
      </c>
      <c r="S536">
        <v>0.25766571719041598</v>
      </c>
      <c r="T536">
        <v>0.1960385825716203</v>
      </c>
      <c r="U536">
        <v>4.3298125414283382</v>
      </c>
      <c r="V536">
        <v>0.19283754168622161</v>
      </c>
      <c r="W536">
        <v>9.0842628514463151</v>
      </c>
      <c r="X536">
        <v>0.50003431762905981</v>
      </c>
      <c r="Z536" t="s">
        <v>392</v>
      </c>
      <c r="AA536">
        <v>9400</v>
      </c>
      <c r="AB536" t="s">
        <v>2955</v>
      </c>
      <c r="AC536" t="str">
        <f>HYPERLINK("plots/3FT6Y578R01_012_S11P_20251111092011_M5358ACSH101811_RBGEUFRF26/dpll_52084/txpa_54230.png","plot")</f>
        <v>plot</v>
      </c>
    </row>
    <row r="537" spans="1:29" x14ac:dyDescent="0.35">
      <c r="A537" t="s">
        <v>48</v>
      </c>
      <c r="B537">
        <v>52084</v>
      </c>
      <c r="C537" t="s">
        <v>52</v>
      </c>
      <c r="D537">
        <v>54231</v>
      </c>
      <c r="E537" t="s">
        <v>251</v>
      </c>
      <c r="F537">
        <v>12235</v>
      </c>
      <c r="G537">
        <v>0.85763672374322253</v>
      </c>
      <c r="H537">
        <v>0</v>
      </c>
      <c r="I537">
        <v>0</v>
      </c>
      <c r="J537">
        <v>0.74088347056697801</v>
      </c>
      <c r="K537">
        <v>0</v>
      </c>
      <c r="L537">
        <v>0</v>
      </c>
      <c r="M537">
        <v>0.54907461850182038</v>
      </c>
      <c r="N537">
        <v>0</v>
      </c>
      <c r="O537">
        <v>0</v>
      </c>
      <c r="P537">
        <v>0.73554074991300855</v>
      </c>
      <c r="Q537">
        <v>2.2293284203087032</v>
      </c>
      <c r="R537">
        <v>-0.59857470565970061</v>
      </c>
      <c r="S537">
        <v>0.25770502269881512</v>
      </c>
      <c r="T537">
        <v>0.19707339649294051</v>
      </c>
      <c r="U537">
        <v>4.3298514781364936</v>
      </c>
      <c r="V537">
        <v>0.19279269190199391</v>
      </c>
      <c r="W537">
        <v>9.0540862502656321</v>
      </c>
      <c r="X537">
        <v>0.50114251802213738</v>
      </c>
      <c r="Z537" t="s">
        <v>392</v>
      </c>
      <c r="AA537">
        <v>9400</v>
      </c>
      <c r="AB537" t="s">
        <v>2956</v>
      </c>
      <c r="AC537" t="str">
        <f>HYPERLINK("plots/3FT6Y578R01_012_S11P_20251111092011_M5358ACSH101811_RBGEUFRF26/dpll_52084/txpa_54231.png","plot")</f>
        <v>plot</v>
      </c>
    </row>
    <row r="538" spans="1:29" x14ac:dyDescent="0.35">
      <c r="A538" t="s">
        <v>48</v>
      </c>
      <c r="B538">
        <v>52084</v>
      </c>
      <c r="C538" t="s">
        <v>52</v>
      </c>
      <c r="D538">
        <v>54232</v>
      </c>
      <c r="E538" t="s">
        <v>252</v>
      </c>
      <c r="F538">
        <v>12237</v>
      </c>
      <c r="G538">
        <v>0.85919795665200904</v>
      </c>
      <c r="H538">
        <v>0</v>
      </c>
      <c r="I538">
        <v>0</v>
      </c>
      <c r="J538">
        <v>0.74426424284161852</v>
      </c>
      <c r="K538">
        <v>0</v>
      </c>
      <c r="L538">
        <v>0</v>
      </c>
      <c r="M538">
        <v>0.55313940884527946</v>
      </c>
      <c r="N538">
        <v>0</v>
      </c>
      <c r="O538">
        <v>0</v>
      </c>
      <c r="P538">
        <v>0.73822112871498757</v>
      </c>
      <c r="Q538">
        <v>2.2353980297959462</v>
      </c>
      <c r="R538">
        <v>-0.61527321729669637</v>
      </c>
      <c r="S538">
        <v>0.25666416807953307</v>
      </c>
      <c r="T538">
        <v>0.1964747445997852</v>
      </c>
      <c r="U538">
        <v>4.3297901622946799</v>
      </c>
      <c r="V538">
        <v>0.19282088188867</v>
      </c>
      <c r="W538">
        <v>9.0635311809266987</v>
      </c>
      <c r="X538">
        <v>0.50166718407598032</v>
      </c>
      <c r="Z538" t="s">
        <v>392</v>
      </c>
      <c r="AA538">
        <v>9400</v>
      </c>
      <c r="AB538" t="s">
        <v>2957</v>
      </c>
      <c r="AC538" t="str">
        <f>HYPERLINK("plots/3FT6Y578R01_012_S11P_20251111092011_M5358ACSH101811_RBGEUFRF26/dpll_52084/txpa_54232.png","plot")</f>
        <v>plot</v>
      </c>
    </row>
    <row r="539" spans="1:29" x14ac:dyDescent="0.35">
      <c r="A539" t="s">
        <v>48</v>
      </c>
      <c r="B539">
        <v>52084</v>
      </c>
      <c r="C539" t="s">
        <v>52</v>
      </c>
      <c r="D539">
        <v>54233</v>
      </c>
      <c r="E539" t="s">
        <v>253</v>
      </c>
      <c r="F539">
        <v>12229</v>
      </c>
      <c r="G539">
        <v>0.85963905731361356</v>
      </c>
      <c r="H539">
        <v>0</v>
      </c>
      <c r="I539">
        <v>0</v>
      </c>
      <c r="J539">
        <v>0.74012317437904829</v>
      </c>
      <c r="K539">
        <v>0</v>
      </c>
      <c r="L539">
        <v>0</v>
      </c>
      <c r="M539">
        <v>0.549833003694436</v>
      </c>
      <c r="N539">
        <v>0</v>
      </c>
      <c r="O539">
        <v>0</v>
      </c>
      <c r="P539">
        <v>0.73897930885903818</v>
      </c>
      <c r="Q539">
        <v>2.226660356099655</v>
      </c>
      <c r="R539">
        <v>-0.57103728408619148</v>
      </c>
      <c r="S539">
        <v>0.25509414141491249</v>
      </c>
      <c r="T539">
        <v>0.19556518633004499</v>
      </c>
      <c r="U539">
        <v>4.3300041347616318</v>
      </c>
      <c r="V539">
        <v>0.1927715488177823</v>
      </c>
      <c r="W539">
        <v>9.0704112645351209</v>
      </c>
      <c r="X539">
        <v>0.49932208394283201</v>
      </c>
      <c r="Z539" t="s">
        <v>392</v>
      </c>
      <c r="AA539">
        <v>9400</v>
      </c>
      <c r="AB539" t="s">
        <v>2958</v>
      </c>
      <c r="AC539" t="str">
        <f>HYPERLINK("plots/3FT6Y578R01_012_S11P_20251111092011_M5358ACSH101811_RBGEUFRF26/dpll_52084/txpa_54233.png","plot")</f>
        <v>plot</v>
      </c>
    </row>
    <row r="540" spans="1:29" x14ac:dyDescent="0.35">
      <c r="A540" t="s">
        <v>48</v>
      </c>
      <c r="B540">
        <v>52084</v>
      </c>
      <c r="C540" t="s">
        <v>52</v>
      </c>
      <c r="D540">
        <v>54234</v>
      </c>
      <c r="E540" t="s">
        <v>254</v>
      </c>
      <c r="F540">
        <v>12227</v>
      </c>
      <c r="G540">
        <v>0.85511593440407863</v>
      </c>
      <c r="H540">
        <v>0</v>
      </c>
      <c r="I540">
        <v>0</v>
      </c>
      <c r="J540">
        <v>0.73392035885336582</v>
      </c>
      <c r="K540">
        <v>0</v>
      </c>
      <c r="L540">
        <v>0</v>
      </c>
      <c r="M540">
        <v>0.54380207678105619</v>
      </c>
      <c r="N540">
        <v>0</v>
      </c>
      <c r="O540">
        <v>0</v>
      </c>
      <c r="P540">
        <v>0.73122326127176052</v>
      </c>
      <c r="Q540">
        <v>2.203179602215529</v>
      </c>
      <c r="R540">
        <v>-0.48360590673098081</v>
      </c>
      <c r="S540">
        <v>0.25743602669262688</v>
      </c>
      <c r="T540">
        <v>0.19662685593415541</v>
      </c>
      <c r="U540">
        <v>4.330061709168235</v>
      </c>
      <c r="V540">
        <v>0.19273755321936081</v>
      </c>
      <c r="W540">
        <v>9.0562977272429865</v>
      </c>
      <c r="X540">
        <v>0.49658230977738682</v>
      </c>
      <c r="Z540" t="s">
        <v>392</v>
      </c>
      <c r="AA540">
        <v>9400</v>
      </c>
      <c r="AB540" t="s">
        <v>2959</v>
      </c>
      <c r="AC540" t="str">
        <f>HYPERLINK("plots/3FT6Y578R01_012_S11P_20251111092011_M5358ACSH101811_RBGEUFRF26/dpll_52084/txpa_54234.png","plot")</f>
        <v>plot</v>
      </c>
    </row>
    <row r="541" spans="1:29" x14ac:dyDescent="0.35">
      <c r="A541" t="s">
        <v>48</v>
      </c>
      <c r="B541">
        <v>52084</v>
      </c>
      <c r="C541" t="s">
        <v>52</v>
      </c>
      <c r="D541">
        <v>54235</v>
      </c>
      <c r="E541" t="s">
        <v>255</v>
      </c>
      <c r="F541">
        <v>12217</v>
      </c>
      <c r="G541">
        <v>0.84236805407633553</v>
      </c>
      <c r="H541">
        <v>0</v>
      </c>
      <c r="I541">
        <v>0</v>
      </c>
      <c r="J541">
        <v>0.73180403841660246</v>
      </c>
      <c r="K541">
        <v>0</v>
      </c>
      <c r="L541">
        <v>0</v>
      </c>
      <c r="M541">
        <v>0.53945350073374698</v>
      </c>
      <c r="N541">
        <v>0</v>
      </c>
      <c r="O541">
        <v>0</v>
      </c>
      <c r="P541">
        <v>0.70958393852835211</v>
      </c>
      <c r="Q541">
        <v>2.2422073382305889</v>
      </c>
      <c r="R541">
        <v>-0.23431016227847221</v>
      </c>
      <c r="S541">
        <v>0.27613501921040828</v>
      </c>
      <c r="T541">
        <v>0.2065186317395063</v>
      </c>
      <c r="U541">
        <v>4.3303671050175989</v>
      </c>
      <c r="V541">
        <v>0.1925107850155868</v>
      </c>
      <c r="W541">
        <v>9.4752707378243421</v>
      </c>
      <c r="X541">
        <v>0.51242339113131163</v>
      </c>
      <c r="Z541" t="s">
        <v>392</v>
      </c>
      <c r="AA541">
        <v>9400</v>
      </c>
      <c r="AB541" t="s">
        <v>2960</v>
      </c>
      <c r="AC541" t="str">
        <f>HYPERLINK("plots/3FT6Y578R01_012_S11P_20251111092011_M5358ACSH101811_RBGEUFRF26/dpll_52084/txpa_54235.png","plot")</f>
        <v>plot</v>
      </c>
    </row>
    <row r="542" spans="1:29" x14ac:dyDescent="0.35">
      <c r="A542" t="s">
        <v>48</v>
      </c>
      <c r="B542">
        <v>52084</v>
      </c>
      <c r="C542" t="s">
        <v>52</v>
      </c>
      <c r="D542">
        <v>54236</v>
      </c>
      <c r="E542" t="s">
        <v>256</v>
      </c>
      <c r="F542">
        <v>12231</v>
      </c>
      <c r="G542">
        <v>0.85165721216167944</v>
      </c>
      <c r="H542">
        <v>0</v>
      </c>
      <c r="I542">
        <v>0</v>
      </c>
      <c r="J542">
        <v>0.74011139838503504</v>
      </c>
      <c r="K542">
        <v>0</v>
      </c>
      <c r="L542">
        <v>0</v>
      </c>
      <c r="M542">
        <v>0.54867035172997758</v>
      </c>
      <c r="N542">
        <v>0</v>
      </c>
      <c r="O542">
        <v>0</v>
      </c>
      <c r="P542">
        <v>0.72532000702700383</v>
      </c>
      <c r="Q542">
        <v>2.281522089505148</v>
      </c>
      <c r="R542">
        <v>-0.37119614228138609</v>
      </c>
      <c r="S542">
        <v>0.27060737704417831</v>
      </c>
      <c r="T542">
        <v>0.20465612458122481</v>
      </c>
      <c r="U542">
        <v>4.3299662050527354</v>
      </c>
      <c r="V542">
        <v>0.19274540044864391</v>
      </c>
      <c r="W542">
        <v>9.5077174013572066</v>
      </c>
      <c r="X542">
        <v>0.51634963280345392</v>
      </c>
      <c r="Z542" t="s">
        <v>392</v>
      </c>
      <c r="AA542">
        <v>9400</v>
      </c>
      <c r="AB542" t="s">
        <v>2961</v>
      </c>
      <c r="AC542" t="str">
        <f>HYPERLINK("plots/3FT6Y578R01_012_S11P_20251111092011_M5358ACSH101811_RBGEUFRF26/dpll_52084/txpa_54236.png","plot")</f>
        <v>plot</v>
      </c>
    </row>
    <row r="543" spans="1:29" x14ac:dyDescent="0.35">
      <c r="A543" t="s">
        <v>48</v>
      </c>
      <c r="B543">
        <v>52084</v>
      </c>
      <c r="C543" t="s">
        <v>52</v>
      </c>
      <c r="D543">
        <v>54237</v>
      </c>
      <c r="E543" t="s">
        <v>257</v>
      </c>
      <c r="F543">
        <v>12224</v>
      </c>
      <c r="G543">
        <v>0.85227293503762014</v>
      </c>
      <c r="H543">
        <v>0</v>
      </c>
      <c r="I543">
        <v>0</v>
      </c>
      <c r="J543">
        <v>0.73695863923488236</v>
      </c>
      <c r="K543">
        <v>0</v>
      </c>
      <c r="L543">
        <v>0</v>
      </c>
      <c r="M543">
        <v>0.54547585071569016</v>
      </c>
      <c r="N543">
        <v>0</v>
      </c>
      <c r="O543">
        <v>0</v>
      </c>
      <c r="P543">
        <v>0.7263691557976395</v>
      </c>
      <c r="Q543">
        <v>2.2570079012961819</v>
      </c>
      <c r="R543">
        <v>-0.25681964434981991</v>
      </c>
      <c r="S543">
        <v>0.26690083029654382</v>
      </c>
      <c r="T543">
        <v>0.20200991826114351</v>
      </c>
      <c r="U543">
        <v>4.3301423027650534</v>
      </c>
      <c r="V543">
        <v>0.19267740211762741</v>
      </c>
      <c r="W543">
        <v>9.5163457467277475</v>
      </c>
      <c r="X543">
        <v>0.51025252721595671</v>
      </c>
      <c r="Z543" t="s">
        <v>392</v>
      </c>
      <c r="AA543">
        <v>9400</v>
      </c>
      <c r="AB543" t="s">
        <v>2962</v>
      </c>
      <c r="AC543" t="str">
        <f>HYPERLINK("plots/3FT6Y578R01_012_S11P_20251111092011_M5358ACSH101811_RBGEUFRF26/dpll_52084/txpa_54237.png","plot")</f>
        <v>plot</v>
      </c>
    </row>
    <row r="544" spans="1:29" x14ac:dyDescent="0.35">
      <c r="A544" t="s">
        <v>48</v>
      </c>
      <c r="B544">
        <v>52084</v>
      </c>
      <c r="C544" t="s">
        <v>52</v>
      </c>
      <c r="D544">
        <v>54238</v>
      </c>
      <c r="E544" t="s">
        <v>258</v>
      </c>
      <c r="F544">
        <v>12236</v>
      </c>
      <c r="G544">
        <v>0.85777134363088858</v>
      </c>
      <c r="H544">
        <v>0</v>
      </c>
      <c r="I544">
        <v>0</v>
      </c>
      <c r="J544">
        <v>0.74260596769388609</v>
      </c>
      <c r="K544">
        <v>0</v>
      </c>
      <c r="L544">
        <v>0</v>
      </c>
      <c r="M544">
        <v>0.55133407887478736</v>
      </c>
      <c r="N544">
        <v>0</v>
      </c>
      <c r="O544">
        <v>0</v>
      </c>
      <c r="P544">
        <v>0.73577167795433995</v>
      </c>
      <c r="Q544">
        <v>2.2931717067918358</v>
      </c>
      <c r="R544">
        <v>-0.39846354039464238</v>
      </c>
      <c r="S544">
        <v>0.26495873474600951</v>
      </c>
      <c r="T544">
        <v>0.20145031557334381</v>
      </c>
      <c r="U544">
        <v>4.3298607302222951</v>
      </c>
      <c r="V544">
        <v>0.19281519839628011</v>
      </c>
      <c r="W544">
        <v>9.5306505805001631</v>
      </c>
      <c r="X544">
        <v>0.51547345441755765</v>
      </c>
      <c r="Z544" t="s">
        <v>392</v>
      </c>
      <c r="AA544">
        <v>9400</v>
      </c>
      <c r="AB544" t="s">
        <v>2963</v>
      </c>
      <c r="AC544" t="str">
        <f>HYPERLINK("plots/3FT6Y578R01_012_S11P_20251111092011_M5358ACSH101811_RBGEUFRF26/dpll_52084/txpa_54238.png","plot")</f>
        <v>plot</v>
      </c>
    </row>
    <row r="545" spans="1:29" x14ac:dyDescent="0.35">
      <c r="A545" t="s">
        <v>48</v>
      </c>
      <c r="B545">
        <v>52084</v>
      </c>
      <c r="C545" t="s">
        <v>52</v>
      </c>
      <c r="D545">
        <v>54239</v>
      </c>
      <c r="E545" t="s">
        <v>259</v>
      </c>
      <c r="F545">
        <v>12233</v>
      </c>
      <c r="G545">
        <v>0.85780940147611517</v>
      </c>
      <c r="H545">
        <v>0</v>
      </c>
      <c r="I545">
        <v>0</v>
      </c>
      <c r="J545">
        <v>0.74019022596401851</v>
      </c>
      <c r="K545">
        <v>0</v>
      </c>
      <c r="L545">
        <v>0</v>
      </c>
      <c r="M545">
        <v>0.54870689635044334</v>
      </c>
      <c r="N545">
        <v>0</v>
      </c>
      <c r="O545">
        <v>0</v>
      </c>
      <c r="P545">
        <v>0.73583696926081099</v>
      </c>
      <c r="Q545">
        <v>2.2988660201275</v>
      </c>
      <c r="R545">
        <v>-0.45363920716987138</v>
      </c>
      <c r="S545">
        <v>0.26549290739809589</v>
      </c>
      <c r="T545">
        <v>0.2025637573166886</v>
      </c>
      <c r="U545">
        <v>4.3299079628055246</v>
      </c>
      <c r="V545">
        <v>0.19275772706832181</v>
      </c>
      <c r="W545">
        <v>9.5002390788032365</v>
      </c>
      <c r="X545">
        <v>0.51657651234860491</v>
      </c>
      <c r="Z545" t="s">
        <v>392</v>
      </c>
      <c r="AA545">
        <v>9400</v>
      </c>
      <c r="AB545" t="s">
        <v>2964</v>
      </c>
      <c r="AC545" t="str">
        <f>HYPERLINK("plots/3FT6Y578R01_012_S11P_20251111092011_M5358ACSH101811_RBGEUFRF26/dpll_52084/txpa_54239.png","plot")</f>
        <v>plot</v>
      </c>
    </row>
    <row r="546" spans="1:29" x14ac:dyDescent="0.35">
      <c r="A546" t="s">
        <v>48</v>
      </c>
      <c r="B546">
        <v>52084</v>
      </c>
      <c r="C546" t="s">
        <v>52</v>
      </c>
      <c r="D546">
        <v>54240</v>
      </c>
      <c r="E546" t="s">
        <v>260</v>
      </c>
      <c r="F546">
        <v>12234</v>
      </c>
      <c r="G546">
        <v>0.85994031773501356</v>
      </c>
      <c r="H546">
        <v>0</v>
      </c>
      <c r="I546">
        <v>0</v>
      </c>
      <c r="J546">
        <v>0.74366660547539665</v>
      </c>
      <c r="K546">
        <v>0</v>
      </c>
      <c r="L546">
        <v>0</v>
      </c>
      <c r="M546">
        <v>0.55280694757370719</v>
      </c>
      <c r="N546">
        <v>0</v>
      </c>
      <c r="O546">
        <v>0</v>
      </c>
      <c r="P546">
        <v>0.7394973500661961</v>
      </c>
      <c r="Q546">
        <v>2.3055030436894879</v>
      </c>
      <c r="R546">
        <v>-0.47225788199191682</v>
      </c>
      <c r="S546">
        <v>0.26378436305311681</v>
      </c>
      <c r="T546">
        <v>0.20184927787763829</v>
      </c>
      <c r="U546">
        <v>4.3298672477521656</v>
      </c>
      <c r="V546">
        <v>0.1927806036881661</v>
      </c>
      <c r="W546">
        <v>9.5102642364721284</v>
      </c>
      <c r="X546">
        <v>0.51684548264699559</v>
      </c>
      <c r="Z546" t="s">
        <v>392</v>
      </c>
      <c r="AA546">
        <v>9400</v>
      </c>
      <c r="AB546" t="s">
        <v>2965</v>
      </c>
      <c r="AC546" t="str">
        <f>HYPERLINK("plots/3FT6Y578R01_012_S11P_20251111092011_M5358ACSH101811_RBGEUFRF26/dpll_52084/txpa_54240.png","plot")</f>
        <v>plot</v>
      </c>
    </row>
    <row r="547" spans="1:29" x14ac:dyDescent="0.35">
      <c r="A547" t="s">
        <v>48</v>
      </c>
      <c r="B547">
        <v>52084</v>
      </c>
      <c r="C547" t="s">
        <v>52</v>
      </c>
      <c r="D547">
        <v>54241</v>
      </c>
      <c r="E547" t="s">
        <v>261</v>
      </c>
      <c r="F547">
        <v>12227</v>
      </c>
      <c r="G547">
        <v>0.86045799008560564</v>
      </c>
      <c r="H547">
        <v>0</v>
      </c>
      <c r="I547">
        <v>0</v>
      </c>
      <c r="J547">
        <v>0.73987630892272116</v>
      </c>
      <c r="K547">
        <v>0</v>
      </c>
      <c r="L547">
        <v>0</v>
      </c>
      <c r="M547">
        <v>0.54985335971232596</v>
      </c>
      <c r="N547">
        <v>0</v>
      </c>
      <c r="O547">
        <v>0</v>
      </c>
      <c r="P547">
        <v>0.74038795270216018</v>
      </c>
      <c r="Q547">
        <v>2.2977952986002639</v>
      </c>
      <c r="R547">
        <v>-0.43246550899426589</v>
      </c>
      <c r="S547">
        <v>0.26225737887852618</v>
      </c>
      <c r="T547">
        <v>0.2008741034085694</v>
      </c>
      <c r="U547">
        <v>4.3300505712766828</v>
      </c>
      <c r="V547">
        <v>0.1927531086574315</v>
      </c>
      <c r="W547">
        <v>9.5171043363866854</v>
      </c>
      <c r="X547">
        <v>0.51473423684469188</v>
      </c>
      <c r="Z547" t="s">
        <v>392</v>
      </c>
      <c r="AA547">
        <v>9400</v>
      </c>
      <c r="AB547" t="s">
        <v>2966</v>
      </c>
      <c r="AC547" t="str">
        <f>HYPERLINK("plots/3FT6Y578R01_012_S11P_20251111092011_M5358ACSH101811_RBGEUFRF26/dpll_52084/txpa_54241.png","plot")</f>
        <v>plot</v>
      </c>
    </row>
    <row r="548" spans="1:29" x14ac:dyDescent="0.35">
      <c r="A548" t="s">
        <v>48</v>
      </c>
      <c r="B548">
        <v>52084</v>
      </c>
      <c r="C548" t="s">
        <v>52</v>
      </c>
      <c r="D548">
        <v>54242</v>
      </c>
      <c r="E548" t="s">
        <v>262</v>
      </c>
      <c r="F548">
        <v>12224</v>
      </c>
      <c r="G548">
        <v>0.85576965386801573</v>
      </c>
      <c r="H548">
        <v>0</v>
      </c>
      <c r="I548">
        <v>0</v>
      </c>
      <c r="J548">
        <v>0.73344544253042898</v>
      </c>
      <c r="K548">
        <v>0</v>
      </c>
      <c r="L548">
        <v>0</v>
      </c>
      <c r="M548">
        <v>0.54352559408308243</v>
      </c>
      <c r="N548">
        <v>0</v>
      </c>
      <c r="O548">
        <v>0</v>
      </c>
      <c r="P548">
        <v>0.73234170048138347</v>
      </c>
      <c r="Q548">
        <v>2.2724176323485068</v>
      </c>
      <c r="R548">
        <v>-0.3365415288071798</v>
      </c>
      <c r="S548">
        <v>0.26470433015643591</v>
      </c>
      <c r="T548">
        <v>0.20205579961817111</v>
      </c>
      <c r="U548">
        <v>4.330143680955497</v>
      </c>
      <c r="V548">
        <v>0.19268911624320681</v>
      </c>
      <c r="W548">
        <v>9.50335332239856</v>
      </c>
      <c r="X548">
        <v>0.51166823143771645</v>
      </c>
      <c r="Z548" t="s">
        <v>392</v>
      </c>
      <c r="AA548">
        <v>9400</v>
      </c>
      <c r="AB548" t="s">
        <v>2967</v>
      </c>
      <c r="AC548" t="str">
        <f>HYPERLINK("plots/3FT6Y578R01_012_S11P_20251111092011_M5358ACSH101811_RBGEUFRF26/dpll_52084/txpa_54242.png","plot")</f>
        <v>plot</v>
      </c>
    </row>
    <row r="549" spans="1:29" x14ac:dyDescent="0.35">
      <c r="A549" t="s">
        <v>48</v>
      </c>
      <c r="B549">
        <v>52084</v>
      </c>
      <c r="C549" t="s">
        <v>52</v>
      </c>
      <c r="D549">
        <v>54243</v>
      </c>
      <c r="E549" t="s">
        <v>263</v>
      </c>
      <c r="F549">
        <v>12197</v>
      </c>
      <c r="G549">
        <v>0.84794900447760357</v>
      </c>
      <c r="H549">
        <v>0</v>
      </c>
      <c r="I549">
        <v>0</v>
      </c>
      <c r="J549">
        <v>0.72872594847648542</v>
      </c>
      <c r="K549">
        <v>0</v>
      </c>
      <c r="L549">
        <v>0</v>
      </c>
      <c r="M549">
        <v>0.53772083856392883</v>
      </c>
      <c r="N549">
        <v>0</v>
      </c>
      <c r="O549">
        <v>0</v>
      </c>
      <c r="P549">
        <v>0.71901751419455895</v>
      </c>
      <c r="Q549">
        <v>2.5568389939522271</v>
      </c>
      <c r="R549">
        <v>-0.21011027397301699</v>
      </c>
      <c r="S549">
        <v>0.30749647166384442</v>
      </c>
      <c r="T549">
        <v>0.2318847126611647</v>
      </c>
      <c r="U549">
        <v>4.3307555631712713</v>
      </c>
      <c r="V549">
        <v>0.1923909633992795</v>
      </c>
      <c r="W549">
        <v>10.862934423218819</v>
      </c>
      <c r="X549">
        <v>0.58012063780458889</v>
      </c>
      <c r="Z549" t="s">
        <v>392</v>
      </c>
      <c r="AA549">
        <v>9400</v>
      </c>
      <c r="AB549" t="s">
        <v>2968</v>
      </c>
      <c r="AC549" t="str">
        <f>HYPERLINK("plots/3FT6Y578R01_012_S11P_20251111092011_M5358ACSH101811_RBGEUFRF26/dpll_52084/txpa_54243.png","plot")</f>
        <v>plot</v>
      </c>
    </row>
    <row r="550" spans="1:29" x14ac:dyDescent="0.35">
      <c r="A550" t="s">
        <v>48</v>
      </c>
      <c r="B550">
        <v>52084</v>
      </c>
      <c r="C550" t="s">
        <v>52</v>
      </c>
      <c r="D550">
        <v>54244</v>
      </c>
      <c r="E550" t="s">
        <v>264</v>
      </c>
      <c r="F550">
        <v>12210</v>
      </c>
      <c r="G550">
        <v>0.85655330145659381</v>
      </c>
      <c r="H550">
        <v>0</v>
      </c>
      <c r="I550">
        <v>0</v>
      </c>
      <c r="J550">
        <v>0.73659653607692277</v>
      </c>
      <c r="K550">
        <v>0</v>
      </c>
      <c r="L550">
        <v>0</v>
      </c>
      <c r="M550">
        <v>0.54645520358968658</v>
      </c>
      <c r="N550">
        <v>0</v>
      </c>
      <c r="O550">
        <v>0</v>
      </c>
      <c r="P550">
        <v>0.73368355823619047</v>
      </c>
      <c r="Q550">
        <v>2.5979620811552642</v>
      </c>
      <c r="R550">
        <v>-0.35375351942052369</v>
      </c>
      <c r="S550">
        <v>0.30147885610649799</v>
      </c>
      <c r="T550">
        <v>0.22975608102918629</v>
      </c>
      <c r="U550">
        <v>4.3303760680589676</v>
      </c>
      <c r="V550">
        <v>0.19261816422102301</v>
      </c>
      <c r="W550">
        <v>10.896399302538899</v>
      </c>
      <c r="X550">
        <v>0.58421896913710536</v>
      </c>
      <c r="Z550" t="s">
        <v>392</v>
      </c>
      <c r="AA550">
        <v>9400</v>
      </c>
      <c r="AB550" t="s">
        <v>2969</v>
      </c>
      <c r="AC550" t="str">
        <f>HYPERLINK("plots/3FT6Y578R01_012_S11P_20251111092011_M5358ACSH101811_RBGEUFRF26/dpll_52084/txpa_54244.png","plot")</f>
        <v>plot</v>
      </c>
    </row>
    <row r="551" spans="1:29" x14ac:dyDescent="0.35">
      <c r="A551" t="s">
        <v>48</v>
      </c>
      <c r="B551">
        <v>52084</v>
      </c>
      <c r="C551" t="s">
        <v>52</v>
      </c>
      <c r="D551">
        <v>54245</v>
      </c>
      <c r="E551" t="s">
        <v>265</v>
      </c>
      <c r="F551">
        <v>12203</v>
      </c>
      <c r="G551">
        <v>0.85691068463811704</v>
      </c>
      <c r="H551">
        <v>0</v>
      </c>
      <c r="I551">
        <v>0</v>
      </c>
      <c r="J551">
        <v>0.73381544587761316</v>
      </c>
      <c r="K551">
        <v>0</v>
      </c>
      <c r="L551">
        <v>0</v>
      </c>
      <c r="M551">
        <v>0.54370295152853643</v>
      </c>
      <c r="N551">
        <v>0</v>
      </c>
      <c r="O551">
        <v>0</v>
      </c>
      <c r="P551">
        <v>0.73429592144696643</v>
      </c>
      <c r="Q551">
        <v>2.5726838789930091</v>
      </c>
      <c r="R551">
        <v>-0.2363145128292814</v>
      </c>
      <c r="S551">
        <v>0.29786901470334448</v>
      </c>
      <c r="T551">
        <v>0.2269822189210573</v>
      </c>
      <c r="U551">
        <v>4.3306041658608541</v>
      </c>
      <c r="V551">
        <v>0.19248334025283481</v>
      </c>
      <c r="W551">
        <v>10.904961010980911</v>
      </c>
      <c r="X551">
        <v>0.57788844896049107</v>
      </c>
      <c r="Z551" t="s">
        <v>392</v>
      </c>
      <c r="AA551">
        <v>9400</v>
      </c>
      <c r="AB551" t="s">
        <v>2970</v>
      </c>
      <c r="AC551" t="str">
        <f>HYPERLINK("plots/3FT6Y578R01_012_S11P_20251111092011_M5358ACSH101811_RBGEUFRF26/dpll_52084/txpa_54245.png","plot")</f>
        <v>plot</v>
      </c>
    </row>
    <row r="552" spans="1:29" x14ac:dyDescent="0.35">
      <c r="A552" t="s">
        <v>48</v>
      </c>
      <c r="B552">
        <v>52084</v>
      </c>
      <c r="C552" t="s">
        <v>52</v>
      </c>
      <c r="D552">
        <v>54246</v>
      </c>
      <c r="E552" t="s">
        <v>266</v>
      </c>
      <c r="F552">
        <v>12218</v>
      </c>
      <c r="G552">
        <v>0.86148552903257825</v>
      </c>
      <c r="H552">
        <v>0</v>
      </c>
      <c r="I552">
        <v>0</v>
      </c>
      <c r="J552">
        <v>0.73874957152005705</v>
      </c>
      <c r="K552">
        <v>0</v>
      </c>
      <c r="L552">
        <v>0</v>
      </c>
      <c r="M552">
        <v>0.54887376620754791</v>
      </c>
      <c r="N552">
        <v>0</v>
      </c>
      <c r="O552">
        <v>0</v>
      </c>
      <c r="P552">
        <v>0.74215731673254126</v>
      </c>
      <c r="Q552">
        <v>2.615366596901179</v>
      </c>
      <c r="R552">
        <v>-0.4086805136311451</v>
      </c>
      <c r="S552">
        <v>0.29700121316856049</v>
      </c>
      <c r="T552">
        <v>0.2270728773923702</v>
      </c>
      <c r="U552">
        <v>4.3302414247831074</v>
      </c>
      <c r="V552">
        <v>0.1926699588995604</v>
      </c>
      <c r="W552">
        <v>10.916488265264359</v>
      </c>
      <c r="X552">
        <v>0.58492285447684833</v>
      </c>
      <c r="Z552" t="s">
        <v>392</v>
      </c>
      <c r="AA552">
        <v>9400</v>
      </c>
      <c r="AB552" t="s">
        <v>2971</v>
      </c>
      <c r="AC552" t="str">
        <f>HYPERLINK("plots/3FT6Y578R01_012_S11P_20251111092011_M5358ACSH101811_RBGEUFRF26/dpll_52084/txpa_54246.png","plot")</f>
        <v>plot</v>
      </c>
    </row>
    <row r="553" spans="1:29" x14ac:dyDescent="0.35">
      <c r="A553" t="s">
        <v>48</v>
      </c>
      <c r="B553">
        <v>52084</v>
      </c>
      <c r="C553" t="s">
        <v>52</v>
      </c>
      <c r="D553">
        <v>54247</v>
      </c>
      <c r="E553" t="s">
        <v>267</v>
      </c>
      <c r="F553">
        <v>12214</v>
      </c>
      <c r="G553">
        <v>0.86065737723554536</v>
      </c>
      <c r="H553">
        <v>0</v>
      </c>
      <c r="I553">
        <v>0</v>
      </c>
      <c r="J553">
        <v>0.73643493411404604</v>
      </c>
      <c r="K553">
        <v>0</v>
      </c>
      <c r="L553">
        <v>0</v>
      </c>
      <c r="M553">
        <v>0.54635865292590802</v>
      </c>
      <c r="N553">
        <v>0</v>
      </c>
      <c r="O553">
        <v>0</v>
      </c>
      <c r="P553">
        <v>0.74073112098996785</v>
      </c>
      <c r="Q553">
        <v>2.6169617622477919</v>
      </c>
      <c r="R553">
        <v>-0.44708485996886788</v>
      </c>
      <c r="S553">
        <v>0.29802702773141659</v>
      </c>
      <c r="T553">
        <v>0.2283574613947226</v>
      </c>
      <c r="U553">
        <v>4.3303966044702804</v>
      </c>
      <c r="V553">
        <v>0.19250018648453279</v>
      </c>
      <c r="W553">
        <v>10.88539746929753</v>
      </c>
      <c r="X553">
        <v>0.58532656615772083</v>
      </c>
      <c r="Z553" t="s">
        <v>392</v>
      </c>
      <c r="AA553">
        <v>9400</v>
      </c>
      <c r="AB553" t="s">
        <v>2972</v>
      </c>
      <c r="AC553" t="str">
        <f>HYPERLINK("plots/3FT6Y578R01_012_S11P_20251111092011_M5358ACSH101811_RBGEUFRF26/dpll_52084/txpa_54247.png","plot")</f>
        <v>plot</v>
      </c>
    </row>
    <row r="554" spans="1:29" x14ac:dyDescent="0.35">
      <c r="A554" t="s">
        <v>48</v>
      </c>
      <c r="B554">
        <v>52084</v>
      </c>
      <c r="C554" t="s">
        <v>52</v>
      </c>
      <c r="D554">
        <v>54248</v>
      </c>
      <c r="E554" t="s">
        <v>268</v>
      </c>
      <c r="F554">
        <v>12223</v>
      </c>
      <c r="G554">
        <v>0.86220057181977106</v>
      </c>
      <c r="H554">
        <v>0</v>
      </c>
      <c r="I554">
        <v>0</v>
      </c>
      <c r="J554">
        <v>0.74020978970583473</v>
      </c>
      <c r="K554">
        <v>0</v>
      </c>
      <c r="L554">
        <v>0</v>
      </c>
      <c r="M554">
        <v>0.55063476320888638</v>
      </c>
      <c r="N554">
        <v>0</v>
      </c>
      <c r="O554">
        <v>0</v>
      </c>
      <c r="P554">
        <v>0.74338982604634019</v>
      </c>
      <c r="Q554">
        <v>2.6305639185246701</v>
      </c>
      <c r="R554">
        <v>-0.49352008687728949</v>
      </c>
      <c r="S554">
        <v>0.29777261203515892</v>
      </c>
      <c r="T554">
        <v>0.22814767662764601</v>
      </c>
      <c r="U554">
        <v>4.3301187128364562</v>
      </c>
      <c r="V554">
        <v>0.19267484966951071</v>
      </c>
      <c r="W554">
        <v>10.897133962038779</v>
      </c>
      <c r="X554">
        <v>0.5878487258226115</v>
      </c>
      <c r="Z554" t="s">
        <v>392</v>
      </c>
      <c r="AA554">
        <v>9400</v>
      </c>
      <c r="AB554" t="s">
        <v>2973</v>
      </c>
      <c r="AC554" t="str">
        <f>HYPERLINK("plots/3FT6Y578R01_012_S11P_20251111092011_M5358ACSH101811_RBGEUFRF26/dpll_52084/txpa_54248.png","plot")</f>
        <v>plot</v>
      </c>
    </row>
    <row r="555" spans="1:29" x14ac:dyDescent="0.35">
      <c r="A555" t="s">
        <v>48</v>
      </c>
      <c r="B555">
        <v>52084</v>
      </c>
      <c r="C555" t="s">
        <v>52</v>
      </c>
      <c r="D555">
        <v>54249</v>
      </c>
      <c r="E555" t="s">
        <v>269</v>
      </c>
      <c r="F555">
        <v>12209</v>
      </c>
      <c r="G555">
        <v>0.86324991935578366</v>
      </c>
      <c r="H555">
        <v>0</v>
      </c>
      <c r="I555">
        <v>0</v>
      </c>
      <c r="J555">
        <v>0.73645898861831927</v>
      </c>
      <c r="K555">
        <v>0</v>
      </c>
      <c r="L555">
        <v>0</v>
      </c>
      <c r="M555">
        <v>0.54784307004326649</v>
      </c>
      <c r="N555">
        <v>0</v>
      </c>
      <c r="O555">
        <v>0</v>
      </c>
      <c r="P555">
        <v>0.74520042326776703</v>
      </c>
      <c r="Q555">
        <v>2.617870125263162</v>
      </c>
      <c r="R555">
        <v>-0.43067002025951417</v>
      </c>
      <c r="S555">
        <v>0.29473572420638178</v>
      </c>
      <c r="T555">
        <v>0.22659461059122779</v>
      </c>
      <c r="U555">
        <v>4.3304781416987472</v>
      </c>
      <c r="V555">
        <v>0.19254828895275269</v>
      </c>
      <c r="W555">
        <v>10.905959334998769</v>
      </c>
      <c r="X555">
        <v>0.583917127610182</v>
      </c>
      <c r="Z555" t="s">
        <v>392</v>
      </c>
      <c r="AA555">
        <v>9400</v>
      </c>
      <c r="AB555" t="s">
        <v>2974</v>
      </c>
      <c r="AC555" t="str">
        <f>HYPERLINK("plots/3FT6Y578R01_012_S11P_20251111092011_M5358ACSH101811_RBGEUFRF26/dpll_52084/txpa_54249.png","plot")</f>
        <v>plot</v>
      </c>
    </row>
    <row r="556" spans="1:29" x14ac:dyDescent="0.35">
      <c r="A556" t="s">
        <v>48</v>
      </c>
      <c r="B556">
        <v>52084</v>
      </c>
      <c r="C556" t="s">
        <v>52</v>
      </c>
      <c r="D556">
        <v>54250</v>
      </c>
      <c r="E556" t="s">
        <v>270</v>
      </c>
      <c r="F556">
        <v>12203</v>
      </c>
      <c r="G556">
        <v>0.85840757110480637</v>
      </c>
      <c r="H556">
        <v>0</v>
      </c>
      <c r="I556">
        <v>0</v>
      </c>
      <c r="J556">
        <v>0.72923718517520097</v>
      </c>
      <c r="K556">
        <v>0</v>
      </c>
      <c r="L556">
        <v>0</v>
      </c>
      <c r="M556">
        <v>0.54062579046601555</v>
      </c>
      <c r="N556">
        <v>0</v>
      </c>
      <c r="O556">
        <v>0</v>
      </c>
      <c r="P556">
        <v>0.73686355813005322</v>
      </c>
      <c r="Q556">
        <v>2.5891760523648091</v>
      </c>
      <c r="R556">
        <v>-0.31994243686539292</v>
      </c>
      <c r="S556">
        <v>0.29775241064850227</v>
      </c>
      <c r="T556">
        <v>0.22819146519478439</v>
      </c>
      <c r="U556">
        <v>4.3306450703105801</v>
      </c>
      <c r="V556">
        <v>0.1924485044943621</v>
      </c>
      <c r="W556">
        <v>10.89286007047447</v>
      </c>
      <c r="X556">
        <v>0.58047374688099795</v>
      </c>
      <c r="Z556" t="s">
        <v>392</v>
      </c>
      <c r="AA556">
        <v>9400</v>
      </c>
      <c r="AB556" t="s">
        <v>2975</v>
      </c>
      <c r="AC556" t="str">
        <f>HYPERLINK("plots/3FT6Y578R01_012_S11P_20251111092011_M5358ACSH101811_RBGEUFRF26/dpll_52084/txpa_54250.png","plot")</f>
        <v>plot</v>
      </c>
    </row>
    <row r="557" spans="1:29" x14ac:dyDescent="0.35">
      <c r="A557" t="s">
        <v>48</v>
      </c>
      <c r="B557">
        <v>52084</v>
      </c>
      <c r="C557" t="s">
        <v>52</v>
      </c>
      <c r="D557">
        <v>54251</v>
      </c>
      <c r="E557" t="s">
        <v>271</v>
      </c>
      <c r="F557">
        <v>12194</v>
      </c>
      <c r="G557">
        <v>0.84926693048729718</v>
      </c>
      <c r="H557">
        <v>0</v>
      </c>
      <c r="I557">
        <v>0</v>
      </c>
      <c r="J557">
        <v>0.72712903432312659</v>
      </c>
      <c r="K557">
        <v>0</v>
      </c>
      <c r="L557">
        <v>0</v>
      </c>
      <c r="M557">
        <v>0.53673673597082339</v>
      </c>
      <c r="N557">
        <v>0</v>
      </c>
      <c r="O557">
        <v>0</v>
      </c>
      <c r="P557">
        <v>0.72125431921931571</v>
      </c>
      <c r="Q557">
        <v>2.7206859049169689</v>
      </c>
      <c r="R557">
        <v>-0.46731819790064583</v>
      </c>
      <c r="S557">
        <v>0.32534086927546141</v>
      </c>
      <c r="T557">
        <v>0.24603858420267211</v>
      </c>
      <c r="U557">
        <v>4.3308225643759233</v>
      </c>
      <c r="V557">
        <v>0.19236150428938739</v>
      </c>
      <c r="W557">
        <v>11.31548970969329</v>
      </c>
      <c r="X557">
        <v>0.61624350905606051</v>
      </c>
      <c r="Z557" t="s">
        <v>392</v>
      </c>
      <c r="AA557">
        <v>9400</v>
      </c>
      <c r="AB557" t="s">
        <v>2976</v>
      </c>
      <c r="AC557" t="str">
        <f>HYPERLINK("plots/3FT6Y578R01_012_S11P_20251111092011_M5358ACSH101811_RBGEUFRF26/dpll_52084/txpa_54251.png","plot")</f>
        <v>plot</v>
      </c>
    </row>
    <row r="558" spans="1:29" x14ac:dyDescent="0.35">
      <c r="A558" t="s">
        <v>48</v>
      </c>
      <c r="B558">
        <v>52084</v>
      </c>
      <c r="C558" t="s">
        <v>52</v>
      </c>
      <c r="D558">
        <v>54252</v>
      </c>
      <c r="E558" t="s">
        <v>272</v>
      </c>
      <c r="F558">
        <v>12207</v>
      </c>
      <c r="G558">
        <v>0.85725520941546784</v>
      </c>
      <c r="H558">
        <v>0</v>
      </c>
      <c r="I558">
        <v>0</v>
      </c>
      <c r="J558">
        <v>0.73484023201615034</v>
      </c>
      <c r="K558">
        <v>0</v>
      </c>
      <c r="L558">
        <v>0</v>
      </c>
      <c r="M558">
        <v>0.54524749456876309</v>
      </c>
      <c r="N558">
        <v>0</v>
      </c>
      <c r="O558">
        <v>0</v>
      </c>
      <c r="P558">
        <v>0.73488649406995765</v>
      </c>
      <c r="Q558">
        <v>2.761892828182309</v>
      </c>
      <c r="R558">
        <v>-0.61058794815462036</v>
      </c>
      <c r="S558">
        <v>0.3194211209401922</v>
      </c>
      <c r="T558">
        <v>0.24382095260287751</v>
      </c>
      <c r="U558">
        <v>4.3304632639469149</v>
      </c>
      <c r="V558">
        <v>0.1925612085676931</v>
      </c>
      <c r="W558">
        <v>11.349687483247321</v>
      </c>
      <c r="X558">
        <v>0.62039100502155919</v>
      </c>
      <c r="Z558" t="s">
        <v>392</v>
      </c>
      <c r="AA558">
        <v>9400</v>
      </c>
      <c r="AB558" t="s">
        <v>2977</v>
      </c>
      <c r="AC558" t="str">
        <f>HYPERLINK("plots/3FT6Y578R01_012_S11P_20251111092011_M5358ACSH101811_RBGEUFRF26/dpll_52084/txpa_54252.png","plot")</f>
        <v>plot</v>
      </c>
    </row>
    <row r="559" spans="1:29" x14ac:dyDescent="0.35">
      <c r="A559" t="s">
        <v>48</v>
      </c>
      <c r="B559">
        <v>52084</v>
      </c>
      <c r="C559" t="s">
        <v>52</v>
      </c>
      <c r="D559">
        <v>54253</v>
      </c>
      <c r="E559" t="s">
        <v>273</v>
      </c>
      <c r="F559">
        <v>12196</v>
      </c>
      <c r="G559">
        <v>0.85825757007046954</v>
      </c>
      <c r="H559">
        <v>0</v>
      </c>
      <c r="I559">
        <v>0</v>
      </c>
      <c r="J559">
        <v>0.73209453286939219</v>
      </c>
      <c r="K559">
        <v>0</v>
      </c>
      <c r="L559">
        <v>0</v>
      </c>
      <c r="M559">
        <v>0.5426496958092516</v>
      </c>
      <c r="N559">
        <v>0</v>
      </c>
      <c r="O559">
        <v>0</v>
      </c>
      <c r="P559">
        <v>0.73660605658326694</v>
      </c>
      <c r="Q559">
        <v>2.7335607772134658</v>
      </c>
      <c r="R559">
        <v>-0.47979548050269472</v>
      </c>
      <c r="S559">
        <v>0.31450344228478588</v>
      </c>
      <c r="T559">
        <v>0.24054923813479151</v>
      </c>
      <c r="U559">
        <v>4.3307679402263037</v>
      </c>
      <c r="V559">
        <v>0.19241070237375549</v>
      </c>
      <c r="W559">
        <v>11.35862189611348</v>
      </c>
      <c r="X559">
        <v>0.61283042231926499</v>
      </c>
      <c r="Z559" t="s">
        <v>392</v>
      </c>
      <c r="AA559">
        <v>9400</v>
      </c>
      <c r="AB559" t="s">
        <v>2978</v>
      </c>
      <c r="AC559" t="str">
        <f>HYPERLINK("plots/3FT6Y578R01_012_S11P_20251111092011_M5358ACSH101811_RBGEUFRF26/dpll_52084/txpa_54253.png","plot")</f>
        <v>plot</v>
      </c>
    </row>
    <row r="560" spans="1:29" x14ac:dyDescent="0.35">
      <c r="A560" t="s">
        <v>48</v>
      </c>
      <c r="B560">
        <v>52084</v>
      </c>
      <c r="C560" t="s">
        <v>52</v>
      </c>
      <c r="D560">
        <v>54254</v>
      </c>
      <c r="E560" t="s">
        <v>274</v>
      </c>
      <c r="F560">
        <v>12211</v>
      </c>
      <c r="G560">
        <v>0.86263146296230764</v>
      </c>
      <c r="H560">
        <v>0</v>
      </c>
      <c r="I560">
        <v>0</v>
      </c>
      <c r="J560">
        <v>0.73660002978498618</v>
      </c>
      <c r="K560">
        <v>0</v>
      </c>
      <c r="L560">
        <v>0</v>
      </c>
      <c r="M560">
        <v>0.54742907629638504</v>
      </c>
      <c r="N560">
        <v>0</v>
      </c>
      <c r="O560">
        <v>0</v>
      </c>
      <c r="P560">
        <v>0.7441330408924911</v>
      </c>
      <c r="Q560">
        <v>2.7785182466466658</v>
      </c>
      <c r="R560">
        <v>-0.66335062251263288</v>
      </c>
      <c r="S560">
        <v>0.31380010626515259</v>
      </c>
      <c r="T560">
        <v>0.24075844026953361</v>
      </c>
      <c r="U560">
        <v>4.3303955490950781</v>
      </c>
      <c r="V560">
        <v>0.19260865882789441</v>
      </c>
      <c r="W560">
        <v>11.36873242584555</v>
      </c>
      <c r="X560">
        <v>0.62038853901487112</v>
      </c>
      <c r="Z560" t="s">
        <v>392</v>
      </c>
      <c r="AA560">
        <v>9400</v>
      </c>
      <c r="AB560" t="s">
        <v>2979</v>
      </c>
      <c r="AC560" t="str">
        <f>HYPERLINK("plots/3FT6Y578R01_012_S11P_20251111092011_M5358ACSH101811_RBGEUFRF26/dpll_52084/txpa_54254.png","plot")</f>
        <v>plot</v>
      </c>
    </row>
    <row r="561" spans="1:29" x14ac:dyDescent="0.35">
      <c r="A561" t="s">
        <v>48</v>
      </c>
      <c r="B561">
        <v>52084</v>
      </c>
      <c r="C561" t="s">
        <v>52</v>
      </c>
      <c r="D561">
        <v>54255</v>
      </c>
      <c r="E561" t="s">
        <v>275</v>
      </c>
      <c r="F561">
        <v>12211</v>
      </c>
      <c r="G561">
        <v>0.86142801567205141</v>
      </c>
      <c r="H561">
        <v>0</v>
      </c>
      <c r="I561">
        <v>0</v>
      </c>
      <c r="J561">
        <v>0.73475219690528426</v>
      </c>
      <c r="K561">
        <v>0</v>
      </c>
      <c r="L561">
        <v>0</v>
      </c>
      <c r="M561">
        <v>0.54526792236410038</v>
      </c>
      <c r="N561">
        <v>0</v>
      </c>
      <c r="O561">
        <v>0</v>
      </c>
      <c r="P561">
        <v>0.74205822618468809</v>
      </c>
      <c r="Q561">
        <v>2.7831059256074848</v>
      </c>
      <c r="R561">
        <v>-0.71568538309825058</v>
      </c>
      <c r="S561">
        <v>0.31580230140914151</v>
      </c>
      <c r="T561">
        <v>0.24254925067273511</v>
      </c>
      <c r="U561">
        <v>4.3304662247973136</v>
      </c>
      <c r="V561">
        <v>0.19246930990734731</v>
      </c>
      <c r="W561">
        <v>11.336460827778231</v>
      </c>
      <c r="X561">
        <v>0.62183080554075021</v>
      </c>
      <c r="Z561" t="s">
        <v>392</v>
      </c>
      <c r="AA561">
        <v>9400</v>
      </c>
      <c r="AB561" t="s">
        <v>2980</v>
      </c>
      <c r="AC561" t="str">
        <f>HYPERLINK("plots/3FT6Y578R01_012_S11P_20251111092011_M5358ACSH101811_RBGEUFRF26/dpll_52084/txpa_54255.png","plot")</f>
        <v>plot</v>
      </c>
    </row>
    <row r="562" spans="1:29" x14ac:dyDescent="0.35">
      <c r="A562" t="s">
        <v>48</v>
      </c>
      <c r="B562">
        <v>52084</v>
      </c>
      <c r="C562" t="s">
        <v>52</v>
      </c>
      <c r="D562">
        <v>54256</v>
      </c>
      <c r="E562" t="s">
        <v>276</v>
      </c>
      <c r="F562">
        <v>12219</v>
      </c>
      <c r="G562">
        <v>0.86254580820057913</v>
      </c>
      <c r="H562">
        <v>0</v>
      </c>
      <c r="I562">
        <v>0</v>
      </c>
      <c r="J562">
        <v>0.73820814448110139</v>
      </c>
      <c r="K562">
        <v>0</v>
      </c>
      <c r="L562">
        <v>0</v>
      </c>
      <c r="M562">
        <v>0.54927041853299985</v>
      </c>
      <c r="N562">
        <v>0</v>
      </c>
      <c r="O562">
        <v>0</v>
      </c>
      <c r="P562">
        <v>0.74398527124439029</v>
      </c>
      <c r="Q562">
        <v>2.7953177379919878</v>
      </c>
      <c r="R562">
        <v>-0.75525507778899659</v>
      </c>
      <c r="S562">
        <v>0.31580606135482853</v>
      </c>
      <c r="T562">
        <v>0.24233342157169391</v>
      </c>
      <c r="U562">
        <v>4.330234315083068</v>
      </c>
      <c r="V562">
        <v>0.1926002054896277</v>
      </c>
      <c r="W562">
        <v>11.349125712824289</v>
      </c>
      <c r="X562">
        <v>0.62417411994524685</v>
      </c>
      <c r="Z562" t="s">
        <v>392</v>
      </c>
      <c r="AA562">
        <v>9400</v>
      </c>
      <c r="AB562" t="s">
        <v>2981</v>
      </c>
      <c r="AC562" t="str">
        <f>HYPERLINK("plots/3FT6Y578R01_012_S11P_20251111092011_M5358ACSH101811_RBGEUFRF26/dpll_52084/txpa_54256.png","plot")</f>
        <v>plot</v>
      </c>
    </row>
    <row r="563" spans="1:29" x14ac:dyDescent="0.35">
      <c r="A563" t="s">
        <v>48</v>
      </c>
      <c r="B563">
        <v>52084</v>
      </c>
      <c r="C563" t="s">
        <v>52</v>
      </c>
      <c r="D563">
        <v>54257</v>
      </c>
      <c r="E563" t="s">
        <v>277</v>
      </c>
      <c r="F563">
        <v>12203</v>
      </c>
      <c r="G563">
        <v>0.86434462360315412</v>
      </c>
      <c r="H563">
        <v>0</v>
      </c>
      <c r="I563">
        <v>0</v>
      </c>
      <c r="J563">
        <v>0.73487730874757229</v>
      </c>
      <c r="K563">
        <v>0</v>
      </c>
      <c r="L563">
        <v>0</v>
      </c>
      <c r="M563">
        <v>0.5469061169267555</v>
      </c>
      <c r="N563">
        <v>0</v>
      </c>
      <c r="O563">
        <v>0</v>
      </c>
      <c r="P563">
        <v>0.74709162835167819</v>
      </c>
      <c r="Q563">
        <v>2.7820672707303169</v>
      </c>
      <c r="R563">
        <v>-0.68939052076841101</v>
      </c>
      <c r="S563">
        <v>0.31159235778770428</v>
      </c>
      <c r="T563">
        <v>0.24046641230820159</v>
      </c>
      <c r="U563">
        <v>4.3306004672621494</v>
      </c>
      <c r="V563">
        <v>0.19250512583860421</v>
      </c>
      <c r="W563">
        <v>11.35863130181103</v>
      </c>
      <c r="X563">
        <v>0.61961652264443767</v>
      </c>
      <c r="Z563" t="s">
        <v>392</v>
      </c>
      <c r="AA563">
        <v>9400</v>
      </c>
      <c r="AB563" t="s">
        <v>2982</v>
      </c>
      <c r="AC563" t="str">
        <f>HYPERLINK("plots/3FT6Y578R01_012_S11P_20251111092011_M5358ACSH101811_RBGEUFRF26/dpll_52084/txpa_54257.png","plot")</f>
        <v>plot</v>
      </c>
    </row>
    <row r="564" spans="1:29" x14ac:dyDescent="0.35">
      <c r="A564" t="s">
        <v>48</v>
      </c>
      <c r="B564">
        <v>52084</v>
      </c>
      <c r="C564" t="s">
        <v>52</v>
      </c>
      <c r="D564">
        <v>54258</v>
      </c>
      <c r="E564" t="s">
        <v>278</v>
      </c>
      <c r="F564">
        <v>12198</v>
      </c>
      <c r="G564">
        <v>0.85894223542456449</v>
      </c>
      <c r="H564">
        <v>0</v>
      </c>
      <c r="I564">
        <v>0</v>
      </c>
      <c r="J564">
        <v>0.72707544524195145</v>
      </c>
      <c r="K564">
        <v>0</v>
      </c>
      <c r="L564">
        <v>0</v>
      </c>
      <c r="M564">
        <v>0.53909549531007095</v>
      </c>
      <c r="N564">
        <v>0</v>
      </c>
      <c r="O564">
        <v>0</v>
      </c>
      <c r="P564">
        <v>0.73778176379614802</v>
      </c>
      <c r="Q564">
        <v>2.753578725237682</v>
      </c>
      <c r="R564">
        <v>-0.58057507672193687</v>
      </c>
      <c r="S564">
        <v>0.31582062026610919</v>
      </c>
      <c r="T564">
        <v>0.24251625750136591</v>
      </c>
      <c r="U564">
        <v>4.3307643858829321</v>
      </c>
      <c r="V564">
        <v>0.19239478653431599</v>
      </c>
      <c r="W564">
        <v>11.34452560026234</v>
      </c>
      <c r="X564">
        <v>0.61677510919657696</v>
      </c>
      <c r="Z564" t="s">
        <v>392</v>
      </c>
      <c r="AA564">
        <v>9400</v>
      </c>
      <c r="AB564" t="s">
        <v>2983</v>
      </c>
      <c r="AC564" t="str">
        <f>HYPERLINK("plots/3FT6Y578R01_012_S11P_20251111092011_M5358ACSH101811_RBGEUFRF26/dpll_52084/txpa_54258.png","plot")</f>
        <v>plot</v>
      </c>
    </row>
    <row r="565" spans="1:29" x14ac:dyDescent="0.35">
      <c r="A565" t="s">
        <v>48</v>
      </c>
      <c r="B565">
        <v>52084</v>
      </c>
      <c r="C565" t="s">
        <v>52</v>
      </c>
      <c r="D565">
        <v>55146</v>
      </c>
      <c r="E565" t="s">
        <v>279</v>
      </c>
      <c r="F565">
        <v>12233</v>
      </c>
      <c r="G565">
        <v>1.492458507229554E-3</v>
      </c>
      <c r="H565">
        <v>0.86890190970788772</v>
      </c>
      <c r="I565">
        <v>0.86975966085271295</v>
      </c>
      <c r="J565">
        <v>-6.1090278795162952E-3</v>
      </c>
      <c r="K565">
        <v>0.4992861210136571</v>
      </c>
      <c r="L565">
        <v>0.50126349178994878</v>
      </c>
      <c r="M565">
        <v>-4.0488320833662909E-3</v>
      </c>
      <c r="N565">
        <v>0.50183178146488594</v>
      </c>
      <c r="O565">
        <v>0.50411285590622257</v>
      </c>
      <c r="P565">
        <v>2.2274323958018691E-6</v>
      </c>
      <c r="Q565">
        <v>4.0926898008446552E-2</v>
      </c>
      <c r="R565">
        <v>-10.798079560227301</v>
      </c>
      <c r="S565">
        <v>5.2895067336920611</v>
      </c>
      <c r="T565">
        <v>3.975235297039807</v>
      </c>
      <c r="U565">
        <v>4.3297099793182374</v>
      </c>
      <c r="V565">
        <v>0.1928976098139932</v>
      </c>
      <c r="W565">
        <v>-10.620877961497589</v>
      </c>
      <c r="X565">
        <v>5.2897288364722286</v>
      </c>
      <c r="Z565" t="s">
        <v>392</v>
      </c>
      <c r="AA565">
        <v>9400</v>
      </c>
      <c r="AB565" t="s">
        <v>2984</v>
      </c>
      <c r="AC565" t="str">
        <f>HYPERLINK("plots/3FT6Y578R01_012_S11P_20251111092011_M5358ACSH101811_RBGEUFRF26/dpll_52084/txpa_55146.png","plot")</f>
        <v>plot</v>
      </c>
    </row>
    <row r="566" spans="1:29" x14ac:dyDescent="0.35">
      <c r="A566" t="s">
        <v>48</v>
      </c>
      <c r="B566">
        <v>52084</v>
      </c>
      <c r="C566" t="s">
        <v>52</v>
      </c>
      <c r="D566">
        <v>55147</v>
      </c>
      <c r="E566" t="s">
        <v>280</v>
      </c>
      <c r="F566">
        <v>12243</v>
      </c>
      <c r="G566">
        <v>0.23264115320464221</v>
      </c>
      <c r="H566">
        <v>3.8892073376436249E-150</v>
      </c>
      <c r="I566">
        <v>3.9357846710285792E-150</v>
      </c>
      <c r="J566">
        <v>0.21068994238504071</v>
      </c>
      <c r="K566">
        <v>6.9319514001714581E-123</v>
      </c>
      <c r="L566">
        <v>7.0079747953876956E-123</v>
      </c>
      <c r="M566">
        <v>0.14709045970880291</v>
      </c>
      <c r="N566">
        <v>2.3557969588467299E-121</v>
      </c>
      <c r="O566">
        <v>2.381633216620723E-121</v>
      </c>
      <c r="P566">
        <v>5.412190616438578E-2</v>
      </c>
      <c r="Q566">
        <v>1.520903446940105</v>
      </c>
      <c r="R566">
        <v>-31.494412362040858</v>
      </c>
      <c r="S566">
        <v>1.2262548784809859</v>
      </c>
      <c r="T566">
        <v>1.028939014487724</v>
      </c>
      <c r="U566">
        <v>4.3297121556807969</v>
      </c>
      <c r="V566">
        <v>0.19287049691405411</v>
      </c>
      <c r="W566">
        <v>-24.909338220207459</v>
      </c>
      <c r="X566">
        <v>1.2609007457575749</v>
      </c>
      <c r="Z566" t="s">
        <v>392</v>
      </c>
      <c r="AA566">
        <v>9400</v>
      </c>
      <c r="AB566" t="s">
        <v>2985</v>
      </c>
      <c r="AC566" t="str">
        <f>HYPERLINK("plots/3FT6Y578R01_012_S11P_20251111092011_M5358ACSH101811_RBGEUFRF26/dpll_52084/txpa_55147.png","plot")</f>
        <v>plot</v>
      </c>
    </row>
    <row r="567" spans="1:29" x14ac:dyDescent="0.35">
      <c r="A567" t="s">
        <v>48</v>
      </c>
      <c r="B567">
        <v>52084</v>
      </c>
      <c r="C567" t="s">
        <v>52</v>
      </c>
      <c r="D567">
        <v>55148</v>
      </c>
      <c r="E567" t="s">
        <v>281</v>
      </c>
      <c r="F567">
        <v>12243</v>
      </c>
      <c r="G567">
        <v>0.22958584011788061</v>
      </c>
      <c r="H567">
        <v>3.6417853172096592E-146</v>
      </c>
      <c r="I567">
        <v>3.6707458366308101E-146</v>
      </c>
      <c r="J567">
        <v>0.20348473185578489</v>
      </c>
      <c r="K567">
        <v>1.3924948484197259E-114</v>
      </c>
      <c r="L567">
        <v>1.402174554416685E-114</v>
      </c>
      <c r="M567">
        <v>0.1417141344068851</v>
      </c>
      <c r="N567">
        <v>1.4991750684229969E-113</v>
      </c>
      <c r="O567">
        <v>1.509596344966156E-113</v>
      </c>
      <c r="P567">
        <v>5.2709657982633037E-2</v>
      </c>
      <c r="Q567">
        <v>1.5323006746890071</v>
      </c>
      <c r="R567">
        <v>-31.473638053307582</v>
      </c>
      <c r="S567">
        <v>1.252819517860378</v>
      </c>
      <c r="T567">
        <v>1.0567252112926091</v>
      </c>
      <c r="U567">
        <v>4.3297121556807969</v>
      </c>
      <c r="V567">
        <v>0.19287049691405411</v>
      </c>
      <c r="W567">
        <v>-24.839217195948699</v>
      </c>
      <c r="X567">
        <v>1.2872553132948741</v>
      </c>
      <c r="Z567" t="s">
        <v>392</v>
      </c>
      <c r="AA567">
        <v>9400</v>
      </c>
      <c r="AB567" t="s">
        <v>2986</v>
      </c>
      <c r="AC567" t="str">
        <f>HYPERLINK("plots/3FT6Y578R01_012_S11P_20251111092011_M5358ACSH101811_RBGEUFRF26/dpll_52084/txpa_55148.png","plot")</f>
        <v>plot</v>
      </c>
    </row>
    <row r="568" spans="1:29" x14ac:dyDescent="0.35">
      <c r="A568" t="s">
        <v>48</v>
      </c>
      <c r="B568">
        <v>52084</v>
      </c>
      <c r="C568" t="s">
        <v>52</v>
      </c>
      <c r="D568">
        <v>55149</v>
      </c>
      <c r="E568" t="s">
        <v>282</v>
      </c>
      <c r="F568">
        <v>12243</v>
      </c>
      <c r="G568">
        <v>0.24561367747920759</v>
      </c>
      <c r="H568">
        <v>1.18580625348022E-167</v>
      </c>
      <c r="I568">
        <v>1.2157811334974139E-167</v>
      </c>
      <c r="J568">
        <v>0.21857142138861141</v>
      </c>
      <c r="K568">
        <v>2.4980562071294631E-132</v>
      </c>
      <c r="L568">
        <v>2.5716030396236299E-132</v>
      </c>
      <c r="M568">
        <v>0.15242771494426921</v>
      </c>
      <c r="N568">
        <v>1.2045583184593581E-131</v>
      </c>
      <c r="O568">
        <v>1.2400224719977549E-131</v>
      </c>
      <c r="P568">
        <v>6.0326078564860219E-2</v>
      </c>
      <c r="Q568">
        <v>1.643774703630456</v>
      </c>
      <c r="R568">
        <v>-31.932709155907968</v>
      </c>
      <c r="S568">
        <v>1.2511990165250659</v>
      </c>
      <c r="T568">
        <v>1.057392082028153</v>
      </c>
      <c r="U568">
        <v>4.3297121556807969</v>
      </c>
      <c r="V568">
        <v>0.19287049691405411</v>
      </c>
      <c r="W568">
        <v>-24.81563784039859</v>
      </c>
      <c r="X568">
        <v>1.2907898581128341</v>
      </c>
      <c r="Z568" t="s">
        <v>392</v>
      </c>
      <c r="AA568">
        <v>9400</v>
      </c>
      <c r="AB568" t="s">
        <v>2987</v>
      </c>
      <c r="AC568" t="str">
        <f>HYPERLINK("plots/3FT6Y578R01_012_S11P_20251111092011_M5358ACSH101811_RBGEUFRF26/dpll_52084/txpa_55149.png","plot")</f>
        <v>plot</v>
      </c>
    </row>
    <row r="569" spans="1:29" x14ac:dyDescent="0.35">
      <c r="A569" t="s">
        <v>48</v>
      </c>
      <c r="B569">
        <v>52084</v>
      </c>
      <c r="C569" t="s">
        <v>52</v>
      </c>
      <c r="D569">
        <v>55150</v>
      </c>
      <c r="E569" t="s">
        <v>283</v>
      </c>
      <c r="F569">
        <v>12243</v>
      </c>
      <c r="G569">
        <v>0.25360063356715062</v>
      </c>
      <c r="H569">
        <v>5.7196462299936072E-179</v>
      </c>
      <c r="I569">
        <v>5.9241279644673308E-179</v>
      </c>
      <c r="J569">
        <v>0.23488036713994989</v>
      </c>
      <c r="K569">
        <v>4.3868005798162928E-153</v>
      </c>
      <c r="L569">
        <v>4.6143317302217028E-153</v>
      </c>
      <c r="M569">
        <v>0.16279451609615861</v>
      </c>
      <c r="N569">
        <v>8.4709869870873088E-151</v>
      </c>
      <c r="O569">
        <v>8.9103535320607171E-151</v>
      </c>
      <c r="P569">
        <v>6.4313281345660181E-2</v>
      </c>
      <c r="Q569">
        <v>1.7260105933415331</v>
      </c>
      <c r="R569">
        <v>-32.223616265643578</v>
      </c>
      <c r="S569">
        <v>1.2697154887847399</v>
      </c>
      <c r="T569">
        <v>1.069329437589104</v>
      </c>
      <c r="U569">
        <v>4.3297121556807969</v>
      </c>
      <c r="V569">
        <v>0.19287049691405411</v>
      </c>
      <c r="W569">
        <v>-24.750487218818922</v>
      </c>
      <c r="X569">
        <v>1.312680162246344</v>
      </c>
      <c r="Z569" t="s">
        <v>392</v>
      </c>
      <c r="AA569">
        <v>9400</v>
      </c>
      <c r="AB569" t="s">
        <v>2988</v>
      </c>
      <c r="AC569" t="str">
        <f>HYPERLINK("plots/3FT6Y578R01_012_S11P_20251111092011_M5358ACSH101811_RBGEUFRF26/dpll_52084/txpa_55150.png","plot")</f>
        <v>plot</v>
      </c>
    </row>
    <row r="570" spans="1:29" x14ac:dyDescent="0.35">
      <c r="A570" t="s">
        <v>48</v>
      </c>
      <c r="B570">
        <v>52084</v>
      </c>
      <c r="C570" t="s">
        <v>52</v>
      </c>
      <c r="D570">
        <v>55151</v>
      </c>
      <c r="E570" t="s">
        <v>284</v>
      </c>
      <c r="F570">
        <v>12242</v>
      </c>
      <c r="G570">
        <v>0.2395749425567342</v>
      </c>
      <c r="H570">
        <v>2.3592307804489382E-159</v>
      </c>
      <c r="I570">
        <v>2.4067002126511298E-159</v>
      </c>
      <c r="J570">
        <v>0.21546213306365941</v>
      </c>
      <c r="K570">
        <v>1.508851159209351E-128</v>
      </c>
      <c r="L570">
        <v>1.5361195536528941E-128</v>
      </c>
      <c r="M570">
        <v>0.14995529305952651</v>
      </c>
      <c r="N570">
        <v>1.7372769270588271E-127</v>
      </c>
      <c r="O570">
        <v>1.7668995025452859E-127</v>
      </c>
      <c r="P570">
        <v>5.7396153101062483E-2</v>
      </c>
      <c r="Q570">
        <v>1.601970106872068</v>
      </c>
      <c r="R570">
        <v>-31.744381611743879</v>
      </c>
      <c r="S570">
        <v>1.2520717557424419</v>
      </c>
      <c r="T570">
        <v>1.0602680534002631</v>
      </c>
      <c r="U570">
        <v>4.3297262510210759</v>
      </c>
      <c r="V570">
        <v>0.19287206860220879</v>
      </c>
      <c r="W570">
        <v>-24.808289586668849</v>
      </c>
      <c r="X570">
        <v>1.289681153855013</v>
      </c>
      <c r="Z570" t="s">
        <v>392</v>
      </c>
      <c r="AA570">
        <v>9400</v>
      </c>
      <c r="AB570" t="s">
        <v>2989</v>
      </c>
      <c r="AC570" t="str">
        <f>HYPERLINK("plots/3FT6Y578R01_012_S11P_20251111092011_M5358ACSH101811_RBGEUFRF26/dpll_52084/txpa_55151.png","plot")</f>
        <v>plot</v>
      </c>
    </row>
    <row r="571" spans="1:29" x14ac:dyDescent="0.35">
      <c r="A571" t="s">
        <v>48</v>
      </c>
      <c r="B571">
        <v>52084</v>
      </c>
      <c r="C571" t="s">
        <v>52</v>
      </c>
      <c r="D571">
        <v>55152</v>
      </c>
      <c r="E571" t="s">
        <v>285</v>
      </c>
      <c r="F571">
        <v>12243</v>
      </c>
      <c r="G571">
        <v>0.24225819820089869</v>
      </c>
      <c r="H571">
        <v>5.0900839987928748E-163</v>
      </c>
      <c r="I571">
        <v>5.2082191470998751E-163</v>
      </c>
      <c r="J571">
        <v>0.2161425258145957</v>
      </c>
      <c r="K571">
        <v>2.2296402531890331E-129</v>
      </c>
      <c r="L571">
        <v>2.276792766096354E-129</v>
      </c>
      <c r="M571">
        <v>0.15110197580368559</v>
      </c>
      <c r="N571">
        <v>8.8315037245291051E-129</v>
      </c>
      <c r="O571">
        <v>9.027363686161808E-129</v>
      </c>
      <c r="P571">
        <v>5.8689034595545912E-2</v>
      </c>
      <c r="Q571">
        <v>1.612394280293215</v>
      </c>
      <c r="R571">
        <v>-31.831547470277432</v>
      </c>
      <c r="S571">
        <v>1.245395772667949</v>
      </c>
      <c r="T571">
        <v>1.0488349393406731</v>
      </c>
      <c r="U571">
        <v>4.3297121556807969</v>
      </c>
      <c r="V571">
        <v>0.19287049691405411</v>
      </c>
      <c r="W571">
        <v>-24.850344355141711</v>
      </c>
      <c r="X571">
        <v>1.2836852926795079</v>
      </c>
      <c r="Z571" t="s">
        <v>392</v>
      </c>
      <c r="AA571">
        <v>9400</v>
      </c>
      <c r="AB571" t="s">
        <v>2990</v>
      </c>
      <c r="AC571" t="str">
        <f>HYPERLINK("plots/3FT6Y578R01_012_S11P_20251111092011_M5358ACSH101811_RBGEUFRF26/dpll_52084/txpa_55152.png","plot")</f>
        <v>plot</v>
      </c>
    </row>
    <row r="572" spans="1:29" x14ac:dyDescent="0.35">
      <c r="A572" t="s">
        <v>48</v>
      </c>
      <c r="B572">
        <v>52084</v>
      </c>
      <c r="C572" t="s">
        <v>52</v>
      </c>
      <c r="D572">
        <v>55153</v>
      </c>
      <c r="E572" t="s">
        <v>286</v>
      </c>
      <c r="F572">
        <v>12243</v>
      </c>
      <c r="G572">
        <v>0.2384863539733092</v>
      </c>
      <c r="H572">
        <v>6.7456320635897602E-158</v>
      </c>
      <c r="I572">
        <v>6.8606528710932969E-158</v>
      </c>
      <c r="J572">
        <v>0.2166560894855015</v>
      </c>
      <c r="K572">
        <v>5.3378516817336899E-130</v>
      </c>
      <c r="L572">
        <v>5.4562314569334286E-130</v>
      </c>
      <c r="M572">
        <v>0.15122830491396061</v>
      </c>
      <c r="N572">
        <v>1.136027116045125E-128</v>
      </c>
      <c r="O572">
        <v>1.160051858680521E-128</v>
      </c>
      <c r="P572">
        <v>5.6875741031482518E-2</v>
      </c>
      <c r="Q572">
        <v>1.565643428883716</v>
      </c>
      <c r="R572">
        <v>-31.655671675624561</v>
      </c>
      <c r="S572">
        <v>1.229594312613141</v>
      </c>
      <c r="T572">
        <v>1.038332457558157</v>
      </c>
      <c r="U572">
        <v>4.3297121556807969</v>
      </c>
      <c r="V572">
        <v>0.19287049691405411</v>
      </c>
      <c r="W572">
        <v>-24.876886290124968</v>
      </c>
      <c r="X572">
        <v>1.26617905422304</v>
      </c>
      <c r="Z572" t="s">
        <v>392</v>
      </c>
      <c r="AA572">
        <v>9400</v>
      </c>
      <c r="AB572" t="s">
        <v>2991</v>
      </c>
      <c r="AC572" t="str">
        <f>HYPERLINK("plots/3FT6Y578R01_012_S11P_20251111092011_M5358ACSH101811_RBGEUFRF26/dpll_52084/txpa_55153.png","plot")</f>
        <v>plot</v>
      </c>
    </row>
    <row r="573" spans="1:29" x14ac:dyDescent="0.35">
      <c r="A573" t="s">
        <v>48</v>
      </c>
      <c r="B573">
        <v>52084</v>
      </c>
      <c r="C573" t="s">
        <v>52</v>
      </c>
      <c r="D573">
        <v>55154</v>
      </c>
      <c r="E573" t="s">
        <v>287</v>
      </c>
      <c r="F573">
        <v>12243</v>
      </c>
      <c r="G573">
        <v>0.23323057041678441</v>
      </c>
      <c r="H573">
        <v>6.5613741052593152E-151</v>
      </c>
      <c r="I573">
        <v>6.6465867559769681E-151</v>
      </c>
      <c r="J573">
        <v>0.21419034824753769</v>
      </c>
      <c r="K573">
        <v>4.9385193179735434E-127</v>
      </c>
      <c r="L573">
        <v>5.0076585884251729E-127</v>
      </c>
      <c r="M573">
        <v>0.15059519589594189</v>
      </c>
      <c r="N573">
        <v>6.9013508604348674E-126</v>
      </c>
      <c r="O573">
        <v>6.9979697724809558E-126</v>
      </c>
      <c r="P573">
        <v>5.4396498976938643E-2</v>
      </c>
      <c r="Q573">
        <v>1.487943030320525</v>
      </c>
      <c r="R573">
        <v>-31.432606857406601</v>
      </c>
      <c r="S573">
        <v>1.196474444620429</v>
      </c>
      <c r="T573">
        <v>1.0058742341794029</v>
      </c>
      <c r="U573">
        <v>4.3297121556807969</v>
      </c>
      <c r="V573">
        <v>0.19287049691405411</v>
      </c>
      <c r="W573">
        <v>-24.990241832067301</v>
      </c>
      <c r="X573">
        <v>1.230457530180918</v>
      </c>
      <c r="Z573" t="s">
        <v>392</v>
      </c>
      <c r="AA573">
        <v>9400</v>
      </c>
      <c r="AB573" t="s">
        <v>2992</v>
      </c>
      <c r="AC573" t="str">
        <f>HYPERLINK("plots/3FT6Y578R01_012_S11P_20251111092011_M5358ACSH101811_RBGEUFRF26/dpll_52084/txpa_55154.png","plot")</f>
        <v>plot</v>
      </c>
    </row>
    <row r="574" spans="1:29" x14ac:dyDescent="0.35">
      <c r="A574" t="s">
        <v>48</v>
      </c>
      <c r="B574">
        <v>52084</v>
      </c>
      <c r="C574" t="s">
        <v>52</v>
      </c>
      <c r="D574">
        <v>55155</v>
      </c>
      <c r="E574" t="s">
        <v>288</v>
      </c>
      <c r="F574">
        <v>12243</v>
      </c>
      <c r="G574">
        <v>0.72221179008193748</v>
      </c>
      <c r="H574">
        <v>0</v>
      </c>
      <c r="I574">
        <v>0</v>
      </c>
      <c r="J574">
        <v>0.62542767939674648</v>
      </c>
      <c r="K574">
        <v>0</v>
      </c>
      <c r="L574">
        <v>0</v>
      </c>
      <c r="M574">
        <v>0.44720415392808072</v>
      </c>
      <c r="N574">
        <v>0</v>
      </c>
      <c r="O574">
        <v>0</v>
      </c>
      <c r="P574">
        <v>0.52158986973335653</v>
      </c>
      <c r="Q574">
        <v>1.4451756826242039</v>
      </c>
      <c r="R574">
        <v>-17.481676296563322</v>
      </c>
      <c r="S574">
        <v>0.26693425981456842</v>
      </c>
      <c r="T574">
        <v>0.20568875451948651</v>
      </c>
      <c r="U574">
        <v>4.3297121556807969</v>
      </c>
      <c r="V574">
        <v>0.19287049691405411</v>
      </c>
      <c r="W574">
        <v>-11.22448157641101</v>
      </c>
      <c r="X574">
        <v>0.38594184678737292</v>
      </c>
      <c r="Z574" t="s">
        <v>392</v>
      </c>
      <c r="AA574">
        <v>9400</v>
      </c>
      <c r="AB574" t="s">
        <v>2993</v>
      </c>
      <c r="AC574" t="str">
        <f>HYPERLINK("plots/3FT6Y578R01_012_S11P_20251111092011_M5358ACSH101811_RBGEUFRF26/dpll_52084/txpa_55155.png","plot")</f>
        <v>plot</v>
      </c>
    </row>
    <row r="575" spans="1:29" x14ac:dyDescent="0.35">
      <c r="A575" t="s">
        <v>48</v>
      </c>
      <c r="B575">
        <v>52084</v>
      </c>
      <c r="C575" t="s">
        <v>52</v>
      </c>
      <c r="D575">
        <v>55156</v>
      </c>
      <c r="E575" t="s">
        <v>289</v>
      </c>
      <c r="F575">
        <v>12242</v>
      </c>
      <c r="G575">
        <v>0.73813023808425948</v>
      </c>
      <c r="H575">
        <v>0</v>
      </c>
      <c r="I575">
        <v>0</v>
      </c>
      <c r="J575">
        <v>0.63390484642979483</v>
      </c>
      <c r="K575">
        <v>0</v>
      </c>
      <c r="L575">
        <v>0</v>
      </c>
      <c r="M575">
        <v>0.45525322225357462</v>
      </c>
      <c r="N575">
        <v>0</v>
      </c>
      <c r="O575">
        <v>0</v>
      </c>
      <c r="P575">
        <v>0.54483624837432554</v>
      </c>
      <c r="Q575">
        <v>1.47363496402461</v>
      </c>
      <c r="R575">
        <v>-17.54111829356782</v>
      </c>
      <c r="S575">
        <v>0.25977279371471801</v>
      </c>
      <c r="T575">
        <v>0.20240391486845311</v>
      </c>
      <c r="U575">
        <v>4.3296987265969609</v>
      </c>
      <c r="V575">
        <v>0.1928726506826407</v>
      </c>
      <c r="W575">
        <v>-11.160722866361709</v>
      </c>
      <c r="X575">
        <v>0.38505925781840061</v>
      </c>
      <c r="Z575" t="s">
        <v>392</v>
      </c>
      <c r="AA575">
        <v>9400</v>
      </c>
      <c r="AB575" t="s">
        <v>2994</v>
      </c>
      <c r="AC575" t="str">
        <f>HYPERLINK("plots/3FT6Y578R01_012_S11P_20251111092011_M5358ACSH101811_RBGEUFRF26/dpll_52084/txpa_55156.png","plot")</f>
        <v>plot</v>
      </c>
    </row>
    <row r="576" spans="1:29" x14ac:dyDescent="0.35">
      <c r="A576" t="s">
        <v>48</v>
      </c>
      <c r="B576">
        <v>52084</v>
      </c>
      <c r="C576" t="s">
        <v>52</v>
      </c>
      <c r="D576">
        <v>55157</v>
      </c>
      <c r="E576" t="s">
        <v>290</v>
      </c>
      <c r="F576">
        <v>12243</v>
      </c>
      <c r="G576">
        <v>0.74145448945937953</v>
      </c>
      <c r="H576">
        <v>0</v>
      </c>
      <c r="I576">
        <v>0</v>
      </c>
      <c r="J576">
        <v>0.63499829426284449</v>
      </c>
      <c r="K576">
        <v>0</v>
      </c>
      <c r="L576">
        <v>0</v>
      </c>
      <c r="M576">
        <v>0.45690137863233021</v>
      </c>
      <c r="N576">
        <v>0</v>
      </c>
      <c r="O576">
        <v>0</v>
      </c>
      <c r="P576">
        <v>0.5497547599394691</v>
      </c>
      <c r="Q576">
        <v>1.4687746429584789</v>
      </c>
      <c r="R576">
        <v>-17.49837178659568</v>
      </c>
      <c r="S576">
        <v>0.25635588659720637</v>
      </c>
      <c r="T576">
        <v>0.19931907186926701</v>
      </c>
      <c r="U576">
        <v>4.3297121556807969</v>
      </c>
      <c r="V576">
        <v>0.19287049691405411</v>
      </c>
      <c r="W576">
        <v>-11.13900036102263</v>
      </c>
      <c r="X576">
        <v>0.38206430639959582</v>
      </c>
      <c r="Z576" t="s">
        <v>392</v>
      </c>
      <c r="AA576">
        <v>9400</v>
      </c>
      <c r="AB576" t="s">
        <v>2995</v>
      </c>
      <c r="AC576" t="str">
        <f>HYPERLINK("plots/3FT6Y578R01_012_S11P_20251111092011_M5358ACSH101811_RBGEUFRF26/dpll_52084/txpa_55157.png","plot")</f>
        <v>plot</v>
      </c>
    </row>
    <row r="577" spans="1:29" x14ac:dyDescent="0.35">
      <c r="A577" t="s">
        <v>48</v>
      </c>
      <c r="B577">
        <v>52084</v>
      </c>
      <c r="C577" t="s">
        <v>52</v>
      </c>
      <c r="D577">
        <v>55158</v>
      </c>
      <c r="E577" t="s">
        <v>291</v>
      </c>
      <c r="F577">
        <v>12242</v>
      </c>
      <c r="G577">
        <v>0.74908007845433189</v>
      </c>
      <c r="H577">
        <v>0</v>
      </c>
      <c r="I577">
        <v>0</v>
      </c>
      <c r="J577">
        <v>0.63955561677508288</v>
      </c>
      <c r="K577">
        <v>0</v>
      </c>
      <c r="L577">
        <v>0</v>
      </c>
      <c r="M577">
        <v>0.46000892287688239</v>
      </c>
      <c r="N577">
        <v>0</v>
      </c>
      <c r="O577">
        <v>0</v>
      </c>
      <c r="P577">
        <v>0.56112096393714805</v>
      </c>
      <c r="Q577">
        <v>1.4903370352344241</v>
      </c>
      <c r="R577">
        <v>-17.543902528417899</v>
      </c>
      <c r="S577">
        <v>0.2542091629117767</v>
      </c>
      <c r="T577">
        <v>0.19831803795519651</v>
      </c>
      <c r="U577">
        <v>4.3297189133311553</v>
      </c>
      <c r="V577">
        <v>0.19287692535756709</v>
      </c>
      <c r="W577">
        <v>-11.091162079725541</v>
      </c>
      <c r="X577">
        <v>0.3837395137989274</v>
      </c>
      <c r="Z577" t="s">
        <v>392</v>
      </c>
      <c r="AA577">
        <v>9400</v>
      </c>
      <c r="AB577" t="s">
        <v>2996</v>
      </c>
      <c r="AC577" t="str">
        <f>HYPERLINK("plots/3FT6Y578R01_012_S11P_20251111092011_M5358ACSH101811_RBGEUFRF26/dpll_52084/txpa_55158.png","plot")</f>
        <v>plot</v>
      </c>
    </row>
    <row r="578" spans="1:29" x14ac:dyDescent="0.35">
      <c r="A578" t="s">
        <v>48</v>
      </c>
      <c r="B578">
        <v>52084</v>
      </c>
      <c r="C578" t="s">
        <v>52</v>
      </c>
      <c r="D578">
        <v>55159</v>
      </c>
      <c r="E578" t="s">
        <v>292</v>
      </c>
      <c r="F578">
        <v>12240</v>
      </c>
      <c r="G578">
        <v>0.75088659049636819</v>
      </c>
      <c r="H578">
        <v>0</v>
      </c>
      <c r="I578">
        <v>0</v>
      </c>
      <c r="J578">
        <v>0.63870619020813924</v>
      </c>
      <c r="K578">
        <v>0</v>
      </c>
      <c r="L578">
        <v>0</v>
      </c>
      <c r="M578">
        <v>0.45790055275840102</v>
      </c>
      <c r="N578">
        <v>0</v>
      </c>
      <c r="O578">
        <v>0</v>
      </c>
      <c r="P578">
        <v>0.56383067178726054</v>
      </c>
      <c r="Q578">
        <v>1.4914053746912339</v>
      </c>
      <c r="R578">
        <v>-17.574815052413829</v>
      </c>
      <c r="S578">
        <v>0.25294890686346128</v>
      </c>
      <c r="T578">
        <v>0.19862347547727391</v>
      </c>
      <c r="U578">
        <v>4.3297345467320261</v>
      </c>
      <c r="V578">
        <v>0.1928420022508596</v>
      </c>
      <c r="W578">
        <v>-11.117425678431371</v>
      </c>
      <c r="X578">
        <v>0.38302135404100313</v>
      </c>
      <c r="Z578" t="s">
        <v>392</v>
      </c>
      <c r="AA578">
        <v>9400</v>
      </c>
      <c r="AB578" t="s">
        <v>2997</v>
      </c>
      <c r="AC578" t="str">
        <f>HYPERLINK("plots/3FT6Y578R01_012_S11P_20251111092011_M5358ACSH101811_RBGEUFRF26/dpll_52084/txpa_55159.png","plot")</f>
        <v>plot</v>
      </c>
    </row>
    <row r="579" spans="1:29" x14ac:dyDescent="0.35">
      <c r="A579" t="s">
        <v>48</v>
      </c>
      <c r="B579">
        <v>52084</v>
      </c>
      <c r="C579" t="s">
        <v>52</v>
      </c>
      <c r="D579">
        <v>55160</v>
      </c>
      <c r="E579" t="s">
        <v>293</v>
      </c>
      <c r="F579">
        <v>12241</v>
      </c>
      <c r="G579">
        <v>0.75141933760580137</v>
      </c>
      <c r="H579">
        <v>0</v>
      </c>
      <c r="I579">
        <v>0</v>
      </c>
      <c r="J579">
        <v>0.6440869875311076</v>
      </c>
      <c r="K579">
        <v>0</v>
      </c>
      <c r="L579">
        <v>0</v>
      </c>
      <c r="M579">
        <v>0.46373459841171583</v>
      </c>
      <c r="N579">
        <v>0</v>
      </c>
      <c r="O579">
        <v>0</v>
      </c>
      <c r="P579">
        <v>0.56463102092794126</v>
      </c>
      <c r="Q579">
        <v>1.4900672258610681</v>
      </c>
      <c r="R579">
        <v>-17.590919421520489</v>
      </c>
      <c r="S579">
        <v>0.25229914913567281</v>
      </c>
      <c r="T579">
        <v>0.1975105155061935</v>
      </c>
      <c r="U579">
        <v>4.3297157026386737</v>
      </c>
      <c r="V579">
        <v>0.19283296991716889</v>
      </c>
      <c r="W579">
        <v>-11.139351955722571</v>
      </c>
      <c r="X579">
        <v>0.38238846694382489</v>
      </c>
      <c r="Z579" t="s">
        <v>392</v>
      </c>
      <c r="AA579">
        <v>9400</v>
      </c>
      <c r="AB579" t="s">
        <v>2998</v>
      </c>
      <c r="AC579" t="str">
        <f>HYPERLINK("plots/3FT6Y578R01_012_S11P_20251111092011_M5358ACSH101811_RBGEUFRF26/dpll_52084/txpa_55160.png","plot")</f>
        <v>plot</v>
      </c>
    </row>
    <row r="580" spans="1:29" x14ac:dyDescent="0.35">
      <c r="A580" t="s">
        <v>48</v>
      </c>
      <c r="B580">
        <v>52084</v>
      </c>
      <c r="C580" t="s">
        <v>52</v>
      </c>
      <c r="D580">
        <v>55161</v>
      </c>
      <c r="E580" t="s">
        <v>294</v>
      </c>
      <c r="F580">
        <v>12242</v>
      </c>
      <c r="G580">
        <v>0.75262477482819867</v>
      </c>
      <c r="H580">
        <v>0</v>
      </c>
      <c r="I580">
        <v>0</v>
      </c>
      <c r="J580">
        <v>0.64169545190301724</v>
      </c>
      <c r="K580">
        <v>0</v>
      </c>
      <c r="L580">
        <v>0</v>
      </c>
      <c r="M580">
        <v>0.46206862937515092</v>
      </c>
      <c r="N580">
        <v>0</v>
      </c>
      <c r="O580">
        <v>0</v>
      </c>
      <c r="P580">
        <v>0.56644405168519674</v>
      </c>
      <c r="Q580">
        <v>1.4957184771213441</v>
      </c>
      <c r="R580">
        <v>-17.613136613688649</v>
      </c>
      <c r="S580">
        <v>0.25234366136505348</v>
      </c>
      <c r="T580">
        <v>0.19737299121935231</v>
      </c>
      <c r="U580">
        <v>4.3297428452050317</v>
      </c>
      <c r="V580">
        <v>0.19284847807112951</v>
      </c>
      <c r="W580">
        <v>-11.13706023893155</v>
      </c>
      <c r="X580">
        <v>0.38325476596430458</v>
      </c>
      <c r="Z580" t="s">
        <v>392</v>
      </c>
      <c r="AA580">
        <v>9400</v>
      </c>
      <c r="AB580" t="s">
        <v>2999</v>
      </c>
      <c r="AC580" t="str">
        <f>HYPERLINK("plots/3FT6Y578R01_012_S11P_20251111092011_M5358ACSH101811_RBGEUFRF26/dpll_52084/txpa_55161.png","plot")</f>
        <v>plot</v>
      </c>
    </row>
    <row r="581" spans="1:29" x14ac:dyDescent="0.35">
      <c r="A581" t="s">
        <v>48</v>
      </c>
      <c r="B581">
        <v>52084</v>
      </c>
      <c r="C581" t="s">
        <v>52</v>
      </c>
      <c r="D581">
        <v>55162</v>
      </c>
      <c r="E581" t="s">
        <v>295</v>
      </c>
      <c r="F581">
        <v>12241</v>
      </c>
      <c r="G581">
        <v>0.74302907178709887</v>
      </c>
      <c r="H581">
        <v>0</v>
      </c>
      <c r="I581">
        <v>0</v>
      </c>
      <c r="J581">
        <v>0.62999108027740391</v>
      </c>
      <c r="K581">
        <v>0</v>
      </c>
      <c r="L581">
        <v>0</v>
      </c>
      <c r="M581">
        <v>0.45234856591603723</v>
      </c>
      <c r="N581">
        <v>0</v>
      </c>
      <c r="O581">
        <v>0</v>
      </c>
      <c r="P581">
        <v>0.55209220152079774</v>
      </c>
      <c r="Q581">
        <v>1.472578417618259</v>
      </c>
      <c r="R581">
        <v>-17.574456302062039</v>
      </c>
      <c r="S581">
        <v>0.25577415098200917</v>
      </c>
      <c r="T581">
        <v>0.19956141150556961</v>
      </c>
      <c r="U581">
        <v>4.329762099583367</v>
      </c>
      <c r="V581">
        <v>0.19284458788376191</v>
      </c>
      <c r="W581">
        <v>-11.19854208079405</v>
      </c>
      <c r="X581">
        <v>0.38219066905296578</v>
      </c>
      <c r="Z581" t="s">
        <v>392</v>
      </c>
      <c r="AA581">
        <v>9400</v>
      </c>
      <c r="AB581" t="s">
        <v>3000</v>
      </c>
      <c r="AC581" t="str">
        <f>HYPERLINK("plots/3FT6Y578R01_012_S11P_20251111092011_M5358ACSH101811_RBGEUFRF26/dpll_52084/txpa_55162.png","plot")</f>
        <v>plot</v>
      </c>
    </row>
    <row r="582" spans="1:29" x14ac:dyDescent="0.35">
      <c r="A582" t="s">
        <v>48</v>
      </c>
      <c r="B582">
        <v>52084</v>
      </c>
      <c r="C582" t="s">
        <v>52</v>
      </c>
      <c r="D582">
        <v>55163</v>
      </c>
      <c r="E582" t="s">
        <v>296</v>
      </c>
      <c r="F582">
        <v>12243</v>
      </c>
      <c r="G582">
        <v>0.76773445493789294</v>
      </c>
      <c r="H582">
        <v>0</v>
      </c>
      <c r="I582">
        <v>0</v>
      </c>
      <c r="J582">
        <v>0.66736649403517823</v>
      </c>
      <c r="K582">
        <v>0</v>
      </c>
      <c r="L582">
        <v>0</v>
      </c>
      <c r="M582">
        <v>0.48046178676166479</v>
      </c>
      <c r="N582">
        <v>0</v>
      </c>
      <c r="O582">
        <v>0</v>
      </c>
      <c r="P582">
        <v>0.58941619329878359</v>
      </c>
      <c r="Q582">
        <v>1.2925864654499279</v>
      </c>
      <c r="R582">
        <v>-10.50251983822054</v>
      </c>
      <c r="S582">
        <v>0.20806428733437971</v>
      </c>
      <c r="T582">
        <v>0.15753236204957249</v>
      </c>
      <c r="U582">
        <v>4.3297121556807969</v>
      </c>
      <c r="V582">
        <v>0.19287049691405411</v>
      </c>
      <c r="W582">
        <v>-4.9059925064935062</v>
      </c>
      <c r="X582">
        <v>0.3247239879521574</v>
      </c>
      <c r="Z582" t="s">
        <v>392</v>
      </c>
      <c r="AA582">
        <v>9400</v>
      </c>
      <c r="AB582" t="s">
        <v>3001</v>
      </c>
      <c r="AC582" t="str">
        <f>HYPERLINK("plots/3FT6Y578R01_012_S11P_20251111092011_M5358ACSH101811_RBGEUFRF26/dpll_52084/txpa_55163.png","plot")</f>
        <v>plot</v>
      </c>
    </row>
    <row r="583" spans="1:29" x14ac:dyDescent="0.35">
      <c r="A583" t="s">
        <v>48</v>
      </c>
      <c r="B583">
        <v>52084</v>
      </c>
      <c r="C583" t="s">
        <v>52</v>
      </c>
      <c r="D583">
        <v>55164</v>
      </c>
      <c r="E583" t="s">
        <v>297</v>
      </c>
      <c r="F583">
        <v>12242</v>
      </c>
      <c r="G583">
        <v>0.78486641058375273</v>
      </c>
      <c r="H583">
        <v>0</v>
      </c>
      <c r="I583">
        <v>0</v>
      </c>
      <c r="J583">
        <v>0.67833768386635562</v>
      </c>
      <c r="K583">
        <v>0</v>
      </c>
      <c r="L583">
        <v>0</v>
      </c>
      <c r="M583">
        <v>0.49178150823661371</v>
      </c>
      <c r="N583">
        <v>0</v>
      </c>
      <c r="O583">
        <v>0</v>
      </c>
      <c r="P583">
        <v>0.61601528246262394</v>
      </c>
      <c r="Q583">
        <v>1.3174234620854259</v>
      </c>
      <c r="R583">
        <v>-10.568973439978629</v>
      </c>
      <c r="S583">
        <v>0.20060397332289809</v>
      </c>
      <c r="T583">
        <v>0.15403532610623979</v>
      </c>
      <c r="U583">
        <v>4.3296987265969609</v>
      </c>
      <c r="V583">
        <v>0.1928726506826407</v>
      </c>
      <c r="W583">
        <v>-4.8649267537983976</v>
      </c>
      <c r="X583">
        <v>0.32374293481986538</v>
      </c>
      <c r="Z583" t="s">
        <v>392</v>
      </c>
      <c r="AA583">
        <v>9400</v>
      </c>
      <c r="AB583" t="s">
        <v>3002</v>
      </c>
      <c r="AC583" t="str">
        <f>HYPERLINK("plots/3FT6Y578R01_012_S11P_20251111092011_M5358ACSH101811_RBGEUFRF26/dpll_52084/txpa_55164.png","plot")</f>
        <v>plot</v>
      </c>
    </row>
    <row r="584" spans="1:29" x14ac:dyDescent="0.35">
      <c r="A584" t="s">
        <v>48</v>
      </c>
      <c r="B584">
        <v>52084</v>
      </c>
      <c r="C584" t="s">
        <v>52</v>
      </c>
      <c r="D584">
        <v>55165</v>
      </c>
      <c r="E584" t="s">
        <v>298</v>
      </c>
      <c r="F584">
        <v>12243</v>
      </c>
      <c r="G584">
        <v>0.78302474537085343</v>
      </c>
      <c r="H584">
        <v>0</v>
      </c>
      <c r="I584">
        <v>0</v>
      </c>
      <c r="J584">
        <v>0.67546589822742553</v>
      </c>
      <c r="K584">
        <v>0</v>
      </c>
      <c r="L584">
        <v>0</v>
      </c>
      <c r="M584">
        <v>0.48915718962502169</v>
      </c>
      <c r="N584">
        <v>0</v>
      </c>
      <c r="O584">
        <v>0</v>
      </c>
      <c r="P584">
        <v>0.61312775186308988</v>
      </c>
      <c r="Q584">
        <v>1.3025781607916549</v>
      </c>
      <c r="R584">
        <v>-10.48982808761725</v>
      </c>
      <c r="S584">
        <v>0.19955387079625209</v>
      </c>
      <c r="T584">
        <v>0.1526983686453576</v>
      </c>
      <c r="U584">
        <v>4.3297121556807969</v>
      </c>
      <c r="V584">
        <v>0.19287049691405411</v>
      </c>
      <c r="W584">
        <v>-4.8500395911132896</v>
      </c>
      <c r="X584">
        <v>0.32084413503725873</v>
      </c>
      <c r="Z584" t="s">
        <v>392</v>
      </c>
      <c r="AA584">
        <v>9400</v>
      </c>
      <c r="AB584" t="s">
        <v>3003</v>
      </c>
      <c r="AC584" t="str">
        <f>HYPERLINK("plots/3FT6Y578R01_012_S11P_20251111092011_M5358ACSH101811_RBGEUFRF26/dpll_52084/txpa_55165.png","plot")</f>
        <v>plot</v>
      </c>
    </row>
    <row r="585" spans="1:29" x14ac:dyDescent="0.35">
      <c r="A585" t="s">
        <v>48</v>
      </c>
      <c r="B585">
        <v>52084</v>
      </c>
      <c r="C585" t="s">
        <v>52</v>
      </c>
      <c r="D585">
        <v>55166</v>
      </c>
      <c r="E585" t="s">
        <v>299</v>
      </c>
      <c r="F585">
        <v>12242</v>
      </c>
      <c r="G585">
        <v>0.79488541573645399</v>
      </c>
      <c r="H585">
        <v>0</v>
      </c>
      <c r="I585">
        <v>0</v>
      </c>
      <c r="J585">
        <v>0.68381603213703057</v>
      </c>
      <c r="K585">
        <v>0</v>
      </c>
      <c r="L585">
        <v>0</v>
      </c>
      <c r="M585">
        <v>0.49672021012879009</v>
      </c>
      <c r="N585">
        <v>0</v>
      </c>
      <c r="O585">
        <v>0</v>
      </c>
      <c r="P585">
        <v>0.63184282415051529</v>
      </c>
      <c r="Q585">
        <v>1.3278504995318909</v>
      </c>
      <c r="R585">
        <v>-10.56696771090451</v>
      </c>
      <c r="S585">
        <v>0.19548967435841039</v>
      </c>
      <c r="T585">
        <v>0.15095162206596391</v>
      </c>
      <c r="U585">
        <v>4.3297189133311553</v>
      </c>
      <c r="V585">
        <v>0.19287692535756709</v>
      </c>
      <c r="W585">
        <v>-4.8177482890050642</v>
      </c>
      <c r="X585">
        <v>0.32219954802785677</v>
      </c>
      <c r="Z585" t="s">
        <v>392</v>
      </c>
      <c r="AA585">
        <v>9400</v>
      </c>
      <c r="AB585" t="s">
        <v>3004</v>
      </c>
      <c r="AC585" t="str">
        <f>HYPERLINK("plots/3FT6Y578R01_012_S11P_20251111092011_M5358ACSH101811_RBGEUFRF26/dpll_52084/txpa_55166.png","plot")</f>
        <v>plot</v>
      </c>
    </row>
    <row r="586" spans="1:29" x14ac:dyDescent="0.35">
      <c r="A586" t="s">
        <v>48</v>
      </c>
      <c r="B586">
        <v>52084</v>
      </c>
      <c r="C586" t="s">
        <v>52</v>
      </c>
      <c r="D586">
        <v>55167</v>
      </c>
      <c r="E586" t="s">
        <v>300</v>
      </c>
      <c r="F586">
        <v>12240</v>
      </c>
      <c r="G586">
        <v>0.79428973582034912</v>
      </c>
      <c r="H586">
        <v>0</v>
      </c>
      <c r="I586">
        <v>0</v>
      </c>
      <c r="J586">
        <v>0.6780729215638106</v>
      </c>
      <c r="K586">
        <v>0</v>
      </c>
      <c r="L586">
        <v>0</v>
      </c>
      <c r="M586">
        <v>0.49077222938266057</v>
      </c>
      <c r="N586">
        <v>0</v>
      </c>
      <c r="O586">
        <v>0</v>
      </c>
      <c r="P586">
        <v>0.63089618442955997</v>
      </c>
      <c r="Q586">
        <v>1.3291804654456461</v>
      </c>
      <c r="R586">
        <v>-10.59699687387222</v>
      </c>
      <c r="S586">
        <v>0.19604833461224691</v>
      </c>
      <c r="T586">
        <v>0.15237893884640799</v>
      </c>
      <c r="U586">
        <v>4.3297345467320261</v>
      </c>
      <c r="V586">
        <v>0.1928420022508596</v>
      </c>
      <c r="W586">
        <v>-4.8419982937908497</v>
      </c>
      <c r="X586">
        <v>0.32270569635970031</v>
      </c>
      <c r="Z586" t="s">
        <v>392</v>
      </c>
      <c r="AA586">
        <v>9400</v>
      </c>
      <c r="AB586" t="s">
        <v>3005</v>
      </c>
      <c r="AC586" t="str">
        <f>HYPERLINK("plots/3FT6Y578R01_012_S11P_20251111092011_M5358ACSH101811_RBGEUFRF26/dpll_52084/txpa_55167.png","plot")</f>
        <v>plot</v>
      </c>
    </row>
    <row r="587" spans="1:29" x14ac:dyDescent="0.35">
      <c r="A587" t="s">
        <v>48</v>
      </c>
      <c r="B587">
        <v>52084</v>
      </c>
      <c r="C587" t="s">
        <v>52</v>
      </c>
      <c r="D587">
        <v>55168</v>
      </c>
      <c r="E587" t="s">
        <v>301</v>
      </c>
      <c r="F587">
        <v>12241</v>
      </c>
      <c r="G587">
        <v>0.79684848426955068</v>
      </c>
      <c r="H587">
        <v>0</v>
      </c>
      <c r="I587">
        <v>0</v>
      </c>
      <c r="J587">
        <v>0.68671123535755918</v>
      </c>
      <c r="K587">
        <v>0</v>
      </c>
      <c r="L587">
        <v>0</v>
      </c>
      <c r="M587">
        <v>0.49905921493205663</v>
      </c>
      <c r="N587">
        <v>0</v>
      </c>
      <c r="O587">
        <v>0</v>
      </c>
      <c r="P587">
        <v>0.63496750688268033</v>
      </c>
      <c r="Q587">
        <v>1.336289779245037</v>
      </c>
      <c r="R587">
        <v>-10.636555611161469</v>
      </c>
      <c r="S587">
        <v>0.19536834976349049</v>
      </c>
      <c r="T587">
        <v>0.15166602144861449</v>
      </c>
      <c r="U587">
        <v>4.3297157026386737</v>
      </c>
      <c r="V587">
        <v>0.19283296991716889</v>
      </c>
      <c r="W587">
        <v>-4.8508007706886689</v>
      </c>
      <c r="X587">
        <v>0.32337480950094011</v>
      </c>
      <c r="Z587" t="s">
        <v>392</v>
      </c>
      <c r="AA587">
        <v>9400</v>
      </c>
      <c r="AB587" t="s">
        <v>3006</v>
      </c>
      <c r="AC587" t="str">
        <f>HYPERLINK("plots/3FT6Y578R01_012_S11P_20251111092011_M5358ACSH101811_RBGEUFRF26/dpll_52084/txpa_55168.png","plot")</f>
        <v>plot</v>
      </c>
    </row>
    <row r="588" spans="1:29" x14ac:dyDescent="0.35">
      <c r="A588" t="s">
        <v>48</v>
      </c>
      <c r="B588">
        <v>52084</v>
      </c>
      <c r="C588" t="s">
        <v>52</v>
      </c>
      <c r="D588">
        <v>55169</v>
      </c>
      <c r="E588" t="s">
        <v>302</v>
      </c>
      <c r="F588">
        <v>12242</v>
      </c>
      <c r="G588">
        <v>0.79597007022336408</v>
      </c>
      <c r="H588">
        <v>0</v>
      </c>
      <c r="I588">
        <v>0</v>
      </c>
      <c r="J588">
        <v>0.68034610804797691</v>
      </c>
      <c r="K588">
        <v>0</v>
      </c>
      <c r="L588">
        <v>0</v>
      </c>
      <c r="M588">
        <v>0.4937802063671165</v>
      </c>
      <c r="N588">
        <v>0</v>
      </c>
      <c r="O588">
        <v>0</v>
      </c>
      <c r="P588">
        <v>0.63356835269138712</v>
      </c>
      <c r="Q588">
        <v>1.3293676460533761</v>
      </c>
      <c r="R588">
        <v>-10.602395124805049</v>
      </c>
      <c r="S588">
        <v>0.19495901932974891</v>
      </c>
      <c r="T588">
        <v>0.1517043355644058</v>
      </c>
      <c r="U588">
        <v>4.3297428452050317</v>
      </c>
      <c r="V588">
        <v>0.19284847807112951</v>
      </c>
      <c r="W588">
        <v>-4.846575070658389</v>
      </c>
      <c r="X588">
        <v>0.32208061198388072</v>
      </c>
      <c r="Z588" t="s">
        <v>392</v>
      </c>
      <c r="AA588">
        <v>9400</v>
      </c>
      <c r="AB588" t="s">
        <v>3007</v>
      </c>
      <c r="AC588" t="str">
        <f>HYPERLINK("plots/3FT6Y578R01_012_S11P_20251111092011_M5358ACSH101811_RBGEUFRF26/dpll_52084/txpa_55169.png","plot")</f>
        <v>plot</v>
      </c>
    </row>
    <row r="589" spans="1:29" x14ac:dyDescent="0.35">
      <c r="A589" t="s">
        <v>48</v>
      </c>
      <c r="B589">
        <v>52084</v>
      </c>
      <c r="C589" t="s">
        <v>52</v>
      </c>
      <c r="D589">
        <v>55170</v>
      </c>
      <c r="E589" t="s">
        <v>303</v>
      </c>
      <c r="F589">
        <v>12239</v>
      </c>
      <c r="G589">
        <v>0.78959308703660802</v>
      </c>
      <c r="H589">
        <v>0</v>
      </c>
      <c r="I589">
        <v>0</v>
      </c>
      <c r="J589">
        <v>0.67216893242934983</v>
      </c>
      <c r="K589">
        <v>0</v>
      </c>
      <c r="L589">
        <v>0</v>
      </c>
      <c r="M589">
        <v>0.48730787716688939</v>
      </c>
      <c r="N589">
        <v>0</v>
      </c>
      <c r="O589">
        <v>0</v>
      </c>
      <c r="P589">
        <v>0.62345724309600048</v>
      </c>
      <c r="Q589">
        <v>1.3168601395912469</v>
      </c>
      <c r="R589">
        <v>-10.57771991622411</v>
      </c>
      <c r="S589">
        <v>0.19735552468070339</v>
      </c>
      <c r="T589">
        <v>0.15254322685745339</v>
      </c>
      <c r="U589">
        <v>4.3297844997140276</v>
      </c>
      <c r="V589">
        <v>0.1928517426499661</v>
      </c>
      <c r="W589">
        <v>-4.875999295530681</v>
      </c>
      <c r="X589">
        <v>0.32163246729979961</v>
      </c>
      <c r="Z589" t="s">
        <v>392</v>
      </c>
      <c r="AA589">
        <v>9400</v>
      </c>
      <c r="AB589" t="s">
        <v>3008</v>
      </c>
      <c r="AC589" t="str">
        <f>HYPERLINK("plots/3FT6Y578R01_012_S11P_20251111092011_M5358ACSH101811_RBGEUFRF26/dpll_52084/txpa_55170.png","plot")</f>
        <v>plot</v>
      </c>
    </row>
    <row r="590" spans="1:29" x14ac:dyDescent="0.35">
      <c r="A590" t="s">
        <v>48</v>
      </c>
      <c r="B590">
        <v>52084</v>
      </c>
      <c r="C590" t="s">
        <v>52</v>
      </c>
      <c r="D590">
        <v>55171</v>
      </c>
      <c r="E590" t="s">
        <v>304</v>
      </c>
      <c r="F590">
        <v>12243</v>
      </c>
      <c r="G590">
        <v>0.77955055203062928</v>
      </c>
      <c r="H590">
        <v>0</v>
      </c>
      <c r="I590">
        <v>0</v>
      </c>
      <c r="J590">
        <v>0.68162825710633967</v>
      </c>
      <c r="K590">
        <v>0</v>
      </c>
      <c r="L590">
        <v>0</v>
      </c>
      <c r="M590">
        <v>0.49192948155594018</v>
      </c>
      <c r="N590">
        <v>0</v>
      </c>
      <c r="O590">
        <v>0</v>
      </c>
      <c r="P590">
        <v>0.60769906317125888</v>
      </c>
      <c r="Q590">
        <v>1.31663923711102</v>
      </c>
      <c r="R590">
        <v>-7.6316269243498338</v>
      </c>
      <c r="S590">
        <v>0.2040235240601426</v>
      </c>
      <c r="T590">
        <v>0.1536603413215204</v>
      </c>
      <c r="U590">
        <v>4.3297121556807969</v>
      </c>
      <c r="V590">
        <v>0.19287049691405411</v>
      </c>
      <c r="W590">
        <v>-1.930958014783958</v>
      </c>
      <c r="X590">
        <v>0.32575291397929262</v>
      </c>
      <c r="Z590" t="s">
        <v>392</v>
      </c>
      <c r="AA590">
        <v>9400</v>
      </c>
      <c r="AB590" t="s">
        <v>3009</v>
      </c>
      <c r="AC590" t="str">
        <f>HYPERLINK("plots/3FT6Y578R01_012_S11P_20251111092011_M5358ACSH101811_RBGEUFRF26/dpll_52084/txpa_55171.png","plot")</f>
        <v>plot</v>
      </c>
    </row>
    <row r="591" spans="1:29" x14ac:dyDescent="0.35">
      <c r="A591" t="s">
        <v>48</v>
      </c>
      <c r="B591">
        <v>52084</v>
      </c>
      <c r="C591" t="s">
        <v>52</v>
      </c>
      <c r="D591">
        <v>55172</v>
      </c>
      <c r="E591" t="s">
        <v>305</v>
      </c>
      <c r="F591">
        <v>12242</v>
      </c>
      <c r="G591">
        <v>0.79795339321236447</v>
      </c>
      <c r="H591">
        <v>0</v>
      </c>
      <c r="I591">
        <v>0</v>
      </c>
      <c r="J591">
        <v>0.69393369777113767</v>
      </c>
      <c r="K591">
        <v>0</v>
      </c>
      <c r="L591">
        <v>0</v>
      </c>
      <c r="M591">
        <v>0.50497245688750447</v>
      </c>
      <c r="N591">
        <v>0</v>
      </c>
      <c r="O591">
        <v>0</v>
      </c>
      <c r="P591">
        <v>0.6367296177391264</v>
      </c>
      <c r="Q591">
        <v>1.3440371620332081</v>
      </c>
      <c r="R591">
        <v>-7.714632537965775</v>
      </c>
      <c r="S591">
        <v>0.19579502703031679</v>
      </c>
      <c r="T591">
        <v>0.14935487487295021</v>
      </c>
      <c r="U591">
        <v>4.3296987265969609</v>
      </c>
      <c r="V591">
        <v>0.1928726506826407</v>
      </c>
      <c r="W591">
        <v>-1.8953565490116</v>
      </c>
      <c r="X591">
        <v>0.32486610403864619</v>
      </c>
      <c r="Z591" t="s">
        <v>392</v>
      </c>
      <c r="AA591">
        <v>9400</v>
      </c>
      <c r="AB591" t="s">
        <v>3010</v>
      </c>
      <c r="AC591" t="str">
        <f>HYPERLINK("plots/3FT6Y578R01_012_S11P_20251111092011_M5358ACSH101811_RBGEUFRF26/dpll_52084/txpa_55172.png","plot")</f>
        <v>plot</v>
      </c>
    </row>
    <row r="592" spans="1:29" x14ac:dyDescent="0.35">
      <c r="A592" t="s">
        <v>48</v>
      </c>
      <c r="B592">
        <v>52084</v>
      </c>
      <c r="C592" t="s">
        <v>52</v>
      </c>
      <c r="D592">
        <v>55173</v>
      </c>
      <c r="E592" t="s">
        <v>306</v>
      </c>
      <c r="F592">
        <v>12243</v>
      </c>
      <c r="G592">
        <v>0.795303974677256</v>
      </c>
      <c r="H592">
        <v>0</v>
      </c>
      <c r="I592">
        <v>0</v>
      </c>
      <c r="J592">
        <v>0.69035702949362787</v>
      </c>
      <c r="K592">
        <v>0</v>
      </c>
      <c r="L592">
        <v>0</v>
      </c>
      <c r="M592">
        <v>0.50157595143457323</v>
      </c>
      <c r="N592">
        <v>0</v>
      </c>
      <c r="O592">
        <v>0</v>
      </c>
      <c r="P592">
        <v>0.63250841213744147</v>
      </c>
      <c r="Q592">
        <v>1.3260590158985761</v>
      </c>
      <c r="R592">
        <v>-7.6243312571774657</v>
      </c>
      <c r="S592">
        <v>0.1949402250436385</v>
      </c>
      <c r="T592">
        <v>0.1485326254594336</v>
      </c>
      <c r="U592">
        <v>4.3297121556807969</v>
      </c>
      <c r="V592">
        <v>0.19287049691405411</v>
      </c>
      <c r="W592">
        <v>-1.882877416891285</v>
      </c>
      <c r="X592">
        <v>0.3215847895611354</v>
      </c>
      <c r="Z592" t="s">
        <v>392</v>
      </c>
      <c r="AA592">
        <v>9400</v>
      </c>
      <c r="AB592" t="s">
        <v>3011</v>
      </c>
      <c r="AC592" t="str">
        <f>HYPERLINK("plots/3FT6Y578R01_012_S11P_20251111092011_M5358ACSH101811_RBGEUFRF26/dpll_52084/txpa_55173.png","plot")</f>
        <v>plot</v>
      </c>
    </row>
    <row r="593" spans="1:29" x14ac:dyDescent="0.35">
      <c r="A593" t="s">
        <v>48</v>
      </c>
      <c r="B593">
        <v>52084</v>
      </c>
      <c r="C593" t="s">
        <v>52</v>
      </c>
      <c r="D593">
        <v>55174</v>
      </c>
      <c r="E593" t="s">
        <v>307</v>
      </c>
      <c r="F593">
        <v>12242</v>
      </c>
      <c r="G593">
        <v>0.80657304203451041</v>
      </c>
      <c r="H593">
        <v>0</v>
      </c>
      <c r="I593">
        <v>0</v>
      </c>
      <c r="J593">
        <v>0.69708602459429003</v>
      </c>
      <c r="K593">
        <v>0</v>
      </c>
      <c r="L593">
        <v>0</v>
      </c>
      <c r="M593">
        <v>0.50787989898689834</v>
      </c>
      <c r="N593">
        <v>0</v>
      </c>
      <c r="O593">
        <v>0</v>
      </c>
      <c r="P593">
        <v>0.65056007213680411</v>
      </c>
      <c r="Q593">
        <v>1.3495621959385491</v>
      </c>
      <c r="R593">
        <v>-7.6988831563522719</v>
      </c>
      <c r="S593">
        <v>0.19076469431313889</v>
      </c>
      <c r="T593">
        <v>0.14696189636771301</v>
      </c>
      <c r="U593">
        <v>4.3297189133311553</v>
      </c>
      <c r="V593">
        <v>0.19287692535756709</v>
      </c>
      <c r="W593">
        <v>-1.855658191880412</v>
      </c>
      <c r="X593">
        <v>0.32272267155724821</v>
      </c>
      <c r="Z593" t="s">
        <v>392</v>
      </c>
      <c r="AA593">
        <v>9400</v>
      </c>
      <c r="AB593" t="s">
        <v>3012</v>
      </c>
      <c r="AC593" t="str">
        <f>HYPERLINK("plots/3FT6Y578R01_012_S11P_20251111092011_M5358ACSH101811_RBGEUFRF26/dpll_52084/txpa_55174.png","plot")</f>
        <v>plot</v>
      </c>
    </row>
    <row r="594" spans="1:29" x14ac:dyDescent="0.35">
      <c r="A594" t="s">
        <v>48</v>
      </c>
      <c r="B594">
        <v>52084</v>
      </c>
      <c r="C594" t="s">
        <v>52</v>
      </c>
      <c r="D594">
        <v>55175</v>
      </c>
      <c r="E594" t="s">
        <v>308</v>
      </c>
      <c r="F594">
        <v>12240</v>
      </c>
      <c r="G594">
        <v>0.80631303819131472</v>
      </c>
      <c r="H594">
        <v>0</v>
      </c>
      <c r="I594">
        <v>0</v>
      </c>
      <c r="J594">
        <v>0.69232977313502597</v>
      </c>
      <c r="K594">
        <v>0</v>
      </c>
      <c r="L594">
        <v>0</v>
      </c>
      <c r="M594">
        <v>0.50275580110353446</v>
      </c>
      <c r="N594">
        <v>0</v>
      </c>
      <c r="O594">
        <v>0</v>
      </c>
      <c r="P594">
        <v>0.65014071555730857</v>
      </c>
      <c r="Q594">
        <v>1.354741582956434</v>
      </c>
      <c r="R594">
        <v>-7.7442726916274376</v>
      </c>
      <c r="S594">
        <v>0.1916387684638089</v>
      </c>
      <c r="T594">
        <v>0.148398239186572</v>
      </c>
      <c r="U594">
        <v>4.3297345467320261</v>
      </c>
      <c r="V594">
        <v>0.1928420022508596</v>
      </c>
      <c r="W594">
        <v>-1.8786012580065361</v>
      </c>
      <c r="X594">
        <v>0.3240070134247669</v>
      </c>
      <c r="Z594" t="s">
        <v>392</v>
      </c>
      <c r="AA594">
        <v>9400</v>
      </c>
      <c r="AB594" t="s">
        <v>3013</v>
      </c>
      <c r="AC594" t="str">
        <f>HYPERLINK("plots/3FT6Y578R01_012_S11P_20251111092011_M5358ACSH101811_RBGEUFRF26/dpll_52084/txpa_55175.png","plot")</f>
        <v>plot</v>
      </c>
    </row>
    <row r="595" spans="1:29" x14ac:dyDescent="0.35">
      <c r="A595" t="s">
        <v>48</v>
      </c>
      <c r="B595">
        <v>52084</v>
      </c>
      <c r="C595" t="s">
        <v>52</v>
      </c>
      <c r="D595">
        <v>55176</v>
      </c>
      <c r="E595" t="s">
        <v>309</v>
      </c>
      <c r="F595">
        <v>12240</v>
      </c>
      <c r="G595">
        <v>0.810198000337776</v>
      </c>
      <c r="H595">
        <v>0</v>
      </c>
      <c r="I595">
        <v>0</v>
      </c>
      <c r="J595">
        <v>0.70160543731916314</v>
      </c>
      <c r="K595">
        <v>0</v>
      </c>
      <c r="L595">
        <v>0</v>
      </c>
      <c r="M595">
        <v>0.51166097090228102</v>
      </c>
      <c r="N595">
        <v>0</v>
      </c>
      <c r="O595">
        <v>0</v>
      </c>
      <c r="P595">
        <v>0.65642079975133083</v>
      </c>
      <c r="Q595">
        <v>1.361454024156191</v>
      </c>
      <c r="R595">
        <v>-7.779002984674114</v>
      </c>
      <c r="S595">
        <v>0.18991337993592999</v>
      </c>
      <c r="T595">
        <v>0.1473580391650211</v>
      </c>
      <c r="U595">
        <v>4.329689001062091</v>
      </c>
      <c r="V595">
        <v>0.19281821557856541</v>
      </c>
      <c r="W595">
        <v>-1.884330470833333</v>
      </c>
      <c r="X595">
        <v>0.32401108793234562</v>
      </c>
      <c r="Z595" t="s">
        <v>392</v>
      </c>
      <c r="AA595">
        <v>9400</v>
      </c>
      <c r="AB595" t="s">
        <v>3014</v>
      </c>
      <c r="AC595" t="str">
        <f>HYPERLINK("plots/3FT6Y578R01_012_S11P_20251111092011_M5358ACSH101811_RBGEUFRF26/dpll_52084/txpa_55176.png","plot")</f>
        <v>plot</v>
      </c>
    </row>
    <row r="596" spans="1:29" x14ac:dyDescent="0.35">
      <c r="A596" t="s">
        <v>48</v>
      </c>
      <c r="B596">
        <v>52084</v>
      </c>
      <c r="C596" t="s">
        <v>52</v>
      </c>
      <c r="D596">
        <v>55177</v>
      </c>
      <c r="E596" t="s">
        <v>310</v>
      </c>
      <c r="F596">
        <v>12242</v>
      </c>
      <c r="G596">
        <v>0.80860441780386461</v>
      </c>
      <c r="H596">
        <v>0</v>
      </c>
      <c r="I596">
        <v>0</v>
      </c>
      <c r="J596">
        <v>0.69567790591615308</v>
      </c>
      <c r="K596">
        <v>0</v>
      </c>
      <c r="L596">
        <v>0</v>
      </c>
      <c r="M596">
        <v>0.50672814607096184</v>
      </c>
      <c r="N596">
        <v>0</v>
      </c>
      <c r="O596">
        <v>0</v>
      </c>
      <c r="P596">
        <v>0.65384110449192678</v>
      </c>
      <c r="Q596">
        <v>1.3557707834343899</v>
      </c>
      <c r="R596">
        <v>-7.7493351027030384</v>
      </c>
      <c r="S596">
        <v>0.1902332319683033</v>
      </c>
      <c r="T596">
        <v>0.14746615243802241</v>
      </c>
      <c r="U596">
        <v>4.3297428452050317</v>
      </c>
      <c r="V596">
        <v>0.19284847807112951</v>
      </c>
      <c r="W596">
        <v>-1.8791962533899691</v>
      </c>
      <c r="X596">
        <v>0.32334516908618283</v>
      </c>
      <c r="Z596" t="s">
        <v>392</v>
      </c>
      <c r="AA596">
        <v>9400</v>
      </c>
      <c r="AB596" t="s">
        <v>3015</v>
      </c>
      <c r="AC596" t="str">
        <f>HYPERLINK("plots/3FT6Y578R01_012_S11P_20251111092011_M5358ACSH101811_RBGEUFRF26/dpll_52084/txpa_55177.png","plot")</f>
        <v>plot</v>
      </c>
    </row>
    <row r="597" spans="1:29" x14ac:dyDescent="0.35">
      <c r="A597" t="s">
        <v>48</v>
      </c>
      <c r="B597">
        <v>52084</v>
      </c>
      <c r="C597" t="s">
        <v>52</v>
      </c>
      <c r="D597">
        <v>55178</v>
      </c>
      <c r="E597" t="s">
        <v>311</v>
      </c>
      <c r="F597">
        <v>12239</v>
      </c>
      <c r="G597">
        <v>0.80153181611314606</v>
      </c>
      <c r="H597">
        <v>0</v>
      </c>
      <c r="I597">
        <v>0</v>
      </c>
      <c r="J597">
        <v>0.68627311593586826</v>
      </c>
      <c r="K597">
        <v>0</v>
      </c>
      <c r="L597">
        <v>0</v>
      </c>
      <c r="M597">
        <v>0.49890460373279849</v>
      </c>
      <c r="N597">
        <v>0</v>
      </c>
      <c r="O597">
        <v>0</v>
      </c>
      <c r="P597">
        <v>0.64245325224163818</v>
      </c>
      <c r="Q597">
        <v>1.3419340271319919</v>
      </c>
      <c r="R597">
        <v>-7.7114458391783929</v>
      </c>
      <c r="S597">
        <v>0.19305570500942831</v>
      </c>
      <c r="T597">
        <v>0.1485582263368011</v>
      </c>
      <c r="U597">
        <v>4.3297844997140276</v>
      </c>
      <c r="V597">
        <v>0.1928517426499661</v>
      </c>
      <c r="W597">
        <v>-1.9011606888634689</v>
      </c>
      <c r="X597">
        <v>0.32287466380144231</v>
      </c>
      <c r="Z597" t="s">
        <v>392</v>
      </c>
      <c r="AA597">
        <v>9400</v>
      </c>
      <c r="AB597" t="s">
        <v>3016</v>
      </c>
      <c r="AC597" t="str">
        <f>HYPERLINK("plots/3FT6Y578R01_012_S11P_20251111092011_M5358ACSH101811_RBGEUFRF26/dpll_52084/txpa_55178.png","plot")</f>
        <v>plot</v>
      </c>
    </row>
    <row r="598" spans="1:29" x14ac:dyDescent="0.35">
      <c r="A598" t="s">
        <v>48</v>
      </c>
      <c r="B598">
        <v>52084</v>
      </c>
      <c r="C598" t="s">
        <v>52</v>
      </c>
      <c r="D598">
        <v>55179</v>
      </c>
      <c r="E598" t="s">
        <v>312</v>
      </c>
      <c r="F598">
        <v>12242</v>
      </c>
      <c r="G598">
        <v>0.7989841097467143</v>
      </c>
      <c r="H598">
        <v>0</v>
      </c>
      <c r="I598">
        <v>0</v>
      </c>
      <c r="J598">
        <v>0.70253193021397542</v>
      </c>
      <c r="K598">
        <v>0</v>
      </c>
      <c r="L598">
        <v>0</v>
      </c>
      <c r="M598">
        <v>0.51027252083050612</v>
      </c>
      <c r="N598">
        <v>0</v>
      </c>
      <c r="O598">
        <v>0</v>
      </c>
      <c r="P598">
        <v>0.63837560762774959</v>
      </c>
      <c r="Q598">
        <v>1.4517166808352759</v>
      </c>
      <c r="R598">
        <v>-4.8626293116281616</v>
      </c>
      <c r="S598">
        <v>0.2107128162448966</v>
      </c>
      <c r="T598">
        <v>0.15749572998685329</v>
      </c>
      <c r="U598">
        <v>4.3297379161084786</v>
      </c>
      <c r="V598">
        <v>0.19285731086450791</v>
      </c>
      <c r="W598">
        <v>1.422923444831482</v>
      </c>
      <c r="X598">
        <v>0.35041269505571898</v>
      </c>
      <c r="Z598" t="s">
        <v>392</v>
      </c>
      <c r="AA598">
        <v>9400</v>
      </c>
      <c r="AB598" t="s">
        <v>3017</v>
      </c>
      <c r="AC598" t="str">
        <f>HYPERLINK("plots/3FT6Y578R01_012_S11P_20251111092011_M5358ACSH101811_RBGEUFRF26/dpll_52084/txpa_55179.png","plot")</f>
        <v>plot</v>
      </c>
    </row>
    <row r="599" spans="1:29" x14ac:dyDescent="0.35">
      <c r="A599" t="s">
        <v>48</v>
      </c>
      <c r="B599">
        <v>52084</v>
      </c>
      <c r="C599" t="s">
        <v>52</v>
      </c>
      <c r="D599">
        <v>55180</v>
      </c>
      <c r="E599" t="s">
        <v>313</v>
      </c>
      <c r="F599">
        <v>12242</v>
      </c>
      <c r="G599">
        <v>0.81566821498403097</v>
      </c>
      <c r="H599">
        <v>0</v>
      </c>
      <c r="I599">
        <v>0</v>
      </c>
      <c r="J599">
        <v>0.71483433190363954</v>
      </c>
      <c r="K599">
        <v>0</v>
      </c>
      <c r="L599">
        <v>0</v>
      </c>
      <c r="M599">
        <v>0.52321928297391407</v>
      </c>
      <c r="N599">
        <v>0</v>
      </c>
      <c r="O599">
        <v>0</v>
      </c>
      <c r="P599">
        <v>0.6653146369352354</v>
      </c>
      <c r="Q599">
        <v>1.4801128549932729</v>
      </c>
      <c r="R599">
        <v>-4.9530879464139179</v>
      </c>
      <c r="S599">
        <v>0.2024662139709843</v>
      </c>
      <c r="T599">
        <v>0.15361979857265859</v>
      </c>
      <c r="U599">
        <v>4.3296987265969609</v>
      </c>
      <c r="V599">
        <v>0.1928726506826407</v>
      </c>
      <c r="W599">
        <v>1.4553547970702501</v>
      </c>
      <c r="X599">
        <v>0.3499870221835143</v>
      </c>
      <c r="Z599" t="s">
        <v>392</v>
      </c>
      <c r="AA599">
        <v>9400</v>
      </c>
      <c r="AB599" t="s">
        <v>3018</v>
      </c>
      <c r="AC599" t="str">
        <f>HYPERLINK("plots/3FT6Y578R01_012_S11P_20251111092011_M5358ACSH101811_RBGEUFRF26/dpll_52084/txpa_55180.png","plot")</f>
        <v>plot</v>
      </c>
    </row>
    <row r="600" spans="1:29" x14ac:dyDescent="0.35">
      <c r="A600" t="s">
        <v>48</v>
      </c>
      <c r="B600">
        <v>52084</v>
      </c>
      <c r="C600" t="s">
        <v>52</v>
      </c>
      <c r="D600">
        <v>55181</v>
      </c>
      <c r="E600" t="s">
        <v>314</v>
      </c>
      <c r="F600">
        <v>12243</v>
      </c>
      <c r="G600">
        <v>0.81310909765026074</v>
      </c>
      <c r="H600">
        <v>0</v>
      </c>
      <c r="I600">
        <v>0</v>
      </c>
      <c r="J600">
        <v>0.7109709331638937</v>
      </c>
      <c r="K600">
        <v>0</v>
      </c>
      <c r="L600">
        <v>0</v>
      </c>
      <c r="M600">
        <v>0.51936642791411614</v>
      </c>
      <c r="N600">
        <v>0</v>
      </c>
      <c r="O600">
        <v>0</v>
      </c>
      <c r="P600">
        <v>0.66114640468162122</v>
      </c>
      <c r="Q600">
        <v>1.462936250840509</v>
      </c>
      <c r="R600">
        <v>-4.8675050979186238</v>
      </c>
      <c r="S600">
        <v>0.20199038295974209</v>
      </c>
      <c r="T600">
        <v>0.15273257879510599</v>
      </c>
      <c r="U600">
        <v>4.3297121556807969</v>
      </c>
      <c r="V600">
        <v>0.19287049691405411</v>
      </c>
      <c r="W600">
        <v>1.4665877703316179</v>
      </c>
      <c r="X600">
        <v>0.3470103119846718</v>
      </c>
      <c r="Z600" t="s">
        <v>392</v>
      </c>
      <c r="AA600">
        <v>9400</v>
      </c>
      <c r="AB600" t="s">
        <v>3019</v>
      </c>
      <c r="AC600" t="str">
        <f>HYPERLINK("plots/3FT6Y578R01_012_S11P_20251111092011_M5358ACSH101811_RBGEUFRF26/dpll_52084/txpa_55181.png","plot")</f>
        <v>plot</v>
      </c>
    </row>
    <row r="601" spans="1:29" x14ac:dyDescent="0.35">
      <c r="A601" t="s">
        <v>48</v>
      </c>
      <c r="B601">
        <v>52084</v>
      </c>
      <c r="C601" t="s">
        <v>52</v>
      </c>
      <c r="D601">
        <v>55182</v>
      </c>
      <c r="E601" t="s">
        <v>315</v>
      </c>
      <c r="F601">
        <v>12242</v>
      </c>
      <c r="G601">
        <v>0.82400983546128637</v>
      </c>
      <c r="H601">
        <v>0</v>
      </c>
      <c r="I601">
        <v>0</v>
      </c>
      <c r="J601">
        <v>0.71738303037340512</v>
      </c>
      <c r="K601">
        <v>0</v>
      </c>
      <c r="L601">
        <v>0</v>
      </c>
      <c r="M601">
        <v>0.52573254730449437</v>
      </c>
      <c r="N601">
        <v>0</v>
      </c>
      <c r="O601">
        <v>0</v>
      </c>
      <c r="P601">
        <v>0.67899220893693624</v>
      </c>
      <c r="Q601">
        <v>1.4850575453621719</v>
      </c>
      <c r="R601">
        <v>-4.9409446927233658</v>
      </c>
      <c r="S601">
        <v>0.19693876471549179</v>
      </c>
      <c r="T601">
        <v>0.1508458136523893</v>
      </c>
      <c r="U601">
        <v>4.3297189133311553</v>
      </c>
      <c r="V601">
        <v>0.19287692535756709</v>
      </c>
      <c r="W601">
        <v>1.48893704881637</v>
      </c>
      <c r="X601">
        <v>0.347609119456886</v>
      </c>
      <c r="Z601" t="s">
        <v>392</v>
      </c>
      <c r="AA601">
        <v>9400</v>
      </c>
      <c r="AB601" t="s">
        <v>3020</v>
      </c>
      <c r="AC601" t="str">
        <f>HYPERLINK("plots/3FT6Y578R01_012_S11P_20251111092011_M5358ACSH101811_RBGEUFRF26/dpll_52084/txpa_55182.png","plot")</f>
        <v>plot</v>
      </c>
    </row>
    <row r="602" spans="1:29" x14ac:dyDescent="0.35">
      <c r="A602" t="s">
        <v>48</v>
      </c>
      <c r="B602">
        <v>52084</v>
      </c>
      <c r="C602" t="s">
        <v>52</v>
      </c>
      <c r="D602">
        <v>55183</v>
      </c>
      <c r="E602" t="s">
        <v>316</v>
      </c>
      <c r="F602">
        <v>12240</v>
      </c>
      <c r="G602">
        <v>0.8242461282583905</v>
      </c>
      <c r="H602">
        <v>0</v>
      </c>
      <c r="I602">
        <v>0</v>
      </c>
      <c r="J602">
        <v>0.7144220559428357</v>
      </c>
      <c r="K602">
        <v>0</v>
      </c>
      <c r="L602">
        <v>0</v>
      </c>
      <c r="M602">
        <v>0.52224604576723199</v>
      </c>
      <c r="N602">
        <v>0</v>
      </c>
      <c r="O602">
        <v>0</v>
      </c>
      <c r="P602">
        <v>0.67938167994894716</v>
      </c>
      <c r="Q602">
        <v>1.4908058121968271</v>
      </c>
      <c r="R602">
        <v>-4.9890173830839037</v>
      </c>
      <c r="S602">
        <v>0.19748868549191129</v>
      </c>
      <c r="T602">
        <v>0.1520308887599372</v>
      </c>
      <c r="U602">
        <v>4.3297345467320261</v>
      </c>
      <c r="V602">
        <v>0.1928420022508596</v>
      </c>
      <c r="W602">
        <v>1.465776044453595</v>
      </c>
      <c r="X602">
        <v>0.34879142034760108</v>
      </c>
      <c r="Z602" t="s">
        <v>392</v>
      </c>
      <c r="AA602">
        <v>9400</v>
      </c>
      <c r="AB602" t="s">
        <v>3021</v>
      </c>
      <c r="AC602" t="str">
        <f>HYPERLINK("plots/3FT6Y578R01_012_S11P_20251111092011_M5358ACSH101811_RBGEUFRF26/dpll_52084/txpa_55183.png","plot")</f>
        <v>plot</v>
      </c>
    </row>
    <row r="603" spans="1:29" x14ac:dyDescent="0.35">
      <c r="A603" t="s">
        <v>48</v>
      </c>
      <c r="B603">
        <v>52084</v>
      </c>
      <c r="C603" t="s">
        <v>52</v>
      </c>
      <c r="D603">
        <v>55184</v>
      </c>
      <c r="E603" t="s">
        <v>317</v>
      </c>
      <c r="F603">
        <v>12240</v>
      </c>
      <c r="G603">
        <v>0.82714059957846797</v>
      </c>
      <c r="H603">
        <v>0</v>
      </c>
      <c r="I603">
        <v>0</v>
      </c>
      <c r="J603">
        <v>0.72067771587049356</v>
      </c>
      <c r="K603">
        <v>0</v>
      </c>
      <c r="L603">
        <v>0</v>
      </c>
      <c r="M603">
        <v>0.52863127996188164</v>
      </c>
      <c r="N603">
        <v>0</v>
      </c>
      <c r="O603">
        <v>0</v>
      </c>
      <c r="P603">
        <v>0.68416157147102752</v>
      </c>
      <c r="Q603">
        <v>1.4983582122291179</v>
      </c>
      <c r="R603">
        <v>-5.023389383598623</v>
      </c>
      <c r="S603">
        <v>0.19629042578265871</v>
      </c>
      <c r="T603">
        <v>0.15146845592854541</v>
      </c>
      <c r="U603">
        <v>4.329689001062091</v>
      </c>
      <c r="V603">
        <v>0.19281821557856541</v>
      </c>
      <c r="W603">
        <v>1.46403568754085</v>
      </c>
      <c r="X603">
        <v>0.34928856947264381</v>
      </c>
      <c r="Z603" t="s">
        <v>392</v>
      </c>
      <c r="AA603">
        <v>9400</v>
      </c>
      <c r="AB603" t="s">
        <v>3022</v>
      </c>
      <c r="AC603" t="str">
        <f>HYPERLINK("plots/3FT6Y578R01_012_S11P_20251111092011_M5358ACSH101811_RBGEUFRF26/dpll_52084/txpa_55184.png","plot")</f>
        <v>plot</v>
      </c>
    </row>
    <row r="604" spans="1:29" x14ac:dyDescent="0.35">
      <c r="A604" t="s">
        <v>48</v>
      </c>
      <c r="B604">
        <v>52084</v>
      </c>
      <c r="C604" t="s">
        <v>52</v>
      </c>
      <c r="D604">
        <v>55185</v>
      </c>
      <c r="E604" t="s">
        <v>318</v>
      </c>
      <c r="F604">
        <v>12242</v>
      </c>
      <c r="G604">
        <v>0.82579782968346205</v>
      </c>
      <c r="H604">
        <v>0</v>
      </c>
      <c r="I604">
        <v>0</v>
      </c>
      <c r="J604">
        <v>0.71537673225397314</v>
      </c>
      <c r="K604">
        <v>0</v>
      </c>
      <c r="L604">
        <v>0</v>
      </c>
      <c r="M604">
        <v>0.52418487168403116</v>
      </c>
      <c r="N604">
        <v>0</v>
      </c>
      <c r="O604">
        <v>0</v>
      </c>
      <c r="P604">
        <v>0.68194205550991616</v>
      </c>
      <c r="Q604">
        <v>1.493287125400431</v>
      </c>
      <c r="R604">
        <v>-4.9957227293134441</v>
      </c>
      <c r="S604">
        <v>0.19666233205843089</v>
      </c>
      <c r="T604">
        <v>0.1514621778590311</v>
      </c>
      <c r="U604">
        <v>4.3297428452050317</v>
      </c>
      <c r="V604">
        <v>0.19284847807112951</v>
      </c>
      <c r="W604">
        <v>1.469826517725862</v>
      </c>
      <c r="X604">
        <v>0.34872718128487978</v>
      </c>
      <c r="Z604" t="s">
        <v>392</v>
      </c>
      <c r="AA604">
        <v>9400</v>
      </c>
      <c r="AB604" t="s">
        <v>3023</v>
      </c>
      <c r="AC604" t="str">
        <f>HYPERLINK("plots/3FT6Y578R01_012_S11P_20251111092011_M5358ACSH101811_RBGEUFRF26/dpll_52084/txpa_55185.png","plot")</f>
        <v>plot</v>
      </c>
    </row>
    <row r="605" spans="1:29" x14ac:dyDescent="0.35">
      <c r="A605" t="s">
        <v>48</v>
      </c>
      <c r="B605">
        <v>52084</v>
      </c>
      <c r="C605" t="s">
        <v>52</v>
      </c>
      <c r="D605">
        <v>55186</v>
      </c>
      <c r="E605" t="s">
        <v>319</v>
      </c>
      <c r="F605">
        <v>12238</v>
      </c>
      <c r="G605">
        <v>0.81972125549279273</v>
      </c>
      <c r="H605">
        <v>0</v>
      </c>
      <c r="I605">
        <v>0</v>
      </c>
      <c r="J605">
        <v>0.70686059190925887</v>
      </c>
      <c r="K605">
        <v>0</v>
      </c>
      <c r="L605">
        <v>0</v>
      </c>
      <c r="M605">
        <v>0.51682597002269426</v>
      </c>
      <c r="N605">
        <v>0</v>
      </c>
      <c r="O605">
        <v>0</v>
      </c>
      <c r="P605">
        <v>0.67194293670668037</v>
      </c>
      <c r="Q605">
        <v>1.4761837412158829</v>
      </c>
      <c r="R605">
        <v>-4.9392402307028531</v>
      </c>
      <c r="S605">
        <v>0.19889967085239921</v>
      </c>
      <c r="T605">
        <v>0.15243568134682089</v>
      </c>
      <c r="U605">
        <v>4.3298076863049522</v>
      </c>
      <c r="V605">
        <v>0.19284256140431191</v>
      </c>
      <c r="W605">
        <v>1.452351478412077</v>
      </c>
      <c r="X605">
        <v>0.34727787263285581</v>
      </c>
      <c r="Z605" t="s">
        <v>392</v>
      </c>
      <c r="AA605">
        <v>9400</v>
      </c>
      <c r="AB605" t="s">
        <v>3024</v>
      </c>
      <c r="AC605" t="str">
        <f>HYPERLINK("plots/3FT6Y578R01_012_S11P_20251111092011_M5358ACSH101811_RBGEUFRF26/dpll_52084/txpa_55186.png","plot")</f>
        <v>plot</v>
      </c>
    </row>
    <row r="606" spans="1:29" x14ac:dyDescent="0.35">
      <c r="A606" t="s">
        <v>48</v>
      </c>
      <c r="B606">
        <v>52084</v>
      </c>
      <c r="C606" t="s">
        <v>52</v>
      </c>
      <c r="D606">
        <v>55187</v>
      </c>
      <c r="E606" t="s">
        <v>320</v>
      </c>
      <c r="F606">
        <v>12242</v>
      </c>
      <c r="G606">
        <v>0.81053085069242092</v>
      </c>
      <c r="H606">
        <v>0</v>
      </c>
      <c r="I606">
        <v>0</v>
      </c>
      <c r="J606">
        <v>0.71321596225385897</v>
      </c>
      <c r="K606">
        <v>0</v>
      </c>
      <c r="L606">
        <v>0</v>
      </c>
      <c r="M606">
        <v>0.52016992346601143</v>
      </c>
      <c r="N606">
        <v>0</v>
      </c>
      <c r="O606">
        <v>0</v>
      </c>
      <c r="P606">
        <v>0.6569602599241795</v>
      </c>
      <c r="Q606">
        <v>1.5862325914044599</v>
      </c>
      <c r="R606">
        <v>-3.5764813484549371</v>
      </c>
      <c r="S606">
        <v>0.22104866917573429</v>
      </c>
      <c r="T606">
        <v>0.16482414632059811</v>
      </c>
      <c r="U606">
        <v>4.3297379161084786</v>
      </c>
      <c r="V606">
        <v>0.19285731086450791</v>
      </c>
      <c r="W606">
        <v>3.2914900463159609</v>
      </c>
      <c r="X606">
        <v>0.3774274004778046</v>
      </c>
      <c r="Z606" t="s">
        <v>392</v>
      </c>
      <c r="AA606">
        <v>9400</v>
      </c>
      <c r="AB606" t="s">
        <v>3025</v>
      </c>
      <c r="AC606" t="str">
        <f>HYPERLINK("plots/3FT6Y578R01_012_S11P_20251111092011_M5358ACSH101811_RBGEUFRF26/dpll_52084/txpa_55187.png","plot")</f>
        <v>plot</v>
      </c>
    </row>
    <row r="607" spans="1:29" x14ac:dyDescent="0.35">
      <c r="A607" t="s">
        <v>48</v>
      </c>
      <c r="B607">
        <v>52084</v>
      </c>
      <c r="C607" t="s">
        <v>52</v>
      </c>
      <c r="D607">
        <v>55188</v>
      </c>
      <c r="E607" t="s">
        <v>321</v>
      </c>
      <c r="F607">
        <v>12242</v>
      </c>
      <c r="G607">
        <v>0.82584384826443324</v>
      </c>
      <c r="H607">
        <v>0</v>
      </c>
      <c r="I607">
        <v>0</v>
      </c>
      <c r="J607">
        <v>0.72460989146376731</v>
      </c>
      <c r="K607">
        <v>0</v>
      </c>
      <c r="L607">
        <v>0</v>
      </c>
      <c r="M607">
        <v>0.53238254081657443</v>
      </c>
      <c r="N607">
        <v>0</v>
      </c>
      <c r="O607">
        <v>0</v>
      </c>
      <c r="P607">
        <v>0.68201806171620827</v>
      </c>
      <c r="Q607">
        <v>1.615530084997209</v>
      </c>
      <c r="R607">
        <v>-3.670850056447597</v>
      </c>
      <c r="S607">
        <v>0.21275082291428679</v>
      </c>
      <c r="T607">
        <v>0.16108285195791081</v>
      </c>
      <c r="U607">
        <v>4.3296987265969609</v>
      </c>
      <c r="V607">
        <v>0.1928726506826407</v>
      </c>
      <c r="W607">
        <v>3.3239084953438982</v>
      </c>
      <c r="X607">
        <v>0.37730083042429191</v>
      </c>
      <c r="Z607" t="s">
        <v>392</v>
      </c>
      <c r="AA607">
        <v>9400</v>
      </c>
      <c r="AB607" t="s">
        <v>3026</v>
      </c>
      <c r="AC607" t="str">
        <f>HYPERLINK("plots/3FT6Y578R01_012_S11P_20251111092011_M5358ACSH101811_RBGEUFRF26/dpll_52084/txpa_55188.png","plot")</f>
        <v>plot</v>
      </c>
    </row>
    <row r="608" spans="1:29" x14ac:dyDescent="0.35">
      <c r="A608" t="s">
        <v>48</v>
      </c>
      <c r="B608">
        <v>52084</v>
      </c>
      <c r="C608" t="s">
        <v>52</v>
      </c>
      <c r="D608">
        <v>55189</v>
      </c>
      <c r="E608" t="s">
        <v>322</v>
      </c>
      <c r="F608">
        <v>12243</v>
      </c>
      <c r="G608">
        <v>0.82361540597563421</v>
      </c>
      <c r="H608">
        <v>0</v>
      </c>
      <c r="I608">
        <v>0</v>
      </c>
      <c r="J608">
        <v>0.72097573861898578</v>
      </c>
      <c r="K608">
        <v>0</v>
      </c>
      <c r="L608">
        <v>0</v>
      </c>
      <c r="M608">
        <v>0.52859739239999248</v>
      </c>
      <c r="N608">
        <v>0</v>
      </c>
      <c r="O608">
        <v>0</v>
      </c>
      <c r="P608">
        <v>0.6783423369604088</v>
      </c>
      <c r="Q608">
        <v>1.5980662931683609</v>
      </c>
      <c r="R608">
        <v>-3.5842594421114549</v>
      </c>
      <c r="S608">
        <v>0.2122341875414922</v>
      </c>
      <c r="T608">
        <v>0.16004724242470639</v>
      </c>
      <c r="U608">
        <v>4.3297121556807969</v>
      </c>
      <c r="V608">
        <v>0.19287049691405411</v>
      </c>
      <c r="W608">
        <v>3.3349076130033479</v>
      </c>
      <c r="X608">
        <v>0.37422787119902479</v>
      </c>
      <c r="Z608" t="s">
        <v>392</v>
      </c>
      <c r="AA608">
        <v>9400</v>
      </c>
      <c r="AB608" t="s">
        <v>3027</v>
      </c>
      <c r="AC608" t="str">
        <f>HYPERLINK("plots/3FT6Y578R01_012_S11P_20251111092011_M5358ACSH101811_RBGEUFRF26/dpll_52084/txpa_55189.png","plot")</f>
        <v>plot</v>
      </c>
    </row>
    <row r="609" spans="1:29" x14ac:dyDescent="0.35">
      <c r="A609" t="s">
        <v>48</v>
      </c>
      <c r="B609">
        <v>52084</v>
      </c>
      <c r="C609" t="s">
        <v>52</v>
      </c>
      <c r="D609">
        <v>55190</v>
      </c>
      <c r="E609" t="s">
        <v>323</v>
      </c>
      <c r="F609">
        <v>12242</v>
      </c>
      <c r="G609">
        <v>0.83354212592523325</v>
      </c>
      <c r="H609">
        <v>0</v>
      </c>
      <c r="I609">
        <v>0</v>
      </c>
      <c r="J609">
        <v>0.72682961621832365</v>
      </c>
      <c r="K609">
        <v>0</v>
      </c>
      <c r="L609">
        <v>0</v>
      </c>
      <c r="M609">
        <v>0.53452533598673213</v>
      </c>
      <c r="N609">
        <v>0</v>
      </c>
      <c r="O609">
        <v>0</v>
      </c>
      <c r="P609">
        <v>0.69479247569195735</v>
      </c>
      <c r="Q609">
        <v>1.6192683290926739</v>
      </c>
      <c r="R609">
        <v>-3.656471387570992</v>
      </c>
      <c r="S609">
        <v>0.2069909807097427</v>
      </c>
      <c r="T609">
        <v>0.15808791221266411</v>
      </c>
      <c r="U609">
        <v>4.3297189133311553</v>
      </c>
      <c r="V609">
        <v>0.19287692535756709</v>
      </c>
      <c r="W609">
        <v>3.3545053226596959</v>
      </c>
      <c r="X609">
        <v>0.3746895170986167</v>
      </c>
      <c r="Z609" t="s">
        <v>392</v>
      </c>
      <c r="AA609">
        <v>9400</v>
      </c>
      <c r="AB609" t="s">
        <v>3028</v>
      </c>
      <c r="AC609" t="str">
        <f>HYPERLINK("plots/3FT6Y578R01_012_S11P_20251111092011_M5358ACSH101811_RBGEUFRF26/dpll_52084/txpa_55190.png","plot")</f>
        <v>plot</v>
      </c>
    </row>
    <row r="610" spans="1:29" x14ac:dyDescent="0.35">
      <c r="A610" t="s">
        <v>48</v>
      </c>
      <c r="B610">
        <v>52084</v>
      </c>
      <c r="C610" t="s">
        <v>52</v>
      </c>
      <c r="D610">
        <v>55191</v>
      </c>
      <c r="E610" t="s">
        <v>324</v>
      </c>
      <c r="F610">
        <v>12240</v>
      </c>
      <c r="G610">
        <v>0.834166538789059</v>
      </c>
      <c r="H610">
        <v>0</v>
      </c>
      <c r="I610">
        <v>0</v>
      </c>
      <c r="J610">
        <v>0.7242818596880064</v>
      </c>
      <c r="K610">
        <v>0</v>
      </c>
      <c r="L610">
        <v>0</v>
      </c>
      <c r="M610">
        <v>0.53139054579753642</v>
      </c>
      <c r="N610">
        <v>0</v>
      </c>
      <c r="O610">
        <v>0</v>
      </c>
      <c r="P610">
        <v>0.69583381443531866</v>
      </c>
      <c r="Q610">
        <v>1.6253829242383979</v>
      </c>
      <c r="R610">
        <v>-3.7072863713740341</v>
      </c>
      <c r="S610">
        <v>0.20722506489166051</v>
      </c>
      <c r="T610">
        <v>0.15927486907938671</v>
      </c>
      <c r="U610">
        <v>4.3297345467320261</v>
      </c>
      <c r="V610">
        <v>0.1928420022508596</v>
      </c>
      <c r="W610">
        <v>3.3301902273692812</v>
      </c>
      <c r="X610">
        <v>0.37575481988225862</v>
      </c>
      <c r="Z610" t="s">
        <v>392</v>
      </c>
      <c r="AA610">
        <v>9400</v>
      </c>
      <c r="AB610" t="s">
        <v>3029</v>
      </c>
      <c r="AC610" t="str">
        <f>HYPERLINK("plots/3FT6Y578R01_012_S11P_20251111092011_M5358ACSH101811_RBGEUFRF26/dpll_52084/txpa_55191.png","plot")</f>
        <v>plot</v>
      </c>
    </row>
    <row r="611" spans="1:29" x14ac:dyDescent="0.35">
      <c r="A611" t="s">
        <v>48</v>
      </c>
      <c r="B611">
        <v>52084</v>
      </c>
      <c r="C611" t="s">
        <v>52</v>
      </c>
      <c r="D611">
        <v>55192</v>
      </c>
      <c r="E611" t="s">
        <v>325</v>
      </c>
      <c r="F611">
        <v>12240</v>
      </c>
      <c r="G611">
        <v>0.83658819845142041</v>
      </c>
      <c r="H611">
        <v>0</v>
      </c>
      <c r="I611">
        <v>0</v>
      </c>
      <c r="J611">
        <v>0.7296035225201305</v>
      </c>
      <c r="K611">
        <v>0</v>
      </c>
      <c r="L611">
        <v>0</v>
      </c>
      <c r="M611">
        <v>0.53714771764071634</v>
      </c>
      <c r="N611">
        <v>0</v>
      </c>
      <c r="O611">
        <v>0</v>
      </c>
      <c r="P611">
        <v>0.69987981378819319</v>
      </c>
      <c r="Q611">
        <v>1.6336540918606279</v>
      </c>
      <c r="R611">
        <v>-3.7417367528239409</v>
      </c>
      <c r="S611">
        <v>0.2062653569049385</v>
      </c>
      <c r="T611">
        <v>0.15874518158986711</v>
      </c>
      <c r="U611">
        <v>4.329689001062091</v>
      </c>
      <c r="V611">
        <v>0.19281821557856541</v>
      </c>
      <c r="W611">
        <v>3.331477400245098</v>
      </c>
      <c r="X611">
        <v>0.37652726568253098</v>
      </c>
      <c r="Z611" t="s">
        <v>392</v>
      </c>
      <c r="AA611">
        <v>9400</v>
      </c>
      <c r="AB611" t="s">
        <v>3030</v>
      </c>
      <c r="AC611" t="str">
        <f>HYPERLINK("plots/3FT6Y578R01_012_S11P_20251111092011_M5358ACSH101811_RBGEUFRF26/dpll_52084/txpa_55192.png","plot")</f>
        <v>plot</v>
      </c>
    </row>
    <row r="612" spans="1:29" x14ac:dyDescent="0.35">
      <c r="A612" t="s">
        <v>48</v>
      </c>
      <c r="B612">
        <v>52084</v>
      </c>
      <c r="C612" t="s">
        <v>52</v>
      </c>
      <c r="D612">
        <v>55193</v>
      </c>
      <c r="E612" t="s">
        <v>326</v>
      </c>
      <c r="F612">
        <v>12242</v>
      </c>
      <c r="G612">
        <v>0.83548909062144971</v>
      </c>
      <c r="H612">
        <v>0</v>
      </c>
      <c r="I612">
        <v>0</v>
      </c>
      <c r="J612">
        <v>0.72471362929283134</v>
      </c>
      <c r="K612">
        <v>0</v>
      </c>
      <c r="L612">
        <v>0</v>
      </c>
      <c r="M612">
        <v>0.53299511461609961</v>
      </c>
      <c r="N612">
        <v>0</v>
      </c>
      <c r="O612">
        <v>0</v>
      </c>
      <c r="P612">
        <v>0.69804202054745701</v>
      </c>
      <c r="Q612">
        <v>1.629008170587614</v>
      </c>
      <c r="R612">
        <v>-3.7163240460432632</v>
      </c>
      <c r="S612">
        <v>0.20661136725042631</v>
      </c>
      <c r="T612">
        <v>0.15882595621582879</v>
      </c>
      <c r="U612">
        <v>4.3297428452050317</v>
      </c>
      <c r="V612">
        <v>0.19284847807112951</v>
      </c>
      <c r="W612">
        <v>3.336862425338996</v>
      </c>
      <c r="X612">
        <v>0.37600939376669218</v>
      </c>
      <c r="Z612" t="s">
        <v>392</v>
      </c>
      <c r="AA612">
        <v>9400</v>
      </c>
      <c r="AB612" t="s">
        <v>3031</v>
      </c>
      <c r="AC612" t="str">
        <f>HYPERLINK("plots/3FT6Y578R01_012_S11P_20251111092011_M5358ACSH101811_RBGEUFRF26/dpll_52084/txpa_55193.png","plot")</f>
        <v>plot</v>
      </c>
    </row>
    <row r="613" spans="1:29" x14ac:dyDescent="0.35">
      <c r="A613" t="s">
        <v>48</v>
      </c>
      <c r="B613">
        <v>52084</v>
      </c>
      <c r="C613" t="s">
        <v>52</v>
      </c>
      <c r="D613">
        <v>55194</v>
      </c>
      <c r="E613" t="s">
        <v>327</v>
      </c>
      <c r="F613">
        <v>12238</v>
      </c>
      <c r="G613">
        <v>0.83005177287477661</v>
      </c>
      <c r="H613">
        <v>0</v>
      </c>
      <c r="I613">
        <v>0</v>
      </c>
      <c r="J613">
        <v>0.71685910823393073</v>
      </c>
      <c r="K613">
        <v>0</v>
      </c>
      <c r="L613">
        <v>0</v>
      </c>
      <c r="M613">
        <v>0.52603693109344962</v>
      </c>
      <c r="N613">
        <v>0</v>
      </c>
      <c r="O613">
        <v>0</v>
      </c>
      <c r="P613">
        <v>0.68898594565255977</v>
      </c>
      <c r="Q613">
        <v>1.6108319098693129</v>
      </c>
      <c r="R613">
        <v>-3.6538203270082739</v>
      </c>
      <c r="S613">
        <v>0.208698917750409</v>
      </c>
      <c r="T613">
        <v>0.15954413290889571</v>
      </c>
      <c r="U613">
        <v>4.3298076863049522</v>
      </c>
      <c r="V613">
        <v>0.19284256140431191</v>
      </c>
      <c r="W613">
        <v>3.3207720576891648</v>
      </c>
      <c r="X613">
        <v>0.37423804350799372</v>
      </c>
      <c r="Z613" t="s">
        <v>392</v>
      </c>
      <c r="AA613">
        <v>9400</v>
      </c>
      <c r="AB613" t="s">
        <v>3032</v>
      </c>
      <c r="AC613" t="str">
        <f>HYPERLINK("plots/3FT6Y578R01_012_S11P_20251111092011_M5358ACSH101811_RBGEUFRF26/dpll_52084/txpa_55194.png","plot")</f>
        <v>plot</v>
      </c>
    </row>
    <row r="614" spans="1:29" x14ac:dyDescent="0.35">
      <c r="A614" t="s">
        <v>48</v>
      </c>
      <c r="B614">
        <v>52084</v>
      </c>
      <c r="C614" t="s">
        <v>52</v>
      </c>
      <c r="D614">
        <v>55195</v>
      </c>
      <c r="E614" t="s">
        <v>328</v>
      </c>
      <c r="F614">
        <v>12241</v>
      </c>
      <c r="G614">
        <v>0.82259255505808537</v>
      </c>
      <c r="H614">
        <v>0</v>
      </c>
      <c r="I614">
        <v>0</v>
      </c>
      <c r="J614">
        <v>0.72271338991889922</v>
      </c>
      <c r="K614">
        <v>0</v>
      </c>
      <c r="L614">
        <v>0</v>
      </c>
      <c r="M614">
        <v>0.52954168202111573</v>
      </c>
      <c r="N614">
        <v>0</v>
      </c>
      <c r="O614">
        <v>0</v>
      </c>
      <c r="P614">
        <v>0.6766585116369892</v>
      </c>
      <c r="Q614">
        <v>1.786583351108691</v>
      </c>
      <c r="R614">
        <v>-2.209233104808956</v>
      </c>
      <c r="S614">
        <v>0.23816192423817559</v>
      </c>
      <c r="T614">
        <v>0.17729560128715721</v>
      </c>
      <c r="U614">
        <v>4.3297594032350304</v>
      </c>
      <c r="V614">
        <v>0.1928505341528253</v>
      </c>
      <c r="W614">
        <v>5.5262429593170488</v>
      </c>
      <c r="X614">
        <v>0.41885080463137231</v>
      </c>
      <c r="Z614" t="s">
        <v>392</v>
      </c>
      <c r="AA614">
        <v>9400</v>
      </c>
      <c r="AB614" t="s">
        <v>3033</v>
      </c>
      <c r="AC614" t="str">
        <f>HYPERLINK("plots/3FT6Y578R01_012_S11P_20251111092011_M5358ACSH101811_RBGEUFRF26/dpll_52084/txpa_55195.png","plot")</f>
        <v>plot</v>
      </c>
    </row>
    <row r="615" spans="1:29" x14ac:dyDescent="0.35">
      <c r="A615" t="s">
        <v>48</v>
      </c>
      <c r="B615">
        <v>52084</v>
      </c>
      <c r="C615" t="s">
        <v>52</v>
      </c>
      <c r="D615">
        <v>55196</v>
      </c>
      <c r="E615" t="s">
        <v>329</v>
      </c>
      <c r="F615">
        <v>12239</v>
      </c>
      <c r="G615">
        <v>0.83627282042864726</v>
      </c>
      <c r="H615">
        <v>0</v>
      </c>
      <c r="I615">
        <v>0</v>
      </c>
      <c r="J615">
        <v>0.73227250184796033</v>
      </c>
      <c r="K615">
        <v>0</v>
      </c>
      <c r="L615">
        <v>0</v>
      </c>
      <c r="M615">
        <v>0.54010713603045901</v>
      </c>
      <c r="N615">
        <v>0</v>
      </c>
      <c r="O615">
        <v>0</v>
      </c>
      <c r="P615">
        <v>0.69935223018768455</v>
      </c>
      <c r="Q615">
        <v>1.8133706869051049</v>
      </c>
      <c r="R615">
        <v>-2.2917425385587951</v>
      </c>
      <c r="S615">
        <v>0.22926783314599389</v>
      </c>
      <c r="T615">
        <v>0.17355783797463109</v>
      </c>
      <c r="U615">
        <v>4.3297724721791004</v>
      </c>
      <c r="V615">
        <v>0.19283828792463359</v>
      </c>
      <c r="W615">
        <v>5.5597399434594319</v>
      </c>
      <c r="X615">
        <v>0.41814978329232122</v>
      </c>
      <c r="Z615" t="s">
        <v>392</v>
      </c>
      <c r="AA615">
        <v>9400</v>
      </c>
      <c r="AB615" t="s">
        <v>3034</v>
      </c>
      <c r="AC615" t="str">
        <f>HYPERLINK("plots/3FT6Y578R01_012_S11P_20251111092011_M5358ACSH101811_RBGEUFRF26/dpll_52084/txpa_55196.png","plot")</f>
        <v>plot</v>
      </c>
    </row>
    <row r="616" spans="1:29" x14ac:dyDescent="0.35">
      <c r="A616" t="s">
        <v>48</v>
      </c>
      <c r="B616">
        <v>52084</v>
      </c>
      <c r="C616" t="s">
        <v>52</v>
      </c>
      <c r="D616">
        <v>55197</v>
      </c>
      <c r="E616" t="s">
        <v>330</v>
      </c>
      <c r="F616">
        <v>12241</v>
      </c>
      <c r="G616">
        <v>0.83430793953435067</v>
      </c>
      <c r="H616">
        <v>0</v>
      </c>
      <c r="I616">
        <v>0</v>
      </c>
      <c r="J616">
        <v>0.7287100017647401</v>
      </c>
      <c r="K616">
        <v>0</v>
      </c>
      <c r="L616">
        <v>0</v>
      </c>
      <c r="M616">
        <v>0.5363032033839894</v>
      </c>
      <c r="N616">
        <v>0</v>
      </c>
      <c r="O616">
        <v>0</v>
      </c>
      <c r="P616">
        <v>0.69606973797005378</v>
      </c>
      <c r="Q616">
        <v>1.7953343559160539</v>
      </c>
      <c r="R616">
        <v>-2.2026863698084771</v>
      </c>
      <c r="S616">
        <v>0.22877525258831699</v>
      </c>
      <c r="T616">
        <v>0.1724476214524911</v>
      </c>
      <c r="U616">
        <v>4.3297594032350304</v>
      </c>
      <c r="V616">
        <v>0.1928505341528253</v>
      </c>
      <c r="W616">
        <v>5.570679439669961</v>
      </c>
      <c r="X616">
        <v>0.41499208279687477</v>
      </c>
      <c r="Z616" t="s">
        <v>392</v>
      </c>
      <c r="AA616">
        <v>9400</v>
      </c>
      <c r="AB616" t="s">
        <v>3035</v>
      </c>
      <c r="AC616" t="str">
        <f>HYPERLINK("plots/3FT6Y578R01_012_S11P_20251111092011_M5358ACSH101811_RBGEUFRF26/dpll_52084/txpa_55197.png","plot")</f>
        <v>plot</v>
      </c>
    </row>
    <row r="617" spans="1:29" x14ac:dyDescent="0.35">
      <c r="A617" t="s">
        <v>48</v>
      </c>
      <c r="B617">
        <v>52084</v>
      </c>
      <c r="C617" t="s">
        <v>52</v>
      </c>
      <c r="D617">
        <v>55198</v>
      </c>
      <c r="E617" t="s">
        <v>331</v>
      </c>
      <c r="F617">
        <v>12242</v>
      </c>
      <c r="G617">
        <v>0.84307063572239982</v>
      </c>
      <c r="H617">
        <v>0</v>
      </c>
      <c r="I617">
        <v>0</v>
      </c>
      <c r="J617">
        <v>0.73459865677218483</v>
      </c>
      <c r="K617">
        <v>0</v>
      </c>
      <c r="L617">
        <v>0</v>
      </c>
      <c r="M617">
        <v>0.5424098189566452</v>
      </c>
      <c r="N617">
        <v>0</v>
      </c>
      <c r="O617">
        <v>0</v>
      </c>
      <c r="P617">
        <v>0.71076809681737141</v>
      </c>
      <c r="Q617">
        <v>1.819409898291998</v>
      </c>
      <c r="R617">
        <v>-2.290621402319363</v>
      </c>
      <c r="S617">
        <v>0.22384748715234759</v>
      </c>
      <c r="T617">
        <v>0.17053762279258081</v>
      </c>
      <c r="U617">
        <v>4.3297189133311553</v>
      </c>
      <c r="V617">
        <v>0.19287692535756709</v>
      </c>
      <c r="W617">
        <v>5.5869120454174146</v>
      </c>
      <c r="X617">
        <v>0.41624292470700353</v>
      </c>
      <c r="Z617" t="s">
        <v>392</v>
      </c>
      <c r="AA617">
        <v>9400</v>
      </c>
      <c r="AB617" t="s">
        <v>3036</v>
      </c>
      <c r="AC617" t="str">
        <f>HYPERLINK("plots/3FT6Y578R01_012_S11P_20251111092011_M5358ACSH101811_RBGEUFRF26/dpll_52084/txpa_55198.png","plot")</f>
        <v>plot</v>
      </c>
    </row>
    <row r="618" spans="1:29" x14ac:dyDescent="0.35">
      <c r="A618" t="s">
        <v>48</v>
      </c>
      <c r="B618">
        <v>52084</v>
      </c>
      <c r="C618" t="s">
        <v>52</v>
      </c>
      <c r="D618">
        <v>55199</v>
      </c>
      <c r="E618" t="s">
        <v>332</v>
      </c>
      <c r="F618">
        <v>12240</v>
      </c>
      <c r="G618">
        <v>0.84393160524095634</v>
      </c>
      <c r="H618">
        <v>0</v>
      </c>
      <c r="I618">
        <v>0</v>
      </c>
      <c r="J618">
        <v>0.73245935270306495</v>
      </c>
      <c r="K618">
        <v>0</v>
      </c>
      <c r="L618">
        <v>0</v>
      </c>
      <c r="M618">
        <v>0.53979929842466468</v>
      </c>
      <c r="N618">
        <v>0</v>
      </c>
      <c r="O618">
        <v>0</v>
      </c>
      <c r="P618">
        <v>0.71222055432457732</v>
      </c>
      <c r="Q618">
        <v>1.825667125479377</v>
      </c>
      <c r="R618">
        <v>-2.343345782109246</v>
      </c>
      <c r="S618">
        <v>0.223783530013517</v>
      </c>
      <c r="T618">
        <v>0.17156490185374301</v>
      </c>
      <c r="U618">
        <v>4.3297345467320261</v>
      </c>
      <c r="V618">
        <v>0.1928420022508596</v>
      </c>
      <c r="W618">
        <v>5.5613082419117648</v>
      </c>
      <c r="X618">
        <v>0.41717279188814582</v>
      </c>
      <c r="Z618" t="s">
        <v>392</v>
      </c>
      <c r="AA618">
        <v>9400</v>
      </c>
      <c r="AB618" t="s">
        <v>3037</v>
      </c>
      <c r="AC618" t="str">
        <f>HYPERLINK("plots/3FT6Y578R01_012_S11P_20251111092011_M5358ACSH101811_RBGEUFRF26/dpll_52084/txpa_55199.png","plot")</f>
        <v>plot</v>
      </c>
    </row>
    <row r="619" spans="1:29" x14ac:dyDescent="0.35">
      <c r="A619" t="s">
        <v>48</v>
      </c>
      <c r="B619">
        <v>52084</v>
      </c>
      <c r="C619" t="s">
        <v>52</v>
      </c>
      <c r="D619">
        <v>55200</v>
      </c>
      <c r="E619" t="s">
        <v>333</v>
      </c>
      <c r="F619">
        <v>12240</v>
      </c>
      <c r="G619">
        <v>0.84574980335326755</v>
      </c>
      <c r="H619">
        <v>0</v>
      </c>
      <c r="I619">
        <v>0</v>
      </c>
      <c r="J619">
        <v>0.73641442004272206</v>
      </c>
      <c r="K619">
        <v>0</v>
      </c>
      <c r="L619">
        <v>0</v>
      </c>
      <c r="M619">
        <v>0.54437230318002605</v>
      </c>
      <c r="N619">
        <v>0</v>
      </c>
      <c r="O619">
        <v>0</v>
      </c>
      <c r="P619">
        <v>0.71529272987209069</v>
      </c>
      <c r="Q619">
        <v>1.8333409794112561</v>
      </c>
      <c r="R619">
        <v>-2.371908670403641</v>
      </c>
      <c r="S619">
        <v>0.2230133887809809</v>
      </c>
      <c r="T619">
        <v>0.17105722072413149</v>
      </c>
      <c r="U619">
        <v>4.329689001062091</v>
      </c>
      <c r="V619">
        <v>0.19281821557856541</v>
      </c>
      <c r="W619">
        <v>5.5658876033496734</v>
      </c>
      <c r="X619">
        <v>0.41797412756770203</v>
      </c>
      <c r="Z619" t="s">
        <v>392</v>
      </c>
      <c r="AA619">
        <v>9400</v>
      </c>
      <c r="AB619" t="s">
        <v>3038</v>
      </c>
      <c r="AC619" t="str">
        <f>HYPERLINK("plots/3FT6Y578R01_012_S11P_20251111092011_M5358ACSH101811_RBGEUFRF26/dpll_52084/txpa_55200.png","plot")</f>
        <v>plot</v>
      </c>
    </row>
    <row r="620" spans="1:29" x14ac:dyDescent="0.35">
      <c r="A620" t="s">
        <v>48</v>
      </c>
      <c r="B620">
        <v>52084</v>
      </c>
      <c r="C620" t="s">
        <v>52</v>
      </c>
      <c r="D620">
        <v>55201</v>
      </c>
      <c r="E620" t="s">
        <v>334</v>
      </c>
      <c r="F620">
        <v>12242</v>
      </c>
      <c r="G620">
        <v>0.84484924843648612</v>
      </c>
      <c r="H620">
        <v>0</v>
      </c>
      <c r="I620">
        <v>0</v>
      </c>
      <c r="J620">
        <v>0.73226388496987094</v>
      </c>
      <c r="K620">
        <v>0</v>
      </c>
      <c r="L620">
        <v>0</v>
      </c>
      <c r="M620">
        <v>0.54077883900300017</v>
      </c>
      <c r="N620">
        <v>0</v>
      </c>
      <c r="O620">
        <v>0</v>
      </c>
      <c r="P620">
        <v>0.71377025258369542</v>
      </c>
      <c r="Q620">
        <v>1.8296878105419909</v>
      </c>
      <c r="R620">
        <v>-2.3510205124854271</v>
      </c>
      <c r="S620">
        <v>0.22343624987457769</v>
      </c>
      <c r="T620">
        <v>0.1710528909695497</v>
      </c>
      <c r="U620">
        <v>4.3297428452050317</v>
      </c>
      <c r="V620">
        <v>0.19284847807112951</v>
      </c>
      <c r="W620">
        <v>5.5710571941676204</v>
      </c>
      <c r="X620">
        <v>0.4176514452268546</v>
      </c>
      <c r="Z620" t="s">
        <v>392</v>
      </c>
      <c r="AA620">
        <v>9400</v>
      </c>
      <c r="AB620" t="s">
        <v>3039</v>
      </c>
      <c r="AC620" t="str">
        <f>HYPERLINK("plots/3FT6Y578R01_012_S11P_20251111092011_M5358ACSH101811_RBGEUFRF26/dpll_52084/txpa_55201.png","plot")</f>
        <v>plot</v>
      </c>
    </row>
    <row r="621" spans="1:29" x14ac:dyDescent="0.35">
      <c r="A621" t="s">
        <v>48</v>
      </c>
      <c r="B621">
        <v>52084</v>
      </c>
      <c r="C621" t="s">
        <v>52</v>
      </c>
      <c r="D621">
        <v>55202</v>
      </c>
      <c r="E621" t="s">
        <v>335</v>
      </c>
      <c r="F621">
        <v>12237</v>
      </c>
      <c r="G621">
        <v>0.84028288331455203</v>
      </c>
      <c r="H621">
        <v>0</v>
      </c>
      <c r="I621">
        <v>0</v>
      </c>
      <c r="J621">
        <v>0.72507055884848326</v>
      </c>
      <c r="K621">
        <v>0</v>
      </c>
      <c r="L621">
        <v>0</v>
      </c>
      <c r="M621">
        <v>0.53429017256241085</v>
      </c>
      <c r="N621">
        <v>0</v>
      </c>
      <c r="O621">
        <v>0</v>
      </c>
      <c r="P621">
        <v>0.70607532399141704</v>
      </c>
      <c r="Q621">
        <v>1.8103498332721459</v>
      </c>
      <c r="R621">
        <v>-2.2822322093206062</v>
      </c>
      <c r="S621">
        <v>0.22523212613526161</v>
      </c>
      <c r="T621">
        <v>0.17191875816746699</v>
      </c>
      <c r="U621">
        <v>4.3298273272043808</v>
      </c>
      <c r="V621">
        <v>0.1928381999531027</v>
      </c>
      <c r="W621">
        <v>5.5562699705810257</v>
      </c>
      <c r="X621">
        <v>0.41546080500477861</v>
      </c>
      <c r="Z621" t="s">
        <v>392</v>
      </c>
      <c r="AA621">
        <v>9400</v>
      </c>
      <c r="AB621" t="s">
        <v>3040</v>
      </c>
      <c r="AC621" t="str">
        <f>HYPERLINK("plots/3FT6Y578R01_012_S11P_20251111092011_M5358ACSH101811_RBGEUFRF26/dpll_52084/txpa_55202.png","plot")</f>
        <v>plot</v>
      </c>
    </row>
    <row r="622" spans="1:29" x14ac:dyDescent="0.35">
      <c r="A622" t="s">
        <v>48</v>
      </c>
      <c r="B622">
        <v>52084</v>
      </c>
      <c r="C622" t="s">
        <v>52</v>
      </c>
      <c r="D622">
        <v>55203</v>
      </c>
      <c r="E622" t="s">
        <v>336</v>
      </c>
      <c r="F622">
        <v>12241</v>
      </c>
      <c r="G622">
        <v>0.82602160695162175</v>
      </c>
      <c r="H622">
        <v>0</v>
      </c>
      <c r="I622">
        <v>0</v>
      </c>
      <c r="J622">
        <v>0.72487908777569321</v>
      </c>
      <c r="K622">
        <v>0</v>
      </c>
      <c r="L622">
        <v>0</v>
      </c>
      <c r="M622">
        <v>0.53186115683988466</v>
      </c>
      <c r="N622">
        <v>0</v>
      </c>
      <c r="O622">
        <v>0</v>
      </c>
      <c r="P622">
        <v>0.68231169515093948</v>
      </c>
      <c r="Q622">
        <v>1.8790043353122561</v>
      </c>
      <c r="R622">
        <v>-1.6243970868907831</v>
      </c>
      <c r="S622">
        <v>0.2472521599131958</v>
      </c>
      <c r="T622">
        <v>0.18385097258089261</v>
      </c>
      <c r="U622">
        <v>4.3297594032350304</v>
      </c>
      <c r="V622">
        <v>0.1928505341528253</v>
      </c>
      <c r="W622">
        <v>6.5112396026468424</v>
      </c>
      <c r="X622">
        <v>0.43868948062718888</v>
      </c>
      <c r="Z622" t="s">
        <v>392</v>
      </c>
      <c r="AA622">
        <v>9400</v>
      </c>
      <c r="AB622" t="s">
        <v>3041</v>
      </c>
      <c r="AC622" t="str">
        <f>HYPERLINK("plots/3FT6Y578R01_012_S11P_20251111092011_M5358ACSH101811_RBGEUFRF26/dpll_52084/txpa_55203.png","plot")</f>
        <v>plot</v>
      </c>
    </row>
    <row r="623" spans="1:29" x14ac:dyDescent="0.35">
      <c r="A623" t="s">
        <v>48</v>
      </c>
      <c r="B623">
        <v>52084</v>
      </c>
      <c r="C623" t="s">
        <v>52</v>
      </c>
      <c r="D623">
        <v>55204</v>
      </c>
      <c r="E623" t="s">
        <v>337</v>
      </c>
      <c r="F623">
        <v>12239</v>
      </c>
      <c r="G623">
        <v>0.83917875638159178</v>
      </c>
      <c r="H623">
        <v>0</v>
      </c>
      <c r="I623">
        <v>0</v>
      </c>
      <c r="J623">
        <v>0.73419858599216081</v>
      </c>
      <c r="K623">
        <v>0</v>
      </c>
      <c r="L623">
        <v>0</v>
      </c>
      <c r="M623">
        <v>0.54215598677572607</v>
      </c>
      <c r="N623">
        <v>0</v>
      </c>
      <c r="O623">
        <v>0</v>
      </c>
      <c r="P623">
        <v>0.70422098516215492</v>
      </c>
      <c r="Q623">
        <v>1.905531735128122</v>
      </c>
      <c r="R623">
        <v>-1.705832448238789</v>
      </c>
      <c r="S623">
        <v>0.23813372631370369</v>
      </c>
      <c r="T623">
        <v>0.18007310269372129</v>
      </c>
      <c r="U623">
        <v>4.3297724721791004</v>
      </c>
      <c r="V623">
        <v>0.19283828792463359</v>
      </c>
      <c r="W623">
        <v>6.5446864033826291</v>
      </c>
      <c r="X623">
        <v>0.43787986122598199</v>
      </c>
      <c r="Z623" t="s">
        <v>392</v>
      </c>
      <c r="AA623">
        <v>9400</v>
      </c>
      <c r="AB623" t="s">
        <v>3042</v>
      </c>
      <c r="AC623" t="str">
        <f>HYPERLINK("plots/3FT6Y578R01_012_S11P_20251111092011_M5358ACSH101811_RBGEUFRF26/dpll_52084/txpa_55204.png","plot")</f>
        <v>plot</v>
      </c>
    </row>
    <row r="624" spans="1:29" x14ac:dyDescent="0.35">
      <c r="A624" t="s">
        <v>48</v>
      </c>
      <c r="B624">
        <v>52084</v>
      </c>
      <c r="C624" t="s">
        <v>52</v>
      </c>
      <c r="D624">
        <v>55205</v>
      </c>
      <c r="E624" t="s">
        <v>338</v>
      </c>
      <c r="F624">
        <v>12240</v>
      </c>
      <c r="G624">
        <v>0.83756767481569372</v>
      </c>
      <c r="H624">
        <v>0</v>
      </c>
      <c r="I624">
        <v>0</v>
      </c>
      <c r="J624">
        <v>0.73047999845305822</v>
      </c>
      <c r="K624">
        <v>0</v>
      </c>
      <c r="L624">
        <v>0</v>
      </c>
      <c r="M624">
        <v>0.53821302326623199</v>
      </c>
      <c r="N624">
        <v>0</v>
      </c>
      <c r="O624">
        <v>0</v>
      </c>
      <c r="P624">
        <v>0.70151960989616768</v>
      </c>
      <c r="Q624">
        <v>1.886449912544423</v>
      </c>
      <c r="R624">
        <v>-1.611826879369374</v>
      </c>
      <c r="S624">
        <v>0.2372905765867328</v>
      </c>
      <c r="T624">
        <v>0.1788490306677098</v>
      </c>
      <c r="U624">
        <v>4.3297775847222226</v>
      </c>
      <c r="V624">
        <v>0.19284792061017139</v>
      </c>
      <c r="W624">
        <v>6.5560816666666666</v>
      </c>
      <c r="X624">
        <v>0.43435050552719262</v>
      </c>
      <c r="Z624" t="s">
        <v>392</v>
      </c>
      <c r="AA624">
        <v>9400</v>
      </c>
      <c r="AB624" t="s">
        <v>3043</v>
      </c>
      <c r="AC624" t="str">
        <f>HYPERLINK("plots/3FT6Y578R01_012_S11P_20251111092011_M5358ACSH101811_RBGEUFRF26/dpll_52084/txpa_55205.png","plot")</f>
        <v>plot</v>
      </c>
    </row>
    <row r="625" spans="1:29" x14ac:dyDescent="0.35">
      <c r="A625" t="s">
        <v>48</v>
      </c>
      <c r="B625">
        <v>52084</v>
      </c>
      <c r="C625" t="s">
        <v>52</v>
      </c>
      <c r="D625">
        <v>55206</v>
      </c>
      <c r="E625" t="s">
        <v>339</v>
      </c>
      <c r="F625">
        <v>12242</v>
      </c>
      <c r="G625">
        <v>0.84580044463465631</v>
      </c>
      <c r="H625">
        <v>0</v>
      </c>
      <c r="I625">
        <v>0</v>
      </c>
      <c r="J625">
        <v>0.73623669190515928</v>
      </c>
      <c r="K625">
        <v>0</v>
      </c>
      <c r="L625">
        <v>0</v>
      </c>
      <c r="M625">
        <v>0.54426646473345508</v>
      </c>
      <c r="N625">
        <v>0</v>
      </c>
      <c r="O625">
        <v>0</v>
      </c>
      <c r="P625">
        <v>0.71537839214418231</v>
      </c>
      <c r="Q625">
        <v>1.9118750722820239</v>
      </c>
      <c r="R625">
        <v>-1.7069500666920101</v>
      </c>
      <c r="S625">
        <v>0.23258841075264369</v>
      </c>
      <c r="T625">
        <v>0.1770341184122278</v>
      </c>
      <c r="U625">
        <v>4.3297189133311553</v>
      </c>
      <c r="V625">
        <v>0.19287692535756709</v>
      </c>
      <c r="W625">
        <v>6.5709315936938397</v>
      </c>
      <c r="X625">
        <v>0.43598532957595859</v>
      </c>
      <c r="Z625" t="s">
        <v>392</v>
      </c>
      <c r="AA625">
        <v>9400</v>
      </c>
      <c r="AB625" t="s">
        <v>3044</v>
      </c>
      <c r="AC625" t="str">
        <f>HYPERLINK("plots/3FT6Y578R01_012_S11P_20251111092011_M5358ACSH101811_RBGEUFRF26/dpll_52084/txpa_55206.png","plot")</f>
        <v>plot</v>
      </c>
    </row>
    <row r="626" spans="1:29" x14ac:dyDescent="0.35">
      <c r="A626" t="s">
        <v>48</v>
      </c>
      <c r="B626">
        <v>52084</v>
      </c>
      <c r="C626" t="s">
        <v>52</v>
      </c>
      <c r="D626">
        <v>55207</v>
      </c>
      <c r="E626" t="s">
        <v>340</v>
      </c>
      <c r="F626">
        <v>12240</v>
      </c>
      <c r="G626">
        <v>0.84674086457825193</v>
      </c>
      <c r="H626">
        <v>0</v>
      </c>
      <c r="I626">
        <v>0</v>
      </c>
      <c r="J626">
        <v>0.73415589347893773</v>
      </c>
      <c r="K626">
        <v>0</v>
      </c>
      <c r="L626">
        <v>0</v>
      </c>
      <c r="M626">
        <v>0.54171086815047331</v>
      </c>
      <c r="N626">
        <v>0</v>
      </c>
      <c r="O626">
        <v>0</v>
      </c>
      <c r="P626">
        <v>0.71697009174672555</v>
      </c>
      <c r="Q626">
        <v>1.918792722189524</v>
      </c>
      <c r="R626">
        <v>-1.763335490141448</v>
      </c>
      <c r="S626">
        <v>0.232475718490113</v>
      </c>
      <c r="T626">
        <v>0.17804431764590681</v>
      </c>
      <c r="U626">
        <v>4.3297345467320261</v>
      </c>
      <c r="V626">
        <v>0.1928420022508596</v>
      </c>
      <c r="W626">
        <v>6.5445276471405238</v>
      </c>
      <c r="X626">
        <v>0.43699772377905532</v>
      </c>
      <c r="Z626" t="s">
        <v>392</v>
      </c>
      <c r="AA626">
        <v>9400</v>
      </c>
      <c r="AB626" t="s">
        <v>3045</v>
      </c>
      <c r="AC626" t="str">
        <f>HYPERLINK("plots/3FT6Y578R01_012_S11P_20251111092011_M5358ACSH101811_RBGEUFRF26/dpll_52084/txpa_55207.png","plot")</f>
        <v>plot</v>
      </c>
    </row>
    <row r="627" spans="1:29" x14ac:dyDescent="0.35">
      <c r="A627" t="s">
        <v>48</v>
      </c>
      <c r="B627">
        <v>52084</v>
      </c>
      <c r="C627" t="s">
        <v>52</v>
      </c>
      <c r="D627">
        <v>55208</v>
      </c>
      <c r="E627" t="s">
        <v>341</v>
      </c>
      <c r="F627">
        <v>12240</v>
      </c>
      <c r="G627">
        <v>0.84837285288586539</v>
      </c>
      <c r="H627">
        <v>0</v>
      </c>
      <c r="I627">
        <v>0</v>
      </c>
      <c r="J627">
        <v>0.73791065930920907</v>
      </c>
      <c r="K627">
        <v>0</v>
      </c>
      <c r="L627">
        <v>0</v>
      </c>
      <c r="M627">
        <v>0.54610683247834113</v>
      </c>
      <c r="N627">
        <v>0</v>
      </c>
      <c r="O627">
        <v>0</v>
      </c>
      <c r="P627">
        <v>0.71973649751370217</v>
      </c>
      <c r="Q627">
        <v>1.9257087588152859</v>
      </c>
      <c r="R627">
        <v>-1.787525319954874</v>
      </c>
      <c r="S627">
        <v>0.23169541151502759</v>
      </c>
      <c r="T627">
        <v>0.17749404565068139</v>
      </c>
      <c r="U627">
        <v>4.329689001062091</v>
      </c>
      <c r="V627">
        <v>0.19281821557856541</v>
      </c>
      <c r="W627">
        <v>6.5501947123366024</v>
      </c>
      <c r="X627">
        <v>0.43767516291416653</v>
      </c>
      <c r="Z627" t="s">
        <v>392</v>
      </c>
      <c r="AA627">
        <v>9400</v>
      </c>
      <c r="AB627" t="s">
        <v>3046</v>
      </c>
      <c r="AC627" t="str">
        <f>HYPERLINK("plots/3FT6Y578R01_012_S11P_20251111092011_M5358ACSH101811_RBGEUFRF26/dpll_52084/txpa_55208.png","plot")</f>
        <v>plot</v>
      </c>
    </row>
    <row r="628" spans="1:29" x14ac:dyDescent="0.35">
      <c r="A628" t="s">
        <v>48</v>
      </c>
      <c r="B628">
        <v>52084</v>
      </c>
      <c r="C628" t="s">
        <v>52</v>
      </c>
      <c r="D628">
        <v>55209</v>
      </c>
      <c r="E628" t="s">
        <v>342</v>
      </c>
      <c r="F628">
        <v>12241</v>
      </c>
      <c r="G628">
        <v>0.84787914488251392</v>
      </c>
      <c r="H628">
        <v>0</v>
      </c>
      <c r="I628">
        <v>0</v>
      </c>
      <c r="J628">
        <v>0.73385756774512667</v>
      </c>
      <c r="K628">
        <v>0</v>
      </c>
      <c r="L628">
        <v>0</v>
      </c>
      <c r="M628">
        <v>0.5426171724051182</v>
      </c>
      <c r="N628">
        <v>0</v>
      </c>
      <c r="O628">
        <v>0</v>
      </c>
      <c r="P628">
        <v>0.71889904432670304</v>
      </c>
      <c r="Q628">
        <v>1.922344370073974</v>
      </c>
      <c r="R628">
        <v>-1.767829708974435</v>
      </c>
      <c r="S628">
        <v>0.231808763923671</v>
      </c>
      <c r="T628">
        <v>0.17731618580916869</v>
      </c>
      <c r="U628">
        <v>4.3297572162405036</v>
      </c>
      <c r="V628">
        <v>0.1928498001836009</v>
      </c>
      <c r="W628">
        <v>6.5554546994526577</v>
      </c>
      <c r="X628">
        <v>0.43723652113675371</v>
      </c>
      <c r="Z628" t="s">
        <v>392</v>
      </c>
      <c r="AA628">
        <v>9400</v>
      </c>
      <c r="AB628" t="s">
        <v>3047</v>
      </c>
      <c r="AC628" t="str">
        <f>HYPERLINK("plots/3FT6Y578R01_012_S11P_20251111092011_M5358ACSH101811_RBGEUFRF26/dpll_52084/txpa_55209.png","plot")</f>
        <v>plot</v>
      </c>
    </row>
    <row r="629" spans="1:29" x14ac:dyDescent="0.35">
      <c r="A629" t="s">
        <v>48</v>
      </c>
      <c r="B629">
        <v>52084</v>
      </c>
      <c r="C629" t="s">
        <v>52</v>
      </c>
      <c r="D629">
        <v>55210</v>
      </c>
      <c r="E629" t="s">
        <v>343</v>
      </c>
      <c r="F629">
        <v>12235</v>
      </c>
      <c r="G629">
        <v>0.84366747999339986</v>
      </c>
      <c r="H629">
        <v>0</v>
      </c>
      <c r="I629">
        <v>0</v>
      </c>
      <c r="J629">
        <v>0.7268824104378877</v>
      </c>
      <c r="K629">
        <v>0</v>
      </c>
      <c r="L629">
        <v>0</v>
      </c>
      <c r="M629">
        <v>0.53632486965089576</v>
      </c>
      <c r="N629">
        <v>0</v>
      </c>
      <c r="O629">
        <v>0</v>
      </c>
      <c r="P629">
        <v>0.7117748167984137</v>
      </c>
      <c r="Q629">
        <v>1.9014335829287099</v>
      </c>
      <c r="R629">
        <v>-1.691414026159439</v>
      </c>
      <c r="S629">
        <v>0.2333086326455491</v>
      </c>
      <c r="T629">
        <v>0.17808533452958869</v>
      </c>
      <c r="U629">
        <v>4.3298668506742954</v>
      </c>
      <c r="V629">
        <v>0.19282917546891709</v>
      </c>
      <c r="W629">
        <v>6.5415402133224347</v>
      </c>
      <c r="X629">
        <v>0.43459286828019028</v>
      </c>
      <c r="Z629" t="s">
        <v>392</v>
      </c>
      <c r="AA629">
        <v>9400</v>
      </c>
      <c r="AB629" t="s">
        <v>3048</v>
      </c>
      <c r="AC629" t="str">
        <f>HYPERLINK("plots/3FT6Y578R01_012_S11P_20251111092011_M5358ACSH101811_RBGEUFRF26/dpll_52084/txpa_55210.png","plot")</f>
        <v>plot</v>
      </c>
    </row>
    <row r="630" spans="1:29" x14ac:dyDescent="0.35">
      <c r="A630" t="s">
        <v>48</v>
      </c>
      <c r="B630">
        <v>52084</v>
      </c>
      <c r="C630" t="s">
        <v>52</v>
      </c>
      <c r="D630">
        <v>55211</v>
      </c>
      <c r="E630" t="s">
        <v>344</v>
      </c>
      <c r="F630">
        <v>12238</v>
      </c>
      <c r="G630">
        <v>0.82912072310681428</v>
      </c>
      <c r="H630">
        <v>0</v>
      </c>
      <c r="I630">
        <v>0</v>
      </c>
      <c r="J630">
        <v>0.72648661714338503</v>
      </c>
      <c r="K630">
        <v>0</v>
      </c>
      <c r="L630">
        <v>0</v>
      </c>
      <c r="M630">
        <v>0.53362036885484077</v>
      </c>
      <c r="N630">
        <v>0</v>
      </c>
      <c r="O630">
        <v>0</v>
      </c>
      <c r="P630">
        <v>0.68744117348516665</v>
      </c>
      <c r="Q630">
        <v>1.9696527540551489</v>
      </c>
      <c r="R630">
        <v>-1.063935719093847</v>
      </c>
      <c r="S630">
        <v>0.25605700501322048</v>
      </c>
      <c r="T630">
        <v>0.19039667834861729</v>
      </c>
      <c r="U630">
        <v>4.3298398786566432</v>
      </c>
      <c r="V630">
        <v>0.1928042595766489</v>
      </c>
      <c r="W630">
        <v>7.4643453225200203</v>
      </c>
      <c r="X630">
        <v>0.45802430247517389</v>
      </c>
      <c r="Z630" t="s">
        <v>392</v>
      </c>
      <c r="AA630">
        <v>9400</v>
      </c>
      <c r="AB630" t="s">
        <v>3049</v>
      </c>
      <c r="AC630" t="str">
        <f>HYPERLINK("plots/3FT6Y578R01_012_S11P_20251111092011_M5358ACSH101811_RBGEUFRF26/dpll_52084/txpa_55211.png","plot")</f>
        <v>plot</v>
      </c>
    </row>
    <row r="631" spans="1:29" x14ac:dyDescent="0.35">
      <c r="A631" t="s">
        <v>48</v>
      </c>
      <c r="B631">
        <v>52084</v>
      </c>
      <c r="C631" t="s">
        <v>52</v>
      </c>
      <c r="D631">
        <v>55212</v>
      </c>
      <c r="E631" t="s">
        <v>345</v>
      </c>
      <c r="F631">
        <v>12237</v>
      </c>
      <c r="G631">
        <v>0.84161307441759803</v>
      </c>
      <c r="H631">
        <v>0</v>
      </c>
      <c r="I631">
        <v>0</v>
      </c>
      <c r="J631">
        <v>0.73514625183930071</v>
      </c>
      <c r="K631">
        <v>0</v>
      </c>
      <c r="L631">
        <v>0</v>
      </c>
      <c r="M631">
        <v>0.54324736039283006</v>
      </c>
      <c r="N631">
        <v>0</v>
      </c>
      <c r="O631">
        <v>0</v>
      </c>
      <c r="P631">
        <v>0.70831256703064138</v>
      </c>
      <c r="Q631">
        <v>1.9964353601509659</v>
      </c>
      <c r="R631">
        <v>-1.1464573214936931</v>
      </c>
      <c r="S631">
        <v>0.24702082761208699</v>
      </c>
      <c r="T631">
        <v>0.1867909786379561</v>
      </c>
      <c r="U631">
        <v>4.329818508866552</v>
      </c>
      <c r="V631">
        <v>0.19281893480878651</v>
      </c>
      <c r="W631">
        <v>7.4977454526436214</v>
      </c>
      <c r="X631">
        <v>0.45739610191452129</v>
      </c>
      <c r="Z631" t="s">
        <v>392</v>
      </c>
      <c r="AA631">
        <v>9400</v>
      </c>
      <c r="AB631" t="s">
        <v>3050</v>
      </c>
      <c r="AC631" t="str">
        <f>HYPERLINK("plots/3FT6Y578R01_012_S11P_20251111092011_M5358ACSH101811_RBGEUFRF26/dpll_52084/txpa_55212.png","plot")</f>
        <v>plot</v>
      </c>
    </row>
    <row r="632" spans="1:29" x14ac:dyDescent="0.35">
      <c r="A632" t="s">
        <v>48</v>
      </c>
      <c r="B632">
        <v>52084</v>
      </c>
      <c r="C632" t="s">
        <v>52</v>
      </c>
      <c r="D632">
        <v>55213</v>
      </c>
      <c r="E632" t="s">
        <v>346</v>
      </c>
      <c r="F632">
        <v>12240</v>
      </c>
      <c r="G632">
        <v>0.83997919340194771</v>
      </c>
      <c r="H632">
        <v>0</v>
      </c>
      <c r="I632">
        <v>0</v>
      </c>
      <c r="J632">
        <v>0.73185330074490096</v>
      </c>
      <c r="K632">
        <v>0</v>
      </c>
      <c r="L632">
        <v>0</v>
      </c>
      <c r="M632">
        <v>0.53974216564920696</v>
      </c>
      <c r="N632">
        <v>0</v>
      </c>
      <c r="O632">
        <v>0</v>
      </c>
      <c r="P632">
        <v>0.70556504534818665</v>
      </c>
      <c r="Q632">
        <v>1.97907394957389</v>
      </c>
      <c r="R632">
        <v>-1.059807466794275</v>
      </c>
      <c r="S632">
        <v>0.24653886722883711</v>
      </c>
      <c r="T632">
        <v>0.18559288073406929</v>
      </c>
      <c r="U632">
        <v>4.3297775847222226</v>
      </c>
      <c r="V632">
        <v>0.19284792061017139</v>
      </c>
      <c r="W632">
        <v>7.5091425585784322</v>
      </c>
      <c r="X632">
        <v>0.45436874973455621</v>
      </c>
      <c r="Z632" t="s">
        <v>392</v>
      </c>
      <c r="AA632">
        <v>9400</v>
      </c>
      <c r="AB632" t="s">
        <v>3051</v>
      </c>
      <c r="AC632" t="str">
        <f>HYPERLINK("plots/3FT6Y578R01_012_S11P_20251111092011_M5358ACSH101811_RBGEUFRF26/dpll_52084/txpa_55213.png","plot")</f>
        <v>plot</v>
      </c>
    </row>
    <row r="633" spans="1:29" x14ac:dyDescent="0.35">
      <c r="A633" t="s">
        <v>48</v>
      </c>
      <c r="B633">
        <v>52084</v>
      </c>
      <c r="C633" t="s">
        <v>52</v>
      </c>
      <c r="D633">
        <v>55214</v>
      </c>
      <c r="E633" t="s">
        <v>347</v>
      </c>
      <c r="F633">
        <v>12240</v>
      </c>
      <c r="G633">
        <v>0.84819490626027383</v>
      </c>
      <c r="H633">
        <v>0</v>
      </c>
      <c r="I633">
        <v>0</v>
      </c>
      <c r="J633">
        <v>0.73698605332155542</v>
      </c>
      <c r="K633">
        <v>0</v>
      </c>
      <c r="L633">
        <v>0</v>
      </c>
      <c r="M633">
        <v>0.5452364126548398</v>
      </c>
      <c r="N633">
        <v>0</v>
      </c>
      <c r="O633">
        <v>0</v>
      </c>
      <c r="P633">
        <v>0.7194345990058747</v>
      </c>
      <c r="Q633">
        <v>2.0032851884057279</v>
      </c>
      <c r="R633">
        <v>-1.150579542882215</v>
      </c>
      <c r="S633">
        <v>0.24126172112904121</v>
      </c>
      <c r="T633">
        <v>0.1836530028322749</v>
      </c>
      <c r="U633">
        <v>4.3297635834967316</v>
      </c>
      <c r="V633">
        <v>0.1928599219077857</v>
      </c>
      <c r="W633">
        <v>7.5231717132352944</v>
      </c>
      <c r="X633">
        <v>0.45550076066643752</v>
      </c>
      <c r="Z633" t="s">
        <v>392</v>
      </c>
      <c r="AA633">
        <v>9400</v>
      </c>
      <c r="AB633" t="s">
        <v>3052</v>
      </c>
      <c r="AC633" t="str">
        <f>HYPERLINK("plots/3FT6Y578R01_012_S11P_20251111092011_M5358ACSH101811_RBGEUFRF26/dpll_52084/txpa_55214.png","plot")</f>
        <v>plot</v>
      </c>
    </row>
    <row r="634" spans="1:29" x14ac:dyDescent="0.35">
      <c r="A634" t="s">
        <v>48</v>
      </c>
      <c r="B634">
        <v>52084</v>
      </c>
      <c r="C634" t="s">
        <v>52</v>
      </c>
      <c r="D634">
        <v>55215</v>
      </c>
      <c r="E634" t="s">
        <v>348</v>
      </c>
      <c r="F634">
        <v>12239</v>
      </c>
      <c r="G634">
        <v>0.84901200346868289</v>
      </c>
      <c r="H634">
        <v>0</v>
      </c>
      <c r="I634">
        <v>0</v>
      </c>
      <c r="J634">
        <v>0.73525439211261834</v>
      </c>
      <c r="K634">
        <v>0</v>
      </c>
      <c r="L634">
        <v>0</v>
      </c>
      <c r="M634">
        <v>0.54308935661699331</v>
      </c>
      <c r="N634">
        <v>0</v>
      </c>
      <c r="O634">
        <v>0</v>
      </c>
      <c r="P634">
        <v>0.72082138203390678</v>
      </c>
      <c r="Q634">
        <v>2.0121624281387458</v>
      </c>
      <c r="R634">
        <v>-1.2163437618077599</v>
      </c>
      <c r="S634">
        <v>0.24146762080708151</v>
      </c>
      <c r="T634">
        <v>0.18478647252976321</v>
      </c>
      <c r="U634">
        <v>4.3297560370945334</v>
      </c>
      <c r="V634">
        <v>0.1928352230179636</v>
      </c>
      <c r="W634">
        <v>7.4958286590407717</v>
      </c>
      <c r="X634">
        <v>0.45702038250724758</v>
      </c>
      <c r="Z634" t="s">
        <v>392</v>
      </c>
      <c r="AA634">
        <v>9400</v>
      </c>
      <c r="AB634" t="s">
        <v>3053</v>
      </c>
      <c r="AC634" t="str">
        <f>HYPERLINK("plots/3FT6Y578R01_012_S11P_20251111092011_M5358ACSH101811_RBGEUFRF26/dpll_52084/txpa_55215.png","plot")</f>
        <v>plot</v>
      </c>
    </row>
    <row r="635" spans="1:29" x14ac:dyDescent="0.35">
      <c r="A635" t="s">
        <v>48</v>
      </c>
      <c r="B635">
        <v>52084</v>
      </c>
      <c r="C635" t="s">
        <v>52</v>
      </c>
      <c r="D635">
        <v>55216</v>
      </c>
      <c r="E635" t="s">
        <v>349</v>
      </c>
      <c r="F635">
        <v>12241</v>
      </c>
      <c r="G635">
        <v>0.85035374654930374</v>
      </c>
      <c r="H635">
        <v>0</v>
      </c>
      <c r="I635">
        <v>0</v>
      </c>
      <c r="J635">
        <v>0.73871050957498985</v>
      </c>
      <c r="K635">
        <v>0</v>
      </c>
      <c r="L635">
        <v>0</v>
      </c>
      <c r="M635">
        <v>0.54716655236799905</v>
      </c>
      <c r="N635">
        <v>0</v>
      </c>
      <c r="O635">
        <v>0</v>
      </c>
      <c r="P635">
        <v>0.72310149427043746</v>
      </c>
      <c r="Q635">
        <v>2.0192990909606618</v>
      </c>
      <c r="R635">
        <v>-1.2403905508918529</v>
      </c>
      <c r="S635">
        <v>0.24094981144421199</v>
      </c>
      <c r="T635">
        <v>0.1843162187797947</v>
      </c>
      <c r="U635">
        <v>4.3297161480271216</v>
      </c>
      <c r="V635">
        <v>0.19283373115024419</v>
      </c>
      <c r="W635">
        <v>7.502601330937015</v>
      </c>
      <c r="X635">
        <v>0.4579141088027931</v>
      </c>
      <c r="Z635" t="s">
        <v>392</v>
      </c>
      <c r="AA635">
        <v>9400</v>
      </c>
      <c r="AB635" t="s">
        <v>3054</v>
      </c>
      <c r="AC635" t="str">
        <f>HYPERLINK("plots/3FT6Y578R01_012_S11P_20251111092011_M5358ACSH101811_RBGEUFRF26/dpll_52084/txpa_55216.png","plot")</f>
        <v>plot</v>
      </c>
    </row>
    <row r="636" spans="1:29" x14ac:dyDescent="0.35">
      <c r="A636" t="s">
        <v>48</v>
      </c>
      <c r="B636">
        <v>52084</v>
      </c>
      <c r="C636" t="s">
        <v>52</v>
      </c>
      <c r="D636">
        <v>55217</v>
      </c>
      <c r="E636" t="s">
        <v>350</v>
      </c>
      <c r="F636">
        <v>12239</v>
      </c>
      <c r="G636">
        <v>0.85020610945329</v>
      </c>
      <c r="H636">
        <v>0</v>
      </c>
      <c r="I636">
        <v>0</v>
      </c>
      <c r="J636">
        <v>0.73460642762618156</v>
      </c>
      <c r="K636">
        <v>0</v>
      </c>
      <c r="L636">
        <v>0</v>
      </c>
      <c r="M636">
        <v>0.5436984810545864</v>
      </c>
      <c r="N636">
        <v>0</v>
      </c>
      <c r="O636">
        <v>0</v>
      </c>
      <c r="P636">
        <v>0.72285042855169979</v>
      </c>
      <c r="Q636">
        <v>2.0146573921156028</v>
      </c>
      <c r="R636">
        <v>-1.214796543253043</v>
      </c>
      <c r="S636">
        <v>0.24055200264985679</v>
      </c>
      <c r="T636">
        <v>0.18394461659062961</v>
      </c>
      <c r="U636">
        <v>4.3297985815017563</v>
      </c>
      <c r="V636">
        <v>0.1928380067872689</v>
      </c>
      <c r="W636">
        <v>7.5082641753411226</v>
      </c>
      <c r="X636">
        <v>0.45695098110342858</v>
      </c>
      <c r="Z636" t="s">
        <v>392</v>
      </c>
      <c r="AA636">
        <v>9400</v>
      </c>
      <c r="AB636" t="s">
        <v>3055</v>
      </c>
      <c r="AC636" t="str">
        <f>HYPERLINK("plots/3FT6Y578R01_012_S11P_20251111092011_M5358ACSH101811_RBGEUFRF26/dpll_52084/txpa_55217.png","plot")</f>
        <v>plot</v>
      </c>
    </row>
    <row r="637" spans="1:29" x14ac:dyDescent="0.35">
      <c r="A637" t="s">
        <v>48</v>
      </c>
      <c r="B637">
        <v>52084</v>
      </c>
      <c r="C637" t="s">
        <v>52</v>
      </c>
      <c r="D637">
        <v>55218</v>
      </c>
      <c r="E637" t="s">
        <v>351</v>
      </c>
      <c r="F637">
        <v>12234</v>
      </c>
      <c r="G637">
        <v>0.84600614930834217</v>
      </c>
      <c r="H637">
        <v>0</v>
      </c>
      <c r="I637">
        <v>0</v>
      </c>
      <c r="J637">
        <v>0.72790198489833735</v>
      </c>
      <c r="K637">
        <v>0</v>
      </c>
      <c r="L637">
        <v>0</v>
      </c>
      <c r="M637">
        <v>0.53754680131178945</v>
      </c>
      <c r="N637">
        <v>0</v>
      </c>
      <c r="O637">
        <v>0</v>
      </c>
      <c r="P637">
        <v>0.7157264046675289</v>
      </c>
      <c r="Q637">
        <v>1.9933620492426909</v>
      </c>
      <c r="R637">
        <v>-1.1364664382454901</v>
      </c>
      <c r="S637">
        <v>0.2422298841033339</v>
      </c>
      <c r="T637">
        <v>0.18476942752813891</v>
      </c>
      <c r="U637">
        <v>4.3298859073892428</v>
      </c>
      <c r="V637">
        <v>0.1928255348197209</v>
      </c>
      <c r="W637">
        <v>7.4945638070949796</v>
      </c>
      <c r="X637">
        <v>0.45433606309930741</v>
      </c>
      <c r="Z637" t="s">
        <v>392</v>
      </c>
      <c r="AA637">
        <v>9400</v>
      </c>
      <c r="AB637" t="s">
        <v>3056</v>
      </c>
      <c r="AC637" t="str">
        <f>HYPERLINK("plots/3FT6Y578R01_012_S11P_20251111092011_M5358ACSH101811_RBGEUFRF26/dpll_52084/txpa_55218.png","plot")</f>
        <v>plot</v>
      </c>
    </row>
    <row r="638" spans="1:29" x14ac:dyDescent="0.35">
      <c r="A638" t="s">
        <v>48</v>
      </c>
      <c r="B638">
        <v>52084</v>
      </c>
      <c r="C638" t="s">
        <v>52</v>
      </c>
      <c r="D638">
        <v>55219</v>
      </c>
      <c r="E638" t="s">
        <v>352</v>
      </c>
      <c r="F638">
        <v>12232</v>
      </c>
      <c r="G638">
        <v>0.83249703987512702</v>
      </c>
      <c r="H638">
        <v>0</v>
      </c>
      <c r="I638">
        <v>0</v>
      </c>
      <c r="J638">
        <v>0.72779206731353663</v>
      </c>
      <c r="K638">
        <v>0</v>
      </c>
      <c r="L638">
        <v>0</v>
      </c>
      <c r="M638">
        <v>0.53515435909572084</v>
      </c>
      <c r="N638">
        <v>0</v>
      </c>
      <c r="O638">
        <v>0</v>
      </c>
      <c r="P638">
        <v>0.6930513214008488</v>
      </c>
      <c r="Q638">
        <v>2.0709109518608191</v>
      </c>
      <c r="R638">
        <v>-0.54000682530824839</v>
      </c>
      <c r="S638">
        <v>0.26557358105971118</v>
      </c>
      <c r="T638">
        <v>0.19744307597484209</v>
      </c>
      <c r="U638">
        <v>4.3300045178221058</v>
      </c>
      <c r="V638">
        <v>0.19270412531687181</v>
      </c>
      <c r="W638">
        <v>8.4270469522563758</v>
      </c>
      <c r="X638">
        <v>0.47936877186653981</v>
      </c>
      <c r="Z638" t="s">
        <v>392</v>
      </c>
      <c r="AA638">
        <v>9400</v>
      </c>
      <c r="AB638" t="s">
        <v>3057</v>
      </c>
      <c r="AC638" t="str">
        <f>HYPERLINK("plots/3FT6Y578R01_012_S11P_20251111092011_M5358ACSH101811_RBGEUFRF26/dpll_52084/txpa_55219.png","plot")</f>
        <v>plot</v>
      </c>
    </row>
    <row r="639" spans="1:29" x14ac:dyDescent="0.35">
      <c r="A639" t="s">
        <v>48</v>
      </c>
      <c r="B639">
        <v>52084</v>
      </c>
      <c r="C639" t="s">
        <v>52</v>
      </c>
      <c r="D639">
        <v>55220</v>
      </c>
      <c r="E639" t="s">
        <v>353</v>
      </c>
      <c r="F639">
        <v>12235</v>
      </c>
      <c r="G639">
        <v>0.84433175743704481</v>
      </c>
      <c r="H639">
        <v>0</v>
      </c>
      <c r="I639">
        <v>0</v>
      </c>
      <c r="J639">
        <v>0.73632056777076427</v>
      </c>
      <c r="K639">
        <v>0</v>
      </c>
      <c r="L639">
        <v>0</v>
      </c>
      <c r="M639">
        <v>0.54464849298113482</v>
      </c>
      <c r="N639">
        <v>0</v>
      </c>
      <c r="O639">
        <v>0</v>
      </c>
      <c r="P639">
        <v>0.71289611661672869</v>
      </c>
      <c r="Q639">
        <v>2.101541390300588</v>
      </c>
      <c r="R639">
        <v>-0.6403716622728588</v>
      </c>
      <c r="S639">
        <v>0.25711099827177419</v>
      </c>
      <c r="T639">
        <v>0.19428186136825751</v>
      </c>
      <c r="U639">
        <v>4.3298685019207186</v>
      </c>
      <c r="V639">
        <v>0.1927942363882339</v>
      </c>
      <c r="W639">
        <v>8.4590262090723325</v>
      </c>
      <c r="X639">
        <v>0.47986477354723839</v>
      </c>
      <c r="Z639" t="s">
        <v>392</v>
      </c>
      <c r="AA639">
        <v>9400</v>
      </c>
      <c r="AB639" t="s">
        <v>3058</v>
      </c>
      <c r="AC639" t="str">
        <f>HYPERLINK("plots/3FT6Y578R01_012_S11P_20251111092011_M5358ACSH101811_RBGEUFRF26/dpll_52084/txpa_55220.png","plot")</f>
        <v>plot</v>
      </c>
    </row>
    <row r="640" spans="1:29" x14ac:dyDescent="0.35">
      <c r="A640" t="s">
        <v>48</v>
      </c>
      <c r="B640">
        <v>52084</v>
      </c>
      <c r="C640" t="s">
        <v>52</v>
      </c>
      <c r="D640">
        <v>55221</v>
      </c>
      <c r="E640" t="s">
        <v>354</v>
      </c>
      <c r="F640">
        <v>12237</v>
      </c>
      <c r="G640">
        <v>0.84332939012944264</v>
      </c>
      <c r="H640">
        <v>0</v>
      </c>
      <c r="I640">
        <v>0</v>
      </c>
      <c r="J640">
        <v>0.73330676157963914</v>
      </c>
      <c r="K640">
        <v>0</v>
      </c>
      <c r="L640">
        <v>0</v>
      </c>
      <c r="M640">
        <v>0.54145513396205891</v>
      </c>
      <c r="N640">
        <v>0</v>
      </c>
      <c r="O640">
        <v>0</v>
      </c>
      <c r="P640">
        <v>0.71120446025609763</v>
      </c>
      <c r="Q640">
        <v>2.083783427553255</v>
      </c>
      <c r="R640">
        <v>-0.55175174458743115</v>
      </c>
      <c r="S640">
        <v>0.25602877453999928</v>
      </c>
      <c r="T640">
        <v>0.1927500490531415</v>
      </c>
      <c r="U640">
        <v>4.329839953093078</v>
      </c>
      <c r="V640">
        <v>0.19282171384494809</v>
      </c>
      <c r="W640">
        <v>8.4706969936258876</v>
      </c>
      <c r="X640">
        <v>0.47644336422432398</v>
      </c>
      <c r="Z640" t="s">
        <v>392</v>
      </c>
      <c r="AA640">
        <v>9400</v>
      </c>
      <c r="AB640" t="s">
        <v>3059</v>
      </c>
      <c r="AC640" t="str">
        <f>HYPERLINK("plots/3FT6Y578R01_012_S11P_20251111092011_M5358ACSH101811_RBGEUFRF26/dpll_52084/txpa_55221.png","plot")</f>
        <v>plot</v>
      </c>
    </row>
    <row r="641" spans="1:29" x14ac:dyDescent="0.35">
      <c r="A641" t="s">
        <v>48</v>
      </c>
      <c r="B641">
        <v>52084</v>
      </c>
      <c r="C641" t="s">
        <v>52</v>
      </c>
      <c r="D641">
        <v>55222</v>
      </c>
      <c r="E641" t="s">
        <v>355</v>
      </c>
      <c r="F641">
        <v>12240</v>
      </c>
      <c r="G641">
        <v>0.85053673467766244</v>
      </c>
      <c r="H641">
        <v>0</v>
      </c>
      <c r="I641">
        <v>0</v>
      </c>
      <c r="J641">
        <v>0.73815225245374272</v>
      </c>
      <c r="K641">
        <v>0</v>
      </c>
      <c r="L641">
        <v>0</v>
      </c>
      <c r="M641">
        <v>0.54665821392503566</v>
      </c>
      <c r="N641">
        <v>0</v>
      </c>
      <c r="O641">
        <v>0</v>
      </c>
      <c r="P641">
        <v>0.7234127370361404</v>
      </c>
      <c r="Q641">
        <v>2.111040767343515</v>
      </c>
      <c r="R641">
        <v>-0.65678802464904962</v>
      </c>
      <c r="S641">
        <v>0.25173516010019908</v>
      </c>
      <c r="T641">
        <v>0.19123328034509041</v>
      </c>
      <c r="U641">
        <v>4.3297635834967316</v>
      </c>
      <c r="V641">
        <v>0.1928599219077857</v>
      </c>
      <c r="W641">
        <v>8.4835194130718961</v>
      </c>
      <c r="X641">
        <v>0.47868027438969912</v>
      </c>
      <c r="Z641" t="s">
        <v>392</v>
      </c>
      <c r="AA641">
        <v>9400</v>
      </c>
      <c r="AB641" t="s">
        <v>3060</v>
      </c>
      <c r="AC641" t="str">
        <f>HYPERLINK("plots/3FT6Y578R01_012_S11P_20251111092011_M5358ACSH101811_RBGEUFRF26/dpll_52084/txpa_55222.png","plot")</f>
        <v>plot</v>
      </c>
    </row>
    <row r="642" spans="1:29" x14ac:dyDescent="0.35">
      <c r="A642" t="s">
        <v>48</v>
      </c>
      <c r="B642">
        <v>52084</v>
      </c>
      <c r="C642" t="s">
        <v>52</v>
      </c>
      <c r="D642">
        <v>55223</v>
      </c>
      <c r="E642" t="s">
        <v>356</v>
      </c>
      <c r="F642">
        <v>12239</v>
      </c>
      <c r="G642">
        <v>0.85132825253186462</v>
      </c>
      <c r="H642">
        <v>0</v>
      </c>
      <c r="I642">
        <v>0</v>
      </c>
      <c r="J642">
        <v>0.73642159645660588</v>
      </c>
      <c r="K642">
        <v>0</v>
      </c>
      <c r="L642">
        <v>0</v>
      </c>
      <c r="M642">
        <v>0.54451220565387193</v>
      </c>
      <c r="N642">
        <v>0</v>
      </c>
      <c r="O642">
        <v>0</v>
      </c>
      <c r="P642">
        <v>0.72475979355895825</v>
      </c>
      <c r="Q642">
        <v>2.1197591793766519</v>
      </c>
      <c r="R642">
        <v>-0.72292703562296623</v>
      </c>
      <c r="S642">
        <v>0.25189180428344132</v>
      </c>
      <c r="T642">
        <v>0.19237221330739471</v>
      </c>
      <c r="U642">
        <v>4.3297560370945334</v>
      </c>
      <c r="V642">
        <v>0.1928352230179636</v>
      </c>
      <c r="W642">
        <v>8.4551130684696467</v>
      </c>
      <c r="X642">
        <v>0.48014879440897262</v>
      </c>
      <c r="Z642" t="s">
        <v>392</v>
      </c>
      <c r="AA642">
        <v>9400</v>
      </c>
      <c r="AB642" t="s">
        <v>3061</v>
      </c>
      <c r="AC642" t="str">
        <f>HYPERLINK("plots/3FT6Y578R01_012_S11P_20251111092011_M5358ACSH101811_RBGEUFRF26/dpll_52084/txpa_55223.png","plot")</f>
        <v>plot</v>
      </c>
    </row>
    <row r="643" spans="1:29" x14ac:dyDescent="0.35">
      <c r="A643" t="s">
        <v>48</v>
      </c>
      <c r="B643">
        <v>52084</v>
      </c>
      <c r="C643" t="s">
        <v>52</v>
      </c>
      <c r="D643">
        <v>55224</v>
      </c>
      <c r="E643" t="s">
        <v>357</v>
      </c>
      <c r="F643">
        <v>12238</v>
      </c>
      <c r="G643">
        <v>0.85320341060657534</v>
      </c>
      <c r="H643">
        <v>0</v>
      </c>
      <c r="I643">
        <v>0</v>
      </c>
      <c r="J643">
        <v>0.73945774765166816</v>
      </c>
      <c r="K643">
        <v>0</v>
      </c>
      <c r="L643">
        <v>0</v>
      </c>
      <c r="M643">
        <v>0.54825842265411751</v>
      </c>
      <c r="N643">
        <v>0</v>
      </c>
      <c r="O643">
        <v>0</v>
      </c>
      <c r="P643">
        <v>0.72795605987069245</v>
      </c>
      <c r="Q643">
        <v>2.1239759168536758</v>
      </c>
      <c r="R643">
        <v>-0.73251512692585585</v>
      </c>
      <c r="S643">
        <v>0.25035923386491898</v>
      </c>
      <c r="T643">
        <v>0.19151963737112199</v>
      </c>
      <c r="U643">
        <v>4.3297701919431271</v>
      </c>
      <c r="V643">
        <v>0.19282565926756759</v>
      </c>
      <c r="W643">
        <v>8.4638124862722659</v>
      </c>
      <c r="X643">
        <v>0.48002276050980192</v>
      </c>
      <c r="Z643" t="s">
        <v>392</v>
      </c>
      <c r="AA643">
        <v>9400</v>
      </c>
      <c r="AB643" t="s">
        <v>3062</v>
      </c>
      <c r="AC643" t="str">
        <f>HYPERLINK("plots/3FT6Y578R01_012_S11P_20251111092011_M5358ACSH101811_RBGEUFRF26/dpll_52084/txpa_55224.png","plot")</f>
        <v>plot</v>
      </c>
    </row>
    <row r="644" spans="1:29" x14ac:dyDescent="0.35">
      <c r="A644" t="s">
        <v>48</v>
      </c>
      <c r="B644">
        <v>52084</v>
      </c>
      <c r="C644" t="s">
        <v>52</v>
      </c>
      <c r="D644">
        <v>55225</v>
      </c>
      <c r="E644" t="s">
        <v>358</v>
      </c>
      <c r="F644">
        <v>12239</v>
      </c>
      <c r="G644">
        <v>0.852474062271671</v>
      </c>
      <c r="H644">
        <v>0</v>
      </c>
      <c r="I644">
        <v>0</v>
      </c>
      <c r="J644">
        <v>0.73588977480501261</v>
      </c>
      <c r="K644">
        <v>0</v>
      </c>
      <c r="L644">
        <v>0</v>
      </c>
      <c r="M644">
        <v>0.54528072979032527</v>
      </c>
      <c r="N644">
        <v>0</v>
      </c>
      <c r="O644">
        <v>0</v>
      </c>
      <c r="P644">
        <v>0.72671202684596481</v>
      </c>
      <c r="Q644">
        <v>2.1222349242059462</v>
      </c>
      <c r="R644">
        <v>-0.71967857112394462</v>
      </c>
      <c r="S644">
        <v>0.25095591365354009</v>
      </c>
      <c r="T644">
        <v>0.1914442195689561</v>
      </c>
      <c r="U644">
        <v>4.3297985815017563</v>
      </c>
      <c r="V644">
        <v>0.1928380067872689</v>
      </c>
      <c r="W644">
        <v>8.4691711933164466</v>
      </c>
      <c r="X644">
        <v>0.48007038669029167</v>
      </c>
      <c r="Z644" t="s">
        <v>392</v>
      </c>
      <c r="AA644">
        <v>9400</v>
      </c>
      <c r="AB644" t="s">
        <v>3063</v>
      </c>
      <c r="AC644" t="str">
        <f>HYPERLINK("plots/3FT6Y578R01_012_S11P_20251111092011_M5358ACSH101811_RBGEUFRF26/dpll_52084/txpa_55225.png","plot")</f>
        <v>plot</v>
      </c>
    </row>
    <row r="645" spans="1:29" x14ac:dyDescent="0.35">
      <c r="A645" t="s">
        <v>48</v>
      </c>
      <c r="B645">
        <v>52084</v>
      </c>
      <c r="C645" t="s">
        <v>52</v>
      </c>
      <c r="D645">
        <v>55226</v>
      </c>
      <c r="E645" t="s">
        <v>359</v>
      </c>
      <c r="F645">
        <v>12234</v>
      </c>
      <c r="G645">
        <v>0.84832967093493128</v>
      </c>
      <c r="H645">
        <v>0</v>
      </c>
      <c r="I645">
        <v>0</v>
      </c>
      <c r="J645">
        <v>0.72915709412933605</v>
      </c>
      <c r="K645">
        <v>0</v>
      </c>
      <c r="L645">
        <v>0</v>
      </c>
      <c r="M645">
        <v>0.53895367311242415</v>
      </c>
      <c r="N645">
        <v>0</v>
      </c>
      <c r="O645">
        <v>0</v>
      </c>
      <c r="P645">
        <v>0.71966323058856874</v>
      </c>
      <c r="Q645">
        <v>2.0998104161929629</v>
      </c>
      <c r="R645">
        <v>-0.63506897547851793</v>
      </c>
      <c r="S645">
        <v>0.2526982621431384</v>
      </c>
      <c r="T645">
        <v>0.19236520133242421</v>
      </c>
      <c r="U645">
        <v>4.3298859073892428</v>
      </c>
      <c r="V645">
        <v>0.1928255348197209</v>
      </c>
      <c r="W645">
        <v>8.4568705537845332</v>
      </c>
      <c r="X645">
        <v>0.47728740417177429</v>
      </c>
      <c r="Z645" t="s">
        <v>392</v>
      </c>
      <c r="AA645">
        <v>9400</v>
      </c>
      <c r="AB645" t="s">
        <v>3064</v>
      </c>
      <c r="AC645" t="str">
        <f>HYPERLINK("plots/3FT6Y578R01_012_S11P_20251111092011_M5358ACSH101811_RBGEUFRF26/dpll_52084/txpa_55226.png","plot")</f>
        <v>plot</v>
      </c>
    </row>
    <row r="646" spans="1:29" x14ac:dyDescent="0.35">
      <c r="A646" t="s">
        <v>48</v>
      </c>
      <c r="B646">
        <v>52084</v>
      </c>
      <c r="C646" t="s">
        <v>52</v>
      </c>
      <c r="D646">
        <v>55227</v>
      </c>
      <c r="E646" t="s">
        <v>360</v>
      </c>
      <c r="F646">
        <v>12227</v>
      </c>
      <c r="G646">
        <v>0.83416657742996714</v>
      </c>
      <c r="H646">
        <v>0</v>
      </c>
      <c r="I646">
        <v>0</v>
      </c>
      <c r="J646">
        <v>0.72786067097743901</v>
      </c>
      <c r="K646">
        <v>0</v>
      </c>
      <c r="L646">
        <v>0</v>
      </c>
      <c r="M646">
        <v>0.53543650710712598</v>
      </c>
      <c r="N646">
        <v>0</v>
      </c>
      <c r="O646">
        <v>0</v>
      </c>
      <c r="P646">
        <v>0.69583387890122539</v>
      </c>
      <c r="Q646">
        <v>2.1258624707998521</v>
      </c>
      <c r="R646">
        <v>-0.3097249128470132</v>
      </c>
      <c r="S646">
        <v>0.27077204979478092</v>
      </c>
      <c r="T646">
        <v>0.20150873306941039</v>
      </c>
      <c r="U646">
        <v>4.3301122354625008</v>
      </c>
      <c r="V646">
        <v>0.1926565563366405</v>
      </c>
      <c r="W646">
        <v>8.8954981828739683</v>
      </c>
      <c r="X646">
        <v>0.49098268133859158</v>
      </c>
      <c r="Z646" t="s">
        <v>392</v>
      </c>
      <c r="AA646">
        <v>9400</v>
      </c>
      <c r="AB646" t="s">
        <v>3065</v>
      </c>
      <c r="AC646" t="str">
        <f>HYPERLINK("plots/3FT6Y578R01_012_S11P_20251111092011_M5358ACSH101811_RBGEUFRF26/dpll_52084/txpa_55227.png","plot")</f>
        <v>plot</v>
      </c>
    </row>
    <row r="647" spans="1:29" x14ac:dyDescent="0.35">
      <c r="A647" t="s">
        <v>48</v>
      </c>
      <c r="B647">
        <v>52084</v>
      </c>
      <c r="C647" t="s">
        <v>52</v>
      </c>
      <c r="D647">
        <v>55228</v>
      </c>
      <c r="E647" t="s">
        <v>361</v>
      </c>
      <c r="F647">
        <v>12234</v>
      </c>
      <c r="G647">
        <v>0.84504676705432624</v>
      </c>
      <c r="H647">
        <v>0</v>
      </c>
      <c r="I647">
        <v>0</v>
      </c>
      <c r="J647">
        <v>0.73620958133252945</v>
      </c>
      <c r="K647">
        <v>0</v>
      </c>
      <c r="L647">
        <v>0</v>
      </c>
      <c r="M647">
        <v>0.54469117719671911</v>
      </c>
      <c r="N647">
        <v>0</v>
      </c>
      <c r="O647">
        <v>0</v>
      </c>
      <c r="P647">
        <v>0.71410403850896875</v>
      </c>
      <c r="Q647">
        <v>2.1595120929511049</v>
      </c>
      <c r="R647">
        <v>-0.42383895685461148</v>
      </c>
      <c r="S647">
        <v>0.26339344576716139</v>
      </c>
      <c r="T647">
        <v>0.1987823856136911</v>
      </c>
      <c r="U647">
        <v>4.3298993408533599</v>
      </c>
      <c r="V647">
        <v>0.19277193554284741</v>
      </c>
      <c r="W647">
        <v>8.9266310309792374</v>
      </c>
      <c r="X647">
        <v>0.49262755887167048</v>
      </c>
      <c r="Z647" t="s">
        <v>392</v>
      </c>
      <c r="AA647">
        <v>9400</v>
      </c>
      <c r="AB647" t="s">
        <v>3066</v>
      </c>
      <c r="AC647" t="str">
        <f>HYPERLINK("plots/3FT6Y578R01_012_S11P_20251111092011_M5358ACSH101811_RBGEUFRF26/dpll_52084/txpa_55228.png","plot")</f>
        <v>plot</v>
      </c>
    </row>
    <row r="648" spans="1:29" x14ac:dyDescent="0.35">
      <c r="A648" t="s">
        <v>48</v>
      </c>
      <c r="B648">
        <v>52084</v>
      </c>
      <c r="C648" t="s">
        <v>52</v>
      </c>
      <c r="D648">
        <v>55229</v>
      </c>
      <c r="E648" t="s">
        <v>362</v>
      </c>
      <c r="F648">
        <v>12236</v>
      </c>
      <c r="G648">
        <v>0.84421154947290522</v>
      </c>
      <c r="H648">
        <v>0</v>
      </c>
      <c r="I648">
        <v>0</v>
      </c>
      <c r="J648">
        <v>0.73331177173666584</v>
      </c>
      <c r="K648">
        <v>0</v>
      </c>
      <c r="L648">
        <v>0</v>
      </c>
      <c r="M648">
        <v>0.5415876083729505</v>
      </c>
      <c r="N648">
        <v>0</v>
      </c>
      <c r="O648">
        <v>0</v>
      </c>
      <c r="P648">
        <v>0.71269314026344355</v>
      </c>
      <c r="Q648">
        <v>2.1420617035938552</v>
      </c>
      <c r="R648">
        <v>-0.33648221517337801</v>
      </c>
      <c r="S648">
        <v>0.26221296058937599</v>
      </c>
      <c r="T648">
        <v>0.19720748513045661</v>
      </c>
      <c r="U648">
        <v>4.3298678105590058</v>
      </c>
      <c r="V648">
        <v>0.19280496625456711</v>
      </c>
      <c r="W648">
        <v>8.9383618034488403</v>
      </c>
      <c r="X648">
        <v>0.48921403022083232</v>
      </c>
      <c r="Z648" t="s">
        <v>392</v>
      </c>
      <c r="AA648">
        <v>9400</v>
      </c>
      <c r="AB648" t="s">
        <v>3067</v>
      </c>
      <c r="AC648" t="str">
        <f>HYPERLINK("plots/3FT6Y578R01_012_S11P_20251111092011_M5358ACSH101811_RBGEUFRF26/dpll_52084/txpa_55229.png","plot")</f>
        <v>plot</v>
      </c>
    </row>
    <row r="649" spans="1:29" x14ac:dyDescent="0.35">
      <c r="A649" t="s">
        <v>48</v>
      </c>
      <c r="B649">
        <v>52084</v>
      </c>
      <c r="C649" t="s">
        <v>52</v>
      </c>
      <c r="D649">
        <v>55230</v>
      </c>
      <c r="E649" t="s">
        <v>363</v>
      </c>
      <c r="F649">
        <v>12240</v>
      </c>
      <c r="G649">
        <v>0.85115182151200452</v>
      </c>
      <c r="H649">
        <v>0</v>
      </c>
      <c r="I649">
        <v>0</v>
      </c>
      <c r="J649">
        <v>0.73809170861019091</v>
      </c>
      <c r="K649">
        <v>0</v>
      </c>
      <c r="L649">
        <v>0</v>
      </c>
      <c r="M649">
        <v>0.54673288134281817</v>
      </c>
      <c r="N649">
        <v>0</v>
      </c>
      <c r="O649">
        <v>0</v>
      </c>
      <c r="P649">
        <v>0.72445942326320323</v>
      </c>
      <c r="Q649">
        <v>2.1702179707999778</v>
      </c>
      <c r="R649">
        <v>-0.44586733062187989</v>
      </c>
      <c r="S649">
        <v>0.2581150626438054</v>
      </c>
      <c r="T649">
        <v>0.19580136593766731</v>
      </c>
      <c r="U649">
        <v>4.3297635834967316</v>
      </c>
      <c r="V649">
        <v>0.1928599219077857</v>
      </c>
      <c r="W649">
        <v>8.9506634075980394</v>
      </c>
      <c r="X649">
        <v>0.49174313887719728</v>
      </c>
      <c r="Z649" t="s">
        <v>392</v>
      </c>
      <c r="AA649">
        <v>9400</v>
      </c>
      <c r="AB649" t="s">
        <v>3068</v>
      </c>
      <c r="AC649" t="str">
        <f>HYPERLINK("plots/3FT6Y578R01_012_S11P_20251111092011_M5358ACSH101811_RBGEUFRF26/dpll_52084/txpa_55230.png","plot")</f>
        <v>plot</v>
      </c>
    </row>
    <row r="650" spans="1:29" x14ac:dyDescent="0.35">
      <c r="A650" t="s">
        <v>48</v>
      </c>
      <c r="B650">
        <v>52084</v>
      </c>
      <c r="C650" t="s">
        <v>52</v>
      </c>
      <c r="D650">
        <v>55231</v>
      </c>
      <c r="E650" t="s">
        <v>364</v>
      </c>
      <c r="F650">
        <v>12239</v>
      </c>
      <c r="G650">
        <v>0.85189582830193744</v>
      </c>
      <c r="H650">
        <v>0</v>
      </c>
      <c r="I650">
        <v>0</v>
      </c>
      <c r="J650">
        <v>0.73624954250132324</v>
      </c>
      <c r="K650">
        <v>0</v>
      </c>
      <c r="L650">
        <v>0</v>
      </c>
      <c r="M650">
        <v>0.54449905388501152</v>
      </c>
      <c r="N650">
        <v>0</v>
      </c>
      <c r="O650">
        <v>0</v>
      </c>
      <c r="P650">
        <v>0.72572650227824409</v>
      </c>
      <c r="Q650">
        <v>2.17935731968497</v>
      </c>
      <c r="R650">
        <v>-0.51445707762465176</v>
      </c>
      <c r="S650">
        <v>0.25834644746115248</v>
      </c>
      <c r="T650">
        <v>0.19697149523870611</v>
      </c>
      <c r="U650">
        <v>4.3297560370945334</v>
      </c>
      <c r="V650">
        <v>0.1928352230179636</v>
      </c>
      <c r="W650">
        <v>8.9216284342675056</v>
      </c>
      <c r="X650">
        <v>0.49331953604582129</v>
      </c>
      <c r="Z650" t="s">
        <v>392</v>
      </c>
      <c r="AA650">
        <v>9400</v>
      </c>
      <c r="AB650" t="s">
        <v>3069</v>
      </c>
      <c r="AC650" t="str">
        <f>HYPERLINK("plots/3FT6Y578R01_012_S11P_20251111092011_M5358ACSH101811_RBGEUFRF26/dpll_52084/txpa_55231.png","plot")</f>
        <v>plot</v>
      </c>
    </row>
    <row r="651" spans="1:29" x14ac:dyDescent="0.35">
      <c r="A651" t="s">
        <v>48</v>
      </c>
      <c r="B651">
        <v>52084</v>
      </c>
      <c r="C651" t="s">
        <v>52</v>
      </c>
      <c r="D651">
        <v>55232</v>
      </c>
      <c r="E651" t="s">
        <v>365</v>
      </c>
      <c r="F651">
        <v>12238</v>
      </c>
      <c r="G651">
        <v>0.8538162868994762</v>
      </c>
      <c r="H651">
        <v>0</v>
      </c>
      <c r="I651">
        <v>0</v>
      </c>
      <c r="J651">
        <v>0.73937857884036107</v>
      </c>
      <c r="K651">
        <v>0</v>
      </c>
      <c r="L651">
        <v>0</v>
      </c>
      <c r="M651">
        <v>0.54836558463333784</v>
      </c>
      <c r="N651">
        <v>0</v>
      </c>
      <c r="O651">
        <v>0</v>
      </c>
      <c r="P651">
        <v>0.7290022517748086</v>
      </c>
      <c r="Q651">
        <v>2.1835651545430679</v>
      </c>
      <c r="R651">
        <v>-0.52344796555254547</v>
      </c>
      <c r="S651">
        <v>0.25670341242210942</v>
      </c>
      <c r="T651">
        <v>0.19607516381956661</v>
      </c>
      <c r="U651">
        <v>4.3297701919431271</v>
      </c>
      <c r="V651">
        <v>0.19282565926756759</v>
      </c>
      <c r="W651">
        <v>8.9308873527537198</v>
      </c>
      <c r="X651">
        <v>0.49313581497424291</v>
      </c>
      <c r="Z651" t="s">
        <v>392</v>
      </c>
      <c r="AA651">
        <v>9400</v>
      </c>
      <c r="AB651" t="s">
        <v>3070</v>
      </c>
      <c r="AC651" t="str">
        <f>HYPERLINK("plots/3FT6Y578R01_012_S11P_20251111092011_M5358ACSH101811_RBGEUFRF26/dpll_52084/txpa_55232.png","plot")</f>
        <v>plot</v>
      </c>
    </row>
    <row r="652" spans="1:29" x14ac:dyDescent="0.35">
      <c r="A652" t="s">
        <v>48</v>
      </c>
      <c r="B652">
        <v>52084</v>
      </c>
      <c r="C652" t="s">
        <v>52</v>
      </c>
      <c r="D652">
        <v>55233</v>
      </c>
      <c r="E652" t="s">
        <v>366</v>
      </c>
      <c r="F652">
        <v>12236</v>
      </c>
      <c r="G652">
        <v>0.85348206522816161</v>
      </c>
      <c r="H652">
        <v>0</v>
      </c>
      <c r="I652">
        <v>0</v>
      </c>
      <c r="J652">
        <v>0.73570570793466339</v>
      </c>
      <c r="K652">
        <v>0</v>
      </c>
      <c r="L652">
        <v>0</v>
      </c>
      <c r="M652">
        <v>0.54535225525051323</v>
      </c>
      <c r="N652">
        <v>0</v>
      </c>
      <c r="O652">
        <v>0</v>
      </c>
      <c r="P652">
        <v>0.7284316356661279</v>
      </c>
      <c r="Q652">
        <v>2.1800173722726282</v>
      </c>
      <c r="R652">
        <v>-0.50242062912980145</v>
      </c>
      <c r="S652">
        <v>0.25663045383061539</v>
      </c>
      <c r="T652">
        <v>0.19565763810884251</v>
      </c>
      <c r="U652">
        <v>4.3298695402909448</v>
      </c>
      <c r="V652">
        <v>0.19280611154511751</v>
      </c>
      <c r="W652">
        <v>8.9367701883785546</v>
      </c>
      <c r="X652">
        <v>0.49247745180951819</v>
      </c>
      <c r="Z652" t="s">
        <v>392</v>
      </c>
      <c r="AA652">
        <v>9400</v>
      </c>
      <c r="AB652" t="s">
        <v>3071</v>
      </c>
      <c r="AC652" t="str">
        <f>HYPERLINK("plots/3FT6Y578R01_012_S11P_20251111092011_M5358ACSH101811_RBGEUFRF26/dpll_52084/txpa_55233.png","plot")</f>
        <v>plot</v>
      </c>
    </row>
    <row r="653" spans="1:29" x14ac:dyDescent="0.35">
      <c r="A653" t="s">
        <v>48</v>
      </c>
      <c r="B653">
        <v>52084</v>
      </c>
      <c r="C653" t="s">
        <v>52</v>
      </c>
      <c r="D653">
        <v>55234</v>
      </c>
      <c r="E653" t="s">
        <v>367</v>
      </c>
      <c r="F653">
        <v>12232</v>
      </c>
      <c r="G653">
        <v>0.84911947844569846</v>
      </c>
      <c r="H653">
        <v>0</v>
      </c>
      <c r="I653">
        <v>0</v>
      </c>
      <c r="J653">
        <v>0.72875455512893017</v>
      </c>
      <c r="K653">
        <v>0</v>
      </c>
      <c r="L653">
        <v>0</v>
      </c>
      <c r="M653">
        <v>0.53876956880539029</v>
      </c>
      <c r="N653">
        <v>0</v>
      </c>
      <c r="O653">
        <v>0</v>
      </c>
      <c r="P653">
        <v>0.72100388867589493</v>
      </c>
      <c r="Q653">
        <v>2.1573707761125931</v>
      </c>
      <c r="R653">
        <v>-0.41636288710565772</v>
      </c>
      <c r="S653">
        <v>0.25873990538009223</v>
      </c>
      <c r="T653">
        <v>0.19688855671833219</v>
      </c>
      <c r="U653">
        <v>4.3299306340745582</v>
      </c>
      <c r="V653">
        <v>0.1928084685682582</v>
      </c>
      <c r="W653">
        <v>8.9249029254414651</v>
      </c>
      <c r="X653">
        <v>0.48987140918918892</v>
      </c>
      <c r="Z653" t="s">
        <v>392</v>
      </c>
      <c r="AA653">
        <v>9400</v>
      </c>
      <c r="AB653" t="s">
        <v>3072</v>
      </c>
      <c r="AC653" t="str">
        <f>HYPERLINK("plots/3FT6Y578R01_012_S11P_20251111092011_M5358ACSH101811_RBGEUFRF26/dpll_52084/txpa_55234.png","plot")</f>
        <v>plot</v>
      </c>
    </row>
    <row r="654" spans="1:29" x14ac:dyDescent="0.35">
      <c r="A654" t="s">
        <v>48</v>
      </c>
      <c r="B654">
        <v>52084</v>
      </c>
      <c r="C654" t="s">
        <v>52</v>
      </c>
      <c r="D654">
        <v>55235</v>
      </c>
      <c r="E654" t="s">
        <v>368</v>
      </c>
      <c r="F654">
        <v>12225</v>
      </c>
      <c r="G654">
        <v>0.83541245651042251</v>
      </c>
      <c r="H654">
        <v>0</v>
      </c>
      <c r="I654">
        <v>0</v>
      </c>
      <c r="J654">
        <v>0.72787485924952755</v>
      </c>
      <c r="K654">
        <v>0</v>
      </c>
      <c r="L654">
        <v>0</v>
      </c>
      <c r="M654">
        <v>0.53558324744975794</v>
      </c>
      <c r="N654">
        <v>0</v>
      </c>
      <c r="O654">
        <v>0</v>
      </c>
      <c r="P654">
        <v>0.69791397249277853</v>
      </c>
      <c r="Q654">
        <v>2.1896504163239481</v>
      </c>
      <c r="R654">
        <v>-0.13667906777031821</v>
      </c>
      <c r="S654">
        <v>0.27749316983460492</v>
      </c>
      <c r="T654">
        <v>0.20638213594551241</v>
      </c>
      <c r="U654">
        <v>4.3301600159509208</v>
      </c>
      <c r="V654">
        <v>0.1926330959884292</v>
      </c>
      <c r="W654">
        <v>9.3448576139059298</v>
      </c>
      <c r="X654">
        <v>0.50489926926720718</v>
      </c>
      <c r="Z654" t="s">
        <v>392</v>
      </c>
      <c r="AA654">
        <v>9400</v>
      </c>
      <c r="AB654" t="s">
        <v>3073</v>
      </c>
      <c r="AC654" t="str">
        <f>HYPERLINK("plots/3FT6Y578R01_012_S11P_20251111092011_M5358ACSH101811_RBGEUFRF26/dpll_52084/txpa_55235.png","plot")</f>
        <v>plot</v>
      </c>
    </row>
    <row r="655" spans="1:29" x14ac:dyDescent="0.35">
      <c r="A655" t="s">
        <v>48</v>
      </c>
      <c r="B655">
        <v>52084</v>
      </c>
      <c r="C655" t="s">
        <v>52</v>
      </c>
      <c r="D655">
        <v>55236</v>
      </c>
      <c r="E655" t="s">
        <v>369</v>
      </c>
      <c r="F655">
        <v>12232</v>
      </c>
      <c r="G655">
        <v>0.84617734381314313</v>
      </c>
      <c r="H655">
        <v>0</v>
      </c>
      <c r="I655">
        <v>0</v>
      </c>
      <c r="J655">
        <v>0.73601432672115374</v>
      </c>
      <c r="K655">
        <v>0</v>
      </c>
      <c r="L655">
        <v>0</v>
      </c>
      <c r="M655">
        <v>0.54467417985176636</v>
      </c>
      <c r="N655">
        <v>0</v>
      </c>
      <c r="O655">
        <v>0</v>
      </c>
      <c r="P655">
        <v>0.71601609718266623</v>
      </c>
      <c r="Q655">
        <v>2.2237464402066349</v>
      </c>
      <c r="R655">
        <v>-0.25246881532340382</v>
      </c>
      <c r="S655">
        <v>0.26994984491327062</v>
      </c>
      <c r="T655">
        <v>0.20363198135148991</v>
      </c>
      <c r="U655">
        <v>4.3299363242315234</v>
      </c>
      <c r="V655">
        <v>0.1927658514144405</v>
      </c>
      <c r="W655">
        <v>9.3762116720078481</v>
      </c>
      <c r="X655">
        <v>0.506586921772893</v>
      </c>
      <c r="Z655" t="s">
        <v>392</v>
      </c>
      <c r="AA655">
        <v>9400</v>
      </c>
      <c r="AB655" t="s">
        <v>3074</v>
      </c>
      <c r="AC655" t="str">
        <f>HYPERLINK("plots/3FT6Y578R01_012_S11P_20251111092011_M5358ACSH101811_RBGEUFRF26/dpll_52084/txpa_55236.png","plot")</f>
        <v>plot</v>
      </c>
    </row>
    <row r="656" spans="1:29" x14ac:dyDescent="0.35">
      <c r="A656" t="s">
        <v>48</v>
      </c>
      <c r="B656">
        <v>52084</v>
      </c>
      <c r="C656" t="s">
        <v>52</v>
      </c>
      <c r="D656">
        <v>55237</v>
      </c>
      <c r="E656" t="s">
        <v>370</v>
      </c>
      <c r="F656">
        <v>12232</v>
      </c>
      <c r="G656">
        <v>0.84596576406681523</v>
      </c>
      <c r="H656">
        <v>0</v>
      </c>
      <c r="I656">
        <v>0</v>
      </c>
      <c r="J656">
        <v>0.73324612834764302</v>
      </c>
      <c r="K656">
        <v>0</v>
      </c>
      <c r="L656">
        <v>0</v>
      </c>
      <c r="M656">
        <v>0.54175553965970957</v>
      </c>
      <c r="N656">
        <v>0</v>
      </c>
      <c r="O656">
        <v>0</v>
      </c>
      <c r="P656">
        <v>0.71565807397315051</v>
      </c>
      <c r="Q656">
        <v>2.205587111222302</v>
      </c>
      <c r="R656">
        <v>-0.16160458007861139</v>
      </c>
      <c r="S656">
        <v>0.26800902660034082</v>
      </c>
      <c r="T656">
        <v>0.2017360912427921</v>
      </c>
      <c r="U656">
        <v>4.3299411040712883</v>
      </c>
      <c r="V656">
        <v>0.19278591300096279</v>
      </c>
      <c r="W656">
        <v>9.3884577114126877</v>
      </c>
      <c r="X656">
        <v>0.50262805305034075</v>
      </c>
      <c r="Z656" t="s">
        <v>392</v>
      </c>
      <c r="AA656">
        <v>9400</v>
      </c>
      <c r="AB656" t="s">
        <v>3075</v>
      </c>
      <c r="AC656" t="str">
        <f>HYPERLINK("plots/3FT6Y578R01_012_S11P_20251111092011_M5358ACSH101811_RBGEUFRF26/dpll_52084/txpa_55237.png","plot")</f>
        <v>plot</v>
      </c>
    </row>
    <row r="657" spans="1:29" x14ac:dyDescent="0.35">
      <c r="A657" t="s">
        <v>48</v>
      </c>
      <c r="B657">
        <v>52084</v>
      </c>
      <c r="C657" t="s">
        <v>52</v>
      </c>
      <c r="D657">
        <v>55238</v>
      </c>
      <c r="E657" t="s">
        <v>371</v>
      </c>
      <c r="F657">
        <v>12239</v>
      </c>
      <c r="G657">
        <v>0.85192894691759524</v>
      </c>
      <c r="H657">
        <v>0</v>
      </c>
      <c r="I657">
        <v>0</v>
      </c>
      <c r="J657">
        <v>0.73776598260488091</v>
      </c>
      <c r="K657">
        <v>0</v>
      </c>
      <c r="L657">
        <v>0</v>
      </c>
      <c r="M657">
        <v>0.54659041321055513</v>
      </c>
      <c r="N657">
        <v>0</v>
      </c>
      <c r="O657">
        <v>0</v>
      </c>
      <c r="P657">
        <v>0.72578293059612287</v>
      </c>
      <c r="Q657">
        <v>2.2359444020740522</v>
      </c>
      <c r="R657">
        <v>-0.28156636163106619</v>
      </c>
      <c r="S657">
        <v>0.26503265734751558</v>
      </c>
      <c r="T657">
        <v>0.20082310204879381</v>
      </c>
      <c r="U657">
        <v>4.329789354440722</v>
      </c>
      <c r="V657">
        <v>0.19284672416477261</v>
      </c>
      <c r="W657">
        <v>9.3996019075904886</v>
      </c>
      <c r="X657">
        <v>0.50613910340136659</v>
      </c>
      <c r="Z657" t="s">
        <v>392</v>
      </c>
      <c r="AA657">
        <v>9400</v>
      </c>
      <c r="AB657" t="s">
        <v>3076</v>
      </c>
      <c r="AC657" t="str">
        <f>HYPERLINK("plots/3FT6Y578R01_012_S11P_20251111092011_M5358ACSH101811_RBGEUFRF26/dpll_52084/txpa_55238.png","plot")</f>
        <v>plot</v>
      </c>
    </row>
    <row r="658" spans="1:29" x14ac:dyDescent="0.35">
      <c r="A658" t="s">
        <v>48</v>
      </c>
      <c r="B658">
        <v>52084</v>
      </c>
      <c r="C658" t="s">
        <v>52</v>
      </c>
      <c r="D658">
        <v>55239</v>
      </c>
      <c r="E658" t="s">
        <v>372</v>
      </c>
      <c r="F658">
        <v>12237</v>
      </c>
      <c r="G658">
        <v>0.85223302295150327</v>
      </c>
      <c r="H658">
        <v>0</v>
      </c>
      <c r="I658">
        <v>0</v>
      </c>
      <c r="J658">
        <v>0.73575546271143089</v>
      </c>
      <c r="K658">
        <v>0</v>
      </c>
      <c r="L658">
        <v>0</v>
      </c>
      <c r="M658">
        <v>0.54431188161311495</v>
      </c>
      <c r="N658">
        <v>0</v>
      </c>
      <c r="O658">
        <v>0</v>
      </c>
      <c r="P658">
        <v>0.72630112540905756</v>
      </c>
      <c r="Q658">
        <v>2.242958759274571</v>
      </c>
      <c r="R658">
        <v>-0.34110205866001841</v>
      </c>
      <c r="S658">
        <v>0.26546131126930428</v>
      </c>
      <c r="T658">
        <v>0.20192379274692249</v>
      </c>
      <c r="U658">
        <v>4.3298108563373381</v>
      </c>
      <c r="V658">
        <v>0.1928055563796823</v>
      </c>
      <c r="W658">
        <v>9.3704851275639456</v>
      </c>
      <c r="X658">
        <v>0.50743740253212921</v>
      </c>
      <c r="Z658" t="s">
        <v>392</v>
      </c>
      <c r="AA658">
        <v>9400</v>
      </c>
      <c r="AB658" t="s">
        <v>3077</v>
      </c>
      <c r="AC658" t="str">
        <f>HYPERLINK("plots/3FT6Y578R01_012_S11P_20251111092011_M5358ACSH101811_RBGEUFRF26/dpll_52084/txpa_55239.png","plot")</f>
        <v>plot</v>
      </c>
    </row>
    <row r="659" spans="1:29" x14ac:dyDescent="0.35">
      <c r="A659" t="s">
        <v>48</v>
      </c>
      <c r="B659">
        <v>52084</v>
      </c>
      <c r="C659" t="s">
        <v>52</v>
      </c>
      <c r="D659">
        <v>55240</v>
      </c>
      <c r="E659" t="s">
        <v>373</v>
      </c>
      <c r="F659">
        <v>12238</v>
      </c>
      <c r="G659">
        <v>0.85448038190167275</v>
      </c>
      <c r="H659">
        <v>0</v>
      </c>
      <c r="I659">
        <v>0</v>
      </c>
      <c r="J659">
        <v>0.73915036774731657</v>
      </c>
      <c r="K659">
        <v>0</v>
      </c>
      <c r="L659">
        <v>0</v>
      </c>
      <c r="M659">
        <v>0.54833450269930006</v>
      </c>
      <c r="N659">
        <v>0</v>
      </c>
      <c r="O659">
        <v>0</v>
      </c>
      <c r="P659">
        <v>0.73013672305482846</v>
      </c>
      <c r="Q659">
        <v>2.250263505163244</v>
      </c>
      <c r="R659">
        <v>-0.36306011995942988</v>
      </c>
      <c r="S659">
        <v>0.26378509719053611</v>
      </c>
      <c r="T659">
        <v>0.2011437797458486</v>
      </c>
      <c r="U659">
        <v>4.3297701919431271</v>
      </c>
      <c r="V659">
        <v>0.19282565926756759</v>
      </c>
      <c r="W659">
        <v>9.3800637287138429</v>
      </c>
      <c r="X659">
        <v>0.50780398602384891</v>
      </c>
      <c r="Z659" t="s">
        <v>392</v>
      </c>
      <c r="AA659">
        <v>9400</v>
      </c>
      <c r="AB659" t="s">
        <v>3078</v>
      </c>
      <c r="AC659" t="str">
        <f>HYPERLINK("plots/3FT6Y578R01_012_S11P_20251111092011_M5358ACSH101811_RBGEUFRF26/dpll_52084/txpa_55240.png","plot")</f>
        <v>plot</v>
      </c>
    </row>
    <row r="660" spans="1:29" x14ac:dyDescent="0.35">
      <c r="A660" t="s">
        <v>48</v>
      </c>
      <c r="B660">
        <v>52084</v>
      </c>
      <c r="C660" t="s">
        <v>52</v>
      </c>
      <c r="D660">
        <v>55241</v>
      </c>
      <c r="E660" t="s">
        <v>374</v>
      </c>
      <c r="F660">
        <v>12234</v>
      </c>
      <c r="G660">
        <v>0.85447717148747881</v>
      </c>
      <c r="H660">
        <v>0</v>
      </c>
      <c r="I660">
        <v>0</v>
      </c>
      <c r="J660">
        <v>0.73544908602639392</v>
      </c>
      <c r="K660">
        <v>0</v>
      </c>
      <c r="L660">
        <v>0</v>
      </c>
      <c r="M660">
        <v>0.54533874494169032</v>
      </c>
      <c r="N660">
        <v>0</v>
      </c>
      <c r="O660">
        <v>0</v>
      </c>
      <c r="P660">
        <v>0.73013123659324231</v>
      </c>
      <c r="Q660">
        <v>2.2452583116202738</v>
      </c>
      <c r="R660">
        <v>-0.33557021468007869</v>
      </c>
      <c r="S660">
        <v>0.26316300640243501</v>
      </c>
      <c r="T660">
        <v>0.20048381124094919</v>
      </c>
      <c r="U660">
        <v>4.3299090738924306</v>
      </c>
      <c r="V660">
        <v>0.1927970709165738</v>
      </c>
      <c r="W660">
        <v>9.3861941220369456</v>
      </c>
      <c r="X660">
        <v>0.50660127663553878</v>
      </c>
      <c r="Z660" t="s">
        <v>392</v>
      </c>
      <c r="AA660">
        <v>9400</v>
      </c>
      <c r="AB660" t="s">
        <v>3079</v>
      </c>
      <c r="AC660" t="str">
        <f>HYPERLINK("plots/3FT6Y578R01_012_S11P_20251111092011_M5358ACSH101811_RBGEUFRF26/dpll_52084/txpa_55241.png","plot")</f>
        <v>plot</v>
      </c>
    </row>
    <row r="661" spans="1:29" x14ac:dyDescent="0.35">
      <c r="A661" t="s">
        <v>48</v>
      </c>
      <c r="B661">
        <v>52084</v>
      </c>
      <c r="C661" t="s">
        <v>52</v>
      </c>
      <c r="D661">
        <v>55242</v>
      </c>
      <c r="E661" t="s">
        <v>375</v>
      </c>
      <c r="F661">
        <v>12228</v>
      </c>
      <c r="G661">
        <v>0.85006793116948243</v>
      </c>
      <c r="H661">
        <v>0</v>
      </c>
      <c r="I661">
        <v>0</v>
      </c>
      <c r="J661">
        <v>0.72833976527343758</v>
      </c>
      <c r="K661">
        <v>0</v>
      </c>
      <c r="L661">
        <v>0</v>
      </c>
      <c r="M661">
        <v>0.53858333556701754</v>
      </c>
      <c r="N661">
        <v>0</v>
      </c>
      <c r="O661">
        <v>0</v>
      </c>
      <c r="P661">
        <v>0.72261548760276395</v>
      </c>
      <c r="Q661">
        <v>2.2200890779167541</v>
      </c>
      <c r="R661">
        <v>-0.2381635196142273</v>
      </c>
      <c r="S661">
        <v>0.26511953484469952</v>
      </c>
      <c r="T661">
        <v>0.20170217235170329</v>
      </c>
      <c r="U661">
        <v>4.3300344694962378</v>
      </c>
      <c r="V661">
        <v>0.19275320858236461</v>
      </c>
      <c r="W661">
        <v>9.3748987131174353</v>
      </c>
      <c r="X661">
        <v>0.50340599546955378</v>
      </c>
      <c r="Z661" t="s">
        <v>392</v>
      </c>
      <c r="AA661">
        <v>9400</v>
      </c>
      <c r="AB661" t="s">
        <v>3080</v>
      </c>
      <c r="AC661" t="str">
        <f>HYPERLINK("plots/3FT6Y578R01_012_S11P_20251111092011_M5358ACSH101811_RBGEUFRF26/dpll_52084/txpa_55242.png","plot")</f>
        <v>plot</v>
      </c>
    </row>
    <row r="662" spans="1:29" x14ac:dyDescent="0.35">
      <c r="A662" t="s">
        <v>48</v>
      </c>
      <c r="B662">
        <v>52084</v>
      </c>
      <c r="C662" t="s">
        <v>52</v>
      </c>
      <c r="D662">
        <v>55243</v>
      </c>
      <c r="E662" t="s">
        <v>376</v>
      </c>
      <c r="F662">
        <v>12203</v>
      </c>
      <c r="G662">
        <v>0.84139073912459461</v>
      </c>
      <c r="H662">
        <v>0</v>
      </c>
      <c r="I662">
        <v>0</v>
      </c>
      <c r="J662">
        <v>0.7248897817612604</v>
      </c>
      <c r="K662">
        <v>0</v>
      </c>
      <c r="L662">
        <v>0</v>
      </c>
      <c r="M662">
        <v>0.53386588812380575</v>
      </c>
      <c r="N662">
        <v>0</v>
      </c>
      <c r="O662">
        <v>0</v>
      </c>
      <c r="P662">
        <v>0.7079383758846316</v>
      </c>
      <c r="Q662">
        <v>2.478634818584962</v>
      </c>
      <c r="R662">
        <v>1.5877322074778991E-2</v>
      </c>
      <c r="S662">
        <v>0.30637437088390268</v>
      </c>
      <c r="T662">
        <v>0.2297170481673626</v>
      </c>
      <c r="U662">
        <v>4.3306218397934932</v>
      </c>
      <c r="V662">
        <v>0.19245010893183481</v>
      </c>
      <c r="W662">
        <v>10.7499074003114</v>
      </c>
      <c r="X662">
        <v>0.56693462223652713</v>
      </c>
      <c r="Z662" t="s">
        <v>392</v>
      </c>
      <c r="AA662">
        <v>9400</v>
      </c>
      <c r="AB662" t="s">
        <v>3081</v>
      </c>
      <c r="AC662" t="str">
        <f>HYPERLINK("plots/3FT6Y578R01_012_S11P_20251111092011_M5358ACSH101811_RBGEUFRF26/dpll_52084/txpa_55243.png","plot")</f>
        <v>plot</v>
      </c>
    </row>
    <row r="663" spans="1:29" x14ac:dyDescent="0.35">
      <c r="A663" t="s">
        <v>48</v>
      </c>
      <c r="B663">
        <v>52084</v>
      </c>
      <c r="C663" t="s">
        <v>52</v>
      </c>
      <c r="D663">
        <v>55244</v>
      </c>
      <c r="E663" t="s">
        <v>377</v>
      </c>
      <c r="F663">
        <v>12219</v>
      </c>
      <c r="G663">
        <v>0.85002770421812435</v>
      </c>
      <c r="H663">
        <v>0</v>
      </c>
      <c r="I663">
        <v>0</v>
      </c>
      <c r="J663">
        <v>0.73291420712770083</v>
      </c>
      <c r="K663">
        <v>0</v>
      </c>
      <c r="L663">
        <v>0</v>
      </c>
      <c r="M663">
        <v>0.5426637952492761</v>
      </c>
      <c r="N663">
        <v>0</v>
      </c>
      <c r="O663">
        <v>0</v>
      </c>
      <c r="P663">
        <v>0.72254709793833505</v>
      </c>
      <c r="Q663">
        <v>2.5212632911797348</v>
      </c>
      <c r="R663">
        <v>-0.1377628535438831</v>
      </c>
      <c r="S663">
        <v>0.3010111927864707</v>
      </c>
      <c r="T663">
        <v>0.22765641851555041</v>
      </c>
      <c r="U663">
        <v>4.3302077088959816</v>
      </c>
      <c r="V663">
        <v>0.19267291175494791</v>
      </c>
      <c r="W663">
        <v>10.779830886079059</v>
      </c>
      <c r="X663">
        <v>0.57148624356813627</v>
      </c>
      <c r="Z663" t="s">
        <v>392</v>
      </c>
      <c r="AA663">
        <v>9400</v>
      </c>
      <c r="AB663" t="s">
        <v>3082</v>
      </c>
      <c r="AC663" t="str">
        <f>HYPERLINK("plots/3FT6Y578R01_012_S11P_20251111092011_M5358ACSH101811_RBGEUFRF26/dpll_52084/txpa_55244.png","plot")</f>
        <v>plot</v>
      </c>
    </row>
    <row r="664" spans="1:29" x14ac:dyDescent="0.35">
      <c r="A664" t="s">
        <v>48</v>
      </c>
      <c r="B664">
        <v>52084</v>
      </c>
      <c r="C664" t="s">
        <v>52</v>
      </c>
      <c r="D664">
        <v>55245</v>
      </c>
      <c r="E664" t="s">
        <v>378</v>
      </c>
      <c r="F664">
        <v>12214</v>
      </c>
      <c r="G664">
        <v>0.85089774340622881</v>
      </c>
      <c r="H664">
        <v>0</v>
      </c>
      <c r="I664">
        <v>0</v>
      </c>
      <c r="J664">
        <v>0.73050941939159086</v>
      </c>
      <c r="K664">
        <v>0</v>
      </c>
      <c r="L664">
        <v>0</v>
      </c>
      <c r="M664">
        <v>0.54022743830786468</v>
      </c>
      <c r="N664">
        <v>0</v>
      </c>
      <c r="O664">
        <v>0</v>
      </c>
      <c r="P664">
        <v>0.72402696973381242</v>
      </c>
      <c r="Q664">
        <v>2.499743082657397</v>
      </c>
      <c r="R664">
        <v>-3.1952891710254512E-2</v>
      </c>
      <c r="S664">
        <v>0.29726424610761037</v>
      </c>
      <c r="T664">
        <v>0.22496328985957861</v>
      </c>
      <c r="U664">
        <v>4.3303353362534791</v>
      </c>
      <c r="V664">
        <v>0.1926234387570207</v>
      </c>
      <c r="W664">
        <v>10.79277291067627</v>
      </c>
      <c r="X664">
        <v>0.56588363563289501</v>
      </c>
      <c r="Z664" t="s">
        <v>392</v>
      </c>
      <c r="AA664">
        <v>9400</v>
      </c>
      <c r="AB664" t="s">
        <v>3083</v>
      </c>
      <c r="AC664" t="str">
        <f>HYPERLINK("plots/3FT6Y578R01_012_S11P_20251111092011_M5358ACSH101811_RBGEUFRF26/dpll_52084/txpa_55245.png","plot")</f>
        <v>plot</v>
      </c>
    </row>
    <row r="665" spans="1:29" x14ac:dyDescent="0.35">
      <c r="A665" t="s">
        <v>48</v>
      </c>
      <c r="B665">
        <v>52084</v>
      </c>
      <c r="C665" t="s">
        <v>52</v>
      </c>
      <c r="D665">
        <v>55246</v>
      </c>
      <c r="E665" t="s">
        <v>379</v>
      </c>
      <c r="F665">
        <v>12227</v>
      </c>
      <c r="G665">
        <v>0.8551891802277195</v>
      </c>
      <c r="H665">
        <v>0</v>
      </c>
      <c r="I665">
        <v>0</v>
      </c>
      <c r="J665">
        <v>0.73432635019567949</v>
      </c>
      <c r="K665">
        <v>0</v>
      </c>
      <c r="L665">
        <v>0</v>
      </c>
      <c r="M665">
        <v>0.54430294128509871</v>
      </c>
      <c r="N665">
        <v>0</v>
      </c>
      <c r="O665">
        <v>0</v>
      </c>
      <c r="P665">
        <v>0.73134853397855892</v>
      </c>
      <c r="Q665">
        <v>2.5381915402805588</v>
      </c>
      <c r="R665">
        <v>-0.19011095405202741</v>
      </c>
      <c r="S665">
        <v>0.29647835402739092</v>
      </c>
      <c r="T665">
        <v>0.2251070901196284</v>
      </c>
      <c r="U665">
        <v>4.3300597050789236</v>
      </c>
      <c r="V665">
        <v>0.19273205369605351</v>
      </c>
      <c r="W665">
        <v>10.80040995828903</v>
      </c>
      <c r="X665">
        <v>0.5720264937191557</v>
      </c>
      <c r="Z665" t="s">
        <v>392</v>
      </c>
      <c r="AA665">
        <v>9400</v>
      </c>
      <c r="AB665" t="s">
        <v>3084</v>
      </c>
      <c r="AC665" t="str">
        <f>HYPERLINK("plots/3FT6Y578R01_012_S11P_20251111092011_M5358ACSH101811_RBGEUFRF26/dpll_52084/txpa_55246.png","plot")</f>
        <v>plot</v>
      </c>
    </row>
    <row r="666" spans="1:29" x14ac:dyDescent="0.35">
      <c r="A666" t="s">
        <v>48</v>
      </c>
      <c r="B666">
        <v>52084</v>
      </c>
      <c r="C666" t="s">
        <v>52</v>
      </c>
      <c r="D666">
        <v>55247</v>
      </c>
      <c r="E666" t="s">
        <v>380</v>
      </c>
      <c r="F666">
        <v>12229</v>
      </c>
      <c r="G666">
        <v>0.85516527727672476</v>
      </c>
      <c r="H666">
        <v>0</v>
      </c>
      <c r="I666">
        <v>0</v>
      </c>
      <c r="J666">
        <v>0.73288348564174888</v>
      </c>
      <c r="K666">
        <v>0</v>
      </c>
      <c r="L666">
        <v>0</v>
      </c>
      <c r="M666">
        <v>0.54254440430652606</v>
      </c>
      <c r="N666">
        <v>0</v>
      </c>
      <c r="O666">
        <v>0</v>
      </c>
      <c r="P666">
        <v>0.7313076514597775</v>
      </c>
      <c r="Q666">
        <v>2.5469342299251871</v>
      </c>
      <c r="R666">
        <v>-0.2583823963043006</v>
      </c>
      <c r="S666">
        <v>0.29750940644717949</v>
      </c>
      <c r="T666">
        <v>0.22661332354571359</v>
      </c>
      <c r="U666">
        <v>4.3300020717965504</v>
      </c>
      <c r="V666">
        <v>0.19271838064151209</v>
      </c>
      <c r="W666">
        <v>10.76984809600131</v>
      </c>
      <c r="X666">
        <v>0.57397213548555515</v>
      </c>
      <c r="Z666" t="s">
        <v>392</v>
      </c>
      <c r="AA666">
        <v>9400</v>
      </c>
      <c r="AB666" t="s">
        <v>3085</v>
      </c>
      <c r="AC666" t="str">
        <f>HYPERLINK("plots/3FT6Y578R01_012_S11P_20251111092011_M5358ACSH101811_RBGEUFRF26/dpll_52084/txpa_55247.png","plot")</f>
        <v>plot</v>
      </c>
    </row>
    <row r="667" spans="1:29" x14ac:dyDescent="0.35">
      <c r="A667" t="s">
        <v>48</v>
      </c>
      <c r="B667">
        <v>52084</v>
      </c>
      <c r="C667" t="s">
        <v>52</v>
      </c>
      <c r="D667">
        <v>55248</v>
      </c>
      <c r="E667" t="s">
        <v>381</v>
      </c>
      <c r="F667">
        <v>12231</v>
      </c>
      <c r="G667">
        <v>0.856727710183391</v>
      </c>
      <c r="H667">
        <v>0</v>
      </c>
      <c r="I667">
        <v>0</v>
      </c>
      <c r="J667">
        <v>0.73615071839924207</v>
      </c>
      <c r="K667">
        <v>0</v>
      </c>
      <c r="L667">
        <v>0</v>
      </c>
      <c r="M667">
        <v>0.54643341136194057</v>
      </c>
      <c r="N667">
        <v>0</v>
      </c>
      <c r="O667">
        <v>0</v>
      </c>
      <c r="P667">
        <v>0.73398236939607642</v>
      </c>
      <c r="Q667">
        <v>2.5545869524597822</v>
      </c>
      <c r="R667">
        <v>-0.27850454989014928</v>
      </c>
      <c r="S667">
        <v>0.29641946731336227</v>
      </c>
      <c r="T667">
        <v>0.22585327442895969</v>
      </c>
      <c r="U667">
        <v>4.3299391224756762</v>
      </c>
      <c r="V667">
        <v>0.19274867040822541</v>
      </c>
      <c r="W667">
        <v>10.782701437331371</v>
      </c>
      <c r="X667">
        <v>0.57473714539176246</v>
      </c>
      <c r="Z667" t="s">
        <v>392</v>
      </c>
      <c r="AA667">
        <v>9400</v>
      </c>
      <c r="AB667" t="s">
        <v>3086</v>
      </c>
      <c r="AC667" t="str">
        <f>HYPERLINK("plots/3FT6Y578R01_012_S11P_20251111092011_M5358ACSH101811_RBGEUFRF26/dpll_52084/txpa_55248.png","plot")</f>
        <v>plot</v>
      </c>
    </row>
    <row r="668" spans="1:29" x14ac:dyDescent="0.35">
      <c r="A668" t="s">
        <v>48</v>
      </c>
      <c r="B668">
        <v>52084</v>
      </c>
      <c r="C668" t="s">
        <v>52</v>
      </c>
      <c r="D668">
        <v>55249</v>
      </c>
      <c r="E668" t="s">
        <v>382</v>
      </c>
      <c r="F668">
        <v>12224</v>
      </c>
      <c r="G668">
        <v>0.85749740109591954</v>
      </c>
      <c r="H668">
        <v>0</v>
      </c>
      <c r="I668">
        <v>0</v>
      </c>
      <c r="J668">
        <v>0.73272218508280973</v>
      </c>
      <c r="K668">
        <v>0</v>
      </c>
      <c r="L668">
        <v>0</v>
      </c>
      <c r="M668">
        <v>0.54379273018900076</v>
      </c>
      <c r="N668">
        <v>0</v>
      </c>
      <c r="O668">
        <v>0</v>
      </c>
      <c r="P668">
        <v>0.7353017928862563</v>
      </c>
      <c r="Q668">
        <v>2.54875985666619</v>
      </c>
      <c r="R668">
        <v>-0.24676797053294841</v>
      </c>
      <c r="S668">
        <v>0.29470369312275763</v>
      </c>
      <c r="T668">
        <v>0.22488255886225131</v>
      </c>
      <c r="U668">
        <v>4.3301197372382196</v>
      </c>
      <c r="V668">
        <v>0.19272219675244881</v>
      </c>
      <c r="W668">
        <v>10.789667390297771</v>
      </c>
      <c r="X668">
        <v>0.57283275487877383</v>
      </c>
      <c r="Z668" t="s">
        <v>392</v>
      </c>
      <c r="AA668">
        <v>9400</v>
      </c>
      <c r="AB668" t="s">
        <v>3087</v>
      </c>
      <c r="AC668" t="str">
        <f>HYPERLINK("plots/3FT6Y578R01_012_S11P_20251111092011_M5358ACSH101811_RBGEUFRF26/dpll_52084/txpa_55249.png","plot")</f>
        <v>plot</v>
      </c>
    </row>
    <row r="669" spans="1:29" x14ac:dyDescent="0.35">
      <c r="A669" t="s">
        <v>48</v>
      </c>
      <c r="B669">
        <v>52084</v>
      </c>
      <c r="C669" t="s">
        <v>52</v>
      </c>
      <c r="D669">
        <v>55250</v>
      </c>
      <c r="E669" t="s">
        <v>383</v>
      </c>
      <c r="F669">
        <v>12220</v>
      </c>
      <c r="G669">
        <v>0.85187276130638279</v>
      </c>
      <c r="H669">
        <v>0</v>
      </c>
      <c r="I669">
        <v>0</v>
      </c>
      <c r="J669">
        <v>0.72512683027929969</v>
      </c>
      <c r="K669">
        <v>0</v>
      </c>
      <c r="L669">
        <v>0</v>
      </c>
      <c r="M669">
        <v>0.5363280681127377</v>
      </c>
      <c r="N669">
        <v>0</v>
      </c>
      <c r="O669">
        <v>0</v>
      </c>
      <c r="P669">
        <v>0.72568720145576138</v>
      </c>
      <c r="Q669">
        <v>2.5228750976884129</v>
      </c>
      <c r="R669">
        <v>-0.14592713877342331</v>
      </c>
      <c r="S669">
        <v>0.29876858353633712</v>
      </c>
      <c r="T669">
        <v>0.2270856324206274</v>
      </c>
      <c r="U669">
        <v>4.3302542443535197</v>
      </c>
      <c r="V669">
        <v>0.19262322291271919</v>
      </c>
      <c r="W669">
        <v>10.77876346096563</v>
      </c>
      <c r="X669">
        <v>0.57046586579166669</v>
      </c>
      <c r="Z669" t="s">
        <v>392</v>
      </c>
      <c r="AA669">
        <v>9400</v>
      </c>
      <c r="AB669" t="s">
        <v>3088</v>
      </c>
      <c r="AC669" t="str">
        <f>HYPERLINK("plots/3FT6Y578R01_012_S11P_20251111092011_M5358ACSH101811_RBGEUFRF26/dpll_52084/txpa_55250.png","plot")</f>
        <v>plot</v>
      </c>
    </row>
    <row r="670" spans="1:29" x14ac:dyDescent="0.35">
      <c r="A670" t="s">
        <v>48</v>
      </c>
      <c r="B670">
        <v>52084</v>
      </c>
      <c r="C670" t="s">
        <v>52</v>
      </c>
      <c r="D670">
        <v>55251</v>
      </c>
      <c r="E670" t="s">
        <v>384</v>
      </c>
      <c r="F670">
        <v>12202</v>
      </c>
      <c r="G670">
        <v>0.84264087306014945</v>
      </c>
      <c r="H670">
        <v>0</v>
      </c>
      <c r="I670">
        <v>0</v>
      </c>
      <c r="J670">
        <v>0.72327625049345867</v>
      </c>
      <c r="K670">
        <v>0</v>
      </c>
      <c r="L670">
        <v>0</v>
      </c>
      <c r="M670">
        <v>0.53281643871222595</v>
      </c>
      <c r="N670">
        <v>0</v>
      </c>
      <c r="O670">
        <v>0</v>
      </c>
      <c r="P670">
        <v>0.71004364095157091</v>
      </c>
      <c r="Q670">
        <v>2.6361570363047671</v>
      </c>
      <c r="R670">
        <v>-0.2035802319412845</v>
      </c>
      <c r="S670">
        <v>0.32417930587548438</v>
      </c>
      <c r="T670">
        <v>0.24351992705610359</v>
      </c>
      <c r="U670">
        <v>4.3306416037534827</v>
      </c>
      <c r="V670">
        <v>0.19244561036213381</v>
      </c>
      <c r="W670">
        <v>11.212671103507621</v>
      </c>
      <c r="X670">
        <v>0.60205582957271475</v>
      </c>
      <c r="Z670" t="s">
        <v>392</v>
      </c>
      <c r="AA670">
        <v>9400</v>
      </c>
      <c r="AB670" t="s">
        <v>3089</v>
      </c>
      <c r="AC670" t="str">
        <f>HYPERLINK("plots/3FT6Y578R01_012_S11P_20251111092011_M5358ACSH101811_RBGEUFRF26/dpll_52084/txpa_55251.png","plot")</f>
        <v>plot</v>
      </c>
    </row>
    <row r="671" spans="1:29" x14ac:dyDescent="0.35">
      <c r="A671" t="s">
        <v>48</v>
      </c>
      <c r="B671">
        <v>52084</v>
      </c>
      <c r="C671" t="s">
        <v>52</v>
      </c>
      <c r="D671">
        <v>55252</v>
      </c>
      <c r="E671" t="s">
        <v>385</v>
      </c>
      <c r="F671">
        <v>12215</v>
      </c>
      <c r="G671">
        <v>0.85170349432607828</v>
      </c>
      <c r="H671">
        <v>0</v>
      </c>
      <c r="I671">
        <v>0</v>
      </c>
      <c r="J671">
        <v>0.73111862512377557</v>
      </c>
      <c r="K671">
        <v>0</v>
      </c>
      <c r="L671">
        <v>0</v>
      </c>
      <c r="M671">
        <v>0.54139516858044279</v>
      </c>
      <c r="N671">
        <v>0</v>
      </c>
      <c r="O671">
        <v>0</v>
      </c>
      <c r="P671">
        <v>0.72539884224725204</v>
      </c>
      <c r="Q671">
        <v>2.6780611527995468</v>
      </c>
      <c r="R671">
        <v>-0.35348153522428127</v>
      </c>
      <c r="S671">
        <v>0.31744709232206358</v>
      </c>
      <c r="T671">
        <v>0.24092339451561329</v>
      </c>
      <c r="U671">
        <v>4.3302623136307821</v>
      </c>
      <c r="V671">
        <v>0.19266635829683559</v>
      </c>
      <c r="W671">
        <v>11.2432257483422</v>
      </c>
      <c r="X671">
        <v>0.60581210837274313</v>
      </c>
      <c r="Z671" t="s">
        <v>392</v>
      </c>
      <c r="AA671">
        <v>9400</v>
      </c>
      <c r="AB671" t="s">
        <v>3090</v>
      </c>
      <c r="AC671" t="str">
        <f>HYPERLINK("plots/3FT6Y578R01_012_S11P_20251111092011_M5358ACSH101811_RBGEUFRF26/dpll_52084/txpa_55252.png","plot")</f>
        <v>plot</v>
      </c>
    </row>
    <row r="672" spans="1:29" x14ac:dyDescent="0.35">
      <c r="A672" t="s">
        <v>48</v>
      </c>
      <c r="B672">
        <v>52084</v>
      </c>
      <c r="C672" t="s">
        <v>52</v>
      </c>
      <c r="D672">
        <v>55253</v>
      </c>
      <c r="E672" t="s">
        <v>386</v>
      </c>
      <c r="F672">
        <v>12214</v>
      </c>
      <c r="G672">
        <v>0.85185108456146086</v>
      </c>
      <c r="H672">
        <v>0</v>
      </c>
      <c r="I672">
        <v>0</v>
      </c>
      <c r="J672">
        <v>0.72918760175344888</v>
      </c>
      <c r="K672">
        <v>0</v>
      </c>
      <c r="L672">
        <v>0</v>
      </c>
      <c r="M672">
        <v>0.53941874638163601</v>
      </c>
      <c r="N672">
        <v>0</v>
      </c>
      <c r="O672">
        <v>0</v>
      </c>
      <c r="P672">
        <v>0.72565027026853712</v>
      </c>
      <c r="Q672">
        <v>2.6585348551063701</v>
      </c>
      <c r="R672">
        <v>-0.25710220278775081</v>
      </c>
      <c r="S672">
        <v>0.31486348546449322</v>
      </c>
      <c r="T672">
        <v>0.2385936044501345</v>
      </c>
      <c r="U672">
        <v>4.3303353362534791</v>
      </c>
      <c r="V672">
        <v>0.1926234387570207</v>
      </c>
      <c r="W672">
        <v>11.255245222940889</v>
      </c>
      <c r="X672">
        <v>0.60115686312663164</v>
      </c>
      <c r="Z672" t="s">
        <v>392</v>
      </c>
      <c r="AA672">
        <v>9400</v>
      </c>
      <c r="AB672" t="s">
        <v>3091</v>
      </c>
      <c r="AC672" t="str">
        <f>HYPERLINK("plots/3FT6Y578R01_012_S11P_20251111092011_M5358ACSH101811_RBGEUFRF26/dpll_52084/txpa_55253.png","plot")</f>
        <v>plot</v>
      </c>
    </row>
    <row r="673" spans="1:29" x14ac:dyDescent="0.35">
      <c r="A673" t="s">
        <v>48</v>
      </c>
      <c r="B673">
        <v>52084</v>
      </c>
      <c r="C673" t="s">
        <v>52</v>
      </c>
      <c r="D673">
        <v>55254</v>
      </c>
      <c r="E673" t="s">
        <v>387</v>
      </c>
      <c r="F673">
        <v>12223</v>
      </c>
      <c r="G673">
        <v>0.85614795559238821</v>
      </c>
      <c r="H673">
        <v>0</v>
      </c>
      <c r="I673">
        <v>0</v>
      </c>
      <c r="J673">
        <v>0.73228150257843216</v>
      </c>
      <c r="K673">
        <v>0</v>
      </c>
      <c r="L673">
        <v>0</v>
      </c>
      <c r="M673">
        <v>0.54287988802883802</v>
      </c>
      <c r="N673">
        <v>0</v>
      </c>
      <c r="O673">
        <v>0</v>
      </c>
      <c r="P673">
        <v>0.73298932186502597</v>
      </c>
      <c r="Q673">
        <v>2.695407057591257</v>
      </c>
      <c r="R673">
        <v>-0.40955127477977088</v>
      </c>
      <c r="S673">
        <v>0.31344569909415848</v>
      </c>
      <c r="T673">
        <v>0.2384925849088296</v>
      </c>
      <c r="U673">
        <v>4.3301594357359079</v>
      </c>
      <c r="V673">
        <v>0.19268159343757571</v>
      </c>
      <c r="W673">
        <v>11.261991028798169</v>
      </c>
      <c r="X673">
        <v>0.60661866144411536</v>
      </c>
      <c r="Z673" t="s">
        <v>392</v>
      </c>
      <c r="AA673">
        <v>9400</v>
      </c>
      <c r="AB673" t="s">
        <v>3092</v>
      </c>
      <c r="AC673" t="str">
        <f>HYPERLINK("plots/3FT6Y578R01_012_S11P_20251111092011_M5358ACSH101811_RBGEUFRF26/dpll_52084/txpa_55254.png","plot")</f>
        <v>plot</v>
      </c>
    </row>
    <row r="674" spans="1:29" x14ac:dyDescent="0.35">
      <c r="A674" t="s">
        <v>48</v>
      </c>
      <c r="B674">
        <v>52084</v>
      </c>
      <c r="C674" t="s">
        <v>52</v>
      </c>
      <c r="D674">
        <v>55255</v>
      </c>
      <c r="E674" t="s">
        <v>388</v>
      </c>
      <c r="F674">
        <v>12226</v>
      </c>
      <c r="G674">
        <v>0.85591862697710774</v>
      </c>
      <c r="H674">
        <v>0</v>
      </c>
      <c r="I674">
        <v>0</v>
      </c>
      <c r="J674">
        <v>0.73123846395548786</v>
      </c>
      <c r="K674">
        <v>0</v>
      </c>
      <c r="L674">
        <v>0</v>
      </c>
      <c r="M674">
        <v>0.54146097677610083</v>
      </c>
      <c r="N674">
        <v>0</v>
      </c>
      <c r="O674">
        <v>0</v>
      </c>
      <c r="P674">
        <v>0.73259669600637733</v>
      </c>
      <c r="Q674">
        <v>2.7053662514084031</v>
      </c>
      <c r="R674">
        <v>-0.48376983388184591</v>
      </c>
      <c r="S674">
        <v>0.31488335639968551</v>
      </c>
      <c r="T674">
        <v>0.24021805179111669</v>
      </c>
      <c r="U674">
        <v>4.3300903773106496</v>
      </c>
      <c r="V674">
        <v>0.1926595285090402</v>
      </c>
      <c r="W674">
        <v>11.23071053844266</v>
      </c>
      <c r="X674">
        <v>0.60895343320358986</v>
      </c>
      <c r="Z674" t="s">
        <v>392</v>
      </c>
      <c r="AA674">
        <v>9400</v>
      </c>
      <c r="AB674" t="s">
        <v>3093</v>
      </c>
      <c r="AC674" t="str">
        <f>HYPERLINK("plots/3FT6Y578R01_012_S11P_20251111092011_M5358ACSH101811_RBGEUFRF26/dpll_52084/txpa_55255.png","plot")</f>
        <v>plot</v>
      </c>
    </row>
    <row r="675" spans="1:29" x14ac:dyDescent="0.35">
      <c r="A675" t="s">
        <v>48</v>
      </c>
      <c r="B675">
        <v>52084</v>
      </c>
      <c r="C675" t="s">
        <v>52</v>
      </c>
      <c r="D675">
        <v>55256</v>
      </c>
      <c r="E675" t="s">
        <v>389</v>
      </c>
      <c r="F675">
        <v>12230</v>
      </c>
      <c r="G675">
        <v>0.85726711443807135</v>
      </c>
      <c r="H675">
        <v>0</v>
      </c>
      <c r="I675">
        <v>0</v>
      </c>
      <c r="J675">
        <v>0.73428366948913404</v>
      </c>
      <c r="K675">
        <v>0</v>
      </c>
      <c r="L675">
        <v>0</v>
      </c>
      <c r="M675">
        <v>0.54513701242644386</v>
      </c>
      <c r="N675">
        <v>0</v>
      </c>
      <c r="O675">
        <v>0</v>
      </c>
      <c r="P675">
        <v>0.73490690549697735</v>
      </c>
      <c r="Q675">
        <v>2.7148573269966092</v>
      </c>
      <c r="R675">
        <v>-0.51095899799766187</v>
      </c>
      <c r="S675">
        <v>0.31426185106662169</v>
      </c>
      <c r="T675">
        <v>0.23966993338236761</v>
      </c>
      <c r="U675">
        <v>4.3299595322976288</v>
      </c>
      <c r="V675">
        <v>0.19274333347855241</v>
      </c>
      <c r="W675">
        <v>11.244263363859361</v>
      </c>
      <c r="X675">
        <v>0.61039393942808162</v>
      </c>
      <c r="Z675" t="s">
        <v>392</v>
      </c>
      <c r="AA675">
        <v>9400</v>
      </c>
      <c r="AB675" t="s">
        <v>3094</v>
      </c>
      <c r="AC675" t="str">
        <f>HYPERLINK("plots/3FT6Y578R01_012_S11P_20251111092011_M5358ACSH101811_RBGEUFRF26/dpll_52084/txpa_55256.png","plot")</f>
        <v>plot</v>
      </c>
    </row>
    <row r="676" spans="1:29" x14ac:dyDescent="0.35">
      <c r="A676" t="s">
        <v>48</v>
      </c>
      <c r="B676">
        <v>52084</v>
      </c>
      <c r="C676" t="s">
        <v>52</v>
      </c>
      <c r="D676">
        <v>55257</v>
      </c>
      <c r="E676" t="s">
        <v>390</v>
      </c>
      <c r="F676">
        <v>12221</v>
      </c>
      <c r="G676">
        <v>0.85824445699050989</v>
      </c>
      <c r="H676">
        <v>0</v>
      </c>
      <c r="I676">
        <v>0</v>
      </c>
      <c r="J676">
        <v>0.73121920637150162</v>
      </c>
      <c r="K676">
        <v>0</v>
      </c>
      <c r="L676">
        <v>0</v>
      </c>
      <c r="M676">
        <v>0.54287664783485678</v>
      </c>
      <c r="N676">
        <v>0</v>
      </c>
      <c r="O676">
        <v>0</v>
      </c>
      <c r="P676">
        <v>0.73658354795493519</v>
      </c>
      <c r="Q676">
        <v>2.7075406290876249</v>
      </c>
      <c r="R676">
        <v>-0.47254393589655841</v>
      </c>
      <c r="S676">
        <v>0.31197522799030158</v>
      </c>
      <c r="T676">
        <v>0.2384639277926118</v>
      </c>
      <c r="U676">
        <v>4.3301937170444322</v>
      </c>
      <c r="V676">
        <v>0.19268701847140651</v>
      </c>
      <c r="W676">
        <v>11.25163148482121</v>
      </c>
      <c r="X676">
        <v>0.60787800836895978</v>
      </c>
      <c r="Z676" t="s">
        <v>392</v>
      </c>
      <c r="AA676">
        <v>9400</v>
      </c>
      <c r="AB676" t="s">
        <v>3095</v>
      </c>
      <c r="AC676" t="str">
        <f>HYPERLINK("plots/3FT6Y578R01_012_S11P_20251111092011_M5358ACSH101811_RBGEUFRF26/dpll_52084/txpa_55257.png","plot")</f>
        <v>plot</v>
      </c>
    </row>
    <row r="677" spans="1:29" x14ac:dyDescent="0.35">
      <c r="A677" t="s">
        <v>48</v>
      </c>
      <c r="B677">
        <v>52084</v>
      </c>
      <c r="C677" t="s">
        <v>52</v>
      </c>
      <c r="D677">
        <v>55258</v>
      </c>
      <c r="E677" t="s">
        <v>391</v>
      </c>
      <c r="F677">
        <v>12214</v>
      </c>
      <c r="G677">
        <v>0.8528638144559807</v>
      </c>
      <c r="H677">
        <v>0</v>
      </c>
      <c r="I677">
        <v>0</v>
      </c>
      <c r="J677">
        <v>0.72299048966650892</v>
      </c>
      <c r="K677">
        <v>0</v>
      </c>
      <c r="L677">
        <v>0</v>
      </c>
      <c r="M677">
        <v>0.53483750199602753</v>
      </c>
      <c r="N677">
        <v>0</v>
      </c>
      <c r="O677">
        <v>0</v>
      </c>
      <c r="P677">
        <v>0.72737668600840544</v>
      </c>
      <c r="Q677">
        <v>2.679335543310156</v>
      </c>
      <c r="R677">
        <v>-0.36171852785061448</v>
      </c>
      <c r="S677">
        <v>0.31586952420238851</v>
      </c>
      <c r="T677">
        <v>0.2407276613978365</v>
      </c>
      <c r="U677">
        <v>4.3303868329785491</v>
      </c>
      <c r="V677">
        <v>0.19257353036773109</v>
      </c>
      <c r="W677">
        <v>11.240840830031109</v>
      </c>
      <c r="X677">
        <v>0.60498416730706572</v>
      </c>
      <c r="Z677" t="s">
        <v>392</v>
      </c>
      <c r="AA677">
        <v>9400</v>
      </c>
      <c r="AB677" t="s">
        <v>3096</v>
      </c>
      <c r="AC677" t="str">
        <f>HYPERLINK("plots/3FT6Y578R01_012_S11P_20251111092011_M5358ACSH101811_RBGEUFRF26/dpll_52084/txpa_55258.png","plot")</f>
        <v>plot</v>
      </c>
    </row>
    <row r="678" spans="1:29" x14ac:dyDescent="0.35">
      <c r="A678" t="s">
        <v>48</v>
      </c>
      <c r="B678">
        <v>52094</v>
      </c>
      <c r="C678" t="s">
        <v>53</v>
      </c>
      <c r="D678">
        <v>53179</v>
      </c>
      <c r="E678" t="s">
        <v>54</v>
      </c>
      <c r="F678">
        <v>12243</v>
      </c>
      <c r="G678">
        <v>0.29478628184465838</v>
      </c>
      <c r="H678">
        <v>5.5425731056389607E-244</v>
      </c>
      <c r="I678">
        <v>5.8604474756182544E-244</v>
      </c>
      <c r="J678">
        <v>0.25605020900928238</v>
      </c>
      <c r="K678">
        <v>1.6006678312486798E-182</v>
      </c>
      <c r="L678">
        <v>1.6924683846571019E-182</v>
      </c>
      <c r="M678">
        <v>0.1740099432793345</v>
      </c>
      <c r="N678">
        <v>9.907182417639486E-181</v>
      </c>
      <c r="O678">
        <v>1.047537327579399E-180</v>
      </c>
      <c r="P678">
        <v>8.6898951963798404E-2</v>
      </c>
      <c r="Q678">
        <v>1.9599988171665941</v>
      </c>
      <c r="R678">
        <v>-32.390275673674211</v>
      </c>
      <c r="S678">
        <v>1.377620101495673</v>
      </c>
      <c r="T678">
        <v>1.142861989249891</v>
      </c>
      <c r="U678">
        <v>4.3319153779302466</v>
      </c>
      <c r="V678">
        <v>0.21683992469153379</v>
      </c>
      <c r="W678">
        <v>-23.899726656865148</v>
      </c>
      <c r="X678">
        <v>1.44174278820024</v>
      </c>
      <c r="Z678" t="s">
        <v>392</v>
      </c>
      <c r="AA678">
        <v>9400</v>
      </c>
      <c r="AB678" t="s">
        <v>3097</v>
      </c>
      <c r="AC678" t="str">
        <f>HYPERLINK("plots/3FT6Y578R01_012_S11P_20251111092011_M5358ACSH101811_RBGEUFRF26/dpll_52094/txpa_53179.png","plot")</f>
        <v>plot</v>
      </c>
    </row>
    <row r="679" spans="1:29" x14ac:dyDescent="0.35">
      <c r="A679" t="s">
        <v>48</v>
      </c>
      <c r="B679">
        <v>52094</v>
      </c>
      <c r="C679" t="s">
        <v>53</v>
      </c>
      <c r="D679">
        <v>53180</v>
      </c>
      <c r="E679" t="s">
        <v>55</v>
      </c>
      <c r="F679">
        <v>12243</v>
      </c>
      <c r="G679">
        <v>0.30990082911081779</v>
      </c>
      <c r="H679">
        <v>9.5955171592619233E-271</v>
      </c>
      <c r="I679">
        <v>1.0372979103935599E-270</v>
      </c>
      <c r="J679">
        <v>0.27436675686770873</v>
      </c>
      <c r="K679">
        <v>2.4733324743597779E-210</v>
      </c>
      <c r="L679">
        <v>2.6765839156892369E-210</v>
      </c>
      <c r="M679">
        <v>0.1858888849907063</v>
      </c>
      <c r="N679">
        <v>1.7799168867845151E-206</v>
      </c>
      <c r="O679">
        <v>1.9261854036280671E-206</v>
      </c>
      <c r="P679">
        <v>9.6038523883572327E-2</v>
      </c>
      <c r="Q679">
        <v>2.0462453556476841</v>
      </c>
      <c r="R679">
        <v>-32.679637437434259</v>
      </c>
      <c r="S679">
        <v>1.361229776189701</v>
      </c>
      <c r="T679">
        <v>1.1237090557253311</v>
      </c>
      <c r="U679">
        <v>4.3319153779302466</v>
      </c>
      <c r="V679">
        <v>0.21683992469153379</v>
      </c>
      <c r="W679">
        <v>-23.815475714285711</v>
      </c>
      <c r="X679">
        <v>1.431773158181447</v>
      </c>
      <c r="Z679" t="s">
        <v>392</v>
      </c>
      <c r="AA679">
        <v>9400</v>
      </c>
      <c r="AB679" t="s">
        <v>3098</v>
      </c>
      <c r="AC679" t="str">
        <f>HYPERLINK("plots/3FT6Y578R01_012_S11P_20251111092011_M5358ACSH101811_RBGEUFRF26/dpll_52094/txpa_53180.png","plot")</f>
        <v>plot</v>
      </c>
    </row>
    <row r="680" spans="1:29" x14ac:dyDescent="0.35">
      <c r="A680" t="s">
        <v>48</v>
      </c>
      <c r="B680">
        <v>52094</v>
      </c>
      <c r="C680" t="s">
        <v>53</v>
      </c>
      <c r="D680">
        <v>53181</v>
      </c>
      <c r="E680" t="s">
        <v>56</v>
      </c>
      <c r="F680">
        <v>12243</v>
      </c>
      <c r="G680">
        <v>0.30894523544013691</v>
      </c>
      <c r="H680">
        <v>5.2692540187771077E-269</v>
      </c>
      <c r="I680">
        <v>5.6901209531842261E-269</v>
      </c>
      <c r="J680">
        <v>0.26822823823490421</v>
      </c>
      <c r="K680">
        <v>9.1202978175715044E-201</v>
      </c>
      <c r="L680">
        <v>9.8278235781269982E-201</v>
      </c>
      <c r="M680">
        <v>0.18151569792892319</v>
      </c>
      <c r="N680">
        <v>1.9839715525334619E-197</v>
      </c>
      <c r="O680">
        <v>2.133347989680732E-197</v>
      </c>
      <c r="P680">
        <v>9.544715850116163E-2</v>
      </c>
      <c r="Q680">
        <v>2.0225586159759912</v>
      </c>
      <c r="R680">
        <v>-32.524585531256157</v>
      </c>
      <c r="S680">
        <v>1.3500756258608799</v>
      </c>
      <c r="T680">
        <v>1.1091720686907001</v>
      </c>
      <c r="U680">
        <v>4.3319153779302466</v>
      </c>
      <c r="V680">
        <v>0.21683992469153379</v>
      </c>
      <c r="W680">
        <v>-23.763032759944451</v>
      </c>
      <c r="X680">
        <v>1.4195767005360631</v>
      </c>
      <c r="Z680" t="s">
        <v>392</v>
      </c>
      <c r="AA680">
        <v>9400</v>
      </c>
      <c r="AB680" t="s">
        <v>3099</v>
      </c>
      <c r="AC680" t="str">
        <f>HYPERLINK("plots/3FT6Y578R01_012_S11P_20251111092011_M5358ACSH101811_RBGEUFRF26/dpll_52094/txpa_53181.png","plot")</f>
        <v>plot</v>
      </c>
    </row>
    <row r="681" spans="1:29" x14ac:dyDescent="0.35">
      <c r="A681" t="s">
        <v>48</v>
      </c>
      <c r="B681">
        <v>52094</v>
      </c>
      <c r="C681" t="s">
        <v>53</v>
      </c>
      <c r="D681">
        <v>53182</v>
      </c>
      <c r="E681" t="s">
        <v>57</v>
      </c>
      <c r="F681">
        <v>12243</v>
      </c>
      <c r="G681">
        <v>0.30824828907117519</v>
      </c>
      <c r="H681">
        <v>9.6930311912450364E-268</v>
      </c>
      <c r="I681">
        <v>1.041179409737549E-267</v>
      </c>
      <c r="J681">
        <v>0.26698741120547098</v>
      </c>
      <c r="K681">
        <v>7.3022914433895058E-199</v>
      </c>
      <c r="L681">
        <v>7.8271918854090473E-199</v>
      </c>
      <c r="M681">
        <v>0.1809327393497665</v>
      </c>
      <c r="N681">
        <v>2.6057980873119089E-196</v>
      </c>
      <c r="O681">
        <v>2.7931070407339061E-196</v>
      </c>
      <c r="P681">
        <v>9.5017007715306773E-2</v>
      </c>
      <c r="Q681">
        <v>2.0268256638647268</v>
      </c>
      <c r="R681">
        <v>-32.488823107468733</v>
      </c>
      <c r="S681">
        <v>1.356305239050057</v>
      </c>
      <c r="T681">
        <v>1.1127454588351451</v>
      </c>
      <c r="U681">
        <v>4.3319153779302466</v>
      </c>
      <c r="V681">
        <v>0.21683992469153379</v>
      </c>
      <c r="W681">
        <v>-23.708785845789428</v>
      </c>
      <c r="X681">
        <v>1.425788041320855</v>
      </c>
      <c r="Z681" t="s">
        <v>392</v>
      </c>
      <c r="AA681">
        <v>9400</v>
      </c>
      <c r="AB681" t="s">
        <v>3100</v>
      </c>
      <c r="AC681" t="str">
        <f>HYPERLINK("plots/3FT6Y578R01_012_S11P_20251111092011_M5358ACSH101811_RBGEUFRF26/dpll_52094/txpa_53182.png","plot")</f>
        <v>plot</v>
      </c>
    </row>
    <row r="682" spans="1:29" x14ac:dyDescent="0.35">
      <c r="A682" t="s">
        <v>48</v>
      </c>
      <c r="B682">
        <v>52094</v>
      </c>
      <c r="C682" t="s">
        <v>53</v>
      </c>
      <c r="D682">
        <v>53183</v>
      </c>
      <c r="E682" t="s">
        <v>58</v>
      </c>
      <c r="F682">
        <v>12242</v>
      </c>
      <c r="G682">
        <v>0.30655344084082969</v>
      </c>
      <c r="H682">
        <v>1.172377167642512E-264</v>
      </c>
      <c r="I682">
        <v>1.251358366304745E-264</v>
      </c>
      <c r="J682">
        <v>0.26446181246029671</v>
      </c>
      <c r="K682">
        <v>5.2744760051519682E-195</v>
      </c>
      <c r="L682">
        <v>5.6003336850514094E-195</v>
      </c>
      <c r="M682">
        <v>0.1789173070689602</v>
      </c>
      <c r="N682">
        <v>8.7340058466206132E-192</v>
      </c>
      <c r="O682">
        <v>9.2735936423804209E-192</v>
      </c>
      <c r="P682">
        <v>9.3975012091352103E-2</v>
      </c>
      <c r="Q682">
        <v>2.030269455340572</v>
      </c>
      <c r="R682">
        <v>-32.525496680317197</v>
      </c>
      <c r="S682">
        <v>1.3669203195624891</v>
      </c>
      <c r="T682">
        <v>1.122856306619759</v>
      </c>
      <c r="U682">
        <v>4.3319308992811631</v>
      </c>
      <c r="V682">
        <v>0.21684198016641831</v>
      </c>
      <c r="W682">
        <v>-23.73050969286064</v>
      </c>
      <c r="X682">
        <v>1.4361203963651901</v>
      </c>
      <c r="Z682" t="s">
        <v>392</v>
      </c>
      <c r="AA682">
        <v>9400</v>
      </c>
      <c r="AB682" t="s">
        <v>3101</v>
      </c>
      <c r="AC682" t="str">
        <f>HYPERLINK("plots/3FT6Y578R01_012_S11P_20251111092011_M5358ACSH101811_RBGEUFRF26/dpll_52094/txpa_53183.png","plot")</f>
        <v>plot</v>
      </c>
    </row>
    <row r="683" spans="1:29" x14ac:dyDescent="0.35">
      <c r="A683" t="s">
        <v>48</v>
      </c>
      <c r="B683">
        <v>52094</v>
      </c>
      <c r="C683" t="s">
        <v>53</v>
      </c>
      <c r="D683">
        <v>53184</v>
      </c>
      <c r="E683" t="s">
        <v>59</v>
      </c>
      <c r="F683">
        <v>12243</v>
      </c>
      <c r="G683">
        <v>0.30304537048175628</v>
      </c>
      <c r="H683">
        <v>2.0854575917210481E-258</v>
      </c>
      <c r="I683">
        <v>2.2189443840557641E-258</v>
      </c>
      <c r="J683">
        <v>0.26483894961900412</v>
      </c>
      <c r="K683">
        <v>1.3653057331647269E-195</v>
      </c>
      <c r="L683">
        <v>1.4526967612057009E-195</v>
      </c>
      <c r="M683">
        <v>0.17941345082947019</v>
      </c>
      <c r="N683">
        <v>1.9187455045646539E-192</v>
      </c>
      <c r="O683">
        <v>2.0415613238494851E-192</v>
      </c>
      <c r="P683">
        <v>9.1836496570424961E-2</v>
      </c>
      <c r="Q683">
        <v>1.9976272267003909</v>
      </c>
      <c r="R683">
        <v>-32.509951113578921</v>
      </c>
      <c r="S683">
        <v>1.362104186632221</v>
      </c>
      <c r="T683">
        <v>1.1241042360144271</v>
      </c>
      <c r="U683">
        <v>4.3319153779302466</v>
      </c>
      <c r="V683">
        <v>0.21683992469153379</v>
      </c>
      <c r="W683">
        <v>-23.856399010863349</v>
      </c>
      <c r="X683">
        <v>1.429374541214274</v>
      </c>
      <c r="Z683" t="s">
        <v>392</v>
      </c>
      <c r="AA683">
        <v>9400</v>
      </c>
      <c r="AB683" t="s">
        <v>3102</v>
      </c>
      <c r="AC683" t="str">
        <f>HYPERLINK("plots/3FT6Y578R01_012_S11P_20251111092011_M5358ACSH101811_RBGEUFRF26/dpll_52094/txpa_53184.png","plot")</f>
        <v>plot</v>
      </c>
    </row>
    <row r="684" spans="1:29" x14ac:dyDescent="0.35">
      <c r="A684" t="s">
        <v>48</v>
      </c>
      <c r="B684">
        <v>52094</v>
      </c>
      <c r="C684" t="s">
        <v>53</v>
      </c>
      <c r="D684">
        <v>53185</v>
      </c>
      <c r="E684" t="s">
        <v>60</v>
      </c>
      <c r="F684">
        <v>12243</v>
      </c>
      <c r="G684">
        <v>0.30271660760651808</v>
      </c>
      <c r="H684">
        <v>7.9892351336775592E-258</v>
      </c>
      <c r="I684">
        <v>8.4828109168052826E-258</v>
      </c>
      <c r="J684">
        <v>0.26638742825913231</v>
      </c>
      <c r="K684">
        <v>6.0283590410295703E-198</v>
      </c>
      <c r="L684">
        <v>6.4480549236328953E-198</v>
      </c>
      <c r="M684">
        <v>0.18074082579663989</v>
      </c>
      <c r="N684">
        <v>1.7877082375601041E-195</v>
      </c>
      <c r="O684">
        <v>1.9141881234276091E-195</v>
      </c>
      <c r="P684">
        <v>9.1637344520798678E-2</v>
      </c>
      <c r="Q684">
        <v>1.9898211513437449</v>
      </c>
      <c r="R684">
        <v>-32.448315922677239</v>
      </c>
      <c r="S684">
        <v>1.3584039676935631</v>
      </c>
      <c r="T684">
        <v>1.122647376917792</v>
      </c>
      <c r="U684">
        <v>4.3319153779302466</v>
      </c>
      <c r="V684">
        <v>0.21683992469153379</v>
      </c>
      <c r="W684">
        <v>-23.828579077840399</v>
      </c>
      <c r="X684">
        <v>1.425335306240755</v>
      </c>
      <c r="Z684" t="s">
        <v>392</v>
      </c>
      <c r="AA684">
        <v>9400</v>
      </c>
      <c r="AB684" t="s">
        <v>3103</v>
      </c>
      <c r="AC684" t="str">
        <f>HYPERLINK("plots/3FT6Y578R01_012_S11P_20251111092011_M5358ACSH101811_RBGEUFRF26/dpll_52094/txpa_53185.png","plot")</f>
        <v>plot</v>
      </c>
    </row>
    <row r="685" spans="1:29" x14ac:dyDescent="0.35">
      <c r="A685" t="s">
        <v>48</v>
      </c>
      <c r="B685">
        <v>52094</v>
      </c>
      <c r="C685" t="s">
        <v>53</v>
      </c>
      <c r="D685">
        <v>53186</v>
      </c>
      <c r="E685" t="s">
        <v>61</v>
      </c>
      <c r="F685">
        <v>12243</v>
      </c>
      <c r="G685">
        <v>0.30845188442334098</v>
      </c>
      <c r="H685">
        <v>4.1434605313566481E-268</v>
      </c>
      <c r="I685">
        <v>4.4554283974503089E-268</v>
      </c>
      <c r="J685">
        <v>0.26840263879757342</v>
      </c>
      <c r="K685">
        <v>4.9165473901962073E-201</v>
      </c>
      <c r="L685">
        <v>5.3035947379350577E-201</v>
      </c>
      <c r="M685">
        <v>0.1828757586355044</v>
      </c>
      <c r="N685">
        <v>7.6788621974141029E-199</v>
      </c>
      <c r="O685">
        <v>8.2833683704020224E-199</v>
      </c>
      <c r="P685">
        <v>9.5142565004310134E-2</v>
      </c>
      <c r="Q685">
        <v>2.0565276517248749</v>
      </c>
      <c r="R685">
        <v>-32.90799271823434</v>
      </c>
      <c r="S685">
        <v>1.3751773661474711</v>
      </c>
      <c r="T685">
        <v>1.1385913814765409</v>
      </c>
      <c r="U685">
        <v>4.3319153779302466</v>
      </c>
      <c r="V685">
        <v>0.21683992469153379</v>
      </c>
      <c r="W685">
        <v>-23.999288958588579</v>
      </c>
      <c r="X685">
        <v>1.44572727107753</v>
      </c>
      <c r="Z685" t="s">
        <v>392</v>
      </c>
      <c r="AA685">
        <v>9400</v>
      </c>
      <c r="AB685" t="s">
        <v>3104</v>
      </c>
      <c r="AC685" t="str">
        <f>HYPERLINK("plots/3FT6Y578R01_012_S11P_20251111092011_M5358ACSH101811_RBGEUFRF26/dpll_52094/txpa_53186.png","plot")</f>
        <v>plot</v>
      </c>
    </row>
    <row r="686" spans="1:29" x14ac:dyDescent="0.35">
      <c r="A686" t="s">
        <v>48</v>
      </c>
      <c r="B686">
        <v>52094</v>
      </c>
      <c r="C686" t="s">
        <v>53</v>
      </c>
      <c r="D686">
        <v>53187</v>
      </c>
      <c r="E686" t="s">
        <v>62</v>
      </c>
      <c r="F686">
        <v>12243</v>
      </c>
      <c r="G686">
        <v>0.76749788551643383</v>
      </c>
      <c r="H686">
        <v>0</v>
      </c>
      <c r="I686">
        <v>0</v>
      </c>
      <c r="J686">
        <v>0.6385110154296979</v>
      </c>
      <c r="K686">
        <v>0</v>
      </c>
      <c r="L686">
        <v>0</v>
      </c>
      <c r="M686">
        <v>0.45658226164147059</v>
      </c>
      <c r="N686">
        <v>0</v>
      </c>
      <c r="O686">
        <v>0</v>
      </c>
      <c r="P686">
        <v>0.58905300427219698</v>
      </c>
      <c r="Q686">
        <v>1.3272074207534721</v>
      </c>
      <c r="R686">
        <v>-15.993981501122921</v>
      </c>
      <c r="S686">
        <v>0.2403676564355712</v>
      </c>
      <c r="T686">
        <v>0.18685800100716859</v>
      </c>
      <c r="U686">
        <v>4.3319153779302466</v>
      </c>
      <c r="V686">
        <v>0.21683992469153379</v>
      </c>
      <c r="W686">
        <v>-10.24463126545781</v>
      </c>
      <c r="X686">
        <v>0.37497374598312871</v>
      </c>
      <c r="Z686" t="s">
        <v>392</v>
      </c>
      <c r="AA686">
        <v>9400</v>
      </c>
      <c r="AB686" t="s">
        <v>3105</v>
      </c>
      <c r="AC686" t="str">
        <f>HYPERLINK("plots/3FT6Y578R01_012_S11P_20251111092011_M5358ACSH101811_RBGEUFRF26/dpll_52094/txpa_53187.png","plot")</f>
        <v>plot</v>
      </c>
    </row>
    <row r="687" spans="1:29" x14ac:dyDescent="0.35">
      <c r="A687" t="s">
        <v>48</v>
      </c>
      <c r="B687">
        <v>52094</v>
      </c>
      <c r="C687" t="s">
        <v>53</v>
      </c>
      <c r="D687">
        <v>53188</v>
      </c>
      <c r="E687" t="s">
        <v>63</v>
      </c>
      <c r="F687">
        <v>12242</v>
      </c>
      <c r="G687">
        <v>0.78161398940248306</v>
      </c>
      <c r="H687">
        <v>0</v>
      </c>
      <c r="I687">
        <v>0</v>
      </c>
      <c r="J687">
        <v>0.65271270586561558</v>
      </c>
      <c r="K687">
        <v>0</v>
      </c>
      <c r="L687">
        <v>0</v>
      </c>
      <c r="M687">
        <v>0.47005819958190831</v>
      </c>
      <c r="N687">
        <v>0</v>
      </c>
      <c r="O687">
        <v>0</v>
      </c>
      <c r="P687">
        <v>0.61092042842966487</v>
      </c>
      <c r="Q687">
        <v>1.334285548977399</v>
      </c>
      <c r="R687">
        <v>-15.96418283881129</v>
      </c>
      <c r="S687">
        <v>0.2308887326935315</v>
      </c>
      <c r="T687">
        <v>0.18000646787133109</v>
      </c>
      <c r="U687">
        <v>4.3319007004574406</v>
      </c>
      <c r="V687">
        <v>0.21684269964686589</v>
      </c>
      <c r="W687">
        <v>-10.18419033458585</v>
      </c>
      <c r="X687">
        <v>0.37017003848823471</v>
      </c>
      <c r="Z687" t="s">
        <v>392</v>
      </c>
      <c r="AA687">
        <v>9400</v>
      </c>
      <c r="AB687" t="s">
        <v>3106</v>
      </c>
      <c r="AC687" t="str">
        <f>HYPERLINK("plots/3FT6Y578R01_012_S11P_20251111092011_M5358ACSH101811_RBGEUFRF26/dpll_52094/txpa_53188.png","plot")</f>
        <v>plot</v>
      </c>
    </row>
    <row r="688" spans="1:29" x14ac:dyDescent="0.35">
      <c r="A688" t="s">
        <v>48</v>
      </c>
      <c r="B688">
        <v>52094</v>
      </c>
      <c r="C688" t="s">
        <v>53</v>
      </c>
      <c r="D688">
        <v>53189</v>
      </c>
      <c r="E688" t="s">
        <v>64</v>
      </c>
      <c r="F688">
        <v>12243</v>
      </c>
      <c r="G688">
        <v>0.77922095309636341</v>
      </c>
      <c r="H688">
        <v>0</v>
      </c>
      <c r="I688">
        <v>0</v>
      </c>
      <c r="J688">
        <v>0.64764408772998383</v>
      </c>
      <c r="K688">
        <v>0</v>
      </c>
      <c r="L688">
        <v>0</v>
      </c>
      <c r="M688">
        <v>0.4658396761701642</v>
      </c>
      <c r="N688">
        <v>0</v>
      </c>
      <c r="O688">
        <v>0</v>
      </c>
      <c r="P688">
        <v>0.607185293744405</v>
      </c>
      <c r="Q688">
        <v>1.326168497086361</v>
      </c>
      <c r="R688">
        <v>-15.91229133559427</v>
      </c>
      <c r="S688">
        <v>0.231288193960313</v>
      </c>
      <c r="T688">
        <v>0.1800744488079776</v>
      </c>
      <c r="U688">
        <v>4.3319153779302466</v>
      </c>
      <c r="V688">
        <v>0.21683992469153379</v>
      </c>
      <c r="W688">
        <v>-10.16744162933921</v>
      </c>
      <c r="X688">
        <v>0.36904330651505068</v>
      </c>
      <c r="Z688" t="s">
        <v>392</v>
      </c>
      <c r="AA688">
        <v>9400</v>
      </c>
      <c r="AB688" t="s">
        <v>3107</v>
      </c>
      <c r="AC688" t="str">
        <f>HYPERLINK("plots/3FT6Y578R01_012_S11P_20251111092011_M5358ACSH101811_RBGEUFRF26/dpll_52094/txpa_53189.png","plot")</f>
        <v>plot</v>
      </c>
    </row>
    <row r="689" spans="1:29" x14ac:dyDescent="0.35">
      <c r="A689" t="s">
        <v>48</v>
      </c>
      <c r="B689">
        <v>52094</v>
      </c>
      <c r="C689" t="s">
        <v>53</v>
      </c>
      <c r="D689">
        <v>53190</v>
      </c>
      <c r="E689" t="s">
        <v>65</v>
      </c>
      <c r="F689">
        <v>12242</v>
      </c>
      <c r="G689">
        <v>0.78539879958342629</v>
      </c>
      <c r="H689">
        <v>0</v>
      </c>
      <c r="I689">
        <v>0</v>
      </c>
      <c r="J689">
        <v>0.64884359049515816</v>
      </c>
      <c r="K689">
        <v>0</v>
      </c>
      <c r="L689">
        <v>0</v>
      </c>
      <c r="M689">
        <v>0.46692523756191329</v>
      </c>
      <c r="N689">
        <v>0</v>
      </c>
      <c r="O689">
        <v>0</v>
      </c>
      <c r="P689">
        <v>0.61685127438708698</v>
      </c>
      <c r="Q689">
        <v>1.3385330185363959</v>
      </c>
      <c r="R689">
        <v>-15.91688580226362</v>
      </c>
      <c r="S689">
        <v>0.22874836873452781</v>
      </c>
      <c r="T689">
        <v>0.17921174171023721</v>
      </c>
      <c r="U689">
        <v>4.3319235655121711</v>
      </c>
      <c r="V689">
        <v>0.21684688906752619</v>
      </c>
      <c r="W689">
        <v>-10.11846307604967</v>
      </c>
      <c r="X689">
        <v>0.36956603592688769</v>
      </c>
      <c r="Z689" t="s">
        <v>392</v>
      </c>
      <c r="AA689">
        <v>9400</v>
      </c>
      <c r="AB689" t="s">
        <v>3108</v>
      </c>
      <c r="AC689" t="str">
        <f>HYPERLINK("plots/3FT6Y578R01_012_S11P_20251111092011_M5358ACSH101811_RBGEUFRF26/dpll_52094/txpa_53190.png","plot")</f>
        <v>plot</v>
      </c>
    </row>
    <row r="690" spans="1:29" x14ac:dyDescent="0.35">
      <c r="A690" t="s">
        <v>48</v>
      </c>
      <c r="B690">
        <v>52094</v>
      </c>
      <c r="C690" t="s">
        <v>53</v>
      </c>
      <c r="D690">
        <v>53191</v>
      </c>
      <c r="E690" t="s">
        <v>66</v>
      </c>
      <c r="F690">
        <v>12240</v>
      </c>
      <c r="G690">
        <v>0.78876723137524074</v>
      </c>
      <c r="H690">
        <v>0</v>
      </c>
      <c r="I690">
        <v>0</v>
      </c>
      <c r="J690">
        <v>0.65113275437464524</v>
      </c>
      <c r="K690">
        <v>0</v>
      </c>
      <c r="L690">
        <v>0</v>
      </c>
      <c r="M690">
        <v>0.46799255204105789</v>
      </c>
      <c r="N690">
        <v>0</v>
      </c>
      <c r="O690">
        <v>0</v>
      </c>
      <c r="P690">
        <v>0.62215374529136258</v>
      </c>
      <c r="Q690">
        <v>1.3475390688633739</v>
      </c>
      <c r="R690">
        <v>-15.97542185304907</v>
      </c>
      <c r="S690">
        <v>0.22767183158356311</v>
      </c>
      <c r="T690">
        <v>0.17956771659645041</v>
      </c>
      <c r="U690">
        <v>4.3319400696078434</v>
      </c>
      <c r="V690">
        <v>0.21680883535870621</v>
      </c>
      <c r="W690">
        <v>-10.137963365277781</v>
      </c>
      <c r="X690">
        <v>0.37039872410931168</v>
      </c>
      <c r="Z690" t="s">
        <v>392</v>
      </c>
      <c r="AA690">
        <v>9400</v>
      </c>
      <c r="AB690" t="s">
        <v>3109</v>
      </c>
      <c r="AC690" t="str">
        <f>HYPERLINK("plots/3FT6Y578R01_012_S11P_20251111092011_M5358ACSH101811_RBGEUFRF26/dpll_52094/txpa_53191.png","plot")</f>
        <v>plot</v>
      </c>
    </row>
    <row r="691" spans="1:29" x14ac:dyDescent="0.35">
      <c r="A691" t="s">
        <v>48</v>
      </c>
      <c r="B691">
        <v>52094</v>
      </c>
      <c r="C691" t="s">
        <v>53</v>
      </c>
      <c r="D691">
        <v>53192</v>
      </c>
      <c r="E691" t="s">
        <v>67</v>
      </c>
      <c r="F691">
        <v>12240</v>
      </c>
      <c r="G691">
        <v>0.79175702808993453</v>
      </c>
      <c r="H691">
        <v>0</v>
      </c>
      <c r="I691">
        <v>0</v>
      </c>
      <c r="J691">
        <v>0.66169456021135309</v>
      </c>
      <c r="K691">
        <v>0</v>
      </c>
      <c r="L691">
        <v>0</v>
      </c>
      <c r="M691">
        <v>0.47753869956904921</v>
      </c>
      <c r="N691">
        <v>0</v>
      </c>
      <c r="O691">
        <v>0</v>
      </c>
      <c r="P691">
        <v>0.62687919152980542</v>
      </c>
      <c r="Q691">
        <v>1.3491332290283651</v>
      </c>
      <c r="R691">
        <v>-16.01726582638717</v>
      </c>
      <c r="S691">
        <v>0.2256298139343321</v>
      </c>
      <c r="T691">
        <v>0.17715474233836129</v>
      </c>
      <c r="U691">
        <v>4.331890278839869</v>
      </c>
      <c r="V691">
        <v>0.21678367779622049</v>
      </c>
      <c r="W691">
        <v>-10.172968706699351</v>
      </c>
      <c r="X691">
        <v>0.3693937064650073</v>
      </c>
      <c r="Z691" t="s">
        <v>392</v>
      </c>
      <c r="AA691">
        <v>9400</v>
      </c>
      <c r="AB691" t="s">
        <v>3110</v>
      </c>
      <c r="AC691" t="str">
        <f>HYPERLINK("plots/3FT6Y578R01_012_S11P_20251111092011_M5358ACSH101811_RBGEUFRF26/dpll_52094/txpa_53192.png","plot")</f>
        <v>plot</v>
      </c>
    </row>
    <row r="692" spans="1:29" x14ac:dyDescent="0.35">
      <c r="A692" t="s">
        <v>48</v>
      </c>
      <c r="B692">
        <v>52094</v>
      </c>
      <c r="C692" t="s">
        <v>53</v>
      </c>
      <c r="D692">
        <v>53193</v>
      </c>
      <c r="E692" t="s">
        <v>68</v>
      </c>
      <c r="F692">
        <v>12242</v>
      </c>
      <c r="G692">
        <v>0.79067348639430102</v>
      </c>
      <c r="H692">
        <v>0</v>
      </c>
      <c r="I692">
        <v>0</v>
      </c>
      <c r="J692">
        <v>0.6601686791458079</v>
      </c>
      <c r="K692">
        <v>0</v>
      </c>
      <c r="L692">
        <v>0</v>
      </c>
      <c r="M692">
        <v>0.47710946034818902</v>
      </c>
      <c r="N692">
        <v>0</v>
      </c>
      <c r="O692">
        <v>0</v>
      </c>
      <c r="P692">
        <v>0.62516456208691895</v>
      </c>
      <c r="Q692">
        <v>1.3479068219753729</v>
      </c>
      <c r="R692">
        <v>-15.99813087030917</v>
      </c>
      <c r="S692">
        <v>0.22628510126677431</v>
      </c>
      <c r="T692">
        <v>0.17644439677360341</v>
      </c>
      <c r="U692">
        <v>4.331949619669988</v>
      </c>
      <c r="V692">
        <v>0.21681567757630049</v>
      </c>
      <c r="W692">
        <v>-10.15906642550237</v>
      </c>
      <c r="X692">
        <v>0.36961822540558459</v>
      </c>
      <c r="Z692" t="s">
        <v>392</v>
      </c>
      <c r="AA692">
        <v>9400</v>
      </c>
      <c r="AB692" t="s">
        <v>3111</v>
      </c>
      <c r="AC692" t="str">
        <f>HYPERLINK("plots/3FT6Y578R01_012_S11P_20251111092011_M5358ACSH101811_RBGEUFRF26/dpll_52094/txpa_53193.png","plot")</f>
        <v>plot</v>
      </c>
    </row>
    <row r="693" spans="1:29" x14ac:dyDescent="0.35">
      <c r="A693" t="s">
        <v>48</v>
      </c>
      <c r="B693">
        <v>52094</v>
      </c>
      <c r="C693" t="s">
        <v>53</v>
      </c>
      <c r="D693">
        <v>53194</v>
      </c>
      <c r="E693" t="s">
        <v>69</v>
      </c>
      <c r="F693">
        <v>12239</v>
      </c>
      <c r="G693">
        <v>0.78519306999063099</v>
      </c>
      <c r="H693">
        <v>0</v>
      </c>
      <c r="I693">
        <v>0</v>
      </c>
      <c r="J693">
        <v>0.64827123188710722</v>
      </c>
      <c r="K693">
        <v>0</v>
      </c>
      <c r="L693">
        <v>0</v>
      </c>
      <c r="M693">
        <v>0.46722608426876389</v>
      </c>
      <c r="N693">
        <v>0</v>
      </c>
      <c r="O693">
        <v>0</v>
      </c>
      <c r="P693">
        <v>0.61652815716131193</v>
      </c>
      <c r="Q693">
        <v>1.345068024934241</v>
      </c>
      <c r="R693">
        <v>-16.039697697725551</v>
      </c>
      <c r="S693">
        <v>0.22999472720103001</v>
      </c>
      <c r="T693">
        <v>0.179780334431415</v>
      </c>
      <c r="U693">
        <v>4.3319942728981129</v>
      </c>
      <c r="V693">
        <v>0.21682087438449071</v>
      </c>
      <c r="W693">
        <v>-10.21287071705205</v>
      </c>
      <c r="X693">
        <v>0.37142307595295232</v>
      </c>
      <c r="Z693" t="s">
        <v>392</v>
      </c>
      <c r="AA693">
        <v>9400</v>
      </c>
      <c r="AB693" t="s">
        <v>3112</v>
      </c>
      <c r="AC693" t="str">
        <f>HYPERLINK("plots/3FT6Y578R01_012_S11P_20251111092011_M5358ACSH101811_RBGEUFRF26/dpll_52094/txpa_53194.png","plot")</f>
        <v>plot</v>
      </c>
    </row>
    <row r="694" spans="1:29" x14ac:dyDescent="0.35">
      <c r="A694" t="s">
        <v>48</v>
      </c>
      <c r="B694">
        <v>52094</v>
      </c>
      <c r="C694" t="s">
        <v>53</v>
      </c>
      <c r="D694">
        <v>53195</v>
      </c>
      <c r="E694" t="s">
        <v>70</v>
      </c>
      <c r="F694">
        <v>12242</v>
      </c>
      <c r="G694">
        <v>0.80656444654933679</v>
      </c>
      <c r="H694">
        <v>0</v>
      </c>
      <c r="I694">
        <v>0</v>
      </c>
      <c r="J694">
        <v>0.68657165745098281</v>
      </c>
      <c r="K694">
        <v>0</v>
      </c>
      <c r="L694">
        <v>0</v>
      </c>
      <c r="M694">
        <v>0.49644379040788361</v>
      </c>
      <c r="N694">
        <v>0</v>
      </c>
      <c r="O694">
        <v>0</v>
      </c>
      <c r="P694">
        <v>0.65054620643743799</v>
      </c>
      <c r="Q694">
        <v>1.2201580108208121</v>
      </c>
      <c r="R694">
        <v>-9.28123289756725</v>
      </c>
      <c r="S694">
        <v>0.1938947002654475</v>
      </c>
      <c r="T694">
        <v>0.14801928228353961</v>
      </c>
      <c r="U694">
        <v>4.3319436473615429</v>
      </c>
      <c r="V694">
        <v>0.21682621882247419</v>
      </c>
      <c r="W694">
        <v>-3.995577153814736</v>
      </c>
      <c r="X694">
        <v>0.32801129405602331</v>
      </c>
      <c r="Z694" t="s">
        <v>392</v>
      </c>
      <c r="AA694">
        <v>9400</v>
      </c>
      <c r="AB694" t="s">
        <v>3113</v>
      </c>
      <c r="AC694" t="str">
        <f>HYPERLINK("plots/3FT6Y578R01_012_S11P_20251111092011_M5358ACSH101811_RBGEUFRF26/dpll_52094/txpa_53195.png","plot")</f>
        <v>plot</v>
      </c>
    </row>
    <row r="695" spans="1:29" x14ac:dyDescent="0.35">
      <c r="A695" t="s">
        <v>48</v>
      </c>
      <c r="B695">
        <v>52094</v>
      </c>
      <c r="C695" t="s">
        <v>53</v>
      </c>
      <c r="D695">
        <v>53196</v>
      </c>
      <c r="E695" t="s">
        <v>71</v>
      </c>
      <c r="F695">
        <v>12240</v>
      </c>
      <c r="G695">
        <v>0.82007837753230173</v>
      </c>
      <c r="H695">
        <v>0</v>
      </c>
      <c r="I695">
        <v>0</v>
      </c>
      <c r="J695">
        <v>0.69881095629469514</v>
      </c>
      <c r="K695">
        <v>0</v>
      </c>
      <c r="L695">
        <v>0</v>
      </c>
      <c r="M695">
        <v>0.50938335370619781</v>
      </c>
      <c r="N695">
        <v>0</v>
      </c>
      <c r="O695">
        <v>0</v>
      </c>
      <c r="P695">
        <v>0.67252854529601236</v>
      </c>
      <c r="Q695">
        <v>1.2316477935394341</v>
      </c>
      <c r="R695">
        <v>-9.2906315086534228</v>
      </c>
      <c r="S695">
        <v>0.18632999317232579</v>
      </c>
      <c r="T695">
        <v>0.1436919594971533</v>
      </c>
      <c r="U695">
        <v>4.3319594375817001</v>
      </c>
      <c r="V695">
        <v>0.21681164930720501</v>
      </c>
      <c r="W695">
        <v>-3.9551832256535948</v>
      </c>
      <c r="X695">
        <v>0.32562203418458779</v>
      </c>
      <c r="Z695" t="s">
        <v>392</v>
      </c>
      <c r="AA695">
        <v>9400</v>
      </c>
      <c r="AB695" t="s">
        <v>3114</v>
      </c>
      <c r="AC695" t="str">
        <f>HYPERLINK("plots/3FT6Y578R01_012_S11P_20251111092011_M5358ACSH101811_RBGEUFRF26/dpll_52094/txpa_53196.png","plot")</f>
        <v>plot</v>
      </c>
    </row>
    <row r="696" spans="1:29" x14ac:dyDescent="0.35">
      <c r="A696" t="s">
        <v>48</v>
      </c>
      <c r="B696">
        <v>52094</v>
      </c>
      <c r="C696" t="s">
        <v>53</v>
      </c>
      <c r="D696">
        <v>53197</v>
      </c>
      <c r="E696" t="s">
        <v>72</v>
      </c>
      <c r="F696">
        <v>12243</v>
      </c>
      <c r="G696">
        <v>0.81628729391426391</v>
      </c>
      <c r="H696">
        <v>0</v>
      </c>
      <c r="I696">
        <v>0</v>
      </c>
      <c r="J696">
        <v>0.69391203074021879</v>
      </c>
      <c r="K696">
        <v>0</v>
      </c>
      <c r="L696">
        <v>0</v>
      </c>
      <c r="M696">
        <v>0.50447850144934925</v>
      </c>
      <c r="N696">
        <v>0</v>
      </c>
      <c r="O696">
        <v>0</v>
      </c>
      <c r="P696">
        <v>0.6663249462058719</v>
      </c>
      <c r="Q696">
        <v>1.2166948565839659</v>
      </c>
      <c r="R696">
        <v>-9.2134398023827</v>
      </c>
      <c r="S696">
        <v>0.1866904127476057</v>
      </c>
      <c r="T696">
        <v>0.143168836335483</v>
      </c>
      <c r="U696">
        <v>4.3319153779302466</v>
      </c>
      <c r="V696">
        <v>0.21683992469153379</v>
      </c>
      <c r="W696">
        <v>-3.9428206428979831</v>
      </c>
      <c r="X696">
        <v>0.32320486064303983</v>
      </c>
      <c r="Z696" t="s">
        <v>392</v>
      </c>
      <c r="AA696">
        <v>9400</v>
      </c>
      <c r="AB696" t="s">
        <v>3115</v>
      </c>
      <c r="AC696" t="str">
        <f>HYPERLINK("plots/3FT6Y578R01_012_S11P_20251111092011_M5358ACSH101811_RBGEUFRF26/dpll_52094/txpa_53197.png","plot")</f>
        <v>plot</v>
      </c>
    </row>
    <row r="697" spans="1:29" x14ac:dyDescent="0.35">
      <c r="A697" t="s">
        <v>48</v>
      </c>
      <c r="B697">
        <v>52094</v>
      </c>
      <c r="C697" t="s">
        <v>53</v>
      </c>
      <c r="D697">
        <v>53198</v>
      </c>
      <c r="E697" t="s">
        <v>73</v>
      </c>
      <c r="F697">
        <v>12242</v>
      </c>
      <c r="G697">
        <v>0.82585653950066862</v>
      </c>
      <c r="H697">
        <v>0</v>
      </c>
      <c r="I697">
        <v>0</v>
      </c>
      <c r="J697">
        <v>0.70019683623083051</v>
      </c>
      <c r="K697">
        <v>0</v>
      </c>
      <c r="L697">
        <v>0</v>
      </c>
      <c r="M697">
        <v>0.51074208159101908</v>
      </c>
      <c r="N697">
        <v>0</v>
      </c>
      <c r="O697">
        <v>0</v>
      </c>
      <c r="P697">
        <v>0.68203902383601944</v>
      </c>
      <c r="Q697">
        <v>1.233461506004716</v>
      </c>
      <c r="R697">
        <v>-9.2512477440533356</v>
      </c>
      <c r="S697">
        <v>0.1826179051999223</v>
      </c>
      <c r="T697">
        <v>0.1417482150357543</v>
      </c>
      <c r="U697">
        <v>4.3319235655121711</v>
      </c>
      <c r="V697">
        <v>0.21684688906752619</v>
      </c>
      <c r="W697">
        <v>-3.9079867790393732</v>
      </c>
      <c r="X697">
        <v>0.32387258266839952</v>
      </c>
      <c r="Z697" t="s">
        <v>392</v>
      </c>
      <c r="AA697">
        <v>9400</v>
      </c>
      <c r="AB697" t="s">
        <v>3116</v>
      </c>
      <c r="AC697" t="str">
        <f>HYPERLINK("plots/3FT6Y578R01_012_S11P_20251111092011_M5358ACSH101811_RBGEUFRF26/dpll_52094/txpa_53198.png","plot")</f>
        <v>plot</v>
      </c>
    </row>
    <row r="698" spans="1:29" x14ac:dyDescent="0.35">
      <c r="A698" t="s">
        <v>48</v>
      </c>
      <c r="B698">
        <v>52094</v>
      </c>
      <c r="C698" t="s">
        <v>53</v>
      </c>
      <c r="D698">
        <v>53199</v>
      </c>
      <c r="E698" t="s">
        <v>74</v>
      </c>
      <c r="F698">
        <v>12240</v>
      </c>
      <c r="G698">
        <v>0.82689153962341322</v>
      </c>
      <c r="H698">
        <v>0</v>
      </c>
      <c r="I698">
        <v>0</v>
      </c>
      <c r="J698">
        <v>0.69984568038173256</v>
      </c>
      <c r="K698">
        <v>0</v>
      </c>
      <c r="L698">
        <v>0</v>
      </c>
      <c r="M698">
        <v>0.50977883615161823</v>
      </c>
      <c r="N698">
        <v>0</v>
      </c>
      <c r="O698">
        <v>0</v>
      </c>
      <c r="P698">
        <v>0.68374961830077874</v>
      </c>
      <c r="Q698">
        <v>1.2463885041708589</v>
      </c>
      <c r="R698">
        <v>-9.3282889407712304</v>
      </c>
      <c r="S698">
        <v>0.18377213060541289</v>
      </c>
      <c r="T698">
        <v>0.1429075253189297</v>
      </c>
      <c r="U698">
        <v>4.3319400696078434</v>
      </c>
      <c r="V698">
        <v>0.21680883535870621</v>
      </c>
      <c r="W698">
        <v>-3.9290086372549018</v>
      </c>
      <c r="X698">
        <v>0.32679986073727679</v>
      </c>
      <c r="Z698" t="s">
        <v>392</v>
      </c>
      <c r="AA698">
        <v>9400</v>
      </c>
      <c r="AB698" t="s">
        <v>3117</v>
      </c>
      <c r="AC698" t="str">
        <f>HYPERLINK("plots/3FT6Y578R01_012_S11P_20251111092011_M5358ACSH101811_RBGEUFRF26/dpll_52094/txpa_53199.png","plot")</f>
        <v>plot</v>
      </c>
    </row>
    <row r="699" spans="1:29" x14ac:dyDescent="0.35">
      <c r="A699" t="s">
        <v>48</v>
      </c>
      <c r="B699">
        <v>52094</v>
      </c>
      <c r="C699" t="s">
        <v>53</v>
      </c>
      <c r="D699">
        <v>53200</v>
      </c>
      <c r="E699" t="s">
        <v>75</v>
      </c>
      <c r="F699">
        <v>12240</v>
      </c>
      <c r="G699">
        <v>0.82976338212834944</v>
      </c>
      <c r="H699">
        <v>0</v>
      </c>
      <c r="I699">
        <v>0</v>
      </c>
      <c r="J699">
        <v>0.70884811678377535</v>
      </c>
      <c r="K699">
        <v>0</v>
      </c>
      <c r="L699">
        <v>0</v>
      </c>
      <c r="M699">
        <v>0.51802875058010545</v>
      </c>
      <c r="N699">
        <v>0</v>
      </c>
      <c r="O699">
        <v>0</v>
      </c>
      <c r="P699">
        <v>0.68850727032107728</v>
      </c>
      <c r="Q699">
        <v>1.2485400679812391</v>
      </c>
      <c r="R699">
        <v>-9.3554586628051624</v>
      </c>
      <c r="S699">
        <v>0.18204594710357211</v>
      </c>
      <c r="T699">
        <v>0.1415987750774142</v>
      </c>
      <c r="U699">
        <v>4.331890278839869</v>
      </c>
      <c r="V699">
        <v>0.21678367779622049</v>
      </c>
      <c r="W699">
        <v>-3.9469200795751629</v>
      </c>
      <c r="X699">
        <v>0.32619312160855229</v>
      </c>
      <c r="Z699" t="s">
        <v>392</v>
      </c>
      <c r="AA699">
        <v>9400</v>
      </c>
      <c r="AB699" t="s">
        <v>3118</v>
      </c>
      <c r="AC699" t="str">
        <f>HYPERLINK("plots/3FT6Y578R01_012_S11P_20251111092011_M5358ACSH101811_RBGEUFRF26/dpll_52094/txpa_53200.png","plot")</f>
        <v>plot</v>
      </c>
    </row>
    <row r="700" spans="1:29" x14ac:dyDescent="0.35">
      <c r="A700" t="s">
        <v>48</v>
      </c>
      <c r="B700">
        <v>52094</v>
      </c>
      <c r="C700" t="s">
        <v>53</v>
      </c>
      <c r="D700">
        <v>53201</v>
      </c>
      <c r="E700" t="s">
        <v>76</v>
      </c>
      <c r="F700">
        <v>12241</v>
      </c>
      <c r="G700">
        <v>0.82905011327516465</v>
      </c>
      <c r="H700">
        <v>0</v>
      </c>
      <c r="I700">
        <v>0</v>
      </c>
      <c r="J700">
        <v>0.70520413177866936</v>
      </c>
      <c r="K700">
        <v>0</v>
      </c>
      <c r="L700">
        <v>0</v>
      </c>
      <c r="M700">
        <v>0.51565509377072738</v>
      </c>
      <c r="N700">
        <v>0</v>
      </c>
      <c r="O700">
        <v>0</v>
      </c>
      <c r="P700">
        <v>0.68732409032156339</v>
      </c>
      <c r="Q700">
        <v>1.2465207663086419</v>
      </c>
      <c r="R700">
        <v>-9.3359344411127552</v>
      </c>
      <c r="S700">
        <v>0.1822717122912744</v>
      </c>
      <c r="T700">
        <v>0.1409261145954642</v>
      </c>
      <c r="U700">
        <v>4.3319753201535818</v>
      </c>
      <c r="V700">
        <v>0.21680588545298299</v>
      </c>
      <c r="W700">
        <v>-3.9360372454047869</v>
      </c>
      <c r="X700">
        <v>0.32597913461158651</v>
      </c>
      <c r="Z700" t="s">
        <v>392</v>
      </c>
      <c r="AA700">
        <v>9400</v>
      </c>
      <c r="AB700" t="s">
        <v>3119</v>
      </c>
      <c r="AC700" t="str">
        <f>HYPERLINK("plots/3FT6Y578R01_012_S11P_20251111092011_M5358ACSH101811_RBGEUFRF26/dpll_52094/txpa_53201.png","plot")</f>
        <v>plot</v>
      </c>
    </row>
    <row r="701" spans="1:29" x14ac:dyDescent="0.35">
      <c r="A701" t="s">
        <v>48</v>
      </c>
      <c r="B701">
        <v>52094</v>
      </c>
      <c r="C701" t="s">
        <v>53</v>
      </c>
      <c r="D701">
        <v>53202</v>
      </c>
      <c r="E701" t="s">
        <v>77</v>
      </c>
      <c r="F701">
        <v>12237</v>
      </c>
      <c r="G701">
        <v>0.82448558537632399</v>
      </c>
      <c r="H701">
        <v>0</v>
      </c>
      <c r="I701">
        <v>0</v>
      </c>
      <c r="J701">
        <v>0.6964722698969501</v>
      </c>
      <c r="K701">
        <v>0</v>
      </c>
      <c r="L701">
        <v>0</v>
      </c>
      <c r="M701">
        <v>0.50782198265119105</v>
      </c>
      <c r="N701">
        <v>0</v>
      </c>
      <c r="O701">
        <v>0</v>
      </c>
      <c r="P701">
        <v>0.67977648049333961</v>
      </c>
      <c r="Q701">
        <v>1.2379334465856759</v>
      </c>
      <c r="R701">
        <v>-9.3262872954101663</v>
      </c>
      <c r="S701">
        <v>0.1842021144364801</v>
      </c>
      <c r="T701">
        <v>0.14279855735569269</v>
      </c>
      <c r="U701">
        <v>4.3320421161232332</v>
      </c>
      <c r="V701">
        <v>0.21680610839409331</v>
      </c>
      <c r="W701">
        <v>-3.9635074678434261</v>
      </c>
      <c r="X701">
        <v>0.32552604650161882</v>
      </c>
      <c r="Z701" t="s">
        <v>392</v>
      </c>
      <c r="AA701">
        <v>9400</v>
      </c>
      <c r="AB701" t="s">
        <v>3120</v>
      </c>
      <c r="AC701" t="str">
        <f>HYPERLINK("plots/3FT6Y578R01_012_S11P_20251111092011_M5358ACSH101811_RBGEUFRF26/dpll_52094/txpa_53202.png","plot")</f>
        <v>plot</v>
      </c>
    </row>
    <row r="702" spans="1:29" x14ac:dyDescent="0.35">
      <c r="A702" t="s">
        <v>48</v>
      </c>
      <c r="B702">
        <v>52094</v>
      </c>
      <c r="C702" t="s">
        <v>53</v>
      </c>
      <c r="D702">
        <v>53203</v>
      </c>
      <c r="E702" t="s">
        <v>78</v>
      </c>
      <c r="F702">
        <v>12241</v>
      </c>
      <c r="G702">
        <v>0.81880183111123672</v>
      </c>
      <c r="H702">
        <v>0</v>
      </c>
      <c r="I702">
        <v>0</v>
      </c>
      <c r="J702">
        <v>0.70467685466726659</v>
      </c>
      <c r="K702">
        <v>0</v>
      </c>
      <c r="L702">
        <v>0</v>
      </c>
      <c r="M702">
        <v>0.51237958324776833</v>
      </c>
      <c r="N702">
        <v>0</v>
      </c>
      <c r="O702">
        <v>0</v>
      </c>
      <c r="P702">
        <v>0.67043643863111424</v>
      </c>
      <c r="Q702">
        <v>1.2696435249592191</v>
      </c>
      <c r="R702">
        <v>-6.5378811266421106</v>
      </c>
      <c r="S702">
        <v>0.192997492793651</v>
      </c>
      <c r="T702">
        <v>0.1462255034470035</v>
      </c>
      <c r="U702">
        <v>4.331967701903439</v>
      </c>
      <c r="V702">
        <v>0.21681874017982869</v>
      </c>
      <c r="W702">
        <v>-1.037826383587942</v>
      </c>
      <c r="X702">
        <v>0.3362016291359966</v>
      </c>
      <c r="Z702" t="s">
        <v>392</v>
      </c>
      <c r="AA702">
        <v>9400</v>
      </c>
      <c r="AB702" t="s">
        <v>3121</v>
      </c>
      <c r="AC702" t="str">
        <f>HYPERLINK("plots/3FT6Y578R01_012_S11P_20251111092011_M5358ACSH101811_RBGEUFRF26/dpll_52094/txpa_53203.png","plot")</f>
        <v>plot</v>
      </c>
    </row>
    <row r="703" spans="1:29" x14ac:dyDescent="0.35">
      <c r="A703" t="s">
        <v>48</v>
      </c>
      <c r="B703">
        <v>52094</v>
      </c>
      <c r="C703" t="s">
        <v>53</v>
      </c>
      <c r="D703">
        <v>53204</v>
      </c>
      <c r="E703" t="s">
        <v>79</v>
      </c>
      <c r="F703">
        <v>12239</v>
      </c>
      <c r="G703">
        <v>0.83190283577122892</v>
      </c>
      <c r="H703">
        <v>0</v>
      </c>
      <c r="I703">
        <v>0</v>
      </c>
      <c r="J703">
        <v>0.71653549556509621</v>
      </c>
      <c r="K703">
        <v>0</v>
      </c>
      <c r="L703">
        <v>0</v>
      </c>
      <c r="M703">
        <v>0.52503711933070241</v>
      </c>
      <c r="N703">
        <v>0</v>
      </c>
      <c r="O703">
        <v>0</v>
      </c>
      <c r="P703">
        <v>0.69206232816421231</v>
      </c>
      <c r="Q703">
        <v>1.284737940156139</v>
      </c>
      <c r="R703">
        <v>-6.5674802161631574</v>
      </c>
      <c r="S703">
        <v>0.1857751608605368</v>
      </c>
      <c r="T703">
        <v>0.14240935722781339</v>
      </c>
      <c r="U703">
        <v>4.3319941963395703</v>
      </c>
      <c r="V703">
        <v>0.21678639981202771</v>
      </c>
      <c r="W703">
        <v>-1.0020029155895089</v>
      </c>
      <c r="X703">
        <v>0.33479115681841531</v>
      </c>
      <c r="Z703" t="s">
        <v>392</v>
      </c>
      <c r="AA703">
        <v>9400</v>
      </c>
      <c r="AB703" t="s">
        <v>3122</v>
      </c>
      <c r="AC703" t="str">
        <f>HYPERLINK("plots/3FT6Y578R01_012_S11P_20251111092011_M5358ACSH101811_RBGEUFRF26/dpll_52094/txpa_53204.png","plot")</f>
        <v>plot</v>
      </c>
    </row>
    <row r="704" spans="1:29" x14ac:dyDescent="0.35">
      <c r="A704" t="s">
        <v>48</v>
      </c>
      <c r="B704">
        <v>52094</v>
      </c>
      <c r="C704" t="s">
        <v>53</v>
      </c>
      <c r="D704">
        <v>53205</v>
      </c>
      <c r="E704" t="s">
        <v>80</v>
      </c>
      <c r="F704">
        <v>12242</v>
      </c>
      <c r="G704">
        <v>0.82850602113806449</v>
      </c>
      <c r="H704">
        <v>0</v>
      </c>
      <c r="I704">
        <v>0</v>
      </c>
      <c r="J704">
        <v>0.71044258542571526</v>
      </c>
      <c r="K704">
        <v>0</v>
      </c>
      <c r="L704">
        <v>0</v>
      </c>
      <c r="M704">
        <v>0.51923866272349128</v>
      </c>
      <c r="N704">
        <v>0</v>
      </c>
      <c r="O704">
        <v>0</v>
      </c>
      <c r="P704">
        <v>0.68642222706202694</v>
      </c>
      <c r="Q704">
        <v>1.2690449475565</v>
      </c>
      <c r="R704">
        <v>-6.4884870651703999</v>
      </c>
      <c r="S704">
        <v>0.18599017755210381</v>
      </c>
      <c r="T704">
        <v>0.14189258318760381</v>
      </c>
      <c r="U704">
        <v>4.3319229125142948</v>
      </c>
      <c r="V704">
        <v>0.21684717891130981</v>
      </c>
      <c r="W704">
        <v>-0.99108217983989544</v>
      </c>
      <c r="X704">
        <v>0.3321506540305757</v>
      </c>
      <c r="Z704" t="s">
        <v>392</v>
      </c>
      <c r="AA704">
        <v>9400</v>
      </c>
      <c r="AB704" t="s">
        <v>3123</v>
      </c>
      <c r="AC704" t="str">
        <f>HYPERLINK("plots/3FT6Y578R01_012_S11P_20251111092011_M5358ACSH101811_RBGEUFRF26/dpll_52094/txpa_53205.png","plot")</f>
        <v>plot</v>
      </c>
    </row>
    <row r="705" spans="1:29" x14ac:dyDescent="0.35">
      <c r="A705" t="s">
        <v>48</v>
      </c>
      <c r="B705">
        <v>52094</v>
      </c>
      <c r="C705" t="s">
        <v>53</v>
      </c>
      <c r="D705">
        <v>53206</v>
      </c>
      <c r="E705" t="s">
        <v>81</v>
      </c>
      <c r="F705">
        <v>12241</v>
      </c>
      <c r="G705">
        <v>0.83769344425075898</v>
      </c>
      <c r="H705">
        <v>0</v>
      </c>
      <c r="I705">
        <v>0</v>
      </c>
      <c r="J705">
        <v>0.71848172079522665</v>
      </c>
      <c r="K705">
        <v>0</v>
      </c>
      <c r="L705">
        <v>0</v>
      </c>
      <c r="M705">
        <v>0.52675186666557705</v>
      </c>
      <c r="N705">
        <v>0</v>
      </c>
      <c r="O705">
        <v>0</v>
      </c>
      <c r="P705">
        <v>0.70173030654069946</v>
      </c>
      <c r="Q705">
        <v>1.286519247702524</v>
      </c>
      <c r="R705">
        <v>-6.533474348134197</v>
      </c>
      <c r="S705">
        <v>0.18185969597644611</v>
      </c>
      <c r="T705">
        <v>0.1403434219587841</v>
      </c>
      <c r="U705">
        <v>4.331954029164284</v>
      </c>
      <c r="V705">
        <v>0.21682954847098279</v>
      </c>
      <c r="W705">
        <v>-0.96033210945184222</v>
      </c>
      <c r="X705">
        <v>0.33300414309445558</v>
      </c>
      <c r="Z705" t="s">
        <v>392</v>
      </c>
      <c r="AA705">
        <v>9400</v>
      </c>
      <c r="AB705" t="s">
        <v>3124</v>
      </c>
      <c r="AC705" t="str">
        <f>HYPERLINK("plots/3FT6Y578R01_012_S11P_20251111092011_M5358ACSH101811_RBGEUFRF26/dpll_52094/txpa_53206.png","plot")</f>
        <v>plot</v>
      </c>
    </row>
    <row r="706" spans="1:29" x14ac:dyDescent="0.35">
      <c r="A706" t="s">
        <v>48</v>
      </c>
      <c r="B706">
        <v>52094</v>
      </c>
      <c r="C706" t="s">
        <v>53</v>
      </c>
      <c r="D706">
        <v>53207</v>
      </c>
      <c r="E706" t="s">
        <v>82</v>
      </c>
      <c r="F706">
        <v>12240</v>
      </c>
      <c r="G706">
        <v>0.83803919132724647</v>
      </c>
      <c r="H706">
        <v>0</v>
      </c>
      <c r="I706">
        <v>0</v>
      </c>
      <c r="J706">
        <v>0.71750640206972682</v>
      </c>
      <c r="K706">
        <v>0</v>
      </c>
      <c r="L706">
        <v>0</v>
      </c>
      <c r="M706">
        <v>0.52544326308502909</v>
      </c>
      <c r="N706">
        <v>0</v>
      </c>
      <c r="O706">
        <v>0</v>
      </c>
      <c r="P706">
        <v>0.70230968620042522</v>
      </c>
      <c r="Q706">
        <v>1.2972809627324819</v>
      </c>
      <c r="R706">
        <v>-6.6008640348989696</v>
      </c>
      <c r="S706">
        <v>0.18310967964198011</v>
      </c>
      <c r="T706">
        <v>0.14170983903168891</v>
      </c>
      <c r="U706">
        <v>4.3319400696078434</v>
      </c>
      <c r="V706">
        <v>0.21680883535870621</v>
      </c>
      <c r="W706">
        <v>-0.98112065089869283</v>
      </c>
      <c r="X706">
        <v>0.33561911850160769</v>
      </c>
      <c r="Z706" t="s">
        <v>392</v>
      </c>
      <c r="AA706">
        <v>9400</v>
      </c>
      <c r="AB706" t="s">
        <v>3125</v>
      </c>
      <c r="AC706" t="str">
        <f>HYPERLINK("plots/3FT6Y578R01_012_S11P_20251111092011_M5358ACSH101811_RBGEUFRF26/dpll_52094/txpa_53207.png","plot")</f>
        <v>plot</v>
      </c>
    </row>
    <row r="707" spans="1:29" x14ac:dyDescent="0.35">
      <c r="A707" t="s">
        <v>48</v>
      </c>
      <c r="B707">
        <v>52094</v>
      </c>
      <c r="C707" t="s">
        <v>53</v>
      </c>
      <c r="D707">
        <v>53208</v>
      </c>
      <c r="E707" t="s">
        <v>83</v>
      </c>
      <c r="F707">
        <v>12240</v>
      </c>
      <c r="G707">
        <v>0.84145618424687718</v>
      </c>
      <c r="H707">
        <v>0</v>
      </c>
      <c r="I707">
        <v>0</v>
      </c>
      <c r="J707">
        <v>0.72707306926318338</v>
      </c>
      <c r="K707">
        <v>0</v>
      </c>
      <c r="L707">
        <v>0</v>
      </c>
      <c r="M707">
        <v>0.53437375772750506</v>
      </c>
      <c r="N707">
        <v>0</v>
      </c>
      <c r="O707">
        <v>0</v>
      </c>
      <c r="P707">
        <v>0.7080485100073145</v>
      </c>
      <c r="Q707">
        <v>1.3027514497582251</v>
      </c>
      <c r="R707">
        <v>-6.6377507735257302</v>
      </c>
      <c r="S707">
        <v>0.1813402645578869</v>
      </c>
      <c r="T707">
        <v>0.14024905089130671</v>
      </c>
      <c r="U707">
        <v>4.331890278839869</v>
      </c>
      <c r="V707">
        <v>0.21678367779622049</v>
      </c>
      <c r="W707">
        <v>-0.99437443257352942</v>
      </c>
      <c r="X707">
        <v>0.3356268048415551</v>
      </c>
      <c r="Z707" t="s">
        <v>392</v>
      </c>
      <c r="AA707">
        <v>9400</v>
      </c>
      <c r="AB707" t="s">
        <v>3126</v>
      </c>
      <c r="AC707" t="str">
        <f>HYPERLINK("plots/3FT6Y578R01_012_S11P_20251111092011_M5358ACSH101811_RBGEUFRF26/dpll_52094/txpa_53208.png","plot")</f>
        <v>plot</v>
      </c>
    </row>
    <row r="708" spans="1:29" x14ac:dyDescent="0.35">
      <c r="A708" t="s">
        <v>48</v>
      </c>
      <c r="B708">
        <v>52094</v>
      </c>
      <c r="C708" t="s">
        <v>53</v>
      </c>
      <c r="D708">
        <v>53209</v>
      </c>
      <c r="E708" t="s">
        <v>84</v>
      </c>
      <c r="F708">
        <v>12241</v>
      </c>
      <c r="G708">
        <v>0.84011516212018111</v>
      </c>
      <c r="H708">
        <v>0</v>
      </c>
      <c r="I708">
        <v>0</v>
      </c>
      <c r="J708">
        <v>0.72265666936142903</v>
      </c>
      <c r="K708">
        <v>0</v>
      </c>
      <c r="L708">
        <v>0</v>
      </c>
      <c r="M708">
        <v>0.53102602049174541</v>
      </c>
      <c r="N708">
        <v>0</v>
      </c>
      <c r="O708">
        <v>0</v>
      </c>
      <c r="P708">
        <v>0.70579348562421818</v>
      </c>
      <c r="Q708">
        <v>1.2987954349818751</v>
      </c>
      <c r="R708">
        <v>-6.6104546863549052</v>
      </c>
      <c r="S708">
        <v>0.1817947764891846</v>
      </c>
      <c r="T708">
        <v>0.13995117305925731</v>
      </c>
      <c r="U708">
        <v>4.3319753201535818</v>
      </c>
      <c r="V708">
        <v>0.21680588545298299</v>
      </c>
      <c r="W708">
        <v>-0.98410491608528716</v>
      </c>
      <c r="X708">
        <v>0.33517606513957388</v>
      </c>
      <c r="Z708" t="s">
        <v>392</v>
      </c>
      <c r="AA708">
        <v>9400</v>
      </c>
      <c r="AB708" t="s">
        <v>3127</v>
      </c>
      <c r="AC708" t="str">
        <f>HYPERLINK("plots/3FT6Y578R01_012_S11P_20251111092011_M5358ACSH101811_RBGEUFRF26/dpll_52094/txpa_53209.png","plot")</f>
        <v>plot</v>
      </c>
    </row>
    <row r="709" spans="1:29" x14ac:dyDescent="0.35">
      <c r="A709" t="s">
        <v>48</v>
      </c>
      <c r="B709">
        <v>52094</v>
      </c>
      <c r="C709" t="s">
        <v>53</v>
      </c>
      <c r="D709">
        <v>53210</v>
      </c>
      <c r="E709" t="s">
        <v>85</v>
      </c>
      <c r="F709">
        <v>12235</v>
      </c>
      <c r="G709">
        <v>0.83603795672212655</v>
      </c>
      <c r="H709">
        <v>0</v>
      </c>
      <c r="I709">
        <v>0</v>
      </c>
      <c r="J709">
        <v>0.71331315363121861</v>
      </c>
      <c r="K709">
        <v>0</v>
      </c>
      <c r="L709">
        <v>0</v>
      </c>
      <c r="M709">
        <v>0.52288970593928219</v>
      </c>
      <c r="N709">
        <v>0</v>
      </c>
      <c r="O709">
        <v>0</v>
      </c>
      <c r="P709">
        <v>0.69895946508010831</v>
      </c>
      <c r="Q709">
        <v>1.285676551592696</v>
      </c>
      <c r="R709">
        <v>-6.5753013540972471</v>
      </c>
      <c r="S709">
        <v>0.18291676803155471</v>
      </c>
      <c r="T709">
        <v>0.14128202332096609</v>
      </c>
      <c r="U709">
        <v>4.3320857962402943</v>
      </c>
      <c r="V709">
        <v>0.21679689176247041</v>
      </c>
      <c r="W709">
        <v>-1.005640226383326</v>
      </c>
      <c r="X709">
        <v>0.33339476749358798</v>
      </c>
      <c r="Z709" t="s">
        <v>392</v>
      </c>
      <c r="AA709">
        <v>9400</v>
      </c>
      <c r="AB709" t="s">
        <v>3128</v>
      </c>
      <c r="AC709" t="str">
        <f>HYPERLINK("plots/3FT6Y578R01_012_S11P_20251111092011_M5358ACSH101811_RBGEUFRF26/dpll_52094/txpa_53210.png","plot")</f>
        <v>plot</v>
      </c>
    </row>
    <row r="710" spans="1:29" x14ac:dyDescent="0.35">
      <c r="A710" t="s">
        <v>48</v>
      </c>
      <c r="B710">
        <v>52094</v>
      </c>
      <c r="C710" t="s">
        <v>53</v>
      </c>
      <c r="D710">
        <v>53211</v>
      </c>
      <c r="E710" t="s">
        <v>86</v>
      </c>
      <c r="F710">
        <v>12238</v>
      </c>
      <c r="G710">
        <v>0.83507750396059643</v>
      </c>
      <c r="H710">
        <v>0</v>
      </c>
      <c r="I710">
        <v>0</v>
      </c>
      <c r="J710">
        <v>0.72668062097428521</v>
      </c>
      <c r="K710">
        <v>0</v>
      </c>
      <c r="L710">
        <v>0</v>
      </c>
      <c r="M710">
        <v>0.53247884998810824</v>
      </c>
      <c r="N710">
        <v>0</v>
      </c>
      <c r="O710">
        <v>0</v>
      </c>
      <c r="P710">
        <v>0.69735443762105997</v>
      </c>
      <c r="Q710">
        <v>1.4352016826705569</v>
      </c>
      <c r="R710">
        <v>-3.9157479553671308</v>
      </c>
      <c r="S710">
        <v>0.2049398529720759</v>
      </c>
      <c r="T710">
        <v>0.1540225184271786</v>
      </c>
      <c r="U710">
        <v>4.3320586041836906</v>
      </c>
      <c r="V710">
        <v>0.21676584801412349</v>
      </c>
      <c r="W710">
        <v>2.3016298427847679</v>
      </c>
      <c r="X710">
        <v>0.37254351642797912</v>
      </c>
      <c r="Z710" t="s">
        <v>392</v>
      </c>
      <c r="AA710">
        <v>9400</v>
      </c>
      <c r="AB710" t="s">
        <v>3129</v>
      </c>
      <c r="AC710" t="str">
        <f>HYPERLINK("plots/3FT6Y578R01_012_S11P_20251111092011_M5358ACSH101811_RBGEUFRF26/dpll_52094/txpa_53211.png","plot")</f>
        <v>plot</v>
      </c>
    </row>
    <row r="711" spans="1:29" x14ac:dyDescent="0.35">
      <c r="A711" t="s">
        <v>48</v>
      </c>
      <c r="B711">
        <v>52094</v>
      </c>
      <c r="C711" t="s">
        <v>53</v>
      </c>
      <c r="D711">
        <v>53212</v>
      </c>
      <c r="E711" t="s">
        <v>87</v>
      </c>
      <c r="F711">
        <v>12235</v>
      </c>
      <c r="G711">
        <v>0.8471789381568251</v>
      </c>
      <c r="H711">
        <v>0</v>
      </c>
      <c r="I711">
        <v>0</v>
      </c>
      <c r="J711">
        <v>0.73764244464316231</v>
      </c>
      <c r="K711">
        <v>0</v>
      </c>
      <c r="L711">
        <v>0</v>
      </c>
      <c r="M711">
        <v>0.54460795044997623</v>
      </c>
      <c r="N711">
        <v>0</v>
      </c>
      <c r="O711">
        <v>0</v>
      </c>
      <c r="P711">
        <v>0.71771215325652571</v>
      </c>
      <c r="Q711">
        <v>1.4525873122751469</v>
      </c>
      <c r="R711">
        <v>-3.956697756048567</v>
      </c>
      <c r="S711">
        <v>0.1974331415140235</v>
      </c>
      <c r="T711">
        <v>0.150490754470334</v>
      </c>
      <c r="U711">
        <v>4.3321054752758483</v>
      </c>
      <c r="V711">
        <v>0.21673278812879429</v>
      </c>
      <c r="W711">
        <v>2.3360636927748271</v>
      </c>
      <c r="X711">
        <v>0.37161369813424971</v>
      </c>
      <c r="Z711" t="s">
        <v>392</v>
      </c>
      <c r="AA711">
        <v>9400</v>
      </c>
      <c r="AB711" t="s">
        <v>3130</v>
      </c>
      <c r="AC711" t="str">
        <f>HYPERLINK("plots/3FT6Y578R01_012_S11P_20251111092011_M5358ACSH101811_RBGEUFRF26/dpll_52094/txpa_53212.png","plot")</f>
        <v>plot</v>
      </c>
    </row>
    <row r="712" spans="1:29" x14ac:dyDescent="0.35">
      <c r="A712" t="s">
        <v>48</v>
      </c>
      <c r="B712">
        <v>52094</v>
      </c>
      <c r="C712" t="s">
        <v>53</v>
      </c>
      <c r="D712">
        <v>53213</v>
      </c>
      <c r="E712" t="s">
        <v>88</v>
      </c>
      <c r="F712">
        <v>12239</v>
      </c>
      <c r="G712">
        <v>0.84461131246851551</v>
      </c>
      <c r="H712">
        <v>0</v>
      </c>
      <c r="I712">
        <v>0</v>
      </c>
      <c r="J712">
        <v>0.7320783751993718</v>
      </c>
      <c r="K712">
        <v>0</v>
      </c>
      <c r="L712">
        <v>0</v>
      </c>
      <c r="M712">
        <v>0.5390685966064992</v>
      </c>
      <c r="N712">
        <v>0</v>
      </c>
      <c r="O712">
        <v>0</v>
      </c>
      <c r="P712">
        <v>0.71336826914978835</v>
      </c>
      <c r="Q712">
        <v>1.4383846728743981</v>
      </c>
      <c r="R712">
        <v>-3.8848270380586141</v>
      </c>
      <c r="S712">
        <v>0.1976594733531335</v>
      </c>
      <c r="T712">
        <v>0.1495798718214065</v>
      </c>
      <c r="U712">
        <v>4.3320114170275348</v>
      </c>
      <c r="V712">
        <v>0.2167979099350843</v>
      </c>
      <c r="W712">
        <v>2.346271786910695</v>
      </c>
      <c r="X712">
        <v>0.36920982013658948</v>
      </c>
      <c r="Z712" t="s">
        <v>392</v>
      </c>
      <c r="AA712">
        <v>9400</v>
      </c>
      <c r="AB712" t="s">
        <v>3131</v>
      </c>
      <c r="AC712" t="str">
        <f>HYPERLINK("plots/3FT6Y578R01_012_S11P_20251111092011_M5358ACSH101811_RBGEUFRF26/dpll_52094/txpa_53213.png","plot")</f>
        <v>plot</v>
      </c>
    </row>
    <row r="713" spans="1:29" x14ac:dyDescent="0.35">
      <c r="A713" t="s">
        <v>48</v>
      </c>
      <c r="B713">
        <v>52094</v>
      </c>
      <c r="C713" t="s">
        <v>53</v>
      </c>
      <c r="D713">
        <v>53214</v>
      </c>
      <c r="E713" t="s">
        <v>89</v>
      </c>
      <c r="F713">
        <v>12240</v>
      </c>
      <c r="G713">
        <v>0.85260717637016792</v>
      </c>
      <c r="H713">
        <v>0</v>
      </c>
      <c r="I713">
        <v>0</v>
      </c>
      <c r="J713">
        <v>0.74060557657522919</v>
      </c>
      <c r="K713">
        <v>0</v>
      </c>
      <c r="L713">
        <v>0</v>
      </c>
      <c r="M713">
        <v>0.54741137860491118</v>
      </c>
      <c r="N713">
        <v>0</v>
      </c>
      <c r="O713">
        <v>0</v>
      </c>
      <c r="P713">
        <v>0.72693899719791066</v>
      </c>
      <c r="Q713">
        <v>1.4544806162663899</v>
      </c>
      <c r="R713">
        <v>-3.928310799054763</v>
      </c>
      <c r="S713">
        <v>0.19327818692829379</v>
      </c>
      <c r="T713">
        <v>0.14797971443517899</v>
      </c>
      <c r="U713">
        <v>4.3319748101307187</v>
      </c>
      <c r="V713">
        <v>0.2168262156955765</v>
      </c>
      <c r="W713">
        <v>2.372462592434641</v>
      </c>
      <c r="X713">
        <v>0.36988842759950041</v>
      </c>
      <c r="Z713" t="s">
        <v>392</v>
      </c>
      <c r="AA713">
        <v>9400</v>
      </c>
      <c r="AB713" t="s">
        <v>3132</v>
      </c>
      <c r="AC713" t="str">
        <f>HYPERLINK("plots/3FT6Y578R01_012_S11P_20251111092011_M5358ACSH101811_RBGEUFRF26/dpll_52094/txpa_53214.png","plot")</f>
        <v>plot</v>
      </c>
    </row>
    <row r="714" spans="1:29" x14ac:dyDescent="0.35">
      <c r="A714" t="s">
        <v>48</v>
      </c>
      <c r="B714">
        <v>52094</v>
      </c>
      <c r="C714" t="s">
        <v>53</v>
      </c>
      <c r="D714">
        <v>53215</v>
      </c>
      <c r="E714" t="s">
        <v>90</v>
      </c>
      <c r="F714">
        <v>12237</v>
      </c>
      <c r="G714">
        <v>0.85306079821438707</v>
      </c>
      <c r="H714">
        <v>0</v>
      </c>
      <c r="I714">
        <v>0</v>
      </c>
      <c r="J714">
        <v>0.74054243635221062</v>
      </c>
      <c r="K714">
        <v>0</v>
      </c>
      <c r="L714">
        <v>0</v>
      </c>
      <c r="M714">
        <v>0.54682809764421747</v>
      </c>
      <c r="N714">
        <v>0</v>
      </c>
      <c r="O714">
        <v>0</v>
      </c>
      <c r="P714">
        <v>0.72771272545016719</v>
      </c>
      <c r="Q714">
        <v>1.4645369526914029</v>
      </c>
      <c r="R714">
        <v>-3.9937464981809709</v>
      </c>
      <c r="S714">
        <v>0.194182789172336</v>
      </c>
      <c r="T714">
        <v>0.14916576195339279</v>
      </c>
      <c r="U714">
        <v>4.3320238376236011</v>
      </c>
      <c r="V714">
        <v>0.21676764474084309</v>
      </c>
      <c r="W714">
        <v>2.350662491958813</v>
      </c>
      <c r="X714">
        <v>0.37214724499749352</v>
      </c>
      <c r="Z714" t="s">
        <v>392</v>
      </c>
      <c r="AA714">
        <v>9400</v>
      </c>
      <c r="AB714" t="s">
        <v>3133</v>
      </c>
      <c r="AC714" t="str">
        <f>HYPERLINK("plots/3FT6Y578R01_012_S11P_20251111092011_M5358ACSH101811_RBGEUFRF26/dpll_52094/txpa_53215.png","plot")</f>
        <v>plot</v>
      </c>
    </row>
    <row r="715" spans="1:29" x14ac:dyDescent="0.35">
      <c r="A715" t="s">
        <v>48</v>
      </c>
      <c r="B715">
        <v>52094</v>
      </c>
      <c r="C715" t="s">
        <v>53</v>
      </c>
      <c r="D715">
        <v>53216</v>
      </c>
      <c r="E715" t="s">
        <v>91</v>
      </c>
      <c r="F715">
        <v>12237</v>
      </c>
      <c r="G715">
        <v>0.85546464348556561</v>
      </c>
      <c r="H715">
        <v>0</v>
      </c>
      <c r="I715">
        <v>0</v>
      </c>
      <c r="J715">
        <v>0.74568416326761999</v>
      </c>
      <c r="K715">
        <v>0</v>
      </c>
      <c r="L715">
        <v>0</v>
      </c>
      <c r="M715">
        <v>0.55191798669368275</v>
      </c>
      <c r="N715">
        <v>0</v>
      </c>
      <c r="O715">
        <v>0</v>
      </c>
      <c r="P715">
        <v>0.73181975625388584</v>
      </c>
      <c r="Q715">
        <v>1.471165762522604</v>
      </c>
      <c r="R715">
        <v>-4.0309451445548117</v>
      </c>
      <c r="S715">
        <v>0.193048222473196</v>
      </c>
      <c r="T715">
        <v>0.14867044072349481</v>
      </c>
      <c r="U715">
        <v>4.331949707281197</v>
      </c>
      <c r="V715">
        <v>0.21677571027902651</v>
      </c>
      <c r="W715">
        <v>2.3420709497671002</v>
      </c>
      <c r="X715">
        <v>0.37279507170468368</v>
      </c>
      <c r="Z715" t="s">
        <v>392</v>
      </c>
      <c r="AA715">
        <v>9400</v>
      </c>
      <c r="AB715" t="s">
        <v>3134</v>
      </c>
      <c r="AC715" t="str">
        <f>HYPERLINK("plots/3FT6Y578R01_012_S11P_20251111092011_M5358ACSH101811_RBGEUFRF26/dpll_52094/txpa_53216.png","plot")</f>
        <v>plot</v>
      </c>
    </row>
    <row r="716" spans="1:29" x14ac:dyDescent="0.35">
      <c r="A716" t="s">
        <v>48</v>
      </c>
      <c r="B716">
        <v>52094</v>
      </c>
      <c r="C716" t="s">
        <v>53</v>
      </c>
      <c r="D716">
        <v>53217</v>
      </c>
      <c r="E716" t="s">
        <v>92</v>
      </c>
      <c r="F716">
        <v>12236</v>
      </c>
      <c r="G716">
        <v>0.8546874848872954</v>
      </c>
      <c r="H716">
        <v>0</v>
      </c>
      <c r="I716">
        <v>0</v>
      </c>
      <c r="J716">
        <v>0.74139085023294027</v>
      </c>
      <c r="K716">
        <v>0</v>
      </c>
      <c r="L716">
        <v>0</v>
      </c>
      <c r="M716">
        <v>0.54877125639838964</v>
      </c>
      <c r="N716">
        <v>0</v>
      </c>
      <c r="O716">
        <v>0</v>
      </c>
      <c r="P716">
        <v>0.73049069682297085</v>
      </c>
      <c r="Q716">
        <v>1.46639366477775</v>
      </c>
      <c r="R716">
        <v>-4.0005251386667817</v>
      </c>
      <c r="S716">
        <v>0.19307278632849759</v>
      </c>
      <c r="T716">
        <v>0.14804813695433169</v>
      </c>
      <c r="U716">
        <v>4.3320855531219351</v>
      </c>
      <c r="V716">
        <v>0.2167747529051165</v>
      </c>
      <c r="W716">
        <v>2.3520176717064398</v>
      </c>
      <c r="X716">
        <v>0.37192205334063422</v>
      </c>
      <c r="Z716" t="s">
        <v>392</v>
      </c>
      <c r="AA716">
        <v>9400</v>
      </c>
      <c r="AB716" t="s">
        <v>3135</v>
      </c>
      <c r="AC716" t="str">
        <f>HYPERLINK("plots/3FT6Y578R01_012_S11P_20251111092011_M5358ACSH101811_RBGEUFRF26/dpll_52094/txpa_53217.png","plot")</f>
        <v>plot</v>
      </c>
    </row>
    <row r="717" spans="1:29" x14ac:dyDescent="0.35">
      <c r="A717" t="s">
        <v>48</v>
      </c>
      <c r="B717">
        <v>52094</v>
      </c>
      <c r="C717" t="s">
        <v>53</v>
      </c>
      <c r="D717">
        <v>53218</v>
      </c>
      <c r="E717" t="s">
        <v>93</v>
      </c>
      <c r="F717">
        <v>12232</v>
      </c>
      <c r="G717">
        <v>0.85118195636135074</v>
      </c>
      <c r="H717">
        <v>0</v>
      </c>
      <c r="I717">
        <v>0</v>
      </c>
      <c r="J717">
        <v>0.73498071976877877</v>
      </c>
      <c r="K717">
        <v>0</v>
      </c>
      <c r="L717">
        <v>0</v>
      </c>
      <c r="M717">
        <v>0.54291572645373476</v>
      </c>
      <c r="N717">
        <v>0</v>
      </c>
      <c r="O717">
        <v>0</v>
      </c>
      <c r="P717">
        <v>0.7245107228351364</v>
      </c>
      <c r="Q717">
        <v>1.451337659383539</v>
      </c>
      <c r="R717">
        <v>-3.954564953264109</v>
      </c>
      <c r="S717">
        <v>0.19397100637074499</v>
      </c>
      <c r="T717">
        <v>0.1489864741567411</v>
      </c>
      <c r="U717">
        <v>4.3321749636200133</v>
      </c>
      <c r="V717">
        <v>0.21674853292530699</v>
      </c>
      <c r="W717">
        <v>2.3328837184761282</v>
      </c>
      <c r="X717">
        <v>0.36957469093374989</v>
      </c>
      <c r="Z717" t="s">
        <v>392</v>
      </c>
      <c r="AA717">
        <v>9400</v>
      </c>
      <c r="AB717" t="s">
        <v>3136</v>
      </c>
      <c r="AC717" t="str">
        <f>HYPERLINK("plots/3FT6Y578R01_012_S11P_20251111092011_M5358ACSH101811_RBGEUFRF26/dpll_52094/txpa_53218.png","plot")</f>
        <v>plot</v>
      </c>
    </row>
    <row r="718" spans="1:29" x14ac:dyDescent="0.35">
      <c r="A718" t="s">
        <v>48</v>
      </c>
      <c r="B718">
        <v>52094</v>
      </c>
      <c r="C718" t="s">
        <v>53</v>
      </c>
      <c r="D718">
        <v>53219</v>
      </c>
      <c r="E718" t="s">
        <v>94</v>
      </c>
      <c r="F718">
        <v>12229</v>
      </c>
      <c r="G718">
        <v>0.84359303622834858</v>
      </c>
      <c r="H718">
        <v>0</v>
      </c>
      <c r="I718">
        <v>0</v>
      </c>
      <c r="J718">
        <v>0.73456804430010481</v>
      </c>
      <c r="K718">
        <v>0</v>
      </c>
      <c r="L718">
        <v>0</v>
      </c>
      <c r="M718">
        <v>0.54033323914866527</v>
      </c>
      <c r="N718">
        <v>0</v>
      </c>
      <c r="O718">
        <v>0</v>
      </c>
      <c r="P718">
        <v>0.71164921077296384</v>
      </c>
      <c r="Q718">
        <v>1.581712723341608</v>
      </c>
      <c r="R718">
        <v>-2.6916418162600562</v>
      </c>
      <c r="S718">
        <v>0.21804572109836659</v>
      </c>
      <c r="T718">
        <v>0.16387021354997261</v>
      </c>
      <c r="U718">
        <v>4.3323504559653294</v>
      </c>
      <c r="V718">
        <v>0.2165759019446368</v>
      </c>
      <c r="W718">
        <v>4.16089202191512</v>
      </c>
      <c r="X718">
        <v>0.40607359824422518</v>
      </c>
      <c r="Z718" t="s">
        <v>392</v>
      </c>
      <c r="AA718">
        <v>9400</v>
      </c>
      <c r="AB718" t="s">
        <v>3137</v>
      </c>
      <c r="AC718" t="str">
        <f>HYPERLINK("plots/3FT6Y578R01_012_S11P_20251111092011_M5358ACSH101811_RBGEUFRF26/dpll_52094/txpa_53219.png","plot")</f>
        <v>plot</v>
      </c>
    </row>
    <row r="719" spans="1:29" x14ac:dyDescent="0.35">
      <c r="A719" t="s">
        <v>48</v>
      </c>
      <c r="B719">
        <v>52094</v>
      </c>
      <c r="C719" t="s">
        <v>53</v>
      </c>
      <c r="D719">
        <v>53220</v>
      </c>
      <c r="E719" t="s">
        <v>95</v>
      </c>
      <c r="F719">
        <v>12230</v>
      </c>
      <c r="G719">
        <v>0.85499171226226611</v>
      </c>
      <c r="H719">
        <v>0</v>
      </c>
      <c r="I719">
        <v>0</v>
      </c>
      <c r="J719">
        <v>0.74503484764400341</v>
      </c>
      <c r="K719">
        <v>0</v>
      </c>
      <c r="L719">
        <v>0</v>
      </c>
      <c r="M719">
        <v>0.55206974493368077</v>
      </c>
      <c r="N719">
        <v>0</v>
      </c>
      <c r="O719">
        <v>0</v>
      </c>
      <c r="P719">
        <v>0.73101082803716166</v>
      </c>
      <c r="Q719">
        <v>1.6041383748642739</v>
      </c>
      <c r="R719">
        <v>-2.7541118272966938</v>
      </c>
      <c r="S719">
        <v>0.21085278700168369</v>
      </c>
      <c r="T719">
        <v>0.16080726538484441</v>
      </c>
      <c r="U719">
        <v>4.3322225804578904</v>
      </c>
      <c r="V719">
        <v>0.21669544352034689</v>
      </c>
      <c r="W719">
        <v>4.1953726624693379</v>
      </c>
      <c r="X719">
        <v>0.40656473229367879</v>
      </c>
      <c r="Z719" t="s">
        <v>392</v>
      </c>
      <c r="AA719">
        <v>9400</v>
      </c>
      <c r="AB719" t="s">
        <v>3138</v>
      </c>
      <c r="AC719" t="str">
        <f>HYPERLINK("plots/3FT6Y578R01_012_S11P_20251111092011_M5358ACSH101811_RBGEUFRF26/dpll_52094/txpa_53220.png","plot")</f>
        <v>plot</v>
      </c>
    </row>
    <row r="720" spans="1:29" x14ac:dyDescent="0.35">
      <c r="A720" t="s">
        <v>48</v>
      </c>
      <c r="B720">
        <v>52094</v>
      </c>
      <c r="C720" t="s">
        <v>53</v>
      </c>
      <c r="D720">
        <v>53221</v>
      </c>
      <c r="E720" t="s">
        <v>96</v>
      </c>
      <c r="F720">
        <v>12231</v>
      </c>
      <c r="G720">
        <v>0.85295073690168177</v>
      </c>
      <c r="H720">
        <v>0</v>
      </c>
      <c r="I720">
        <v>0</v>
      </c>
      <c r="J720">
        <v>0.73968393863489112</v>
      </c>
      <c r="K720">
        <v>0</v>
      </c>
      <c r="L720">
        <v>0</v>
      </c>
      <c r="M720">
        <v>0.54671480359356461</v>
      </c>
      <c r="N720">
        <v>0</v>
      </c>
      <c r="O720">
        <v>0</v>
      </c>
      <c r="P720">
        <v>0.72752495958112195</v>
      </c>
      <c r="Q720">
        <v>1.587891985593501</v>
      </c>
      <c r="R720">
        <v>-2.6728655048728869</v>
      </c>
      <c r="S720">
        <v>0.21056516905442099</v>
      </c>
      <c r="T720">
        <v>0.1596180732623742</v>
      </c>
      <c r="U720">
        <v>4.3322305065816371</v>
      </c>
      <c r="V720">
        <v>0.21669251843931439</v>
      </c>
      <c r="W720">
        <v>4.2062485962717684</v>
      </c>
      <c r="X720">
        <v>0.4034046733082563</v>
      </c>
      <c r="Z720" t="s">
        <v>392</v>
      </c>
      <c r="AA720">
        <v>9400</v>
      </c>
      <c r="AB720" t="s">
        <v>3139</v>
      </c>
      <c r="AC720" t="str">
        <f>HYPERLINK("plots/3FT6Y578R01_012_S11P_20251111092011_M5358ACSH101811_RBGEUFRF26/dpll_52094/txpa_53221.png","plot")</f>
        <v>plot</v>
      </c>
    </row>
    <row r="721" spans="1:29" x14ac:dyDescent="0.35">
      <c r="A721" t="s">
        <v>48</v>
      </c>
      <c r="B721">
        <v>52094</v>
      </c>
      <c r="C721" t="s">
        <v>53</v>
      </c>
      <c r="D721">
        <v>53222</v>
      </c>
      <c r="E721" t="s">
        <v>97</v>
      </c>
      <c r="F721">
        <v>12234</v>
      </c>
      <c r="G721">
        <v>0.86024929493646052</v>
      </c>
      <c r="H721">
        <v>0</v>
      </c>
      <c r="I721">
        <v>0</v>
      </c>
      <c r="J721">
        <v>0.748411979480887</v>
      </c>
      <c r="K721">
        <v>0</v>
      </c>
      <c r="L721">
        <v>0</v>
      </c>
      <c r="M721">
        <v>0.55519711714778464</v>
      </c>
      <c r="N721">
        <v>0</v>
      </c>
      <c r="O721">
        <v>0</v>
      </c>
      <c r="P721">
        <v>0.74002884943867742</v>
      </c>
      <c r="Q721">
        <v>1.6054161461102161</v>
      </c>
      <c r="R721">
        <v>-2.7250574505204028</v>
      </c>
      <c r="S721">
        <v>0.20624431911896249</v>
      </c>
      <c r="T721">
        <v>0.15784195704510709</v>
      </c>
      <c r="U721">
        <v>4.3321245067026313</v>
      </c>
      <c r="V721">
        <v>0.21675736652354971</v>
      </c>
      <c r="W721">
        <v>4.2298051794997553</v>
      </c>
      <c r="X721">
        <v>0.40451736264537069</v>
      </c>
      <c r="Z721" t="s">
        <v>392</v>
      </c>
      <c r="AA721">
        <v>9400</v>
      </c>
      <c r="AB721" t="s">
        <v>3140</v>
      </c>
      <c r="AC721" t="str">
        <f>HYPERLINK("plots/3FT6Y578R01_012_S11P_20251111092011_M5358ACSH101811_RBGEUFRF26/dpll_52094/txpa_53222.png","plot")</f>
        <v>plot</v>
      </c>
    </row>
    <row r="722" spans="1:29" x14ac:dyDescent="0.35">
      <c r="A722" t="s">
        <v>48</v>
      </c>
      <c r="B722">
        <v>52094</v>
      </c>
      <c r="C722" t="s">
        <v>53</v>
      </c>
      <c r="D722">
        <v>53223</v>
      </c>
      <c r="E722" t="s">
        <v>98</v>
      </c>
      <c r="F722">
        <v>12234</v>
      </c>
      <c r="G722">
        <v>0.85998832654786339</v>
      </c>
      <c r="H722">
        <v>0</v>
      </c>
      <c r="I722">
        <v>0</v>
      </c>
      <c r="J722">
        <v>0.74839654812856193</v>
      </c>
      <c r="K722">
        <v>0</v>
      </c>
      <c r="L722">
        <v>0</v>
      </c>
      <c r="M722">
        <v>0.55468372782406539</v>
      </c>
      <c r="N722">
        <v>0</v>
      </c>
      <c r="O722">
        <v>0</v>
      </c>
      <c r="P722">
        <v>0.73957992179859455</v>
      </c>
      <c r="Q722">
        <v>1.6166976950418139</v>
      </c>
      <c r="R722">
        <v>-2.797582848988041</v>
      </c>
      <c r="S722">
        <v>0.20789055349047</v>
      </c>
      <c r="T722">
        <v>0.15938314637523759</v>
      </c>
      <c r="U722">
        <v>4.3321183464933792</v>
      </c>
      <c r="V722">
        <v>0.21671002901968359</v>
      </c>
      <c r="W722">
        <v>4.2061428964361616</v>
      </c>
      <c r="X722">
        <v>0.40739460477905443</v>
      </c>
      <c r="Z722" t="s">
        <v>392</v>
      </c>
      <c r="AA722">
        <v>9400</v>
      </c>
      <c r="AB722" t="s">
        <v>3141</v>
      </c>
      <c r="AC722" t="str">
        <f>HYPERLINK("plots/3FT6Y578R01_012_S11P_20251111092011_M5358ACSH101811_RBGEUFRF26/dpll_52094/txpa_53223.png","plot")</f>
        <v>plot</v>
      </c>
    </row>
    <row r="723" spans="1:29" x14ac:dyDescent="0.35">
      <c r="A723" t="s">
        <v>48</v>
      </c>
      <c r="B723">
        <v>52094</v>
      </c>
      <c r="C723" t="s">
        <v>53</v>
      </c>
      <c r="D723">
        <v>53224</v>
      </c>
      <c r="E723" t="s">
        <v>99</v>
      </c>
      <c r="F723">
        <v>12231</v>
      </c>
      <c r="G723">
        <v>0.86259420005426823</v>
      </c>
      <c r="H723">
        <v>0</v>
      </c>
      <c r="I723">
        <v>0</v>
      </c>
      <c r="J723">
        <v>0.75229554202295768</v>
      </c>
      <c r="K723">
        <v>0</v>
      </c>
      <c r="L723">
        <v>0</v>
      </c>
      <c r="M723">
        <v>0.55881777144780342</v>
      </c>
      <c r="N723">
        <v>0</v>
      </c>
      <c r="O723">
        <v>0</v>
      </c>
      <c r="P723">
        <v>0.74406875396726291</v>
      </c>
      <c r="Q723">
        <v>1.6221163577488871</v>
      </c>
      <c r="R723">
        <v>-2.8262929984889311</v>
      </c>
      <c r="S723">
        <v>0.20615208953396419</v>
      </c>
      <c r="T723">
        <v>0.15878651365035759</v>
      </c>
      <c r="U723">
        <v>4.3321101747199737</v>
      </c>
      <c r="V723">
        <v>0.21670471965103991</v>
      </c>
      <c r="W723">
        <v>4.2008937794947263</v>
      </c>
      <c r="X723">
        <v>0.40751522619236641</v>
      </c>
      <c r="Z723" t="s">
        <v>392</v>
      </c>
      <c r="AA723">
        <v>9400</v>
      </c>
      <c r="AB723" t="s">
        <v>3142</v>
      </c>
      <c r="AC723" t="str">
        <f>HYPERLINK("plots/3FT6Y578R01_012_S11P_20251111092011_M5358ACSH101811_RBGEUFRF26/dpll_52094/txpa_53224.png","plot")</f>
        <v>plot</v>
      </c>
    </row>
    <row r="724" spans="1:29" x14ac:dyDescent="0.35">
      <c r="A724" t="s">
        <v>48</v>
      </c>
      <c r="B724">
        <v>52094</v>
      </c>
      <c r="C724" t="s">
        <v>53</v>
      </c>
      <c r="D724">
        <v>53225</v>
      </c>
      <c r="E724" t="s">
        <v>100</v>
      </c>
      <c r="F724">
        <v>12227</v>
      </c>
      <c r="G724">
        <v>0.86228056100710704</v>
      </c>
      <c r="H724">
        <v>0</v>
      </c>
      <c r="I724">
        <v>0</v>
      </c>
      <c r="J724">
        <v>0.74801780073043977</v>
      </c>
      <c r="K724">
        <v>0</v>
      </c>
      <c r="L724">
        <v>0</v>
      </c>
      <c r="M724">
        <v>0.55568668876444605</v>
      </c>
      <c r="N724">
        <v>0</v>
      </c>
      <c r="O724">
        <v>0</v>
      </c>
      <c r="P724">
        <v>0.74352776589073122</v>
      </c>
      <c r="Q724">
        <v>1.6164611341170601</v>
      </c>
      <c r="R724">
        <v>-2.7925394914924371</v>
      </c>
      <c r="S724">
        <v>0.20569387281856669</v>
      </c>
      <c r="T724">
        <v>0.1579489698337827</v>
      </c>
      <c r="U724">
        <v>4.3323160121043589</v>
      </c>
      <c r="V724">
        <v>0.21667173787876881</v>
      </c>
      <c r="W724">
        <v>4.2104809627872726</v>
      </c>
      <c r="X724">
        <v>0.40618037675992802</v>
      </c>
      <c r="Z724" t="s">
        <v>392</v>
      </c>
      <c r="AA724">
        <v>9400</v>
      </c>
      <c r="AB724" t="s">
        <v>3143</v>
      </c>
      <c r="AC724" t="str">
        <f>HYPERLINK("plots/3FT6Y578R01_012_S11P_20251111092011_M5358ACSH101811_RBGEUFRF26/dpll_52094/txpa_53225.png","plot")</f>
        <v>plot</v>
      </c>
    </row>
    <row r="725" spans="1:29" x14ac:dyDescent="0.35">
      <c r="A725" t="s">
        <v>48</v>
      </c>
      <c r="B725">
        <v>52094</v>
      </c>
      <c r="C725" t="s">
        <v>53</v>
      </c>
      <c r="D725">
        <v>53226</v>
      </c>
      <c r="E725" t="s">
        <v>101</v>
      </c>
      <c r="F725">
        <v>12225</v>
      </c>
      <c r="G725">
        <v>0.85881753490941892</v>
      </c>
      <c r="H725">
        <v>0</v>
      </c>
      <c r="I725">
        <v>0</v>
      </c>
      <c r="J725">
        <v>0.7428662818233942</v>
      </c>
      <c r="K725">
        <v>0</v>
      </c>
      <c r="L725">
        <v>0</v>
      </c>
      <c r="M725">
        <v>0.55070278200275558</v>
      </c>
      <c r="N725">
        <v>0</v>
      </c>
      <c r="O725">
        <v>0</v>
      </c>
      <c r="P725">
        <v>0.737567558267891</v>
      </c>
      <c r="Q725">
        <v>1.600023948040495</v>
      </c>
      <c r="R725">
        <v>-2.740204415317689</v>
      </c>
      <c r="S725">
        <v>0.20676323957469989</v>
      </c>
      <c r="T725">
        <v>0.1588485921773011</v>
      </c>
      <c r="U725">
        <v>4.3323715152556241</v>
      </c>
      <c r="V725">
        <v>0.2166490309917046</v>
      </c>
      <c r="W725">
        <v>4.1916937608997964</v>
      </c>
      <c r="X725">
        <v>0.40362897101659201</v>
      </c>
      <c r="Z725" t="s">
        <v>392</v>
      </c>
      <c r="AA725">
        <v>9400</v>
      </c>
      <c r="AB725" t="s">
        <v>3144</v>
      </c>
      <c r="AC725" t="str">
        <f>HYPERLINK("plots/3FT6Y578R01_012_S11P_20251111092011_M5358ACSH101811_RBGEUFRF26/dpll_52094/txpa_53226.png","plot")</f>
        <v>plot</v>
      </c>
    </row>
    <row r="726" spans="1:29" x14ac:dyDescent="0.35">
      <c r="A726" t="s">
        <v>48</v>
      </c>
      <c r="B726">
        <v>52094</v>
      </c>
      <c r="C726" t="s">
        <v>53</v>
      </c>
      <c r="D726">
        <v>53227</v>
      </c>
      <c r="E726" t="s">
        <v>102</v>
      </c>
      <c r="F726">
        <v>12200</v>
      </c>
      <c r="G726">
        <v>0.85449251396455805</v>
      </c>
      <c r="H726">
        <v>0</v>
      </c>
      <c r="I726">
        <v>0</v>
      </c>
      <c r="J726">
        <v>0.73959508861548584</v>
      </c>
      <c r="K726">
        <v>0</v>
      </c>
      <c r="L726">
        <v>0</v>
      </c>
      <c r="M726">
        <v>0.54618882081139453</v>
      </c>
      <c r="N726">
        <v>0</v>
      </c>
      <c r="O726">
        <v>0</v>
      </c>
      <c r="P726">
        <v>0.73015745642147045</v>
      </c>
      <c r="Q726">
        <v>1.79456125846716</v>
      </c>
      <c r="R726">
        <v>-1.3952571569694401</v>
      </c>
      <c r="S726">
        <v>0.23598260593851639</v>
      </c>
      <c r="T726">
        <v>0.1792984413942513</v>
      </c>
      <c r="U726">
        <v>4.333029738360656</v>
      </c>
      <c r="V726">
        <v>0.21631794867034171</v>
      </c>
      <c r="W726">
        <v>6.3806301432786876</v>
      </c>
      <c r="X726">
        <v>0.45429983744829422</v>
      </c>
      <c r="Z726" t="s">
        <v>392</v>
      </c>
      <c r="AA726">
        <v>9400</v>
      </c>
      <c r="AB726" t="s">
        <v>3145</v>
      </c>
      <c r="AC726" t="str">
        <f>HYPERLINK("plots/3FT6Y578R01_012_S11P_20251111092011_M5358ACSH101811_RBGEUFRF26/dpll_52094/txpa_53227.png","plot")</f>
        <v>plot</v>
      </c>
    </row>
    <row r="727" spans="1:29" x14ac:dyDescent="0.35">
      <c r="A727" t="s">
        <v>48</v>
      </c>
      <c r="B727">
        <v>52094</v>
      </c>
      <c r="C727" t="s">
        <v>53</v>
      </c>
      <c r="D727">
        <v>53228</v>
      </c>
      <c r="E727" t="s">
        <v>103</v>
      </c>
      <c r="F727">
        <v>12215</v>
      </c>
      <c r="G727">
        <v>0.86250201205933408</v>
      </c>
      <c r="H727">
        <v>0</v>
      </c>
      <c r="I727">
        <v>0</v>
      </c>
      <c r="J727">
        <v>0.74973321134488813</v>
      </c>
      <c r="K727">
        <v>0</v>
      </c>
      <c r="L727">
        <v>0</v>
      </c>
      <c r="M727">
        <v>0.55729693667998204</v>
      </c>
      <c r="N727">
        <v>0</v>
      </c>
      <c r="O727">
        <v>0</v>
      </c>
      <c r="P727">
        <v>0.74390972080639972</v>
      </c>
      <c r="Q727">
        <v>1.8250119200451329</v>
      </c>
      <c r="R727">
        <v>-1.492239283245143</v>
      </c>
      <c r="S727">
        <v>0.23187923595857041</v>
      </c>
      <c r="T727">
        <v>0.17769501101124549</v>
      </c>
      <c r="U727">
        <v>4.332576371346704</v>
      </c>
      <c r="V727">
        <v>0.21655963122278299</v>
      </c>
      <c r="W727">
        <v>6.4147642389684814</v>
      </c>
      <c r="X727">
        <v>0.45822954944593047</v>
      </c>
      <c r="Z727" t="s">
        <v>392</v>
      </c>
      <c r="AA727">
        <v>9400</v>
      </c>
      <c r="AB727" t="s">
        <v>3146</v>
      </c>
      <c r="AC727" t="str">
        <f>HYPERLINK("plots/3FT6Y578R01_012_S11P_20251111092011_M5358ACSH101811_RBGEUFRF26/dpll_52094/txpa_53228.png","plot")</f>
        <v>plot</v>
      </c>
    </row>
    <row r="728" spans="1:29" x14ac:dyDescent="0.35">
      <c r="A728" t="s">
        <v>48</v>
      </c>
      <c r="B728">
        <v>52094</v>
      </c>
      <c r="C728" t="s">
        <v>53</v>
      </c>
      <c r="D728">
        <v>53229</v>
      </c>
      <c r="E728" t="s">
        <v>104</v>
      </c>
      <c r="F728">
        <v>12207</v>
      </c>
      <c r="G728">
        <v>0.86212856955256378</v>
      </c>
      <c r="H728">
        <v>0</v>
      </c>
      <c r="I728">
        <v>0</v>
      </c>
      <c r="J728">
        <v>0.74424769021746373</v>
      </c>
      <c r="K728">
        <v>0</v>
      </c>
      <c r="L728">
        <v>0</v>
      </c>
      <c r="M728">
        <v>0.55197581501455695</v>
      </c>
      <c r="N728">
        <v>0</v>
      </c>
      <c r="O728">
        <v>0</v>
      </c>
      <c r="P728">
        <v>0.7432656704387498</v>
      </c>
      <c r="Q728">
        <v>1.8037699691050419</v>
      </c>
      <c r="R728">
        <v>-1.3881828417985409</v>
      </c>
      <c r="S728">
        <v>0.22946799582403429</v>
      </c>
      <c r="T728">
        <v>0.1756272925713605</v>
      </c>
      <c r="U728">
        <v>4.3328059472433864</v>
      </c>
      <c r="V728">
        <v>0.2164655676670949</v>
      </c>
      <c r="W728">
        <v>6.4272024077988039</v>
      </c>
      <c r="X728">
        <v>0.45289543125316301</v>
      </c>
      <c r="Z728" t="s">
        <v>392</v>
      </c>
      <c r="AA728">
        <v>9400</v>
      </c>
      <c r="AB728" t="s">
        <v>3147</v>
      </c>
      <c r="AC728" t="str">
        <f>HYPERLINK("plots/3FT6Y578R01_012_S11P_20251111092011_M5358ACSH101811_RBGEUFRF26/dpll_52094/txpa_53229.png","plot")</f>
        <v>plot</v>
      </c>
    </row>
    <row r="729" spans="1:29" x14ac:dyDescent="0.35">
      <c r="A729" t="s">
        <v>48</v>
      </c>
      <c r="B729">
        <v>52094</v>
      </c>
      <c r="C729" t="s">
        <v>53</v>
      </c>
      <c r="D729">
        <v>53230</v>
      </c>
      <c r="E729" t="s">
        <v>105</v>
      </c>
      <c r="F729">
        <v>12215</v>
      </c>
      <c r="G729">
        <v>0.86767245033484452</v>
      </c>
      <c r="H729">
        <v>0</v>
      </c>
      <c r="I729">
        <v>0</v>
      </c>
      <c r="J729">
        <v>0.75255412622502316</v>
      </c>
      <c r="K729">
        <v>0</v>
      </c>
      <c r="L729">
        <v>0</v>
      </c>
      <c r="M729">
        <v>0.56015943184906625</v>
      </c>
      <c r="N729">
        <v>0</v>
      </c>
      <c r="O729">
        <v>0</v>
      </c>
      <c r="P729">
        <v>0.75285548107007327</v>
      </c>
      <c r="Q729">
        <v>1.8243123945016011</v>
      </c>
      <c r="R729">
        <v>-1.455907824154306</v>
      </c>
      <c r="S729">
        <v>0.2263435192327623</v>
      </c>
      <c r="T729">
        <v>0.17423499766172779</v>
      </c>
      <c r="U729">
        <v>4.3326057484240694</v>
      </c>
      <c r="V729">
        <v>0.21655436885894391</v>
      </c>
      <c r="W729">
        <v>6.4481185431846084</v>
      </c>
      <c r="X729">
        <v>0.45531331441995571</v>
      </c>
      <c r="Z729" t="s">
        <v>392</v>
      </c>
      <c r="AA729">
        <v>9400</v>
      </c>
      <c r="AB729" t="s">
        <v>3148</v>
      </c>
      <c r="AC729" t="str">
        <f>HYPERLINK("plots/3FT6Y578R01_012_S11P_20251111092011_M5358ACSH101811_RBGEUFRF26/dpll_52094/txpa_53230.png","plot")</f>
        <v>plot</v>
      </c>
    </row>
    <row r="730" spans="1:29" x14ac:dyDescent="0.35">
      <c r="A730" t="s">
        <v>48</v>
      </c>
      <c r="B730">
        <v>52094</v>
      </c>
      <c r="C730" t="s">
        <v>53</v>
      </c>
      <c r="D730">
        <v>53231</v>
      </c>
      <c r="E730" t="s">
        <v>106</v>
      </c>
      <c r="F730">
        <v>12208</v>
      </c>
      <c r="G730">
        <v>0.867694719834053</v>
      </c>
      <c r="H730">
        <v>0</v>
      </c>
      <c r="I730">
        <v>0</v>
      </c>
      <c r="J730">
        <v>0.75243346034324476</v>
      </c>
      <c r="K730">
        <v>0</v>
      </c>
      <c r="L730">
        <v>0</v>
      </c>
      <c r="M730">
        <v>0.55970778173812741</v>
      </c>
      <c r="N730">
        <v>0</v>
      </c>
      <c r="O730">
        <v>0</v>
      </c>
      <c r="P730">
        <v>0.75289412682789569</v>
      </c>
      <c r="Q730">
        <v>1.8319498147467279</v>
      </c>
      <c r="R730">
        <v>-1.513909079171146</v>
      </c>
      <c r="S730">
        <v>0.2270943235697874</v>
      </c>
      <c r="T730">
        <v>0.1752902589878747</v>
      </c>
      <c r="U730">
        <v>4.3328168375655309</v>
      </c>
      <c r="V730">
        <v>0.216389366424631</v>
      </c>
      <c r="W730">
        <v>6.4235939237385322</v>
      </c>
      <c r="X730">
        <v>0.45685936617267769</v>
      </c>
      <c r="Z730" t="s">
        <v>392</v>
      </c>
      <c r="AA730">
        <v>9400</v>
      </c>
      <c r="AB730" t="s">
        <v>3149</v>
      </c>
      <c r="AC730" t="str">
        <f>HYPERLINK("plots/3FT6Y578R01_012_S11P_20251111092011_M5358ACSH101811_RBGEUFRF26/dpll_52094/txpa_53231.png","plot")</f>
        <v>plot</v>
      </c>
    </row>
    <row r="731" spans="1:29" x14ac:dyDescent="0.35">
      <c r="A731" t="s">
        <v>48</v>
      </c>
      <c r="B731">
        <v>52094</v>
      </c>
      <c r="C731" t="s">
        <v>53</v>
      </c>
      <c r="D731">
        <v>53232</v>
      </c>
      <c r="E731" t="s">
        <v>107</v>
      </c>
      <c r="F731">
        <v>12217</v>
      </c>
      <c r="G731">
        <v>0.86838278545556058</v>
      </c>
      <c r="H731">
        <v>0</v>
      </c>
      <c r="I731">
        <v>0</v>
      </c>
      <c r="J731">
        <v>0.75548849528361461</v>
      </c>
      <c r="K731">
        <v>0</v>
      </c>
      <c r="L731">
        <v>0</v>
      </c>
      <c r="M731">
        <v>0.56285809374601281</v>
      </c>
      <c r="N731">
        <v>0</v>
      </c>
      <c r="O731">
        <v>0</v>
      </c>
      <c r="P731">
        <v>0.75408866207555814</v>
      </c>
      <c r="Q731">
        <v>1.8429471086782201</v>
      </c>
      <c r="R731">
        <v>-1.5650996165575499</v>
      </c>
      <c r="S731">
        <v>0.2278433616306198</v>
      </c>
      <c r="T731">
        <v>0.17586181810488841</v>
      </c>
      <c r="U731">
        <v>4.332507509863305</v>
      </c>
      <c r="V731">
        <v>0.2165026479202751</v>
      </c>
      <c r="W731">
        <v>6.4194825720717041</v>
      </c>
      <c r="X731">
        <v>0.45947816526156671</v>
      </c>
      <c r="Z731" t="s">
        <v>392</v>
      </c>
      <c r="AA731">
        <v>9400</v>
      </c>
      <c r="AB731" t="s">
        <v>3150</v>
      </c>
      <c r="AC731" t="str">
        <f>HYPERLINK("plots/3FT6Y578R01_012_S11P_20251111092011_M5358ACSH101811_RBGEUFRF26/dpll_52094/txpa_53232.png","plot")</f>
        <v>plot</v>
      </c>
    </row>
    <row r="732" spans="1:29" x14ac:dyDescent="0.35">
      <c r="A732" t="s">
        <v>48</v>
      </c>
      <c r="B732">
        <v>52094</v>
      </c>
      <c r="C732" t="s">
        <v>53</v>
      </c>
      <c r="D732">
        <v>53233</v>
      </c>
      <c r="E732" t="s">
        <v>108</v>
      </c>
      <c r="F732">
        <v>12205</v>
      </c>
      <c r="G732">
        <v>0.86982442729601595</v>
      </c>
      <c r="H732">
        <v>0</v>
      </c>
      <c r="I732">
        <v>0</v>
      </c>
      <c r="J732">
        <v>0.75146560903838699</v>
      </c>
      <c r="K732">
        <v>0</v>
      </c>
      <c r="L732">
        <v>0</v>
      </c>
      <c r="M732">
        <v>0.56014315858697927</v>
      </c>
      <c r="N732">
        <v>0</v>
      </c>
      <c r="O732">
        <v>0</v>
      </c>
      <c r="P732">
        <v>0.75659453432084212</v>
      </c>
      <c r="Q732">
        <v>1.834006115838372</v>
      </c>
      <c r="R732">
        <v>-1.516618844044622</v>
      </c>
      <c r="S732">
        <v>0.22514998153771371</v>
      </c>
      <c r="T732">
        <v>0.17398091105784469</v>
      </c>
      <c r="U732">
        <v>4.3328637181483014</v>
      </c>
      <c r="V732">
        <v>0.21644889112748711</v>
      </c>
      <c r="W732">
        <v>6.4298797141335511</v>
      </c>
      <c r="X732">
        <v>0.45637783630460221</v>
      </c>
      <c r="Z732" t="s">
        <v>392</v>
      </c>
      <c r="AA732">
        <v>9400</v>
      </c>
      <c r="AB732" t="s">
        <v>3151</v>
      </c>
      <c r="AC732" t="str">
        <f>HYPERLINK("plots/3FT6Y578R01_012_S11P_20251111092011_M5358ACSH101811_RBGEUFRF26/dpll_52094/txpa_53233.png","plot")</f>
        <v>plot</v>
      </c>
    </row>
    <row r="733" spans="1:29" x14ac:dyDescent="0.35">
      <c r="A733" t="s">
        <v>48</v>
      </c>
      <c r="B733">
        <v>52094</v>
      </c>
      <c r="C733" t="s">
        <v>53</v>
      </c>
      <c r="D733">
        <v>53234</v>
      </c>
      <c r="E733" t="s">
        <v>109</v>
      </c>
      <c r="F733">
        <v>12195</v>
      </c>
      <c r="G733">
        <v>0.866446600696272</v>
      </c>
      <c r="H733">
        <v>0</v>
      </c>
      <c r="I733">
        <v>0</v>
      </c>
      <c r="J733">
        <v>0.74652837235664127</v>
      </c>
      <c r="K733">
        <v>0</v>
      </c>
      <c r="L733">
        <v>0</v>
      </c>
      <c r="M733">
        <v>0.55523821070222246</v>
      </c>
      <c r="N733">
        <v>0</v>
      </c>
      <c r="O733">
        <v>0</v>
      </c>
      <c r="P733">
        <v>0.75072971185812498</v>
      </c>
      <c r="Q733">
        <v>1.811320113785295</v>
      </c>
      <c r="R733">
        <v>-1.4369211918449301</v>
      </c>
      <c r="S733">
        <v>0.22566689405795909</v>
      </c>
      <c r="T733">
        <v>0.17466680282358471</v>
      </c>
      <c r="U733">
        <v>4.3332006944649448</v>
      </c>
      <c r="V733">
        <v>0.21622056265579431</v>
      </c>
      <c r="W733">
        <v>6.4118923831078316</v>
      </c>
      <c r="X733">
        <v>0.45201245389812839</v>
      </c>
      <c r="Z733" t="s">
        <v>392</v>
      </c>
      <c r="AA733">
        <v>9400</v>
      </c>
      <c r="AB733" t="s">
        <v>3152</v>
      </c>
      <c r="AC733" t="str">
        <f>HYPERLINK("plots/3FT6Y578R01_012_S11P_20251111092011_M5358ACSH101811_RBGEUFRF26/dpll_52094/txpa_53234.png","plot")</f>
        <v>plot</v>
      </c>
    </row>
    <row r="734" spans="1:29" x14ac:dyDescent="0.35">
      <c r="A734" t="s">
        <v>48</v>
      </c>
      <c r="B734">
        <v>52094</v>
      </c>
      <c r="C734" t="s">
        <v>53</v>
      </c>
      <c r="D734">
        <v>53235</v>
      </c>
      <c r="E734" t="s">
        <v>110</v>
      </c>
      <c r="F734">
        <v>12187</v>
      </c>
      <c r="G734">
        <v>0.85770139105163612</v>
      </c>
      <c r="H734">
        <v>0</v>
      </c>
      <c r="I734">
        <v>0</v>
      </c>
      <c r="J734">
        <v>0.74012534334870239</v>
      </c>
      <c r="K734">
        <v>0</v>
      </c>
      <c r="L734">
        <v>0</v>
      </c>
      <c r="M734">
        <v>0.54717097305632134</v>
      </c>
      <c r="N734">
        <v>0</v>
      </c>
      <c r="O734">
        <v>0</v>
      </c>
      <c r="P734">
        <v>0.73565167621191163</v>
      </c>
      <c r="Q734">
        <v>1.90002374707904</v>
      </c>
      <c r="R734">
        <v>-0.87836400658182434</v>
      </c>
      <c r="S734">
        <v>0.24623420123333159</v>
      </c>
      <c r="T734">
        <v>0.1878706396236581</v>
      </c>
      <c r="U734">
        <v>4.3333362802986786</v>
      </c>
      <c r="V734">
        <v>0.21619965608328831</v>
      </c>
      <c r="W734">
        <v>7.3550778300648236</v>
      </c>
      <c r="X734">
        <v>0.4789364748084442</v>
      </c>
      <c r="Z734" t="s">
        <v>392</v>
      </c>
      <c r="AA734">
        <v>9400</v>
      </c>
      <c r="AB734" t="s">
        <v>3153</v>
      </c>
      <c r="AC734" t="str">
        <f>HYPERLINK("plots/3FT6Y578R01_012_S11P_20251111092011_M5358ACSH101811_RBGEUFRF26/dpll_52094/txpa_53235.png","plot")</f>
        <v>plot</v>
      </c>
    </row>
    <row r="735" spans="1:29" x14ac:dyDescent="0.35">
      <c r="A735" t="s">
        <v>48</v>
      </c>
      <c r="B735">
        <v>52094</v>
      </c>
      <c r="C735" t="s">
        <v>53</v>
      </c>
      <c r="D735">
        <v>53236</v>
      </c>
      <c r="E735" t="s">
        <v>111</v>
      </c>
      <c r="F735">
        <v>12192</v>
      </c>
      <c r="G735">
        <v>0.86576359127666425</v>
      </c>
      <c r="H735">
        <v>0</v>
      </c>
      <c r="I735">
        <v>0</v>
      </c>
      <c r="J735">
        <v>0.74961912950188547</v>
      </c>
      <c r="K735">
        <v>0</v>
      </c>
      <c r="L735">
        <v>0</v>
      </c>
      <c r="M735">
        <v>0.55773027457546032</v>
      </c>
      <c r="N735">
        <v>0</v>
      </c>
      <c r="O735">
        <v>0</v>
      </c>
      <c r="P735">
        <v>0.74954659598026696</v>
      </c>
      <c r="Q735">
        <v>1.925597982150048</v>
      </c>
      <c r="R735">
        <v>-0.9529286868963176</v>
      </c>
      <c r="S735">
        <v>0.24070391643004821</v>
      </c>
      <c r="T735">
        <v>0.18566231510352041</v>
      </c>
      <c r="U735">
        <v>4.3331881824967198</v>
      </c>
      <c r="V735">
        <v>0.21625750817899539</v>
      </c>
      <c r="W735">
        <v>7.3910497335957999</v>
      </c>
      <c r="X735">
        <v>0.48099160737425561</v>
      </c>
      <c r="Z735" t="s">
        <v>392</v>
      </c>
      <c r="AA735">
        <v>9400</v>
      </c>
      <c r="AB735" t="s">
        <v>3154</v>
      </c>
      <c r="AC735" t="str">
        <f>HYPERLINK("plots/3FT6Y578R01_012_S11P_20251111092011_M5358ACSH101811_RBGEUFRF26/dpll_52094/txpa_53236.png","plot")</f>
        <v>plot</v>
      </c>
    </row>
    <row r="736" spans="1:29" x14ac:dyDescent="0.35">
      <c r="A736" t="s">
        <v>48</v>
      </c>
      <c r="B736">
        <v>52094</v>
      </c>
      <c r="C736" t="s">
        <v>53</v>
      </c>
      <c r="D736">
        <v>53237</v>
      </c>
      <c r="E736" t="s">
        <v>112</v>
      </c>
      <c r="F736">
        <v>12188</v>
      </c>
      <c r="G736">
        <v>0.86503583296314446</v>
      </c>
      <c r="H736">
        <v>0</v>
      </c>
      <c r="I736">
        <v>0</v>
      </c>
      <c r="J736">
        <v>0.74440823968877268</v>
      </c>
      <c r="K736">
        <v>0</v>
      </c>
      <c r="L736">
        <v>0</v>
      </c>
      <c r="M736">
        <v>0.55263462344880687</v>
      </c>
      <c r="N736">
        <v>0</v>
      </c>
      <c r="O736">
        <v>0</v>
      </c>
      <c r="P736">
        <v>0.74828699231024121</v>
      </c>
      <c r="Q736">
        <v>1.9054091075890669</v>
      </c>
      <c r="R736">
        <v>-0.85350357817495048</v>
      </c>
      <c r="S736">
        <v>0.23893164800864131</v>
      </c>
      <c r="T736">
        <v>0.18381207736427041</v>
      </c>
      <c r="U736">
        <v>4.3333251926485072</v>
      </c>
      <c r="V736">
        <v>0.21621435650413701</v>
      </c>
      <c r="W736">
        <v>7.403253710042665</v>
      </c>
      <c r="X736">
        <v>0.47625403292633861</v>
      </c>
      <c r="Z736" t="s">
        <v>392</v>
      </c>
      <c r="AA736">
        <v>9400</v>
      </c>
      <c r="AB736" t="s">
        <v>3155</v>
      </c>
      <c r="AC736" t="str">
        <f>HYPERLINK("plots/3FT6Y578R01_012_S11P_20251111092011_M5358ACSH101811_RBGEUFRF26/dpll_52094/txpa_53237.png","plot")</f>
        <v>plot</v>
      </c>
    </row>
    <row r="737" spans="1:29" x14ac:dyDescent="0.35">
      <c r="A737" t="s">
        <v>48</v>
      </c>
      <c r="B737">
        <v>52094</v>
      </c>
      <c r="C737" t="s">
        <v>53</v>
      </c>
      <c r="D737">
        <v>53238</v>
      </c>
      <c r="E737" t="s">
        <v>113</v>
      </c>
      <c r="F737">
        <v>12200</v>
      </c>
      <c r="G737">
        <v>0.87007127871040124</v>
      </c>
      <c r="H737">
        <v>0</v>
      </c>
      <c r="I737">
        <v>0</v>
      </c>
      <c r="J737">
        <v>0.75258860192391086</v>
      </c>
      <c r="K737">
        <v>0</v>
      </c>
      <c r="L737">
        <v>0</v>
      </c>
      <c r="M737">
        <v>0.56071000411440575</v>
      </c>
      <c r="N737">
        <v>0</v>
      </c>
      <c r="O737">
        <v>0</v>
      </c>
      <c r="P737">
        <v>0.75702403003675267</v>
      </c>
      <c r="Q737">
        <v>1.929817131931959</v>
      </c>
      <c r="R737">
        <v>-0.9387447965472786</v>
      </c>
      <c r="S737">
        <v>0.23655693231443051</v>
      </c>
      <c r="T737">
        <v>0.1828928764633104</v>
      </c>
      <c r="U737">
        <v>4.3329999236065584</v>
      </c>
      <c r="V737">
        <v>0.21637669960389441</v>
      </c>
      <c r="W737">
        <v>7.423152688688524</v>
      </c>
      <c r="X737">
        <v>0.47992327992414491</v>
      </c>
      <c r="Z737" t="s">
        <v>392</v>
      </c>
      <c r="AA737">
        <v>9400</v>
      </c>
      <c r="AB737" t="s">
        <v>3156</v>
      </c>
      <c r="AC737" t="str">
        <f>HYPERLINK("plots/3FT6Y578R01_012_S11P_20251111092011_M5358ACSH101811_RBGEUFRF26/dpll_52094/txpa_53238.png","plot")</f>
        <v>plot</v>
      </c>
    </row>
    <row r="738" spans="1:29" x14ac:dyDescent="0.35">
      <c r="A738" t="s">
        <v>48</v>
      </c>
      <c r="B738">
        <v>52094</v>
      </c>
      <c r="C738" t="s">
        <v>53</v>
      </c>
      <c r="D738">
        <v>53239</v>
      </c>
      <c r="E738" t="s">
        <v>114</v>
      </c>
      <c r="F738">
        <v>12190</v>
      </c>
      <c r="G738">
        <v>0.87081599669815313</v>
      </c>
      <c r="H738">
        <v>0</v>
      </c>
      <c r="I738">
        <v>0</v>
      </c>
      <c r="J738">
        <v>0.75238321480182047</v>
      </c>
      <c r="K738">
        <v>0</v>
      </c>
      <c r="L738">
        <v>0</v>
      </c>
      <c r="M738">
        <v>0.56021641074775752</v>
      </c>
      <c r="N738">
        <v>0</v>
      </c>
      <c r="O738">
        <v>0</v>
      </c>
      <c r="P738">
        <v>0.75832050010539787</v>
      </c>
      <c r="Q738">
        <v>1.936902509724016</v>
      </c>
      <c r="R738">
        <v>-0.99498702961027785</v>
      </c>
      <c r="S738">
        <v>0.23639814125956651</v>
      </c>
      <c r="T738">
        <v>0.18356750091073981</v>
      </c>
      <c r="U738">
        <v>4.3332482737489748</v>
      </c>
      <c r="V738">
        <v>0.21620244519887349</v>
      </c>
      <c r="W738">
        <v>7.3980924270713686</v>
      </c>
      <c r="X738">
        <v>0.48088581319357743</v>
      </c>
      <c r="Z738" t="s">
        <v>392</v>
      </c>
      <c r="AA738">
        <v>9400</v>
      </c>
      <c r="AB738" t="s">
        <v>3157</v>
      </c>
      <c r="AC738" t="str">
        <f>HYPERLINK("plots/3FT6Y578R01_012_S11P_20251111092011_M5358ACSH101811_RBGEUFRF26/dpll_52094/txpa_53239.png","plot")</f>
        <v>plot</v>
      </c>
    </row>
    <row r="739" spans="1:29" x14ac:dyDescent="0.35">
      <c r="A739" t="s">
        <v>48</v>
      </c>
      <c r="B739">
        <v>52094</v>
      </c>
      <c r="C739" t="s">
        <v>53</v>
      </c>
      <c r="D739">
        <v>53240</v>
      </c>
      <c r="E739" t="s">
        <v>115</v>
      </c>
      <c r="F739">
        <v>12204</v>
      </c>
      <c r="G739">
        <v>0.87082212002286252</v>
      </c>
      <c r="H739">
        <v>0</v>
      </c>
      <c r="I739">
        <v>0</v>
      </c>
      <c r="J739">
        <v>0.75539840280914095</v>
      </c>
      <c r="K739">
        <v>0</v>
      </c>
      <c r="L739">
        <v>0</v>
      </c>
      <c r="M739">
        <v>0.56334055306963848</v>
      </c>
      <c r="N739">
        <v>0</v>
      </c>
      <c r="O739">
        <v>0</v>
      </c>
      <c r="P739">
        <v>0.75833116472111273</v>
      </c>
      <c r="Q739">
        <v>1.9501188949216599</v>
      </c>
      <c r="R739">
        <v>-1.0556520791222479</v>
      </c>
      <c r="S739">
        <v>0.23818601675661871</v>
      </c>
      <c r="T739">
        <v>0.18455671394733569</v>
      </c>
      <c r="U739">
        <v>4.3328250753031794</v>
      </c>
      <c r="V739">
        <v>0.216367532797168</v>
      </c>
      <c r="W739">
        <v>7.393871968616847</v>
      </c>
      <c r="X739">
        <v>0.48453341302843927</v>
      </c>
      <c r="Z739" t="s">
        <v>392</v>
      </c>
      <c r="AA739">
        <v>9400</v>
      </c>
      <c r="AB739" t="s">
        <v>3158</v>
      </c>
      <c r="AC739" t="str">
        <f>HYPERLINK("plots/3FT6Y578R01_012_S11P_20251111092011_M5358ACSH101811_RBGEUFRF26/dpll_52094/txpa_53240.png","plot")</f>
        <v>plot</v>
      </c>
    </row>
    <row r="740" spans="1:29" x14ac:dyDescent="0.35">
      <c r="A740" t="s">
        <v>48</v>
      </c>
      <c r="B740">
        <v>52094</v>
      </c>
      <c r="C740" t="s">
        <v>53</v>
      </c>
      <c r="D740">
        <v>53241</v>
      </c>
      <c r="E740" t="s">
        <v>116</v>
      </c>
      <c r="F740">
        <v>12186</v>
      </c>
      <c r="G740">
        <v>0.87182114066524385</v>
      </c>
      <c r="H740">
        <v>0</v>
      </c>
      <c r="I740">
        <v>0</v>
      </c>
      <c r="J740">
        <v>0.75122364304098976</v>
      </c>
      <c r="K740">
        <v>0</v>
      </c>
      <c r="L740">
        <v>0</v>
      </c>
      <c r="M740">
        <v>0.56045296759259811</v>
      </c>
      <c r="N740">
        <v>0</v>
      </c>
      <c r="O740">
        <v>0</v>
      </c>
      <c r="P740">
        <v>0.7600721013108469</v>
      </c>
      <c r="Q740">
        <v>1.9373603606312899</v>
      </c>
      <c r="R740">
        <v>-0.99034799480732172</v>
      </c>
      <c r="S740">
        <v>0.23521245568517651</v>
      </c>
      <c r="T740">
        <v>0.1823627665140127</v>
      </c>
      <c r="U740">
        <v>4.3334344627441332</v>
      </c>
      <c r="V740">
        <v>0.21609999028362989</v>
      </c>
      <c r="W740">
        <v>7.4050761587067138</v>
      </c>
      <c r="X740">
        <v>0.48021725509988211</v>
      </c>
      <c r="Z740" t="s">
        <v>392</v>
      </c>
      <c r="AA740">
        <v>9400</v>
      </c>
      <c r="AB740" t="s">
        <v>3159</v>
      </c>
      <c r="AC740" t="str">
        <f>HYPERLINK("plots/3FT6Y578R01_012_S11P_20251111092011_M5358ACSH101811_RBGEUFRF26/dpll_52094/txpa_53241.png","plot")</f>
        <v>plot</v>
      </c>
    </row>
    <row r="741" spans="1:29" x14ac:dyDescent="0.35">
      <c r="A741" t="s">
        <v>48</v>
      </c>
      <c r="B741">
        <v>52094</v>
      </c>
      <c r="C741" t="s">
        <v>53</v>
      </c>
      <c r="D741">
        <v>53242</v>
      </c>
      <c r="E741" t="s">
        <v>117</v>
      </c>
      <c r="F741">
        <v>12177</v>
      </c>
      <c r="G741">
        <v>0.86877739613290583</v>
      </c>
      <c r="H741">
        <v>0</v>
      </c>
      <c r="I741">
        <v>0</v>
      </c>
      <c r="J741">
        <v>0.7461884892674675</v>
      </c>
      <c r="K741">
        <v>0</v>
      </c>
      <c r="L741">
        <v>0</v>
      </c>
      <c r="M741">
        <v>0.55548395577742615</v>
      </c>
      <c r="N741">
        <v>0</v>
      </c>
      <c r="O741">
        <v>0</v>
      </c>
      <c r="P741">
        <v>0.75477416403147202</v>
      </c>
      <c r="Q741">
        <v>1.9139288361180651</v>
      </c>
      <c r="R741">
        <v>-0.90730291279210906</v>
      </c>
      <c r="S741">
        <v>0.23561209968266089</v>
      </c>
      <c r="T741">
        <v>0.18309413144940581</v>
      </c>
      <c r="U741">
        <v>4.333691920752238</v>
      </c>
      <c r="V741">
        <v>0.21598074662445679</v>
      </c>
      <c r="W741">
        <v>7.387075021187484</v>
      </c>
      <c r="X741">
        <v>0.47580862583540279</v>
      </c>
      <c r="Z741" t="s">
        <v>392</v>
      </c>
      <c r="AA741">
        <v>9400</v>
      </c>
      <c r="AB741" t="s">
        <v>3160</v>
      </c>
      <c r="AC741" t="str">
        <f>HYPERLINK("plots/3FT6Y578R01_012_S11P_20251111092011_M5358ACSH101811_RBGEUFRF26/dpll_52094/txpa_53242.png","plot")</f>
        <v>plot</v>
      </c>
    </row>
    <row r="742" spans="1:29" x14ac:dyDescent="0.35">
      <c r="A742" t="s">
        <v>48</v>
      </c>
      <c r="B742">
        <v>52094</v>
      </c>
      <c r="C742" t="s">
        <v>53</v>
      </c>
      <c r="D742">
        <v>53243</v>
      </c>
      <c r="E742" t="s">
        <v>118</v>
      </c>
      <c r="F742">
        <v>12162</v>
      </c>
      <c r="G742">
        <v>0.86052955973989054</v>
      </c>
      <c r="H742">
        <v>0</v>
      </c>
      <c r="I742">
        <v>0</v>
      </c>
      <c r="J742">
        <v>0.73966622140583727</v>
      </c>
      <c r="K742">
        <v>0</v>
      </c>
      <c r="L742">
        <v>0</v>
      </c>
      <c r="M742">
        <v>0.54742250899619049</v>
      </c>
      <c r="N742">
        <v>0</v>
      </c>
      <c r="O742">
        <v>0</v>
      </c>
      <c r="P742">
        <v>0.74051112318612988</v>
      </c>
      <c r="Q742">
        <v>2.0084795906614619</v>
      </c>
      <c r="R742">
        <v>-0.40986624075207168</v>
      </c>
      <c r="S742">
        <v>0.25664908998348701</v>
      </c>
      <c r="T742">
        <v>0.1969289984853192</v>
      </c>
      <c r="U742">
        <v>4.3340201346817961</v>
      </c>
      <c r="V742">
        <v>0.21587213219616061</v>
      </c>
      <c r="W742">
        <v>8.2949247452721586</v>
      </c>
      <c r="X742">
        <v>0.50384645919614535</v>
      </c>
      <c r="Z742" t="s">
        <v>392</v>
      </c>
      <c r="AA742">
        <v>9400</v>
      </c>
      <c r="AB742" t="s">
        <v>3161</v>
      </c>
      <c r="AC742" t="str">
        <f>HYPERLINK("plots/3FT6Y578R01_012_S11P_20251111092011_M5358ACSH101811_RBGEUFRF26/dpll_52094/txpa_53243.png","plot")</f>
        <v>plot</v>
      </c>
    </row>
    <row r="743" spans="1:29" x14ac:dyDescent="0.35">
      <c r="A743" t="s">
        <v>48</v>
      </c>
      <c r="B743">
        <v>52094</v>
      </c>
      <c r="C743" t="s">
        <v>53</v>
      </c>
      <c r="D743">
        <v>53244</v>
      </c>
      <c r="E743" t="s">
        <v>119</v>
      </c>
      <c r="F743">
        <v>12173</v>
      </c>
      <c r="G743">
        <v>0.86767929510915609</v>
      </c>
      <c r="H743">
        <v>0</v>
      </c>
      <c r="I743">
        <v>0</v>
      </c>
      <c r="J743">
        <v>0.74879174441294416</v>
      </c>
      <c r="K743">
        <v>0</v>
      </c>
      <c r="L743">
        <v>0</v>
      </c>
      <c r="M743">
        <v>0.55748719375244271</v>
      </c>
      <c r="N743">
        <v>0</v>
      </c>
      <c r="O743">
        <v>0</v>
      </c>
      <c r="P743">
        <v>0.75286735916112202</v>
      </c>
      <c r="Q743">
        <v>2.0379199248851081</v>
      </c>
      <c r="R743">
        <v>-0.50098357100502966</v>
      </c>
      <c r="S743">
        <v>0.25217180996011329</v>
      </c>
      <c r="T743">
        <v>0.19527114977993831</v>
      </c>
      <c r="U743">
        <v>4.3337184815575451</v>
      </c>
      <c r="V743">
        <v>0.21598392966138691</v>
      </c>
      <c r="W743">
        <v>8.3307876714039271</v>
      </c>
      <c r="X743">
        <v>0.50728184502380147</v>
      </c>
      <c r="Z743" t="s">
        <v>392</v>
      </c>
      <c r="AA743">
        <v>9400</v>
      </c>
      <c r="AB743" t="s">
        <v>3162</v>
      </c>
      <c r="AC743" t="str">
        <f>HYPERLINK("plots/3FT6Y578R01_012_S11P_20251111092011_M5358ACSH101811_RBGEUFRF26/dpll_52094/txpa_53244.png","plot")</f>
        <v>plot</v>
      </c>
    </row>
    <row r="744" spans="1:29" x14ac:dyDescent="0.35">
      <c r="A744" t="s">
        <v>48</v>
      </c>
      <c r="B744">
        <v>52094</v>
      </c>
      <c r="C744" t="s">
        <v>53</v>
      </c>
      <c r="D744">
        <v>53245</v>
      </c>
      <c r="E744" t="s">
        <v>120</v>
      </c>
      <c r="F744">
        <v>12158</v>
      </c>
      <c r="G744">
        <v>0.86750861500637155</v>
      </c>
      <c r="H744">
        <v>0</v>
      </c>
      <c r="I744">
        <v>0</v>
      </c>
      <c r="J744">
        <v>0.74331683317714747</v>
      </c>
      <c r="K744">
        <v>0</v>
      </c>
      <c r="L744">
        <v>0</v>
      </c>
      <c r="M744">
        <v>0.55220725991412944</v>
      </c>
      <c r="N744">
        <v>0</v>
      </c>
      <c r="O744">
        <v>0</v>
      </c>
      <c r="P744">
        <v>0.75257119711027298</v>
      </c>
      <c r="Q744">
        <v>2.0116248866363682</v>
      </c>
      <c r="R744">
        <v>-0.37399112623081798</v>
      </c>
      <c r="S744">
        <v>0.2487833385512625</v>
      </c>
      <c r="T744">
        <v>0.19268969420408569</v>
      </c>
      <c r="U744">
        <v>4.3342072139332144</v>
      </c>
      <c r="V744">
        <v>0.21569536970863151</v>
      </c>
      <c r="W744">
        <v>8.3448079691561112</v>
      </c>
      <c r="X744">
        <v>0.5001658382780767</v>
      </c>
      <c r="Z744" t="s">
        <v>392</v>
      </c>
      <c r="AA744">
        <v>9400</v>
      </c>
      <c r="AB744" t="s">
        <v>3163</v>
      </c>
      <c r="AC744" t="str">
        <f>HYPERLINK("plots/3FT6Y578R01_012_S11P_20251111092011_M5358ACSH101811_RBGEUFRF26/dpll_52094/txpa_53245.png","plot")</f>
        <v>plot</v>
      </c>
    </row>
    <row r="745" spans="1:29" x14ac:dyDescent="0.35">
      <c r="A745" t="s">
        <v>48</v>
      </c>
      <c r="B745">
        <v>52094</v>
      </c>
      <c r="C745" t="s">
        <v>53</v>
      </c>
      <c r="D745">
        <v>53246</v>
      </c>
      <c r="E745" t="s">
        <v>121</v>
      </c>
      <c r="F745">
        <v>12183</v>
      </c>
      <c r="G745">
        <v>0.87164311071672085</v>
      </c>
      <c r="H745">
        <v>0</v>
      </c>
      <c r="I745">
        <v>0</v>
      </c>
      <c r="J745">
        <v>0.7517364918865409</v>
      </c>
      <c r="K745">
        <v>0</v>
      </c>
      <c r="L745">
        <v>0</v>
      </c>
      <c r="M745">
        <v>0.56036640523843162</v>
      </c>
      <c r="N745">
        <v>0</v>
      </c>
      <c r="O745">
        <v>0</v>
      </c>
      <c r="P745">
        <v>0.75976171245992163</v>
      </c>
      <c r="Q745">
        <v>2.0442695731342382</v>
      </c>
      <c r="R745">
        <v>-0.49631183365895382</v>
      </c>
      <c r="S745">
        <v>0.24840180130552439</v>
      </c>
      <c r="T745">
        <v>0.19273942567429761</v>
      </c>
      <c r="U745">
        <v>4.3334872428794222</v>
      </c>
      <c r="V745">
        <v>0.2160986187078206</v>
      </c>
      <c r="W745">
        <v>8.3625042825248297</v>
      </c>
      <c r="X745">
        <v>0.50681732648295508</v>
      </c>
      <c r="Z745" t="s">
        <v>392</v>
      </c>
      <c r="AA745">
        <v>9400</v>
      </c>
      <c r="AB745" t="s">
        <v>3164</v>
      </c>
      <c r="AC745" t="str">
        <f>HYPERLINK("plots/3FT6Y578R01_012_S11P_20251111092011_M5358ACSH101811_RBGEUFRF26/dpll_52094/txpa_53246.png","plot")</f>
        <v>plot</v>
      </c>
    </row>
    <row r="746" spans="1:29" x14ac:dyDescent="0.35">
      <c r="A746" t="s">
        <v>48</v>
      </c>
      <c r="B746">
        <v>52094</v>
      </c>
      <c r="C746" t="s">
        <v>53</v>
      </c>
      <c r="D746">
        <v>53247</v>
      </c>
      <c r="E746" t="s">
        <v>122</v>
      </c>
      <c r="F746">
        <v>12170</v>
      </c>
      <c r="G746">
        <v>0.87293503766910141</v>
      </c>
      <c r="H746">
        <v>0</v>
      </c>
      <c r="I746">
        <v>0</v>
      </c>
      <c r="J746">
        <v>0.75131320032663529</v>
      </c>
      <c r="K746">
        <v>0</v>
      </c>
      <c r="L746">
        <v>0</v>
      </c>
      <c r="M746">
        <v>0.55982954917696603</v>
      </c>
      <c r="N746">
        <v>0</v>
      </c>
      <c r="O746">
        <v>0</v>
      </c>
      <c r="P746">
        <v>0.76201557999035552</v>
      </c>
      <c r="Q746">
        <v>2.050392794619913</v>
      </c>
      <c r="R746">
        <v>-0.54903174368924468</v>
      </c>
      <c r="S746">
        <v>0.2474635140253148</v>
      </c>
      <c r="T746">
        <v>0.19312887219646879</v>
      </c>
      <c r="U746">
        <v>4.3337663301561218</v>
      </c>
      <c r="V746">
        <v>0.21597307639467289</v>
      </c>
      <c r="W746">
        <v>8.3368915132292525</v>
      </c>
      <c r="X746">
        <v>0.50728819506886869</v>
      </c>
      <c r="Z746" t="s">
        <v>392</v>
      </c>
      <c r="AA746">
        <v>9400</v>
      </c>
      <c r="AB746" t="s">
        <v>3165</v>
      </c>
      <c r="AC746" t="str">
        <f>HYPERLINK("plots/3FT6Y578R01_012_S11P_20251111092011_M5358ACSH101811_RBGEUFRF26/dpll_52094/txpa_53247.png","plot")</f>
        <v>plot</v>
      </c>
    </row>
    <row r="747" spans="1:29" x14ac:dyDescent="0.35">
      <c r="A747" t="s">
        <v>48</v>
      </c>
      <c r="B747">
        <v>52094</v>
      </c>
      <c r="C747" t="s">
        <v>53</v>
      </c>
      <c r="D747">
        <v>53248</v>
      </c>
      <c r="E747" t="s">
        <v>123</v>
      </c>
      <c r="F747">
        <v>12180</v>
      </c>
      <c r="G747">
        <v>0.87266250034486059</v>
      </c>
      <c r="H747">
        <v>0</v>
      </c>
      <c r="I747">
        <v>0</v>
      </c>
      <c r="J747">
        <v>0.75408348728675878</v>
      </c>
      <c r="K747">
        <v>0</v>
      </c>
      <c r="L747">
        <v>0</v>
      </c>
      <c r="M747">
        <v>0.56271342994836082</v>
      </c>
      <c r="N747">
        <v>0</v>
      </c>
      <c r="O747">
        <v>0</v>
      </c>
      <c r="P747">
        <v>0.76153983950814386</v>
      </c>
      <c r="Q747">
        <v>2.060173358672281</v>
      </c>
      <c r="R747">
        <v>-0.59386688914414343</v>
      </c>
      <c r="S747">
        <v>0.24895624740922229</v>
      </c>
      <c r="T747">
        <v>0.19386043312934489</v>
      </c>
      <c r="U747">
        <v>4.3335941670771758</v>
      </c>
      <c r="V747">
        <v>0.21596107935842149</v>
      </c>
      <c r="W747">
        <v>8.3340883611658469</v>
      </c>
      <c r="X747">
        <v>0.50983886901122311</v>
      </c>
      <c r="Z747" t="s">
        <v>392</v>
      </c>
      <c r="AA747">
        <v>9400</v>
      </c>
      <c r="AB747" t="s">
        <v>3166</v>
      </c>
      <c r="AC747" t="str">
        <f>HYPERLINK("plots/3FT6Y578R01_012_S11P_20251111092011_M5358ACSH101811_RBGEUFRF26/dpll_52094/txpa_53248.png","plot")</f>
        <v>plot</v>
      </c>
    </row>
    <row r="748" spans="1:29" x14ac:dyDescent="0.35">
      <c r="A748" t="s">
        <v>48</v>
      </c>
      <c r="B748">
        <v>52094</v>
      </c>
      <c r="C748" t="s">
        <v>53</v>
      </c>
      <c r="D748">
        <v>53249</v>
      </c>
      <c r="E748" t="s">
        <v>124</v>
      </c>
      <c r="F748">
        <v>12155</v>
      </c>
      <c r="G748">
        <v>0.87365911276418418</v>
      </c>
      <c r="H748">
        <v>0</v>
      </c>
      <c r="I748">
        <v>0</v>
      </c>
      <c r="J748">
        <v>0.74953105491387373</v>
      </c>
      <c r="K748">
        <v>0</v>
      </c>
      <c r="L748">
        <v>0</v>
      </c>
      <c r="M748">
        <v>0.55961434874979377</v>
      </c>
      <c r="N748">
        <v>0</v>
      </c>
      <c r="O748">
        <v>0</v>
      </c>
      <c r="P748">
        <v>0.76328024531590144</v>
      </c>
      <c r="Q748">
        <v>2.043763568415661</v>
      </c>
      <c r="R748">
        <v>-0.51206838542997701</v>
      </c>
      <c r="S748">
        <v>0.24532909592606519</v>
      </c>
      <c r="T748">
        <v>0.1913037584670868</v>
      </c>
      <c r="U748">
        <v>4.3343626520773348</v>
      </c>
      <c r="V748">
        <v>0.21555645411945271</v>
      </c>
      <c r="W748">
        <v>8.346344095187165</v>
      </c>
      <c r="X748">
        <v>0.50425437270647511</v>
      </c>
      <c r="Z748" t="s">
        <v>392</v>
      </c>
      <c r="AA748">
        <v>9400</v>
      </c>
      <c r="AB748" t="s">
        <v>3167</v>
      </c>
      <c r="AC748" t="str">
        <f>HYPERLINK("plots/3FT6Y578R01_012_S11P_20251111092011_M5358ACSH101811_RBGEUFRF26/dpll_52094/txpa_53249.png","plot")</f>
        <v>plot</v>
      </c>
    </row>
    <row r="749" spans="1:29" x14ac:dyDescent="0.35">
      <c r="A749" t="s">
        <v>48</v>
      </c>
      <c r="B749">
        <v>52094</v>
      </c>
      <c r="C749" t="s">
        <v>53</v>
      </c>
      <c r="D749">
        <v>53250</v>
      </c>
      <c r="E749" t="s">
        <v>125</v>
      </c>
      <c r="F749">
        <v>12164</v>
      </c>
      <c r="G749">
        <v>0.86975933652964088</v>
      </c>
      <c r="H749">
        <v>0</v>
      </c>
      <c r="I749">
        <v>0</v>
      </c>
      <c r="J749">
        <v>0.74573040300535687</v>
      </c>
      <c r="K749">
        <v>0</v>
      </c>
      <c r="L749">
        <v>0</v>
      </c>
      <c r="M749">
        <v>0.5554444798999213</v>
      </c>
      <c r="N749">
        <v>0</v>
      </c>
      <c r="O749">
        <v>0</v>
      </c>
      <c r="P749">
        <v>0.75648130348048115</v>
      </c>
      <c r="Q749">
        <v>2.0287625665649149</v>
      </c>
      <c r="R749">
        <v>-0.46750871862907323</v>
      </c>
      <c r="S749">
        <v>0.24829953276874811</v>
      </c>
      <c r="T749">
        <v>0.19318208045569329</v>
      </c>
      <c r="U749">
        <v>4.3341006193686296</v>
      </c>
      <c r="V749">
        <v>0.2157225155380105</v>
      </c>
      <c r="W749">
        <v>8.3253523776718179</v>
      </c>
      <c r="X749">
        <v>0.50318489944007527</v>
      </c>
      <c r="Z749" t="s">
        <v>392</v>
      </c>
      <c r="AA749">
        <v>9400</v>
      </c>
      <c r="AB749" t="s">
        <v>3168</v>
      </c>
      <c r="AC749" t="str">
        <f>HYPERLINK("plots/3FT6Y578R01_012_S11P_20251111092011_M5358ACSH101811_RBGEUFRF26/dpll_52094/txpa_53250.png","plot")</f>
        <v>plot</v>
      </c>
    </row>
    <row r="750" spans="1:29" x14ac:dyDescent="0.35">
      <c r="A750" t="s">
        <v>48</v>
      </c>
      <c r="B750">
        <v>52094</v>
      </c>
      <c r="C750" t="s">
        <v>53</v>
      </c>
      <c r="D750">
        <v>53251</v>
      </c>
      <c r="E750" t="s">
        <v>126</v>
      </c>
      <c r="F750">
        <v>12131</v>
      </c>
      <c r="G750">
        <v>0.86278822372264663</v>
      </c>
      <c r="H750">
        <v>0</v>
      </c>
      <c r="I750">
        <v>0</v>
      </c>
      <c r="J750">
        <v>0.73855586764680725</v>
      </c>
      <c r="K750">
        <v>0</v>
      </c>
      <c r="L750">
        <v>0</v>
      </c>
      <c r="M750">
        <v>0.54707575086648352</v>
      </c>
      <c r="N750">
        <v>0</v>
      </c>
      <c r="O750">
        <v>0</v>
      </c>
      <c r="P750">
        <v>0.74440351899447976</v>
      </c>
      <c r="Q750">
        <v>2.1412752430275268</v>
      </c>
      <c r="R750">
        <v>-4.6244984065667787E-2</v>
      </c>
      <c r="S750">
        <v>0.2701501944086353</v>
      </c>
      <c r="T750">
        <v>0.20847917665989171</v>
      </c>
      <c r="U750">
        <v>4.3349568067760282</v>
      </c>
      <c r="V750">
        <v>0.2153165750932293</v>
      </c>
      <c r="W750">
        <v>9.236090705877503</v>
      </c>
      <c r="X750">
        <v>0.53437453013825531</v>
      </c>
      <c r="Z750" t="s">
        <v>392</v>
      </c>
      <c r="AA750">
        <v>9400</v>
      </c>
      <c r="AB750" t="s">
        <v>3169</v>
      </c>
      <c r="AC750" t="str">
        <f>HYPERLINK("plots/3FT6Y578R01_012_S11P_20251111092011_M5358ACSH101811_RBGEUFRF26/dpll_52094/txpa_53251.png","plot")</f>
        <v>plot</v>
      </c>
    </row>
    <row r="751" spans="1:29" x14ac:dyDescent="0.35">
      <c r="A751" t="s">
        <v>48</v>
      </c>
      <c r="B751">
        <v>52094</v>
      </c>
      <c r="C751" t="s">
        <v>53</v>
      </c>
      <c r="D751">
        <v>53252</v>
      </c>
      <c r="E751" t="s">
        <v>127</v>
      </c>
      <c r="F751">
        <v>12142</v>
      </c>
      <c r="G751">
        <v>0.87018940884292084</v>
      </c>
      <c r="H751">
        <v>0</v>
      </c>
      <c r="I751">
        <v>0</v>
      </c>
      <c r="J751">
        <v>0.74742326847022211</v>
      </c>
      <c r="K751">
        <v>0</v>
      </c>
      <c r="L751">
        <v>0</v>
      </c>
      <c r="M751">
        <v>0.55691835757207031</v>
      </c>
      <c r="N751">
        <v>0</v>
      </c>
      <c r="O751">
        <v>0</v>
      </c>
      <c r="P751">
        <v>0.75722960726239208</v>
      </c>
      <c r="Q751">
        <v>2.1721341772618969</v>
      </c>
      <c r="R751">
        <v>-0.14342437059868021</v>
      </c>
      <c r="S751">
        <v>0.26504592780385422</v>
      </c>
      <c r="T751">
        <v>0.20668556315667261</v>
      </c>
      <c r="U751">
        <v>4.3345976112666769</v>
      </c>
      <c r="V751">
        <v>0.21551043546826801</v>
      </c>
      <c r="W751">
        <v>9.2719032455114476</v>
      </c>
      <c r="X751">
        <v>0.53794906911090667</v>
      </c>
      <c r="Z751" t="s">
        <v>392</v>
      </c>
      <c r="AA751">
        <v>9400</v>
      </c>
      <c r="AB751" t="s">
        <v>3170</v>
      </c>
      <c r="AC751" t="str">
        <f>HYPERLINK("plots/3FT6Y578R01_012_S11P_20251111092011_M5358ACSH101811_RBGEUFRF26/dpll_52094/txpa_53252.png","plot")</f>
        <v>plot</v>
      </c>
    </row>
    <row r="752" spans="1:29" x14ac:dyDescent="0.35">
      <c r="A752" t="s">
        <v>48</v>
      </c>
      <c r="B752">
        <v>52094</v>
      </c>
      <c r="C752" t="s">
        <v>53</v>
      </c>
      <c r="D752">
        <v>53253</v>
      </c>
      <c r="E752" t="s">
        <v>128</v>
      </c>
      <c r="F752">
        <v>12128</v>
      </c>
      <c r="G752">
        <v>0.86972457223517341</v>
      </c>
      <c r="H752">
        <v>0</v>
      </c>
      <c r="I752">
        <v>0</v>
      </c>
      <c r="J752">
        <v>0.74216778901484459</v>
      </c>
      <c r="K752">
        <v>0</v>
      </c>
      <c r="L752">
        <v>0</v>
      </c>
      <c r="M752">
        <v>0.5518527883363642</v>
      </c>
      <c r="N752">
        <v>0</v>
      </c>
      <c r="O752">
        <v>0</v>
      </c>
      <c r="P752">
        <v>0.75642083154965534</v>
      </c>
      <c r="Q752">
        <v>2.1461419602037828</v>
      </c>
      <c r="R752">
        <v>-1.7713116484118881E-2</v>
      </c>
      <c r="S752">
        <v>0.26205225813913741</v>
      </c>
      <c r="T752">
        <v>0.20420853169673009</v>
      </c>
      <c r="U752">
        <v>4.3350969967842996</v>
      </c>
      <c r="V752">
        <v>0.2151835334512516</v>
      </c>
      <c r="W752">
        <v>9.2860204498680741</v>
      </c>
      <c r="X752">
        <v>0.53098926375943645</v>
      </c>
      <c r="Z752" t="s">
        <v>392</v>
      </c>
      <c r="AA752">
        <v>9400</v>
      </c>
      <c r="AB752" t="s">
        <v>3171</v>
      </c>
      <c r="AC752" t="str">
        <f>HYPERLINK("plots/3FT6Y578R01_012_S11P_20251111092011_M5358ACSH101811_RBGEUFRF26/dpll_52094/txpa_53253.png","plot")</f>
        <v>plot</v>
      </c>
    </row>
    <row r="753" spans="1:29" x14ac:dyDescent="0.35">
      <c r="A753" t="s">
        <v>48</v>
      </c>
      <c r="B753">
        <v>52094</v>
      </c>
      <c r="C753" t="s">
        <v>53</v>
      </c>
      <c r="D753">
        <v>53254</v>
      </c>
      <c r="E753" t="s">
        <v>129</v>
      </c>
      <c r="F753">
        <v>12150</v>
      </c>
      <c r="G753">
        <v>0.8741887133730154</v>
      </c>
      <c r="H753">
        <v>0</v>
      </c>
      <c r="I753">
        <v>0</v>
      </c>
      <c r="J753">
        <v>0.75004948546272432</v>
      </c>
      <c r="K753">
        <v>0</v>
      </c>
      <c r="L753">
        <v>0</v>
      </c>
      <c r="M753">
        <v>0.55953843519652002</v>
      </c>
      <c r="N753">
        <v>0</v>
      </c>
      <c r="O753">
        <v>0</v>
      </c>
      <c r="P753">
        <v>0.76420590658876808</v>
      </c>
      <c r="Q753">
        <v>2.178958269569045</v>
      </c>
      <c r="R753">
        <v>-0.14034986943872421</v>
      </c>
      <c r="S753">
        <v>0.26095185601714682</v>
      </c>
      <c r="T753">
        <v>0.2041317998166064</v>
      </c>
      <c r="U753">
        <v>4.3344105051028814</v>
      </c>
      <c r="V753">
        <v>0.21560959520215139</v>
      </c>
      <c r="W753">
        <v>9.3041497443621388</v>
      </c>
      <c r="X753">
        <v>0.53741749724889998</v>
      </c>
      <c r="Z753" t="s">
        <v>392</v>
      </c>
      <c r="AA753">
        <v>9400</v>
      </c>
      <c r="AB753" t="s">
        <v>3172</v>
      </c>
      <c r="AC753" t="str">
        <f>HYPERLINK("plots/3FT6Y578R01_012_S11P_20251111092011_M5358ACSH101811_RBGEUFRF26/dpll_52094/txpa_53254.png","plot")</f>
        <v>plot</v>
      </c>
    </row>
    <row r="754" spans="1:29" x14ac:dyDescent="0.35">
      <c r="A754" t="s">
        <v>48</v>
      </c>
      <c r="B754">
        <v>52094</v>
      </c>
      <c r="C754" t="s">
        <v>53</v>
      </c>
      <c r="D754">
        <v>53255</v>
      </c>
      <c r="E754" t="s">
        <v>130</v>
      </c>
      <c r="F754">
        <v>12131</v>
      </c>
      <c r="G754">
        <v>0.87484262686018666</v>
      </c>
      <c r="H754">
        <v>0</v>
      </c>
      <c r="I754">
        <v>0</v>
      </c>
      <c r="J754">
        <v>0.74901653894823972</v>
      </c>
      <c r="K754">
        <v>0</v>
      </c>
      <c r="L754">
        <v>0</v>
      </c>
      <c r="M754">
        <v>0.55845944488651467</v>
      </c>
      <c r="N754">
        <v>0</v>
      </c>
      <c r="O754">
        <v>0</v>
      </c>
      <c r="P754">
        <v>0.76534962177163179</v>
      </c>
      <c r="Q754">
        <v>2.1807451220408089</v>
      </c>
      <c r="R754">
        <v>-0.17508105689226211</v>
      </c>
      <c r="S754">
        <v>0.25991614721439071</v>
      </c>
      <c r="T754">
        <v>0.20424437176185009</v>
      </c>
      <c r="U754">
        <v>4.3349475617838591</v>
      </c>
      <c r="V754">
        <v>0.21526110169801249</v>
      </c>
      <c r="W754">
        <v>9.2783346927705868</v>
      </c>
      <c r="X754">
        <v>0.53658747651318284</v>
      </c>
      <c r="Z754" t="s">
        <v>392</v>
      </c>
      <c r="AA754">
        <v>9400</v>
      </c>
      <c r="AB754" t="s">
        <v>3173</v>
      </c>
      <c r="AC754" t="str">
        <f>HYPERLINK("plots/3FT6Y578R01_012_S11P_20251111092011_M5358ACSH101811_RBGEUFRF26/dpll_52094/txpa_53255.png","plot")</f>
        <v>plot</v>
      </c>
    </row>
    <row r="755" spans="1:29" x14ac:dyDescent="0.35">
      <c r="A755" t="s">
        <v>48</v>
      </c>
      <c r="B755">
        <v>52094</v>
      </c>
      <c r="C755" t="s">
        <v>53</v>
      </c>
      <c r="D755">
        <v>53256</v>
      </c>
      <c r="E755" t="s">
        <v>131</v>
      </c>
      <c r="F755">
        <v>12147</v>
      </c>
      <c r="G755">
        <v>0.87510948968997859</v>
      </c>
      <c r="H755">
        <v>0</v>
      </c>
      <c r="I755">
        <v>0</v>
      </c>
      <c r="J755">
        <v>0.75234680012131305</v>
      </c>
      <c r="K755">
        <v>0</v>
      </c>
      <c r="L755">
        <v>0</v>
      </c>
      <c r="M755">
        <v>0.56188830278837698</v>
      </c>
      <c r="N755">
        <v>0</v>
      </c>
      <c r="O755">
        <v>0</v>
      </c>
      <c r="P755">
        <v>0.76581661894545472</v>
      </c>
      <c r="Q755">
        <v>2.1946385325268509</v>
      </c>
      <c r="R755">
        <v>-0.23751065338639421</v>
      </c>
      <c r="S755">
        <v>0.26148466429789968</v>
      </c>
      <c r="T755">
        <v>0.20511076324888419</v>
      </c>
      <c r="U755">
        <v>4.3345147605993253</v>
      </c>
      <c r="V755">
        <v>0.2154693283354015</v>
      </c>
      <c r="W755">
        <v>9.2751824600312833</v>
      </c>
      <c r="X755">
        <v>0.5403635729171169</v>
      </c>
      <c r="Z755" t="s">
        <v>392</v>
      </c>
      <c r="AA755">
        <v>9400</v>
      </c>
      <c r="AB755" t="s">
        <v>3174</v>
      </c>
      <c r="AC755" t="str">
        <f>HYPERLINK("plots/3FT6Y578R01_012_S11P_20251111092011_M5358ACSH101811_RBGEUFRF26/dpll_52094/txpa_53256.png","plot")</f>
        <v>plot</v>
      </c>
    </row>
    <row r="756" spans="1:29" x14ac:dyDescent="0.35">
      <c r="A756" t="s">
        <v>48</v>
      </c>
      <c r="B756">
        <v>52094</v>
      </c>
      <c r="C756" t="s">
        <v>53</v>
      </c>
      <c r="D756">
        <v>53257</v>
      </c>
      <c r="E756" t="s">
        <v>132</v>
      </c>
      <c r="F756">
        <v>12116</v>
      </c>
      <c r="G756">
        <v>0.875614253079538</v>
      </c>
      <c r="H756">
        <v>0</v>
      </c>
      <c r="I756">
        <v>0</v>
      </c>
      <c r="J756">
        <v>0.7474179794799779</v>
      </c>
      <c r="K756">
        <v>0</v>
      </c>
      <c r="L756">
        <v>0</v>
      </c>
      <c r="M756">
        <v>0.55852661237561974</v>
      </c>
      <c r="N756">
        <v>0</v>
      </c>
      <c r="O756">
        <v>0</v>
      </c>
      <c r="P756">
        <v>0.76670032019603718</v>
      </c>
      <c r="Q756">
        <v>2.1740576512614171</v>
      </c>
      <c r="R756">
        <v>-0.13685859904912509</v>
      </c>
      <c r="S756">
        <v>0.25768139114940752</v>
      </c>
      <c r="T756">
        <v>0.2024526795664745</v>
      </c>
      <c r="U756">
        <v>4.3355279421426207</v>
      </c>
      <c r="V756">
        <v>0.2148748933040083</v>
      </c>
      <c r="W756">
        <v>9.2888290958237043</v>
      </c>
      <c r="X756">
        <v>0.5335116510593455</v>
      </c>
      <c r="Z756" t="s">
        <v>392</v>
      </c>
      <c r="AA756">
        <v>9400</v>
      </c>
      <c r="AB756" t="s">
        <v>3175</v>
      </c>
      <c r="AC756" t="str">
        <f>HYPERLINK("plots/3FT6Y578R01_012_S11P_20251111092011_M5358ACSH101811_RBGEUFRF26/dpll_52094/txpa_53257.png","plot")</f>
        <v>plot</v>
      </c>
    </row>
    <row r="757" spans="1:29" x14ac:dyDescent="0.35">
      <c r="A757" t="s">
        <v>48</v>
      </c>
      <c r="B757">
        <v>52094</v>
      </c>
      <c r="C757" t="s">
        <v>53</v>
      </c>
      <c r="D757">
        <v>53258</v>
      </c>
      <c r="E757" t="s">
        <v>133</v>
      </c>
      <c r="F757">
        <v>12137</v>
      </c>
      <c r="G757">
        <v>0.87133676620872769</v>
      </c>
      <c r="H757">
        <v>0</v>
      </c>
      <c r="I757">
        <v>0</v>
      </c>
      <c r="J757">
        <v>0.74420929295383342</v>
      </c>
      <c r="K757">
        <v>0</v>
      </c>
      <c r="L757">
        <v>0</v>
      </c>
      <c r="M757">
        <v>0.55460997418510827</v>
      </c>
      <c r="N757">
        <v>0</v>
      </c>
      <c r="O757">
        <v>0</v>
      </c>
      <c r="P757">
        <v>0.75922776014708293</v>
      </c>
      <c r="Q757">
        <v>2.1660748417718438</v>
      </c>
      <c r="R757">
        <v>-0.12360516777626</v>
      </c>
      <c r="S757">
        <v>0.26253547867442578</v>
      </c>
      <c r="T757">
        <v>0.2052259412925943</v>
      </c>
      <c r="U757">
        <v>4.334903659965395</v>
      </c>
      <c r="V757">
        <v>0.21523617653678631</v>
      </c>
      <c r="W757">
        <v>9.2661205915794689</v>
      </c>
      <c r="X757">
        <v>0.53506024893687776</v>
      </c>
      <c r="Z757" t="s">
        <v>392</v>
      </c>
      <c r="AA757">
        <v>9400</v>
      </c>
      <c r="AB757" t="s">
        <v>3176</v>
      </c>
      <c r="AC757" t="str">
        <f>HYPERLINK("plots/3FT6Y578R01_012_S11P_20251111092011_M5358ACSH101811_RBGEUFRF26/dpll_52094/txpa_53258.png","plot")</f>
        <v>plot</v>
      </c>
    </row>
    <row r="758" spans="1:29" x14ac:dyDescent="0.35">
      <c r="A758" t="s">
        <v>48</v>
      </c>
      <c r="B758">
        <v>52094</v>
      </c>
      <c r="C758" t="s">
        <v>53</v>
      </c>
      <c r="D758">
        <v>53259</v>
      </c>
      <c r="E758" t="s">
        <v>134</v>
      </c>
      <c r="F758">
        <v>12114</v>
      </c>
      <c r="G758">
        <v>0.86380089719937714</v>
      </c>
      <c r="H758">
        <v>0</v>
      </c>
      <c r="I758">
        <v>0</v>
      </c>
      <c r="J758">
        <v>0.73729207941343533</v>
      </c>
      <c r="K758">
        <v>0</v>
      </c>
      <c r="L758">
        <v>0</v>
      </c>
      <c r="M758">
        <v>0.54633689824249954</v>
      </c>
      <c r="N758">
        <v>0</v>
      </c>
      <c r="O758">
        <v>0</v>
      </c>
      <c r="P758">
        <v>0.74615199000244892</v>
      </c>
      <c r="Q758">
        <v>2.218825055113554</v>
      </c>
      <c r="R758">
        <v>6.9549898625245632E-2</v>
      </c>
      <c r="S758">
        <v>0.27833142580229431</v>
      </c>
      <c r="T758">
        <v>0.21552523588525499</v>
      </c>
      <c r="U758">
        <v>4.3354336807000156</v>
      </c>
      <c r="V758">
        <v>0.2150720022720759</v>
      </c>
      <c r="W758">
        <v>9.6891187741456175</v>
      </c>
      <c r="X758">
        <v>0.55245039550424913</v>
      </c>
      <c r="Z758" t="s">
        <v>392</v>
      </c>
      <c r="AA758">
        <v>9400</v>
      </c>
      <c r="AB758" t="s">
        <v>3177</v>
      </c>
      <c r="AC758" t="str">
        <f>HYPERLINK("plots/3FT6Y578R01_012_S11P_20251111092011_M5358ACSH101811_RBGEUFRF26/dpll_52094/txpa_53259.png","plot")</f>
        <v>plot</v>
      </c>
    </row>
    <row r="759" spans="1:29" x14ac:dyDescent="0.35">
      <c r="A759" t="s">
        <v>48</v>
      </c>
      <c r="B759">
        <v>52094</v>
      </c>
      <c r="C759" t="s">
        <v>53</v>
      </c>
      <c r="D759">
        <v>53260</v>
      </c>
      <c r="E759" t="s">
        <v>135</v>
      </c>
      <c r="F759">
        <v>12130</v>
      </c>
      <c r="G759">
        <v>0.87066552859455348</v>
      </c>
      <c r="H759">
        <v>0</v>
      </c>
      <c r="I759">
        <v>0</v>
      </c>
      <c r="J759">
        <v>0.74608237094637109</v>
      </c>
      <c r="K759">
        <v>0</v>
      </c>
      <c r="L759">
        <v>0</v>
      </c>
      <c r="M759">
        <v>0.55597937781787821</v>
      </c>
      <c r="N759">
        <v>0</v>
      </c>
      <c r="O759">
        <v>0</v>
      </c>
      <c r="P759">
        <v>0.75805846268283328</v>
      </c>
      <c r="Q759">
        <v>2.2529623614689611</v>
      </c>
      <c r="R759">
        <v>-4.2062210300422009E-2</v>
      </c>
      <c r="S759">
        <v>0.27402900343710368</v>
      </c>
      <c r="T759">
        <v>0.21418365850454771</v>
      </c>
      <c r="U759">
        <v>4.33495167518549</v>
      </c>
      <c r="V759">
        <v>0.21530624640262261</v>
      </c>
      <c r="W759">
        <v>9.7244207526793076</v>
      </c>
      <c r="X759">
        <v>0.55713342656081954</v>
      </c>
      <c r="Z759" t="s">
        <v>392</v>
      </c>
      <c r="AA759">
        <v>9400</v>
      </c>
      <c r="AB759" t="s">
        <v>3178</v>
      </c>
      <c r="AC759" t="str">
        <f>HYPERLINK("plots/3FT6Y578R01_012_S11P_20251111092011_M5358ACSH101811_RBGEUFRF26/dpll_52094/txpa_53260.png","plot")</f>
        <v>plot</v>
      </c>
    </row>
    <row r="760" spans="1:29" x14ac:dyDescent="0.35">
      <c r="A760" t="s">
        <v>48</v>
      </c>
      <c r="B760">
        <v>52094</v>
      </c>
      <c r="C760" t="s">
        <v>53</v>
      </c>
      <c r="D760">
        <v>53261</v>
      </c>
      <c r="E760" t="s">
        <v>136</v>
      </c>
      <c r="F760">
        <v>12112</v>
      </c>
      <c r="G760">
        <v>0.87024042915057687</v>
      </c>
      <c r="H760">
        <v>0</v>
      </c>
      <c r="I760">
        <v>0</v>
      </c>
      <c r="J760">
        <v>0.7407533746603967</v>
      </c>
      <c r="K760">
        <v>0</v>
      </c>
      <c r="L760">
        <v>0</v>
      </c>
      <c r="M760">
        <v>0.55088673284737222</v>
      </c>
      <c r="N760">
        <v>0</v>
      </c>
      <c r="O760">
        <v>0</v>
      </c>
      <c r="P760">
        <v>0.75731840452818022</v>
      </c>
      <c r="Q760">
        <v>2.2245605527038101</v>
      </c>
      <c r="R760">
        <v>9.4454306640239238E-2</v>
      </c>
      <c r="S760">
        <v>0.27061265022019187</v>
      </c>
      <c r="T760">
        <v>0.21147355662346931</v>
      </c>
      <c r="U760">
        <v>4.3355794697820347</v>
      </c>
      <c r="V760">
        <v>0.21490307346827331</v>
      </c>
      <c r="W760">
        <v>9.739213368229855</v>
      </c>
      <c r="X760">
        <v>0.54934806965812688</v>
      </c>
      <c r="Z760" t="s">
        <v>392</v>
      </c>
      <c r="AA760">
        <v>9400</v>
      </c>
      <c r="AB760" t="s">
        <v>3179</v>
      </c>
      <c r="AC760" t="str">
        <f>HYPERLINK("plots/3FT6Y578R01_012_S11P_20251111092011_M5358ACSH101811_RBGEUFRF26/dpll_52094/txpa_53261.png","plot")</f>
        <v>plot</v>
      </c>
    </row>
    <row r="761" spans="1:29" x14ac:dyDescent="0.35">
      <c r="A761" t="s">
        <v>48</v>
      </c>
      <c r="B761">
        <v>52094</v>
      </c>
      <c r="C761" t="s">
        <v>53</v>
      </c>
      <c r="D761">
        <v>53262</v>
      </c>
      <c r="E761" t="s">
        <v>137</v>
      </c>
      <c r="F761">
        <v>12133</v>
      </c>
      <c r="G761">
        <v>0.87422912905395089</v>
      </c>
      <c r="H761">
        <v>0</v>
      </c>
      <c r="I761">
        <v>0</v>
      </c>
      <c r="J761">
        <v>0.74832609308712361</v>
      </c>
      <c r="K761">
        <v>0</v>
      </c>
      <c r="L761">
        <v>0</v>
      </c>
      <c r="M761">
        <v>0.55826356643244646</v>
      </c>
      <c r="N761">
        <v>0</v>
      </c>
      <c r="O761">
        <v>0</v>
      </c>
      <c r="P761">
        <v>0.76427657008642957</v>
      </c>
      <c r="Q761">
        <v>2.2572885500407609</v>
      </c>
      <c r="R761">
        <v>-2.7692644171924741E-2</v>
      </c>
      <c r="S761">
        <v>0.26980839615390451</v>
      </c>
      <c r="T761">
        <v>0.2115608236524841</v>
      </c>
      <c r="U761">
        <v>4.3349681862688536</v>
      </c>
      <c r="V761">
        <v>0.2152336530302634</v>
      </c>
      <c r="W761">
        <v>9.7575814074837233</v>
      </c>
      <c r="X761">
        <v>0.55574041681088493</v>
      </c>
      <c r="Z761" t="s">
        <v>392</v>
      </c>
      <c r="AA761">
        <v>9400</v>
      </c>
      <c r="AB761" t="s">
        <v>3180</v>
      </c>
      <c r="AC761" t="str">
        <f>HYPERLINK("plots/3FT6Y578R01_012_S11P_20251111092011_M5358ACSH101811_RBGEUFRF26/dpll_52094/txpa_53262.png","plot")</f>
        <v>plot</v>
      </c>
    </row>
    <row r="762" spans="1:29" x14ac:dyDescent="0.35">
      <c r="A762" t="s">
        <v>48</v>
      </c>
      <c r="B762">
        <v>52094</v>
      </c>
      <c r="C762" t="s">
        <v>53</v>
      </c>
      <c r="D762">
        <v>53263</v>
      </c>
      <c r="E762" t="s">
        <v>138</v>
      </c>
      <c r="F762">
        <v>12123</v>
      </c>
      <c r="G762">
        <v>0.87414337522802754</v>
      </c>
      <c r="H762">
        <v>0</v>
      </c>
      <c r="I762">
        <v>0</v>
      </c>
      <c r="J762">
        <v>0.74731904405861538</v>
      </c>
      <c r="K762">
        <v>0</v>
      </c>
      <c r="L762">
        <v>0</v>
      </c>
      <c r="M762">
        <v>0.55722645394114045</v>
      </c>
      <c r="N762">
        <v>0</v>
      </c>
      <c r="O762">
        <v>0</v>
      </c>
      <c r="P762">
        <v>0.76412664045504819</v>
      </c>
      <c r="Q762">
        <v>2.2629987378398591</v>
      </c>
      <c r="R762">
        <v>-8.0472624324279707E-2</v>
      </c>
      <c r="S762">
        <v>0.27038481389707719</v>
      </c>
      <c r="T762">
        <v>0.2123031615894668</v>
      </c>
      <c r="U762">
        <v>4.3352284896477773</v>
      </c>
      <c r="V762">
        <v>0.2150597423268561</v>
      </c>
      <c r="W762">
        <v>9.7301439759960395</v>
      </c>
      <c r="X762">
        <v>0.55675068785928405</v>
      </c>
      <c r="Z762" t="s">
        <v>392</v>
      </c>
      <c r="AA762">
        <v>9400</v>
      </c>
      <c r="AB762" t="s">
        <v>3181</v>
      </c>
      <c r="AC762" t="str">
        <f>HYPERLINK("plots/3FT6Y578R01_012_S11P_20251111092011_M5358ACSH101811_RBGEUFRF26/dpll_52094/txpa_53263.png","plot")</f>
        <v>plot</v>
      </c>
    </row>
    <row r="763" spans="1:29" x14ac:dyDescent="0.35">
      <c r="A763" t="s">
        <v>48</v>
      </c>
      <c r="B763">
        <v>52094</v>
      </c>
      <c r="C763" t="s">
        <v>53</v>
      </c>
      <c r="D763">
        <v>53264</v>
      </c>
      <c r="E763" t="s">
        <v>139</v>
      </c>
      <c r="F763">
        <v>12129</v>
      </c>
      <c r="G763">
        <v>0.87563104094907196</v>
      </c>
      <c r="H763">
        <v>0</v>
      </c>
      <c r="I763">
        <v>0</v>
      </c>
      <c r="J763">
        <v>0.75057704303077655</v>
      </c>
      <c r="K763">
        <v>0</v>
      </c>
      <c r="L763">
        <v>0</v>
      </c>
      <c r="M763">
        <v>0.56064806430772018</v>
      </c>
      <c r="N763">
        <v>0</v>
      </c>
      <c r="O763">
        <v>0</v>
      </c>
      <c r="P763">
        <v>0.76672971987355532</v>
      </c>
      <c r="Q763">
        <v>2.2732799540282151</v>
      </c>
      <c r="R763">
        <v>-0.12664795627951969</v>
      </c>
      <c r="S763">
        <v>0.26974689312296429</v>
      </c>
      <c r="T763">
        <v>0.21231041854643121</v>
      </c>
      <c r="U763">
        <v>4.3350577641190533</v>
      </c>
      <c r="V763">
        <v>0.21513589432090041</v>
      </c>
      <c r="W763">
        <v>9.7281519584466984</v>
      </c>
      <c r="X763">
        <v>0.55852761389266448</v>
      </c>
      <c r="Z763" t="s">
        <v>392</v>
      </c>
      <c r="AA763">
        <v>9400</v>
      </c>
      <c r="AB763" t="s">
        <v>3182</v>
      </c>
      <c r="AC763" t="str">
        <f>HYPERLINK("plots/3FT6Y578R01_012_S11P_20251111092011_M5358ACSH101811_RBGEUFRF26/dpll_52094/txpa_53264.png","plot")</f>
        <v>plot</v>
      </c>
    </row>
    <row r="764" spans="1:29" x14ac:dyDescent="0.35">
      <c r="A764" t="s">
        <v>48</v>
      </c>
      <c r="B764">
        <v>52094</v>
      </c>
      <c r="C764" t="s">
        <v>53</v>
      </c>
      <c r="D764">
        <v>53265</v>
      </c>
      <c r="E764" t="s">
        <v>140</v>
      </c>
      <c r="F764">
        <v>12105</v>
      </c>
      <c r="G764">
        <v>0.87575199704440254</v>
      </c>
      <c r="H764">
        <v>0</v>
      </c>
      <c r="I764">
        <v>0</v>
      </c>
      <c r="J764">
        <v>0.74618322352606714</v>
      </c>
      <c r="K764">
        <v>0</v>
      </c>
      <c r="L764">
        <v>0</v>
      </c>
      <c r="M764">
        <v>0.55770544040512127</v>
      </c>
      <c r="N764">
        <v>0</v>
      </c>
      <c r="O764">
        <v>0</v>
      </c>
      <c r="P764">
        <v>0.76694156032725924</v>
      </c>
      <c r="Q764">
        <v>2.255886084401225</v>
      </c>
      <c r="R764">
        <v>-4.0123572379904722E-2</v>
      </c>
      <c r="S764">
        <v>0.26692220585345527</v>
      </c>
      <c r="T764">
        <v>0.2100946536862944</v>
      </c>
      <c r="U764">
        <v>4.3358757574555966</v>
      </c>
      <c r="V764">
        <v>0.21465163379504901</v>
      </c>
      <c r="W764">
        <v>9.7411182125567954</v>
      </c>
      <c r="X764">
        <v>0.55293009357269807</v>
      </c>
      <c r="Z764" t="s">
        <v>392</v>
      </c>
      <c r="AA764">
        <v>9400</v>
      </c>
      <c r="AB764" t="s">
        <v>3183</v>
      </c>
      <c r="AC764" t="str">
        <f>HYPERLINK("plots/3FT6Y578R01_012_S11P_20251111092011_M5358ACSH101811_RBGEUFRF26/dpll_52094/txpa_53265.png","plot")</f>
        <v>plot</v>
      </c>
    </row>
    <row r="765" spans="1:29" x14ac:dyDescent="0.35">
      <c r="A765" t="s">
        <v>48</v>
      </c>
      <c r="B765">
        <v>52094</v>
      </c>
      <c r="C765" t="s">
        <v>53</v>
      </c>
      <c r="D765">
        <v>53266</v>
      </c>
      <c r="E765" t="s">
        <v>141</v>
      </c>
      <c r="F765">
        <v>12117</v>
      </c>
      <c r="G765">
        <v>0.87162729123039406</v>
      </c>
      <c r="H765">
        <v>0</v>
      </c>
      <c r="I765">
        <v>0</v>
      </c>
      <c r="J765">
        <v>0.74237665024425448</v>
      </c>
      <c r="K765">
        <v>0</v>
      </c>
      <c r="L765">
        <v>0</v>
      </c>
      <c r="M765">
        <v>0.55324049989050739</v>
      </c>
      <c r="N765">
        <v>0</v>
      </c>
      <c r="O765">
        <v>0</v>
      </c>
      <c r="P765">
        <v>0.75973413481763419</v>
      </c>
      <c r="Q765">
        <v>2.243176300309794</v>
      </c>
      <c r="R765">
        <v>-5.9940946963994426E-3</v>
      </c>
      <c r="S765">
        <v>0.27099922374049751</v>
      </c>
      <c r="T765">
        <v>0.21249984680084669</v>
      </c>
      <c r="U765">
        <v>4.3355254367417677</v>
      </c>
      <c r="V765">
        <v>0.21483614120924349</v>
      </c>
      <c r="W765">
        <v>9.7193538143930027</v>
      </c>
      <c r="X765">
        <v>0.55289152285526644</v>
      </c>
      <c r="Z765" t="s">
        <v>392</v>
      </c>
      <c r="AA765">
        <v>9400</v>
      </c>
      <c r="AB765" t="s">
        <v>3184</v>
      </c>
      <c r="AC765" t="str">
        <f>HYPERLINK("plots/3FT6Y578R01_012_S11P_20251111092011_M5358ACSH101811_RBGEUFRF26/dpll_52094/txpa_53266.png","plot")</f>
        <v>plot</v>
      </c>
    </row>
    <row r="766" spans="1:29" x14ac:dyDescent="0.35">
      <c r="A766" t="s">
        <v>48</v>
      </c>
      <c r="B766">
        <v>52094</v>
      </c>
      <c r="C766" t="s">
        <v>53</v>
      </c>
      <c r="D766">
        <v>53267</v>
      </c>
      <c r="E766" t="s">
        <v>142</v>
      </c>
      <c r="F766">
        <v>12103</v>
      </c>
      <c r="G766">
        <v>0.86403573020808011</v>
      </c>
      <c r="H766">
        <v>0</v>
      </c>
      <c r="I766">
        <v>0</v>
      </c>
      <c r="J766">
        <v>0.73610557613871208</v>
      </c>
      <c r="K766">
        <v>0</v>
      </c>
      <c r="L766">
        <v>0</v>
      </c>
      <c r="M766">
        <v>0.54552243316114724</v>
      </c>
      <c r="N766">
        <v>0</v>
      </c>
      <c r="O766">
        <v>0</v>
      </c>
      <c r="P766">
        <v>0.74655774307621015</v>
      </c>
      <c r="Q766">
        <v>2.3091259213761508</v>
      </c>
      <c r="R766">
        <v>0.10655375043221051</v>
      </c>
      <c r="S766">
        <v>0.288997826214619</v>
      </c>
      <c r="T766">
        <v>0.22414052770913509</v>
      </c>
      <c r="U766">
        <v>4.335804945054945</v>
      </c>
      <c r="V766">
        <v>0.21481128364566571</v>
      </c>
      <c r="W766">
        <v>10.11847333908948</v>
      </c>
      <c r="X766">
        <v>0.57408077690356218</v>
      </c>
      <c r="Z766" t="s">
        <v>392</v>
      </c>
      <c r="AA766">
        <v>9400</v>
      </c>
      <c r="AB766" t="s">
        <v>3185</v>
      </c>
      <c r="AC766" t="str">
        <f>HYPERLINK("plots/3FT6Y578R01_012_S11P_20251111092011_M5358ACSH101811_RBGEUFRF26/dpll_52094/txpa_53267.png","plot")</f>
        <v>plot</v>
      </c>
    </row>
    <row r="767" spans="1:29" x14ac:dyDescent="0.35">
      <c r="A767" t="s">
        <v>48</v>
      </c>
      <c r="B767">
        <v>52094</v>
      </c>
      <c r="C767" t="s">
        <v>53</v>
      </c>
      <c r="D767">
        <v>53268</v>
      </c>
      <c r="E767" t="s">
        <v>143</v>
      </c>
      <c r="F767">
        <v>12119</v>
      </c>
      <c r="G767">
        <v>0.87090308429560703</v>
      </c>
      <c r="H767">
        <v>0</v>
      </c>
      <c r="I767">
        <v>0</v>
      </c>
      <c r="J767">
        <v>0.74468820826188309</v>
      </c>
      <c r="K767">
        <v>0</v>
      </c>
      <c r="L767">
        <v>0</v>
      </c>
      <c r="M767">
        <v>0.55494446922786778</v>
      </c>
      <c r="N767">
        <v>0</v>
      </c>
      <c r="O767">
        <v>0</v>
      </c>
      <c r="P767">
        <v>0.7584721822356012</v>
      </c>
      <c r="Q767">
        <v>2.343882597955969</v>
      </c>
      <c r="R767">
        <v>-6.8681547258311326E-3</v>
      </c>
      <c r="S767">
        <v>0.28447735299926957</v>
      </c>
      <c r="T767">
        <v>0.222798014697414</v>
      </c>
      <c r="U767">
        <v>4.33529692936711</v>
      </c>
      <c r="V767">
        <v>0.21508791624465759</v>
      </c>
      <c r="W767">
        <v>10.154558874989689</v>
      </c>
      <c r="X767">
        <v>0.57887132679546827</v>
      </c>
      <c r="Z767" t="s">
        <v>392</v>
      </c>
      <c r="AA767">
        <v>9400</v>
      </c>
      <c r="AB767" t="s">
        <v>3186</v>
      </c>
      <c r="AC767" t="str">
        <f>HYPERLINK("plots/3FT6Y578R01_012_S11P_20251111092011_M5358ACSH101811_RBGEUFRF26/dpll_52094/txpa_53268.png","plot")</f>
        <v>plot</v>
      </c>
    </row>
    <row r="768" spans="1:29" x14ac:dyDescent="0.35">
      <c r="A768" t="s">
        <v>48</v>
      </c>
      <c r="B768">
        <v>52094</v>
      </c>
      <c r="C768" t="s">
        <v>53</v>
      </c>
      <c r="D768">
        <v>53269</v>
      </c>
      <c r="E768" t="s">
        <v>144</v>
      </c>
      <c r="F768">
        <v>12095</v>
      </c>
      <c r="G768">
        <v>0.87087735678605482</v>
      </c>
      <c r="H768">
        <v>0</v>
      </c>
      <c r="I768">
        <v>0</v>
      </c>
      <c r="J768">
        <v>0.73940101025406946</v>
      </c>
      <c r="K768">
        <v>0</v>
      </c>
      <c r="L768">
        <v>0</v>
      </c>
      <c r="M768">
        <v>0.55006970953396495</v>
      </c>
      <c r="N768">
        <v>0</v>
      </c>
      <c r="O768">
        <v>0</v>
      </c>
      <c r="P768">
        <v>0.7584273705626654</v>
      </c>
      <c r="Q768">
        <v>2.312040975029785</v>
      </c>
      <c r="R768">
        <v>0.14521711404485421</v>
      </c>
      <c r="S768">
        <v>0.28001464461776743</v>
      </c>
      <c r="T768">
        <v>0.21961491093459951</v>
      </c>
      <c r="U768">
        <v>4.3360913076477878</v>
      </c>
      <c r="V768">
        <v>0.214603256823936</v>
      </c>
      <c r="W768">
        <v>10.17043788879702</v>
      </c>
      <c r="X768">
        <v>0.56973754029256829</v>
      </c>
      <c r="Z768" t="s">
        <v>392</v>
      </c>
      <c r="AA768">
        <v>9400</v>
      </c>
      <c r="AB768" t="s">
        <v>3187</v>
      </c>
      <c r="AC768" t="str">
        <f>HYPERLINK("plots/3FT6Y578R01_012_S11P_20251111092011_M5358ACSH101811_RBGEUFRF26/dpll_52094/txpa_53269.png","plot")</f>
        <v>plot</v>
      </c>
    </row>
    <row r="769" spans="1:29" x14ac:dyDescent="0.35">
      <c r="A769" t="s">
        <v>48</v>
      </c>
      <c r="B769">
        <v>52094</v>
      </c>
      <c r="C769" t="s">
        <v>53</v>
      </c>
      <c r="D769">
        <v>53270</v>
      </c>
      <c r="E769" t="s">
        <v>145</v>
      </c>
      <c r="F769">
        <v>12114</v>
      </c>
      <c r="G769">
        <v>0.87457730793136779</v>
      </c>
      <c r="H769">
        <v>0</v>
      </c>
      <c r="I769">
        <v>0</v>
      </c>
      <c r="J769">
        <v>0.746415283912639</v>
      </c>
      <c r="K769">
        <v>0</v>
      </c>
      <c r="L769">
        <v>0</v>
      </c>
      <c r="M769">
        <v>0.556881906315708</v>
      </c>
      <c r="N769">
        <v>0</v>
      </c>
      <c r="O769">
        <v>0</v>
      </c>
      <c r="P769">
        <v>0.76488546754847853</v>
      </c>
      <c r="Q769">
        <v>2.3442850565932689</v>
      </c>
      <c r="R769">
        <v>2.5153457143382241E-2</v>
      </c>
      <c r="S769">
        <v>0.27925649707561839</v>
      </c>
      <c r="T769">
        <v>0.21976466812598411</v>
      </c>
      <c r="U769">
        <v>4.3355576783886418</v>
      </c>
      <c r="V769">
        <v>0.21486677272826271</v>
      </c>
      <c r="W769">
        <v>10.18893653458808</v>
      </c>
      <c r="X769">
        <v>0.57594561383796672</v>
      </c>
      <c r="Z769" t="s">
        <v>392</v>
      </c>
      <c r="AA769">
        <v>9400</v>
      </c>
      <c r="AB769" t="s">
        <v>3188</v>
      </c>
      <c r="AC769" t="str">
        <f>HYPERLINK("plots/3FT6Y578R01_012_S11P_20251111092011_M5358ACSH101811_RBGEUFRF26/dpll_52094/txpa_53270.png","plot")</f>
        <v>plot</v>
      </c>
    </row>
    <row r="770" spans="1:29" x14ac:dyDescent="0.35">
      <c r="A770" t="s">
        <v>48</v>
      </c>
      <c r="B770">
        <v>52094</v>
      </c>
      <c r="C770" t="s">
        <v>53</v>
      </c>
      <c r="D770">
        <v>53271</v>
      </c>
      <c r="E770" t="s">
        <v>146</v>
      </c>
      <c r="F770">
        <v>12104</v>
      </c>
      <c r="G770">
        <v>0.87450914211722008</v>
      </c>
      <c r="H770">
        <v>0</v>
      </c>
      <c r="I770">
        <v>0</v>
      </c>
      <c r="J770">
        <v>0.74539828169932154</v>
      </c>
      <c r="K770">
        <v>0</v>
      </c>
      <c r="L770">
        <v>0</v>
      </c>
      <c r="M770">
        <v>0.55584092307479094</v>
      </c>
      <c r="N770">
        <v>0</v>
      </c>
      <c r="O770">
        <v>0</v>
      </c>
      <c r="P770">
        <v>0.76476623964659618</v>
      </c>
      <c r="Q770">
        <v>2.3500484742997378</v>
      </c>
      <c r="R770">
        <v>-2.840804083408344E-2</v>
      </c>
      <c r="S770">
        <v>0.27977527002510449</v>
      </c>
      <c r="T770">
        <v>0.22047271885300671</v>
      </c>
      <c r="U770">
        <v>4.335831945968275</v>
      </c>
      <c r="V770">
        <v>0.21466684444900361</v>
      </c>
      <c r="W770">
        <v>10.161007208608719</v>
      </c>
      <c r="X770">
        <v>0.57686931557829202</v>
      </c>
      <c r="Z770" t="s">
        <v>392</v>
      </c>
      <c r="AA770">
        <v>9400</v>
      </c>
      <c r="AB770" t="s">
        <v>3189</v>
      </c>
      <c r="AC770" t="str">
        <f>HYPERLINK("plots/3FT6Y578R01_012_S11P_20251111092011_M5358ACSH101811_RBGEUFRF26/dpll_52094/txpa_53271.png","plot")</f>
        <v>plot</v>
      </c>
    </row>
    <row r="771" spans="1:29" x14ac:dyDescent="0.35">
      <c r="A771" t="s">
        <v>48</v>
      </c>
      <c r="B771">
        <v>52094</v>
      </c>
      <c r="C771" t="s">
        <v>53</v>
      </c>
      <c r="D771">
        <v>53272</v>
      </c>
      <c r="E771" t="s">
        <v>147</v>
      </c>
      <c r="F771">
        <v>12105</v>
      </c>
      <c r="G771">
        <v>0.87575619503863644</v>
      </c>
      <c r="H771">
        <v>0</v>
      </c>
      <c r="I771">
        <v>0</v>
      </c>
      <c r="J771">
        <v>0.74824558893377946</v>
      </c>
      <c r="K771">
        <v>0</v>
      </c>
      <c r="L771">
        <v>0</v>
      </c>
      <c r="M771">
        <v>0.55893556534748234</v>
      </c>
      <c r="N771">
        <v>0</v>
      </c>
      <c r="O771">
        <v>0</v>
      </c>
      <c r="P771">
        <v>0.76694891314855018</v>
      </c>
      <c r="Q771">
        <v>2.356907098546801</v>
      </c>
      <c r="R771">
        <v>-5.9123359761114713E-2</v>
      </c>
      <c r="S771">
        <v>0.2788362065193033</v>
      </c>
      <c r="T771">
        <v>0.22014576672838451</v>
      </c>
      <c r="U771">
        <v>4.3358339859562163</v>
      </c>
      <c r="V771">
        <v>0.21462598063285729</v>
      </c>
      <c r="W771">
        <v>10.160034539859559</v>
      </c>
      <c r="X771">
        <v>0.57761909096610198</v>
      </c>
      <c r="Z771" t="s">
        <v>392</v>
      </c>
      <c r="AA771">
        <v>9400</v>
      </c>
      <c r="AB771" t="s">
        <v>3190</v>
      </c>
      <c r="AC771" t="str">
        <f>HYPERLINK("plots/3FT6Y578R01_012_S11P_20251111092011_M5358ACSH101811_RBGEUFRF26/dpll_52094/txpa_53272.png","plot")</f>
        <v>plot</v>
      </c>
    </row>
    <row r="772" spans="1:29" x14ac:dyDescent="0.35">
      <c r="A772" t="s">
        <v>48</v>
      </c>
      <c r="B772">
        <v>52094</v>
      </c>
      <c r="C772" t="s">
        <v>53</v>
      </c>
      <c r="D772">
        <v>53273</v>
      </c>
      <c r="E772" t="s">
        <v>148</v>
      </c>
      <c r="F772">
        <v>12089</v>
      </c>
      <c r="G772">
        <v>0.87551054964242248</v>
      </c>
      <c r="H772">
        <v>0</v>
      </c>
      <c r="I772">
        <v>0</v>
      </c>
      <c r="J772">
        <v>0.74452246336841865</v>
      </c>
      <c r="K772">
        <v>0</v>
      </c>
      <c r="L772">
        <v>0</v>
      </c>
      <c r="M772">
        <v>0.55652289973725455</v>
      </c>
      <c r="N772">
        <v>0</v>
      </c>
      <c r="O772">
        <v>0</v>
      </c>
      <c r="P772">
        <v>0.76651872253517672</v>
      </c>
      <c r="Q772">
        <v>2.3442079327272189</v>
      </c>
      <c r="R772">
        <v>6.4389222539151802E-3</v>
      </c>
      <c r="S772">
        <v>0.27717168793450658</v>
      </c>
      <c r="T772">
        <v>0.21853232335806241</v>
      </c>
      <c r="U772">
        <v>4.3364312857970058</v>
      </c>
      <c r="V772">
        <v>0.2142427092461785</v>
      </c>
      <c r="W772">
        <v>10.17193554214575</v>
      </c>
      <c r="X772">
        <v>0.57364181248185342</v>
      </c>
      <c r="Z772" t="s">
        <v>392</v>
      </c>
      <c r="AA772">
        <v>9400</v>
      </c>
      <c r="AB772" t="s">
        <v>3191</v>
      </c>
      <c r="AC772" t="str">
        <f>HYPERLINK("plots/3FT6Y578R01_012_S11P_20251111092011_M5358ACSH101811_RBGEUFRF26/dpll_52094/txpa_53273.png","plot")</f>
        <v>plot</v>
      </c>
    </row>
    <row r="773" spans="1:29" x14ac:dyDescent="0.35">
      <c r="A773" t="s">
        <v>48</v>
      </c>
      <c r="B773">
        <v>52094</v>
      </c>
      <c r="C773" t="s">
        <v>53</v>
      </c>
      <c r="D773">
        <v>53274</v>
      </c>
      <c r="E773" t="s">
        <v>149</v>
      </c>
      <c r="F773">
        <v>12101</v>
      </c>
      <c r="G773">
        <v>0.87170123502910013</v>
      </c>
      <c r="H773">
        <v>0</v>
      </c>
      <c r="I773">
        <v>0</v>
      </c>
      <c r="J773">
        <v>0.74050556775421139</v>
      </c>
      <c r="K773">
        <v>0</v>
      </c>
      <c r="L773">
        <v>0</v>
      </c>
      <c r="M773">
        <v>0.55190106503648417</v>
      </c>
      <c r="N773">
        <v>0</v>
      </c>
      <c r="O773">
        <v>0</v>
      </c>
      <c r="P773">
        <v>0.75986304315125841</v>
      </c>
      <c r="Q773">
        <v>2.332009823731322</v>
      </c>
      <c r="R773">
        <v>3.7742914941638617E-2</v>
      </c>
      <c r="S773">
        <v>0.28123747911462621</v>
      </c>
      <c r="T773">
        <v>0.2210433252033725</v>
      </c>
      <c r="U773">
        <v>4.3360205378067924</v>
      </c>
      <c r="V773">
        <v>0.2145353811056761</v>
      </c>
      <c r="W773">
        <v>10.14938540500785</v>
      </c>
      <c r="X773">
        <v>0.57393358661431559</v>
      </c>
      <c r="Z773" t="s">
        <v>392</v>
      </c>
      <c r="AA773">
        <v>9400</v>
      </c>
      <c r="AB773" t="s">
        <v>3192</v>
      </c>
      <c r="AC773" t="str">
        <f>HYPERLINK("plots/3FT6Y578R01_012_S11P_20251111092011_M5358ACSH101811_RBGEUFRF26/dpll_52094/txpa_53274.png","plot")</f>
        <v>plot</v>
      </c>
    </row>
    <row r="774" spans="1:29" x14ac:dyDescent="0.35">
      <c r="A774" t="s">
        <v>48</v>
      </c>
      <c r="B774">
        <v>52094</v>
      </c>
      <c r="C774" t="s">
        <v>53</v>
      </c>
      <c r="D774">
        <v>53275</v>
      </c>
      <c r="E774" t="s">
        <v>150</v>
      </c>
      <c r="F774">
        <v>12051</v>
      </c>
      <c r="G774">
        <v>0.86469705354404069</v>
      </c>
      <c r="H774">
        <v>0</v>
      </c>
      <c r="I774">
        <v>0</v>
      </c>
      <c r="J774">
        <v>0.73028147859012993</v>
      </c>
      <c r="K774">
        <v>0</v>
      </c>
      <c r="L774">
        <v>0</v>
      </c>
      <c r="M774">
        <v>0.5416734552486574</v>
      </c>
      <c r="N774">
        <v>0</v>
      </c>
      <c r="O774">
        <v>0</v>
      </c>
      <c r="P774">
        <v>0.74770099440774562</v>
      </c>
      <c r="Q774">
        <v>2.68388977589892</v>
      </c>
      <c r="R774">
        <v>-0.23507930398553609</v>
      </c>
      <c r="S774">
        <v>0.33312149202541808</v>
      </c>
      <c r="T774">
        <v>0.26115806474317288</v>
      </c>
      <c r="U774">
        <v>4.3375020688739516</v>
      </c>
      <c r="V774">
        <v>0.213679179105699</v>
      </c>
      <c r="W774">
        <v>11.406298151605681</v>
      </c>
      <c r="X774">
        <v>0.66322807713262411</v>
      </c>
      <c r="Z774" t="s">
        <v>392</v>
      </c>
      <c r="AA774">
        <v>9400</v>
      </c>
      <c r="AB774" t="s">
        <v>3193</v>
      </c>
      <c r="AC774" t="str">
        <f>HYPERLINK("plots/3FT6Y578R01_012_S11P_20251111092011_M5358ACSH101811_RBGEUFRF26/dpll_52094/txpa_53275.png","plot")</f>
        <v>plot</v>
      </c>
    </row>
    <row r="775" spans="1:29" x14ac:dyDescent="0.35">
      <c r="A775" t="s">
        <v>48</v>
      </c>
      <c r="B775">
        <v>52094</v>
      </c>
      <c r="C775" t="s">
        <v>53</v>
      </c>
      <c r="D775">
        <v>53276</v>
      </c>
      <c r="E775" t="s">
        <v>151</v>
      </c>
      <c r="F775">
        <v>12073</v>
      </c>
      <c r="G775">
        <v>0.87090806044204983</v>
      </c>
      <c r="H775">
        <v>0</v>
      </c>
      <c r="I775">
        <v>0</v>
      </c>
      <c r="J775">
        <v>0.7387429935073484</v>
      </c>
      <c r="K775">
        <v>0</v>
      </c>
      <c r="L775">
        <v>0</v>
      </c>
      <c r="M775">
        <v>0.55067989134837547</v>
      </c>
      <c r="N775">
        <v>0</v>
      </c>
      <c r="O775">
        <v>0</v>
      </c>
      <c r="P775">
        <v>0.75848084974293306</v>
      </c>
      <c r="Q775">
        <v>2.72297732121657</v>
      </c>
      <c r="R775">
        <v>-0.36422989674216671</v>
      </c>
      <c r="S775">
        <v>0.3289302450125639</v>
      </c>
      <c r="T775">
        <v>0.26002437526529709</v>
      </c>
      <c r="U775">
        <v>4.3367986439990061</v>
      </c>
      <c r="V775">
        <v>0.21407911230229809</v>
      </c>
      <c r="W775">
        <v>11.444774457549901</v>
      </c>
      <c r="X775">
        <v>0.66933881338685997</v>
      </c>
      <c r="Z775" t="s">
        <v>392</v>
      </c>
      <c r="AA775">
        <v>9400</v>
      </c>
      <c r="AB775" t="s">
        <v>3194</v>
      </c>
      <c r="AC775" t="str">
        <f>HYPERLINK("plots/3FT6Y578R01_012_S11P_20251111092011_M5358ACSH101811_RBGEUFRF26/dpll_52094/txpa_53276.png","plot")</f>
        <v>plot</v>
      </c>
    </row>
    <row r="776" spans="1:29" x14ac:dyDescent="0.35">
      <c r="A776" t="s">
        <v>48</v>
      </c>
      <c r="B776">
        <v>52094</v>
      </c>
      <c r="C776" t="s">
        <v>53</v>
      </c>
      <c r="D776">
        <v>53277</v>
      </c>
      <c r="E776" t="s">
        <v>152</v>
      </c>
      <c r="F776">
        <v>12042</v>
      </c>
      <c r="G776">
        <v>0.87087804672787139</v>
      </c>
      <c r="H776">
        <v>0</v>
      </c>
      <c r="I776">
        <v>0</v>
      </c>
      <c r="J776">
        <v>0.73362439533838131</v>
      </c>
      <c r="K776">
        <v>0</v>
      </c>
      <c r="L776">
        <v>0</v>
      </c>
      <c r="M776">
        <v>0.54616453294372491</v>
      </c>
      <c r="N776">
        <v>0</v>
      </c>
      <c r="O776">
        <v>0</v>
      </c>
      <c r="P776">
        <v>0.75842857227255256</v>
      </c>
      <c r="Q776">
        <v>2.685980288521415</v>
      </c>
      <c r="R776">
        <v>-0.18975721203785059</v>
      </c>
      <c r="S776">
        <v>0.32350897067229428</v>
      </c>
      <c r="T776">
        <v>0.25647136078210359</v>
      </c>
      <c r="U776">
        <v>4.3378348391463213</v>
      </c>
      <c r="V776">
        <v>0.21342048364418459</v>
      </c>
      <c r="W776">
        <v>11.46158166077063</v>
      </c>
      <c r="X776">
        <v>0.65823591993025843</v>
      </c>
      <c r="Z776" t="s">
        <v>392</v>
      </c>
      <c r="AA776">
        <v>9400</v>
      </c>
      <c r="AB776" t="s">
        <v>3195</v>
      </c>
      <c r="AC776" t="str">
        <f>HYPERLINK("plots/3FT6Y578R01_012_S11P_20251111092011_M5358ACSH101811_RBGEUFRF26/dpll_52094/txpa_53277.png","plot")</f>
        <v>plot</v>
      </c>
    </row>
    <row r="777" spans="1:29" x14ac:dyDescent="0.35">
      <c r="A777" t="s">
        <v>48</v>
      </c>
      <c r="B777">
        <v>52094</v>
      </c>
      <c r="C777" t="s">
        <v>53</v>
      </c>
      <c r="D777">
        <v>53278</v>
      </c>
      <c r="E777" t="s">
        <v>153</v>
      </c>
      <c r="F777">
        <v>12055</v>
      </c>
      <c r="G777">
        <v>0.87456532473250281</v>
      </c>
      <c r="H777">
        <v>0</v>
      </c>
      <c r="I777">
        <v>0</v>
      </c>
      <c r="J777">
        <v>0.73896358786691163</v>
      </c>
      <c r="K777">
        <v>0</v>
      </c>
      <c r="L777">
        <v>0</v>
      </c>
      <c r="M777">
        <v>0.55150233053664288</v>
      </c>
      <c r="N777">
        <v>0</v>
      </c>
      <c r="O777">
        <v>0</v>
      </c>
      <c r="P777">
        <v>0.76486450722446808</v>
      </c>
      <c r="Q777">
        <v>2.7181911137768382</v>
      </c>
      <c r="R777">
        <v>-0.3092217695336803</v>
      </c>
      <c r="S777">
        <v>0.3220260365264932</v>
      </c>
      <c r="T777">
        <v>0.25649226082444088</v>
      </c>
      <c r="U777">
        <v>4.3374197664039817</v>
      </c>
      <c r="V777">
        <v>0.2136791620263126</v>
      </c>
      <c r="W777">
        <v>11.480714096225631</v>
      </c>
      <c r="X777">
        <v>0.66412511792284445</v>
      </c>
      <c r="Z777" t="s">
        <v>392</v>
      </c>
      <c r="AA777">
        <v>9400</v>
      </c>
      <c r="AB777" t="s">
        <v>3196</v>
      </c>
      <c r="AC777" t="str">
        <f>HYPERLINK("plots/3FT6Y578R01_012_S11P_20251111092011_M5358ACSH101811_RBGEUFRF26/dpll_52094/txpa_53278.png","plot")</f>
        <v>plot</v>
      </c>
    </row>
    <row r="778" spans="1:29" x14ac:dyDescent="0.35">
      <c r="A778" t="s">
        <v>48</v>
      </c>
      <c r="B778">
        <v>52094</v>
      </c>
      <c r="C778" t="s">
        <v>53</v>
      </c>
      <c r="D778">
        <v>53279</v>
      </c>
      <c r="E778" t="s">
        <v>154</v>
      </c>
      <c r="F778">
        <v>12040</v>
      </c>
      <c r="G778">
        <v>0.87432113770017716</v>
      </c>
      <c r="H778">
        <v>0</v>
      </c>
      <c r="I778">
        <v>0</v>
      </c>
      <c r="J778">
        <v>0.73777835023092331</v>
      </c>
      <c r="K778">
        <v>0</v>
      </c>
      <c r="L778">
        <v>0</v>
      </c>
      <c r="M778">
        <v>0.55037113215959532</v>
      </c>
      <c r="N778">
        <v>0</v>
      </c>
      <c r="O778">
        <v>0</v>
      </c>
      <c r="P778">
        <v>0.7644374518293322</v>
      </c>
      <c r="Q778">
        <v>2.7177192735394651</v>
      </c>
      <c r="R778">
        <v>-0.33582650048440321</v>
      </c>
      <c r="S778">
        <v>0.32175091580262521</v>
      </c>
      <c r="T778">
        <v>0.25663847902896858</v>
      </c>
      <c r="U778">
        <v>4.3379089496677743</v>
      </c>
      <c r="V778">
        <v>0.21328047038677411</v>
      </c>
      <c r="W778">
        <v>11.453392258887041</v>
      </c>
      <c r="X778">
        <v>0.66295600100025076</v>
      </c>
      <c r="Z778" t="s">
        <v>392</v>
      </c>
      <c r="AA778">
        <v>9400</v>
      </c>
      <c r="AB778" t="s">
        <v>3197</v>
      </c>
      <c r="AC778" t="str">
        <f>HYPERLINK("plots/3FT6Y578R01_012_S11P_20251111092011_M5358ACSH101811_RBGEUFRF26/dpll_52094/txpa_53279.png","plot")</f>
        <v>plot</v>
      </c>
    </row>
    <row r="779" spans="1:29" x14ac:dyDescent="0.35">
      <c r="A779" t="s">
        <v>48</v>
      </c>
      <c r="B779">
        <v>52094</v>
      </c>
      <c r="C779" t="s">
        <v>53</v>
      </c>
      <c r="D779">
        <v>53280</v>
      </c>
      <c r="E779" t="s">
        <v>155</v>
      </c>
      <c r="F779">
        <v>12050</v>
      </c>
      <c r="G779">
        <v>0.87536601635321321</v>
      </c>
      <c r="H779">
        <v>0</v>
      </c>
      <c r="I779">
        <v>0</v>
      </c>
      <c r="J779">
        <v>0.74129719930981575</v>
      </c>
      <c r="K779">
        <v>0</v>
      </c>
      <c r="L779">
        <v>0</v>
      </c>
      <c r="M779">
        <v>0.55411742943609266</v>
      </c>
      <c r="N779">
        <v>0</v>
      </c>
      <c r="O779">
        <v>0</v>
      </c>
      <c r="P779">
        <v>0.76626566258609397</v>
      </c>
      <c r="Q779">
        <v>2.7306603663355791</v>
      </c>
      <c r="R779">
        <v>-0.39319923719733119</v>
      </c>
      <c r="S779">
        <v>0.3219398693346695</v>
      </c>
      <c r="T779">
        <v>0.2566061386591188</v>
      </c>
      <c r="U779">
        <v>4.3375944869709544</v>
      </c>
      <c r="V779">
        <v>0.2134781944507057</v>
      </c>
      <c r="W779">
        <v>11.45129811360996</v>
      </c>
      <c r="X779">
        <v>0.6659345162746243</v>
      </c>
      <c r="Z779" t="s">
        <v>392</v>
      </c>
      <c r="AA779">
        <v>9400</v>
      </c>
      <c r="AB779" t="s">
        <v>3198</v>
      </c>
      <c r="AC779" t="str">
        <f>HYPERLINK("plots/3FT6Y578R01_012_S11P_20251111092011_M5358ACSH101811_RBGEUFRF26/dpll_52094/txpa_53280.png","plot")</f>
        <v>plot</v>
      </c>
    </row>
    <row r="780" spans="1:29" x14ac:dyDescent="0.35">
      <c r="A780" t="s">
        <v>48</v>
      </c>
      <c r="B780">
        <v>52094</v>
      </c>
      <c r="C780" t="s">
        <v>53</v>
      </c>
      <c r="D780">
        <v>53281</v>
      </c>
      <c r="E780" t="s">
        <v>156</v>
      </c>
      <c r="F780">
        <v>12038</v>
      </c>
      <c r="G780">
        <v>0.87468168470104912</v>
      </c>
      <c r="H780">
        <v>0</v>
      </c>
      <c r="I780">
        <v>0</v>
      </c>
      <c r="J780">
        <v>0.73832448334908274</v>
      </c>
      <c r="K780">
        <v>0</v>
      </c>
      <c r="L780">
        <v>0</v>
      </c>
      <c r="M780">
        <v>0.55226044538791752</v>
      </c>
      <c r="N780">
        <v>0</v>
      </c>
      <c r="O780">
        <v>0</v>
      </c>
      <c r="P780">
        <v>0.76506804955146546</v>
      </c>
      <c r="Q780">
        <v>2.720305348857174</v>
      </c>
      <c r="R780">
        <v>-0.33724477764594951</v>
      </c>
      <c r="S780">
        <v>0.3212255246517865</v>
      </c>
      <c r="T780">
        <v>0.25573728327919248</v>
      </c>
      <c r="U780">
        <v>4.3381083919255694</v>
      </c>
      <c r="V780">
        <v>0.2131029302594967</v>
      </c>
      <c r="W780">
        <v>11.463734684831371</v>
      </c>
      <c r="X780">
        <v>0.66276115206434116</v>
      </c>
      <c r="Z780" t="s">
        <v>392</v>
      </c>
      <c r="AA780">
        <v>9400</v>
      </c>
      <c r="AB780" t="s">
        <v>3199</v>
      </c>
      <c r="AC780" t="str">
        <f>HYPERLINK("plots/3FT6Y578R01_012_S11P_20251111092011_M5358ACSH101811_RBGEUFRF26/dpll_52094/txpa_53281.png","plot")</f>
        <v>plot</v>
      </c>
    </row>
    <row r="781" spans="1:29" x14ac:dyDescent="0.35">
      <c r="A781" t="s">
        <v>48</v>
      </c>
      <c r="B781">
        <v>52094</v>
      </c>
      <c r="C781" t="s">
        <v>53</v>
      </c>
      <c r="D781">
        <v>53282</v>
      </c>
      <c r="E781" t="s">
        <v>157</v>
      </c>
      <c r="F781">
        <v>12034</v>
      </c>
      <c r="G781">
        <v>0.87053033876087771</v>
      </c>
      <c r="H781">
        <v>0</v>
      </c>
      <c r="I781">
        <v>0</v>
      </c>
      <c r="J781">
        <v>0.73247577641624906</v>
      </c>
      <c r="K781">
        <v>0</v>
      </c>
      <c r="L781">
        <v>0</v>
      </c>
      <c r="M781">
        <v>0.54596235110895375</v>
      </c>
      <c r="N781">
        <v>0</v>
      </c>
      <c r="O781">
        <v>0</v>
      </c>
      <c r="P781">
        <v>0.75782307070312849</v>
      </c>
      <c r="Q781">
        <v>2.7000174568296069</v>
      </c>
      <c r="R781">
        <v>-0.27422455469361928</v>
      </c>
      <c r="S781">
        <v>0.32517757372073458</v>
      </c>
      <c r="T781">
        <v>0.25806626984933367</v>
      </c>
      <c r="U781">
        <v>4.3382123918065476</v>
      </c>
      <c r="V781">
        <v>0.21305394814049819</v>
      </c>
      <c r="W781">
        <v>11.43902463461858</v>
      </c>
      <c r="X781">
        <v>0.6608033673411442</v>
      </c>
      <c r="Z781" t="s">
        <v>392</v>
      </c>
      <c r="AA781">
        <v>9400</v>
      </c>
      <c r="AB781" t="s">
        <v>3200</v>
      </c>
      <c r="AC781" t="str">
        <f>HYPERLINK("plots/3FT6Y578R01_012_S11P_20251111092011_M5358ACSH101811_RBGEUFRF26/dpll_52094/txpa_53282.png","plot")</f>
        <v>plot</v>
      </c>
    </row>
    <row r="782" spans="1:29" x14ac:dyDescent="0.35">
      <c r="A782" t="s">
        <v>48</v>
      </c>
      <c r="B782">
        <v>52094</v>
      </c>
      <c r="C782" t="s">
        <v>53</v>
      </c>
      <c r="D782">
        <v>53283</v>
      </c>
      <c r="E782" t="s">
        <v>158</v>
      </c>
      <c r="F782">
        <v>12038</v>
      </c>
      <c r="G782">
        <v>0.86499809716912734</v>
      </c>
      <c r="H782">
        <v>0</v>
      </c>
      <c r="I782">
        <v>0</v>
      </c>
      <c r="J782">
        <v>0.72892661405766646</v>
      </c>
      <c r="K782">
        <v>0</v>
      </c>
      <c r="L782">
        <v>0</v>
      </c>
      <c r="M782">
        <v>0.54103506088342934</v>
      </c>
      <c r="N782">
        <v>0</v>
      </c>
      <c r="O782">
        <v>0</v>
      </c>
      <c r="P782">
        <v>0.74822170810621103</v>
      </c>
      <c r="Q782">
        <v>2.8493897353259152</v>
      </c>
      <c r="R782">
        <v>-0.56127127351839157</v>
      </c>
      <c r="S782">
        <v>0.35265691873308458</v>
      </c>
      <c r="T782">
        <v>0.27758922105067552</v>
      </c>
      <c r="U782">
        <v>4.3379439303040366</v>
      </c>
      <c r="V782">
        <v>0.21336569910438541</v>
      </c>
      <c r="W782">
        <v>11.799221633909291</v>
      </c>
      <c r="X782">
        <v>0.70284782693551096</v>
      </c>
      <c r="Z782" t="s">
        <v>392</v>
      </c>
      <c r="AA782">
        <v>9400</v>
      </c>
      <c r="AB782" t="s">
        <v>3201</v>
      </c>
      <c r="AC782" t="str">
        <f>HYPERLINK("plots/3FT6Y578R01_012_S11P_20251111092011_M5358ACSH101811_RBGEUFRF26/dpll_52094/txpa_53283.png","plot")</f>
        <v>plot</v>
      </c>
    </row>
    <row r="783" spans="1:29" x14ac:dyDescent="0.35">
      <c r="A783" t="s">
        <v>48</v>
      </c>
      <c r="B783">
        <v>52094</v>
      </c>
      <c r="C783" t="s">
        <v>53</v>
      </c>
      <c r="D783">
        <v>53284</v>
      </c>
      <c r="E783" t="s">
        <v>159</v>
      </c>
      <c r="F783">
        <v>12067</v>
      </c>
      <c r="G783">
        <v>0.87121381477397752</v>
      </c>
      <c r="H783">
        <v>0</v>
      </c>
      <c r="I783">
        <v>0</v>
      </c>
      <c r="J783">
        <v>0.73764699972216385</v>
      </c>
      <c r="K783">
        <v>0</v>
      </c>
      <c r="L783">
        <v>0</v>
      </c>
      <c r="M783">
        <v>0.5501491452018582</v>
      </c>
      <c r="N783">
        <v>0</v>
      </c>
      <c r="O783">
        <v>0</v>
      </c>
      <c r="P783">
        <v>0.75901351105302639</v>
      </c>
      <c r="Q783">
        <v>2.893059696437172</v>
      </c>
      <c r="R783">
        <v>-0.70856226156926994</v>
      </c>
      <c r="S783">
        <v>0.34878788146329037</v>
      </c>
      <c r="T783">
        <v>0.27655320893413438</v>
      </c>
      <c r="U783">
        <v>4.3369827227148434</v>
      </c>
      <c r="V783">
        <v>0.21396877193585201</v>
      </c>
      <c r="W783">
        <v>11.838587657661391</v>
      </c>
      <c r="X783">
        <v>0.7105310084463784</v>
      </c>
      <c r="Z783" t="s">
        <v>392</v>
      </c>
      <c r="AA783">
        <v>9400</v>
      </c>
      <c r="AB783" t="s">
        <v>3202</v>
      </c>
      <c r="AC783" t="str">
        <f>HYPERLINK("plots/3FT6Y578R01_012_S11P_20251111092011_M5358ACSH101811_RBGEUFRF26/dpll_52094/txpa_53284.png","plot")</f>
        <v>plot</v>
      </c>
    </row>
    <row r="784" spans="1:29" x14ac:dyDescent="0.35">
      <c r="A784" t="s">
        <v>48</v>
      </c>
      <c r="B784">
        <v>52094</v>
      </c>
      <c r="C784" t="s">
        <v>53</v>
      </c>
      <c r="D784">
        <v>53285</v>
      </c>
      <c r="E784" t="s">
        <v>160</v>
      </c>
      <c r="F784">
        <v>12037</v>
      </c>
      <c r="G784">
        <v>0.87096988731767333</v>
      </c>
      <c r="H784">
        <v>0</v>
      </c>
      <c r="I784">
        <v>0</v>
      </c>
      <c r="J784">
        <v>0.73292324468634074</v>
      </c>
      <c r="K784">
        <v>0</v>
      </c>
      <c r="L784">
        <v>0</v>
      </c>
      <c r="M784">
        <v>0.54601890036244194</v>
      </c>
      <c r="N784">
        <v>0</v>
      </c>
      <c r="O784">
        <v>0</v>
      </c>
      <c r="P784">
        <v>0.75858854461416059</v>
      </c>
      <c r="Q784">
        <v>2.8560503876208361</v>
      </c>
      <c r="R784">
        <v>-0.53470232975279508</v>
      </c>
      <c r="S784">
        <v>0.34357958943205208</v>
      </c>
      <c r="T784">
        <v>0.27314476884644312</v>
      </c>
      <c r="U784">
        <v>4.3380272122621921</v>
      </c>
      <c r="V784">
        <v>0.21325721577690321</v>
      </c>
      <c r="W784">
        <v>11.854921971338371</v>
      </c>
      <c r="X784">
        <v>0.69930472069284488</v>
      </c>
      <c r="Z784" t="s">
        <v>392</v>
      </c>
      <c r="AA784">
        <v>9400</v>
      </c>
      <c r="AB784" t="s">
        <v>3203</v>
      </c>
      <c r="AC784" t="str">
        <f>HYPERLINK("plots/3FT6Y578R01_012_S11P_20251111092011_M5358ACSH101811_RBGEUFRF26/dpll_52094/txpa_53285.png","plot")</f>
        <v>plot</v>
      </c>
    </row>
    <row r="785" spans="1:29" x14ac:dyDescent="0.35">
      <c r="A785" t="s">
        <v>48</v>
      </c>
      <c r="B785">
        <v>52094</v>
      </c>
      <c r="C785" t="s">
        <v>53</v>
      </c>
      <c r="D785">
        <v>53286</v>
      </c>
      <c r="E785" t="s">
        <v>161</v>
      </c>
      <c r="F785">
        <v>12043</v>
      </c>
      <c r="G785">
        <v>0.87448253655461672</v>
      </c>
      <c r="H785">
        <v>0</v>
      </c>
      <c r="I785">
        <v>0</v>
      </c>
      <c r="J785">
        <v>0.73712881079896608</v>
      </c>
      <c r="K785">
        <v>0</v>
      </c>
      <c r="L785">
        <v>0</v>
      </c>
      <c r="M785">
        <v>0.55041508089981062</v>
      </c>
      <c r="N785">
        <v>0</v>
      </c>
      <c r="O785">
        <v>0</v>
      </c>
      <c r="P785">
        <v>0.76471970673899659</v>
      </c>
      <c r="Q785">
        <v>2.885000675004842</v>
      </c>
      <c r="R785">
        <v>-0.63992546296771202</v>
      </c>
      <c r="S785">
        <v>0.34147994837427192</v>
      </c>
      <c r="T785">
        <v>0.27285588154097029</v>
      </c>
      <c r="U785">
        <v>4.3378187725649751</v>
      </c>
      <c r="V785">
        <v>0.21340062367817059</v>
      </c>
      <c r="W785">
        <v>11.874684623930911</v>
      </c>
      <c r="X785">
        <v>0.70402886006577758</v>
      </c>
      <c r="Z785" t="s">
        <v>392</v>
      </c>
      <c r="AA785">
        <v>9400</v>
      </c>
      <c r="AB785" t="s">
        <v>3204</v>
      </c>
      <c r="AC785" t="str">
        <f>HYPERLINK("plots/3FT6Y578R01_012_S11P_20251111092011_M5358ACSH101811_RBGEUFRF26/dpll_52094/txpa_53286.png","plot")</f>
        <v>plot</v>
      </c>
    </row>
    <row r="786" spans="1:29" x14ac:dyDescent="0.35">
      <c r="A786" t="s">
        <v>48</v>
      </c>
      <c r="B786">
        <v>52094</v>
      </c>
      <c r="C786" t="s">
        <v>53</v>
      </c>
      <c r="D786">
        <v>53287</v>
      </c>
      <c r="E786" t="s">
        <v>162</v>
      </c>
      <c r="F786">
        <v>12041</v>
      </c>
      <c r="G786">
        <v>0.8743982971389227</v>
      </c>
      <c r="H786">
        <v>0</v>
      </c>
      <c r="I786">
        <v>0</v>
      </c>
      <c r="J786">
        <v>0.73692360428812009</v>
      </c>
      <c r="K786">
        <v>0</v>
      </c>
      <c r="L786">
        <v>0</v>
      </c>
      <c r="M786">
        <v>0.55007996732950537</v>
      </c>
      <c r="N786">
        <v>0</v>
      </c>
      <c r="O786">
        <v>0</v>
      </c>
      <c r="P786">
        <v>0.76457238203944777</v>
      </c>
      <c r="Q786">
        <v>2.8933521179474</v>
      </c>
      <c r="R786">
        <v>-0.70591875633425971</v>
      </c>
      <c r="S786">
        <v>0.34246047308864919</v>
      </c>
      <c r="T786">
        <v>0.2737210989438143</v>
      </c>
      <c r="U786">
        <v>4.337873659995017</v>
      </c>
      <c r="V786">
        <v>0.2133083203222291</v>
      </c>
      <c r="W786">
        <v>11.845077185200561</v>
      </c>
      <c r="X786">
        <v>0.70582946284268455</v>
      </c>
      <c r="Z786" t="s">
        <v>392</v>
      </c>
      <c r="AA786">
        <v>9400</v>
      </c>
      <c r="AB786" t="s">
        <v>3205</v>
      </c>
      <c r="AC786" t="str">
        <f>HYPERLINK("plots/3FT6Y578R01_012_S11P_20251111092011_M5358ACSH101811_RBGEUFRF26/dpll_52094/txpa_53287.png","plot")</f>
        <v>plot</v>
      </c>
    </row>
    <row r="787" spans="1:29" x14ac:dyDescent="0.35">
      <c r="A787" t="s">
        <v>48</v>
      </c>
      <c r="B787">
        <v>52094</v>
      </c>
      <c r="C787" t="s">
        <v>53</v>
      </c>
      <c r="D787">
        <v>53288</v>
      </c>
      <c r="E787" t="s">
        <v>163</v>
      </c>
      <c r="F787">
        <v>12045</v>
      </c>
      <c r="G787">
        <v>0.87512350425401064</v>
      </c>
      <c r="H787">
        <v>0</v>
      </c>
      <c r="I787">
        <v>0</v>
      </c>
      <c r="J787">
        <v>0.74006723902086402</v>
      </c>
      <c r="K787">
        <v>0</v>
      </c>
      <c r="L787">
        <v>0</v>
      </c>
      <c r="M787">
        <v>0.5535134428517362</v>
      </c>
      <c r="N787">
        <v>0</v>
      </c>
      <c r="O787">
        <v>0</v>
      </c>
      <c r="P787">
        <v>0.76584114769781941</v>
      </c>
      <c r="Q787">
        <v>2.9019844844990792</v>
      </c>
      <c r="R787">
        <v>-0.74465981948952376</v>
      </c>
      <c r="S787">
        <v>0.34232128216444069</v>
      </c>
      <c r="T787">
        <v>0.27342063480815282</v>
      </c>
      <c r="U787">
        <v>4.3377729814030719</v>
      </c>
      <c r="V787">
        <v>0.2133393171614591</v>
      </c>
      <c r="W787">
        <v>11.843490069821501</v>
      </c>
      <c r="X787">
        <v>0.70745144579785146</v>
      </c>
      <c r="Z787" t="s">
        <v>392</v>
      </c>
      <c r="AA787">
        <v>9400</v>
      </c>
      <c r="AB787" t="s">
        <v>3206</v>
      </c>
      <c r="AC787" t="str">
        <f>HYPERLINK("plots/3FT6Y578R01_012_S11P_20251111092011_M5358ACSH101811_RBGEUFRF26/dpll_52094/txpa_53288.png","plot")</f>
        <v>plot</v>
      </c>
    </row>
    <row r="788" spans="1:29" x14ac:dyDescent="0.35">
      <c r="A788" t="s">
        <v>48</v>
      </c>
      <c r="B788">
        <v>52094</v>
      </c>
      <c r="C788" t="s">
        <v>53</v>
      </c>
      <c r="D788">
        <v>53289</v>
      </c>
      <c r="E788" t="s">
        <v>164</v>
      </c>
      <c r="F788">
        <v>12032</v>
      </c>
      <c r="G788">
        <v>0.87468123850954438</v>
      </c>
      <c r="H788">
        <v>0</v>
      </c>
      <c r="I788">
        <v>0</v>
      </c>
      <c r="J788">
        <v>0.73766002626078242</v>
      </c>
      <c r="K788">
        <v>0</v>
      </c>
      <c r="L788">
        <v>0</v>
      </c>
      <c r="M788">
        <v>0.55219705098862393</v>
      </c>
      <c r="N788">
        <v>0</v>
      </c>
      <c r="O788">
        <v>0</v>
      </c>
      <c r="P788">
        <v>0.76506726900059041</v>
      </c>
      <c r="Q788">
        <v>2.8911222829699121</v>
      </c>
      <c r="R788">
        <v>-0.68597670215562268</v>
      </c>
      <c r="S788">
        <v>0.34119716987767068</v>
      </c>
      <c r="T788">
        <v>0.2724834086397438</v>
      </c>
      <c r="U788">
        <v>4.3382977219913563</v>
      </c>
      <c r="V788">
        <v>0.21297815232281939</v>
      </c>
      <c r="W788">
        <v>11.8565725120512</v>
      </c>
      <c r="X788">
        <v>0.70396603340377317</v>
      </c>
      <c r="Z788" t="s">
        <v>392</v>
      </c>
      <c r="AA788">
        <v>9400</v>
      </c>
      <c r="AB788" t="s">
        <v>3207</v>
      </c>
      <c r="AC788" t="str">
        <f>HYPERLINK("plots/3FT6Y578R01_012_S11P_20251111092011_M5358ACSH101811_RBGEUFRF26/dpll_52094/txpa_53289.png","plot")</f>
        <v>plot</v>
      </c>
    </row>
    <row r="789" spans="1:29" x14ac:dyDescent="0.35">
      <c r="A789" t="s">
        <v>48</v>
      </c>
      <c r="B789">
        <v>52094</v>
      </c>
      <c r="C789" t="s">
        <v>53</v>
      </c>
      <c r="D789">
        <v>53290</v>
      </c>
      <c r="E789" t="s">
        <v>165</v>
      </c>
      <c r="F789">
        <v>12026</v>
      </c>
      <c r="G789">
        <v>0.87028229822822767</v>
      </c>
      <c r="H789">
        <v>0</v>
      </c>
      <c r="I789">
        <v>0</v>
      </c>
      <c r="J789">
        <v>0.73111240847071146</v>
      </c>
      <c r="K789">
        <v>0</v>
      </c>
      <c r="L789">
        <v>0</v>
      </c>
      <c r="M789">
        <v>0.54522418125883421</v>
      </c>
      <c r="N789">
        <v>0</v>
      </c>
      <c r="O789">
        <v>0</v>
      </c>
      <c r="P789">
        <v>0.7573912786094058</v>
      </c>
      <c r="Q789">
        <v>2.869231786862648</v>
      </c>
      <c r="R789">
        <v>-0.61932095047704472</v>
      </c>
      <c r="S789">
        <v>0.34565958095354898</v>
      </c>
      <c r="T789">
        <v>0.27496997811085111</v>
      </c>
      <c r="U789">
        <v>4.3384814576750372</v>
      </c>
      <c r="V789">
        <v>0.21286681801146479</v>
      </c>
      <c r="W789">
        <v>11.82878795459837</v>
      </c>
      <c r="X789">
        <v>0.70180014214954356</v>
      </c>
      <c r="Z789" t="s">
        <v>392</v>
      </c>
      <c r="AA789">
        <v>9400</v>
      </c>
      <c r="AB789" t="s">
        <v>3208</v>
      </c>
      <c r="AC789" t="str">
        <f>HYPERLINK("plots/3FT6Y578R01_012_S11P_20251111092011_M5358ACSH101811_RBGEUFRF26/dpll_52094/txpa_53290.png","plot")</f>
        <v>plot</v>
      </c>
    </row>
    <row r="790" spans="1:29" x14ac:dyDescent="0.35">
      <c r="A790" t="s">
        <v>48</v>
      </c>
      <c r="B790">
        <v>52094</v>
      </c>
      <c r="C790" t="s">
        <v>53</v>
      </c>
      <c r="D790">
        <v>54146</v>
      </c>
      <c r="E790" t="s">
        <v>166</v>
      </c>
      <c r="F790">
        <v>12234</v>
      </c>
      <c r="G790">
        <v>1.513744516870418E-3</v>
      </c>
      <c r="H790">
        <v>0.86704403156823961</v>
      </c>
      <c r="I790">
        <v>0.86875755732232707</v>
      </c>
      <c r="J790">
        <v>-6.0569536151396956E-3</v>
      </c>
      <c r="K790">
        <v>0.50293322869437351</v>
      </c>
      <c r="L790">
        <v>0.5044256121623093</v>
      </c>
      <c r="M790">
        <v>-3.9909013688495532E-3</v>
      </c>
      <c r="N790">
        <v>0.50795283270647906</v>
      </c>
      <c r="O790">
        <v>0.50895669205965388</v>
      </c>
      <c r="P790">
        <v>2.2914224623552538E-6</v>
      </c>
      <c r="Q790">
        <v>3.6999505447831517E-2</v>
      </c>
      <c r="R790">
        <v>-10.782519751643759</v>
      </c>
      <c r="S790">
        <v>5.3005634161297719</v>
      </c>
      <c r="T790">
        <v>3.9762649760676281</v>
      </c>
      <c r="U790">
        <v>4.3319221007029576</v>
      </c>
      <c r="V790">
        <v>0.21686873513389271</v>
      </c>
      <c r="W790">
        <v>-10.62224077627922</v>
      </c>
      <c r="X790">
        <v>5.300786135060652</v>
      </c>
      <c r="Z790" t="s">
        <v>392</v>
      </c>
      <c r="AA790">
        <v>9400</v>
      </c>
      <c r="AB790" t="s">
        <v>3209</v>
      </c>
      <c r="AC790" t="str">
        <f>HYPERLINK("plots/3FT6Y578R01_012_S11P_20251111092011_M5358ACSH101811_RBGEUFRF26/dpll_52094/txpa_54146.png","plot")</f>
        <v>plot</v>
      </c>
    </row>
    <row r="791" spans="1:29" x14ac:dyDescent="0.35">
      <c r="A791" t="s">
        <v>48</v>
      </c>
      <c r="B791">
        <v>52094</v>
      </c>
      <c r="C791" t="s">
        <v>53</v>
      </c>
      <c r="D791">
        <v>54147</v>
      </c>
      <c r="E791" t="s">
        <v>167</v>
      </c>
      <c r="F791">
        <v>12243</v>
      </c>
      <c r="G791">
        <v>0.25211357662223538</v>
      </c>
      <c r="H791">
        <v>7.8598479083225118E-177</v>
      </c>
      <c r="I791">
        <v>8.1077169674862925E-177</v>
      </c>
      <c r="J791">
        <v>0.22457928473141811</v>
      </c>
      <c r="K791">
        <v>8.780347474106395E-140</v>
      </c>
      <c r="L791">
        <v>9.0664687767249338E-140</v>
      </c>
      <c r="M791">
        <v>0.15633464996774821</v>
      </c>
      <c r="N791">
        <v>6.5070707636023471E-139</v>
      </c>
      <c r="O791">
        <v>6.7191138027421382E-139</v>
      </c>
      <c r="P791">
        <v>6.3561255517255777E-2</v>
      </c>
      <c r="Q791">
        <v>1.5303947884556861</v>
      </c>
      <c r="R791">
        <v>-31.393608174921251</v>
      </c>
      <c r="S791">
        <v>1.2737037930420081</v>
      </c>
      <c r="T791">
        <v>1.073516913599877</v>
      </c>
      <c r="U791">
        <v>4.3319153779302466</v>
      </c>
      <c r="V791">
        <v>0.21683992469153379</v>
      </c>
      <c r="W791">
        <v>-24.76406745650576</v>
      </c>
      <c r="X791">
        <v>1.316274574035688</v>
      </c>
      <c r="Z791" t="s">
        <v>392</v>
      </c>
      <c r="AA791">
        <v>9400</v>
      </c>
      <c r="AB791" t="s">
        <v>3210</v>
      </c>
      <c r="AC791" t="str">
        <f>HYPERLINK("plots/3FT6Y578R01_012_S11P_20251111092011_M5358ACSH101811_RBGEUFRF26/dpll_52094/txpa_54147.png","plot")</f>
        <v>plot</v>
      </c>
    </row>
    <row r="792" spans="1:29" x14ac:dyDescent="0.35">
      <c r="A792" t="s">
        <v>48</v>
      </c>
      <c r="B792">
        <v>52094</v>
      </c>
      <c r="C792" t="s">
        <v>53</v>
      </c>
      <c r="D792">
        <v>54148</v>
      </c>
      <c r="E792" t="s">
        <v>168</v>
      </c>
      <c r="F792">
        <v>12243</v>
      </c>
      <c r="G792">
        <v>0.25490998223647038</v>
      </c>
      <c r="H792">
        <v>7.2947378660091963E-181</v>
      </c>
      <c r="I792">
        <v>7.5865273806495639E-181</v>
      </c>
      <c r="J792">
        <v>0.23149453019982039</v>
      </c>
      <c r="K792">
        <v>1.222172044369839E-148</v>
      </c>
      <c r="L792">
        <v>1.2736715858078281E-148</v>
      </c>
      <c r="M792">
        <v>0.1598577134755676</v>
      </c>
      <c r="N792">
        <v>4.8414933864833171E-147</v>
      </c>
      <c r="O792">
        <v>5.0455028714224894E-147</v>
      </c>
      <c r="P792">
        <v>6.4979099043797645E-2</v>
      </c>
      <c r="Q792">
        <v>1.5669147277031059</v>
      </c>
      <c r="R792">
        <v>-31.434540095996599</v>
      </c>
      <c r="S792">
        <v>1.2888153203637009</v>
      </c>
      <c r="T792">
        <v>1.086864733348976</v>
      </c>
      <c r="U792">
        <v>4.3319153779302466</v>
      </c>
      <c r="V792">
        <v>0.21683992469153379</v>
      </c>
      <c r="W792">
        <v>-24.646798091154128</v>
      </c>
      <c r="X792">
        <v>1.332900612883827</v>
      </c>
      <c r="Z792" t="s">
        <v>392</v>
      </c>
      <c r="AA792">
        <v>9400</v>
      </c>
      <c r="AB792" t="s">
        <v>3211</v>
      </c>
      <c r="AC792" t="str">
        <f>HYPERLINK("plots/3FT6Y578R01_012_S11P_20251111092011_M5358ACSH101811_RBGEUFRF26/dpll_52094/txpa_54148.png","plot")</f>
        <v>plot</v>
      </c>
    </row>
    <row r="793" spans="1:29" x14ac:dyDescent="0.35">
      <c r="A793" t="s">
        <v>48</v>
      </c>
      <c r="B793">
        <v>52094</v>
      </c>
      <c r="C793" t="s">
        <v>53</v>
      </c>
      <c r="D793">
        <v>54149</v>
      </c>
      <c r="E793" t="s">
        <v>169</v>
      </c>
      <c r="F793">
        <v>12243</v>
      </c>
      <c r="G793">
        <v>0.25627455832904222</v>
      </c>
      <c r="H793">
        <v>7.5325955090765459E-183</v>
      </c>
      <c r="I793">
        <v>7.8742802538181627E-183</v>
      </c>
      <c r="J793">
        <v>0.22579870034763441</v>
      </c>
      <c r="K793">
        <v>2.5314065200498031E-141</v>
      </c>
      <c r="L793">
        <v>2.6219062424213479E-141</v>
      </c>
      <c r="M793">
        <v>0.15607631001455219</v>
      </c>
      <c r="N793">
        <v>7.1533822254375533E-140</v>
      </c>
      <c r="O793">
        <v>7.4091211201161169E-140</v>
      </c>
      <c r="P793">
        <v>6.5676649246745669E-2</v>
      </c>
      <c r="Q793">
        <v>1.5588731662385771</v>
      </c>
      <c r="R793">
        <v>-31.443786039095059</v>
      </c>
      <c r="S793">
        <v>1.2748978822910779</v>
      </c>
      <c r="T793">
        <v>1.079944071996354</v>
      </c>
      <c r="U793">
        <v>4.3319153779302466</v>
      </c>
      <c r="V793">
        <v>0.21683992469153379</v>
      </c>
      <c r="W793">
        <v>-24.690879398023359</v>
      </c>
      <c r="X793">
        <v>1.3189992099676919</v>
      </c>
      <c r="Z793" t="s">
        <v>392</v>
      </c>
      <c r="AA793">
        <v>9400</v>
      </c>
      <c r="AB793" t="s">
        <v>3212</v>
      </c>
      <c r="AC793" t="str">
        <f>HYPERLINK("plots/3FT6Y578R01_012_S11P_20251111092011_M5358ACSH101811_RBGEUFRF26/dpll_52094/txpa_54149.png","plot")</f>
        <v>plot</v>
      </c>
    </row>
    <row r="794" spans="1:29" x14ac:dyDescent="0.35">
      <c r="A794" t="s">
        <v>48</v>
      </c>
      <c r="B794">
        <v>52094</v>
      </c>
      <c r="C794" t="s">
        <v>53</v>
      </c>
      <c r="D794">
        <v>54150</v>
      </c>
      <c r="E794" t="s">
        <v>170</v>
      </c>
      <c r="F794">
        <v>12243</v>
      </c>
      <c r="G794">
        <v>0.26604380230310681</v>
      </c>
      <c r="H794">
        <v>2.0145195937410469E-197</v>
      </c>
      <c r="I794">
        <v>2.123412544754076E-197</v>
      </c>
      <c r="J794">
        <v>0.238303970110434</v>
      </c>
      <c r="K794">
        <v>1.186936062882109E-157</v>
      </c>
      <c r="L794">
        <v>1.251094768983845E-157</v>
      </c>
      <c r="M794">
        <v>0.16389123296597119</v>
      </c>
      <c r="N794">
        <v>4.3387666397692497E-155</v>
      </c>
      <c r="O794">
        <v>4.5732945662432628E-155</v>
      </c>
      <c r="P794">
        <v>7.0779304743894586E-2</v>
      </c>
      <c r="Q794">
        <v>1.6424009578330641</v>
      </c>
      <c r="R794">
        <v>-31.704981258621441</v>
      </c>
      <c r="S794">
        <v>1.2903484098100351</v>
      </c>
      <c r="T794">
        <v>1.090864527996098</v>
      </c>
      <c r="U794">
        <v>4.3319153779302466</v>
      </c>
      <c r="V794">
        <v>0.21683992469153379</v>
      </c>
      <c r="W794">
        <v>-24.590239292657031</v>
      </c>
      <c r="X794">
        <v>1.3386446026059731</v>
      </c>
      <c r="Z794" t="s">
        <v>392</v>
      </c>
      <c r="AA794">
        <v>9400</v>
      </c>
      <c r="AB794" t="s">
        <v>3213</v>
      </c>
      <c r="AC794" t="str">
        <f>HYPERLINK("plots/3FT6Y578R01_012_S11P_20251111092011_M5358ACSH101811_RBGEUFRF26/dpll_52094/txpa_54150.png","plot")</f>
        <v>plot</v>
      </c>
    </row>
    <row r="795" spans="1:29" x14ac:dyDescent="0.35">
      <c r="A795" t="s">
        <v>48</v>
      </c>
      <c r="B795">
        <v>52094</v>
      </c>
      <c r="C795" t="s">
        <v>53</v>
      </c>
      <c r="D795">
        <v>54151</v>
      </c>
      <c r="E795" t="s">
        <v>171</v>
      </c>
      <c r="F795">
        <v>12242</v>
      </c>
      <c r="G795">
        <v>0.25715263884947331</v>
      </c>
      <c r="H795">
        <v>4.0498508394176119E-184</v>
      </c>
      <c r="I795">
        <v>4.2510856637365002E-184</v>
      </c>
      <c r="J795">
        <v>0.23400641074642031</v>
      </c>
      <c r="K795">
        <v>6.4359650139537486E-152</v>
      </c>
      <c r="L795">
        <v>6.7487782049111699E-152</v>
      </c>
      <c r="M795">
        <v>0.16122007377238959</v>
      </c>
      <c r="N795">
        <v>9.3402519814936218E-150</v>
      </c>
      <c r="O795">
        <v>9.7942249319902107E-150</v>
      </c>
      <c r="P795">
        <v>6.6127479667247621E-2</v>
      </c>
      <c r="Q795">
        <v>1.582781492284993</v>
      </c>
      <c r="R795">
        <v>-31.491203850821801</v>
      </c>
      <c r="S795">
        <v>1.2897317822292449</v>
      </c>
      <c r="T795">
        <v>1.0914472753701909</v>
      </c>
      <c r="U795">
        <v>4.3319308992811631</v>
      </c>
      <c r="V795">
        <v>0.21684198016641831</v>
      </c>
      <c r="W795">
        <v>-24.634703797582091</v>
      </c>
      <c r="X795">
        <v>1.334668290760725</v>
      </c>
      <c r="Z795" t="s">
        <v>392</v>
      </c>
      <c r="AA795">
        <v>9400</v>
      </c>
      <c r="AB795" t="s">
        <v>3214</v>
      </c>
      <c r="AC795" t="str">
        <f>HYPERLINK("plots/3FT6Y578R01_012_S11P_20251111092011_M5358ACSH101811_RBGEUFRF26/dpll_52094/txpa_54151.png","plot")</f>
        <v>plot</v>
      </c>
    </row>
    <row r="796" spans="1:29" x14ac:dyDescent="0.35">
      <c r="A796" t="s">
        <v>48</v>
      </c>
      <c r="B796">
        <v>52094</v>
      </c>
      <c r="C796" t="s">
        <v>53</v>
      </c>
      <c r="D796">
        <v>54152</v>
      </c>
      <c r="E796" t="s">
        <v>172</v>
      </c>
      <c r="F796">
        <v>12243</v>
      </c>
      <c r="G796">
        <v>0.25697033482999099</v>
      </c>
      <c r="H796">
        <v>7.238274517605357E-184</v>
      </c>
      <c r="I796">
        <v>7.5900831032593923E-184</v>
      </c>
      <c r="J796">
        <v>0.22963128793585899</v>
      </c>
      <c r="K796">
        <v>3.1817463153233718E-146</v>
      </c>
      <c r="L796">
        <v>3.3022423375004082E-146</v>
      </c>
      <c r="M796">
        <v>0.1588803941292205</v>
      </c>
      <c r="N796">
        <v>1.2986265701369379E-144</v>
      </c>
      <c r="O796">
        <v>1.3478069008381321E-144</v>
      </c>
      <c r="P796">
        <v>6.6033752982637681E-2</v>
      </c>
      <c r="Q796">
        <v>1.5764668102091559</v>
      </c>
      <c r="R796">
        <v>-31.515705416487791</v>
      </c>
      <c r="S796">
        <v>1.285549911378399</v>
      </c>
      <c r="T796">
        <v>1.0842773807929531</v>
      </c>
      <c r="U796">
        <v>4.3319153779302466</v>
      </c>
      <c r="V796">
        <v>0.21683992469153379</v>
      </c>
      <c r="W796">
        <v>-24.686584598546101</v>
      </c>
      <c r="X796">
        <v>1.3302739580061429</v>
      </c>
      <c r="Z796" t="s">
        <v>392</v>
      </c>
      <c r="AA796">
        <v>9400</v>
      </c>
      <c r="AB796" t="s">
        <v>3215</v>
      </c>
      <c r="AC796" t="str">
        <f>HYPERLINK("plots/3FT6Y578R01_012_S11P_20251111092011_M5358ACSH101811_RBGEUFRF26/dpll_52094/txpa_54152.png","plot")</f>
        <v>plot</v>
      </c>
    </row>
    <row r="797" spans="1:29" x14ac:dyDescent="0.35">
      <c r="A797" t="s">
        <v>48</v>
      </c>
      <c r="B797">
        <v>52094</v>
      </c>
      <c r="C797" t="s">
        <v>53</v>
      </c>
      <c r="D797">
        <v>54153</v>
      </c>
      <c r="E797" t="s">
        <v>173</v>
      </c>
      <c r="F797">
        <v>12243</v>
      </c>
      <c r="G797">
        <v>0.25555401396675831</v>
      </c>
      <c r="H797">
        <v>8.455898323393818E-182</v>
      </c>
      <c r="I797">
        <v>8.8212766460095998E-182</v>
      </c>
      <c r="J797">
        <v>0.2321400854583055</v>
      </c>
      <c r="K797">
        <v>1.7586162440724639E-149</v>
      </c>
      <c r="L797">
        <v>1.8346058348657181E-149</v>
      </c>
      <c r="M797">
        <v>0.16103373915406269</v>
      </c>
      <c r="N797">
        <v>1.246664015821796E-147</v>
      </c>
      <c r="O797">
        <v>1.3005322140363181E-147</v>
      </c>
      <c r="P797">
        <v>6.5307854054522108E-2</v>
      </c>
      <c r="Q797">
        <v>1.560043712802389</v>
      </c>
      <c r="R797">
        <v>-31.484595783122579</v>
      </c>
      <c r="S797">
        <v>1.2797050038224329</v>
      </c>
      <c r="T797">
        <v>1.081060375390575</v>
      </c>
      <c r="U797">
        <v>4.3319153779302466</v>
      </c>
      <c r="V797">
        <v>0.21683992469153379</v>
      </c>
      <c r="W797">
        <v>-24.726618433390509</v>
      </c>
      <c r="X797">
        <v>1.3237113984191751</v>
      </c>
      <c r="Z797" t="s">
        <v>392</v>
      </c>
      <c r="AA797">
        <v>9400</v>
      </c>
      <c r="AB797" t="s">
        <v>3216</v>
      </c>
      <c r="AC797" t="str">
        <f>HYPERLINK("plots/3FT6Y578R01_012_S11P_20251111092011_M5358ACSH101811_RBGEUFRF26/dpll_52094/txpa_54153.png","plot")</f>
        <v>plot</v>
      </c>
    </row>
    <row r="798" spans="1:29" x14ac:dyDescent="0.35">
      <c r="A798" t="s">
        <v>48</v>
      </c>
      <c r="B798">
        <v>52094</v>
      </c>
      <c r="C798" t="s">
        <v>53</v>
      </c>
      <c r="D798">
        <v>54154</v>
      </c>
      <c r="E798" t="s">
        <v>174</v>
      </c>
      <c r="F798">
        <v>12243</v>
      </c>
      <c r="G798">
        <v>0.24629833341286239</v>
      </c>
      <c r="H798">
        <v>1.318081852223514E-168</v>
      </c>
      <c r="I798">
        <v>1.356888322999638E-168</v>
      </c>
      <c r="J798">
        <v>0.21824688916407181</v>
      </c>
      <c r="K798">
        <v>6.2221049035023301E-132</v>
      </c>
      <c r="L798">
        <v>6.3858445062260765E-132</v>
      </c>
      <c r="M798">
        <v>0.15281590880493981</v>
      </c>
      <c r="N798">
        <v>1.693871815172708E-131</v>
      </c>
      <c r="O798">
        <v>1.7384473892562001E-131</v>
      </c>
      <c r="P798">
        <v>6.0662869041953553E-2</v>
      </c>
      <c r="Q798">
        <v>1.4513173043323191</v>
      </c>
      <c r="R798">
        <v>-31.147108353157101</v>
      </c>
      <c r="S798">
        <v>1.238320765862631</v>
      </c>
      <c r="T798">
        <v>1.0405867669968181</v>
      </c>
      <c r="U798">
        <v>4.3319153779302466</v>
      </c>
      <c r="V798">
        <v>0.21683992469153379</v>
      </c>
      <c r="W798">
        <v>-24.86012460426366</v>
      </c>
      <c r="X798">
        <v>1.27773310770809</v>
      </c>
      <c r="Z798" t="s">
        <v>392</v>
      </c>
      <c r="AA798">
        <v>9400</v>
      </c>
      <c r="AB798" t="s">
        <v>3217</v>
      </c>
      <c r="AC798" t="str">
        <f>HYPERLINK("plots/3FT6Y578R01_012_S11P_20251111092011_M5358ACSH101811_RBGEUFRF26/dpll_52094/txpa_54154.png","plot")</f>
        <v>plot</v>
      </c>
    </row>
    <row r="799" spans="1:29" x14ac:dyDescent="0.35">
      <c r="A799" t="s">
        <v>48</v>
      </c>
      <c r="B799">
        <v>52094</v>
      </c>
      <c r="C799" t="s">
        <v>53</v>
      </c>
      <c r="D799">
        <v>54155</v>
      </c>
      <c r="E799" t="s">
        <v>175</v>
      </c>
      <c r="F799">
        <v>12243</v>
      </c>
      <c r="G799">
        <v>0.72934721151158399</v>
      </c>
      <c r="H799">
        <v>0</v>
      </c>
      <c r="I799">
        <v>0</v>
      </c>
      <c r="J799">
        <v>0.62706151811168009</v>
      </c>
      <c r="K799">
        <v>0</v>
      </c>
      <c r="L799">
        <v>0</v>
      </c>
      <c r="M799">
        <v>0.44880984942484808</v>
      </c>
      <c r="N799">
        <v>0</v>
      </c>
      <c r="O799">
        <v>0</v>
      </c>
      <c r="P799">
        <v>0.53194735493972323</v>
      </c>
      <c r="Q799">
        <v>1.2917301057588351</v>
      </c>
      <c r="R799">
        <v>-16.660043405212701</v>
      </c>
      <c r="S799">
        <v>0.26272797427715727</v>
      </c>
      <c r="T799">
        <v>0.20184755826528969</v>
      </c>
      <c r="U799">
        <v>4.3319153779302466</v>
      </c>
      <c r="V799">
        <v>0.21683992469153379</v>
      </c>
      <c r="W799">
        <v>-11.06437789594054</v>
      </c>
      <c r="X799">
        <v>0.384040213541125</v>
      </c>
      <c r="Z799" t="s">
        <v>392</v>
      </c>
      <c r="AA799">
        <v>9400</v>
      </c>
      <c r="AB799" t="s">
        <v>3218</v>
      </c>
      <c r="AC799" t="str">
        <f>HYPERLINK("plots/3FT6Y578R01_012_S11P_20251111092011_M5358ACSH101811_RBGEUFRF26/dpll_52094/txpa_54155.png","plot")</f>
        <v>plot</v>
      </c>
    </row>
    <row r="800" spans="1:29" x14ac:dyDescent="0.35">
      <c r="A800" t="s">
        <v>48</v>
      </c>
      <c r="B800">
        <v>52094</v>
      </c>
      <c r="C800" t="s">
        <v>53</v>
      </c>
      <c r="D800">
        <v>54156</v>
      </c>
      <c r="E800" t="s">
        <v>176</v>
      </c>
      <c r="F800">
        <v>12242</v>
      </c>
      <c r="G800">
        <v>0.74697186403484817</v>
      </c>
      <c r="H800">
        <v>0</v>
      </c>
      <c r="I800">
        <v>0</v>
      </c>
      <c r="J800">
        <v>0.64196208638795438</v>
      </c>
      <c r="K800">
        <v>0</v>
      </c>
      <c r="L800">
        <v>0</v>
      </c>
      <c r="M800">
        <v>0.4616980543443549</v>
      </c>
      <c r="N800">
        <v>0</v>
      </c>
      <c r="O800">
        <v>0</v>
      </c>
      <c r="P800">
        <v>0.55796696565969572</v>
      </c>
      <c r="Q800">
        <v>1.314276686869851</v>
      </c>
      <c r="R800">
        <v>-16.688786037384801</v>
      </c>
      <c r="S800">
        <v>0.25365124061218153</v>
      </c>
      <c r="T800">
        <v>0.19763726750664709</v>
      </c>
      <c r="U800">
        <v>4.3319007004574406</v>
      </c>
      <c r="V800">
        <v>0.21684269964686589</v>
      </c>
      <c r="W800">
        <v>-10.995469936938409</v>
      </c>
      <c r="X800">
        <v>0.3815288347333276</v>
      </c>
      <c r="Z800" t="s">
        <v>392</v>
      </c>
      <c r="AA800">
        <v>9400</v>
      </c>
      <c r="AB800" t="s">
        <v>3219</v>
      </c>
      <c r="AC800" t="str">
        <f>HYPERLINK("plots/3FT6Y578R01_012_S11P_20251111092011_M5358ACSH101811_RBGEUFRF26/dpll_52094/txpa_54156.png","plot")</f>
        <v>plot</v>
      </c>
    </row>
    <row r="801" spans="1:29" x14ac:dyDescent="0.35">
      <c r="A801" t="s">
        <v>48</v>
      </c>
      <c r="B801">
        <v>52094</v>
      </c>
      <c r="C801" t="s">
        <v>53</v>
      </c>
      <c r="D801">
        <v>54157</v>
      </c>
      <c r="E801" t="s">
        <v>177</v>
      </c>
      <c r="F801">
        <v>12243</v>
      </c>
      <c r="G801">
        <v>0.74869869550235124</v>
      </c>
      <c r="H801">
        <v>0</v>
      </c>
      <c r="I801">
        <v>0</v>
      </c>
      <c r="J801">
        <v>0.63699478183315239</v>
      </c>
      <c r="K801">
        <v>0</v>
      </c>
      <c r="L801">
        <v>0</v>
      </c>
      <c r="M801">
        <v>0.4570471763181661</v>
      </c>
      <c r="N801">
        <v>0</v>
      </c>
      <c r="O801">
        <v>0</v>
      </c>
      <c r="P801">
        <v>0.56054973664692243</v>
      </c>
      <c r="Q801">
        <v>1.294381859154031</v>
      </c>
      <c r="R801">
        <v>-16.60883058044443</v>
      </c>
      <c r="S801">
        <v>0.24850304596526049</v>
      </c>
      <c r="T801">
        <v>0.1940251637234614</v>
      </c>
      <c r="U801">
        <v>4.3319153779302466</v>
      </c>
      <c r="V801">
        <v>0.21683992469153379</v>
      </c>
      <c r="W801">
        <v>-11.001677899861139</v>
      </c>
      <c r="X801">
        <v>0.37488200065945759</v>
      </c>
      <c r="Z801" t="s">
        <v>392</v>
      </c>
      <c r="AA801">
        <v>9400</v>
      </c>
      <c r="AB801" t="s">
        <v>3220</v>
      </c>
      <c r="AC801" t="str">
        <f>HYPERLINK("plots/3FT6Y578R01_012_S11P_20251111092011_M5358ACSH101811_RBGEUFRF26/dpll_52094/txpa_54157.png","plot")</f>
        <v>plot</v>
      </c>
    </row>
    <row r="802" spans="1:29" x14ac:dyDescent="0.35">
      <c r="A802" t="s">
        <v>48</v>
      </c>
      <c r="B802">
        <v>52094</v>
      </c>
      <c r="C802" t="s">
        <v>53</v>
      </c>
      <c r="D802">
        <v>54158</v>
      </c>
      <c r="E802" t="s">
        <v>178</v>
      </c>
      <c r="F802">
        <v>12242</v>
      </c>
      <c r="G802">
        <v>0.76078965953548461</v>
      </c>
      <c r="H802">
        <v>0</v>
      </c>
      <c r="I802">
        <v>0</v>
      </c>
      <c r="J802">
        <v>0.64584370752198306</v>
      </c>
      <c r="K802">
        <v>0</v>
      </c>
      <c r="L802">
        <v>0</v>
      </c>
      <c r="M802">
        <v>0.46424483964203328</v>
      </c>
      <c r="N802">
        <v>0</v>
      </c>
      <c r="O802">
        <v>0</v>
      </c>
      <c r="P802">
        <v>0.57880090605611856</v>
      </c>
      <c r="Q802">
        <v>1.3354634975492841</v>
      </c>
      <c r="R802">
        <v>-16.723612669628491</v>
      </c>
      <c r="S802">
        <v>0.24702823325073109</v>
      </c>
      <c r="T802">
        <v>0.19387985440097141</v>
      </c>
      <c r="U802">
        <v>4.3319235655121711</v>
      </c>
      <c r="V802">
        <v>0.21684688906752619</v>
      </c>
      <c r="W802">
        <v>-10.938486873713449</v>
      </c>
      <c r="X802">
        <v>0.38064542712583121</v>
      </c>
      <c r="Z802" t="s">
        <v>392</v>
      </c>
      <c r="AA802">
        <v>9400</v>
      </c>
      <c r="AB802" t="s">
        <v>3221</v>
      </c>
      <c r="AC802" t="str">
        <f>HYPERLINK("plots/3FT6Y578R01_012_S11P_20251111092011_M5358ACSH101811_RBGEUFRF26/dpll_52094/txpa_54158.png","plot")</f>
        <v>plot</v>
      </c>
    </row>
    <row r="803" spans="1:29" x14ac:dyDescent="0.35">
      <c r="A803" t="s">
        <v>48</v>
      </c>
      <c r="B803">
        <v>52094</v>
      </c>
      <c r="C803" t="s">
        <v>53</v>
      </c>
      <c r="D803">
        <v>54159</v>
      </c>
      <c r="E803" t="s">
        <v>179</v>
      </c>
      <c r="F803">
        <v>12240</v>
      </c>
      <c r="G803">
        <v>0.75731823480012883</v>
      </c>
      <c r="H803">
        <v>0</v>
      </c>
      <c r="I803">
        <v>0</v>
      </c>
      <c r="J803">
        <v>0.64077889803626631</v>
      </c>
      <c r="K803">
        <v>0</v>
      </c>
      <c r="L803">
        <v>0</v>
      </c>
      <c r="M803">
        <v>0.45867951033100929</v>
      </c>
      <c r="N803">
        <v>0</v>
      </c>
      <c r="O803">
        <v>0</v>
      </c>
      <c r="P803">
        <v>0.57353090876078305</v>
      </c>
      <c r="Q803">
        <v>1.3309383291882531</v>
      </c>
      <c r="R803">
        <v>-16.727746509760049</v>
      </c>
      <c r="S803">
        <v>0.24881842330901099</v>
      </c>
      <c r="T803">
        <v>0.1961552295201125</v>
      </c>
      <c r="U803">
        <v>4.3319400696078434</v>
      </c>
      <c r="V803">
        <v>0.21680883535870621</v>
      </c>
      <c r="W803">
        <v>-10.96220143137255</v>
      </c>
      <c r="X803">
        <v>0.38102765234713232</v>
      </c>
      <c r="Z803" t="s">
        <v>392</v>
      </c>
      <c r="AA803">
        <v>9400</v>
      </c>
      <c r="AB803" t="s">
        <v>3222</v>
      </c>
      <c r="AC803" t="str">
        <f>HYPERLINK("plots/3FT6Y578R01_012_S11P_20251111092011_M5358ACSH101811_RBGEUFRF26/dpll_52094/txpa_54159.png","plot")</f>
        <v>plot</v>
      </c>
    </row>
    <row r="804" spans="1:29" x14ac:dyDescent="0.35">
      <c r="A804" t="s">
        <v>48</v>
      </c>
      <c r="B804">
        <v>52094</v>
      </c>
      <c r="C804" t="s">
        <v>53</v>
      </c>
      <c r="D804">
        <v>54160</v>
      </c>
      <c r="E804" t="s">
        <v>180</v>
      </c>
      <c r="F804">
        <v>12241</v>
      </c>
      <c r="G804">
        <v>0.75977482820496789</v>
      </c>
      <c r="H804">
        <v>0</v>
      </c>
      <c r="I804">
        <v>0</v>
      </c>
      <c r="J804">
        <v>0.65038089828441048</v>
      </c>
      <c r="K804">
        <v>0</v>
      </c>
      <c r="L804">
        <v>0</v>
      </c>
      <c r="M804">
        <v>0.46929583002510372</v>
      </c>
      <c r="N804">
        <v>0</v>
      </c>
      <c r="O804">
        <v>0</v>
      </c>
      <c r="P804">
        <v>0.57725778957388851</v>
      </c>
      <c r="Q804">
        <v>1.329867428980485</v>
      </c>
      <c r="R804">
        <v>-16.747401151521089</v>
      </c>
      <c r="S804">
        <v>0.24671834926465541</v>
      </c>
      <c r="T804">
        <v>0.19316302463364909</v>
      </c>
      <c r="U804">
        <v>4.3319197416877699</v>
      </c>
      <c r="V804">
        <v>0.2167993297959015</v>
      </c>
      <c r="W804">
        <v>-10.986522182092971</v>
      </c>
      <c r="X804">
        <v>0.37947343952093637</v>
      </c>
      <c r="Z804" t="s">
        <v>392</v>
      </c>
      <c r="AA804">
        <v>9400</v>
      </c>
      <c r="AB804" t="s">
        <v>3223</v>
      </c>
      <c r="AC804" t="str">
        <f>HYPERLINK("plots/3FT6Y578R01_012_S11P_20251111092011_M5358ACSH101811_RBGEUFRF26/dpll_52094/txpa_54160.png","plot")</f>
        <v>plot</v>
      </c>
    </row>
    <row r="805" spans="1:29" x14ac:dyDescent="0.35">
      <c r="A805" t="s">
        <v>48</v>
      </c>
      <c r="B805">
        <v>52094</v>
      </c>
      <c r="C805" t="s">
        <v>53</v>
      </c>
      <c r="D805">
        <v>54161</v>
      </c>
      <c r="E805" t="s">
        <v>181</v>
      </c>
      <c r="F805">
        <v>12242</v>
      </c>
      <c r="G805">
        <v>0.75581645659376029</v>
      </c>
      <c r="H805">
        <v>0</v>
      </c>
      <c r="I805">
        <v>0</v>
      </c>
      <c r="J805">
        <v>0.64484488672112472</v>
      </c>
      <c r="K805">
        <v>0</v>
      </c>
      <c r="L805">
        <v>0</v>
      </c>
      <c r="M805">
        <v>0.46378539366513682</v>
      </c>
      <c r="N805">
        <v>0</v>
      </c>
      <c r="O805">
        <v>0</v>
      </c>
      <c r="P805">
        <v>0.57125851605794753</v>
      </c>
      <c r="Q805">
        <v>1.3200078285023371</v>
      </c>
      <c r="R805">
        <v>-16.703833892344441</v>
      </c>
      <c r="S805">
        <v>0.2479310159654271</v>
      </c>
      <c r="T805">
        <v>0.19459078872182389</v>
      </c>
      <c r="U805">
        <v>4.331949619669988</v>
      </c>
      <c r="V805">
        <v>0.21681567757630049</v>
      </c>
      <c r="W805">
        <v>-10.98562648170234</v>
      </c>
      <c r="X805">
        <v>0.37866123348592617</v>
      </c>
      <c r="Z805" t="s">
        <v>392</v>
      </c>
      <c r="AA805">
        <v>9400</v>
      </c>
      <c r="AB805" t="s">
        <v>3224</v>
      </c>
      <c r="AC805" t="str">
        <f>HYPERLINK("plots/3FT6Y578R01_012_S11P_20251111092011_M5358ACSH101811_RBGEUFRF26/dpll_52094/txpa_54161.png","plot")</f>
        <v>plot</v>
      </c>
    </row>
    <row r="806" spans="1:29" x14ac:dyDescent="0.35">
      <c r="A806" t="s">
        <v>48</v>
      </c>
      <c r="B806">
        <v>52094</v>
      </c>
      <c r="C806" t="s">
        <v>53</v>
      </c>
      <c r="D806">
        <v>54162</v>
      </c>
      <c r="E806" t="s">
        <v>182</v>
      </c>
      <c r="F806">
        <v>12241</v>
      </c>
      <c r="G806">
        <v>0.74942849561728497</v>
      </c>
      <c r="H806">
        <v>0</v>
      </c>
      <c r="I806">
        <v>0</v>
      </c>
      <c r="J806">
        <v>0.63244592153842816</v>
      </c>
      <c r="K806">
        <v>0</v>
      </c>
      <c r="L806">
        <v>0</v>
      </c>
      <c r="M806">
        <v>0.45440504840027551</v>
      </c>
      <c r="N806">
        <v>0</v>
      </c>
      <c r="O806">
        <v>0</v>
      </c>
      <c r="P806">
        <v>0.56164307004318692</v>
      </c>
      <c r="Q806">
        <v>1.3023313718037151</v>
      </c>
      <c r="R806">
        <v>-16.689441825535368</v>
      </c>
      <c r="S806">
        <v>0.24944165621510689</v>
      </c>
      <c r="T806">
        <v>0.1948866718240983</v>
      </c>
      <c r="U806">
        <v>4.3319714452250633</v>
      </c>
      <c r="V806">
        <v>0.21681108513633299</v>
      </c>
      <c r="W806">
        <v>-11.0477795106609</v>
      </c>
      <c r="X806">
        <v>0.37676693584393278</v>
      </c>
      <c r="Z806" t="s">
        <v>392</v>
      </c>
      <c r="AA806">
        <v>9400</v>
      </c>
      <c r="AB806" t="s">
        <v>3225</v>
      </c>
      <c r="AC806" t="str">
        <f>HYPERLINK("plots/3FT6Y578R01_012_S11P_20251111092011_M5358ACSH101811_RBGEUFRF26/dpll_52094/txpa_54162.png","plot")</f>
        <v>plot</v>
      </c>
    </row>
    <row r="807" spans="1:29" x14ac:dyDescent="0.35">
      <c r="A807" t="s">
        <v>48</v>
      </c>
      <c r="B807">
        <v>52094</v>
      </c>
      <c r="C807" t="s">
        <v>53</v>
      </c>
      <c r="D807">
        <v>54163</v>
      </c>
      <c r="E807" t="s">
        <v>183</v>
      </c>
      <c r="F807">
        <v>12243</v>
      </c>
      <c r="G807">
        <v>0.77596274479344252</v>
      </c>
      <c r="H807">
        <v>0</v>
      </c>
      <c r="I807">
        <v>0</v>
      </c>
      <c r="J807">
        <v>0.67184887472098287</v>
      </c>
      <c r="K807">
        <v>0</v>
      </c>
      <c r="L807">
        <v>0</v>
      </c>
      <c r="M807">
        <v>0.48419317734680251</v>
      </c>
      <c r="N807">
        <v>0</v>
      </c>
      <c r="O807">
        <v>0</v>
      </c>
      <c r="P807">
        <v>0.60211818130737316</v>
      </c>
      <c r="Q807">
        <v>1.157125895782803</v>
      </c>
      <c r="R807">
        <v>-9.7703918750318355</v>
      </c>
      <c r="S807">
        <v>0.2039568520010196</v>
      </c>
      <c r="T807">
        <v>0.15485170559093189</v>
      </c>
      <c r="U807">
        <v>4.3319153779302466</v>
      </c>
      <c r="V807">
        <v>0.21683992469153379</v>
      </c>
      <c r="W807">
        <v>-4.7578204128889974</v>
      </c>
      <c r="X807">
        <v>0.32335456023337572</v>
      </c>
      <c r="Z807" t="s">
        <v>392</v>
      </c>
      <c r="AA807">
        <v>9400</v>
      </c>
      <c r="AB807" t="s">
        <v>3226</v>
      </c>
      <c r="AC807" t="str">
        <f>HYPERLINK("plots/3FT6Y578R01_012_S11P_20251111092011_M5358ACSH101811_RBGEUFRF26/dpll_52094/txpa_54163.png","plot")</f>
        <v>plot</v>
      </c>
    </row>
    <row r="808" spans="1:29" x14ac:dyDescent="0.35">
      <c r="A808" t="s">
        <v>48</v>
      </c>
      <c r="B808">
        <v>52094</v>
      </c>
      <c r="C808" t="s">
        <v>53</v>
      </c>
      <c r="D808">
        <v>54164</v>
      </c>
      <c r="E808" t="s">
        <v>184</v>
      </c>
      <c r="F808">
        <v>12242</v>
      </c>
      <c r="G808">
        <v>0.7917871327727648</v>
      </c>
      <c r="H808">
        <v>0</v>
      </c>
      <c r="I808">
        <v>0</v>
      </c>
      <c r="J808">
        <v>0.68246942906426866</v>
      </c>
      <c r="K808">
        <v>0</v>
      </c>
      <c r="L808">
        <v>0</v>
      </c>
      <c r="M808">
        <v>0.49537467853977618</v>
      </c>
      <c r="N808">
        <v>0</v>
      </c>
      <c r="O808">
        <v>0</v>
      </c>
      <c r="P808">
        <v>0.62692686362451588</v>
      </c>
      <c r="Q808">
        <v>1.17311491417878</v>
      </c>
      <c r="R808">
        <v>-9.796628140290963</v>
      </c>
      <c r="S808">
        <v>0.19622582891694271</v>
      </c>
      <c r="T808">
        <v>0.15097061124812969</v>
      </c>
      <c r="U808">
        <v>4.3319007004574406</v>
      </c>
      <c r="V808">
        <v>0.21684269964686589</v>
      </c>
      <c r="W808">
        <v>-4.7148108218428364</v>
      </c>
      <c r="X808">
        <v>0.32127499230217088</v>
      </c>
      <c r="Z808" t="s">
        <v>392</v>
      </c>
      <c r="AA808">
        <v>9400</v>
      </c>
      <c r="AB808" t="s">
        <v>3227</v>
      </c>
      <c r="AC808" t="str">
        <f>HYPERLINK("plots/3FT6Y578R01_012_S11P_20251111092011_M5358ACSH101811_RBGEUFRF26/dpll_52094/txpa_54164.png","plot")</f>
        <v>plot</v>
      </c>
    </row>
    <row r="809" spans="1:29" x14ac:dyDescent="0.35">
      <c r="A809" t="s">
        <v>48</v>
      </c>
      <c r="B809">
        <v>52094</v>
      </c>
      <c r="C809" t="s">
        <v>53</v>
      </c>
      <c r="D809">
        <v>54165</v>
      </c>
      <c r="E809" t="s">
        <v>185</v>
      </c>
      <c r="F809">
        <v>12243</v>
      </c>
      <c r="G809">
        <v>0.7903891075681112</v>
      </c>
      <c r="H809">
        <v>0</v>
      </c>
      <c r="I809">
        <v>0</v>
      </c>
      <c r="J809">
        <v>0.6800644022164728</v>
      </c>
      <c r="K809">
        <v>0</v>
      </c>
      <c r="L809">
        <v>0</v>
      </c>
      <c r="M809">
        <v>0.49259279673417489</v>
      </c>
      <c r="N809">
        <v>0</v>
      </c>
      <c r="O809">
        <v>0</v>
      </c>
      <c r="P809">
        <v>0.62471494136231531</v>
      </c>
      <c r="Q809">
        <v>1.1591164785226979</v>
      </c>
      <c r="R809">
        <v>-9.7358549652488993</v>
      </c>
      <c r="S809">
        <v>0.19479969881271861</v>
      </c>
      <c r="T809">
        <v>0.14953168555239529</v>
      </c>
      <c r="U809">
        <v>4.3319153779302466</v>
      </c>
      <c r="V809">
        <v>0.21683992469153379</v>
      </c>
      <c r="W809">
        <v>-4.7146604671240713</v>
      </c>
      <c r="X809">
        <v>0.31799872683584302</v>
      </c>
      <c r="Z809" t="s">
        <v>392</v>
      </c>
      <c r="AA809">
        <v>9400</v>
      </c>
      <c r="AB809" t="s">
        <v>3228</v>
      </c>
      <c r="AC809" t="str">
        <f>HYPERLINK("plots/3FT6Y578R01_012_S11P_20251111092011_M5358ACSH101811_RBGEUFRF26/dpll_52094/txpa_54165.png","plot")</f>
        <v>plot</v>
      </c>
    </row>
    <row r="810" spans="1:29" x14ac:dyDescent="0.35">
      <c r="A810" t="s">
        <v>48</v>
      </c>
      <c r="B810">
        <v>52094</v>
      </c>
      <c r="C810" t="s">
        <v>53</v>
      </c>
      <c r="D810">
        <v>54166</v>
      </c>
      <c r="E810" t="s">
        <v>186</v>
      </c>
      <c r="F810">
        <v>12242</v>
      </c>
      <c r="G810">
        <v>0.80288511645884797</v>
      </c>
      <c r="H810">
        <v>0</v>
      </c>
      <c r="I810">
        <v>0</v>
      </c>
      <c r="J810">
        <v>0.68820256820778947</v>
      </c>
      <c r="K810">
        <v>0</v>
      </c>
      <c r="L810">
        <v>0</v>
      </c>
      <c r="M810">
        <v>0.49968723022242673</v>
      </c>
      <c r="N810">
        <v>0</v>
      </c>
      <c r="O810">
        <v>0</v>
      </c>
      <c r="P810">
        <v>0.64462451023113787</v>
      </c>
      <c r="Q810">
        <v>1.1840487819937859</v>
      </c>
      <c r="R810">
        <v>-9.8036334732074515</v>
      </c>
      <c r="S810">
        <v>0.19063181430467799</v>
      </c>
      <c r="T810">
        <v>0.14809652382552951</v>
      </c>
      <c r="U810">
        <v>4.3319235655121711</v>
      </c>
      <c r="V810">
        <v>0.21684688906752619</v>
      </c>
      <c r="W810">
        <v>-4.6744246517725863</v>
      </c>
      <c r="X810">
        <v>0.3197933173951249</v>
      </c>
      <c r="Z810" t="s">
        <v>392</v>
      </c>
      <c r="AA810">
        <v>9400</v>
      </c>
      <c r="AB810" t="s">
        <v>3229</v>
      </c>
      <c r="AC810" t="str">
        <f>HYPERLINK("plots/3FT6Y578R01_012_S11P_20251111092011_M5358ACSH101811_RBGEUFRF26/dpll_52094/txpa_54166.png","plot")</f>
        <v>plot</v>
      </c>
    </row>
    <row r="811" spans="1:29" x14ac:dyDescent="0.35">
      <c r="A811" t="s">
        <v>48</v>
      </c>
      <c r="B811">
        <v>52094</v>
      </c>
      <c r="C811" t="s">
        <v>53</v>
      </c>
      <c r="D811">
        <v>54167</v>
      </c>
      <c r="E811" t="s">
        <v>187</v>
      </c>
      <c r="F811">
        <v>12240</v>
      </c>
      <c r="G811">
        <v>0.80138071714514347</v>
      </c>
      <c r="H811">
        <v>0</v>
      </c>
      <c r="I811">
        <v>0</v>
      </c>
      <c r="J811">
        <v>0.68307432333247242</v>
      </c>
      <c r="K811">
        <v>0</v>
      </c>
      <c r="L811">
        <v>0</v>
      </c>
      <c r="M811">
        <v>0.4946937709205203</v>
      </c>
      <c r="N811">
        <v>0</v>
      </c>
      <c r="O811">
        <v>0</v>
      </c>
      <c r="P811">
        <v>0.64221105381206445</v>
      </c>
      <c r="Q811">
        <v>1.1897435089696911</v>
      </c>
      <c r="R811">
        <v>-9.8523349336368042</v>
      </c>
      <c r="S811">
        <v>0.19252500810563189</v>
      </c>
      <c r="T811">
        <v>0.14996827034614679</v>
      </c>
      <c r="U811">
        <v>4.3319400696078434</v>
      </c>
      <c r="V811">
        <v>0.21680883535870621</v>
      </c>
      <c r="W811">
        <v>-4.6984373545751632</v>
      </c>
      <c r="X811">
        <v>0.32187810242579201</v>
      </c>
      <c r="Z811" t="s">
        <v>392</v>
      </c>
      <c r="AA811">
        <v>9400</v>
      </c>
      <c r="AB811" t="s">
        <v>3230</v>
      </c>
      <c r="AC811" t="str">
        <f>HYPERLINK("plots/3FT6Y578R01_012_S11P_20251111092011_M5358ACSH101811_RBGEUFRF26/dpll_52094/txpa_54167.png","plot")</f>
        <v>plot</v>
      </c>
    </row>
    <row r="812" spans="1:29" x14ac:dyDescent="0.35">
      <c r="A812" t="s">
        <v>48</v>
      </c>
      <c r="B812">
        <v>52094</v>
      </c>
      <c r="C812" t="s">
        <v>53</v>
      </c>
      <c r="D812">
        <v>54168</v>
      </c>
      <c r="E812" t="s">
        <v>188</v>
      </c>
      <c r="F812">
        <v>12240</v>
      </c>
      <c r="G812">
        <v>0.80564171769262083</v>
      </c>
      <c r="H812">
        <v>0</v>
      </c>
      <c r="I812">
        <v>0</v>
      </c>
      <c r="J812">
        <v>0.69343686581344921</v>
      </c>
      <c r="K812">
        <v>0</v>
      </c>
      <c r="L812">
        <v>0</v>
      </c>
      <c r="M812">
        <v>0.50492668888296777</v>
      </c>
      <c r="N812">
        <v>0</v>
      </c>
      <c r="O812">
        <v>0</v>
      </c>
      <c r="P812">
        <v>0.64905857728671656</v>
      </c>
      <c r="Q812">
        <v>1.193842958171965</v>
      </c>
      <c r="R812">
        <v>-9.8784942515351943</v>
      </c>
      <c r="S812">
        <v>0.19029676698564571</v>
      </c>
      <c r="T812">
        <v>0.1480856374395218</v>
      </c>
      <c r="U812">
        <v>4.331890278839869</v>
      </c>
      <c r="V812">
        <v>0.21678367779622049</v>
      </c>
      <c r="W812">
        <v>-4.7068975465686274</v>
      </c>
      <c r="X812">
        <v>0.32124164066983057</v>
      </c>
      <c r="Z812" t="s">
        <v>392</v>
      </c>
      <c r="AA812">
        <v>9400</v>
      </c>
      <c r="AB812" t="s">
        <v>3231</v>
      </c>
      <c r="AC812" t="str">
        <f>HYPERLINK("plots/3FT6Y578R01_012_S11P_20251111092011_M5358ACSH101811_RBGEUFRF26/dpll_52094/txpa_54168.png","plot")</f>
        <v>plot</v>
      </c>
    </row>
    <row r="813" spans="1:29" x14ac:dyDescent="0.35">
      <c r="A813" t="s">
        <v>48</v>
      </c>
      <c r="B813">
        <v>52094</v>
      </c>
      <c r="C813" t="s">
        <v>53</v>
      </c>
      <c r="D813">
        <v>54169</v>
      </c>
      <c r="E813" t="s">
        <v>189</v>
      </c>
      <c r="F813">
        <v>12242</v>
      </c>
      <c r="G813">
        <v>0.80297733480753752</v>
      </c>
      <c r="H813">
        <v>0</v>
      </c>
      <c r="I813">
        <v>0</v>
      </c>
      <c r="J813">
        <v>0.68646099374940994</v>
      </c>
      <c r="K813">
        <v>0</v>
      </c>
      <c r="L813">
        <v>0</v>
      </c>
      <c r="M813">
        <v>0.49885661869703551</v>
      </c>
      <c r="N813">
        <v>0</v>
      </c>
      <c r="O813">
        <v>0</v>
      </c>
      <c r="P813">
        <v>0.64477260021461624</v>
      </c>
      <c r="Q813">
        <v>1.1861856353053519</v>
      </c>
      <c r="R813">
        <v>-9.8420516785871808</v>
      </c>
      <c r="S813">
        <v>0.1908866452518084</v>
      </c>
      <c r="T813">
        <v>0.1487189600066037</v>
      </c>
      <c r="U813">
        <v>4.331949619669988</v>
      </c>
      <c r="V813">
        <v>0.21681567757630049</v>
      </c>
      <c r="W813">
        <v>-4.7035552668681584</v>
      </c>
      <c r="X813">
        <v>0.32028754872844267</v>
      </c>
      <c r="Z813" t="s">
        <v>392</v>
      </c>
      <c r="AA813">
        <v>9400</v>
      </c>
      <c r="AB813" t="s">
        <v>3232</v>
      </c>
      <c r="AC813" t="str">
        <f>HYPERLINK("plots/3FT6Y578R01_012_S11P_20251111092011_M5358ACSH101811_RBGEUFRF26/dpll_52094/txpa_54169.png","plot")</f>
        <v>plot</v>
      </c>
    </row>
    <row r="814" spans="1:29" x14ac:dyDescent="0.35">
      <c r="A814" t="s">
        <v>48</v>
      </c>
      <c r="B814">
        <v>52094</v>
      </c>
      <c r="C814" t="s">
        <v>53</v>
      </c>
      <c r="D814">
        <v>54170</v>
      </c>
      <c r="E814" t="s">
        <v>190</v>
      </c>
      <c r="F814">
        <v>12239</v>
      </c>
      <c r="G814">
        <v>0.79741823107557552</v>
      </c>
      <c r="H814">
        <v>0</v>
      </c>
      <c r="I814">
        <v>0</v>
      </c>
      <c r="J814">
        <v>0.67693808016106616</v>
      </c>
      <c r="K814">
        <v>0</v>
      </c>
      <c r="L814">
        <v>0</v>
      </c>
      <c r="M814">
        <v>0.49110284159104589</v>
      </c>
      <c r="N814">
        <v>0</v>
      </c>
      <c r="O814">
        <v>0</v>
      </c>
      <c r="P814">
        <v>0.63587583525169999</v>
      </c>
      <c r="Q814">
        <v>1.172962943027394</v>
      </c>
      <c r="R814">
        <v>-9.8155918946653351</v>
      </c>
      <c r="S814">
        <v>0.1924448221055014</v>
      </c>
      <c r="T814">
        <v>0.1493311539870236</v>
      </c>
      <c r="U814">
        <v>4.3319942728981129</v>
      </c>
      <c r="V814">
        <v>0.21682087438449071</v>
      </c>
      <c r="W814">
        <v>-4.7343231431489503</v>
      </c>
      <c r="X814">
        <v>0.31893282723768263</v>
      </c>
      <c r="Z814" t="s">
        <v>392</v>
      </c>
      <c r="AA814">
        <v>9400</v>
      </c>
      <c r="AB814" t="s">
        <v>3233</v>
      </c>
      <c r="AC814" t="str">
        <f>HYPERLINK("plots/3FT6Y578R01_012_S11P_20251111092011_M5358ACSH101811_RBGEUFRF26/dpll_52094/txpa_54170.png","plot")</f>
        <v>plot</v>
      </c>
    </row>
    <row r="815" spans="1:29" x14ac:dyDescent="0.35">
      <c r="A815" t="s">
        <v>48</v>
      </c>
      <c r="B815">
        <v>52094</v>
      </c>
      <c r="C815" t="s">
        <v>53</v>
      </c>
      <c r="D815">
        <v>54171</v>
      </c>
      <c r="E815" t="s">
        <v>191</v>
      </c>
      <c r="F815">
        <v>12243</v>
      </c>
      <c r="G815">
        <v>0.78828795694982479</v>
      </c>
      <c r="H815">
        <v>0</v>
      </c>
      <c r="I815">
        <v>0</v>
      </c>
      <c r="J815">
        <v>0.68684174315361635</v>
      </c>
      <c r="K815">
        <v>0</v>
      </c>
      <c r="L815">
        <v>0</v>
      </c>
      <c r="M815">
        <v>0.49664532571779929</v>
      </c>
      <c r="N815">
        <v>0</v>
      </c>
      <c r="O815">
        <v>0</v>
      </c>
      <c r="P815">
        <v>0.62139790307212883</v>
      </c>
      <c r="Q815">
        <v>1.1809217978612421</v>
      </c>
      <c r="R815">
        <v>-6.9011983728706863</v>
      </c>
      <c r="S815">
        <v>0.1998707607420315</v>
      </c>
      <c r="T815">
        <v>0.15082903620225421</v>
      </c>
      <c r="U815">
        <v>4.3319153779302466</v>
      </c>
      <c r="V815">
        <v>0.21683992469153379</v>
      </c>
      <c r="W815">
        <v>-1.7855450765825369</v>
      </c>
      <c r="X815">
        <v>0.32484448285326478</v>
      </c>
      <c r="Z815" t="s">
        <v>392</v>
      </c>
      <c r="AA815">
        <v>9400</v>
      </c>
      <c r="AB815" t="s">
        <v>3234</v>
      </c>
      <c r="AC815" t="str">
        <f>HYPERLINK("plots/3FT6Y578R01_012_S11P_20251111092011_M5358ACSH101811_RBGEUFRF26/dpll_52094/txpa_54171.png","plot")</f>
        <v>plot</v>
      </c>
    </row>
    <row r="816" spans="1:29" x14ac:dyDescent="0.35">
      <c r="A816" t="s">
        <v>48</v>
      </c>
      <c r="B816">
        <v>52094</v>
      </c>
      <c r="C816" t="s">
        <v>53</v>
      </c>
      <c r="D816">
        <v>54172</v>
      </c>
      <c r="E816" t="s">
        <v>192</v>
      </c>
      <c r="F816">
        <v>12242</v>
      </c>
      <c r="G816">
        <v>0.80501107715116715</v>
      </c>
      <c r="H816">
        <v>0</v>
      </c>
      <c r="I816">
        <v>0</v>
      </c>
      <c r="J816">
        <v>0.69876995169860145</v>
      </c>
      <c r="K816">
        <v>0</v>
      </c>
      <c r="L816">
        <v>0</v>
      </c>
      <c r="M816">
        <v>0.50906850851657182</v>
      </c>
      <c r="N816">
        <v>0</v>
      </c>
      <c r="O816">
        <v>0</v>
      </c>
      <c r="P816">
        <v>0.64804283433608234</v>
      </c>
      <c r="Q816">
        <v>1.200767321023654</v>
      </c>
      <c r="R816">
        <v>-6.9499559359426746</v>
      </c>
      <c r="S816">
        <v>0.1918796759516721</v>
      </c>
      <c r="T816">
        <v>0.14696594434445909</v>
      </c>
      <c r="U816">
        <v>4.3319007004574406</v>
      </c>
      <c r="V816">
        <v>0.21684269964686589</v>
      </c>
      <c r="W816">
        <v>-1.7483511369139031</v>
      </c>
      <c r="X816">
        <v>0.32344601823362168</v>
      </c>
      <c r="Z816" t="s">
        <v>392</v>
      </c>
      <c r="AA816">
        <v>9400</v>
      </c>
      <c r="AB816" t="s">
        <v>3235</v>
      </c>
      <c r="AC816" t="str">
        <f>HYPERLINK("plots/3FT6Y578R01_012_S11P_20251111092011_M5358ACSH101811_RBGEUFRF26/dpll_52094/txpa_54172.png","plot")</f>
        <v>plot</v>
      </c>
    </row>
    <row r="817" spans="1:29" x14ac:dyDescent="0.35">
      <c r="A817" t="s">
        <v>48</v>
      </c>
      <c r="B817">
        <v>52094</v>
      </c>
      <c r="C817" t="s">
        <v>53</v>
      </c>
      <c r="D817">
        <v>54173</v>
      </c>
      <c r="E817" t="s">
        <v>193</v>
      </c>
      <c r="F817">
        <v>12243</v>
      </c>
      <c r="G817">
        <v>0.80209000321169066</v>
      </c>
      <c r="H817">
        <v>0</v>
      </c>
      <c r="I817">
        <v>0</v>
      </c>
      <c r="J817">
        <v>0.69440775864434756</v>
      </c>
      <c r="K817">
        <v>0</v>
      </c>
      <c r="L817">
        <v>0</v>
      </c>
      <c r="M817">
        <v>0.50473149315054755</v>
      </c>
      <c r="N817">
        <v>0</v>
      </c>
      <c r="O817">
        <v>0</v>
      </c>
      <c r="P817">
        <v>0.6433483732521299</v>
      </c>
      <c r="Q817">
        <v>1.1840088007580369</v>
      </c>
      <c r="R817">
        <v>-6.8759293617073221</v>
      </c>
      <c r="S817">
        <v>0.19115050168178241</v>
      </c>
      <c r="T817">
        <v>0.14590580070159079</v>
      </c>
      <c r="U817">
        <v>4.3319153779302466</v>
      </c>
      <c r="V817">
        <v>0.21683992469153379</v>
      </c>
      <c r="W817">
        <v>-1.746903430098832</v>
      </c>
      <c r="X817">
        <v>0.32008923956471003</v>
      </c>
      <c r="Z817" t="s">
        <v>392</v>
      </c>
      <c r="AA817">
        <v>9400</v>
      </c>
      <c r="AB817" t="s">
        <v>3236</v>
      </c>
      <c r="AC817" t="str">
        <f>HYPERLINK("plots/3FT6Y578R01_012_S11P_20251111092011_M5358ACSH101811_RBGEUFRF26/dpll_52094/txpa_54173.png","plot")</f>
        <v>plot</v>
      </c>
    </row>
    <row r="818" spans="1:29" x14ac:dyDescent="0.35">
      <c r="A818" t="s">
        <v>48</v>
      </c>
      <c r="B818">
        <v>52094</v>
      </c>
      <c r="C818" t="s">
        <v>53</v>
      </c>
      <c r="D818">
        <v>54174</v>
      </c>
      <c r="E818" t="s">
        <v>194</v>
      </c>
      <c r="F818">
        <v>12242</v>
      </c>
      <c r="G818">
        <v>0.81428668570944551</v>
      </c>
      <c r="H818">
        <v>0</v>
      </c>
      <c r="I818">
        <v>0</v>
      </c>
      <c r="J818">
        <v>0.70273025451690418</v>
      </c>
      <c r="K818">
        <v>0</v>
      </c>
      <c r="L818">
        <v>0</v>
      </c>
      <c r="M818">
        <v>0.51226919351373212</v>
      </c>
      <c r="N818">
        <v>0</v>
      </c>
      <c r="O818">
        <v>0</v>
      </c>
      <c r="P818">
        <v>0.66306280652367333</v>
      </c>
      <c r="Q818">
        <v>1.207223163599858</v>
      </c>
      <c r="R818">
        <v>-6.942923395915888</v>
      </c>
      <c r="S818">
        <v>0.1866036612646981</v>
      </c>
      <c r="T818">
        <v>0.14432609119800399</v>
      </c>
      <c r="U818">
        <v>4.3319235655121711</v>
      </c>
      <c r="V818">
        <v>0.21684688906752619</v>
      </c>
      <c r="W818">
        <v>-1.7133249246855089</v>
      </c>
      <c r="X818">
        <v>0.32148700455394158</v>
      </c>
      <c r="Z818" t="s">
        <v>392</v>
      </c>
      <c r="AA818">
        <v>9400</v>
      </c>
      <c r="AB818" t="s">
        <v>3237</v>
      </c>
      <c r="AC818" t="str">
        <f>HYPERLINK("plots/3FT6Y578R01_012_S11P_20251111092011_M5358ACSH101811_RBGEUFRF26/dpll_52094/txpa_54174.png","plot")</f>
        <v>plot</v>
      </c>
    </row>
    <row r="819" spans="1:29" x14ac:dyDescent="0.35">
      <c r="A819" t="s">
        <v>48</v>
      </c>
      <c r="B819">
        <v>52094</v>
      </c>
      <c r="C819" t="s">
        <v>53</v>
      </c>
      <c r="D819">
        <v>54175</v>
      </c>
      <c r="E819" t="s">
        <v>195</v>
      </c>
      <c r="F819">
        <v>12240</v>
      </c>
      <c r="G819">
        <v>0.81380530893962366</v>
      </c>
      <c r="H819">
        <v>0</v>
      </c>
      <c r="I819">
        <v>0</v>
      </c>
      <c r="J819">
        <v>0.69836527611246202</v>
      </c>
      <c r="K819">
        <v>0</v>
      </c>
      <c r="L819">
        <v>0</v>
      </c>
      <c r="M819">
        <v>0.5076984862012982</v>
      </c>
      <c r="N819">
        <v>0</v>
      </c>
      <c r="O819">
        <v>0</v>
      </c>
      <c r="P819">
        <v>0.66227908085831633</v>
      </c>
      <c r="Q819">
        <v>1.2121788324334899</v>
      </c>
      <c r="R819">
        <v>-6.9876018021788244</v>
      </c>
      <c r="S819">
        <v>0.18766547981059301</v>
      </c>
      <c r="T819">
        <v>0.14578792855386041</v>
      </c>
      <c r="U819">
        <v>4.3319400696078434</v>
      </c>
      <c r="V819">
        <v>0.21680883535870621</v>
      </c>
      <c r="W819">
        <v>-1.7365157464297389</v>
      </c>
      <c r="X819">
        <v>0.32294097620083129</v>
      </c>
      <c r="Z819" t="s">
        <v>392</v>
      </c>
      <c r="AA819">
        <v>9400</v>
      </c>
      <c r="AB819" t="s">
        <v>3238</v>
      </c>
      <c r="AC819" t="str">
        <f>HYPERLINK("plots/3FT6Y578R01_012_S11P_20251111092011_M5358ACSH101811_RBGEUFRF26/dpll_52094/txpa_54175.png","plot")</f>
        <v>plot</v>
      </c>
    </row>
    <row r="820" spans="1:29" x14ac:dyDescent="0.35">
      <c r="A820" t="s">
        <v>48</v>
      </c>
      <c r="B820">
        <v>52094</v>
      </c>
      <c r="C820" t="s">
        <v>53</v>
      </c>
      <c r="D820">
        <v>54176</v>
      </c>
      <c r="E820" t="s">
        <v>196</v>
      </c>
      <c r="F820">
        <v>12240</v>
      </c>
      <c r="G820">
        <v>0.81779763799767813</v>
      </c>
      <c r="H820">
        <v>0</v>
      </c>
      <c r="I820">
        <v>0</v>
      </c>
      <c r="J820">
        <v>0.70758728342277877</v>
      </c>
      <c r="K820">
        <v>0</v>
      </c>
      <c r="L820">
        <v>0</v>
      </c>
      <c r="M820">
        <v>0.51695617597196242</v>
      </c>
      <c r="N820">
        <v>0</v>
      </c>
      <c r="O820">
        <v>0</v>
      </c>
      <c r="P820">
        <v>0.66879297671458138</v>
      </c>
      <c r="Q820">
        <v>1.219003516400573</v>
      </c>
      <c r="R820">
        <v>-7.0219355277878481</v>
      </c>
      <c r="S820">
        <v>0.1859592190695889</v>
      </c>
      <c r="T820">
        <v>0.1444545253233652</v>
      </c>
      <c r="U820">
        <v>4.331890278839869</v>
      </c>
      <c r="V820">
        <v>0.21678367779622049</v>
      </c>
      <c r="W820">
        <v>-1.741346045220588</v>
      </c>
      <c r="X820">
        <v>0.32313625431697812</v>
      </c>
      <c r="Z820" t="s">
        <v>392</v>
      </c>
      <c r="AA820">
        <v>9400</v>
      </c>
      <c r="AB820" t="s">
        <v>3239</v>
      </c>
      <c r="AC820" t="str">
        <f>HYPERLINK("plots/3FT6Y578R01_012_S11P_20251111092011_M5358ACSH101811_RBGEUFRF26/dpll_52094/txpa_54176.png","plot")</f>
        <v>plot</v>
      </c>
    </row>
    <row r="821" spans="1:29" x14ac:dyDescent="0.35">
      <c r="A821" t="s">
        <v>48</v>
      </c>
      <c r="B821">
        <v>52094</v>
      </c>
      <c r="C821" t="s">
        <v>53</v>
      </c>
      <c r="D821">
        <v>54177</v>
      </c>
      <c r="E821" t="s">
        <v>197</v>
      </c>
      <c r="F821">
        <v>12242</v>
      </c>
      <c r="G821">
        <v>0.81545707745639684</v>
      </c>
      <c r="H821">
        <v>0</v>
      </c>
      <c r="I821">
        <v>0</v>
      </c>
      <c r="J821">
        <v>0.70154381980431779</v>
      </c>
      <c r="K821">
        <v>0</v>
      </c>
      <c r="L821">
        <v>0</v>
      </c>
      <c r="M821">
        <v>0.51171791952555123</v>
      </c>
      <c r="N821">
        <v>0</v>
      </c>
      <c r="O821">
        <v>0</v>
      </c>
      <c r="P821">
        <v>0.66497024517372805</v>
      </c>
      <c r="Q821">
        <v>1.2116545940294841</v>
      </c>
      <c r="R821">
        <v>-6.9858168871353659</v>
      </c>
      <c r="S821">
        <v>0.18646286813401869</v>
      </c>
      <c r="T821">
        <v>0.14484520148952229</v>
      </c>
      <c r="U821">
        <v>4.331949619669988</v>
      </c>
      <c r="V821">
        <v>0.21681567757630049</v>
      </c>
      <c r="W821">
        <v>-1.736990229357948</v>
      </c>
      <c r="X821">
        <v>0.32215762062226633</v>
      </c>
      <c r="Z821" t="s">
        <v>392</v>
      </c>
      <c r="AA821">
        <v>9400</v>
      </c>
      <c r="AB821" t="s">
        <v>3240</v>
      </c>
      <c r="AC821" t="str">
        <f>HYPERLINK("plots/3FT6Y578R01_012_S11P_20251111092011_M5358ACSH101811_RBGEUFRF26/dpll_52094/txpa_54177.png","plot")</f>
        <v>plot</v>
      </c>
    </row>
    <row r="822" spans="1:29" x14ac:dyDescent="0.35">
      <c r="A822" t="s">
        <v>48</v>
      </c>
      <c r="B822">
        <v>52094</v>
      </c>
      <c r="C822" t="s">
        <v>53</v>
      </c>
      <c r="D822">
        <v>54178</v>
      </c>
      <c r="E822" t="s">
        <v>198</v>
      </c>
      <c r="F822">
        <v>12239</v>
      </c>
      <c r="G822">
        <v>0.8095054274874337</v>
      </c>
      <c r="H822">
        <v>0</v>
      </c>
      <c r="I822">
        <v>0</v>
      </c>
      <c r="J822">
        <v>0.69187954692255638</v>
      </c>
      <c r="K822">
        <v>0</v>
      </c>
      <c r="L822">
        <v>0</v>
      </c>
      <c r="M822">
        <v>0.50392425385300421</v>
      </c>
      <c r="N822">
        <v>0</v>
      </c>
      <c r="O822">
        <v>0</v>
      </c>
      <c r="P822">
        <v>0.65529903713161275</v>
      </c>
      <c r="Q822">
        <v>1.1993990809585049</v>
      </c>
      <c r="R822">
        <v>-6.9562204904109803</v>
      </c>
      <c r="S822">
        <v>0.18860297701870529</v>
      </c>
      <c r="T822">
        <v>0.14558961928371139</v>
      </c>
      <c r="U822">
        <v>4.3319942728981129</v>
      </c>
      <c r="V822">
        <v>0.21682087438449071</v>
      </c>
      <c r="W822">
        <v>-1.760430540779476</v>
      </c>
      <c r="X822">
        <v>0.32125140689487791</v>
      </c>
      <c r="Z822" t="s">
        <v>392</v>
      </c>
      <c r="AA822">
        <v>9400</v>
      </c>
      <c r="AB822" t="s">
        <v>3241</v>
      </c>
      <c r="AC822" t="str">
        <f>HYPERLINK("plots/3FT6Y578R01_012_S11P_20251111092011_M5358ACSH101811_RBGEUFRF26/dpll_52094/txpa_54178.png","plot")</f>
        <v>plot</v>
      </c>
    </row>
    <row r="823" spans="1:29" x14ac:dyDescent="0.35">
      <c r="A823" t="s">
        <v>48</v>
      </c>
      <c r="B823">
        <v>52094</v>
      </c>
      <c r="C823" t="s">
        <v>53</v>
      </c>
      <c r="D823">
        <v>54179</v>
      </c>
      <c r="E823" t="s">
        <v>199</v>
      </c>
      <c r="F823">
        <v>12242</v>
      </c>
      <c r="G823">
        <v>0.80728136709590048</v>
      </c>
      <c r="H823">
        <v>0</v>
      </c>
      <c r="I823">
        <v>0</v>
      </c>
      <c r="J823">
        <v>0.7082301849935243</v>
      </c>
      <c r="K823">
        <v>0</v>
      </c>
      <c r="L823">
        <v>0</v>
      </c>
      <c r="M823">
        <v>0.51542000249779785</v>
      </c>
      <c r="N823">
        <v>0</v>
      </c>
      <c r="O823">
        <v>0</v>
      </c>
      <c r="P823">
        <v>0.65170320566022599</v>
      </c>
      <c r="Q823">
        <v>1.3053976789534321</v>
      </c>
      <c r="R823">
        <v>-4.0880442242312176</v>
      </c>
      <c r="S823">
        <v>0.2069124884925842</v>
      </c>
      <c r="T823">
        <v>0.15513320070325981</v>
      </c>
      <c r="U823">
        <v>4.3319436473615429</v>
      </c>
      <c r="V823">
        <v>0.21682621882247419</v>
      </c>
      <c r="W823">
        <v>1.566864958391603</v>
      </c>
      <c r="X823">
        <v>0.35061436362061182</v>
      </c>
      <c r="Z823" t="s">
        <v>392</v>
      </c>
      <c r="AA823">
        <v>9400</v>
      </c>
      <c r="AB823" t="s">
        <v>3242</v>
      </c>
      <c r="AC823" t="str">
        <f>HYPERLINK("plots/3FT6Y578R01_012_S11P_20251111092011_M5358ACSH101811_RBGEUFRF26/dpll_52094/txpa_54179.png","plot")</f>
        <v>plot</v>
      </c>
    </row>
    <row r="824" spans="1:29" x14ac:dyDescent="0.35">
      <c r="A824" t="s">
        <v>48</v>
      </c>
      <c r="B824">
        <v>52094</v>
      </c>
      <c r="C824" t="s">
        <v>53</v>
      </c>
      <c r="D824">
        <v>54180</v>
      </c>
      <c r="E824" t="s">
        <v>200</v>
      </c>
      <c r="F824">
        <v>12242</v>
      </c>
      <c r="G824">
        <v>0.8222250631077419</v>
      </c>
      <c r="H824">
        <v>0</v>
      </c>
      <c r="I824">
        <v>0</v>
      </c>
      <c r="J824">
        <v>0.71906220573601121</v>
      </c>
      <c r="K824">
        <v>0</v>
      </c>
      <c r="L824">
        <v>0</v>
      </c>
      <c r="M824">
        <v>0.52701168066713189</v>
      </c>
      <c r="N824">
        <v>0</v>
      </c>
      <c r="O824">
        <v>0</v>
      </c>
      <c r="P824">
        <v>0.67605405440253019</v>
      </c>
      <c r="Q824">
        <v>1.328177709229293</v>
      </c>
      <c r="R824">
        <v>-4.1525932276304598</v>
      </c>
      <c r="S824">
        <v>0.1993557735027065</v>
      </c>
      <c r="T824">
        <v>0.1517497187172043</v>
      </c>
      <c r="U824">
        <v>4.3319007004574406</v>
      </c>
      <c r="V824">
        <v>0.21684269964686589</v>
      </c>
      <c r="W824">
        <v>1.6009407213118769</v>
      </c>
      <c r="X824">
        <v>0.35027591957791082</v>
      </c>
      <c r="Z824" t="s">
        <v>392</v>
      </c>
      <c r="AA824">
        <v>9400</v>
      </c>
      <c r="AB824" t="s">
        <v>3243</v>
      </c>
      <c r="AC824" t="str">
        <f>HYPERLINK("plots/3FT6Y578R01_012_S11P_20251111092011_M5358ACSH101811_RBGEUFRF26/dpll_52094/txpa_54180.png","plot")</f>
        <v>plot</v>
      </c>
    </row>
    <row r="825" spans="1:29" x14ac:dyDescent="0.35">
      <c r="A825" t="s">
        <v>48</v>
      </c>
      <c r="B825">
        <v>52094</v>
      </c>
      <c r="C825" t="s">
        <v>53</v>
      </c>
      <c r="D825">
        <v>54181</v>
      </c>
      <c r="E825" t="s">
        <v>201</v>
      </c>
      <c r="F825">
        <v>12243</v>
      </c>
      <c r="G825">
        <v>0.82010156792799094</v>
      </c>
      <c r="H825">
        <v>0</v>
      </c>
      <c r="I825">
        <v>0</v>
      </c>
      <c r="J825">
        <v>0.71575234222500939</v>
      </c>
      <c r="K825">
        <v>0</v>
      </c>
      <c r="L825">
        <v>0</v>
      </c>
      <c r="M825">
        <v>0.52362631349897892</v>
      </c>
      <c r="N825">
        <v>0</v>
      </c>
      <c r="O825">
        <v>0</v>
      </c>
      <c r="P825">
        <v>0.67256658171794914</v>
      </c>
      <c r="Q825">
        <v>1.3114442157182471</v>
      </c>
      <c r="R825">
        <v>-4.0769895881315756</v>
      </c>
      <c r="S825">
        <v>0.19841074661014571</v>
      </c>
      <c r="T825">
        <v>0.1503139818367214</v>
      </c>
      <c r="U825">
        <v>4.3319153779302466</v>
      </c>
      <c r="V825">
        <v>0.21683992469153379</v>
      </c>
      <c r="W825">
        <v>1.6040757772359719</v>
      </c>
      <c r="X825">
        <v>0.34675395840538348</v>
      </c>
      <c r="Z825" t="s">
        <v>392</v>
      </c>
      <c r="AA825">
        <v>9400</v>
      </c>
      <c r="AB825" t="s">
        <v>3244</v>
      </c>
      <c r="AC825" t="str">
        <f>HYPERLINK("plots/3FT6Y578R01_012_S11P_20251111092011_M5358ACSH101811_RBGEUFRF26/dpll_52094/txpa_54181.png","plot")</f>
        <v>plot</v>
      </c>
    </row>
    <row r="826" spans="1:29" x14ac:dyDescent="0.35">
      <c r="A826" t="s">
        <v>48</v>
      </c>
      <c r="B826">
        <v>52094</v>
      </c>
      <c r="C826" t="s">
        <v>53</v>
      </c>
      <c r="D826">
        <v>54182</v>
      </c>
      <c r="E826" t="s">
        <v>202</v>
      </c>
      <c r="F826">
        <v>12242</v>
      </c>
      <c r="G826">
        <v>0.83127205431983509</v>
      </c>
      <c r="H826">
        <v>0</v>
      </c>
      <c r="I826">
        <v>0</v>
      </c>
      <c r="J826">
        <v>0.72342145633244892</v>
      </c>
      <c r="K826">
        <v>0</v>
      </c>
      <c r="L826">
        <v>0</v>
      </c>
      <c r="M826">
        <v>0.53097228360029303</v>
      </c>
      <c r="N826">
        <v>0</v>
      </c>
      <c r="O826">
        <v>0</v>
      </c>
      <c r="P826">
        <v>0.69101322829311884</v>
      </c>
      <c r="Q826">
        <v>1.3329604120403451</v>
      </c>
      <c r="R826">
        <v>-4.1430369179452038</v>
      </c>
      <c r="S826">
        <v>0.1932766865250998</v>
      </c>
      <c r="T826">
        <v>0.1484682772481648</v>
      </c>
      <c r="U826">
        <v>4.3319235655121711</v>
      </c>
      <c r="V826">
        <v>0.21684688906752619</v>
      </c>
      <c r="W826">
        <v>1.631245702867179</v>
      </c>
      <c r="X826">
        <v>0.34771807508628733</v>
      </c>
      <c r="Z826" t="s">
        <v>392</v>
      </c>
      <c r="AA826">
        <v>9400</v>
      </c>
      <c r="AB826" t="s">
        <v>3245</v>
      </c>
      <c r="AC826" t="str">
        <f>HYPERLINK("plots/3FT6Y578R01_012_S11P_20251111092011_M5358ACSH101811_RBGEUFRF26/dpll_52094/txpa_54182.png","plot")</f>
        <v>plot</v>
      </c>
    </row>
    <row r="827" spans="1:29" x14ac:dyDescent="0.35">
      <c r="A827" t="s">
        <v>48</v>
      </c>
      <c r="B827">
        <v>52094</v>
      </c>
      <c r="C827" t="s">
        <v>53</v>
      </c>
      <c r="D827">
        <v>54183</v>
      </c>
      <c r="E827" t="s">
        <v>203</v>
      </c>
      <c r="F827">
        <v>12240</v>
      </c>
      <c r="G827">
        <v>0.83103692369737525</v>
      </c>
      <c r="H827">
        <v>0</v>
      </c>
      <c r="I827">
        <v>0</v>
      </c>
      <c r="J827">
        <v>0.71999329840005077</v>
      </c>
      <c r="K827">
        <v>0</v>
      </c>
      <c r="L827">
        <v>0</v>
      </c>
      <c r="M827">
        <v>0.52708874576073683</v>
      </c>
      <c r="N827">
        <v>0</v>
      </c>
      <c r="O827">
        <v>0</v>
      </c>
      <c r="P827">
        <v>0.69062236854839709</v>
      </c>
      <c r="Q827">
        <v>1.3380554346968589</v>
      </c>
      <c r="R827">
        <v>-4.1891102576992783</v>
      </c>
      <c r="S827">
        <v>0.19415897747935809</v>
      </c>
      <c r="T827">
        <v>0.14984712270894479</v>
      </c>
      <c r="U827">
        <v>4.3319400696078434</v>
      </c>
      <c r="V827">
        <v>0.21680883535870621</v>
      </c>
      <c r="W827">
        <v>1.6072656952205879</v>
      </c>
      <c r="X827">
        <v>0.34908465817778161</v>
      </c>
      <c r="Z827" t="s">
        <v>392</v>
      </c>
      <c r="AA827">
        <v>9400</v>
      </c>
      <c r="AB827" t="s">
        <v>3246</v>
      </c>
      <c r="AC827" t="str">
        <f>HYPERLINK("plots/3FT6Y578R01_012_S11P_20251111092011_M5358ACSH101811_RBGEUFRF26/dpll_52094/txpa_54183.png","plot")</f>
        <v>plot</v>
      </c>
    </row>
    <row r="828" spans="1:29" x14ac:dyDescent="0.35">
      <c r="A828" t="s">
        <v>48</v>
      </c>
      <c r="B828">
        <v>52094</v>
      </c>
      <c r="C828" t="s">
        <v>53</v>
      </c>
      <c r="D828">
        <v>54184</v>
      </c>
      <c r="E828" t="s">
        <v>204</v>
      </c>
      <c r="F828">
        <v>12240</v>
      </c>
      <c r="G828">
        <v>0.83404705653666267</v>
      </c>
      <c r="H828">
        <v>0</v>
      </c>
      <c r="I828">
        <v>0</v>
      </c>
      <c r="J828">
        <v>0.72678916586673614</v>
      </c>
      <c r="K828">
        <v>0</v>
      </c>
      <c r="L828">
        <v>0</v>
      </c>
      <c r="M828">
        <v>0.53414103608373498</v>
      </c>
      <c r="N828">
        <v>0</v>
      </c>
      <c r="O828">
        <v>0</v>
      </c>
      <c r="P828">
        <v>0.695634492517471</v>
      </c>
      <c r="Q828">
        <v>1.345457167642456</v>
      </c>
      <c r="R828">
        <v>-4.2216665956695048</v>
      </c>
      <c r="S828">
        <v>0.19292383131340951</v>
      </c>
      <c r="T828">
        <v>0.14910769151254</v>
      </c>
      <c r="U828">
        <v>4.331890278839869</v>
      </c>
      <c r="V828">
        <v>0.21678367779622049</v>
      </c>
      <c r="W828">
        <v>1.6067062294362751</v>
      </c>
      <c r="X828">
        <v>0.34970826985467163</v>
      </c>
      <c r="Z828" t="s">
        <v>392</v>
      </c>
      <c r="AA828">
        <v>9400</v>
      </c>
      <c r="AB828" t="s">
        <v>3247</v>
      </c>
      <c r="AC828" t="str">
        <f>HYPERLINK("plots/3FT6Y578R01_012_S11P_20251111092011_M5358ACSH101811_RBGEUFRF26/dpll_52094/txpa_54184.png","plot")</f>
        <v>plot</v>
      </c>
    </row>
    <row r="829" spans="1:29" x14ac:dyDescent="0.35">
      <c r="A829" t="s">
        <v>48</v>
      </c>
      <c r="B829">
        <v>52094</v>
      </c>
      <c r="C829" t="s">
        <v>53</v>
      </c>
      <c r="D829">
        <v>54185</v>
      </c>
      <c r="E829" t="s">
        <v>205</v>
      </c>
      <c r="F829">
        <v>12242</v>
      </c>
      <c r="G829">
        <v>0.83225539754247724</v>
      </c>
      <c r="H829">
        <v>0</v>
      </c>
      <c r="I829">
        <v>0</v>
      </c>
      <c r="J829">
        <v>0.7212062622993306</v>
      </c>
      <c r="K829">
        <v>0</v>
      </c>
      <c r="L829">
        <v>0</v>
      </c>
      <c r="M829">
        <v>0.52954724600756731</v>
      </c>
      <c r="N829">
        <v>0</v>
      </c>
      <c r="O829">
        <v>0</v>
      </c>
      <c r="P829">
        <v>0.69264904673858685</v>
      </c>
      <c r="Q829">
        <v>1.339773681990214</v>
      </c>
      <c r="R829">
        <v>-4.1920462907282001</v>
      </c>
      <c r="S829">
        <v>0.1934929062347937</v>
      </c>
      <c r="T829">
        <v>0.14923393604349411</v>
      </c>
      <c r="U829">
        <v>4.331949619669988</v>
      </c>
      <c r="V829">
        <v>0.21681567757630049</v>
      </c>
      <c r="W829">
        <v>1.6117858014131681</v>
      </c>
      <c r="X829">
        <v>0.34903220756195458</v>
      </c>
      <c r="Z829" t="s">
        <v>392</v>
      </c>
      <c r="AA829">
        <v>9400</v>
      </c>
      <c r="AB829" t="s">
        <v>3248</v>
      </c>
      <c r="AC829" t="str">
        <f>HYPERLINK("plots/3FT6Y578R01_012_S11P_20251111092011_M5358ACSH101811_RBGEUFRF26/dpll_52094/txpa_54185.png","plot")</f>
        <v>plot</v>
      </c>
    </row>
    <row r="830" spans="1:29" x14ac:dyDescent="0.35">
      <c r="A830" t="s">
        <v>48</v>
      </c>
      <c r="B830">
        <v>52094</v>
      </c>
      <c r="C830" t="s">
        <v>53</v>
      </c>
      <c r="D830">
        <v>54186</v>
      </c>
      <c r="E830" t="s">
        <v>206</v>
      </c>
      <c r="F830">
        <v>12238</v>
      </c>
      <c r="G830">
        <v>0.82713936402732646</v>
      </c>
      <c r="H830">
        <v>0</v>
      </c>
      <c r="I830">
        <v>0</v>
      </c>
      <c r="J830">
        <v>0.71334101940183559</v>
      </c>
      <c r="K830">
        <v>0</v>
      </c>
      <c r="L830">
        <v>0</v>
      </c>
      <c r="M830">
        <v>0.52286964408807313</v>
      </c>
      <c r="N830">
        <v>0</v>
      </c>
      <c r="O830">
        <v>0</v>
      </c>
      <c r="P830">
        <v>0.68415952752353004</v>
      </c>
      <c r="Q830">
        <v>1.323627242445431</v>
      </c>
      <c r="R830">
        <v>-4.1411146068437912</v>
      </c>
      <c r="S830">
        <v>0.19497755343512191</v>
      </c>
      <c r="T830">
        <v>0.14966372665957359</v>
      </c>
      <c r="U830">
        <v>4.3320199833306097</v>
      </c>
      <c r="V830">
        <v>0.2168110752239184</v>
      </c>
      <c r="W830">
        <v>1.5928650579106061</v>
      </c>
      <c r="X830">
        <v>0.34695126131221488</v>
      </c>
      <c r="Z830" t="s">
        <v>392</v>
      </c>
      <c r="AA830">
        <v>9400</v>
      </c>
      <c r="AB830" t="s">
        <v>3249</v>
      </c>
      <c r="AC830" t="str">
        <f>HYPERLINK("plots/3FT6Y578R01_012_S11P_20251111092011_M5358ACSH101811_RBGEUFRF26/dpll_52094/txpa_54186.png","plot")</f>
        <v>plot</v>
      </c>
    </row>
    <row r="831" spans="1:29" x14ac:dyDescent="0.35">
      <c r="A831" t="s">
        <v>48</v>
      </c>
      <c r="B831">
        <v>52094</v>
      </c>
      <c r="C831" t="s">
        <v>53</v>
      </c>
      <c r="D831">
        <v>54187</v>
      </c>
      <c r="E831" t="s">
        <v>207</v>
      </c>
      <c r="F831">
        <v>12242</v>
      </c>
      <c r="G831">
        <v>0.81817552171886476</v>
      </c>
      <c r="H831">
        <v>0</v>
      </c>
      <c r="I831">
        <v>0</v>
      </c>
      <c r="J831">
        <v>0.71840909069497227</v>
      </c>
      <c r="K831">
        <v>0</v>
      </c>
      <c r="L831">
        <v>0</v>
      </c>
      <c r="M831">
        <v>0.52482257076665995</v>
      </c>
      <c r="N831">
        <v>0</v>
      </c>
      <c r="O831">
        <v>0</v>
      </c>
      <c r="P831">
        <v>0.66941118433993652</v>
      </c>
      <c r="Q831">
        <v>1.4285883974719911</v>
      </c>
      <c r="R831">
        <v>-2.7538367537407442</v>
      </c>
      <c r="S831">
        <v>0.2176700978765965</v>
      </c>
      <c r="T831">
        <v>0.16280521983940049</v>
      </c>
      <c r="U831">
        <v>4.3319436473615429</v>
      </c>
      <c r="V831">
        <v>0.21682621882247419</v>
      </c>
      <c r="W831">
        <v>3.4347276793824539</v>
      </c>
      <c r="X831">
        <v>0.37859287188983559</v>
      </c>
      <c r="Z831" t="s">
        <v>392</v>
      </c>
      <c r="AA831">
        <v>9400</v>
      </c>
      <c r="AB831" t="s">
        <v>3250</v>
      </c>
      <c r="AC831" t="str">
        <f>HYPERLINK("plots/3FT6Y578R01_012_S11P_20251111092011_M5358ACSH101811_RBGEUFRF26/dpll_52094/txpa_54187.png","plot")</f>
        <v>plot</v>
      </c>
    </row>
    <row r="832" spans="1:29" x14ac:dyDescent="0.35">
      <c r="A832" t="s">
        <v>48</v>
      </c>
      <c r="B832">
        <v>52094</v>
      </c>
      <c r="C832" t="s">
        <v>53</v>
      </c>
      <c r="D832">
        <v>54188</v>
      </c>
      <c r="E832" t="s">
        <v>208</v>
      </c>
      <c r="F832">
        <v>12242</v>
      </c>
      <c r="G832">
        <v>0.83194312855132713</v>
      </c>
      <c r="H832">
        <v>0</v>
      </c>
      <c r="I832">
        <v>0</v>
      </c>
      <c r="J832">
        <v>0.72881398849747181</v>
      </c>
      <c r="K832">
        <v>0</v>
      </c>
      <c r="L832">
        <v>0</v>
      </c>
      <c r="M832">
        <v>0.53615132712169322</v>
      </c>
      <c r="N832">
        <v>0</v>
      </c>
      <c r="O832">
        <v>0</v>
      </c>
      <c r="P832">
        <v>0.69212936914376999</v>
      </c>
      <c r="Q832">
        <v>1.45286714184622</v>
      </c>
      <c r="R832">
        <v>-2.8250263654685668</v>
      </c>
      <c r="S832">
        <v>0.21010842174503619</v>
      </c>
      <c r="T832">
        <v>0.15946209708852149</v>
      </c>
      <c r="U832">
        <v>4.3319007004574406</v>
      </c>
      <c r="V832">
        <v>0.21684269964686589</v>
      </c>
      <c r="W832">
        <v>3.4686498239666719</v>
      </c>
      <c r="X832">
        <v>0.37868409805217063</v>
      </c>
      <c r="Z832" t="s">
        <v>392</v>
      </c>
      <c r="AA832">
        <v>9400</v>
      </c>
      <c r="AB832" t="s">
        <v>3251</v>
      </c>
      <c r="AC832" t="str">
        <f>HYPERLINK("plots/3FT6Y578R01_012_S11P_20251111092011_M5358ACSH101811_RBGEUFRF26/dpll_52094/txpa_54188.png","plot")</f>
        <v>plot</v>
      </c>
    </row>
    <row r="833" spans="1:29" x14ac:dyDescent="0.35">
      <c r="A833" t="s">
        <v>48</v>
      </c>
      <c r="B833">
        <v>52094</v>
      </c>
      <c r="C833" t="s">
        <v>53</v>
      </c>
      <c r="D833">
        <v>54189</v>
      </c>
      <c r="E833" t="s">
        <v>209</v>
      </c>
      <c r="F833">
        <v>12243</v>
      </c>
      <c r="G833">
        <v>0.83006418773284985</v>
      </c>
      <c r="H833">
        <v>0</v>
      </c>
      <c r="I833">
        <v>0</v>
      </c>
      <c r="J833">
        <v>0.72534507003258608</v>
      </c>
      <c r="K833">
        <v>0</v>
      </c>
      <c r="L833">
        <v>0</v>
      </c>
      <c r="M833">
        <v>0.53258323591122092</v>
      </c>
      <c r="N833">
        <v>0</v>
      </c>
      <c r="O833">
        <v>0</v>
      </c>
      <c r="P833">
        <v>0.68900655575659575</v>
      </c>
      <c r="Q833">
        <v>1.4357097780592121</v>
      </c>
      <c r="R833">
        <v>-2.7465916109146771</v>
      </c>
      <c r="S833">
        <v>0.20914722604248279</v>
      </c>
      <c r="T833">
        <v>0.15813672655837391</v>
      </c>
      <c r="U833">
        <v>4.3319153779302466</v>
      </c>
      <c r="V833">
        <v>0.21683992469153379</v>
      </c>
      <c r="W833">
        <v>3.472781654904844</v>
      </c>
      <c r="X833">
        <v>0.37505436899230982</v>
      </c>
      <c r="Z833" t="s">
        <v>392</v>
      </c>
      <c r="AA833">
        <v>9400</v>
      </c>
      <c r="AB833" t="s">
        <v>3252</v>
      </c>
      <c r="AC833" t="str">
        <f>HYPERLINK("plots/3FT6Y578R01_012_S11P_20251111092011_M5358ACSH101811_RBGEUFRF26/dpll_52094/txpa_54189.png","plot")</f>
        <v>plot</v>
      </c>
    </row>
    <row r="834" spans="1:29" x14ac:dyDescent="0.35">
      <c r="A834" t="s">
        <v>48</v>
      </c>
      <c r="B834">
        <v>52094</v>
      </c>
      <c r="C834" t="s">
        <v>53</v>
      </c>
      <c r="D834">
        <v>54190</v>
      </c>
      <c r="E834" t="s">
        <v>210</v>
      </c>
      <c r="F834">
        <v>12242</v>
      </c>
      <c r="G834">
        <v>0.84033950620387721</v>
      </c>
      <c r="H834">
        <v>0</v>
      </c>
      <c r="I834">
        <v>0</v>
      </c>
      <c r="J834">
        <v>0.73262183154611837</v>
      </c>
      <c r="K834">
        <v>0</v>
      </c>
      <c r="L834">
        <v>0</v>
      </c>
      <c r="M834">
        <v>0.5397400279927439</v>
      </c>
      <c r="N834">
        <v>0</v>
      </c>
      <c r="O834">
        <v>0</v>
      </c>
      <c r="P834">
        <v>0.70617048568697616</v>
      </c>
      <c r="Q834">
        <v>1.456772080969079</v>
      </c>
      <c r="R834">
        <v>-2.813963625705552</v>
      </c>
      <c r="S834">
        <v>0.20376049852625691</v>
      </c>
      <c r="T834">
        <v>0.15596226169858551</v>
      </c>
      <c r="U834">
        <v>4.3319235655121711</v>
      </c>
      <c r="V834">
        <v>0.21684688906752619</v>
      </c>
      <c r="W834">
        <v>3.4966616814246039</v>
      </c>
      <c r="X834">
        <v>0.37591531935180789</v>
      </c>
      <c r="Z834" t="s">
        <v>392</v>
      </c>
      <c r="AA834">
        <v>9400</v>
      </c>
      <c r="AB834" t="s">
        <v>3253</v>
      </c>
      <c r="AC834" t="str">
        <f>HYPERLINK("plots/3FT6Y578R01_012_S11P_20251111092011_M5358ACSH101811_RBGEUFRF26/dpll_52094/txpa_54190.png","plot")</f>
        <v>plot</v>
      </c>
    </row>
    <row r="835" spans="1:29" x14ac:dyDescent="0.35">
      <c r="A835" t="s">
        <v>48</v>
      </c>
      <c r="B835">
        <v>52094</v>
      </c>
      <c r="C835" t="s">
        <v>53</v>
      </c>
      <c r="D835">
        <v>54191</v>
      </c>
      <c r="E835" t="s">
        <v>211</v>
      </c>
      <c r="F835">
        <v>12240</v>
      </c>
      <c r="G835">
        <v>0.84038128299617765</v>
      </c>
      <c r="H835">
        <v>0</v>
      </c>
      <c r="I835">
        <v>0</v>
      </c>
      <c r="J835">
        <v>0.72964195288205325</v>
      </c>
      <c r="K835">
        <v>0</v>
      </c>
      <c r="L835">
        <v>0</v>
      </c>
      <c r="M835">
        <v>0.53629163873392449</v>
      </c>
      <c r="N835">
        <v>0</v>
      </c>
      <c r="O835">
        <v>0</v>
      </c>
      <c r="P835">
        <v>0.70624070081030166</v>
      </c>
      <c r="Q835">
        <v>1.4619109162540691</v>
      </c>
      <c r="R835">
        <v>-2.861479524275635</v>
      </c>
      <c r="S835">
        <v>0.20440879806331719</v>
      </c>
      <c r="T835">
        <v>0.15728407514166479</v>
      </c>
      <c r="U835">
        <v>4.3319400696078434</v>
      </c>
      <c r="V835">
        <v>0.21680883535870621</v>
      </c>
      <c r="W835">
        <v>3.4714309520424842</v>
      </c>
      <c r="X835">
        <v>0.37715642835499152</v>
      </c>
      <c r="Z835" t="s">
        <v>392</v>
      </c>
      <c r="AA835">
        <v>9400</v>
      </c>
      <c r="AB835" t="s">
        <v>3254</v>
      </c>
      <c r="AC835" t="str">
        <f>HYPERLINK("plots/3FT6Y578R01_012_S11P_20251111092011_M5358ACSH101811_RBGEUFRF26/dpll_52094/txpa_54191.png","plot")</f>
        <v>plot</v>
      </c>
    </row>
    <row r="836" spans="1:29" x14ac:dyDescent="0.35">
      <c r="A836" t="s">
        <v>48</v>
      </c>
      <c r="B836">
        <v>52094</v>
      </c>
      <c r="C836" t="s">
        <v>53</v>
      </c>
      <c r="D836">
        <v>54192</v>
      </c>
      <c r="E836" t="s">
        <v>212</v>
      </c>
      <c r="F836">
        <v>12240</v>
      </c>
      <c r="G836">
        <v>0.84300653015127791</v>
      </c>
      <c r="H836">
        <v>0</v>
      </c>
      <c r="I836">
        <v>0</v>
      </c>
      <c r="J836">
        <v>0.73549787082447371</v>
      </c>
      <c r="K836">
        <v>0</v>
      </c>
      <c r="L836">
        <v>0</v>
      </c>
      <c r="M836">
        <v>0.54261222391438069</v>
      </c>
      <c r="N836">
        <v>0</v>
      </c>
      <c r="O836">
        <v>0</v>
      </c>
      <c r="P836">
        <v>0.7106600098776974</v>
      </c>
      <c r="Q836">
        <v>1.4692547555570501</v>
      </c>
      <c r="R836">
        <v>-2.8909307023773541</v>
      </c>
      <c r="S836">
        <v>0.20322598438259509</v>
      </c>
      <c r="T836">
        <v>0.1566288638029929</v>
      </c>
      <c r="U836">
        <v>4.331890278839869</v>
      </c>
      <c r="V836">
        <v>0.21678367779622049</v>
      </c>
      <c r="W836">
        <v>3.4737196903594771</v>
      </c>
      <c r="X836">
        <v>0.37782678797528108</v>
      </c>
      <c r="Z836" t="s">
        <v>392</v>
      </c>
      <c r="AA836">
        <v>9400</v>
      </c>
      <c r="AB836" t="s">
        <v>3255</v>
      </c>
      <c r="AC836" t="str">
        <f>HYPERLINK("plots/3FT6Y578R01_012_S11P_20251111092011_M5358ACSH101811_RBGEUFRF26/dpll_52094/txpa_54192.png","plot")</f>
        <v>plot</v>
      </c>
    </row>
    <row r="837" spans="1:29" x14ac:dyDescent="0.35">
      <c r="A837" t="s">
        <v>48</v>
      </c>
      <c r="B837">
        <v>52094</v>
      </c>
      <c r="C837" t="s">
        <v>53</v>
      </c>
      <c r="D837">
        <v>54193</v>
      </c>
      <c r="E837" t="s">
        <v>213</v>
      </c>
      <c r="F837">
        <v>12242</v>
      </c>
      <c r="G837">
        <v>0.84149869465705807</v>
      </c>
      <c r="H837">
        <v>0</v>
      </c>
      <c r="I837">
        <v>0</v>
      </c>
      <c r="J837">
        <v>0.73049783710454586</v>
      </c>
      <c r="K837">
        <v>0</v>
      </c>
      <c r="L837">
        <v>0</v>
      </c>
      <c r="M837">
        <v>0.53837725623368804</v>
      </c>
      <c r="N837">
        <v>0</v>
      </c>
      <c r="O837">
        <v>0</v>
      </c>
      <c r="P837">
        <v>0.70812005310953263</v>
      </c>
      <c r="Q837">
        <v>1.4647204184338809</v>
      </c>
      <c r="R837">
        <v>-2.8666028516666482</v>
      </c>
      <c r="S837">
        <v>0.20388081541842831</v>
      </c>
      <c r="T837">
        <v>0.15677080049506911</v>
      </c>
      <c r="U837">
        <v>4.331949619669988</v>
      </c>
      <c r="V837">
        <v>0.21681567757630049</v>
      </c>
      <c r="W837">
        <v>3.4784922078908669</v>
      </c>
      <c r="X837">
        <v>0.37739137564795328</v>
      </c>
      <c r="Z837" t="s">
        <v>392</v>
      </c>
      <c r="AA837">
        <v>9400</v>
      </c>
      <c r="AB837" t="s">
        <v>3256</v>
      </c>
      <c r="AC837" t="str">
        <f>HYPERLINK("plots/3FT6Y578R01_012_S11P_20251111092011_M5358ACSH101811_RBGEUFRF26/dpll_52094/txpa_54193.png","plot")</f>
        <v>plot</v>
      </c>
    </row>
    <row r="838" spans="1:29" x14ac:dyDescent="0.35">
      <c r="A838" t="s">
        <v>48</v>
      </c>
      <c r="B838">
        <v>52094</v>
      </c>
      <c r="C838" t="s">
        <v>53</v>
      </c>
      <c r="D838">
        <v>54194</v>
      </c>
      <c r="E838" t="s">
        <v>214</v>
      </c>
      <c r="F838">
        <v>12238</v>
      </c>
      <c r="G838">
        <v>0.83664466280593763</v>
      </c>
      <c r="H838">
        <v>0</v>
      </c>
      <c r="I838">
        <v>0</v>
      </c>
      <c r="J838">
        <v>0.72298547187274209</v>
      </c>
      <c r="K838">
        <v>0</v>
      </c>
      <c r="L838">
        <v>0</v>
      </c>
      <c r="M838">
        <v>0.53179550881508153</v>
      </c>
      <c r="N838">
        <v>0</v>
      </c>
      <c r="O838">
        <v>0</v>
      </c>
      <c r="P838">
        <v>0.69997429180166104</v>
      </c>
      <c r="Q838">
        <v>1.4467852316035701</v>
      </c>
      <c r="R838">
        <v>-2.8064807334561239</v>
      </c>
      <c r="S838">
        <v>0.20535532819117991</v>
      </c>
      <c r="T838">
        <v>0.15730378516288199</v>
      </c>
      <c r="U838">
        <v>4.3320199833306097</v>
      </c>
      <c r="V838">
        <v>0.2168110752239184</v>
      </c>
      <c r="W838">
        <v>3.461021801438144</v>
      </c>
      <c r="X838">
        <v>0.37492507348345389</v>
      </c>
      <c r="Z838" t="s">
        <v>392</v>
      </c>
      <c r="AA838">
        <v>9400</v>
      </c>
      <c r="AB838" t="s">
        <v>3257</v>
      </c>
      <c r="AC838" t="str">
        <f>HYPERLINK("plots/3FT6Y578R01_012_S11P_20251111092011_M5358ACSH101811_RBGEUFRF26/dpll_52094/txpa_54194.png","plot")</f>
        <v>plot</v>
      </c>
    </row>
    <row r="839" spans="1:29" x14ac:dyDescent="0.35">
      <c r="A839" t="s">
        <v>48</v>
      </c>
      <c r="B839">
        <v>52094</v>
      </c>
      <c r="C839" t="s">
        <v>53</v>
      </c>
      <c r="D839">
        <v>54195</v>
      </c>
      <c r="E839" t="s">
        <v>215</v>
      </c>
      <c r="F839">
        <v>12241</v>
      </c>
      <c r="G839">
        <v>0.82935276416138026</v>
      </c>
      <c r="H839">
        <v>0</v>
      </c>
      <c r="I839">
        <v>0</v>
      </c>
      <c r="J839">
        <v>0.72735012135477395</v>
      </c>
      <c r="K839">
        <v>0</v>
      </c>
      <c r="L839">
        <v>0</v>
      </c>
      <c r="M839">
        <v>0.53376484572708549</v>
      </c>
      <c r="N839">
        <v>0</v>
      </c>
      <c r="O839">
        <v>0</v>
      </c>
      <c r="P839">
        <v>0.68782600742212208</v>
      </c>
      <c r="Q839">
        <v>1.6134570059402571</v>
      </c>
      <c r="R839">
        <v>-1.3216354216574371</v>
      </c>
      <c r="S839">
        <v>0.2356652436688785</v>
      </c>
      <c r="T839">
        <v>0.17592133337015661</v>
      </c>
      <c r="U839">
        <v>4.331967701903439</v>
      </c>
      <c r="V839">
        <v>0.21681874017982869</v>
      </c>
      <c r="W839">
        <v>5.6678082164855823</v>
      </c>
      <c r="X839">
        <v>0.42180810202763569</v>
      </c>
      <c r="Z839" t="s">
        <v>392</v>
      </c>
      <c r="AA839">
        <v>9400</v>
      </c>
      <c r="AB839" t="s">
        <v>3258</v>
      </c>
      <c r="AC839" t="str">
        <f>HYPERLINK("plots/3FT6Y578R01_012_S11P_20251111092011_M5358ACSH101811_RBGEUFRF26/dpll_52094/txpa_54195.png","plot")</f>
        <v>plot</v>
      </c>
    </row>
    <row r="840" spans="1:29" x14ac:dyDescent="0.35">
      <c r="A840" t="s">
        <v>48</v>
      </c>
      <c r="B840">
        <v>52094</v>
      </c>
      <c r="C840" t="s">
        <v>53</v>
      </c>
      <c r="D840">
        <v>54196</v>
      </c>
      <c r="E840" t="s">
        <v>216</v>
      </c>
      <c r="F840">
        <v>12239</v>
      </c>
      <c r="G840">
        <v>0.84169473472570056</v>
      </c>
      <c r="H840">
        <v>0</v>
      </c>
      <c r="I840">
        <v>0</v>
      </c>
      <c r="J840">
        <v>0.73611963058732144</v>
      </c>
      <c r="K840">
        <v>0</v>
      </c>
      <c r="L840">
        <v>0</v>
      </c>
      <c r="M840">
        <v>0.54361953811461161</v>
      </c>
      <c r="N840">
        <v>0</v>
      </c>
      <c r="O840">
        <v>0</v>
      </c>
      <c r="P840">
        <v>0.70845002646496746</v>
      </c>
      <c r="Q840">
        <v>1.635610637399578</v>
      </c>
      <c r="R840">
        <v>-1.38262317923817</v>
      </c>
      <c r="S840">
        <v>0.22747396583910209</v>
      </c>
      <c r="T840">
        <v>0.17251650622036069</v>
      </c>
      <c r="U840">
        <v>4.3319834973445541</v>
      </c>
      <c r="V840">
        <v>0.216804165996315</v>
      </c>
      <c r="W840">
        <v>5.7028151100580118</v>
      </c>
      <c r="X840">
        <v>0.42130143567035572</v>
      </c>
      <c r="Z840" t="s">
        <v>392</v>
      </c>
      <c r="AA840">
        <v>9400</v>
      </c>
      <c r="AB840" t="s">
        <v>3259</v>
      </c>
      <c r="AC840" t="str">
        <f>HYPERLINK("plots/3FT6Y578R01_012_S11P_20251111092011_M5358ACSH101811_RBGEUFRF26/dpll_52094/txpa_54196.png","plot")</f>
        <v>plot</v>
      </c>
    </row>
    <row r="841" spans="1:29" x14ac:dyDescent="0.35">
      <c r="A841" t="s">
        <v>48</v>
      </c>
      <c r="B841">
        <v>52094</v>
      </c>
      <c r="C841" t="s">
        <v>53</v>
      </c>
      <c r="D841">
        <v>54197</v>
      </c>
      <c r="E841" t="s">
        <v>217</v>
      </c>
      <c r="F841">
        <v>12241</v>
      </c>
      <c r="G841">
        <v>0.84015928578225707</v>
      </c>
      <c r="H841">
        <v>0</v>
      </c>
      <c r="I841">
        <v>0</v>
      </c>
      <c r="J841">
        <v>0.73292583305783521</v>
      </c>
      <c r="K841">
        <v>0</v>
      </c>
      <c r="L841">
        <v>0</v>
      </c>
      <c r="M841">
        <v>0.54025532595429915</v>
      </c>
      <c r="N841">
        <v>0</v>
      </c>
      <c r="O841">
        <v>0</v>
      </c>
      <c r="P841">
        <v>0.70586762548615234</v>
      </c>
      <c r="Q841">
        <v>1.619035935351536</v>
      </c>
      <c r="R841">
        <v>-1.305621352960219</v>
      </c>
      <c r="S841">
        <v>0.22659240428394101</v>
      </c>
      <c r="T841">
        <v>0.17121927640479531</v>
      </c>
      <c r="U841">
        <v>4.331967701903439</v>
      </c>
      <c r="V841">
        <v>0.21681874017982869</v>
      </c>
      <c r="W841">
        <v>5.7079900272036603</v>
      </c>
      <c r="X841">
        <v>0.41782235553338709</v>
      </c>
      <c r="Z841" t="s">
        <v>392</v>
      </c>
      <c r="AA841">
        <v>9400</v>
      </c>
      <c r="AB841" t="s">
        <v>3260</v>
      </c>
      <c r="AC841" t="str">
        <f>HYPERLINK("plots/3FT6Y578R01_012_S11P_20251111092011_M5358ACSH101811_RBGEUFRF26/dpll_52094/txpa_54197.png","plot")</f>
        <v>plot</v>
      </c>
    </row>
    <row r="842" spans="1:29" x14ac:dyDescent="0.35">
      <c r="A842" t="s">
        <v>48</v>
      </c>
      <c r="B842">
        <v>52094</v>
      </c>
      <c r="C842" t="s">
        <v>53</v>
      </c>
      <c r="D842">
        <v>54198</v>
      </c>
      <c r="E842" t="s">
        <v>218</v>
      </c>
      <c r="F842">
        <v>12242</v>
      </c>
      <c r="G842">
        <v>0.84898126020576092</v>
      </c>
      <c r="H842">
        <v>0</v>
      </c>
      <c r="I842">
        <v>0</v>
      </c>
      <c r="J842">
        <v>0.73985812362382841</v>
      </c>
      <c r="K842">
        <v>0</v>
      </c>
      <c r="L842">
        <v>0</v>
      </c>
      <c r="M842">
        <v>0.54723767957365865</v>
      </c>
      <c r="N842">
        <v>0</v>
      </c>
      <c r="O842">
        <v>0</v>
      </c>
      <c r="P842">
        <v>0.72076918018056191</v>
      </c>
      <c r="Q842">
        <v>1.641835154120789</v>
      </c>
      <c r="R842">
        <v>-1.384219401683779</v>
      </c>
      <c r="S842">
        <v>0.22158919481709441</v>
      </c>
      <c r="T842">
        <v>0.1691565526544721</v>
      </c>
      <c r="U842">
        <v>4.3319235655121711</v>
      </c>
      <c r="V842">
        <v>0.21684688906752619</v>
      </c>
      <c r="W842">
        <v>5.728084993138375</v>
      </c>
      <c r="X842">
        <v>0.41935771991776161</v>
      </c>
      <c r="Z842" t="s">
        <v>392</v>
      </c>
      <c r="AA842">
        <v>9400</v>
      </c>
      <c r="AB842" t="s">
        <v>3261</v>
      </c>
      <c r="AC842" t="str">
        <f>HYPERLINK("plots/3FT6Y578R01_012_S11P_20251111092011_M5358ACSH101811_RBGEUFRF26/dpll_52094/txpa_54198.png","plot")</f>
        <v>plot</v>
      </c>
    </row>
    <row r="843" spans="1:29" x14ac:dyDescent="0.35">
      <c r="A843" t="s">
        <v>48</v>
      </c>
      <c r="B843">
        <v>52094</v>
      </c>
      <c r="C843" t="s">
        <v>53</v>
      </c>
      <c r="D843">
        <v>54199</v>
      </c>
      <c r="E843" t="s">
        <v>219</v>
      </c>
      <c r="F843">
        <v>12240</v>
      </c>
      <c r="G843">
        <v>0.84941159383072484</v>
      </c>
      <c r="H843">
        <v>0</v>
      </c>
      <c r="I843">
        <v>0</v>
      </c>
      <c r="J843">
        <v>0.73753944926465254</v>
      </c>
      <c r="K843">
        <v>0</v>
      </c>
      <c r="L843">
        <v>0</v>
      </c>
      <c r="M843">
        <v>0.54450795988150436</v>
      </c>
      <c r="N843">
        <v>0</v>
      </c>
      <c r="O843">
        <v>0</v>
      </c>
      <c r="P843">
        <v>0.72150005573405229</v>
      </c>
      <c r="Q843">
        <v>1.6473372492566869</v>
      </c>
      <c r="R843">
        <v>-1.4346431036537819</v>
      </c>
      <c r="S843">
        <v>0.22188918016907849</v>
      </c>
      <c r="T843">
        <v>0.17027444567951941</v>
      </c>
      <c r="U843">
        <v>4.3319400696078434</v>
      </c>
      <c r="V843">
        <v>0.21680883535870621</v>
      </c>
      <c r="W843">
        <v>5.7015231345588244</v>
      </c>
      <c r="X843">
        <v>0.42047609550939691</v>
      </c>
      <c r="Z843" t="s">
        <v>392</v>
      </c>
      <c r="AA843">
        <v>9400</v>
      </c>
      <c r="AB843" t="s">
        <v>3262</v>
      </c>
      <c r="AC843" t="str">
        <f>HYPERLINK("plots/3FT6Y578R01_012_S11P_20251111092011_M5358ACSH101811_RBGEUFRF26/dpll_52094/txpa_54199.png","plot")</f>
        <v>plot</v>
      </c>
    </row>
    <row r="844" spans="1:29" x14ac:dyDescent="0.35">
      <c r="A844" t="s">
        <v>48</v>
      </c>
      <c r="B844">
        <v>52094</v>
      </c>
      <c r="C844" t="s">
        <v>53</v>
      </c>
      <c r="D844">
        <v>54200</v>
      </c>
      <c r="E844" t="s">
        <v>220</v>
      </c>
      <c r="F844">
        <v>12240</v>
      </c>
      <c r="G844">
        <v>0.85124331200847914</v>
      </c>
      <c r="H844">
        <v>0</v>
      </c>
      <c r="I844">
        <v>0</v>
      </c>
      <c r="J844">
        <v>0.7417387446709216</v>
      </c>
      <c r="K844">
        <v>0</v>
      </c>
      <c r="L844">
        <v>0</v>
      </c>
      <c r="M844">
        <v>0.54929183202259135</v>
      </c>
      <c r="N844">
        <v>0</v>
      </c>
      <c r="O844">
        <v>0</v>
      </c>
      <c r="P844">
        <v>0.72461517623916494</v>
      </c>
      <c r="Q844">
        <v>1.6536164017008641</v>
      </c>
      <c r="R844">
        <v>-1.456409943154217</v>
      </c>
      <c r="S844">
        <v>0.2209835257506034</v>
      </c>
      <c r="T844">
        <v>0.1697834047158934</v>
      </c>
      <c r="U844">
        <v>4.331890278839869</v>
      </c>
      <c r="V844">
        <v>0.21678367779622049</v>
      </c>
      <c r="W844">
        <v>5.7068748723039224</v>
      </c>
      <c r="X844">
        <v>0.42112171710230722</v>
      </c>
      <c r="Z844" t="s">
        <v>392</v>
      </c>
      <c r="AA844">
        <v>9400</v>
      </c>
      <c r="AB844" t="s">
        <v>3263</v>
      </c>
      <c r="AC844" t="str">
        <f>HYPERLINK("plots/3FT6Y578R01_012_S11P_20251111092011_M5358ACSH101811_RBGEUFRF26/dpll_52094/txpa_54200.png","plot")</f>
        <v>plot</v>
      </c>
    </row>
    <row r="845" spans="1:29" x14ac:dyDescent="0.35">
      <c r="A845" t="s">
        <v>48</v>
      </c>
      <c r="B845">
        <v>52094</v>
      </c>
      <c r="C845" t="s">
        <v>53</v>
      </c>
      <c r="D845">
        <v>54201</v>
      </c>
      <c r="E845" t="s">
        <v>221</v>
      </c>
      <c r="F845">
        <v>12241</v>
      </c>
      <c r="G845">
        <v>0.8503267890039311</v>
      </c>
      <c r="H845">
        <v>0</v>
      </c>
      <c r="I845">
        <v>0</v>
      </c>
      <c r="J845">
        <v>0.73721990333465715</v>
      </c>
      <c r="K845">
        <v>0</v>
      </c>
      <c r="L845">
        <v>0</v>
      </c>
      <c r="M845">
        <v>0.54545597983015015</v>
      </c>
      <c r="N845">
        <v>0</v>
      </c>
      <c r="O845">
        <v>0</v>
      </c>
      <c r="P845">
        <v>0.72305564809773593</v>
      </c>
      <c r="Q845">
        <v>1.6498303091878539</v>
      </c>
      <c r="R845">
        <v>-1.4351257369349859</v>
      </c>
      <c r="S845">
        <v>0.22137486912734039</v>
      </c>
      <c r="T845">
        <v>0.16976904579952559</v>
      </c>
      <c r="U845">
        <v>4.3319642092966264</v>
      </c>
      <c r="V845">
        <v>0.216818524669256</v>
      </c>
      <c r="W845">
        <v>5.7118801138795847</v>
      </c>
      <c r="X845">
        <v>0.42067800076222139</v>
      </c>
      <c r="Z845" t="s">
        <v>392</v>
      </c>
      <c r="AA845">
        <v>9400</v>
      </c>
      <c r="AB845" t="s">
        <v>3264</v>
      </c>
      <c r="AC845" t="str">
        <f>HYPERLINK("plots/3FT6Y578R01_012_S11P_20251111092011_M5358ACSH101811_RBGEUFRF26/dpll_52094/txpa_54201.png","plot")</f>
        <v>plot</v>
      </c>
    </row>
    <row r="846" spans="1:29" x14ac:dyDescent="0.35">
      <c r="A846" t="s">
        <v>48</v>
      </c>
      <c r="B846">
        <v>52094</v>
      </c>
      <c r="C846" t="s">
        <v>53</v>
      </c>
      <c r="D846">
        <v>54202</v>
      </c>
      <c r="E846" t="s">
        <v>222</v>
      </c>
      <c r="F846">
        <v>12235</v>
      </c>
      <c r="G846">
        <v>0.84652376467565349</v>
      </c>
      <c r="H846">
        <v>0</v>
      </c>
      <c r="I846">
        <v>0</v>
      </c>
      <c r="J846">
        <v>0.73060756786568271</v>
      </c>
      <c r="K846">
        <v>0</v>
      </c>
      <c r="L846">
        <v>0</v>
      </c>
      <c r="M846">
        <v>0.5395849520981032</v>
      </c>
      <c r="N846">
        <v>0</v>
      </c>
      <c r="O846">
        <v>0</v>
      </c>
      <c r="P846">
        <v>0.71660248416064121</v>
      </c>
      <c r="Q846">
        <v>1.629853022581075</v>
      </c>
      <c r="R846">
        <v>-1.3649876392585141</v>
      </c>
      <c r="S846">
        <v>0.22219926073893109</v>
      </c>
      <c r="T846">
        <v>0.1701126691337036</v>
      </c>
      <c r="U846">
        <v>4.3320857962402943</v>
      </c>
      <c r="V846">
        <v>0.21679689176247041</v>
      </c>
      <c r="W846">
        <v>5.6956754898242741</v>
      </c>
      <c r="X846">
        <v>0.41740950941953742</v>
      </c>
      <c r="Z846" t="s">
        <v>392</v>
      </c>
      <c r="AA846">
        <v>9400</v>
      </c>
      <c r="AB846" t="s">
        <v>3265</v>
      </c>
      <c r="AC846" t="str">
        <f>HYPERLINK("plots/3FT6Y578R01_012_S11P_20251111092011_M5358ACSH101811_RBGEUFRF26/dpll_52094/txpa_54202.png","plot")</f>
        <v>plot</v>
      </c>
    </row>
    <row r="847" spans="1:29" x14ac:dyDescent="0.35">
      <c r="A847" t="s">
        <v>48</v>
      </c>
      <c r="B847">
        <v>52094</v>
      </c>
      <c r="C847" t="s">
        <v>53</v>
      </c>
      <c r="D847">
        <v>54203</v>
      </c>
      <c r="E847" t="s">
        <v>223</v>
      </c>
      <c r="F847">
        <v>12239</v>
      </c>
      <c r="G847">
        <v>0.83272964847725595</v>
      </c>
      <c r="H847">
        <v>0</v>
      </c>
      <c r="I847">
        <v>0</v>
      </c>
      <c r="J847">
        <v>0.72913988494514859</v>
      </c>
      <c r="K847">
        <v>0</v>
      </c>
      <c r="L847">
        <v>0</v>
      </c>
      <c r="M847">
        <v>0.53572317045757034</v>
      </c>
      <c r="N847">
        <v>0</v>
      </c>
      <c r="O847">
        <v>0</v>
      </c>
      <c r="P847">
        <v>0.69343866745305427</v>
      </c>
      <c r="Q847">
        <v>1.698188626097934</v>
      </c>
      <c r="R847">
        <v>-0.70490726685442162</v>
      </c>
      <c r="S847">
        <v>0.24477229277537371</v>
      </c>
      <c r="T847">
        <v>0.1827124836725586</v>
      </c>
      <c r="U847">
        <v>4.3320243667783318</v>
      </c>
      <c r="V847">
        <v>0.2167900826842728</v>
      </c>
      <c r="W847">
        <v>6.6516872407876448</v>
      </c>
      <c r="X847">
        <v>0.44210081067543228</v>
      </c>
      <c r="Z847" t="s">
        <v>392</v>
      </c>
      <c r="AA847">
        <v>9400</v>
      </c>
      <c r="AB847" t="s">
        <v>3266</v>
      </c>
      <c r="AC847" t="str">
        <f>HYPERLINK("plots/3FT6Y578R01_012_S11P_20251111092011_M5358ACSH101811_RBGEUFRF26/dpll_52094/txpa_54203.png","plot")</f>
        <v>plot</v>
      </c>
    </row>
    <row r="848" spans="1:29" x14ac:dyDescent="0.35">
      <c r="A848" t="s">
        <v>48</v>
      </c>
      <c r="B848">
        <v>52094</v>
      </c>
      <c r="C848" t="s">
        <v>53</v>
      </c>
      <c r="D848">
        <v>54204</v>
      </c>
      <c r="E848" t="s">
        <v>224</v>
      </c>
      <c r="F848">
        <v>12239</v>
      </c>
      <c r="G848">
        <v>0.84440348180282032</v>
      </c>
      <c r="H848">
        <v>0</v>
      </c>
      <c r="I848">
        <v>0</v>
      </c>
      <c r="J848">
        <v>0.73795527106208225</v>
      </c>
      <c r="K848">
        <v>0</v>
      </c>
      <c r="L848">
        <v>0</v>
      </c>
      <c r="M848">
        <v>0.54558357417920644</v>
      </c>
      <c r="N848">
        <v>0</v>
      </c>
      <c r="O848">
        <v>0</v>
      </c>
      <c r="P848">
        <v>0.71301724008072587</v>
      </c>
      <c r="Q848">
        <v>1.72213426994666</v>
      </c>
      <c r="R848">
        <v>-0.77378340209466501</v>
      </c>
      <c r="S848">
        <v>0.23686166503551101</v>
      </c>
      <c r="T848">
        <v>0.17942594924061381</v>
      </c>
      <c r="U848">
        <v>4.3319834973445541</v>
      </c>
      <c r="V848">
        <v>0.216804165996315</v>
      </c>
      <c r="W848">
        <v>6.6864738355257787</v>
      </c>
      <c r="X848">
        <v>0.44216525887874569</v>
      </c>
      <c r="Z848" t="s">
        <v>392</v>
      </c>
      <c r="AA848">
        <v>9400</v>
      </c>
      <c r="AB848" t="s">
        <v>3267</v>
      </c>
      <c r="AC848" t="str">
        <f>HYPERLINK("plots/3FT6Y578R01_012_S11P_20251111092011_M5358ACSH101811_RBGEUFRF26/dpll_52094/txpa_54204.png","plot")</f>
        <v>plot</v>
      </c>
    </row>
    <row r="849" spans="1:29" x14ac:dyDescent="0.35">
      <c r="A849" t="s">
        <v>48</v>
      </c>
      <c r="B849">
        <v>52094</v>
      </c>
      <c r="C849" t="s">
        <v>53</v>
      </c>
      <c r="D849">
        <v>54205</v>
      </c>
      <c r="E849" t="s">
        <v>225</v>
      </c>
      <c r="F849">
        <v>12239</v>
      </c>
      <c r="G849">
        <v>0.84367699338070246</v>
      </c>
      <c r="H849">
        <v>0</v>
      </c>
      <c r="I849">
        <v>0</v>
      </c>
      <c r="J849">
        <v>0.73470390542595887</v>
      </c>
      <c r="K849">
        <v>0</v>
      </c>
      <c r="L849">
        <v>0</v>
      </c>
      <c r="M849">
        <v>0.54221160149514258</v>
      </c>
      <c r="N849">
        <v>0</v>
      </c>
      <c r="O849">
        <v>0</v>
      </c>
      <c r="P849">
        <v>0.71179086915990186</v>
      </c>
      <c r="Q849">
        <v>1.704465622880631</v>
      </c>
      <c r="R849">
        <v>-0.69120509610820413</v>
      </c>
      <c r="S849">
        <v>0.23515424755120351</v>
      </c>
      <c r="T849">
        <v>0.177824346286795</v>
      </c>
      <c r="U849">
        <v>4.3319960263910451</v>
      </c>
      <c r="V849">
        <v>0.21682265731687389</v>
      </c>
      <c r="W849">
        <v>6.6925332093308274</v>
      </c>
      <c r="X849">
        <v>0.43804295785919972</v>
      </c>
      <c r="Z849" t="s">
        <v>392</v>
      </c>
      <c r="AA849">
        <v>9400</v>
      </c>
      <c r="AB849" t="s">
        <v>3268</v>
      </c>
      <c r="AC849" t="str">
        <f>HYPERLINK("plots/3FT6Y578R01_012_S11P_20251111092011_M5358ACSH101811_RBGEUFRF26/dpll_52094/txpa_54205.png","plot")</f>
        <v>plot</v>
      </c>
    </row>
    <row r="850" spans="1:29" x14ac:dyDescent="0.35">
      <c r="A850" t="s">
        <v>48</v>
      </c>
      <c r="B850">
        <v>52094</v>
      </c>
      <c r="C850" t="s">
        <v>53</v>
      </c>
      <c r="D850">
        <v>54206</v>
      </c>
      <c r="E850" t="s">
        <v>226</v>
      </c>
      <c r="F850">
        <v>12240</v>
      </c>
      <c r="G850">
        <v>0.85170052859759926</v>
      </c>
      <c r="H850">
        <v>0</v>
      </c>
      <c r="I850">
        <v>0</v>
      </c>
      <c r="J850">
        <v>0.74119461333422343</v>
      </c>
      <c r="K850">
        <v>0</v>
      </c>
      <c r="L850">
        <v>0</v>
      </c>
      <c r="M850">
        <v>0.54887145765165479</v>
      </c>
      <c r="N850">
        <v>0</v>
      </c>
      <c r="O850">
        <v>0</v>
      </c>
      <c r="P850">
        <v>0.72539379041343</v>
      </c>
      <c r="Q850">
        <v>1.7269920664071261</v>
      </c>
      <c r="R850">
        <v>-0.7698600576477368</v>
      </c>
      <c r="S850">
        <v>0.23038417859297311</v>
      </c>
      <c r="T850">
        <v>0.17587581883145809</v>
      </c>
      <c r="U850">
        <v>4.3319748101307187</v>
      </c>
      <c r="V850">
        <v>0.2168262156955765</v>
      </c>
      <c r="W850">
        <v>6.7114260713235296</v>
      </c>
      <c r="X850">
        <v>0.43965823869091403</v>
      </c>
      <c r="Z850" t="s">
        <v>392</v>
      </c>
      <c r="AA850">
        <v>9400</v>
      </c>
      <c r="AB850" t="s">
        <v>3269</v>
      </c>
      <c r="AC850" t="str">
        <f>HYPERLINK("plots/3FT6Y578R01_012_S11P_20251111092011_M5358ACSH101811_RBGEUFRF26/dpll_52094/txpa_54206.png","plot")</f>
        <v>plot</v>
      </c>
    </row>
    <row r="851" spans="1:29" x14ac:dyDescent="0.35">
      <c r="A851" t="s">
        <v>48</v>
      </c>
      <c r="B851">
        <v>52094</v>
      </c>
      <c r="C851" t="s">
        <v>53</v>
      </c>
      <c r="D851">
        <v>54207</v>
      </c>
      <c r="E851" t="s">
        <v>227</v>
      </c>
      <c r="F851">
        <v>12239</v>
      </c>
      <c r="G851">
        <v>0.85210103184981556</v>
      </c>
      <c r="H851">
        <v>0</v>
      </c>
      <c r="I851">
        <v>0</v>
      </c>
      <c r="J851">
        <v>0.73921776314878385</v>
      </c>
      <c r="K851">
        <v>0</v>
      </c>
      <c r="L851">
        <v>0</v>
      </c>
      <c r="M851">
        <v>0.54646909204601413</v>
      </c>
      <c r="N851">
        <v>0</v>
      </c>
      <c r="O851">
        <v>0</v>
      </c>
      <c r="P851">
        <v>0.72607616847952039</v>
      </c>
      <c r="Q851">
        <v>1.7340028490183019</v>
      </c>
      <c r="R851">
        <v>-0.82784608068322285</v>
      </c>
      <c r="S851">
        <v>0.23089677727936631</v>
      </c>
      <c r="T851">
        <v>0.17706277244464541</v>
      </c>
      <c r="U851">
        <v>4.3319641277882184</v>
      </c>
      <c r="V851">
        <v>0.21680135387040489</v>
      </c>
      <c r="W851">
        <v>6.6837920587466302</v>
      </c>
      <c r="X851">
        <v>0.44118496660683099</v>
      </c>
      <c r="Z851" t="s">
        <v>392</v>
      </c>
      <c r="AA851">
        <v>9400</v>
      </c>
      <c r="AB851" t="s">
        <v>3270</v>
      </c>
      <c r="AC851" t="str">
        <f>HYPERLINK("plots/3FT6Y578R01_012_S11P_20251111092011_M5358ACSH101811_RBGEUFRF26/dpll_52094/txpa_54207.png","plot")</f>
        <v>plot</v>
      </c>
    </row>
    <row r="852" spans="1:29" x14ac:dyDescent="0.35">
      <c r="A852" t="s">
        <v>48</v>
      </c>
      <c r="B852">
        <v>52094</v>
      </c>
      <c r="C852" t="s">
        <v>53</v>
      </c>
      <c r="D852">
        <v>54208</v>
      </c>
      <c r="E852" t="s">
        <v>228</v>
      </c>
      <c r="F852">
        <v>12240</v>
      </c>
      <c r="G852">
        <v>0.85349836840598337</v>
      </c>
      <c r="H852">
        <v>0</v>
      </c>
      <c r="I852">
        <v>0</v>
      </c>
      <c r="J852">
        <v>0.74283131408365644</v>
      </c>
      <c r="K852">
        <v>0</v>
      </c>
      <c r="L852">
        <v>0</v>
      </c>
      <c r="M852">
        <v>0.55070547676512782</v>
      </c>
      <c r="N852">
        <v>0</v>
      </c>
      <c r="O852">
        <v>0</v>
      </c>
      <c r="P852">
        <v>0.72845946487167568</v>
      </c>
      <c r="Q852">
        <v>1.740280594156012</v>
      </c>
      <c r="R852">
        <v>-0.84860924522254599</v>
      </c>
      <c r="S852">
        <v>0.2303258886101982</v>
      </c>
      <c r="T852">
        <v>0.17669113850369331</v>
      </c>
      <c r="U852">
        <v>4.331890278839869</v>
      </c>
      <c r="V852">
        <v>0.21678367779622049</v>
      </c>
      <c r="W852">
        <v>6.6900953430555559</v>
      </c>
      <c r="X852">
        <v>0.44202126396928149</v>
      </c>
      <c r="Z852" t="s">
        <v>392</v>
      </c>
      <c r="AA852">
        <v>9400</v>
      </c>
      <c r="AB852" t="s">
        <v>3271</v>
      </c>
      <c r="AC852" t="str">
        <f>HYPERLINK("plots/3FT6Y578R01_012_S11P_20251111092011_M5358ACSH101811_RBGEUFRF26/dpll_52094/txpa_54208.png","plot")</f>
        <v>plot</v>
      </c>
    </row>
    <row r="853" spans="1:29" x14ac:dyDescent="0.35">
      <c r="A853" t="s">
        <v>48</v>
      </c>
      <c r="B853">
        <v>52094</v>
      </c>
      <c r="C853" t="s">
        <v>53</v>
      </c>
      <c r="D853">
        <v>54209</v>
      </c>
      <c r="E853" t="s">
        <v>229</v>
      </c>
      <c r="F853">
        <v>12240</v>
      </c>
      <c r="G853">
        <v>0.85290301345916719</v>
      </c>
      <c r="H853">
        <v>0</v>
      </c>
      <c r="I853">
        <v>0</v>
      </c>
      <c r="J853">
        <v>0.73866039373432857</v>
      </c>
      <c r="K853">
        <v>0</v>
      </c>
      <c r="L853">
        <v>0</v>
      </c>
      <c r="M853">
        <v>0.54722095196839571</v>
      </c>
      <c r="N853">
        <v>0</v>
      </c>
      <c r="O853">
        <v>0</v>
      </c>
      <c r="P853">
        <v>0.72744355036772834</v>
      </c>
      <c r="Q853">
        <v>1.736249029444151</v>
      </c>
      <c r="R853">
        <v>-0.82618829111985992</v>
      </c>
      <c r="S853">
        <v>0.23040909788326211</v>
      </c>
      <c r="T853">
        <v>0.17648386709642991</v>
      </c>
      <c r="U853">
        <v>4.3319899130718964</v>
      </c>
      <c r="V853">
        <v>0.21680873037703621</v>
      </c>
      <c r="W853">
        <v>6.6952249910130712</v>
      </c>
      <c r="X853">
        <v>0.44135609999245179</v>
      </c>
      <c r="Z853" t="s">
        <v>392</v>
      </c>
      <c r="AA853">
        <v>9400</v>
      </c>
      <c r="AB853" t="s">
        <v>3272</v>
      </c>
      <c r="AC853" t="str">
        <f>HYPERLINK("plots/3FT6Y578R01_012_S11P_20251111092011_M5358ACSH101811_RBGEUFRF26/dpll_52094/txpa_54209.png","plot")</f>
        <v>plot</v>
      </c>
    </row>
    <row r="854" spans="1:29" x14ac:dyDescent="0.35">
      <c r="A854" t="s">
        <v>48</v>
      </c>
      <c r="B854">
        <v>52094</v>
      </c>
      <c r="C854" t="s">
        <v>53</v>
      </c>
      <c r="D854">
        <v>54210</v>
      </c>
      <c r="E854" t="s">
        <v>230</v>
      </c>
      <c r="F854">
        <v>12235</v>
      </c>
      <c r="G854">
        <v>0.84901026662287737</v>
      </c>
      <c r="H854">
        <v>0</v>
      </c>
      <c r="I854">
        <v>0</v>
      </c>
      <c r="J854">
        <v>0.7322450476109259</v>
      </c>
      <c r="K854">
        <v>0</v>
      </c>
      <c r="L854">
        <v>0</v>
      </c>
      <c r="M854">
        <v>0.54137344924987019</v>
      </c>
      <c r="N854">
        <v>0</v>
      </c>
      <c r="O854">
        <v>0</v>
      </c>
      <c r="P854">
        <v>0.72081843283104929</v>
      </c>
      <c r="Q854">
        <v>1.716157964984246</v>
      </c>
      <c r="R854">
        <v>-0.75500696080464635</v>
      </c>
      <c r="S854">
        <v>0.23153838054340839</v>
      </c>
      <c r="T854">
        <v>0.17702588067693281</v>
      </c>
      <c r="U854">
        <v>4.3320857962402943</v>
      </c>
      <c r="V854">
        <v>0.21679689176247041</v>
      </c>
      <c r="W854">
        <v>6.6795365834082547</v>
      </c>
      <c r="X854">
        <v>0.43822522201284031</v>
      </c>
      <c r="Z854" t="s">
        <v>392</v>
      </c>
      <c r="AA854">
        <v>9400</v>
      </c>
      <c r="AB854" t="s">
        <v>3273</v>
      </c>
      <c r="AC854" t="str">
        <f>HYPERLINK("plots/3FT6Y578R01_012_S11P_20251111092011_M5358ACSH101811_RBGEUFRF26/dpll_52094/txpa_54210.png","plot")</f>
        <v>plot</v>
      </c>
    </row>
    <row r="855" spans="1:29" x14ac:dyDescent="0.35">
      <c r="A855" t="s">
        <v>48</v>
      </c>
      <c r="B855">
        <v>52094</v>
      </c>
      <c r="C855" t="s">
        <v>53</v>
      </c>
      <c r="D855">
        <v>54211</v>
      </c>
      <c r="E855" t="s">
        <v>231</v>
      </c>
      <c r="F855">
        <v>12237</v>
      </c>
      <c r="G855">
        <v>0.83530770365885165</v>
      </c>
      <c r="H855">
        <v>0</v>
      </c>
      <c r="I855">
        <v>0</v>
      </c>
      <c r="J855">
        <v>0.73055347050435115</v>
      </c>
      <c r="K855">
        <v>0</v>
      </c>
      <c r="L855">
        <v>0</v>
      </c>
      <c r="M855">
        <v>0.53729893753497349</v>
      </c>
      <c r="N855">
        <v>0</v>
      </c>
      <c r="O855">
        <v>0</v>
      </c>
      <c r="P855">
        <v>0.69773895979182388</v>
      </c>
      <c r="Q855">
        <v>1.784618921887039</v>
      </c>
      <c r="R855">
        <v>-0.12856916604941659</v>
      </c>
      <c r="S855">
        <v>0.25458201953265253</v>
      </c>
      <c r="T855">
        <v>0.18993109038590669</v>
      </c>
      <c r="U855">
        <v>4.3320892794802646</v>
      </c>
      <c r="V855">
        <v>0.21674814043962221</v>
      </c>
      <c r="W855">
        <v>7.6025593334150523</v>
      </c>
      <c r="X855">
        <v>0.46307825369985728</v>
      </c>
      <c r="Z855" t="s">
        <v>392</v>
      </c>
      <c r="AA855">
        <v>9400</v>
      </c>
      <c r="AB855" t="s">
        <v>3274</v>
      </c>
      <c r="AC855" t="str">
        <f>HYPERLINK("plots/3FT6Y578R01_012_S11P_20251111092011_M5358ACSH101811_RBGEUFRF26/dpll_52094/txpa_54211.png","plot")</f>
        <v>plot</v>
      </c>
    </row>
    <row r="856" spans="1:29" x14ac:dyDescent="0.35">
      <c r="A856" t="s">
        <v>48</v>
      </c>
      <c r="B856">
        <v>52094</v>
      </c>
      <c r="C856" t="s">
        <v>53</v>
      </c>
      <c r="D856">
        <v>54212</v>
      </c>
      <c r="E856" t="s">
        <v>232</v>
      </c>
      <c r="F856">
        <v>12235</v>
      </c>
      <c r="G856">
        <v>0.84692883160102883</v>
      </c>
      <c r="H856">
        <v>0</v>
      </c>
      <c r="I856">
        <v>0</v>
      </c>
      <c r="J856">
        <v>0.73883612869229032</v>
      </c>
      <c r="K856">
        <v>0</v>
      </c>
      <c r="L856">
        <v>0</v>
      </c>
      <c r="M856">
        <v>0.54669670903442036</v>
      </c>
      <c r="N856">
        <v>0</v>
      </c>
      <c r="O856">
        <v>0</v>
      </c>
      <c r="P856">
        <v>0.71728844579708384</v>
      </c>
      <c r="Q856">
        <v>1.807252864473508</v>
      </c>
      <c r="R856">
        <v>-0.19128440896144469</v>
      </c>
      <c r="S856">
        <v>0.24592042573033929</v>
      </c>
      <c r="T856">
        <v>0.1864928582809012</v>
      </c>
      <c r="U856">
        <v>4.3320914950551694</v>
      </c>
      <c r="V856">
        <v>0.21675472208411559</v>
      </c>
      <c r="W856">
        <v>7.6379003546383331</v>
      </c>
      <c r="X856">
        <v>0.46253070831719328</v>
      </c>
      <c r="Z856" t="s">
        <v>392</v>
      </c>
      <c r="AA856">
        <v>9400</v>
      </c>
      <c r="AB856" t="s">
        <v>3275</v>
      </c>
      <c r="AC856" t="str">
        <f>HYPERLINK("plots/3FT6Y578R01_012_S11P_20251111092011_M5358ACSH101811_RBGEUFRF26/dpll_52094/txpa_54212.png","plot")</f>
        <v>plot</v>
      </c>
    </row>
    <row r="857" spans="1:29" x14ac:dyDescent="0.35">
      <c r="A857" t="s">
        <v>48</v>
      </c>
      <c r="B857">
        <v>52094</v>
      </c>
      <c r="C857" t="s">
        <v>53</v>
      </c>
      <c r="D857">
        <v>54213</v>
      </c>
      <c r="E857" t="s">
        <v>233</v>
      </c>
      <c r="F857">
        <v>12238</v>
      </c>
      <c r="G857">
        <v>0.84594840647099245</v>
      </c>
      <c r="H857">
        <v>0</v>
      </c>
      <c r="I857">
        <v>0</v>
      </c>
      <c r="J857">
        <v>0.73595735480932423</v>
      </c>
      <c r="K857">
        <v>0</v>
      </c>
      <c r="L857">
        <v>0</v>
      </c>
      <c r="M857">
        <v>0.5436488151003519</v>
      </c>
      <c r="N857">
        <v>0</v>
      </c>
      <c r="O857">
        <v>0</v>
      </c>
      <c r="P857">
        <v>0.71562870641081144</v>
      </c>
      <c r="Q857">
        <v>1.7915637686117869</v>
      </c>
      <c r="R857">
        <v>-0.1170032980790143</v>
      </c>
      <c r="S857">
        <v>0.2448405904271885</v>
      </c>
      <c r="T857">
        <v>0.18502057261002849</v>
      </c>
      <c r="U857">
        <v>4.3320265034319334</v>
      </c>
      <c r="V857">
        <v>0.21680529836264609</v>
      </c>
      <c r="W857">
        <v>7.6440984301356423</v>
      </c>
      <c r="X857">
        <v>0.45915390869987283</v>
      </c>
      <c r="Z857" t="s">
        <v>392</v>
      </c>
      <c r="AA857">
        <v>9400</v>
      </c>
      <c r="AB857" t="s">
        <v>3276</v>
      </c>
      <c r="AC857" t="str">
        <f>HYPERLINK("plots/3FT6Y578R01_012_S11P_20251111092011_M5358ACSH101811_RBGEUFRF26/dpll_52094/txpa_54213.png","plot")</f>
        <v>plot</v>
      </c>
    </row>
    <row r="858" spans="1:29" x14ac:dyDescent="0.35">
      <c r="A858" t="s">
        <v>48</v>
      </c>
      <c r="B858">
        <v>52094</v>
      </c>
      <c r="C858" t="s">
        <v>53</v>
      </c>
      <c r="D858">
        <v>54214</v>
      </c>
      <c r="E858" t="s">
        <v>234</v>
      </c>
      <c r="F858">
        <v>12240</v>
      </c>
      <c r="G858">
        <v>0.85346998341930624</v>
      </c>
      <c r="H858">
        <v>0</v>
      </c>
      <c r="I858">
        <v>0</v>
      </c>
      <c r="J858">
        <v>0.74207226625628975</v>
      </c>
      <c r="K858">
        <v>0</v>
      </c>
      <c r="L858">
        <v>0</v>
      </c>
      <c r="M858">
        <v>0.54995705750091972</v>
      </c>
      <c r="N858">
        <v>0</v>
      </c>
      <c r="O858">
        <v>0</v>
      </c>
      <c r="P858">
        <v>0.72841101259775087</v>
      </c>
      <c r="Q858">
        <v>1.815345363907257</v>
      </c>
      <c r="R858">
        <v>-0.20237014899983569</v>
      </c>
      <c r="S858">
        <v>0.24033727644715619</v>
      </c>
      <c r="T858">
        <v>0.18323879059092779</v>
      </c>
      <c r="U858">
        <v>4.3319748101307187</v>
      </c>
      <c r="V858">
        <v>0.2168262156955765</v>
      </c>
      <c r="W858">
        <v>7.6616602391339859</v>
      </c>
      <c r="X858">
        <v>0.46119309768758321</v>
      </c>
      <c r="Z858" t="s">
        <v>392</v>
      </c>
      <c r="AA858">
        <v>9400</v>
      </c>
      <c r="AB858" t="s">
        <v>3277</v>
      </c>
      <c r="AC858" t="str">
        <f>HYPERLINK("plots/3FT6Y578R01_012_S11P_20251111092011_M5358ACSH101811_RBGEUFRF26/dpll_52094/txpa_54214.png","plot")</f>
        <v>plot</v>
      </c>
    </row>
    <row r="859" spans="1:29" x14ac:dyDescent="0.35">
      <c r="A859" t="s">
        <v>48</v>
      </c>
      <c r="B859">
        <v>52094</v>
      </c>
      <c r="C859" t="s">
        <v>53</v>
      </c>
      <c r="D859">
        <v>54215</v>
      </c>
      <c r="E859" t="s">
        <v>235</v>
      </c>
      <c r="F859">
        <v>12239</v>
      </c>
      <c r="G859">
        <v>0.85393760656905315</v>
      </c>
      <c r="H859">
        <v>0</v>
      </c>
      <c r="I859">
        <v>0</v>
      </c>
      <c r="J859">
        <v>0.74010068218463965</v>
      </c>
      <c r="K859">
        <v>0</v>
      </c>
      <c r="L859">
        <v>0</v>
      </c>
      <c r="M859">
        <v>0.54760643191983394</v>
      </c>
      <c r="N859">
        <v>0</v>
      </c>
      <c r="O859">
        <v>0</v>
      </c>
      <c r="P859">
        <v>0.72920943591288301</v>
      </c>
      <c r="Q859">
        <v>1.822840266899082</v>
      </c>
      <c r="R859">
        <v>-0.26340181480059938</v>
      </c>
      <c r="S859">
        <v>0.2408149718654935</v>
      </c>
      <c r="T859">
        <v>0.1844498748390353</v>
      </c>
      <c r="U859">
        <v>4.3319641277882184</v>
      </c>
      <c r="V859">
        <v>0.21680135387040489</v>
      </c>
      <c r="W859">
        <v>7.6330768320941251</v>
      </c>
      <c r="X859">
        <v>0.46279053026019212</v>
      </c>
      <c r="Z859" t="s">
        <v>392</v>
      </c>
      <c r="AA859">
        <v>9400</v>
      </c>
      <c r="AB859" t="s">
        <v>3278</v>
      </c>
      <c r="AC859" t="str">
        <f>HYPERLINK("plots/3FT6Y578R01_012_S11P_20251111092011_M5358ACSH101811_RBGEUFRF26/dpll_52094/txpa_54215.png","plot")</f>
        <v>plot</v>
      </c>
    </row>
    <row r="860" spans="1:29" x14ac:dyDescent="0.35">
      <c r="A860" t="s">
        <v>48</v>
      </c>
      <c r="B860">
        <v>52094</v>
      </c>
      <c r="C860" t="s">
        <v>53</v>
      </c>
      <c r="D860">
        <v>54216</v>
      </c>
      <c r="E860" t="s">
        <v>236</v>
      </c>
      <c r="F860">
        <v>12239</v>
      </c>
      <c r="G860">
        <v>0.85576416329381078</v>
      </c>
      <c r="H860">
        <v>0</v>
      </c>
      <c r="I860">
        <v>0</v>
      </c>
      <c r="J860">
        <v>0.74354349675899067</v>
      </c>
      <c r="K860">
        <v>0</v>
      </c>
      <c r="L860">
        <v>0</v>
      </c>
      <c r="M860">
        <v>0.55172025405815572</v>
      </c>
      <c r="N860">
        <v>0</v>
      </c>
      <c r="O860">
        <v>0</v>
      </c>
      <c r="P860">
        <v>0.73233230317795606</v>
      </c>
      <c r="Q860">
        <v>1.8276760476854621</v>
      </c>
      <c r="R860">
        <v>-0.27651299383123362</v>
      </c>
      <c r="S860">
        <v>0.23954313821001399</v>
      </c>
      <c r="T860">
        <v>0.18379961060162431</v>
      </c>
      <c r="U860">
        <v>4.3319555311708484</v>
      </c>
      <c r="V860">
        <v>0.2167995478787211</v>
      </c>
      <c r="W860">
        <v>7.6408983701282782</v>
      </c>
      <c r="X860">
        <v>0.46302399399603628</v>
      </c>
      <c r="Z860" t="s">
        <v>392</v>
      </c>
      <c r="AA860">
        <v>9400</v>
      </c>
      <c r="AB860" t="s">
        <v>3279</v>
      </c>
      <c r="AC860" t="str">
        <f>HYPERLINK("plots/3FT6Y578R01_012_S11P_20251111092011_M5358ACSH101811_RBGEUFRF26/dpll_52094/txpa_54216.png","plot")</f>
        <v>plot</v>
      </c>
    </row>
    <row r="861" spans="1:29" x14ac:dyDescent="0.35">
      <c r="A861" t="s">
        <v>48</v>
      </c>
      <c r="B861">
        <v>52094</v>
      </c>
      <c r="C861" t="s">
        <v>53</v>
      </c>
      <c r="D861">
        <v>54217</v>
      </c>
      <c r="E861" t="s">
        <v>237</v>
      </c>
      <c r="F861">
        <v>12239</v>
      </c>
      <c r="G861">
        <v>0.85487237617507761</v>
      </c>
      <c r="H861">
        <v>0</v>
      </c>
      <c r="I861">
        <v>0</v>
      </c>
      <c r="J861">
        <v>0.73937265222954729</v>
      </c>
      <c r="K861">
        <v>0</v>
      </c>
      <c r="L861">
        <v>0</v>
      </c>
      <c r="M861">
        <v>0.54825149473232115</v>
      </c>
      <c r="N861">
        <v>0</v>
      </c>
      <c r="O861">
        <v>0</v>
      </c>
      <c r="P861">
        <v>0.7308067795472234</v>
      </c>
      <c r="Q861">
        <v>1.8240251956927951</v>
      </c>
      <c r="R861">
        <v>-0.25561849398541803</v>
      </c>
      <c r="S861">
        <v>0.24000149340064611</v>
      </c>
      <c r="T861">
        <v>0.183661569740664</v>
      </c>
      <c r="U861">
        <v>4.3320106986681921</v>
      </c>
      <c r="V861">
        <v>0.21680539186737349</v>
      </c>
      <c r="W861">
        <v>7.6460781683961114</v>
      </c>
      <c r="X861">
        <v>0.46259360853081188</v>
      </c>
      <c r="Z861" t="s">
        <v>392</v>
      </c>
      <c r="AA861">
        <v>9400</v>
      </c>
      <c r="AB861" t="s">
        <v>3280</v>
      </c>
      <c r="AC861" t="str">
        <f>HYPERLINK("plots/3FT6Y578R01_012_S11P_20251111092011_M5358ACSH101811_RBGEUFRF26/dpll_52094/txpa_54217.png","plot")</f>
        <v>plot</v>
      </c>
    </row>
    <row r="862" spans="1:29" x14ac:dyDescent="0.35">
      <c r="A862" t="s">
        <v>48</v>
      </c>
      <c r="B862">
        <v>52094</v>
      </c>
      <c r="C862" t="s">
        <v>53</v>
      </c>
      <c r="D862">
        <v>54218</v>
      </c>
      <c r="E862" t="s">
        <v>238</v>
      </c>
      <c r="F862">
        <v>12233</v>
      </c>
      <c r="G862">
        <v>0.85117116360587319</v>
      </c>
      <c r="H862">
        <v>0</v>
      </c>
      <c r="I862">
        <v>0</v>
      </c>
      <c r="J862">
        <v>0.73319611866137557</v>
      </c>
      <c r="K862">
        <v>0</v>
      </c>
      <c r="L862">
        <v>0</v>
      </c>
      <c r="M862">
        <v>0.54251090242647249</v>
      </c>
      <c r="N862">
        <v>0</v>
      </c>
      <c r="O862">
        <v>0</v>
      </c>
      <c r="P862">
        <v>0.7244923497541762</v>
      </c>
      <c r="Q862">
        <v>1.802746958468763</v>
      </c>
      <c r="R862">
        <v>-0.1788807297242174</v>
      </c>
      <c r="S862">
        <v>0.24097730484538771</v>
      </c>
      <c r="T862">
        <v>0.1841722551718965</v>
      </c>
      <c r="U862">
        <v>4.3321380587754437</v>
      </c>
      <c r="V862">
        <v>0.21677499932302449</v>
      </c>
      <c r="W862">
        <v>7.6308679793999827</v>
      </c>
      <c r="X862">
        <v>0.4591209000151259</v>
      </c>
      <c r="Z862" t="s">
        <v>392</v>
      </c>
      <c r="AA862">
        <v>9400</v>
      </c>
      <c r="AB862" t="s">
        <v>3281</v>
      </c>
      <c r="AC862" t="str">
        <f>HYPERLINK("plots/3FT6Y578R01_012_S11P_20251111092011_M5358ACSH101811_RBGEUFRF26/dpll_52094/txpa_54218.png","plot")</f>
        <v>plot</v>
      </c>
    </row>
    <row r="863" spans="1:29" x14ac:dyDescent="0.35">
      <c r="A863" t="s">
        <v>48</v>
      </c>
      <c r="B863">
        <v>52094</v>
      </c>
      <c r="C863" t="s">
        <v>53</v>
      </c>
      <c r="D863">
        <v>54219</v>
      </c>
      <c r="E863" t="s">
        <v>239</v>
      </c>
      <c r="F863">
        <v>12226</v>
      </c>
      <c r="G863">
        <v>0.83895019093065393</v>
      </c>
      <c r="H863">
        <v>0</v>
      </c>
      <c r="I863">
        <v>0</v>
      </c>
      <c r="J863">
        <v>0.73164468487103462</v>
      </c>
      <c r="K863">
        <v>0</v>
      </c>
      <c r="L863">
        <v>0</v>
      </c>
      <c r="M863">
        <v>0.5387276935680293</v>
      </c>
      <c r="N863">
        <v>0</v>
      </c>
      <c r="O863">
        <v>0</v>
      </c>
      <c r="P863">
        <v>0.70383742286258066</v>
      </c>
      <c r="Q863">
        <v>1.8788599956393379</v>
      </c>
      <c r="R863">
        <v>0.42250440614111362</v>
      </c>
      <c r="S863">
        <v>0.26394208921038959</v>
      </c>
      <c r="T863">
        <v>0.19732301980329051</v>
      </c>
      <c r="U863">
        <v>4.3324008588254541</v>
      </c>
      <c r="V863">
        <v>0.2165723849753054</v>
      </c>
      <c r="W863">
        <v>8.5624790648617708</v>
      </c>
      <c r="X863">
        <v>0.48502186981913148</v>
      </c>
      <c r="Z863" t="s">
        <v>392</v>
      </c>
      <c r="AA863">
        <v>9400</v>
      </c>
      <c r="AB863" t="s">
        <v>3282</v>
      </c>
      <c r="AC863" t="str">
        <f>HYPERLINK("plots/3FT6Y578R01_012_S11P_20251111092011_M5358ACSH101811_RBGEUFRF26/dpll_52094/txpa_54219.png","plot")</f>
        <v>plot</v>
      </c>
    </row>
    <row r="864" spans="1:29" x14ac:dyDescent="0.35">
      <c r="A864" t="s">
        <v>48</v>
      </c>
      <c r="B864">
        <v>52094</v>
      </c>
      <c r="C864" t="s">
        <v>53</v>
      </c>
      <c r="D864">
        <v>54220</v>
      </c>
      <c r="E864" t="s">
        <v>240</v>
      </c>
      <c r="F864">
        <v>12234</v>
      </c>
      <c r="G864">
        <v>0.84913207705766358</v>
      </c>
      <c r="H864">
        <v>0</v>
      </c>
      <c r="I864">
        <v>0</v>
      </c>
      <c r="J864">
        <v>0.7400216586864623</v>
      </c>
      <c r="K864">
        <v>0</v>
      </c>
      <c r="L864">
        <v>0</v>
      </c>
      <c r="M864">
        <v>0.54810119330262874</v>
      </c>
      <c r="N864">
        <v>0</v>
      </c>
      <c r="O864">
        <v>0</v>
      </c>
      <c r="P864">
        <v>0.72102528428826196</v>
      </c>
      <c r="Q864">
        <v>1.908717151313257</v>
      </c>
      <c r="R864">
        <v>0.32685774087524072</v>
      </c>
      <c r="S864">
        <v>0.25730539291022608</v>
      </c>
      <c r="T864">
        <v>0.1948595724104982</v>
      </c>
      <c r="U864">
        <v>4.3321262788131438</v>
      </c>
      <c r="V864">
        <v>0.2167294297827618</v>
      </c>
      <c r="W864">
        <v>8.595661470900767</v>
      </c>
      <c r="X864">
        <v>0.48717412873404781</v>
      </c>
      <c r="Z864" t="s">
        <v>392</v>
      </c>
      <c r="AA864">
        <v>9400</v>
      </c>
      <c r="AB864" t="s">
        <v>3283</v>
      </c>
      <c r="AC864" t="str">
        <f>HYPERLINK("plots/3FT6Y578R01_012_S11P_20251111092011_M5358ACSH101811_RBGEUFRF26/dpll_52094/txpa_54220.png","plot")</f>
        <v>plot</v>
      </c>
    </row>
    <row r="865" spans="1:29" x14ac:dyDescent="0.35">
      <c r="A865" t="s">
        <v>48</v>
      </c>
      <c r="B865">
        <v>52094</v>
      </c>
      <c r="C865" t="s">
        <v>53</v>
      </c>
      <c r="D865">
        <v>54221</v>
      </c>
      <c r="E865" t="s">
        <v>241</v>
      </c>
      <c r="F865">
        <v>12236</v>
      </c>
      <c r="G865">
        <v>0.84845935830410202</v>
      </c>
      <c r="H865">
        <v>0</v>
      </c>
      <c r="I865">
        <v>0</v>
      </c>
      <c r="J865">
        <v>0.73724336488530628</v>
      </c>
      <c r="K865">
        <v>0</v>
      </c>
      <c r="L865">
        <v>0</v>
      </c>
      <c r="M865">
        <v>0.54515076229444592</v>
      </c>
      <c r="N865">
        <v>0</v>
      </c>
      <c r="O865">
        <v>0</v>
      </c>
      <c r="P865">
        <v>0.71988328269380852</v>
      </c>
      <c r="Q865">
        <v>1.8922436323173311</v>
      </c>
      <c r="R865">
        <v>0.40504677039007397</v>
      </c>
      <c r="S865">
        <v>0.25585282662169823</v>
      </c>
      <c r="T865">
        <v>0.19314293949235711</v>
      </c>
      <c r="U865">
        <v>4.3320896801242226</v>
      </c>
      <c r="V865">
        <v>0.2167666392269755</v>
      </c>
      <c r="W865">
        <v>8.6024158822327568</v>
      </c>
      <c r="X865">
        <v>0.4834354041376</v>
      </c>
      <c r="Z865" t="s">
        <v>392</v>
      </c>
      <c r="AA865">
        <v>9400</v>
      </c>
      <c r="AB865" t="s">
        <v>3284</v>
      </c>
      <c r="AC865" t="str">
        <f>HYPERLINK("plots/3FT6Y578R01_012_S11P_20251111092011_M5358ACSH101811_RBGEUFRF26/dpll_52094/txpa_54221.png","plot")</f>
        <v>plot</v>
      </c>
    </row>
    <row r="866" spans="1:29" x14ac:dyDescent="0.35">
      <c r="A866" t="s">
        <v>48</v>
      </c>
      <c r="B866">
        <v>52094</v>
      </c>
      <c r="C866" t="s">
        <v>53</v>
      </c>
      <c r="D866">
        <v>54222</v>
      </c>
      <c r="E866" t="s">
        <v>242</v>
      </c>
      <c r="F866">
        <v>12240</v>
      </c>
      <c r="G866">
        <v>0.85537610535602582</v>
      </c>
      <c r="H866">
        <v>0</v>
      </c>
      <c r="I866">
        <v>0</v>
      </c>
      <c r="J866">
        <v>0.74297299040140341</v>
      </c>
      <c r="K866">
        <v>0</v>
      </c>
      <c r="L866">
        <v>0</v>
      </c>
      <c r="M866">
        <v>0.55112312254293361</v>
      </c>
      <c r="N866">
        <v>0</v>
      </c>
      <c r="O866">
        <v>0</v>
      </c>
      <c r="P866">
        <v>0.73166828161404296</v>
      </c>
      <c r="Q866">
        <v>1.918168430107978</v>
      </c>
      <c r="R866">
        <v>0.30951546496856608</v>
      </c>
      <c r="S866">
        <v>0.25186027847032971</v>
      </c>
      <c r="T866">
        <v>0.19168381276581989</v>
      </c>
      <c r="U866">
        <v>4.3319748101307187</v>
      </c>
      <c r="V866">
        <v>0.2168262156955765</v>
      </c>
      <c r="W866">
        <v>8.6189727857843135</v>
      </c>
      <c r="X866">
        <v>0.48622962362729027</v>
      </c>
      <c r="Z866" t="s">
        <v>392</v>
      </c>
      <c r="AA866">
        <v>9400</v>
      </c>
      <c r="AB866" t="s">
        <v>3285</v>
      </c>
      <c r="AC866" t="str">
        <f>HYPERLINK("plots/3FT6Y578R01_012_S11P_20251111092011_M5358ACSH101811_RBGEUFRF26/dpll_52094/txpa_54222.png","plot")</f>
        <v>plot</v>
      </c>
    </row>
    <row r="867" spans="1:29" x14ac:dyDescent="0.35">
      <c r="A867" t="s">
        <v>48</v>
      </c>
      <c r="B867">
        <v>52094</v>
      </c>
      <c r="C867" t="s">
        <v>53</v>
      </c>
      <c r="D867">
        <v>54223</v>
      </c>
      <c r="E867" t="s">
        <v>243</v>
      </c>
      <c r="F867">
        <v>12238</v>
      </c>
      <c r="G867">
        <v>0.85600897526467168</v>
      </c>
      <c r="H867">
        <v>0</v>
      </c>
      <c r="I867">
        <v>0</v>
      </c>
      <c r="J867">
        <v>0.74111893985611876</v>
      </c>
      <c r="K867">
        <v>0</v>
      </c>
      <c r="L867">
        <v>0</v>
      </c>
      <c r="M867">
        <v>0.54889928742629857</v>
      </c>
      <c r="N867">
        <v>0</v>
      </c>
      <c r="O867">
        <v>0</v>
      </c>
      <c r="P867">
        <v>0.73275136573367328</v>
      </c>
      <c r="Q867">
        <v>1.925307442844346</v>
      </c>
      <c r="R867">
        <v>0.24898760661031541</v>
      </c>
      <c r="S867">
        <v>0.25206058320980329</v>
      </c>
      <c r="T867">
        <v>0.19275206281864729</v>
      </c>
      <c r="U867">
        <v>4.3319895589965682</v>
      </c>
      <c r="V867">
        <v>0.21679195535395521</v>
      </c>
      <c r="W867">
        <v>8.5893993468704029</v>
      </c>
      <c r="X867">
        <v>0.48760138883204429</v>
      </c>
      <c r="Z867" t="s">
        <v>392</v>
      </c>
      <c r="AA867">
        <v>9400</v>
      </c>
      <c r="AB867" t="s">
        <v>3286</v>
      </c>
      <c r="AC867" t="str">
        <f>HYPERLINK("plots/3FT6Y578R01_012_S11P_20251111092011_M5358ACSH101811_RBGEUFRF26/dpll_52094/txpa_54223.png","plot")</f>
        <v>plot</v>
      </c>
    </row>
    <row r="868" spans="1:29" x14ac:dyDescent="0.35">
      <c r="A868" t="s">
        <v>48</v>
      </c>
      <c r="B868">
        <v>52094</v>
      </c>
      <c r="C868" t="s">
        <v>53</v>
      </c>
      <c r="D868">
        <v>54224</v>
      </c>
      <c r="E868" t="s">
        <v>244</v>
      </c>
      <c r="F868">
        <v>12238</v>
      </c>
      <c r="G868">
        <v>0.85773039570204457</v>
      </c>
      <c r="H868">
        <v>0</v>
      </c>
      <c r="I868">
        <v>0</v>
      </c>
      <c r="J868">
        <v>0.74432442582133351</v>
      </c>
      <c r="K868">
        <v>0</v>
      </c>
      <c r="L868">
        <v>0</v>
      </c>
      <c r="M868">
        <v>0.5527987171583687</v>
      </c>
      <c r="N868">
        <v>0</v>
      </c>
      <c r="O868">
        <v>0</v>
      </c>
      <c r="P868">
        <v>0.73570143171118596</v>
      </c>
      <c r="Q868">
        <v>1.929393068548555</v>
      </c>
      <c r="R868">
        <v>0.24049032013486921</v>
      </c>
      <c r="S868">
        <v>0.25069342995814431</v>
      </c>
      <c r="T868">
        <v>0.1920188274333704</v>
      </c>
      <c r="U868">
        <v>4.3319795925804874</v>
      </c>
      <c r="V868">
        <v>0.21679206298308129</v>
      </c>
      <c r="W868">
        <v>8.5985817191534561</v>
      </c>
      <c r="X868">
        <v>0.48765568497026718</v>
      </c>
      <c r="Z868" t="s">
        <v>392</v>
      </c>
      <c r="AA868">
        <v>9400</v>
      </c>
      <c r="AB868" t="s">
        <v>3287</v>
      </c>
      <c r="AC868" t="str">
        <f>HYPERLINK("plots/3FT6Y578R01_012_S11P_20251111092011_M5358ACSH101811_RBGEUFRF26/dpll_52094/txpa_54224.png","plot")</f>
        <v>plot</v>
      </c>
    </row>
    <row r="869" spans="1:29" x14ac:dyDescent="0.35">
      <c r="A869" t="s">
        <v>48</v>
      </c>
      <c r="B869">
        <v>52094</v>
      </c>
      <c r="C869" t="s">
        <v>53</v>
      </c>
      <c r="D869">
        <v>54225</v>
      </c>
      <c r="E869" t="s">
        <v>245</v>
      </c>
      <c r="F869">
        <v>12233</v>
      </c>
      <c r="G869">
        <v>0.85771478793885125</v>
      </c>
      <c r="H869">
        <v>0</v>
      </c>
      <c r="I869">
        <v>0</v>
      </c>
      <c r="J869">
        <v>0.74026262287273448</v>
      </c>
      <c r="K869">
        <v>0</v>
      </c>
      <c r="L869">
        <v>0</v>
      </c>
      <c r="M869">
        <v>0.54956329323586128</v>
      </c>
      <c r="N869">
        <v>0</v>
      </c>
      <c r="O869">
        <v>0</v>
      </c>
      <c r="P869">
        <v>0.73567465744898852</v>
      </c>
      <c r="Q869">
        <v>1.9234284272631781</v>
      </c>
      <c r="R869">
        <v>0.27222457082063828</v>
      </c>
      <c r="S869">
        <v>0.2499000983924107</v>
      </c>
      <c r="T869">
        <v>0.19136940731117161</v>
      </c>
      <c r="U869">
        <v>4.3321508202403338</v>
      </c>
      <c r="V869">
        <v>0.21676124879507361</v>
      </c>
      <c r="W869">
        <v>8.6048066096623881</v>
      </c>
      <c r="X869">
        <v>0.4860878624506525</v>
      </c>
      <c r="Z869" t="s">
        <v>392</v>
      </c>
      <c r="AA869">
        <v>9400</v>
      </c>
      <c r="AB869" t="s">
        <v>3288</v>
      </c>
      <c r="AC869" t="str">
        <f>HYPERLINK("plots/3FT6Y578R01_012_S11P_20251111092011_M5358ACSH101811_RBGEUFRF26/dpll_52094/txpa_54225.png","plot")</f>
        <v>plot</v>
      </c>
    </row>
    <row r="870" spans="1:29" x14ac:dyDescent="0.35">
      <c r="A870" t="s">
        <v>48</v>
      </c>
      <c r="B870">
        <v>52094</v>
      </c>
      <c r="C870" t="s">
        <v>53</v>
      </c>
      <c r="D870">
        <v>54226</v>
      </c>
      <c r="E870" t="s">
        <v>246</v>
      </c>
      <c r="F870">
        <v>12231</v>
      </c>
      <c r="G870">
        <v>0.85338693912381847</v>
      </c>
      <c r="H870">
        <v>0</v>
      </c>
      <c r="I870">
        <v>0</v>
      </c>
      <c r="J870">
        <v>0.73406767499167502</v>
      </c>
      <c r="K870">
        <v>0</v>
      </c>
      <c r="L870">
        <v>0</v>
      </c>
      <c r="M870">
        <v>0.54364784735180094</v>
      </c>
      <c r="N870">
        <v>0</v>
      </c>
      <c r="O870">
        <v>0</v>
      </c>
      <c r="P870">
        <v>0.72826926786711987</v>
      </c>
      <c r="Q870">
        <v>1.902974503118229</v>
      </c>
      <c r="R870">
        <v>0.34621613079652391</v>
      </c>
      <c r="S870">
        <v>0.25195034951533951</v>
      </c>
      <c r="T870">
        <v>0.19236383607876209</v>
      </c>
      <c r="U870">
        <v>4.3321867218543044</v>
      </c>
      <c r="V870">
        <v>0.21675861262002971</v>
      </c>
      <c r="W870">
        <v>8.5902570052326066</v>
      </c>
      <c r="X870">
        <v>0.48335180002954042</v>
      </c>
      <c r="Z870" t="s">
        <v>392</v>
      </c>
      <c r="AA870">
        <v>9400</v>
      </c>
      <c r="AB870" t="s">
        <v>3289</v>
      </c>
      <c r="AC870" t="str">
        <f>HYPERLINK("plots/3FT6Y578R01_012_S11P_20251111092011_M5358ACSH101811_RBGEUFRF26/dpll_52094/txpa_54226.png","plot")</f>
        <v>plot</v>
      </c>
    </row>
    <row r="871" spans="1:29" x14ac:dyDescent="0.35">
      <c r="A871" t="s">
        <v>48</v>
      </c>
      <c r="B871">
        <v>52094</v>
      </c>
      <c r="C871" t="s">
        <v>53</v>
      </c>
      <c r="D871">
        <v>54227</v>
      </c>
      <c r="E871" t="s">
        <v>247</v>
      </c>
      <c r="F871">
        <v>12223</v>
      </c>
      <c r="G871">
        <v>0.83997935708716087</v>
      </c>
      <c r="H871">
        <v>0</v>
      </c>
      <c r="I871">
        <v>0</v>
      </c>
      <c r="J871">
        <v>0.73166757043097819</v>
      </c>
      <c r="K871">
        <v>0</v>
      </c>
      <c r="L871">
        <v>0</v>
      </c>
      <c r="M871">
        <v>0.53891569764958858</v>
      </c>
      <c r="N871">
        <v>0</v>
      </c>
      <c r="O871">
        <v>0</v>
      </c>
      <c r="P871">
        <v>0.70556532033256014</v>
      </c>
      <c r="Q871">
        <v>1.9331602927739959</v>
      </c>
      <c r="R871">
        <v>0.65280180443839519</v>
      </c>
      <c r="S871">
        <v>0.27037934237817629</v>
      </c>
      <c r="T871">
        <v>0.20210719040429179</v>
      </c>
      <c r="U871">
        <v>4.3324895039679294</v>
      </c>
      <c r="V871">
        <v>0.21651976141875709</v>
      </c>
      <c r="W871">
        <v>9.0281984823693033</v>
      </c>
      <c r="X871">
        <v>0.4983067760464111</v>
      </c>
      <c r="Z871" t="s">
        <v>392</v>
      </c>
      <c r="AA871">
        <v>9400</v>
      </c>
      <c r="AB871" t="s">
        <v>3290</v>
      </c>
      <c r="AC871" t="str">
        <f>HYPERLINK("plots/3FT6Y578R01_012_S11P_20251111092011_M5358ACSH101811_RBGEUFRF26/dpll_52094/txpa_54227.png","plot")</f>
        <v>plot</v>
      </c>
    </row>
    <row r="872" spans="1:29" x14ac:dyDescent="0.35">
      <c r="A872" t="s">
        <v>48</v>
      </c>
      <c r="B872">
        <v>52094</v>
      </c>
      <c r="C872" t="s">
        <v>53</v>
      </c>
      <c r="D872">
        <v>54228</v>
      </c>
      <c r="E872" t="s">
        <v>248</v>
      </c>
      <c r="F872">
        <v>12232</v>
      </c>
      <c r="G872">
        <v>0.85013462356345193</v>
      </c>
      <c r="H872">
        <v>0</v>
      </c>
      <c r="I872">
        <v>0</v>
      </c>
      <c r="J872">
        <v>0.73987681844239139</v>
      </c>
      <c r="K872">
        <v>0</v>
      </c>
      <c r="L872">
        <v>0</v>
      </c>
      <c r="M872">
        <v>0.54815374558245489</v>
      </c>
      <c r="N872">
        <v>0</v>
      </c>
      <c r="O872">
        <v>0</v>
      </c>
      <c r="P872">
        <v>0.7227288781813721</v>
      </c>
      <c r="Q872">
        <v>1.964335558916402</v>
      </c>
      <c r="R872">
        <v>0.5513360371459779</v>
      </c>
      <c r="S872">
        <v>0.26367616961851831</v>
      </c>
      <c r="T872">
        <v>0.19961784701997429</v>
      </c>
      <c r="U872">
        <v>4.3321660865761942</v>
      </c>
      <c r="V872">
        <v>0.21672466492444131</v>
      </c>
      <c r="W872">
        <v>9.0611639281393064</v>
      </c>
      <c r="X872">
        <v>0.5007677066731625</v>
      </c>
      <c r="Z872" t="s">
        <v>392</v>
      </c>
      <c r="AA872">
        <v>9400</v>
      </c>
      <c r="AB872" t="s">
        <v>3291</v>
      </c>
      <c r="AC872" t="str">
        <f>HYPERLINK("plots/3FT6Y578R01_012_S11P_20251111092011_M5358ACSH101811_RBGEUFRF26/dpll_52094/txpa_54228.png","plot")</f>
        <v>plot</v>
      </c>
    </row>
    <row r="873" spans="1:29" x14ac:dyDescent="0.35">
      <c r="A873" t="s">
        <v>48</v>
      </c>
      <c r="B873">
        <v>52094</v>
      </c>
      <c r="C873" t="s">
        <v>53</v>
      </c>
      <c r="D873">
        <v>54229</v>
      </c>
      <c r="E873" t="s">
        <v>249</v>
      </c>
      <c r="F873">
        <v>12231</v>
      </c>
      <c r="G873">
        <v>0.84987113581644436</v>
      </c>
      <c r="H873">
        <v>0</v>
      </c>
      <c r="I873">
        <v>0</v>
      </c>
      <c r="J873">
        <v>0.73707758455187433</v>
      </c>
      <c r="K873">
        <v>0</v>
      </c>
      <c r="L873">
        <v>0</v>
      </c>
      <c r="M873">
        <v>0.54521436262197809</v>
      </c>
      <c r="N873">
        <v>0</v>
      </c>
      <c r="O873">
        <v>0</v>
      </c>
      <c r="P873">
        <v>0.72228094749393323</v>
      </c>
      <c r="Q873">
        <v>1.9463501569083741</v>
      </c>
      <c r="R873">
        <v>0.63653847047396717</v>
      </c>
      <c r="S873">
        <v>0.26153626501015098</v>
      </c>
      <c r="T873">
        <v>0.19767281314735749</v>
      </c>
      <c r="U873">
        <v>4.3322124842613032</v>
      </c>
      <c r="V873">
        <v>0.2167099937056037</v>
      </c>
      <c r="W873">
        <v>9.068540918976371</v>
      </c>
      <c r="X873">
        <v>0.49630292461610792</v>
      </c>
      <c r="Z873" t="s">
        <v>392</v>
      </c>
      <c r="AA873">
        <v>9400</v>
      </c>
      <c r="AB873" t="s">
        <v>3292</v>
      </c>
      <c r="AC873" t="str">
        <f>HYPERLINK("plots/3FT6Y578R01_012_S11P_20251111092011_M5358ACSH101811_RBGEUFRF26/dpll_52094/txpa_54229.png","plot")</f>
        <v>plot</v>
      </c>
    </row>
    <row r="874" spans="1:29" x14ac:dyDescent="0.35">
      <c r="A874" t="s">
        <v>48</v>
      </c>
      <c r="B874">
        <v>52094</v>
      </c>
      <c r="C874" t="s">
        <v>53</v>
      </c>
      <c r="D874">
        <v>54230</v>
      </c>
      <c r="E874" t="s">
        <v>250</v>
      </c>
      <c r="F874">
        <v>12238</v>
      </c>
      <c r="G874">
        <v>0.85605096907830314</v>
      </c>
      <c r="H874">
        <v>0</v>
      </c>
      <c r="I874">
        <v>0</v>
      </c>
      <c r="J874">
        <v>0.74267009483692448</v>
      </c>
      <c r="K874">
        <v>0</v>
      </c>
      <c r="L874">
        <v>0</v>
      </c>
      <c r="M874">
        <v>0.55099952276058117</v>
      </c>
      <c r="N874">
        <v>0</v>
      </c>
      <c r="O874">
        <v>0</v>
      </c>
      <c r="P874">
        <v>0.73282326165990186</v>
      </c>
      <c r="Q874">
        <v>1.974398248500266</v>
      </c>
      <c r="R874">
        <v>0.53111277133680268</v>
      </c>
      <c r="S874">
        <v>0.25845288756289009</v>
      </c>
      <c r="T874">
        <v>0.19662333299747131</v>
      </c>
      <c r="U874">
        <v>4.3320288025004086</v>
      </c>
      <c r="V874">
        <v>0.2168026954561528</v>
      </c>
      <c r="W874">
        <v>9.0842628514463151</v>
      </c>
      <c r="X874">
        <v>0.50003431762905981</v>
      </c>
      <c r="Z874" t="s">
        <v>392</v>
      </c>
      <c r="AA874">
        <v>9400</v>
      </c>
      <c r="AB874" t="s">
        <v>3293</v>
      </c>
      <c r="AC874" t="str">
        <f>HYPERLINK("plots/3FT6Y578R01_012_S11P_20251111092011_M5358ACSH101811_RBGEUFRF26/dpll_52094/txpa_54230.png","plot")</f>
        <v>plot</v>
      </c>
    </row>
    <row r="875" spans="1:29" x14ac:dyDescent="0.35">
      <c r="A875" t="s">
        <v>48</v>
      </c>
      <c r="B875">
        <v>52094</v>
      </c>
      <c r="C875" t="s">
        <v>53</v>
      </c>
      <c r="D875">
        <v>54231</v>
      </c>
      <c r="E875" t="s">
        <v>251</v>
      </c>
      <c r="F875">
        <v>12235</v>
      </c>
      <c r="G875">
        <v>0.85676654540281294</v>
      </c>
      <c r="H875">
        <v>0</v>
      </c>
      <c r="I875">
        <v>0</v>
      </c>
      <c r="J875">
        <v>0.74089469315678924</v>
      </c>
      <c r="K875">
        <v>0</v>
      </c>
      <c r="L875">
        <v>0</v>
      </c>
      <c r="M875">
        <v>0.54893050604899873</v>
      </c>
      <c r="N875">
        <v>0</v>
      </c>
      <c r="O875">
        <v>0</v>
      </c>
      <c r="P875">
        <v>0.73404891332147038</v>
      </c>
      <c r="Q875">
        <v>1.9808772085430899</v>
      </c>
      <c r="R875">
        <v>0.47278453030349971</v>
      </c>
      <c r="S875">
        <v>0.25843086821662559</v>
      </c>
      <c r="T875">
        <v>0.19757454058721391</v>
      </c>
      <c r="U875">
        <v>4.33207151001226</v>
      </c>
      <c r="V875">
        <v>0.2167535383155243</v>
      </c>
      <c r="W875">
        <v>9.0540862502656321</v>
      </c>
      <c r="X875">
        <v>0.50114251802213738</v>
      </c>
      <c r="Z875" t="s">
        <v>392</v>
      </c>
      <c r="AA875">
        <v>9400</v>
      </c>
      <c r="AB875" t="s">
        <v>3294</v>
      </c>
      <c r="AC875" t="str">
        <f>HYPERLINK("plots/3FT6Y578R01_012_S11P_20251111092011_M5358ACSH101811_RBGEUFRF26/dpll_52094/txpa_54231.png","plot")</f>
        <v>plot</v>
      </c>
    </row>
    <row r="876" spans="1:29" x14ac:dyDescent="0.35">
      <c r="A876" t="s">
        <v>48</v>
      </c>
      <c r="B876">
        <v>52094</v>
      </c>
      <c r="C876" t="s">
        <v>53</v>
      </c>
      <c r="D876">
        <v>54232</v>
      </c>
      <c r="E876" t="s">
        <v>252</v>
      </c>
      <c r="F876">
        <v>12237</v>
      </c>
      <c r="G876">
        <v>0.85834731035675238</v>
      </c>
      <c r="H876">
        <v>0</v>
      </c>
      <c r="I876">
        <v>0</v>
      </c>
      <c r="J876">
        <v>0.7440675241381004</v>
      </c>
      <c r="K876">
        <v>0</v>
      </c>
      <c r="L876">
        <v>0</v>
      </c>
      <c r="M876">
        <v>0.5527704734572616</v>
      </c>
      <c r="N876">
        <v>0</v>
      </c>
      <c r="O876">
        <v>0</v>
      </c>
      <c r="P876">
        <v>0.73676010519667101</v>
      </c>
      <c r="Q876">
        <v>1.9862932725065909</v>
      </c>
      <c r="R876">
        <v>0.45890687123616303</v>
      </c>
      <c r="S876">
        <v>0.25737941033372369</v>
      </c>
      <c r="T876">
        <v>0.19697385323022321</v>
      </c>
      <c r="U876">
        <v>4.3320009329901126</v>
      </c>
      <c r="V876">
        <v>0.2167880665489364</v>
      </c>
      <c r="W876">
        <v>9.0635311809266987</v>
      </c>
      <c r="X876">
        <v>0.50166718407598032</v>
      </c>
      <c r="Z876" t="s">
        <v>392</v>
      </c>
      <c r="AA876">
        <v>9400</v>
      </c>
      <c r="AB876" t="s">
        <v>3295</v>
      </c>
      <c r="AC876" t="str">
        <f>HYPERLINK("plots/3FT6Y578R01_012_S11P_20251111092011_M5358ACSH101811_RBGEUFRF26/dpll_52094/txpa_54232.png","plot")</f>
        <v>plot</v>
      </c>
    </row>
    <row r="877" spans="1:29" x14ac:dyDescent="0.35">
      <c r="A877" t="s">
        <v>48</v>
      </c>
      <c r="B877">
        <v>52094</v>
      </c>
      <c r="C877" t="s">
        <v>53</v>
      </c>
      <c r="D877">
        <v>54233</v>
      </c>
      <c r="E877" t="s">
        <v>253</v>
      </c>
      <c r="F877">
        <v>12229</v>
      </c>
      <c r="G877">
        <v>0.85881258687734996</v>
      </c>
      <c r="H877">
        <v>0</v>
      </c>
      <c r="I877">
        <v>0</v>
      </c>
      <c r="J877">
        <v>0.7399610152716033</v>
      </c>
      <c r="K877">
        <v>0</v>
      </c>
      <c r="L877">
        <v>0</v>
      </c>
      <c r="M877">
        <v>0.54954586979066267</v>
      </c>
      <c r="N877">
        <v>0</v>
      </c>
      <c r="O877">
        <v>0</v>
      </c>
      <c r="P877">
        <v>0.73755905937896582</v>
      </c>
      <c r="Q877">
        <v>1.9785935124640339</v>
      </c>
      <c r="R877">
        <v>0.49866879692843652</v>
      </c>
      <c r="S877">
        <v>0.25578720108955361</v>
      </c>
      <c r="T877">
        <v>0.19599926803021159</v>
      </c>
      <c r="U877">
        <v>4.3322402573391123</v>
      </c>
      <c r="V877">
        <v>0.21673177835395729</v>
      </c>
      <c r="W877">
        <v>9.0704112645351209</v>
      </c>
      <c r="X877">
        <v>0.49932208394283201</v>
      </c>
      <c r="Z877" t="s">
        <v>392</v>
      </c>
      <c r="AA877">
        <v>9400</v>
      </c>
      <c r="AB877" t="s">
        <v>3296</v>
      </c>
      <c r="AC877" t="str">
        <f>HYPERLINK("plots/3FT6Y578R01_012_S11P_20251111092011_M5358ACSH101811_RBGEUFRF26/dpll_52094/txpa_54233.png","plot")</f>
        <v>plot</v>
      </c>
    </row>
    <row r="878" spans="1:29" x14ac:dyDescent="0.35">
      <c r="A878" t="s">
        <v>48</v>
      </c>
      <c r="B878">
        <v>52094</v>
      </c>
      <c r="C878" t="s">
        <v>53</v>
      </c>
      <c r="D878">
        <v>54234</v>
      </c>
      <c r="E878" t="s">
        <v>254</v>
      </c>
      <c r="F878">
        <v>12227</v>
      </c>
      <c r="G878">
        <v>0.85408657856815529</v>
      </c>
      <c r="H878">
        <v>0</v>
      </c>
      <c r="I878">
        <v>0</v>
      </c>
      <c r="J878">
        <v>0.73359672094949324</v>
      </c>
      <c r="K878">
        <v>0</v>
      </c>
      <c r="L878">
        <v>0</v>
      </c>
      <c r="M878">
        <v>0.54339652812848038</v>
      </c>
      <c r="N878">
        <v>0</v>
      </c>
      <c r="O878">
        <v>0</v>
      </c>
      <c r="P878">
        <v>0.72946388369025772</v>
      </c>
      <c r="Q878">
        <v>1.9572516543478391</v>
      </c>
      <c r="R878">
        <v>0.57688653866492068</v>
      </c>
      <c r="S878">
        <v>0.2582772237240355</v>
      </c>
      <c r="T878">
        <v>0.19719202591917781</v>
      </c>
      <c r="U878">
        <v>4.3323050307516153</v>
      </c>
      <c r="V878">
        <v>0.21669379356154339</v>
      </c>
      <c r="W878">
        <v>9.0562977272429865</v>
      </c>
      <c r="X878">
        <v>0.49658230977738682</v>
      </c>
      <c r="Z878" t="s">
        <v>392</v>
      </c>
      <c r="AA878">
        <v>9400</v>
      </c>
      <c r="AB878" t="s">
        <v>3297</v>
      </c>
      <c r="AC878" t="str">
        <f>HYPERLINK("plots/3FT6Y578R01_012_S11P_20251111092011_M5358ACSH101811_RBGEUFRF26/dpll_52094/txpa_54234.png","plot")</f>
        <v>plot</v>
      </c>
    </row>
    <row r="879" spans="1:29" x14ac:dyDescent="0.35">
      <c r="A879" t="s">
        <v>48</v>
      </c>
      <c r="B879">
        <v>52094</v>
      </c>
      <c r="C879" t="s">
        <v>53</v>
      </c>
      <c r="D879">
        <v>54235</v>
      </c>
      <c r="E879" t="s">
        <v>255</v>
      </c>
      <c r="F879">
        <v>12217</v>
      </c>
      <c r="G879">
        <v>0.84139891655521393</v>
      </c>
      <c r="H879">
        <v>0</v>
      </c>
      <c r="I879">
        <v>0</v>
      </c>
      <c r="J879">
        <v>0.7313901426622762</v>
      </c>
      <c r="K879">
        <v>0</v>
      </c>
      <c r="L879">
        <v>0</v>
      </c>
      <c r="M879">
        <v>0.53886485886334967</v>
      </c>
      <c r="N879">
        <v>0</v>
      </c>
      <c r="O879">
        <v>0</v>
      </c>
      <c r="P879">
        <v>0.7079521367802879</v>
      </c>
      <c r="Q879">
        <v>1.992081304136242</v>
      </c>
      <c r="R879">
        <v>0.84427338858878365</v>
      </c>
      <c r="S879">
        <v>0.27690971193520281</v>
      </c>
      <c r="T879">
        <v>0.20716313671021319</v>
      </c>
      <c r="U879">
        <v>4.3326531559302612</v>
      </c>
      <c r="V879">
        <v>0.21643317731069231</v>
      </c>
      <c r="W879">
        <v>9.4752707378243421</v>
      </c>
      <c r="X879">
        <v>0.51242339113131163</v>
      </c>
      <c r="Z879" t="s">
        <v>392</v>
      </c>
      <c r="AA879">
        <v>9400</v>
      </c>
      <c r="AB879" t="s">
        <v>3298</v>
      </c>
      <c r="AC879" t="str">
        <f>HYPERLINK("plots/3FT6Y578R01_012_S11P_20251111092011_M5358ACSH101811_RBGEUFRF26/dpll_52094/txpa_54235.png","plot")</f>
        <v>plot</v>
      </c>
    </row>
    <row r="880" spans="1:29" x14ac:dyDescent="0.35">
      <c r="A880" t="s">
        <v>48</v>
      </c>
      <c r="B880">
        <v>52094</v>
      </c>
      <c r="C880" t="s">
        <v>53</v>
      </c>
      <c r="D880">
        <v>54236</v>
      </c>
      <c r="E880" t="s">
        <v>256</v>
      </c>
      <c r="F880">
        <v>12231</v>
      </c>
      <c r="G880">
        <v>0.85074751772436252</v>
      </c>
      <c r="H880">
        <v>0</v>
      </c>
      <c r="I880">
        <v>0</v>
      </c>
      <c r="J880">
        <v>0.73969012127173961</v>
      </c>
      <c r="K880">
        <v>0</v>
      </c>
      <c r="L880">
        <v>0</v>
      </c>
      <c r="M880">
        <v>0.54810877401338154</v>
      </c>
      <c r="N880">
        <v>0</v>
      </c>
      <c r="O880">
        <v>0</v>
      </c>
      <c r="P880">
        <v>0.72377133891416456</v>
      </c>
      <c r="Q880">
        <v>2.0271172701222149</v>
      </c>
      <c r="R880">
        <v>0.72584246286720244</v>
      </c>
      <c r="S880">
        <v>0.27136915799437938</v>
      </c>
      <c r="T880">
        <v>0.205198215451531</v>
      </c>
      <c r="U880">
        <v>4.3321987671490474</v>
      </c>
      <c r="V880">
        <v>0.2167033821180657</v>
      </c>
      <c r="W880">
        <v>9.5077174013572066</v>
      </c>
      <c r="X880">
        <v>0.51634963280345392</v>
      </c>
      <c r="Z880" t="s">
        <v>392</v>
      </c>
      <c r="AA880">
        <v>9400</v>
      </c>
      <c r="AB880" t="s">
        <v>3299</v>
      </c>
      <c r="AC880" t="str">
        <f>HYPERLINK("plots/3FT6Y578R01_012_S11P_20251111092011_M5358ACSH101811_RBGEUFRF26/dpll_52094/txpa_54236.png","plot")</f>
        <v>plot</v>
      </c>
    </row>
    <row r="881" spans="1:29" x14ac:dyDescent="0.35">
      <c r="A881" t="s">
        <v>48</v>
      </c>
      <c r="B881">
        <v>52094</v>
      </c>
      <c r="C881" t="s">
        <v>53</v>
      </c>
      <c r="D881">
        <v>54237</v>
      </c>
      <c r="E881" t="s">
        <v>257</v>
      </c>
      <c r="F881">
        <v>12224</v>
      </c>
      <c r="G881">
        <v>0.85136764132563636</v>
      </c>
      <c r="H881">
        <v>0</v>
      </c>
      <c r="I881">
        <v>0</v>
      </c>
      <c r="J881">
        <v>0.73663254676937517</v>
      </c>
      <c r="K881">
        <v>0</v>
      </c>
      <c r="L881">
        <v>0</v>
      </c>
      <c r="M881">
        <v>0.54504635558217263</v>
      </c>
      <c r="N881">
        <v>0</v>
      </c>
      <c r="O881">
        <v>0</v>
      </c>
      <c r="P881">
        <v>0.72482686069637736</v>
      </c>
      <c r="Q881">
        <v>2.0053339102075092</v>
      </c>
      <c r="R881">
        <v>0.82844869698227264</v>
      </c>
      <c r="S881">
        <v>0.26765195437156419</v>
      </c>
      <c r="T881">
        <v>0.20259033874919791</v>
      </c>
      <c r="U881">
        <v>4.3323942239856024</v>
      </c>
      <c r="V881">
        <v>0.21662850678635431</v>
      </c>
      <c r="W881">
        <v>9.5163457467277475</v>
      </c>
      <c r="X881">
        <v>0.51025252721595671</v>
      </c>
      <c r="Z881" t="s">
        <v>392</v>
      </c>
      <c r="AA881">
        <v>9400</v>
      </c>
      <c r="AB881" t="s">
        <v>3300</v>
      </c>
      <c r="AC881" t="str">
        <f>HYPERLINK("plots/3FT6Y578R01_012_S11P_20251111092011_M5358ACSH101811_RBGEUFRF26/dpll_52094/txpa_54237.png","plot")</f>
        <v>plot</v>
      </c>
    </row>
    <row r="882" spans="1:29" x14ac:dyDescent="0.35">
      <c r="A882" t="s">
        <v>48</v>
      </c>
      <c r="B882">
        <v>52094</v>
      </c>
      <c r="C882" t="s">
        <v>53</v>
      </c>
      <c r="D882">
        <v>54238</v>
      </c>
      <c r="E882" t="s">
        <v>258</v>
      </c>
      <c r="F882">
        <v>12236</v>
      </c>
      <c r="G882">
        <v>0.85678085451135133</v>
      </c>
      <c r="H882">
        <v>0</v>
      </c>
      <c r="I882">
        <v>0</v>
      </c>
      <c r="J882">
        <v>0.74226165474891004</v>
      </c>
      <c r="K882">
        <v>0</v>
      </c>
      <c r="L882">
        <v>0</v>
      </c>
      <c r="M882">
        <v>0.55076670578248221</v>
      </c>
      <c r="N882">
        <v>0</v>
      </c>
      <c r="O882">
        <v>0</v>
      </c>
      <c r="P882">
        <v>0.73407343265720137</v>
      </c>
      <c r="Q882">
        <v>2.0373413905194049</v>
      </c>
      <c r="R882">
        <v>0.70471728902771957</v>
      </c>
      <c r="S882">
        <v>0.26580884088434747</v>
      </c>
      <c r="T882">
        <v>0.20207847462589351</v>
      </c>
      <c r="U882">
        <v>4.3320836323962073</v>
      </c>
      <c r="V882">
        <v>0.2167765249402793</v>
      </c>
      <c r="W882">
        <v>9.5306505805001631</v>
      </c>
      <c r="X882">
        <v>0.51547345441755765</v>
      </c>
      <c r="Z882" t="s">
        <v>392</v>
      </c>
      <c r="AA882">
        <v>9400</v>
      </c>
      <c r="AB882" t="s">
        <v>3301</v>
      </c>
      <c r="AC882" t="str">
        <f>HYPERLINK("plots/3FT6Y578R01_012_S11P_20251111092011_M5358ACSH101811_RBGEUFRF26/dpll_52094/txpa_54238.png","plot")</f>
        <v>plot</v>
      </c>
    </row>
    <row r="883" spans="1:29" x14ac:dyDescent="0.35">
      <c r="A883" t="s">
        <v>48</v>
      </c>
      <c r="B883">
        <v>52094</v>
      </c>
      <c r="C883" t="s">
        <v>53</v>
      </c>
      <c r="D883">
        <v>54239</v>
      </c>
      <c r="E883" t="s">
        <v>259</v>
      </c>
      <c r="F883">
        <v>12233</v>
      </c>
      <c r="G883">
        <v>0.85693586981245706</v>
      </c>
      <c r="H883">
        <v>0</v>
      </c>
      <c r="I883">
        <v>0</v>
      </c>
      <c r="J883">
        <v>0.7402056964161885</v>
      </c>
      <c r="K883">
        <v>0</v>
      </c>
      <c r="L883">
        <v>0</v>
      </c>
      <c r="M883">
        <v>0.5485703995377641</v>
      </c>
      <c r="N883">
        <v>0</v>
      </c>
      <c r="O883">
        <v>0</v>
      </c>
      <c r="P883">
        <v>0.73433908497123235</v>
      </c>
      <c r="Q883">
        <v>2.0426385186256968</v>
      </c>
      <c r="R883">
        <v>0.65125699153491645</v>
      </c>
      <c r="S883">
        <v>0.26624455593189578</v>
      </c>
      <c r="T883">
        <v>0.20311755660245931</v>
      </c>
      <c r="U883">
        <v>4.3321331731382324</v>
      </c>
      <c r="V883">
        <v>0.21671624171268991</v>
      </c>
      <c r="W883">
        <v>9.5002390788032365</v>
      </c>
      <c r="X883">
        <v>0.51657651234860491</v>
      </c>
      <c r="Z883" t="s">
        <v>392</v>
      </c>
      <c r="AA883">
        <v>9400</v>
      </c>
      <c r="AB883" t="s">
        <v>3302</v>
      </c>
      <c r="AC883" t="str">
        <f>HYPERLINK("plots/3FT6Y578R01_012_S11P_20251111092011_M5358ACSH101811_RBGEUFRF26/dpll_52094/txpa_54239.png","plot")</f>
        <v>plot</v>
      </c>
    </row>
    <row r="884" spans="1:29" x14ac:dyDescent="0.35">
      <c r="A884" t="s">
        <v>48</v>
      </c>
      <c r="B884">
        <v>52094</v>
      </c>
      <c r="C884" t="s">
        <v>53</v>
      </c>
      <c r="D884">
        <v>54240</v>
      </c>
      <c r="E884" t="s">
        <v>260</v>
      </c>
      <c r="F884">
        <v>12234</v>
      </c>
      <c r="G884">
        <v>0.85904852312894475</v>
      </c>
      <c r="H884">
        <v>0</v>
      </c>
      <c r="I884">
        <v>0</v>
      </c>
      <c r="J884">
        <v>0.74348098200929424</v>
      </c>
      <c r="K884">
        <v>0</v>
      </c>
      <c r="L884">
        <v>0</v>
      </c>
      <c r="M884">
        <v>0.55244096826342848</v>
      </c>
      <c r="N884">
        <v>0</v>
      </c>
      <c r="O884">
        <v>0</v>
      </c>
      <c r="P884">
        <v>0.73796436509002117</v>
      </c>
      <c r="Q884">
        <v>2.0484969832482398</v>
      </c>
      <c r="R884">
        <v>0.63599488426337558</v>
      </c>
      <c r="S884">
        <v>0.26455937301496468</v>
      </c>
      <c r="T884">
        <v>0.20242620157520591</v>
      </c>
      <c r="U884">
        <v>4.3320880747098256</v>
      </c>
      <c r="V884">
        <v>0.21674200752287079</v>
      </c>
      <c r="W884">
        <v>9.5102642364721284</v>
      </c>
      <c r="X884">
        <v>0.51684548264699559</v>
      </c>
      <c r="Z884" t="s">
        <v>392</v>
      </c>
      <c r="AA884">
        <v>9400</v>
      </c>
      <c r="AB884" t="s">
        <v>3303</v>
      </c>
      <c r="AC884" t="str">
        <f>HYPERLINK("plots/3FT6Y578R01_012_S11P_20251111092011_M5358ACSH101811_RBGEUFRF26/dpll_52094/txpa_54240.png","plot")</f>
        <v>plot</v>
      </c>
    </row>
    <row r="885" spans="1:29" x14ac:dyDescent="0.35">
      <c r="A885" t="s">
        <v>48</v>
      </c>
      <c r="B885">
        <v>52094</v>
      </c>
      <c r="C885" t="s">
        <v>53</v>
      </c>
      <c r="D885">
        <v>54241</v>
      </c>
      <c r="E885" t="s">
        <v>261</v>
      </c>
      <c r="F885">
        <v>12227</v>
      </c>
      <c r="G885">
        <v>0.85958197566870698</v>
      </c>
      <c r="H885">
        <v>0</v>
      </c>
      <c r="I885">
        <v>0</v>
      </c>
      <c r="J885">
        <v>0.73970578218791461</v>
      </c>
      <c r="K885">
        <v>0</v>
      </c>
      <c r="L885">
        <v>0</v>
      </c>
      <c r="M885">
        <v>0.54955781975148055</v>
      </c>
      <c r="N885">
        <v>0</v>
      </c>
      <c r="O885">
        <v>0</v>
      </c>
      <c r="P885">
        <v>0.7388811728945176</v>
      </c>
      <c r="Q885">
        <v>2.041694103433251</v>
      </c>
      <c r="R885">
        <v>0.67188746098079477</v>
      </c>
      <c r="S885">
        <v>0.26301734438288549</v>
      </c>
      <c r="T885">
        <v>0.20137515226757899</v>
      </c>
      <c r="U885">
        <v>4.332292903492271</v>
      </c>
      <c r="V885">
        <v>0.21671036396062601</v>
      </c>
      <c r="W885">
        <v>9.5171043363866854</v>
      </c>
      <c r="X885">
        <v>0.51473423684469188</v>
      </c>
      <c r="Z885" t="s">
        <v>392</v>
      </c>
      <c r="AA885">
        <v>9400</v>
      </c>
      <c r="AB885" t="s">
        <v>3304</v>
      </c>
      <c r="AC885" t="str">
        <f>HYPERLINK("plots/3FT6Y578R01_012_S11P_20251111092011_M5358ACSH101811_RBGEUFRF26/dpll_52094/txpa_54241.png","plot")</f>
        <v>plot</v>
      </c>
    </row>
    <row r="886" spans="1:29" x14ac:dyDescent="0.35">
      <c r="A886" t="s">
        <v>48</v>
      </c>
      <c r="B886">
        <v>52094</v>
      </c>
      <c r="C886" t="s">
        <v>53</v>
      </c>
      <c r="D886">
        <v>54242</v>
      </c>
      <c r="E886" t="s">
        <v>262</v>
      </c>
      <c r="F886">
        <v>12224</v>
      </c>
      <c r="G886">
        <v>0.85470825796054961</v>
      </c>
      <c r="H886">
        <v>0</v>
      </c>
      <c r="I886">
        <v>0</v>
      </c>
      <c r="J886">
        <v>0.73312237836848448</v>
      </c>
      <c r="K886">
        <v>0</v>
      </c>
      <c r="L886">
        <v>0</v>
      </c>
      <c r="M886">
        <v>0.54310630042141039</v>
      </c>
      <c r="N886">
        <v>0</v>
      </c>
      <c r="O886">
        <v>0</v>
      </c>
      <c r="P886">
        <v>0.73052620622595743</v>
      </c>
      <c r="Q886">
        <v>2.018685199634247</v>
      </c>
      <c r="R886">
        <v>0.75760760155836415</v>
      </c>
      <c r="S886">
        <v>0.26560054191759319</v>
      </c>
      <c r="T886">
        <v>0.20268083790697489</v>
      </c>
      <c r="U886">
        <v>4.3323970089168853</v>
      </c>
      <c r="V886">
        <v>0.21663955470873941</v>
      </c>
      <c r="W886">
        <v>9.50335332239856</v>
      </c>
      <c r="X886">
        <v>0.51166823143771645</v>
      </c>
      <c r="Z886" t="s">
        <v>392</v>
      </c>
      <c r="AA886">
        <v>9400</v>
      </c>
      <c r="AB886" t="s">
        <v>3305</v>
      </c>
      <c r="AC886" t="str">
        <f>HYPERLINK("plots/3FT6Y578R01_012_S11P_20251111092011_M5358ACSH101811_RBGEUFRF26/dpll_52094/txpa_54242.png","plot")</f>
        <v>plot</v>
      </c>
    </row>
    <row r="887" spans="1:29" x14ac:dyDescent="0.35">
      <c r="A887" t="s">
        <v>48</v>
      </c>
      <c r="B887">
        <v>52094</v>
      </c>
      <c r="C887" t="s">
        <v>53</v>
      </c>
      <c r="D887">
        <v>54243</v>
      </c>
      <c r="E887" t="s">
        <v>263</v>
      </c>
      <c r="F887">
        <v>12197</v>
      </c>
      <c r="G887">
        <v>0.84692123531060126</v>
      </c>
      <c r="H887">
        <v>0</v>
      </c>
      <c r="I887">
        <v>0</v>
      </c>
      <c r="J887">
        <v>0.72836020696345172</v>
      </c>
      <c r="K887">
        <v>0</v>
      </c>
      <c r="L887">
        <v>0</v>
      </c>
      <c r="M887">
        <v>0.53716193286905645</v>
      </c>
      <c r="N887">
        <v>0</v>
      </c>
      <c r="O887">
        <v>0</v>
      </c>
      <c r="P887">
        <v>0.71727557882003479</v>
      </c>
      <c r="Q887">
        <v>2.2713960399574882</v>
      </c>
      <c r="R887">
        <v>1.020783790562648</v>
      </c>
      <c r="S887">
        <v>0.30844815265082609</v>
      </c>
      <c r="T887">
        <v>0.23276573989305621</v>
      </c>
      <c r="U887">
        <v>4.3330843496761506</v>
      </c>
      <c r="V887">
        <v>0.2163059539400409</v>
      </c>
      <c r="W887">
        <v>10.862934423218819</v>
      </c>
      <c r="X887">
        <v>0.58012063780458889</v>
      </c>
      <c r="Z887" t="s">
        <v>392</v>
      </c>
      <c r="AA887">
        <v>9400</v>
      </c>
      <c r="AB887" t="s">
        <v>3306</v>
      </c>
      <c r="AC887" t="str">
        <f>HYPERLINK("plots/3FT6Y578R01_012_S11P_20251111092011_M5358ACSH101811_RBGEUFRF26/dpll_52094/txpa_54243.png","plot")</f>
        <v>plot</v>
      </c>
    </row>
    <row r="888" spans="1:29" x14ac:dyDescent="0.35">
      <c r="A888" t="s">
        <v>48</v>
      </c>
      <c r="B888">
        <v>52094</v>
      </c>
      <c r="C888" t="s">
        <v>53</v>
      </c>
      <c r="D888">
        <v>54244</v>
      </c>
      <c r="E888" t="s">
        <v>264</v>
      </c>
      <c r="F888">
        <v>12210</v>
      </c>
      <c r="G888">
        <v>0.85552102445939937</v>
      </c>
      <c r="H888">
        <v>0</v>
      </c>
      <c r="I888">
        <v>0</v>
      </c>
      <c r="J888">
        <v>0.73619661566173622</v>
      </c>
      <c r="K888">
        <v>0</v>
      </c>
      <c r="L888">
        <v>0</v>
      </c>
      <c r="M888">
        <v>0.54588411750629562</v>
      </c>
      <c r="N888">
        <v>0</v>
      </c>
      <c r="O888">
        <v>0</v>
      </c>
      <c r="P888">
        <v>0.73191622329206019</v>
      </c>
      <c r="Q888">
        <v>2.307988251048033</v>
      </c>
      <c r="R888">
        <v>0.89667046213109103</v>
      </c>
      <c r="S888">
        <v>0.30247754223086332</v>
      </c>
      <c r="T888">
        <v>0.23065415145876661</v>
      </c>
      <c r="U888">
        <v>4.332660201310401</v>
      </c>
      <c r="V888">
        <v>0.21655725966448541</v>
      </c>
      <c r="W888">
        <v>10.896399302538899</v>
      </c>
      <c r="X888">
        <v>0.58421896913710536</v>
      </c>
      <c r="Z888" t="s">
        <v>392</v>
      </c>
      <c r="AA888">
        <v>9400</v>
      </c>
      <c r="AB888" t="s">
        <v>3307</v>
      </c>
      <c r="AC888" t="str">
        <f>HYPERLINK("plots/3FT6Y578R01_012_S11P_20251111092011_M5358ACSH101811_RBGEUFRF26/dpll_52094/txpa_54244.png","plot")</f>
        <v>plot</v>
      </c>
    </row>
    <row r="889" spans="1:29" x14ac:dyDescent="0.35">
      <c r="A889" t="s">
        <v>48</v>
      </c>
      <c r="B889">
        <v>52094</v>
      </c>
      <c r="C889" t="s">
        <v>53</v>
      </c>
      <c r="D889">
        <v>54245</v>
      </c>
      <c r="E889" t="s">
        <v>265</v>
      </c>
      <c r="F889">
        <v>12203</v>
      </c>
      <c r="G889">
        <v>0.85590911789860646</v>
      </c>
      <c r="H889">
        <v>0</v>
      </c>
      <c r="I889">
        <v>0</v>
      </c>
      <c r="J889">
        <v>0.73351558500238057</v>
      </c>
      <c r="K889">
        <v>0</v>
      </c>
      <c r="L889">
        <v>0</v>
      </c>
      <c r="M889">
        <v>0.5432604534956017</v>
      </c>
      <c r="N889">
        <v>0</v>
      </c>
      <c r="O889">
        <v>0</v>
      </c>
      <c r="P889">
        <v>0.73258041810197061</v>
      </c>
      <c r="Q889">
        <v>2.285533004613435</v>
      </c>
      <c r="R889">
        <v>1.001949591348366</v>
      </c>
      <c r="S889">
        <v>0.29882905480280308</v>
      </c>
      <c r="T889">
        <v>0.2278862151826046</v>
      </c>
      <c r="U889">
        <v>4.3329111413586823</v>
      </c>
      <c r="V889">
        <v>0.2164134106115109</v>
      </c>
      <c r="W889">
        <v>10.904961010980911</v>
      </c>
      <c r="X889">
        <v>0.57788844896049107</v>
      </c>
      <c r="Z889" t="s">
        <v>392</v>
      </c>
      <c r="AA889">
        <v>9400</v>
      </c>
      <c r="AB889" t="s">
        <v>3308</v>
      </c>
      <c r="AC889" t="str">
        <f>HYPERLINK("plots/3FT6Y578R01_012_S11P_20251111092011_M5358ACSH101811_RBGEUFRF26/dpll_52094/txpa_54245.png","plot")</f>
        <v>plot</v>
      </c>
    </row>
    <row r="890" spans="1:29" x14ac:dyDescent="0.35">
      <c r="A890" t="s">
        <v>48</v>
      </c>
      <c r="B890">
        <v>52094</v>
      </c>
      <c r="C890" t="s">
        <v>53</v>
      </c>
      <c r="D890">
        <v>54246</v>
      </c>
      <c r="E890" t="s">
        <v>266</v>
      </c>
      <c r="F890">
        <v>12218</v>
      </c>
      <c r="G890">
        <v>0.86042212463786583</v>
      </c>
      <c r="H890">
        <v>0</v>
      </c>
      <c r="I890">
        <v>0</v>
      </c>
      <c r="J890">
        <v>0.7384464553801493</v>
      </c>
      <c r="K890">
        <v>0</v>
      </c>
      <c r="L890">
        <v>0</v>
      </c>
      <c r="M890">
        <v>0.548328240589813</v>
      </c>
      <c r="N890">
        <v>0</v>
      </c>
      <c r="O890">
        <v>0</v>
      </c>
      <c r="P890">
        <v>0.74032623256633912</v>
      </c>
      <c r="Q890">
        <v>2.323384575842236</v>
      </c>
      <c r="R890">
        <v>0.850404913729923</v>
      </c>
      <c r="S890">
        <v>0.29805393281111342</v>
      </c>
      <c r="T890">
        <v>0.22795045050791049</v>
      </c>
      <c r="U890">
        <v>4.3325084689801932</v>
      </c>
      <c r="V890">
        <v>0.21661526483009119</v>
      </c>
      <c r="W890">
        <v>10.916488265264359</v>
      </c>
      <c r="X890">
        <v>0.58492285447684833</v>
      </c>
      <c r="Z890" t="s">
        <v>392</v>
      </c>
      <c r="AA890">
        <v>9400</v>
      </c>
      <c r="AB890" t="s">
        <v>3309</v>
      </c>
      <c r="AC890" t="str">
        <f>HYPERLINK("plots/3FT6Y578R01_012_S11P_20251111092011_M5358ACSH101811_RBGEUFRF26/dpll_52094/txpa_54246.png","plot")</f>
        <v>plot</v>
      </c>
    </row>
    <row r="891" spans="1:29" x14ac:dyDescent="0.35">
      <c r="A891" t="s">
        <v>48</v>
      </c>
      <c r="B891">
        <v>52094</v>
      </c>
      <c r="C891" t="s">
        <v>53</v>
      </c>
      <c r="D891">
        <v>54247</v>
      </c>
      <c r="E891" t="s">
        <v>267</v>
      </c>
      <c r="F891">
        <v>12214</v>
      </c>
      <c r="G891">
        <v>0.85968988789873391</v>
      </c>
      <c r="H891">
        <v>0</v>
      </c>
      <c r="I891">
        <v>0</v>
      </c>
      <c r="J891">
        <v>0.73642937570924316</v>
      </c>
      <c r="K891">
        <v>0</v>
      </c>
      <c r="L891">
        <v>0</v>
      </c>
      <c r="M891">
        <v>0.54618353447223367</v>
      </c>
      <c r="N891">
        <v>0</v>
      </c>
      <c r="O891">
        <v>0</v>
      </c>
      <c r="P891">
        <v>0.73906670335533764</v>
      </c>
      <c r="Q891">
        <v>2.324940437573809</v>
      </c>
      <c r="R891">
        <v>0.81218015604052951</v>
      </c>
      <c r="S891">
        <v>0.29898211320763329</v>
      </c>
      <c r="T891">
        <v>0.22912327644508121</v>
      </c>
      <c r="U891">
        <v>4.3326775819551333</v>
      </c>
      <c r="V891">
        <v>0.2164353640686793</v>
      </c>
      <c r="W891">
        <v>10.88539746929753</v>
      </c>
      <c r="X891">
        <v>0.58532656615772083</v>
      </c>
      <c r="Z891" t="s">
        <v>392</v>
      </c>
      <c r="AA891">
        <v>9400</v>
      </c>
      <c r="AB891" t="s">
        <v>3310</v>
      </c>
      <c r="AC891" t="str">
        <f>HYPERLINK("plots/3FT6Y578R01_012_S11P_20251111092011_M5358ACSH101811_RBGEUFRF26/dpll_52094/txpa_54247.png","plot")</f>
        <v>plot</v>
      </c>
    </row>
    <row r="892" spans="1:29" x14ac:dyDescent="0.35">
      <c r="A892" t="s">
        <v>48</v>
      </c>
      <c r="B892">
        <v>52094</v>
      </c>
      <c r="C892" t="s">
        <v>53</v>
      </c>
      <c r="D892">
        <v>54248</v>
      </c>
      <c r="E892" t="s">
        <v>268</v>
      </c>
      <c r="F892">
        <v>12223</v>
      </c>
      <c r="G892">
        <v>0.86120832590889784</v>
      </c>
      <c r="H892">
        <v>0</v>
      </c>
      <c r="I892">
        <v>0</v>
      </c>
      <c r="J892">
        <v>0.74004566255380333</v>
      </c>
      <c r="K892">
        <v>0</v>
      </c>
      <c r="L892">
        <v>0</v>
      </c>
      <c r="M892">
        <v>0.55027125939293819</v>
      </c>
      <c r="N892">
        <v>0</v>
      </c>
      <c r="O892">
        <v>0</v>
      </c>
      <c r="P892">
        <v>0.74167978061480644</v>
      </c>
      <c r="Q892">
        <v>2.3370155431295569</v>
      </c>
      <c r="R892">
        <v>0.77232250805860403</v>
      </c>
      <c r="S892">
        <v>0.2987631401371359</v>
      </c>
      <c r="T892">
        <v>0.2289930163054274</v>
      </c>
      <c r="U892">
        <v>4.3323680425427469</v>
      </c>
      <c r="V892">
        <v>0.21662680787112951</v>
      </c>
      <c r="W892">
        <v>10.897133962038779</v>
      </c>
      <c r="X892">
        <v>0.5878487258226115</v>
      </c>
      <c r="Z892" t="s">
        <v>392</v>
      </c>
      <c r="AA892">
        <v>9400</v>
      </c>
      <c r="AB892" t="s">
        <v>3311</v>
      </c>
      <c r="AC892" t="str">
        <f>HYPERLINK("plots/3FT6Y578R01_012_S11P_20251111092011_M5358ACSH101811_RBGEUFRF26/dpll_52094/txpa_54248.png","plot")</f>
        <v>plot</v>
      </c>
    </row>
    <row r="893" spans="1:29" x14ac:dyDescent="0.35">
      <c r="A893" t="s">
        <v>48</v>
      </c>
      <c r="B893">
        <v>52094</v>
      </c>
      <c r="C893" t="s">
        <v>53</v>
      </c>
      <c r="D893">
        <v>54249</v>
      </c>
      <c r="E893" t="s">
        <v>269</v>
      </c>
      <c r="F893">
        <v>12209</v>
      </c>
      <c r="G893">
        <v>0.86226602675685005</v>
      </c>
      <c r="H893">
        <v>0</v>
      </c>
      <c r="I893">
        <v>0</v>
      </c>
      <c r="J893">
        <v>0.73630925379770562</v>
      </c>
      <c r="K893">
        <v>0</v>
      </c>
      <c r="L893">
        <v>0</v>
      </c>
      <c r="M893">
        <v>0.54754620326983938</v>
      </c>
      <c r="N893">
        <v>0</v>
      </c>
      <c r="O893">
        <v>0</v>
      </c>
      <c r="P893">
        <v>0.7435027008990448</v>
      </c>
      <c r="Q893">
        <v>2.3257584497082768</v>
      </c>
      <c r="R893">
        <v>0.82898136851157389</v>
      </c>
      <c r="S893">
        <v>0.29571600192122399</v>
      </c>
      <c r="T893">
        <v>0.22734313182339189</v>
      </c>
      <c r="U893">
        <v>4.3327706571381768</v>
      </c>
      <c r="V893">
        <v>0.2164850359429448</v>
      </c>
      <c r="W893">
        <v>10.905959334998769</v>
      </c>
      <c r="X893">
        <v>0.583917127610182</v>
      </c>
      <c r="Z893" t="s">
        <v>392</v>
      </c>
      <c r="AA893">
        <v>9400</v>
      </c>
      <c r="AB893" t="s">
        <v>3312</v>
      </c>
      <c r="AC893" t="str">
        <f>HYPERLINK("plots/3FT6Y578R01_012_S11P_20251111092011_M5358ACSH101811_RBGEUFRF26/dpll_52094/txpa_54249.png","plot")</f>
        <v>plot</v>
      </c>
    </row>
    <row r="894" spans="1:29" x14ac:dyDescent="0.35">
      <c r="A894" t="s">
        <v>48</v>
      </c>
      <c r="B894">
        <v>52094</v>
      </c>
      <c r="C894" t="s">
        <v>53</v>
      </c>
      <c r="D894">
        <v>54250</v>
      </c>
      <c r="E894" t="s">
        <v>270</v>
      </c>
      <c r="F894">
        <v>12203</v>
      </c>
      <c r="G894">
        <v>0.85722109095958321</v>
      </c>
      <c r="H894">
        <v>0</v>
      </c>
      <c r="I894">
        <v>0</v>
      </c>
      <c r="J894">
        <v>0.72894049463109778</v>
      </c>
      <c r="K894">
        <v>0</v>
      </c>
      <c r="L894">
        <v>0</v>
      </c>
      <c r="M894">
        <v>0.54021627394854665</v>
      </c>
      <c r="N894">
        <v>0</v>
      </c>
      <c r="O894">
        <v>0</v>
      </c>
      <c r="P894">
        <v>0.73482799878593807</v>
      </c>
      <c r="Q894">
        <v>2.2997454158205932</v>
      </c>
      <c r="R894">
        <v>0.92815290847121723</v>
      </c>
      <c r="S894">
        <v>0.29890186198069552</v>
      </c>
      <c r="T894">
        <v>0.22911653136792681</v>
      </c>
      <c r="U894">
        <v>4.3329609849217414</v>
      </c>
      <c r="V894">
        <v>0.21636931425175809</v>
      </c>
      <c r="W894">
        <v>10.89286007047447</v>
      </c>
      <c r="X894">
        <v>0.58047374688099795</v>
      </c>
      <c r="Z894" t="s">
        <v>392</v>
      </c>
      <c r="AA894">
        <v>9400</v>
      </c>
      <c r="AB894" t="s">
        <v>3313</v>
      </c>
      <c r="AC894" t="str">
        <f>HYPERLINK("plots/3FT6Y578R01_012_S11P_20251111092011_M5358ACSH101811_RBGEUFRF26/dpll_52094/txpa_54250.png","plot")</f>
        <v>plot</v>
      </c>
    </row>
    <row r="895" spans="1:29" x14ac:dyDescent="0.35">
      <c r="A895" t="s">
        <v>48</v>
      </c>
      <c r="B895">
        <v>52094</v>
      </c>
      <c r="C895" t="s">
        <v>53</v>
      </c>
      <c r="D895">
        <v>54251</v>
      </c>
      <c r="E895" t="s">
        <v>271</v>
      </c>
      <c r="F895">
        <v>12194</v>
      </c>
      <c r="G895">
        <v>0.84819539278434319</v>
      </c>
      <c r="H895">
        <v>0</v>
      </c>
      <c r="I895">
        <v>0</v>
      </c>
      <c r="J895">
        <v>0.72678498165507399</v>
      </c>
      <c r="K895">
        <v>0</v>
      </c>
      <c r="L895">
        <v>0</v>
      </c>
      <c r="M895">
        <v>0.53620399478849512</v>
      </c>
      <c r="N895">
        <v>0</v>
      </c>
      <c r="O895">
        <v>0</v>
      </c>
      <c r="P895">
        <v>0.71943542434058627</v>
      </c>
      <c r="Q895">
        <v>2.4168479521573691</v>
      </c>
      <c r="R895">
        <v>0.84289737140374932</v>
      </c>
      <c r="S895">
        <v>0.32640061417295718</v>
      </c>
      <c r="T895">
        <v>0.2470115769176385</v>
      </c>
      <c r="U895">
        <v>4.3331614340659348</v>
      </c>
      <c r="V895">
        <v>0.2162713234599761</v>
      </c>
      <c r="W895">
        <v>11.31548970969329</v>
      </c>
      <c r="X895">
        <v>0.61624350905606051</v>
      </c>
      <c r="Z895" t="s">
        <v>392</v>
      </c>
      <c r="AA895">
        <v>9400</v>
      </c>
      <c r="AB895" t="s">
        <v>3314</v>
      </c>
      <c r="AC895" t="str">
        <f>HYPERLINK("plots/3FT6Y578R01_012_S11P_20251111092011_M5358ACSH101811_RBGEUFRF26/dpll_52094/txpa_54251.png","plot")</f>
        <v>plot</v>
      </c>
    </row>
    <row r="896" spans="1:29" x14ac:dyDescent="0.35">
      <c r="A896" t="s">
        <v>48</v>
      </c>
      <c r="B896">
        <v>52094</v>
      </c>
      <c r="C896" t="s">
        <v>53</v>
      </c>
      <c r="D896">
        <v>54252</v>
      </c>
      <c r="E896" t="s">
        <v>272</v>
      </c>
      <c r="F896">
        <v>12207</v>
      </c>
      <c r="G896">
        <v>0.85620404076368417</v>
      </c>
      <c r="H896">
        <v>0</v>
      </c>
      <c r="I896">
        <v>0</v>
      </c>
      <c r="J896">
        <v>0.7344525228790455</v>
      </c>
      <c r="K896">
        <v>0</v>
      </c>
      <c r="L896">
        <v>0</v>
      </c>
      <c r="M896">
        <v>0.54467451794935784</v>
      </c>
      <c r="N896">
        <v>0</v>
      </c>
      <c r="O896">
        <v>0</v>
      </c>
      <c r="P896">
        <v>0.73308535942006059</v>
      </c>
      <c r="Q896">
        <v>2.4535619976544889</v>
      </c>
      <c r="R896">
        <v>0.71899769873504127</v>
      </c>
      <c r="S896">
        <v>0.32050432980116078</v>
      </c>
      <c r="T896">
        <v>0.24483082205337511</v>
      </c>
      <c r="U896">
        <v>4.3327577598099456</v>
      </c>
      <c r="V896">
        <v>0.21649393243810061</v>
      </c>
      <c r="W896">
        <v>11.349687483247321</v>
      </c>
      <c r="X896">
        <v>0.62039100502155919</v>
      </c>
      <c r="Z896" t="s">
        <v>392</v>
      </c>
      <c r="AA896">
        <v>9400</v>
      </c>
      <c r="AB896" t="s">
        <v>3315</v>
      </c>
      <c r="AC896" t="str">
        <f>HYPERLINK("plots/3FT6Y578R01_012_S11P_20251111092011_M5358ACSH101811_RBGEUFRF26/dpll_52094/txpa_54252.png","plot")</f>
        <v>plot</v>
      </c>
    </row>
    <row r="897" spans="1:29" x14ac:dyDescent="0.35">
      <c r="A897" t="s">
        <v>48</v>
      </c>
      <c r="B897">
        <v>52094</v>
      </c>
      <c r="C897" t="s">
        <v>53</v>
      </c>
      <c r="D897">
        <v>54253</v>
      </c>
      <c r="E897" t="s">
        <v>273</v>
      </c>
      <c r="F897">
        <v>12196</v>
      </c>
      <c r="G897">
        <v>0.85721101760037044</v>
      </c>
      <c r="H897">
        <v>0</v>
      </c>
      <c r="I897">
        <v>0</v>
      </c>
      <c r="J897">
        <v>0.73180245274722644</v>
      </c>
      <c r="K897">
        <v>0</v>
      </c>
      <c r="L897">
        <v>0</v>
      </c>
      <c r="M897">
        <v>0.54220462958490323</v>
      </c>
      <c r="N897">
        <v>0</v>
      </c>
      <c r="O897">
        <v>0</v>
      </c>
      <c r="P897">
        <v>0.7348107286954626</v>
      </c>
      <c r="Q897">
        <v>2.428353690750499</v>
      </c>
      <c r="R897">
        <v>0.83632987625984434</v>
      </c>
      <c r="S897">
        <v>0.31557347050732398</v>
      </c>
      <c r="T897">
        <v>0.24159140862759759</v>
      </c>
      <c r="U897">
        <v>4.3330969701541493</v>
      </c>
      <c r="V897">
        <v>0.21632968538878969</v>
      </c>
      <c r="W897">
        <v>11.35862189611348</v>
      </c>
      <c r="X897">
        <v>0.61283042231926499</v>
      </c>
      <c r="Z897" t="s">
        <v>392</v>
      </c>
      <c r="AA897">
        <v>9400</v>
      </c>
      <c r="AB897" t="s">
        <v>3316</v>
      </c>
      <c r="AC897" t="str">
        <f>HYPERLINK("plots/3FT6Y578R01_012_S11P_20251111092011_M5358ACSH101811_RBGEUFRF26/dpll_52094/txpa_54253.png","plot")</f>
        <v>plot</v>
      </c>
    </row>
    <row r="898" spans="1:29" x14ac:dyDescent="0.35">
      <c r="A898" t="s">
        <v>48</v>
      </c>
      <c r="B898">
        <v>52094</v>
      </c>
      <c r="C898" t="s">
        <v>53</v>
      </c>
      <c r="D898">
        <v>54254</v>
      </c>
      <c r="E898" t="s">
        <v>274</v>
      </c>
      <c r="F898">
        <v>12211</v>
      </c>
      <c r="G898">
        <v>0.86154542538576373</v>
      </c>
      <c r="H898">
        <v>0</v>
      </c>
      <c r="I898">
        <v>0</v>
      </c>
      <c r="J898">
        <v>0.73631038015300976</v>
      </c>
      <c r="K898">
        <v>0</v>
      </c>
      <c r="L898">
        <v>0</v>
      </c>
      <c r="M898">
        <v>0.54689792360999967</v>
      </c>
      <c r="N898">
        <v>0</v>
      </c>
      <c r="O898">
        <v>0</v>
      </c>
      <c r="P898">
        <v>0.74226052000313658</v>
      </c>
      <c r="Q898">
        <v>2.468262798080922</v>
      </c>
      <c r="R898">
        <v>0.67453496487375908</v>
      </c>
      <c r="S898">
        <v>0.31494626072214371</v>
      </c>
      <c r="T898">
        <v>0.2417629697187047</v>
      </c>
      <c r="U898">
        <v>4.3326818640569984</v>
      </c>
      <c r="V898">
        <v>0.21654619117769339</v>
      </c>
      <c r="W898">
        <v>11.36873242584555</v>
      </c>
      <c r="X898">
        <v>0.62038853901487112</v>
      </c>
      <c r="Z898" t="s">
        <v>392</v>
      </c>
      <c r="AA898">
        <v>9400</v>
      </c>
      <c r="AB898" t="s">
        <v>3317</v>
      </c>
      <c r="AC898" t="str">
        <f>HYPERLINK("plots/3FT6Y578R01_012_S11P_20251111092011_M5358ACSH101811_RBGEUFRF26/dpll_52094/txpa_54254.png","plot")</f>
        <v>plot</v>
      </c>
    </row>
    <row r="899" spans="1:29" x14ac:dyDescent="0.35">
      <c r="A899" t="s">
        <v>48</v>
      </c>
      <c r="B899">
        <v>52094</v>
      </c>
      <c r="C899" t="s">
        <v>53</v>
      </c>
      <c r="D899">
        <v>54255</v>
      </c>
      <c r="E899" t="s">
        <v>275</v>
      </c>
      <c r="F899">
        <v>12211</v>
      </c>
      <c r="G899">
        <v>0.86043819637670449</v>
      </c>
      <c r="H899">
        <v>0</v>
      </c>
      <c r="I899">
        <v>0</v>
      </c>
      <c r="J899">
        <v>0.73472601065108722</v>
      </c>
      <c r="K899">
        <v>0</v>
      </c>
      <c r="L899">
        <v>0</v>
      </c>
      <c r="M899">
        <v>0.54506914990861421</v>
      </c>
      <c r="N899">
        <v>0</v>
      </c>
      <c r="O899">
        <v>0</v>
      </c>
      <c r="P899">
        <v>0.7403538897839963</v>
      </c>
      <c r="Q899">
        <v>2.472474647930873</v>
      </c>
      <c r="R899">
        <v>0.6238334638181442</v>
      </c>
      <c r="S899">
        <v>0.31684390701647758</v>
      </c>
      <c r="T899">
        <v>0.24343675089280661</v>
      </c>
      <c r="U899">
        <v>4.3327551904020956</v>
      </c>
      <c r="V899">
        <v>0.2164014006043371</v>
      </c>
      <c r="W899">
        <v>11.336460827778231</v>
      </c>
      <c r="X899">
        <v>0.62183080554075021</v>
      </c>
      <c r="Z899" t="s">
        <v>392</v>
      </c>
      <c r="AA899">
        <v>9400</v>
      </c>
      <c r="AB899" t="s">
        <v>3318</v>
      </c>
      <c r="AC899" t="str">
        <f>HYPERLINK("plots/3FT6Y578R01_012_S11P_20251111092011_M5358ACSH101811_RBGEUFRF26/dpll_52094/txpa_54255.png","plot")</f>
        <v>plot</v>
      </c>
    </row>
    <row r="900" spans="1:29" x14ac:dyDescent="0.35">
      <c r="A900" t="s">
        <v>48</v>
      </c>
      <c r="B900">
        <v>52094</v>
      </c>
      <c r="C900" t="s">
        <v>53</v>
      </c>
      <c r="D900">
        <v>54256</v>
      </c>
      <c r="E900" t="s">
        <v>276</v>
      </c>
      <c r="F900">
        <v>12219</v>
      </c>
      <c r="G900">
        <v>0.86152789330027846</v>
      </c>
      <c r="H900">
        <v>0</v>
      </c>
      <c r="I900">
        <v>0</v>
      </c>
      <c r="J900">
        <v>0.73805108661763941</v>
      </c>
      <c r="K900">
        <v>0</v>
      </c>
      <c r="L900">
        <v>0</v>
      </c>
      <c r="M900">
        <v>0.54890974934500136</v>
      </c>
      <c r="N900">
        <v>0</v>
      </c>
      <c r="O900">
        <v>0</v>
      </c>
      <c r="P900">
        <v>0.74223031093441594</v>
      </c>
      <c r="Q900">
        <v>2.483302148648205</v>
      </c>
      <c r="R900">
        <v>0.5902252166482107</v>
      </c>
      <c r="S900">
        <v>0.31688662525832378</v>
      </c>
      <c r="T900">
        <v>0.24329176619011461</v>
      </c>
      <c r="U900">
        <v>4.332497558556347</v>
      </c>
      <c r="V900">
        <v>0.21654369159294889</v>
      </c>
      <c r="W900">
        <v>11.349125712824289</v>
      </c>
      <c r="X900">
        <v>0.62417411994524685</v>
      </c>
      <c r="Z900" t="s">
        <v>392</v>
      </c>
      <c r="AA900">
        <v>9400</v>
      </c>
      <c r="AB900" t="s">
        <v>3319</v>
      </c>
      <c r="AC900" t="str">
        <f>HYPERLINK("plots/3FT6Y578R01_012_S11P_20251111092011_M5358ACSH101811_RBGEUFRF26/dpll_52094/txpa_54256.png","plot")</f>
        <v>plot</v>
      </c>
    </row>
    <row r="901" spans="1:29" x14ac:dyDescent="0.35">
      <c r="A901" t="s">
        <v>48</v>
      </c>
      <c r="B901">
        <v>52094</v>
      </c>
      <c r="C901" t="s">
        <v>53</v>
      </c>
      <c r="D901">
        <v>54257</v>
      </c>
      <c r="E901" t="s">
        <v>277</v>
      </c>
      <c r="F901">
        <v>12203</v>
      </c>
      <c r="G901">
        <v>0.86335394275279242</v>
      </c>
      <c r="H901">
        <v>0</v>
      </c>
      <c r="I901">
        <v>0</v>
      </c>
      <c r="J901">
        <v>0.73473956423078446</v>
      </c>
      <c r="K901">
        <v>0</v>
      </c>
      <c r="L901">
        <v>0</v>
      </c>
      <c r="M901">
        <v>0.54661566517185978</v>
      </c>
      <c r="N901">
        <v>0</v>
      </c>
      <c r="O901">
        <v>0</v>
      </c>
      <c r="P901">
        <v>0.74538003046679202</v>
      </c>
      <c r="Q901">
        <v>2.4715863661549631</v>
      </c>
      <c r="R901">
        <v>0.64948004309398044</v>
      </c>
      <c r="S901">
        <v>0.3126449554618177</v>
      </c>
      <c r="T901">
        <v>0.24137553701031059</v>
      </c>
      <c r="U901">
        <v>4.3329059446857334</v>
      </c>
      <c r="V901">
        <v>0.21643927768223911</v>
      </c>
      <c r="W901">
        <v>11.35863130181103</v>
      </c>
      <c r="X901">
        <v>0.61961652264443767</v>
      </c>
      <c r="Z901" t="s">
        <v>392</v>
      </c>
      <c r="AA901">
        <v>9400</v>
      </c>
      <c r="AB901" t="s">
        <v>3320</v>
      </c>
      <c r="AC901" t="str">
        <f>HYPERLINK("plots/3FT6Y578R01_012_S11P_20251111092011_M5358ACSH101811_RBGEUFRF26/dpll_52094/txpa_54257.png","plot")</f>
        <v>plot</v>
      </c>
    </row>
    <row r="902" spans="1:29" x14ac:dyDescent="0.35">
      <c r="A902" t="s">
        <v>48</v>
      </c>
      <c r="B902">
        <v>52094</v>
      </c>
      <c r="C902" t="s">
        <v>53</v>
      </c>
      <c r="D902">
        <v>54258</v>
      </c>
      <c r="E902" t="s">
        <v>278</v>
      </c>
      <c r="F902">
        <v>12198</v>
      </c>
      <c r="G902">
        <v>0.85775651504454264</v>
      </c>
      <c r="H902">
        <v>0</v>
      </c>
      <c r="I902">
        <v>0</v>
      </c>
      <c r="J902">
        <v>0.72678496119495184</v>
      </c>
      <c r="K902">
        <v>0</v>
      </c>
      <c r="L902">
        <v>0</v>
      </c>
      <c r="M902">
        <v>0.53868547303904313</v>
      </c>
      <c r="N902">
        <v>0</v>
      </c>
      <c r="O902">
        <v>0</v>
      </c>
      <c r="P902">
        <v>0.73574623910135872</v>
      </c>
      <c r="Q902">
        <v>2.445740070890484</v>
      </c>
      <c r="R902">
        <v>0.74690636833942392</v>
      </c>
      <c r="S902">
        <v>0.31704406283503711</v>
      </c>
      <c r="T902">
        <v>0.24359507986086509</v>
      </c>
      <c r="U902">
        <v>4.3330930208230862</v>
      </c>
      <c r="V902">
        <v>0.21631197629192481</v>
      </c>
      <c r="W902">
        <v>11.34452560026234</v>
      </c>
      <c r="X902">
        <v>0.61677510919657696</v>
      </c>
      <c r="Z902" t="s">
        <v>392</v>
      </c>
      <c r="AA902">
        <v>9400</v>
      </c>
      <c r="AB902" t="s">
        <v>3321</v>
      </c>
      <c r="AC902" t="str">
        <f>HYPERLINK("plots/3FT6Y578R01_012_S11P_20251111092011_M5358ACSH101811_RBGEUFRF26/dpll_52094/txpa_54258.png","plot")</f>
        <v>plot</v>
      </c>
    </row>
    <row r="903" spans="1:29" x14ac:dyDescent="0.35">
      <c r="A903" t="s">
        <v>48</v>
      </c>
      <c r="B903">
        <v>52094</v>
      </c>
      <c r="C903" t="s">
        <v>53</v>
      </c>
      <c r="D903">
        <v>55146</v>
      </c>
      <c r="E903" t="s">
        <v>279</v>
      </c>
      <c r="F903">
        <v>12233</v>
      </c>
      <c r="G903">
        <v>1.284633521032163E-3</v>
      </c>
      <c r="H903">
        <v>0.88702493261942461</v>
      </c>
      <c r="I903">
        <v>0.88702493261942461</v>
      </c>
      <c r="J903">
        <v>-6.0396489475887773E-3</v>
      </c>
      <c r="K903">
        <v>0.50417158794648609</v>
      </c>
      <c r="L903">
        <v>0.50516797448392969</v>
      </c>
      <c r="M903">
        <v>-4.0095054903706139E-3</v>
      </c>
      <c r="N903">
        <v>0.50599452761171881</v>
      </c>
      <c r="O903">
        <v>0.50749599505270315</v>
      </c>
      <c r="P903">
        <v>1.650283283359494E-6</v>
      </c>
      <c r="Q903">
        <v>3.1333882057976277E-2</v>
      </c>
      <c r="R903">
        <v>-10.756613573204611</v>
      </c>
      <c r="S903">
        <v>5.2895082601122994</v>
      </c>
      <c r="T903">
        <v>3.975229236486348</v>
      </c>
      <c r="U903">
        <v>4.3319117451156712</v>
      </c>
      <c r="V903">
        <v>0.21686948868733891</v>
      </c>
      <c r="W903">
        <v>-10.620877961497589</v>
      </c>
      <c r="X903">
        <v>5.2897288364722286</v>
      </c>
      <c r="Z903" t="s">
        <v>392</v>
      </c>
      <c r="AA903">
        <v>9400</v>
      </c>
      <c r="AB903" t="s">
        <v>3322</v>
      </c>
      <c r="AC903" t="str">
        <f>HYPERLINK("plots/3FT6Y578R01_012_S11P_20251111092011_M5358ACSH101811_RBGEUFRF26/dpll_52094/txpa_55146.png","plot")</f>
        <v>plot</v>
      </c>
    </row>
    <row r="904" spans="1:29" x14ac:dyDescent="0.35">
      <c r="A904" t="s">
        <v>48</v>
      </c>
      <c r="B904">
        <v>52094</v>
      </c>
      <c r="C904" t="s">
        <v>53</v>
      </c>
      <c r="D904">
        <v>55147</v>
      </c>
      <c r="E904" t="s">
        <v>280</v>
      </c>
      <c r="F904">
        <v>12243</v>
      </c>
      <c r="G904">
        <v>0.2325836275540781</v>
      </c>
      <c r="H904">
        <v>4.6256682979054559E-150</v>
      </c>
      <c r="I904">
        <v>4.6763984587000319E-150</v>
      </c>
      <c r="J904">
        <v>0.21035620768887731</v>
      </c>
      <c r="K904">
        <v>1.7075489345136219E-122</v>
      </c>
      <c r="L904">
        <v>1.72455639402073E-122</v>
      </c>
      <c r="M904">
        <v>0.14685763460411411</v>
      </c>
      <c r="N904">
        <v>5.6177012009400813E-121</v>
      </c>
      <c r="O904">
        <v>5.6736544001526318E-121</v>
      </c>
      <c r="P904">
        <v>5.4095143806214108E-2</v>
      </c>
      <c r="Q904">
        <v>1.352448677756755</v>
      </c>
      <c r="R904">
        <v>-30.768031445243381</v>
      </c>
      <c r="S904">
        <v>1.226272225980813</v>
      </c>
      <c r="T904">
        <v>1.029045509928872</v>
      </c>
      <c r="U904">
        <v>4.3319153779302466</v>
      </c>
      <c r="V904">
        <v>0.21683992469153379</v>
      </c>
      <c r="W904">
        <v>-24.909338220207459</v>
      </c>
      <c r="X904">
        <v>1.2609007457575749</v>
      </c>
      <c r="Z904" t="s">
        <v>392</v>
      </c>
      <c r="AA904">
        <v>9400</v>
      </c>
      <c r="AB904" t="s">
        <v>3323</v>
      </c>
      <c r="AC904" t="str">
        <f>HYPERLINK("plots/3FT6Y578R01_012_S11P_20251111092011_M5358ACSH101811_RBGEUFRF26/dpll_52094/txpa_55147.png","plot")</f>
        <v>plot</v>
      </c>
    </row>
    <row r="905" spans="1:29" x14ac:dyDescent="0.35">
      <c r="A905" t="s">
        <v>48</v>
      </c>
      <c r="B905">
        <v>52094</v>
      </c>
      <c r="C905" t="s">
        <v>53</v>
      </c>
      <c r="D905">
        <v>55148</v>
      </c>
      <c r="E905" t="s">
        <v>281</v>
      </c>
      <c r="F905">
        <v>12243</v>
      </c>
      <c r="G905">
        <v>0.22941006047152829</v>
      </c>
      <c r="H905">
        <v>6.1380528025791249E-146</v>
      </c>
      <c r="I905">
        <v>6.1807204983269442E-146</v>
      </c>
      <c r="J905">
        <v>0.20362925850182739</v>
      </c>
      <c r="K905">
        <v>9.5571061478220022E-115</v>
      </c>
      <c r="L905">
        <v>9.6331069919398728E-115</v>
      </c>
      <c r="M905">
        <v>0.14179280441623621</v>
      </c>
      <c r="N905">
        <v>1.126537996597145E-113</v>
      </c>
      <c r="O905">
        <v>1.1354965492539821E-113</v>
      </c>
      <c r="P905">
        <v>5.2628975845550291E-2</v>
      </c>
      <c r="Q905">
        <v>1.361877060626018</v>
      </c>
      <c r="R905">
        <v>-30.73875337772499</v>
      </c>
      <c r="S905">
        <v>1.252872868981677</v>
      </c>
      <c r="T905">
        <v>1.056813255407451</v>
      </c>
      <c r="U905">
        <v>4.3319153779302466</v>
      </c>
      <c r="V905">
        <v>0.21683992469153379</v>
      </c>
      <c r="W905">
        <v>-24.839217195948699</v>
      </c>
      <c r="X905">
        <v>1.2872553132948741</v>
      </c>
      <c r="Z905" t="s">
        <v>392</v>
      </c>
      <c r="AA905">
        <v>9400</v>
      </c>
      <c r="AB905" t="s">
        <v>3324</v>
      </c>
      <c r="AC905" t="str">
        <f>HYPERLINK("plots/3FT6Y578R01_012_S11P_20251111092011_M5358ACSH101811_RBGEUFRF26/dpll_52094/txpa_55148.png","plot")</f>
        <v>plot</v>
      </c>
    </row>
    <row r="906" spans="1:29" x14ac:dyDescent="0.35">
      <c r="A906" t="s">
        <v>48</v>
      </c>
      <c r="B906">
        <v>52094</v>
      </c>
      <c r="C906" t="s">
        <v>53</v>
      </c>
      <c r="D906">
        <v>55149</v>
      </c>
      <c r="E906" t="s">
        <v>282</v>
      </c>
      <c r="F906">
        <v>12243</v>
      </c>
      <c r="G906">
        <v>0.24562344814693179</v>
      </c>
      <c r="H906">
        <v>1.149262657042518E-167</v>
      </c>
      <c r="I906">
        <v>1.179506411175216E-167</v>
      </c>
      <c r="J906">
        <v>0.21847712155818991</v>
      </c>
      <c r="K906">
        <v>3.2571104917458967E-132</v>
      </c>
      <c r="L906">
        <v>3.3496045016534878E-132</v>
      </c>
      <c r="M906">
        <v>0.15234773496451301</v>
      </c>
      <c r="N906">
        <v>1.6467864927263351E-131</v>
      </c>
      <c r="O906">
        <v>1.6918353633480281E-131</v>
      </c>
      <c r="P906">
        <v>6.0330878279588468E-2</v>
      </c>
      <c r="Q906">
        <v>1.462130445921253</v>
      </c>
      <c r="R906">
        <v>-31.149463203624869</v>
      </c>
      <c r="S906">
        <v>1.2511958210516789</v>
      </c>
      <c r="T906">
        <v>1.0574418388420519</v>
      </c>
      <c r="U906">
        <v>4.3319153779302466</v>
      </c>
      <c r="V906">
        <v>0.21683992469153379</v>
      </c>
      <c r="W906">
        <v>-24.81563784039859</v>
      </c>
      <c r="X906">
        <v>1.2907898581128341</v>
      </c>
      <c r="Z906" t="s">
        <v>392</v>
      </c>
      <c r="AA906">
        <v>9400</v>
      </c>
      <c r="AB906" t="s">
        <v>3325</v>
      </c>
      <c r="AC906" t="str">
        <f>HYPERLINK("plots/3FT6Y578R01_012_S11P_20251111092011_M5358ACSH101811_RBGEUFRF26/dpll_52094/txpa_55149.png","plot")</f>
        <v>plot</v>
      </c>
    </row>
    <row r="907" spans="1:29" x14ac:dyDescent="0.35">
      <c r="A907" t="s">
        <v>48</v>
      </c>
      <c r="B907">
        <v>52094</v>
      </c>
      <c r="C907" t="s">
        <v>53</v>
      </c>
      <c r="D907">
        <v>55150</v>
      </c>
      <c r="E907" t="s">
        <v>283</v>
      </c>
      <c r="F907">
        <v>12243</v>
      </c>
      <c r="G907">
        <v>0.2534946677061688</v>
      </c>
      <c r="H907">
        <v>8.1319678965613792E-179</v>
      </c>
      <c r="I907">
        <v>8.4140973950135089E-179</v>
      </c>
      <c r="J907">
        <v>0.23477686875713491</v>
      </c>
      <c r="K907">
        <v>6.0129356191626525E-153</v>
      </c>
      <c r="L907">
        <v>6.318255666146041E-153</v>
      </c>
      <c r="M907">
        <v>0.16274253321823659</v>
      </c>
      <c r="N907">
        <v>1.0536289059409091E-150</v>
      </c>
      <c r="O907">
        <v>1.1071292338073381E-150</v>
      </c>
      <c r="P907">
        <v>6.4259546555460942E-2</v>
      </c>
      <c r="Q907">
        <v>1.5345763562982311</v>
      </c>
      <c r="R907">
        <v>-31.398142135275389</v>
      </c>
      <c r="S907">
        <v>1.2697519469894569</v>
      </c>
      <c r="T907">
        <v>1.0695394893799319</v>
      </c>
      <c r="U907">
        <v>4.3319153779302466</v>
      </c>
      <c r="V907">
        <v>0.21683992469153379</v>
      </c>
      <c r="W907">
        <v>-24.750487218818922</v>
      </c>
      <c r="X907">
        <v>1.312680162246344</v>
      </c>
      <c r="Z907" t="s">
        <v>392</v>
      </c>
      <c r="AA907">
        <v>9400</v>
      </c>
      <c r="AB907" t="s">
        <v>3326</v>
      </c>
      <c r="AC907" t="str">
        <f>HYPERLINK("plots/3FT6Y578R01_012_S11P_20251111092011_M5358ACSH101811_RBGEUFRF26/dpll_52094/txpa_55150.png","plot")</f>
        <v>plot</v>
      </c>
    </row>
    <row r="908" spans="1:29" x14ac:dyDescent="0.35">
      <c r="A908" t="s">
        <v>48</v>
      </c>
      <c r="B908">
        <v>52094</v>
      </c>
      <c r="C908" t="s">
        <v>53</v>
      </c>
      <c r="D908">
        <v>55151</v>
      </c>
      <c r="E908" t="s">
        <v>284</v>
      </c>
      <c r="F908">
        <v>12242</v>
      </c>
      <c r="G908">
        <v>0.2392996644846333</v>
      </c>
      <c r="H908">
        <v>5.5583853490573787E-159</v>
      </c>
      <c r="I908">
        <v>5.6645253707981732E-159</v>
      </c>
      <c r="J908">
        <v>0.21520774261938819</v>
      </c>
      <c r="K908">
        <v>3.051473795032017E-128</v>
      </c>
      <c r="L908">
        <v>3.1003952185996649E-128</v>
      </c>
      <c r="M908">
        <v>0.14977304952893369</v>
      </c>
      <c r="N908">
        <v>3.503634116147327E-127</v>
      </c>
      <c r="O908">
        <v>3.559804602979348E-127</v>
      </c>
      <c r="P908">
        <v>5.7264329422458057E-2</v>
      </c>
      <c r="Q908">
        <v>1.423249627091602</v>
      </c>
      <c r="R908">
        <v>-30.973708623657348</v>
      </c>
      <c r="S908">
        <v>1.2521593041515571</v>
      </c>
      <c r="T908">
        <v>1.0604110159834561</v>
      </c>
      <c r="U908">
        <v>4.3319308992811631</v>
      </c>
      <c r="V908">
        <v>0.21684198016641831</v>
      </c>
      <c r="W908">
        <v>-24.808289586668849</v>
      </c>
      <c r="X908">
        <v>1.289681153855013</v>
      </c>
      <c r="Z908" t="s">
        <v>392</v>
      </c>
      <c r="AA908">
        <v>9400</v>
      </c>
      <c r="AB908" t="s">
        <v>3327</v>
      </c>
      <c r="AC908" t="str">
        <f>HYPERLINK("plots/3FT6Y578R01_012_S11P_20251111092011_M5358ACSH101811_RBGEUFRF26/dpll_52094/txpa_55151.png","plot")</f>
        <v>plot</v>
      </c>
    </row>
    <row r="909" spans="1:29" x14ac:dyDescent="0.35">
      <c r="A909" t="s">
        <v>48</v>
      </c>
      <c r="B909">
        <v>52094</v>
      </c>
      <c r="C909" t="s">
        <v>53</v>
      </c>
      <c r="D909">
        <v>55152</v>
      </c>
      <c r="E909" t="s">
        <v>285</v>
      </c>
      <c r="F909">
        <v>12243</v>
      </c>
      <c r="G909">
        <v>0.242158797712968</v>
      </c>
      <c r="H909">
        <v>6.9641820182655032E-163</v>
      </c>
      <c r="I909">
        <v>7.1186296033480041E-163</v>
      </c>
      <c r="J909">
        <v>0.216025645907061</v>
      </c>
      <c r="K909">
        <v>3.0853925881282712E-129</v>
      </c>
      <c r="L909">
        <v>3.147472921893427E-129</v>
      </c>
      <c r="M909">
        <v>0.1509945337778438</v>
      </c>
      <c r="N909">
        <v>1.3368192087974259E-128</v>
      </c>
      <c r="O909">
        <v>1.3637169795981791E-128</v>
      </c>
      <c r="P909">
        <v>5.8640883309790157E-2</v>
      </c>
      <c r="Q909">
        <v>1.433572196445362</v>
      </c>
      <c r="R909">
        <v>-31.060457798296611</v>
      </c>
      <c r="S909">
        <v>1.245427625394129</v>
      </c>
      <c r="T909">
        <v>1.048834271264995</v>
      </c>
      <c r="U909">
        <v>4.3319153779302466</v>
      </c>
      <c r="V909">
        <v>0.21683992469153379</v>
      </c>
      <c r="W909">
        <v>-24.850344355141711</v>
      </c>
      <c r="X909">
        <v>1.2836852926795079</v>
      </c>
      <c r="Z909" t="s">
        <v>392</v>
      </c>
      <c r="AA909">
        <v>9400</v>
      </c>
      <c r="AB909" t="s">
        <v>3328</v>
      </c>
      <c r="AC909" t="str">
        <f>HYPERLINK("plots/3FT6Y578R01_012_S11P_20251111092011_M5358ACSH101811_RBGEUFRF26/dpll_52094/txpa_55152.png","plot")</f>
        <v>plot</v>
      </c>
    </row>
    <row r="910" spans="1:29" x14ac:dyDescent="0.35">
      <c r="A910" t="s">
        <v>48</v>
      </c>
      <c r="B910">
        <v>52094</v>
      </c>
      <c r="C910" t="s">
        <v>53</v>
      </c>
      <c r="D910">
        <v>55153</v>
      </c>
      <c r="E910" t="s">
        <v>286</v>
      </c>
      <c r="F910">
        <v>12243</v>
      </c>
      <c r="G910">
        <v>0.23915943007356499</v>
      </c>
      <c r="H910">
        <v>8.3474809242458731E-159</v>
      </c>
      <c r="I910">
        <v>8.4983390132382686E-159</v>
      </c>
      <c r="J910">
        <v>0.2174904007457184</v>
      </c>
      <c r="K910">
        <v>5.1914963787742578E-131</v>
      </c>
      <c r="L910">
        <v>5.317350836441512E-131</v>
      </c>
      <c r="M910">
        <v>0.15183086495579029</v>
      </c>
      <c r="N910">
        <v>1.105814018313243E-129</v>
      </c>
      <c r="O910">
        <v>1.1314787230773239E-129</v>
      </c>
      <c r="P910">
        <v>5.7197232993112447E-2</v>
      </c>
      <c r="Q910">
        <v>1.3965078682343359</v>
      </c>
      <c r="R910">
        <v>-30.926440199929871</v>
      </c>
      <c r="S910">
        <v>1.229384722849441</v>
      </c>
      <c r="T910">
        <v>1.0381565780037549</v>
      </c>
      <c r="U910">
        <v>4.3319153779302466</v>
      </c>
      <c r="V910">
        <v>0.21683992469153379</v>
      </c>
      <c r="W910">
        <v>-24.876886290124968</v>
      </c>
      <c r="X910">
        <v>1.26617905422304</v>
      </c>
      <c r="Z910" t="s">
        <v>392</v>
      </c>
      <c r="AA910">
        <v>9400</v>
      </c>
      <c r="AB910" t="s">
        <v>3329</v>
      </c>
      <c r="AC910" t="str">
        <f>HYPERLINK("plots/3FT6Y578R01_012_S11P_20251111092011_M5358ACSH101811_RBGEUFRF26/dpll_52094/txpa_55153.png","plot")</f>
        <v>plot</v>
      </c>
    </row>
    <row r="911" spans="1:29" x14ac:dyDescent="0.35">
      <c r="A911" t="s">
        <v>48</v>
      </c>
      <c r="B911">
        <v>52094</v>
      </c>
      <c r="C911" t="s">
        <v>53</v>
      </c>
      <c r="D911">
        <v>55154</v>
      </c>
      <c r="E911" t="s">
        <v>287</v>
      </c>
      <c r="F911">
        <v>12243</v>
      </c>
      <c r="G911">
        <v>0.23362393027162021</v>
      </c>
      <c r="H911">
        <v>1.995245323839742E-151</v>
      </c>
      <c r="I911">
        <v>2.0231787583734979E-151</v>
      </c>
      <c r="J911">
        <v>0.21413507239370949</v>
      </c>
      <c r="K911">
        <v>5.749988660535128E-127</v>
      </c>
      <c r="L911">
        <v>5.8246638379446742E-127</v>
      </c>
      <c r="M911">
        <v>0.1505542960592742</v>
      </c>
      <c r="N911">
        <v>8.0542189482298091E-126</v>
      </c>
      <c r="O911">
        <v>8.1588191943107147E-126</v>
      </c>
      <c r="P911">
        <v>5.4580140795558833E-2</v>
      </c>
      <c r="Q911">
        <v>1.325698321663364</v>
      </c>
      <c r="R911">
        <v>-30.733054778177149</v>
      </c>
      <c r="S911">
        <v>1.196358257755846</v>
      </c>
      <c r="T911">
        <v>1.0057585368784581</v>
      </c>
      <c r="U911">
        <v>4.3319153779302466</v>
      </c>
      <c r="V911">
        <v>0.21683992469153379</v>
      </c>
      <c r="W911">
        <v>-24.990241832067301</v>
      </c>
      <c r="X911">
        <v>1.230457530180918</v>
      </c>
      <c r="Z911" t="s">
        <v>392</v>
      </c>
      <c r="AA911">
        <v>9400</v>
      </c>
      <c r="AB911" t="s">
        <v>3330</v>
      </c>
      <c r="AC911" t="str">
        <f>HYPERLINK("plots/3FT6Y578R01_012_S11P_20251111092011_M5358ACSH101811_RBGEUFRF26/dpll_52094/txpa_55154.png","plot")</f>
        <v>plot</v>
      </c>
    </row>
    <row r="912" spans="1:29" x14ac:dyDescent="0.35">
      <c r="A912" t="s">
        <v>48</v>
      </c>
      <c r="B912">
        <v>52094</v>
      </c>
      <c r="C912" t="s">
        <v>53</v>
      </c>
      <c r="D912">
        <v>55155</v>
      </c>
      <c r="E912" t="s">
        <v>288</v>
      </c>
      <c r="F912">
        <v>12243</v>
      </c>
      <c r="G912">
        <v>0.72159865745129426</v>
      </c>
      <c r="H912">
        <v>0</v>
      </c>
      <c r="I912">
        <v>0</v>
      </c>
      <c r="J912">
        <v>0.62537474653727931</v>
      </c>
      <c r="K912">
        <v>0</v>
      </c>
      <c r="L912">
        <v>0</v>
      </c>
      <c r="M912">
        <v>0.44707313900833878</v>
      </c>
      <c r="N912">
        <v>0</v>
      </c>
      <c r="O912">
        <v>0</v>
      </c>
      <c r="P912">
        <v>0.5207046224355103</v>
      </c>
      <c r="Q912">
        <v>1.2843350637213851</v>
      </c>
      <c r="R912">
        <v>-16.788112389360698</v>
      </c>
      <c r="S912">
        <v>0.26718111246769649</v>
      </c>
      <c r="T912">
        <v>0.20579015867632899</v>
      </c>
      <c r="U912">
        <v>4.3319153779302466</v>
      </c>
      <c r="V912">
        <v>0.21683992469153379</v>
      </c>
      <c r="W912">
        <v>-11.22448157641101</v>
      </c>
      <c r="X912">
        <v>0.38594184678737292</v>
      </c>
      <c r="Z912" t="s">
        <v>392</v>
      </c>
      <c r="AA912">
        <v>9400</v>
      </c>
      <c r="AB912" t="s">
        <v>3331</v>
      </c>
      <c r="AC912" t="str">
        <f>HYPERLINK("plots/3FT6Y578R01_012_S11P_20251111092011_M5358ACSH101811_RBGEUFRF26/dpll_52094/txpa_55155.png","plot")</f>
        <v>plot</v>
      </c>
    </row>
    <row r="913" spans="1:29" x14ac:dyDescent="0.35">
      <c r="A913" t="s">
        <v>48</v>
      </c>
      <c r="B913">
        <v>52094</v>
      </c>
      <c r="C913" t="s">
        <v>53</v>
      </c>
      <c r="D913">
        <v>55156</v>
      </c>
      <c r="E913" t="s">
        <v>289</v>
      </c>
      <c r="F913">
        <v>12242</v>
      </c>
      <c r="G913">
        <v>0.73742875000914909</v>
      </c>
      <c r="H913">
        <v>0</v>
      </c>
      <c r="I913">
        <v>0</v>
      </c>
      <c r="J913">
        <v>0.63361007850001072</v>
      </c>
      <c r="K913">
        <v>0</v>
      </c>
      <c r="L913">
        <v>0</v>
      </c>
      <c r="M913">
        <v>0.45493183823717809</v>
      </c>
      <c r="N913">
        <v>0</v>
      </c>
      <c r="O913">
        <v>0</v>
      </c>
      <c r="P913">
        <v>0.54380116134005607</v>
      </c>
      <c r="Q913">
        <v>1.309491938787426</v>
      </c>
      <c r="R913">
        <v>-16.83331191323833</v>
      </c>
      <c r="S913">
        <v>0.26006800038938338</v>
      </c>
      <c r="T913">
        <v>0.2026236972333105</v>
      </c>
      <c r="U913">
        <v>4.3319007004574406</v>
      </c>
      <c r="V913">
        <v>0.21684269964686589</v>
      </c>
      <c r="W913">
        <v>-11.160722866361709</v>
      </c>
      <c r="X913">
        <v>0.38505925781840061</v>
      </c>
      <c r="Z913" t="s">
        <v>392</v>
      </c>
      <c r="AA913">
        <v>9400</v>
      </c>
      <c r="AB913" t="s">
        <v>3332</v>
      </c>
      <c r="AC913" t="str">
        <f>HYPERLINK("plots/3FT6Y578R01_012_S11P_20251111092011_M5358ACSH101811_RBGEUFRF26/dpll_52094/txpa_55156.png","plot")</f>
        <v>plot</v>
      </c>
    </row>
    <row r="914" spans="1:29" x14ac:dyDescent="0.35">
      <c r="A914" t="s">
        <v>48</v>
      </c>
      <c r="B914">
        <v>52094</v>
      </c>
      <c r="C914" t="s">
        <v>53</v>
      </c>
      <c r="D914">
        <v>55157</v>
      </c>
      <c r="E914" t="s">
        <v>290</v>
      </c>
      <c r="F914">
        <v>12243</v>
      </c>
      <c r="G914">
        <v>0.74074170789910432</v>
      </c>
      <c r="H914">
        <v>0</v>
      </c>
      <c r="I914">
        <v>0</v>
      </c>
      <c r="J914">
        <v>0.63482756522644312</v>
      </c>
      <c r="K914">
        <v>0</v>
      </c>
      <c r="L914">
        <v>0</v>
      </c>
      <c r="M914">
        <v>0.45676759277594642</v>
      </c>
      <c r="N914">
        <v>0</v>
      </c>
      <c r="O914">
        <v>0</v>
      </c>
      <c r="P914">
        <v>0.548698277821282</v>
      </c>
      <c r="Q914">
        <v>1.30516078739799</v>
      </c>
      <c r="R914">
        <v>-16.792846446623528</v>
      </c>
      <c r="S914">
        <v>0.25665647469460179</v>
      </c>
      <c r="T914">
        <v>0.1994507223227181</v>
      </c>
      <c r="U914">
        <v>4.3319153779302466</v>
      </c>
      <c r="V914">
        <v>0.21683992469153379</v>
      </c>
      <c r="W914">
        <v>-11.13900036102263</v>
      </c>
      <c r="X914">
        <v>0.38206430639959582</v>
      </c>
      <c r="Z914" t="s">
        <v>392</v>
      </c>
      <c r="AA914">
        <v>9400</v>
      </c>
      <c r="AB914" t="s">
        <v>3333</v>
      </c>
      <c r="AC914" t="str">
        <f>HYPERLINK("plots/3FT6Y578R01_012_S11P_20251111092011_M5358ACSH101811_RBGEUFRF26/dpll_52094/txpa_55157.png","plot")</f>
        <v>plot</v>
      </c>
    </row>
    <row r="915" spans="1:29" x14ac:dyDescent="0.35">
      <c r="A915" t="s">
        <v>48</v>
      </c>
      <c r="B915">
        <v>52094</v>
      </c>
      <c r="C915" t="s">
        <v>53</v>
      </c>
      <c r="D915">
        <v>55158</v>
      </c>
      <c r="E915" t="s">
        <v>291</v>
      </c>
      <c r="F915">
        <v>12242</v>
      </c>
      <c r="G915">
        <v>0.74816713294521997</v>
      </c>
      <c r="H915">
        <v>0</v>
      </c>
      <c r="I915">
        <v>0</v>
      </c>
      <c r="J915">
        <v>0.63914291962443592</v>
      </c>
      <c r="K915">
        <v>0</v>
      </c>
      <c r="L915">
        <v>0</v>
      </c>
      <c r="M915">
        <v>0.4595908622867792</v>
      </c>
      <c r="N915">
        <v>0</v>
      </c>
      <c r="O915">
        <v>0</v>
      </c>
      <c r="P915">
        <v>0.55975405881947049</v>
      </c>
      <c r="Q915">
        <v>1.3239816032008309</v>
      </c>
      <c r="R915">
        <v>-16.8265491869358</v>
      </c>
      <c r="S915">
        <v>0.25460472710831872</v>
      </c>
      <c r="T915">
        <v>0.19856468109057601</v>
      </c>
      <c r="U915">
        <v>4.3319235655121711</v>
      </c>
      <c r="V915">
        <v>0.21684688906752619</v>
      </c>
      <c r="W915">
        <v>-11.091162079725541</v>
      </c>
      <c r="X915">
        <v>0.3837395137989274</v>
      </c>
      <c r="Z915" t="s">
        <v>392</v>
      </c>
      <c r="AA915">
        <v>9400</v>
      </c>
      <c r="AB915" t="s">
        <v>3334</v>
      </c>
      <c r="AC915" t="str">
        <f>HYPERLINK("plots/3FT6Y578R01_012_S11P_20251111092011_M5358ACSH101811_RBGEUFRF26/dpll_52094/txpa_55158.png","plot")</f>
        <v>plot</v>
      </c>
    </row>
    <row r="916" spans="1:29" x14ac:dyDescent="0.35">
      <c r="A916" t="s">
        <v>48</v>
      </c>
      <c r="B916">
        <v>52094</v>
      </c>
      <c r="C916" t="s">
        <v>53</v>
      </c>
      <c r="D916">
        <v>55159</v>
      </c>
      <c r="E916" t="s">
        <v>292</v>
      </c>
      <c r="F916">
        <v>12240</v>
      </c>
      <c r="G916">
        <v>0.75015814964487337</v>
      </c>
      <c r="H916">
        <v>0</v>
      </c>
      <c r="I916">
        <v>0</v>
      </c>
      <c r="J916">
        <v>0.63864738520804076</v>
      </c>
      <c r="K916">
        <v>0</v>
      </c>
      <c r="L916">
        <v>0</v>
      </c>
      <c r="M916">
        <v>0.45795133606371341</v>
      </c>
      <c r="N916">
        <v>0</v>
      </c>
      <c r="O916">
        <v>0</v>
      </c>
      <c r="P916">
        <v>0.56273724947862025</v>
      </c>
      <c r="Q916">
        <v>1.325253141766553</v>
      </c>
      <c r="R916">
        <v>-16.858342865623591</v>
      </c>
      <c r="S916">
        <v>0.25326576414668939</v>
      </c>
      <c r="T916">
        <v>0.19886183796272461</v>
      </c>
      <c r="U916">
        <v>4.3319400696078434</v>
      </c>
      <c r="V916">
        <v>0.21680883535870621</v>
      </c>
      <c r="W916">
        <v>-11.117425678431371</v>
      </c>
      <c r="X916">
        <v>0.38302135404100313</v>
      </c>
      <c r="Z916" t="s">
        <v>392</v>
      </c>
      <c r="AA916">
        <v>9400</v>
      </c>
      <c r="AB916" t="s">
        <v>3335</v>
      </c>
      <c r="AC916" t="str">
        <f>HYPERLINK("plots/3FT6Y578R01_012_S11P_20251111092011_M5358ACSH101811_RBGEUFRF26/dpll_52094/txpa_55159.png","plot")</f>
        <v>plot</v>
      </c>
    </row>
    <row r="917" spans="1:29" x14ac:dyDescent="0.35">
      <c r="A917" t="s">
        <v>48</v>
      </c>
      <c r="B917">
        <v>52094</v>
      </c>
      <c r="C917" t="s">
        <v>53</v>
      </c>
      <c r="D917">
        <v>55160</v>
      </c>
      <c r="E917" t="s">
        <v>293</v>
      </c>
      <c r="F917">
        <v>12241</v>
      </c>
      <c r="G917">
        <v>0.75072819047951489</v>
      </c>
      <c r="H917">
        <v>0</v>
      </c>
      <c r="I917">
        <v>0</v>
      </c>
      <c r="J917">
        <v>0.64386269788852624</v>
      </c>
      <c r="K917">
        <v>0</v>
      </c>
      <c r="L917">
        <v>0</v>
      </c>
      <c r="M917">
        <v>0.46353236630221412</v>
      </c>
      <c r="N917">
        <v>0</v>
      </c>
      <c r="O917">
        <v>0</v>
      </c>
      <c r="P917">
        <v>0.56359281598064681</v>
      </c>
      <c r="Q917">
        <v>1.3241267955912299</v>
      </c>
      <c r="R917">
        <v>-16.87536296204199</v>
      </c>
      <c r="S917">
        <v>0.25259979326195942</v>
      </c>
      <c r="T917">
        <v>0.19766121282274859</v>
      </c>
      <c r="U917">
        <v>4.3319197416877699</v>
      </c>
      <c r="V917">
        <v>0.2167993297959015</v>
      </c>
      <c r="W917">
        <v>-11.139351955722571</v>
      </c>
      <c r="X917">
        <v>0.38238846694382489</v>
      </c>
      <c r="Z917" t="s">
        <v>392</v>
      </c>
      <c r="AA917">
        <v>9400</v>
      </c>
      <c r="AB917" t="s">
        <v>3336</v>
      </c>
      <c r="AC917" t="str">
        <f>HYPERLINK("plots/3FT6Y578R01_012_S11P_20251111092011_M5358ACSH101811_RBGEUFRF26/dpll_52094/txpa_55160.png","plot")</f>
        <v>plot</v>
      </c>
    </row>
    <row r="918" spans="1:29" x14ac:dyDescent="0.35">
      <c r="A918" t="s">
        <v>48</v>
      </c>
      <c r="B918">
        <v>52094</v>
      </c>
      <c r="C918" t="s">
        <v>53</v>
      </c>
      <c r="D918">
        <v>55161</v>
      </c>
      <c r="E918" t="s">
        <v>294</v>
      </c>
      <c r="F918">
        <v>12242</v>
      </c>
      <c r="G918">
        <v>0.75187219768493363</v>
      </c>
      <c r="H918">
        <v>0</v>
      </c>
      <c r="I918">
        <v>0</v>
      </c>
      <c r="J918">
        <v>0.64148420970739439</v>
      </c>
      <c r="K918">
        <v>0</v>
      </c>
      <c r="L918">
        <v>0</v>
      </c>
      <c r="M918">
        <v>0.46191678329512442</v>
      </c>
      <c r="N918">
        <v>0</v>
      </c>
      <c r="O918">
        <v>0</v>
      </c>
      <c r="P918">
        <v>0.56531180165157191</v>
      </c>
      <c r="Q918">
        <v>1.3290487402941591</v>
      </c>
      <c r="R918">
        <v>-16.894432423971711</v>
      </c>
      <c r="S918">
        <v>0.25267294968801313</v>
      </c>
      <c r="T918">
        <v>0.19753827881277539</v>
      </c>
      <c r="U918">
        <v>4.331949619669988</v>
      </c>
      <c r="V918">
        <v>0.21681567757630049</v>
      </c>
      <c r="W918">
        <v>-11.13706023893155</v>
      </c>
      <c r="X918">
        <v>0.38325476596430458</v>
      </c>
      <c r="Z918" t="s">
        <v>392</v>
      </c>
      <c r="AA918">
        <v>9400</v>
      </c>
      <c r="AB918" t="s">
        <v>3337</v>
      </c>
      <c r="AC918" t="str">
        <f>HYPERLINK("plots/3FT6Y578R01_012_S11P_20251111092011_M5358ACSH101811_RBGEUFRF26/dpll_52094/txpa_55161.png","plot")</f>
        <v>plot</v>
      </c>
    </row>
    <row r="919" spans="1:29" x14ac:dyDescent="0.35">
      <c r="A919" t="s">
        <v>48</v>
      </c>
      <c r="B919">
        <v>52094</v>
      </c>
      <c r="C919" t="s">
        <v>53</v>
      </c>
      <c r="D919">
        <v>55162</v>
      </c>
      <c r="E919" t="s">
        <v>295</v>
      </c>
      <c r="F919">
        <v>12241</v>
      </c>
      <c r="G919">
        <v>0.74226696133694425</v>
      </c>
      <c r="H919">
        <v>0</v>
      </c>
      <c r="I919">
        <v>0</v>
      </c>
      <c r="J919">
        <v>0.62975865676068299</v>
      </c>
      <c r="K919">
        <v>0</v>
      </c>
      <c r="L919">
        <v>0</v>
      </c>
      <c r="M919">
        <v>0.45218719650130113</v>
      </c>
      <c r="N919">
        <v>0</v>
      </c>
      <c r="O919">
        <v>0</v>
      </c>
      <c r="P919">
        <v>0.55096024189238069</v>
      </c>
      <c r="Q919">
        <v>1.3084548070542299</v>
      </c>
      <c r="R919">
        <v>-16.866730942320441</v>
      </c>
      <c r="S919">
        <v>0.25609714526899591</v>
      </c>
      <c r="T919">
        <v>0.19967757162146241</v>
      </c>
      <c r="U919">
        <v>4.3319714452250633</v>
      </c>
      <c r="V919">
        <v>0.21681108513633299</v>
      </c>
      <c r="W919">
        <v>-11.19854208079405</v>
      </c>
      <c r="X919">
        <v>0.38219066905296578</v>
      </c>
      <c r="Z919" t="s">
        <v>392</v>
      </c>
      <c r="AA919">
        <v>9400</v>
      </c>
      <c r="AB919" t="s">
        <v>3338</v>
      </c>
      <c r="AC919" t="str">
        <f>HYPERLINK("plots/3FT6Y578R01_012_S11P_20251111092011_M5358ACSH101811_RBGEUFRF26/dpll_52094/txpa_55162.png","plot")</f>
        <v>plot</v>
      </c>
    </row>
    <row r="920" spans="1:29" x14ac:dyDescent="0.35">
      <c r="A920" t="s">
        <v>48</v>
      </c>
      <c r="B920">
        <v>52094</v>
      </c>
      <c r="C920" t="s">
        <v>53</v>
      </c>
      <c r="D920">
        <v>55163</v>
      </c>
      <c r="E920" t="s">
        <v>296</v>
      </c>
      <c r="F920">
        <v>12243</v>
      </c>
      <c r="G920">
        <v>0.76689418524734754</v>
      </c>
      <c r="H920">
        <v>0</v>
      </c>
      <c r="I920">
        <v>0</v>
      </c>
      <c r="J920">
        <v>0.66682667927256412</v>
      </c>
      <c r="K920">
        <v>0</v>
      </c>
      <c r="L920">
        <v>0</v>
      </c>
      <c r="M920">
        <v>0.47997601181226518</v>
      </c>
      <c r="N920">
        <v>0</v>
      </c>
      <c r="O920">
        <v>0</v>
      </c>
      <c r="P920">
        <v>0.588126691366193</v>
      </c>
      <c r="Q920">
        <v>1.148445972415348</v>
      </c>
      <c r="R920">
        <v>-9.8809632751216068</v>
      </c>
      <c r="S920">
        <v>0.20839076023411501</v>
      </c>
      <c r="T920">
        <v>0.15772803349118539</v>
      </c>
      <c r="U920">
        <v>4.3319153779302466</v>
      </c>
      <c r="V920">
        <v>0.21683992469153379</v>
      </c>
      <c r="W920">
        <v>-4.9059925064935062</v>
      </c>
      <c r="X920">
        <v>0.3247239879521574</v>
      </c>
      <c r="Z920" t="s">
        <v>392</v>
      </c>
      <c r="AA920">
        <v>9400</v>
      </c>
      <c r="AB920" t="s">
        <v>3339</v>
      </c>
      <c r="AC920" t="str">
        <f>HYPERLINK("plots/3FT6Y578R01_012_S11P_20251111092011_M5358ACSH101811_RBGEUFRF26/dpll_52094/txpa_55163.png","plot")</f>
        <v>plot</v>
      </c>
    </row>
    <row r="921" spans="1:29" x14ac:dyDescent="0.35">
      <c r="A921" t="s">
        <v>48</v>
      </c>
      <c r="B921">
        <v>52094</v>
      </c>
      <c r="C921" t="s">
        <v>53</v>
      </c>
      <c r="D921">
        <v>55164</v>
      </c>
      <c r="E921" t="s">
        <v>297</v>
      </c>
      <c r="F921">
        <v>12242</v>
      </c>
      <c r="G921">
        <v>0.78393277605389722</v>
      </c>
      <c r="H921">
        <v>0</v>
      </c>
      <c r="I921">
        <v>0</v>
      </c>
      <c r="J921">
        <v>0.67772180071916288</v>
      </c>
      <c r="K921">
        <v>0</v>
      </c>
      <c r="L921">
        <v>0</v>
      </c>
      <c r="M921">
        <v>0.49120465628211701</v>
      </c>
      <c r="N921">
        <v>0</v>
      </c>
      <c r="O921">
        <v>0</v>
      </c>
      <c r="P921">
        <v>0.61455059737156981</v>
      </c>
      <c r="Q921">
        <v>1.1704000090133591</v>
      </c>
      <c r="R921">
        <v>-9.9349833726587651</v>
      </c>
      <c r="S921">
        <v>0.20098620466919759</v>
      </c>
      <c r="T921">
        <v>0.15431638232554501</v>
      </c>
      <c r="U921">
        <v>4.3319007004574406</v>
      </c>
      <c r="V921">
        <v>0.21684269964686589</v>
      </c>
      <c r="W921">
        <v>-4.8649267537983976</v>
      </c>
      <c r="X921">
        <v>0.32374293481986538</v>
      </c>
      <c r="Z921" t="s">
        <v>392</v>
      </c>
      <c r="AA921">
        <v>9400</v>
      </c>
      <c r="AB921" t="s">
        <v>3340</v>
      </c>
      <c r="AC921" t="str">
        <f>HYPERLINK("plots/3FT6Y578R01_012_S11P_20251111092011_M5358ACSH101811_RBGEUFRF26/dpll_52094/txpa_55164.png","plot")</f>
        <v>plot</v>
      </c>
    </row>
    <row r="922" spans="1:29" x14ac:dyDescent="0.35">
      <c r="A922" t="s">
        <v>48</v>
      </c>
      <c r="B922">
        <v>52094</v>
      </c>
      <c r="C922" t="s">
        <v>53</v>
      </c>
      <c r="D922">
        <v>55165</v>
      </c>
      <c r="E922" t="s">
        <v>298</v>
      </c>
      <c r="F922">
        <v>12243</v>
      </c>
      <c r="G922">
        <v>0.78214220137714674</v>
      </c>
      <c r="H922">
        <v>0</v>
      </c>
      <c r="I922">
        <v>0</v>
      </c>
      <c r="J922">
        <v>0.67493656861980356</v>
      </c>
      <c r="K922">
        <v>0</v>
      </c>
      <c r="L922">
        <v>0</v>
      </c>
      <c r="M922">
        <v>0.48873875933231359</v>
      </c>
      <c r="N922">
        <v>0</v>
      </c>
      <c r="O922">
        <v>0</v>
      </c>
      <c r="P922">
        <v>0.6117464231750892</v>
      </c>
      <c r="Q922">
        <v>1.15728567252535</v>
      </c>
      <c r="R922">
        <v>-9.8633031925842012</v>
      </c>
      <c r="S922">
        <v>0.19990980725109769</v>
      </c>
      <c r="T922">
        <v>0.15288835430517589</v>
      </c>
      <c r="U922">
        <v>4.3319153779302466</v>
      </c>
      <c r="V922">
        <v>0.21683992469153379</v>
      </c>
      <c r="W922">
        <v>-4.8500395911132896</v>
      </c>
      <c r="X922">
        <v>0.32084413503725873</v>
      </c>
      <c r="Z922" t="s">
        <v>392</v>
      </c>
      <c r="AA922">
        <v>9400</v>
      </c>
      <c r="AB922" t="s">
        <v>3341</v>
      </c>
      <c r="AC922" t="str">
        <f>HYPERLINK("plots/3FT6Y578R01_012_S11P_20251111092011_M5358ACSH101811_RBGEUFRF26/dpll_52094/txpa_55165.png","plot")</f>
        <v>plot</v>
      </c>
    </row>
    <row r="923" spans="1:29" x14ac:dyDescent="0.35">
      <c r="A923" t="s">
        <v>48</v>
      </c>
      <c r="B923">
        <v>52094</v>
      </c>
      <c r="C923" t="s">
        <v>53</v>
      </c>
      <c r="D923">
        <v>55166</v>
      </c>
      <c r="E923" t="s">
        <v>299</v>
      </c>
      <c r="F923">
        <v>12242</v>
      </c>
      <c r="G923">
        <v>0.79395988708858711</v>
      </c>
      <c r="H923">
        <v>0</v>
      </c>
      <c r="I923">
        <v>0</v>
      </c>
      <c r="J923">
        <v>0.68327717541753641</v>
      </c>
      <c r="K923">
        <v>0</v>
      </c>
      <c r="L923">
        <v>0</v>
      </c>
      <c r="M923">
        <v>0.49619687676037588</v>
      </c>
      <c r="N923">
        <v>0</v>
      </c>
      <c r="O923">
        <v>0</v>
      </c>
      <c r="P923">
        <v>0.63037230230572194</v>
      </c>
      <c r="Q923">
        <v>1.1796965032434961</v>
      </c>
      <c r="R923">
        <v>-9.928103371557869</v>
      </c>
      <c r="S923">
        <v>0.19587970525653001</v>
      </c>
      <c r="T923">
        <v>0.15118230471945829</v>
      </c>
      <c r="U923">
        <v>4.3319235655121711</v>
      </c>
      <c r="V923">
        <v>0.21684688906752619</v>
      </c>
      <c r="W923">
        <v>-4.8177482890050642</v>
      </c>
      <c r="X923">
        <v>0.32219954802785677</v>
      </c>
      <c r="Z923" t="s">
        <v>392</v>
      </c>
      <c r="AA923">
        <v>9400</v>
      </c>
      <c r="AB923" t="s">
        <v>3342</v>
      </c>
      <c r="AC923" t="str">
        <f>HYPERLINK("plots/3FT6Y578R01_012_S11P_20251111092011_M5358ACSH101811_RBGEUFRF26/dpll_52094/txpa_55166.png","plot")</f>
        <v>plot</v>
      </c>
    </row>
    <row r="924" spans="1:29" x14ac:dyDescent="0.35">
      <c r="A924" t="s">
        <v>48</v>
      </c>
      <c r="B924">
        <v>52094</v>
      </c>
      <c r="C924" t="s">
        <v>53</v>
      </c>
      <c r="D924">
        <v>55167</v>
      </c>
      <c r="E924" t="s">
        <v>300</v>
      </c>
      <c r="F924">
        <v>12240</v>
      </c>
      <c r="G924">
        <v>0.79348888174023158</v>
      </c>
      <c r="H924">
        <v>0</v>
      </c>
      <c r="I924">
        <v>0</v>
      </c>
      <c r="J924">
        <v>0.6779407215612594</v>
      </c>
      <c r="K924">
        <v>0</v>
      </c>
      <c r="L924">
        <v>0</v>
      </c>
      <c r="M924">
        <v>0.49075975990156112</v>
      </c>
      <c r="N924">
        <v>0</v>
      </c>
      <c r="O924">
        <v>0</v>
      </c>
      <c r="P924">
        <v>0.62962460544536325</v>
      </c>
      <c r="Q924">
        <v>1.1810560289759831</v>
      </c>
      <c r="R924">
        <v>-9.9582622301638342</v>
      </c>
      <c r="S924">
        <v>0.19638574186208921</v>
      </c>
      <c r="T924">
        <v>0.15266684248214299</v>
      </c>
      <c r="U924">
        <v>4.3319400696078434</v>
      </c>
      <c r="V924">
        <v>0.21680883535870621</v>
      </c>
      <c r="W924">
        <v>-4.8419982937908497</v>
      </c>
      <c r="X924">
        <v>0.32270569635970031</v>
      </c>
      <c r="Z924" t="s">
        <v>392</v>
      </c>
      <c r="AA924">
        <v>9400</v>
      </c>
      <c r="AB924" t="s">
        <v>3343</v>
      </c>
      <c r="AC924" t="str">
        <f>HYPERLINK("plots/3FT6Y578R01_012_S11P_20251111092011_M5358ACSH101811_RBGEUFRF26/dpll_52094/txpa_55167.png","plot")</f>
        <v>plot</v>
      </c>
    </row>
    <row r="925" spans="1:29" x14ac:dyDescent="0.35">
      <c r="A925" t="s">
        <v>48</v>
      </c>
      <c r="B925">
        <v>52094</v>
      </c>
      <c r="C925" t="s">
        <v>53</v>
      </c>
      <c r="D925">
        <v>55168</v>
      </c>
      <c r="E925" t="s">
        <v>301</v>
      </c>
      <c r="F925">
        <v>12241</v>
      </c>
      <c r="G925">
        <v>0.79605081240415332</v>
      </c>
      <c r="H925">
        <v>0</v>
      </c>
      <c r="I925">
        <v>0</v>
      </c>
      <c r="J925">
        <v>0.68629818413684041</v>
      </c>
      <c r="K925">
        <v>0</v>
      </c>
      <c r="L925">
        <v>0</v>
      </c>
      <c r="M925">
        <v>0.498737836918758</v>
      </c>
      <c r="N925">
        <v>0</v>
      </c>
      <c r="O925">
        <v>0</v>
      </c>
      <c r="P925">
        <v>0.63369689592931255</v>
      </c>
      <c r="Q925">
        <v>1.187378116235893</v>
      </c>
      <c r="R925">
        <v>-9.9944274732589697</v>
      </c>
      <c r="S925">
        <v>0.1957080750317792</v>
      </c>
      <c r="T925">
        <v>0.15184855692980309</v>
      </c>
      <c r="U925">
        <v>4.3319197416877699</v>
      </c>
      <c r="V925">
        <v>0.2167993297959015</v>
      </c>
      <c r="W925">
        <v>-4.8508007706886689</v>
      </c>
      <c r="X925">
        <v>0.32337480950094011</v>
      </c>
      <c r="Z925" t="s">
        <v>392</v>
      </c>
      <c r="AA925">
        <v>9400</v>
      </c>
      <c r="AB925" t="s">
        <v>3344</v>
      </c>
      <c r="AC925" t="str">
        <f>HYPERLINK("plots/3FT6Y578R01_012_S11P_20251111092011_M5358ACSH101811_RBGEUFRF26/dpll_52094/txpa_55168.png","plot")</f>
        <v>plot</v>
      </c>
    </row>
    <row r="926" spans="1:29" x14ac:dyDescent="0.35">
      <c r="A926" t="s">
        <v>48</v>
      </c>
      <c r="B926">
        <v>52094</v>
      </c>
      <c r="C926" t="s">
        <v>53</v>
      </c>
      <c r="D926">
        <v>55169</v>
      </c>
      <c r="E926" t="s">
        <v>302</v>
      </c>
      <c r="F926">
        <v>12242</v>
      </c>
      <c r="G926">
        <v>0.79518814869622156</v>
      </c>
      <c r="H926">
        <v>0</v>
      </c>
      <c r="I926">
        <v>0</v>
      </c>
      <c r="J926">
        <v>0.68009336598280901</v>
      </c>
      <c r="K926">
        <v>0</v>
      </c>
      <c r="L926">
        <v>0</v>
      </c>
      <c r="M926">
        <v>0.49362656547032091</v>
      </c>
      <c r="N926">
        <v>0</v>
      </c>
      <c r="O926">
        <v>0</v>
      </c>
      <c r="P926">
        <v>0.63232419182692423</v>
      </c>
      <c r="Q926">
        <v>1.1812553798572889</v>
      </c>
      <c r="R926">
        <v>-9.9637138641642977</v>
      </c>
      <c r="S926">
        <v>0.19528971516173321</v>
      </c>
      <c r="T926">
        <v>0.1517359331102304</v>
      </c>
      <c r="U926">
        <v>4.331949619669988</v>
      </c>
      <c r="V926">
        <v>0.21681567757630049</v>
      </c>
      <c r="W926">
        <v>-4.846575070658389</v>
      </c>
      <c r="X926">
        <v>0.32208061198388072</v>
      </c>
      <c r="Z926" t="s">
        <v>392</v>
      </c>
      <c r="AA926">
        <v>9400</v>
      </c>
      <c r="AB926" t="s">
        <v>3345</v>
      </c>
      <c r="AC926" t="str">
        <f>HYPERLINK("plots/3FT6Y578R01_012_S11P_20251111092011_M5358ACSH101811_RBGEUFRF26/dpll_52094/txpa_55169.png","plot")</f>
        <v>plot</v>
      </c>
    </row>
    <row r="927" spans="1:29" x14ac:dyDescent="0.35">
      <c r="A927" t="s">
        <v>48</v>
      </c>
      <c r="B927">
        <v>52094</v>
      </c>
      <c r="C927" t="s">
        <v>53</v>
      </c>
      <c r="D927">
        <v>55170</v>
      </c>
      <c r="E927" t="s">
        <v>303</v>
      </c>
      <c r="F927">
        <v>12239</v>
      </c>
      <c r="G927">
        <v>0.78858941636989022</v>
      </c>
      <c r="H927">
        <v>0</v>
      </c>
      <c r="I927">
        <v>0</v>
      </c>
      <c r="J927">
        <v>0.67154656130469392</v>
      </c>
      <c r="K927">
        <v>0</v>
      </c>
      <c r="L927">
        <v>0</v>
      </c>
      <c r="M927">
        <v>0.48687187098613449</v>
      </c>
      <c r="N927">
        <v>0</v>
      </c>
      <c r="O927">
        <v>0</v>
      </c>
      <c r="P927">
        <v>0.62187326761060413</v>
      </c>
      <c r="Q927">
        <v>1.169794930463113</v>
      </c>
      <c r="R927">
        <v>-9.9435442347621343</v>
      </c>
      <c r="S927">
        <v>0.1977701897383668</v>
      </c>
      <c r="T927">
        <v>0.1528345452229414</v>
      </c>
      <c r="U927">
        <v>4.3319942728981129</v>
      </c>
      <c r="V927">
        <v>0.21682087438449071</v>
      </c>
      <c r="W927">
        <v>-4.875999295530681</v>
      </c>
      <c r="X927">
        <v>0.32163246729979961</v>
      </c>
      <c r="Z927" t="s">
        <v>392</v>
      </c>
      <c r="AA927">
        <v>9400</v>
      </c>
      <c r="AB927" t="s">
        <v>3346</v>
      </c>
      <c r="AC927" t="str">
        <f>HYPERLINK("plots/3FT6Y578R01_012_S11P_20251111092011_M5358ACSH101811_RBGEUFRF26/dpll_52094/txpa_55170.png","plot")</f>
        <v>plot</v>
      </c>
    </row>
    <row r="928" spans="1:29" x14ac:dyDescent="0.35">
      <c r="A928" t="s">
        <v>48</v>
      </c>
      <c r="B928">
        <v>52094</v>
      </c>
      <c r="C928" t="s">
        <v>53</v>
      </c>
      <c r="D928">
        <v>55171</v>
      </c>
      <c r="E928" t="s">
        <v>304</v>
      </c>
      <c r="F928">
        <v>12243</v>
      </c>
      <c r="G928">
        <v>0.77869484398789501</v>
      </c>
      <c r="H928">
        <v>0</v>
      </c>
      <c r="I928">
        <v>0</v>
      </c>
      <c r="J928">
        <v>0.68105737771852248</v>
      </c>
      <c r="K928">
        <v>0</v>
      </c>
      <c r="L928">
        <v>0</v>
      </c>
      <c r="M928">
        <v>0.4913942826114065</v>
      </c>
      <c r="N928">
        <v>0</v>
      </c>
      <c r="O928">
        <v>0</v>
      </c>
      <c r="P928">
        <v>0.60636566005333215</v>
      </c>
      <c r="Q928">
        <v>1.169812777285157</v>
      </c>
      <c r="R928">
        <v>-6.9984879740048216</v>
      </c>
      <c r="S928">
        <v>0.2043699606903959</v>
      </c>
      <c r="T928">
        <v>0.15386524688585379</v>
      </c>
      <c r="U928">
        <v>4.3319153779302466</v>
      </c>
      <c r="V928">
        <v>0.21683992469153379</v>
      </c>
      <c r="W928">
        <v>-1.930958014783958</v>
      </c>
      <c r="X928">
        <v>0.32575291397929262</v>
      </c>
      <c r="Z928" t="s">
        <v>392</v>
      </c>
      <c r="AA928">
        <v>9400</v>
      </c>
      <c r="AB928" t="s">
        <v>3347</v>
      </c>
      <c r="AC928" t="str">
        <f>HYPERLINK("plots/3FT6Y578R01_012_S11P_20251111092011_M5358ACSH101811_RBGEUFRF26/dpll_52094/txpa_55171.png","plot")</f>
        <v>plot</v>
      </c>
    </row>
    <row r="929" spans="1:29" x14ac:dyDescent="0.35">
      <c r="A929" t="s">
        <v>48</v>
      </c>
      <c r="B929">
        <v>52094</v>
      </c>
      <c r="C929" t="s">
        <v>53</v>
      </c>
      <c r="D929">
        <v>55172</v>
      </c>
      <c r="E929" t="s">
        <v>305</v>
      </c>
      <c r="F929">
        <v>12242</v>
      </c>
      <c r="G929">
        <v>0.79708246187229503</v>
      </c>
      <c r="H929">
        <v>0</v>
      </c>
      <c r="I929">
        <v>0</v>
      </c>
      <c r="J929">
        <v>0.69341389953510901</v>
      </c>
      <c r="K929">
        <v>0</v>
      </c>
      <c r="L929">
        <v>0</v>
      </c>
      <c r="M929">
        <v>0.50448466078866083</v>
      </c>
      <c r="N929">
        <v>0</v>
      </c>
      <c r="O929">
        <v>0</v>
      </c>
      <c r="P929">
        <v>0.63534045102439862</v>
      </c>
      <c r="Q929">
        <v>1.194160902846553</v>
      </c>
      <c r="R929">
        <v>-7.0683430005114731</v>
      </c>
      <c r="S929">
        <v>0.1961690355038222</v>
      </c>
      <c r="T929">
        <v>0.1495633269248979</v>
      </c>
      <c r="U929">
        <v>4.3319007004574406</v>
      </c>
      <c r="V929">
        <v>0.21684269964686589</v>
      </c>
      <c r="W929">
        <v>-1.8953565490116</v>
      </c>
      <c r="X929">
        <v>0.32486610403864619</v>
      </c>
      <c r="Z929" t="s">
        <v>392</v>
      </c>
      <c r="AA929">
        <v>9400</v>
      </c>
      <c r="AB929" t="s">
        <v>3348</v>
      </c>
      <c r="AC929" t="str">
        <f>HYPERLINK("plots/3FT6Y578R01_012_S11P_20251111092011_M5358ACSH101811_RBGEUFRF26/dpll_52094/txpa_55172.png","plot")</f>
        <v>plot</v>
      </c>
    </row>
    <row r="930" spans="1:29" x14ac:dyDescent="0.35">
      <c r="A930" t="s">
        <v>48</v>
      </c>
      <c r="B930">
        <v>52094</v>
      </c>
      <c r="C930" t="s">
        <v>53</v>
      </c>
      <c r="D930">
        <v>55173</v>
      </c>
      <c r="E930" t="s">
        <v>306</v>
      </c>
      <c r="F930">
        <v>12243</v>
      </c>
      <c r="G930">
        <v>0.79440591936536398</v>
      </c>
      <c r="H930">
        <v>0</v>
      </c>
      <c r="I930">
        <v>0</v>
      </c>
      <c r="J930">
        <v>0.68977549899351454</v>
      </c>
      <c r="K930">
        <v>0</v>
      </c>
      <c r="L930">
        <v>0</v>
      </c>
      <c r="M930">
        <v>0.50111275162131397</v>
      </c>
      <c r="N930">
        <v>0</v>
      </c>
      <c r="O930">
        <v>0</v>
      </c>
      <c r="P930">
        <v>0.63108076472272923</v>
      </c>
      <c r="Q930">
        <v>1.1781449415676051</v>
      </c>
      <c r="R930">
        <v>-6.9865016066987229</v>
      </c>
      <c r="S930">
        <v>0.195318514163033</v>
      </c>
      <c r="T930">
        <v>0.14871889235500141</v>
      </c>
      <c r="U930">
        <v>4.3319153779302466</v>
      </c>
      <c r="V930">
        <v>0.21683992469153379</v>
      </c>
      <c r="W930">
        <v>-1.882877416891285</v>
      </c>
      <c r="X930">
        <v>0.3215847895611354</v>
      </c>
      <c r="Z930" t="s">
        <v>392</v>
      </c>
      <c r="AA930">
        <v>9400</v>
      </c>
      <c r="AB930" t="s">
        <v>3349</v>
      </c>
      <c r="AC930" t="str">
        <f>HYPERLINK("plots/3FT6Y578R01_012_S11P_20251111092011_M5358ACSH101811_RBGEUFRF26/dpll_52094/txpa_55173.png","plot")</f>
        <v>plot</v>
      </c>
    </row>
    <row r="931" spans="1:29" x14ac:dyDescent="0.35">
      <c r="A931" t="s">
        <v>48</v>
      </c>
      <c r="B931">
        <v>52094</v>
      </c>
      <c r="C931" t="s">
        <v>53</v>
      </c>
      <c r="D931">
        <v>55174</v>
      </c>
      <c r="E931" t="s">
        <v>307</v>
      </c>
      <c r="F931">
        <v>12242</v>
      </c>
      <c r="G931">
        <v>0.80566387768492598</v>
      </c>
      <c r="H931">
        <v>0</v>
      </c>
      <c r="I931">
        <v>0</v>
      </c>
      <c r="J931">
        <v>0.69657358765836641</v>
      </c>
      <c r="K931">
        <v>0</v>
      </c>
      <c r="L931">
        <v>0</v>
      </c>
      <c r="M931">
        <v>0.50734291710869017</v>
      </c>
      <c r="N931">
        <v>0</v>
      </c>
      <c r="O931">
        <v>0</v>
      </c>
      <c r="P931">
        <v>0.6490942838063114</v>
      </c>
      <c r="Q931">
        <v>1.199030339340885</v>
      </c>
      <c r="R931">
        <v>-7.0497659746352479</v>
      </c>
      <c r="S931">
        <v>0.19116437394930111</v>
      </c>
      <c r="T931">
        <v>0.14721696728623601</v>
      </c>
      <c r="U931">
        <v>4.3319235655121711</v>
      </c>
      <c r="V931">
        <v>0.21684688906752619</v>
      </c>
      <c r="W931">
        <v>-1.855658191880412</v>
      </c>
      <c r="X931">
        <v>0.32272267155724821</v>
      </c>
      <c r="Z931" t="s">
        <v>392</v>
      </c>
      <c r="AA931">
        <v>9400</v>
      </c>
      <c r="AB931" t="s">
        <v>3350</v>
      </c>
      <c r="AC931" t="str">
        <f>HYPERLINK("plots/3FT6Y578R01_012_S11P_20251111092011_M5358ACSH101811_RBGEUFRF26/dpll_52094/txpa_55174.png","plot")</f>
        <v>plot</v>
      </c>
    </row>
    <row r="932" spans="1:29" x14ac:dyDescent="0.35">
      <c r="A932" t="s">
        <v>48</v>
      </c>
      <c r="B932">
        <v>52094</v>
      </c>
      <c r="C932" t="s">
        <v>53</v>
      </c>
      <c r="D932">
        <v>55175</v>
      </c>
      <c r="E932" t="s">
        <v>308</v>
      </c>
      <c r="F932">
        <v>12240</v>
      </c>
      <c r="G932">
        <v>0.80548754499966202</v>
      </c>
      <c r="H932">
        <v>0</v>
      </c>
      <c r="I932">
        <v>0</v>
      </c>
      <c r="J932">
        <v>0.6921143805831057</v>
      </c>
      <c r="K932">
        <v>0</v>
      </c>
      <c r="L932">
        <v>0</v>
      </c>
      <c r="M932">
        <v>0.502650317939345</v>
      </c>
      <c r="N932">
        <v>0</v>
      </c>
      <c r="O932">
        <v>0</v>
      </c>
      <c r="P932">
        <v>0.64881018514958255</v>
      </c>
      <c r="Q932">
        <v>1.2037498996495939</v>
      </c>
      <c r="R932">
        <v>-7.093173682085034</v>
      </c>
      <c r="S932">
        <v>0.19200282803538021</v>
      </c>
      <c r="T932">
        <v>0.14865478806843591</v>
      </c>
      <c r="U932">
        <v>4.3319400696078434</v>
      </c>
      <c r="V932">
        <v>0.21680883535870621</v>
      </c>
      <c r="W932">
        <v>-1.8786012580065361</v>
      </c>
      <c r="X932">
        <v>0.3240070134247669</v>
      </c>
      <c r="Z932" t="s">
        <v>392</v>
      </c>
      <c r="AA932">
        <v>9400</v>
      </c>
      <c r="AB932" t="s">
        <v>3351</v>
      </c>
      <c r="AC932" t="str">
        <f>HYPERLINK("plots/3FT6Y578R01_012_S11P_20251111092011_M5358ACSH101811_RBGEUFRF26/dpll_52094/txpa_55175.png","plot")</f>
        <v>plot</v>
      </c>
    </row>
    <row r="933" spans="1:29" x14ac:dyDescent="0.35">
      <c r="A933" t="s">
        <v>48</v>
      </c>
      <c r="B933">
        <v>52094</v>
      </c>
      <c r="C933" t="s">
        <v>53</v>
      </c>
      <c r="D933">
        <v>55176</v>
      </c>
      <c r="E933" t="s">
        <v>309</v>
      </c>
      <c r="F933">
        <v>12240</v>
      </c>
      <c r="G933">
        <v>0.80944314130585426</v>
      </c>
      <c r="H933">
        <v>0</v>
      </c>
      <c r="I933">
        <v>0</v>
      </c>
      <c r="J933">
        <v>0.70129150800449391</v>
      </c>
      <c r="K933">
        <v>0</v>
      </c>
      <c r="L933">
        <v>0</v>
      </c>
      <c r="M933">
        <v>0.51139660166807666</v>
      </c>
      <c r="N933">
        <v>0</v>
      </c>
      <c r="O933">
        <v>0</v>
      </c>
      <c r="P933">
        <v>0.6551981990070892</v>
      </c>
      <c r="Q933">
        <v>1.209816880588312</v>
      </c>
      <c r="R933">
        <v>-7.1251244550302149</v>
      </c>
      <c r="S933">
        <v>0.19025097611474109</v>
      </c>
      <c r="T933">
        <v>0.1475155333023877</v>
      </c>
      <c r="U933">
        <v>4.331890278839869</v>
      </c>
      <c r="V933">
        <v>0.21678367779622049</v>
      </c>
      <c r="W933">
        <v>-1.884330470833333</v>
      </c>
      <c r="X933">
        <v>0.32401108793234562</v>
      </c>
      <c r="Z933" t="s">
        <v>392</v>
      </c>
      <c r="AA933">
        <v>9400</v>
      </c>
      <c r="AB933" t="s">
        <v>3352</v>
      </c>
      <c r="AC933" t="str">
        <f>HYPERLINK("plots/3FT6Y578R01_012_S11P_20251111092011_M5358ACSH101811_RBGEUFRF26/dpll_52094/txpa_55176.png","plot")</f>
        <v>plot</v>
      </c>
    </row>
    <row r="934" spans="1:29" x14ac:dyDescent="0.35">
      <c r="A934" t="s">
        <v>48</v>
      </c>
      <c r="B934">
        <v>52094</v>
      </c>
      <c r="C934" t="s">
        <v>53</v>
      </c>
      <c r="D934">
        <v>55177</v>
      </c>
      <c r="E934" t="s">
        <v>310</v>
      </c>
      <c r="F934">
        <v>12242</v>
      </c>
      <c r="G934">
        <v>0.80787711535918549</v>
      </c>
      <c r="H934">
        <v>0</v>
      </c>
      <c r="I934">
        <v>0</v>
      </c>
      <c r="J934">
        <v>0.69543147483154877</v>
      </c>
      <c r="K934">
        <v>0</v>
      </c>
      <c r="L934">
        <v>0</v>
      </c>
      <c r="M934">
        <v>0.50655419830082349</v>
      </c>
      <c r="N934">
        <v>0</v>
      </c>
      <c r="O934">
        <v>0</v>
      </c>
      <c r="P934">
        <v>0.65266543352107875</v>
      </c>
      <c r="Q934">
        <v>1.204816761346722</v>
      </c>
      <c r="R934">
        <v>-7.0984017644779271</v>
      </c>
      <c r="S934">
        <v>0.1905560058653421</v>
      </c>
      <c r="T934">
        <v>0.1475621890031526</v>
      </c>
      <c r="U934">
        <v>4.331949619669988</v>
      </c>
      <c r="V934">
        <v>0.21681567757630049</v>
      </c>
      <c r="W934">
        <v>-1.8791962533899691</v>
      </c>
      <c r="X934">
        <v>0.32334516908618283</v>
      </c>
      <c r="Z934" t="s">
        <v>392</v>
      </c>
      <c r="AA934">
        <v>9400</v>
      </c>
      <c r="AB934" t="s">
        <v>3353</v>
      </c>
      <c r="AC934" t="str">
        <f>HYPERLINK("plots/3FT6Y578R01_012_S11P_20251111092011_M5358ACSH101811_RBGEUFRF26/dpll_52094/txpa_55177.png","plot")</f>
        <v>plot</v>
      </c>
    </row>
    <row r="935" spans="1:29" x14ac:dyDescent="0.35">
      <c r="A935" t="s">
        <v>48</v>
      </c>
      <c r="B935">
        <v>52094</v>
      </c>
      <c r="C935" t="s">
        <v>53</v>
      </c>
      <c r="D935">
        <v>55178</v>
      </c>
      <c r="E935" t="s">
        <v>311</v>
      </c>
      <c r="F935">
        <v>12239</v>
      </c>
      <c r="G935">
        <v>0.80053135725267843</v>
      </c>
      <c r="H935">
        <v>0</v>
      </c>
      <c r="I935">
        <v>0</v>
      </c>
      <c r="J935">
        <v>0.68567746265858431</v>
      </c>
      <c r="K935">
        <v>0</v>
      </c>
      <c r="L935">
        <v>0</v>
      </c>
      <c r="M935">
        <v>0.49844998638376081</v>
      </c>
      <c r="N935">
        <v>0</v>
      </c>
      <c r="O935">
        <v>0</v>
      </c>
      <c r="P935">
        <v>0.64085045394481543</v>
      </c>
      <c r="Q935">
        <v>1.192095980468749</v>
      </c>
      <c r="R935">
        <v>-7.0653136489989494</v>
      </c>
      <c r="S935">
        <v>0.19348793290323271</v>
      </c>
      <c r="T935">
        <v>0.14885596380893151</v>
      </c>
      <c r="U935">
        <v>4.3319942728981129</v>
      </c>
      <c r="V935">
        <v>0.21682087438449071</v>
      </c>
      <c r="W935">
        <v>-1.9011606888634689</v>
      </c>
      <c r="X935">
        <v>0.32287466380144231</v>
      </c>
      <c r="Z935" t="s">
        <v>392</v>
      </c>
      <c r="AA935">
        <v>9400</v>
      </c>
      <c r="AB935" t="s">
        <v>3354</v>
      </c>
      <c r="AC935" t="str">
        <f>HYPERLINK("plots/3FT6Y578R01_012_S11P_20251111092011_M5358ACSH101811_RBGEUFRF26/dpll_52094/txpa_55178.png","plot")</f>
        <v>plot</v>
      </c>
    </row>
    <row r="936" spans="1:29" x14ac:dyDescent="0.35">
      <c r="A936" t="s">
        <v>48</v>
      </c>
      <c r="B936">
        <v>52094</v>
      </c>
      <c r="C936" t="s">
        <v>53</v>
      </c>
      <c r="D936">
        <v>55179</v>
      </c>
      <c r="E936" t="s">
        <v>312</v>
      </c>
      <c r="F936">
        <v>12242</v>
      </c>
      <c r="G936">
        <v>0.79817433283763517</v>
      </c>
      <c r="H936">
        <v>0</v>
      </c>
      <c r="I936">
        <v>0</v>
      </c>
      <c r="J936">
        <v>0.7020225892574069</v>
      </c>
      <c r="K936">
        <v>0</v>
      </c>
      <c r="L936">
        <v>0</v>
      </c>
      <c r="M936">
        <v>0.50975126828656514</v>
      </c>
      <c r="N936">
        <v>0</v>
      </c>
      <c r="O936">
        <v>0</v>
      </c>
      <c r="P936">
        <v>0.63708226560080405</v>
      </c>
      <c r="Q936">
        <v>1.289928960680405</v>
      </c>
      <c r="R936">
        <v>-4.1649761219356751</v>
      </c>
      <c r="S936">
        <v>0.21108928491310569</v>
      </c>
      <c r="T936">
        <v>0.15774442178728651</v>
      </c>
      <c r="U936">
        <v>4.3319436473615429</v>
      </c>
      <c r="V936">
        <v>0.21682621882247419</v>
      </c>
      <c r="W936">
        <v>1.422923444831482</v>
      </c>
      <c r="X936">
        <v>0.35041269505571898</v>
      </c>
      <c r="Z936" t="s">
        <v>392</v>
      </c>
      <c r="AA936">
        <v>9400</v>
      </c>
      <c r="AB936" t="s">
        <v>3355</v>
      </c>
      <c r="AC936" t="str">
        <f>HYPERLINK("plots/3FT6Y578R01_012_S11P_20251111092011_M5358ACSH101811_RBGEUFRF26/dpll_52094/txpa_55179.png","plot")</f>
        <v>plot</v>
      </c>
    </row>
    <row r="937" spans="1:29" x14ac:dyDescent="0.35">
      <c r="A937" t="s">
        <v>48</v>
      </c>
      <c r="B937">
        <v>52094</v>
      </c>
      <c r="C937" t="s">
        <v>53</v>
      </c>
      <c r="D937">
        <v>55180</v>
      </c>
      <c r="E937" t="s">
        <v>313</v>
      </c>
      <c r="F937">
        <v>12242</v>
      </c>
      <c r="G937">
        <v>0.81483749185098664</v>
      </c>
      <c r="H937">
        <v>0</v>
      </c>
      <c r="I937">
        <v>0</v>
      </c>
      <c r="J937">
        <v>0.71434285281647458</v>
      </c>
      <c r="K937">
        <v>0</v>
      </c>
      <c r="L937">
        <v>0</v>
      </c>
      <c r="M937">
        <v>0.52269385596544027</v>
      </c>
      <c r="N937">
        <v>0</v>
      </c>
      <c r="O937">
        <v>0</v>
      </c>
      <c r="P937">
        <v>0.66396013812600674</v>
      </c>
      <c r="Q937">
        <v>1.315158627894035</v>
      </c>
      <c r="R937">
        <v>-4.2417817843165668</v>
      </c>
      <c r="S937">
        <v>0.202875498881365</v>
      </c>
      <c r="T937">
        <v>0.15382282911940509</v>
      </c>
      <c r="U937">
        <v>4.3319007004574406</v>
      </c>
      <c r="V937">
        <v>0.21684269964686589</v>
      </c>
      <c r="W937">
        <v>1.4553547970702501</v>
      </c>
      <c r="X937">
        <v>0.3499870221835143</v>
      </c>
      <c r="Z937" t="s">
        <v>392</v>
      </c>
      <c r="AA937">
        <v>9400</v>
      </c>
      <c r="AB937" t="s">
        <v>3356</v>
      </c>
      <c r="AC937" t="str">
        <f>HYPERLINK("plots/3FT6Y578R01_012_S11P_20251111092011_M5358ACSH101811_RBGEUFRF26/dpll_52094/txpa_55180.png","plot")</f>
        <v>plot</v>
      </c>
    </row>
    <row r="938" spans="1:29" x14ac:dyDescent="0.35">
      <c r="A938" t="s">
        <v>48</v>
      </c>
      <c r="B938">
        <v>52094</v>
      </c>
      <c r="C938" t="s">
        <v>53</v>
      </c>
      <c r="D938">
        <v>55181</v>
      </c>
      <c r="E938" t="s">
        <v>314</v>
      </c>
      <c r="F938">
        <v>12243</v>
      </c>
      <c r="G938">
        <v>0.81227080108721272</v>
      </c>
      <c r="H938">
        <v>0</v>
      </c>
      <c r="I938">
        <v>0</v>
      </c>
      <c r="J938">
        <v>0.71048164574764716</v>
      </c>
      <c r="K938">
        <v>0</v>
      </c>
      <c r="L938">
        <v>0</v>
      </c>
      <c r="M938">
        <v>0.51891800692304735</v>
      </c>
      <c r="N938">
        <v>0</v>
      </c>
      <c r="O938">
        <v>0</v>
      </c>
      <c r="P938">
        <v>0.65978385429886233</v>
      </c>
      <c r="Q938">
        <v>1.2998821342623259</v>
      </c>
      <c r="R938">
        <v>-4.1643916365761404</v>
      </c>
      <c r="S938">
        <v>0.2023960831813266</v>
      </c>
      <c r="T938">
        <v>0.15292115169823639</v>
      </c>
      <c r="U938">
        <v>4.3319153779302466</v>
      </c>
      <c r="V938">
        <v>0.21683992469153379</v>
      </c>
      <c r="W938">
        <v>1.4665877703316179</v>
      </c>
      <c r="X938">
        <v>0.3470103119846718</v>
      </c>
      <c r="Z938" t="s">
        <v>392</v>
      </c>
      <c r="AA938">
        <v>9400</v>
      </c>
      <c r="AB938" t="s">
        <v>3357</v>
      </c>
      <c r="AC938" t="str">
        <f>HYPERLINK("plots/3FT6Y578R01_012_S11P_20251111092011_M5358ACSH101811_RBGEUFRF26/dpll_52094/txpa_55181.png","plot")</f>
        <v>plot</v>
      </c>
    </row>
    <row r="939" spans="1:29" x14ac:dyDescent="0.35">
      <c r="A939" t="s">
        <v>48</v>
      </c>
      <c r="B939">
        <v>52094</v>
      </c>
      <c r="C939" t="s">
        <v>53</v>
      </c>
      <c r="D939">
        <v>55182</v>
      </c>
      <c r="E939" t="s">
        <v>315</v>
      </c>
      <c r="F939">
        <v>12242</v>
      </c>
      <c r="G939">
        <v>0.82315374983158029</v>
      </c>
      <c r="H939">
        <v>0</v>
      </c>
      <c r="I939">
        <v>0</v>
      </c>
      <c r="J939">
        <v>0.71691453166829133</v>
      </c>
      <c r="K939">
        <v>0</v>
      </c>
      <c r="L939">
        <v>0</v>
      </c>
      <c r="M939">
        <v>0.52518533688807378</v>
      </c>
      <c r="N939">
        <v>0</v>
      </c>
      <c r="O939">
        <v>0</v>
      </c>
      <c r="P939">
        <v>0.67758209586179186</v>
      </c>
      <c r="Q939">
        <v>1.31952896067366</v>
      </c>
      <c r="R939">
        <v>-4.2271615513016423</v>
      </c>
      <c r="S939">
        <v>0.19737084398017271</v>
      </c>
      <c r="T939">
        <v>0.15112371481748149</v>
      </c>
      <c r="U939">
        <v>4.3319235655121711</v>
      </c>
      <c r="V939">
        <v>0.21684688906752619</v>
      </c>
      <c r="W939">
        <v>1.48893704881637</v>
      </c>
      <c r="X939">
        <v>0.347609119456886</v>
      </c>
      <c r="Z939" t="s">
        <v>392</v>
      </c>
      <c r="AA939">
        <v>9400</v>
      </c>
      <c r="AB939" t="s">
        <v>3358</v>
      </c>
      <c r="AC939" t="str">
        <f>HYPERLINK("plots/3FT6Y578R01_012_S11P_20251111092011_M5358ACSH101811_RBGEUFRF26/dpll_52094/txpa_55182.png","plot")</f>
        <v>plot</v>
      </c>
    </row>
    <row r="940" spans="1:29" x14ac:dyDescent="0.35">
      <c r="A940" t="s">
        <v>48</v>
      </c>
      <c r="B940">
        <v>52094</v>
      </c>
      <c r="C940" t="s">
        <v>53</v>
      </c>
      <c r="D940">
        <v>55183</v>
      </c>
      <c r="E940" t="s">
        <v>316</v>
      </c>
      <c r="F940">
        <v>12240</v>
      </c>
      <c r="G940">
        <v>0.82348422404691668</v>
      </c>
      <c r="H940">
        <v>0</v>
      </c>
      <c r="I940">
        <v>0</v>
      </c>
      <c r="J940">
        <v>0.71427953427821678</v>
      </c>
      <c r="K940">
        <v>0</v>
      </c>
      <c r="L940">
        <v>0</v>
      </c>
      <c r="M940">
        <v>0.52213518147314997</v>
      </c>
      <c r="N940">
        <v>0</v>
      </c>
      <c r="O940">
        <v>0</v>
      </c>
      <c r="P940">
        <v>0.67812626725415248</v>
      </c>
      <c r="Q940">
        <v>1.324781029628977</v>
      </c>
      <c r="R940">
        <v>-4.2730959812525082</v>
      </c>
      <c r="S940">
        <v>0.19787495097167809</v>
      </c>
      <c r="T940">
        <v>0.15227494381139589</v>
      </c>
      <c r="U940">
        <v>4.3319400696078434</v>
      </c>
      <c r="V940">
        <v>0.21680883535870621</v>
      </c>
      <c r="W940">
        <v>1.465776044453595</v>
      </c>
      <c r="X940">
        <v>0.34879142034760108</v>
      </c>
      <c r="Z940" t="s">
        <v>392</v>
      </c>
      <c r="AA940">
        <v>9400</v>
      </c>
      <c r="AB940" t="s">
        <v>3359</v>
      </c>
      <c r="AC940" t="str">
        <f>HYPERLINK("plots/3FT6Y578R01_012_S11P_20251111092011_M5358ACSH101811_RBGEUFRF26/dpll_52094/txpa_55183.png","plot")</f>
        <v>plot</v>
      </c>
    </row>
    <row r="941" spans="1:29" x14ac:dyDescent="0.35">
      <c r="A941" t="s">
        <v>48</v>
      </c>
      <c r="B941">
        <v>52094</v>
      </c>
      <c r="C941" t="s">
        <v>53</v>
      </c>
      <c r="D941">
        <v>55184</v>
      </c>
      <c r="E941" t="s">
        <v>317</v>
      </c>
      <c r="F941">
        <v>12240</v>
      </c>
      <c r="G941">
        <v>0.82639062728527601</v>
      </c>
      <c r="H941">
        <v>0</v>
      </c>
      <c r="I941">
        <v>0</v>
      </c>
      <c r="J941">
        <v>0.72037248058599257</v>
      </c>
      <c r="K941">
        <v>0</v>
      </c>
      <c r="L941">
        <v>0</v>
      </c>
      <c r="M941">
        <v>0.52829336439742836</v>
      </c>
      <c r="N941">
        <v>0</v>
      </c>
      <c r="O941">
        <v>0</v>
      </c>
      <c r="P941">
        <v>0.68292146886495197</v>
      </c>
      <c r="Q941">
        <v>1.331506149191769</v>
      </c>
      <c r="R941">
        <v>-4.3039028563584836</v>
      </c>
      <c r="S941">
        <v>0.1966754039459174</v>
      </c>
      <c r="T941">
        <v>0.1516432371153999</v>
      </c>
      <c r="U941">
        <v>4.331890278839869</v>
      </c>
      <c r="V941">
        <v>0.21678367779622049</v>
      </c>
      <c r="W941">
        <v>1.46403568754085</v>
      </c>
      <c r="X941">
        <v>0.34928856947264381</v>
      </c>
      <c r="Z941" t="s">
        <v>392</v>
      </c>
      <c r="AA941">
        <v>9400</v>
      </c>
      <c r="AB941" t="s">
        <v>3360</v>
      </c>
      <c r="AC941" t="str">
        <f>HYPERLINK("plots/3FT6Y578R01_012_S11P_20251111092011_M5358ACSH101811_RBGEUFRF26/dpll_52094/txpa_55184.png","plot")</f>
        <v>plot</v>
      </c>
    </row>
    <row r="942" spans="1:29" x14ac:dyDescent="0.35">
      <c r="A942" t="s">
        <v>48</v>
      </c>
      <c r="B942">
        <v>52094</v>
      </c>
      <c r="C942" t="s">
        <v>53</v>
      </c>
      <c r="D942">
        <v>55185</v>
      </c>
      <c r="E942" t="s">
        <v>318</v>
      </c>
      <c r="F942">
        <v>12242</v>
      </c>
      <c r="G942">
        <v>0.82508689095457222</v>
      </c>
      <c r="H942">
        <v>0</v>
      </c>
      <c r="I942">
        <v>0</v>
      </c>
      <c r="J942">
        <v>0.71513293172872194</v>
      </c>
      <c r="K942">
        <v>0</v>
      </c>
      <c r="L942">
        <v>0</v>
      </c>
      <c r="M942">
        <v>0.52396879084581161</v>
      </c>
      <c r="N942">
        <v>0</v>
      </c>
      <c r="O942">
        <v>0</v>
      </c>
      <c r="P942">
        <v>0.68076837762508213</v>
      </c>
      <c r="Q942">
        <v>1.3270729728316659</v>
      </c>
      <c r="R942">
        <v>-4.2789867422065928</v>
      </c>
      <c r="S942">
        <v>0.1970248535550331</v>
      </c>
      <c r="T942">
        <v>0.1515746598203378</v>
      </c>
      <c r="U942">
        <v>4.331949619669988</v>
      </c>
      <c r="V942">
        <v>0.21681567757630049</v>
      </c>
      <c r="W942">
        <v>1.469826517725862</v>
      </c>
      <c r="X942">
        <v>0.34872718128487978</v>
      </c>
      <c r="Z942" t="s">
        <v>392</v>
      </c>
      <c r="AA942">
        <v>9400</v>
      </c>
      <c r="AB942" t="s">
        <v>3361</v>
      </c>
      <c r="AC942" t="str">
        <f>HYPERLINK("plots/3FT6Y578R01_012_S11P_20251111092011_M5358ACSH101811_RBGEUFRF26/dpll_52094/txpa_55185.png","plot")</f>
        <v>plot</v>
      </c>
    </row>
    <row r="943" spans="1:29" x14ac:dyDescent="0.35">
      <c r="A943" t="s">
        <v>48</v>
      </c>
      <c r="B943">
        <v>52094</v>
      </c>
      <c r="C943" t="s">
        <v>53</v>
      </c>
      <c r="D943">
        <v>55186</v>
      </c>
      <c r="E943" t="s">
        <v>319</v>
      </c>
      <c r="F943">
        <v>12238</v>
      </c>
      <c r="G943">
        <v>0.81873694455998591</v>
      </c>
      <c r="H943">
        <v>0</v>
      </c>
      <c r="I943">
        <v>0</v>
      </c>
      <c r="J943">
        <v>0.70631931032014994</v>
      </c>
      <c r="K943">
        <v>0</v>
      </c>
      <c r="L943">
        <v>0</v>
      </c>
      <c r="M943">
        <v>0.51634146235968514</v>
      </c>
      <c r="N943">
        <v>0</v>
      </c>
      <c r="O943">
        <v>0</v>
      </c>
      <c r="P943">
        <v>0.67033018438742142</v>
      </c>
      <c r="Q943">
        <v>1.311414668549872</v>
      </c>
      <c r="R943">
        <v>-4.2287230721788562</v>
      </c>
      <c r="S943">
        <v>0.19938797405936781</v>
      </c>
      <c r="T943">
        <v>0.15273167194943879</v>
      </c>
      <c r="U943">
        <v>4.3320199833306097</v>
      </c>
      <c r="V943">
        <v>0.2168110752239184</v>
      </c>
      <c r="W943">
        <v>1.452351478412077</v>
      </c>
      <c r="X943">
        <v>0.34727787263285581</v>
      </c>
      <c r="Z943" t="s">
        <v>392</v>
      </c>
      <c r="AA943">
        <v>9400</v>
      </c>
      <c r="AB943" t="s">
        <v>3362</v>
      </c>
      <c r="AC943" t="str">
        <f>HYPERLINK("plots/3FT6Y578R01_012_S11P_20251111092011_M5358ACSH101811_RBGEUFRF26/dpll_52094/txpa_55186.png","plot")</f>
        <v>plot</v>
      </c>
    </row>
    <row r="944" spans="1:29" x14ac:dyDescent="0.35">
      <c r="A944" t="s">
        <v>48</v>
      </c>
      <c r="B944">
        <v>52094</v>
      </c>
      <c r="C944" t="s">
        <v>53</v>
      </c>
      <c r="D944">
        <v>55187</v>
      </c>
      <c r="E944" t="s">
        <v>320</v>
      </c>
      <c r="F944">
        <v>12242</v>
      </c>
      <c r="G944">
        <v>0.8097643867179839</v>
      </c>
      <c r="H944">
        <v>0</v>
      </c>
      <c r="I944">
        <v>0</v>
      </c>
      <c r="J944">
        <v>0.71275539926040765</v>
      </c>
      <c r="K944">
        <v>0</v>
      </c>
      <c r="L944">
        <v>0</v>
      </c>
      <c r="M944">
        <v>0.51965395072305554</v>
      </c>
      <c r="N944">
        <v>0</v>
      </c>
      <c r="O944">
        <v>0</v>
      </c>
      <c r="P944">
        <v>0.6557183619967526</v>
      </c>
      <c r="Q944">
        <v>1.409549403841718</v>
      </c>
      <c r="R944">
        <v>-2.8145985392984181</v>
      </c>
      <c r="S944">
        <v>0.22144843608534179</v>
      </c>
      <c r="T944">
        <v>0.16510246767613301</v>
      </c>
      <c r="U944">
        <v>4.3319436473615429</v>
      </c>
      <c r="V944">
        <v>0.21682621882247419</v>
      </c>
      <c r="W944">
        <v>3.2914900463159609</v>
      </c>
      <c r="X944">
        <v>0.3774274004778046</v>
      </c>
      <c r="Z944" t="s">
        <v>392</v>
      </c>
      <c r="AA944">
        <v>9400</v>
      </c>
      <c r="AB944" t="s">
        <v>3363</v>
      </c>
      <c r="AC944" t="str">
        <f>HYPERLINK("plots/3FT6Y578R01_012_S11P_20251111092011_M5358ACSH101811_RBGEUFRF26/dpll_52094/txpa_55187.png","plot")</f>
        <v>plot</v>
      </c>
    </row>
    <row r="945" spans="1:29" x14ac:dyDescent="0.35">
      <c r="A945" t="s">
        <v>48</v>
      </c>
      <c r="B945">
        <v>52094</v>
      </c>
      <c r="C945" t="s">
        <v>53</v>
      </c>
      <c r="D945">
        <v>55188</v>
      </c>
      <c r="E945" t="s">
        <v>321</v>
      </c>
      <c r="F945">
        <v>12242</v>
      </c>
      <c r="G945">
        <v>0.82504854327397481</v>
      </c>
      <c r="H945">
        <v>0</v>
      </c>
      <c r="I945">
        <v>0</v>
      </c>
      <c r="J945">
        <v>0.72410738777113959</v>
      </c>
      <c r="K945">
        <v>0</v>
      </c>
      <c r="L945">
        <v>0</v>
      </c>
      <c r="M945">
        <v>0.53179990609548045</v>
      </c>
      <c r="N945">
        <v>0</v>
      </c>
      <c r="O945">
        <v>0</v>
      </c>
      <c r="P945">
        <v>0.68070509875850793</v>
      </c>
      <c r="Q945">
        <v>1.4355636644653911</v>
      </c>
      <c r="R945">
        <v>-2.8948107483049799</v>
      </c>
      <c r="S945">
        <v>0.21318959971887011</v>
      </c>
      <c r="T945">
        <v>0.16129166820508081</v>
      </c>
      <c r="U945">
        <v>4.3319007004574406</v>
      </c>
      <c r="V945">
        <v>0.21684269964686589</v>
      </c>
      <c r="W945">
        <v>3.3239084953438982</v>
      </c>
      <c r="X945">
        <v>0.37730083042429191</v>
      </c>
      <c r="Z945" t="s">
        <v>392</v>
      </c>
      <c r="AA945">
        <v>9400</v>
      </c>
      <c r="AB945" t="s">
        <v>3364</v>
      </c>
      <c r="AC945" t="str">
        <f>HYPERLINK("plots/3FT6Y578R01_012_S11P_20251111092011_M5358ACSH101811_RBGEUFRF26/dpll_52094/txpa_55188.png","plot")</f>
        <v>plot</v>
      </c>
    </row>
    <row r="946" spans="1:29" x14ac:dyDescent="0.35">
      <c r="A946" t="s">
        <v>48</v>
      </c>
      <c r="B946">
        <v>52094</v>
      </c>
      <c r="C946" t="s">
        <v>53</v>
      </c>
      <c r="D946">
        <v>55189</v>
      </c>
      <c r="E946" t="s">
        <v>322</v>
      </c>
      <c r="F946">
        <v>12243</v>
      </c>
      <c r="G946">
        <v>0.82282444513982123</v>
      </c>
      <c r="H946">
        <v>0</v>
      </c>
      <c r="I946">
        <v>0</v>
      </c>
      <c r="J946">
        <v>0.72054298923556503</v>
      </c>
      <c r="K946">
        <v>0</v>
      </c>
      <c r="L946">
        <v>0</v>
      </c>
      <c r="M946">
        <v>0.52815263566265935</v>
      </c>
      <c r="N946">
        <v>0</v>
      </c>
      <c r="O946">
        <v>0</v>
      </c>
      <c r="P946">
        <v>0.67704006751965462</v>
      </c>
      <c r="Q946">
        <v>1.420051408490534</v>
      </c>
      <c r="R946">
        <v>-2.816634920888303</v>
      </c>
      <c r="S946">
        <v>0.21266338128966361</v>
      </c>
      <c r="T946">
        <v>0.16028813297080821</v>
      </c>
      <c r="U946">
        <v>4.3319153779302466</v>
      </c>
      <c r="V946">
        <v>0.21683992469153379</v>
      </c>
      <c r="W946">
        <v>3.3349076130033479</v>
      </c>
      <c r="X946">
        <v>0.37422787119902479</v>
      </c>
      <c r="Z946" t="s">
        <v>392</v>
      </c>
      <c r="AA946">
        <v>9400</v>
      </c>
      <c r="AB946" t="s">
        <v>3365</v>
      </c>
      <c r="AC946" t="str">
        <f>HYPERLINK("plots/3FT6Y578R01_012_S11P_20251111092011_M5358ACSH101811_RBGEUFRF26/dpll_52094/txpa_55189.png","plot")</f>
        <v>plot</v>
      </c>
    </row>
    <row r="947" spans="1:29" x14ac:dyDescent="0.35">
      <c r="A947" t="s">
        <v>48</v>
      </c>
      <c r="B947">
        <v>52094</v>
      </c>
      <c r="C947" t="s">
        <v>53</v>
      </c>
      <c r="D947">
        <v>55190</v>
      </c>
      <c r="E947" t="s">
        <v>323</v>
      </c>
      <c r="F947">
        <v>12242</v>
      </c>
      <c r="G947">
        <v>0.83272253834429943</v>
      </c>
      <c r="H947">
        <v>0</v>
      </c>
      <c r="I947">
        <v>0</v>
      </c>
      <c r="J947">
        <v>0.72639846059253688</v>
      </c>
      <c r="K947">
        <v>0</v>
      </c>
      <c r="L947">
        <v>0</v>
      </c>
      <c r="M947">
        <v>0.53397005972174616</v>
      </c>
      <c r="N947">
        <v>0</v>
      </c>
      <c r="O947">
        <v>0</v>
      </c>
      <c r="P947">
        <v>0.69342682586657323</v>
      </c>
      <c r="Q947">
        <v>1.4388604194925709</v>
      </c>
      <c r="R947">
        <v>-2.8785280360229022</v>
      </c>
      <c r="S947">
        <v>0.20745355399209869</v>
      </c>
      <c r="T947">
        <v>0.15842758678469149</v>
      </c>
      <c r="U947">
        <v>4.3319235655121711</v>
      </c>
      <c r="V947">
        <v>0.21684688906752619</v>
      </c>
      <c r="W947">
        <v>3.3545053226596959</v>
      </c>
      <c r="X947">
        <v>0.3746895170986167</v>
      </c>
      <c r="Z947" t="s">
        <v>392</v>
      </c>
      <c r="AA947">
        <v>9400</v>
      </c>
      <c r="AB947" t="s">
        <v>3366</v>
      </c>
      <c r="AC947" t="str">
        <f>HYPERLINK("plots/3FT6Y578R01_012_S11P_20251111092011_M5358ACSH101811_RBGEUFRF26/dpll_52094/txpa_55190.png","plot")</f>
        <v>plot</v>
      </c>
    </row>
    <row r="948" spans="1:29" x14ac:dyDescent="0.35">
      <c r="A948" t="s">
        <v>48</v>
      </c>
      <c r="B948">
        <v>52094</v>
      </c>
      <c r="C948" t="s">
        <v>53</v>
      </c>
      <c r="D948">
        <v>55191</v>
      </c>
      <c r="E948" t="s">
        <v>324</v>
      </c>
      <c r="F948">
        <v>12240</v>
      </c>
      <c r="G948">
        <v>0.83345058741128453</v>
      </c>
      <c r="H948">
        <v>0</v>
      </c>
      <c r="I948">
        <v>0</v>
      </c>
      <c r="J948">
        <v>0.72423645747736942</v>
      </c>
      <c r="K948">
        <v>0</v>
      </c>
      <c r="L948">
        <v>0</v>
      </c>
      <c r="M948">
        <v>0.53131881937767345</v>
      </c>
      <c r="N948">
        <v>0</v>
      </c>
      <c r="O948">
        <v>0</v>
      </c>
      <c r="P948">
        <v>0.69463988165621526</v>
      </c>
      <c r="Q948">
        <v>1.444466388260196</v>
      </c>
      <c r="R948">
        <v>-2.927151599136784</v>
      </c>
      <c r="S948">
        <v>0.20763137317726321</v>
      </c>
      <c r="T948">
        <v>0.15945056816890599</v>
      </c>
      <c r="U948">
        <v>4.3319400696078434</v>
      </c>
      <c r="V948">
        <v>0.21680883535870621</v>
      </c>
      <c r="W948">
        <v>3.3301902273692812</v>
      </c>
      <c r="X948">
        <v>0.37575481988225862</v>
      </c>
      <c r="Z948" t="s">
        <v>392</v>
      </c>
      <c r="AA948">
        <v>9400</v>
      </c>
      <c r="AB948" t="s">
        <v>3367</v>
      </c>
      <c r="AC948" t="str">
        <f>HYPERLINK("plots/3FT6Y578R01_012_S11P_20251111092011_M5358ACSH101811_RBGEUFRF26/dpll_52094/txpa_55191.png","plot")</f>
        <v>plot</v>
      </c>
    </row>
    <row r="949" spans="1:29" x14ac:dyDescent="0.35">
      <c r="A949" t="s">
        <v>48</v>
      </c>
      <c r="B949">
        <v>52094</v>
      </c>
      <c r="C949" t="s">
        <v>53</v>
      </c>
      <c r="D949">
        <v>55192</v>
      </c>
      <c r="E949" t="s">
        <v>325</v>
      </c>
      <c r="F949">
        <v>12240</v>
      </c>
      <c r="G949">
        <v>0.83586729712402785</v>
      </c>
      <c r="H949">
        <v>0</v>
      </c>
      <c r="I949">
        <v>0</v>
      </c>
      <c r="J949">
        <v>0.72932264567101479</v>
      </c>
      <c r="K949">
        <v>0</v>
      </c>
      <c r="L949">
        <v>0</v>
      </c>
      <c r="M949">
        <v>0.5367943631035873</v>
      </c>
      <c r="N949">
        <v>0</v>
      </c>
      <c r="O949">
        <v>0</v>
      </c>
      <c r="P949">
        <v>0.69867413840142789</v>
      </c>
      <c r="Q949">
        <v>1.451801312068361</v>
      </c>
      <c r="R949">
        <v>-2.9575665903108042</v>
      </c>
      <c r="S949">
        <v>0.20667925741986101</v>
      </c>
      <c r="T949">
        <v>0.1589890599410477</v>
      </c>
      <c r="U949">
        <v>4.331890278839869</v>
      </c>
      <c r="V949">
        <v>0.21678367779622049</v>
      </c>
      <c r="W949">
        <v>3.331477400245098</v>
      </c>
      <c r="X949">
        <v>0.37652726568253098</v>
      </c>
      <c r="Z949" t="s">
        <v>392</v>
      </c>
      <c r="AA949">
        <v>9400</v>
      </c>
      <c r="AB949" t="s">
        <v>3368</v>
      </c>
      <c r="AC949" t="str">
        <f>HYPERLINK("plots/3FT6Y578R01_012_S11P_20251111092011_M5358ACSH101811_RBGEUFRF26/dpll_52094/txpa_55192.png","plot")</f>
        <v>plot</v>
      </c>
    </row>
    <row r="950" spans="1:29" x14ac:dyDescent="0.35">
      <c r="A950" t="s">
        <v>48</v>
      </c>
      <c r="B950">
        <v>52094</v>
      </c>
      <c r="C950" t="s">
        <v>53</v>
      </c>
      <c r="D950">
        <v>55193</v>
      </c>
      <c r="E950" t="s">
        <v>326</v>
      </c>
      <c r="F950">
        <v>12242</v>
      </c>
      <c r="G950">
        <v>0.8348036056186019</v>
      </c>
      <c r="H950">
        <v>0</v>
      </c>
      <c r="I950">
        <v>0</v>
      </c>
      <c r="J950">
        <v>0.72449737522452351</v>
      </c>
      <c r="K950">
        <v>0</v>
      </c>
      <c r="L950">
        <v>0</v>
      </c>
      <c r="M950">
        <v>0.53275081318904749</v>
      </c>
      <c r="N950">
        <v>0</v>
      </c>
      <c r="O950">
        <v>0</v>
      </c>
      <c r="P950">
        <v>0.69689705995381823</v>
      </c>
      <c r="Q950">
        <v>1.4477458510925061</v>
      </c>
      <c r="R950">
        <v>-2.9346996636799858</v>
      </c>
      <c r="S950">
        <v>0.20700270986399949</v>
      </c>
      <c r="T950">
        <v>0.15889090792173691</v>
      </c>
      <c r="U950">
        <v>4.331949619669988</v>
      </c>
      <c r="V950">
        <v>0.21681567757630049</v>
      </c>
      <c r="W950">
        <v>3.336862425338996</v>
      </c>
      <c r="X950">
        <v>0.37600939376669218</v>
      </c>
      <c r="Z950" t="s">
        <v>392</v>
      </c>
      <c r="AA950">
        <v>9400</v>
      </c>
      <c r="AB950" t="s">
        <v>3369</v>
      </c>
      <c r="AC950" t="str">
        <f>HYPERLINK("plots/3FT6Y578R01_012_S11P_20251111092011_M5358ACSH101811_RBGEUFRF26/dpll_52094/txpa_55193.png","plot")</f>
        <v>plot</v>
      </c>
    </row>
    <row r="951" spans="1:29" x14ac:dyDescent="0.35">
      <c r="A951" t="s">
        <v>48</v>
      </c>
      <c r="B951">
        <v>52094</v>
      </c>
      <c r="C951" t="s">
        <v>53</v>
      </c>
      <c r="D951">
        <v>55194</v>
      </c>
      <c r="E951" t="s">
        <v>327</v>
      </c>
      <c r="F951">
        <v>12238</v>
      </c>
      <c r="G951">
        <v>0.82912517831930965</v>
      </c>
      <c r="H951">
        <v>0</v>
      </c>
      <c r="I951">
        <v>0</v>
      </c>
      <c r="J951">
        <v>0.71640163405331514</v>
      </c>
      <c r="K951">
        <v>0</v>
      </c>
      <c r="L951">
        <v>0</v>
      </c>
      <c r="M951">
        <v>0.5255833226183132</v>
      </c>
      <c r="N951">
        <v>0</v>
      </c>
      <c r="O951">
        <v>0</v>
      </c>
      <c r="P951">
        <v>0.68744856132302701</v>
      </c>
      <c r="Q951">
        <v>1.4311546780392701</v>
      </c>
      <c r="R951">
        <v>-2.8790186068140371</v>
      </c>
      <c r="S951">
        <v>0.2092140953066802</v>
      </c>
      <c r="T951">
        <v>0.15984724723406649</v>
      </c>
      <c r="U951">
        <v>4.3320199833306097</v>
      </c>
      <c r="V951">
        <v>0.2168110752239184</v>
      </c>
      <c r="W951">
        <v>3.3207720576891648</v>
      </c>
      <c r="X951">
        <v>0.37423804350799372</v>
      </c>
      <c r="Z951" t="s">
        <v>392</v>
      </c>
      <c r="AA951">
        <v>9400</v>
      </c>
      <c r="AB951" t="s">
        <v>3370</v>
      </c>
      <c r="AC951" t="str">
        <f>HYPERLINK("plots/3FT6Y578R01_012_S11P_20251111092011_M5358ACSH101811_RBGEUFRF26/dpll_52094/txpa_55194.png","plot")</f>
        <v>plot</v>
      </c>
    </row>
    <row r="952" spans="1:29" x14ac:dyDescent="0.35">
      <c r="A952" t="s">
        <v>48</v>
      </c>
      <c r="B952">
        <v>52094</v>
      </c>
      <c r="C952" t="s">
        <v>53</v>
      </c>
      <c r="D952">
        <v>55195</v>
      </c>
      <c r="E952" t="s">
        <v>328</v>
      </c>
      <c r="F952">
        <v>12241</v>
      </c>
      <c r="G952">
        <v>0.82185357924575386</v>
      </c>
      <c r="H952">
        <v>0</v>
      </c>
      <c r="I952">
        <v>0</v>
      </c>
      <c r="J952">
        <v>0.72228844095720623</v>
      </c>
      <c r="K952">
        <v>0</v>
      </c>
      <c r="L952">
        <v>0</v>
      </c>
      <c r="M952">
        <v>0.52901873167521418</v>
      </c>
      <c r="N952">
        <v>0</v>
      </c>
      <c r="O952">
        <v>0</v>
      </c>
      <c r="P952">
        <v>0.67544330571905664</v>
      </c>
      <c r="Q952">
        <v>1.587658117885707</v>
      </c>
      <c r="R952">
        <v>-1.3514407290286381</v>
      </c>
      <c r="S952">
        <v>0.2386090434202226</v>
      </c>
      <c r="T952">
        <v>0.1776005770153381</v>
      </c>
      <c r="U952">
        <v>4.331967701903439</v>
      </c>
      <c r="V952">
        <v>0.21681874017982869</v>
      </c>
      <c r="W952">
        <v>5.5262429593170488</v>
      </c>
      <c r="X952">
        <v>0.41885080463137231</v>
      </c>
      <c r="Z952" t="s">
        <v>392</v>
      </c>
      <c r="AA952">
        <v>9400</v>
      </c>
      <c r="AB952" t="s">
        <v>3371</v>
      </c>
      <c r="AC952" t="str">
        <f>HYPERLINK("plots/3FT6Y578R01_012_S11P_20251111092011_M5358ACSH101811_RBGEUFRF26/dpll_52094/txpa_55195.png","plot")</f>
        <v>plot</v>
      </c>
    </row>
    <row r="953" spans="1:29" x14ac:dyDescent="0.35">
      <c r="A953" t="s">
        <v>48</v>
      </c>
      <c r="B953">
        <v>52094</v>
      </c>
      <c r="C953" t="s">
        <v>53</v>
      </c>
      <c r="D953">
        <v>55196</v>
      </c>
      <c r="E953" t="s">
        <v>329</v>
      </c>
      <c r="F953">
        <v>12239</v>
      </c>
      <c r="G953">
        <v>0.83550537370512401</v>
      </c>
      <c r="H953">
        <v>0</v>
      </c>
      <c r="I953">
        <v>0</v>
      </c>
      <c r="J953">
        <v>0.73181702994228448</v>
      </c>
      <c r="K953">
        <v>0</v>
      </c>
      <c r="L953">
        <v>0</v>
      </c>
      <c r="M953">
        <v>0.53954902132311011</v>
      </c>
      <c r="N953">
        <v>0</v>
      </c>
      <c r="O953">
        <v>0</v>
      </c>
      <c r="P953">
        <v>0.69806922949013894</v>
      </c>
      <c r="Q953">
        <v>1.6114376278189491</v>
      </c>
      <c r="R953">
        <v>-1.420981267252309</v>
      </c>
      <c r="S953">
        <v>0.22975650738275091</v>
      </c>
      <c r="T953">
        <v>0.1737671390112018</v>
      </c>
      <c r="U953">
        <v>4.3319834973445541</v>
      </c>
      <c r="V953">
        <v>0.216804165996315</v>
      </c>
      <c r="W953">
        <v>5.5597399434594319</v>
      </c>
      <c r="X953">
        <v>0.41814978329232122</v>
      </c>
      <c r="Z953" t="s">
        <v>392</v>
      </c>
      <c r="AA953">
        <v>9400</v>
      </c>
      <c r="AB953" t="s">
        <v>3372</v>
      </c>
      <c r="AC953" t="str">
        <f>HYPERLINK("plots/3FT6Y578R01_012_S11P_20251111092011_M5358ACSH101811_RBGEUFRF26/dpll_52094/txpa_55196.png","plot")</f>
        <v>plot</v>
      </c>
    </row>
    <row r="954" spans="1:29" x14ac:dyDescent="0.35">
      <c r="A954" t="s">
        <v>48</v>
      </c>
      <c r="B954">
        <v>52094</v>
      </c>
      <c r="C954" t="s">
        <v>53</v>
      </c>
      <c r="D954">
        <v>55197</v>
      </c>
      <c r="E954" t="s">
        <v>330</v>
      </c>
      <c r="F954">
        <v>12241</v>
      </c>
      <c r="G954">
        <v>0.8335437448882822</v>
      </c>
      <c r="H954">
        <v>0</v>
      </c>
      <c r="I954">
        <v>0</v>
      </c>
      <c r="J954">
        <v>0.72832757185708608</v>
      </c>
      <c r="K954">
        <v>0</v>
      </c>
      <c r="L954">
        <v>0</v>
      </c>
      <c r="M954">
        <v>0.5358627688328611</v>
      </c>
      <c r="N954">
        <v>0</v>
      </c>
      <c r="O954">
        <v>0</v>
      </c>
      <c r="P954">
        <v>0.69479517464238172</v>
      </c>
      <c r="Q954">
        <v>1.5954066263211151</v>
      </c>
      <c r="R954">
        <v>-1.3405705369558389</v>
      </c>
      <c r="S954">
        <v>0.2292544471950656</v>
      </c>
      <c r="T954">
        <v>0.17271688561279799</v>
      </c>
      <c r="U954">
        <v>4.331967701903439</v>
      </c>
      <c r="V954">
        <v>0.21681874017982869</v>
      </c>
      <c r="W954">
        <v>5.570679439669961</v>
      </c>
      <c r="X954">
        <v>0.41499208279687477</v>
      </c>
      <c r="Z954" t="s">
        <v>392</v>
      </c>
      <c r="AA954">
        <v>9400</v>
      </c>
      <c r="AB954" t="s">
        <v>3373</v>
      </c>
      <c r="AC954" t="str">
        <f>HYPERLINK("plots/3FT6Y578R01_012_S11P_20251111092011_M5358ACSH101811_RBGEUFRF26/dpll_52094/txpa_55197.png","plot")</f>
        <v>plot</v>
      </c>
    </row>
    <row r="955" spans="1:29" x14ac:dyDescent="0.35">
      <c r="A955" t="s">
        <v>48</v>
      </c>
      <c r="B955">
        <v>52094</v>
      </c>
      <c r="C955" t="s">
        <v>53</v>
      </c>
      <c r="D955">
        <v>55198</v>
      </c>
      <c r="E955" t="s">
        <v>331</v>
      </c>
      <c r="F955">
        <v>12242</v>
      </c>
      <c r="G955">
        <v>0.84227681239177266</v>
      </c>
      <c r="H955">
        <v>0</v>
      </c>
      <c r="I955">
        <v>0</v>
      </c>
      <c r="J955">
        <v>0.73421787904476377</v>
      </c>
      <c r="K955">
        <v>0</v>
      </c>
      <c r="L955">
        <v>0</v>
      </c>
      <c r="M955">
        <v>0.54186398766860466</v>
      </c>
      <c r="N955">
        <v>0</v>
      </c>
      <c r="O955">
        <v>0</v>
      </c>
      <c r="P955">
        <v>0.70943022869284544</v>
      </c>
      <c r="Q955">
        <v>1.616771009768414</v>
      </c>
      <c r="R955">
        <v>-1.416816391835285</v>
      </c>
      <c r="S955">
        <v>0.2243646031708442</v>
      </c>
      <c r="T955">
        <v>0.17086204708871519</v>
      </c>
      <c r="U955">
        <v>4.3319235655121711</v>
      </c>
      <c r="V955">
        <v>0.21684688906752619</v>
      </c>
      <c r="W955">
        <v>5.5869120454174146</v>
      </c>
      <c r="X955">
        <v>0.41624292470700353</v>
      </c>
      <c r="Z955" t="s">
        <v>392</v>
      </c>
      <c r="AA955">
        <v>9400</v>
      </c>
      <c r="AB955" t="s">
        <v>3374</v>
      </c>
      <c r="AC955" t="str">
        <f>HYPERLINK("plots/3FT6Y578R01_012_S11P_20251111092011_M5358ACSH101811_RBGEUFRF26/dpll_52094/txpa_55198.png","plot")</f>
        <v>plot</v>
      </c>
    </row>
    <row r="956" spans="1:29" x14ac:dyDescent="0.35">
      <c r="A956" t="s">
        <v>48</v>
      </c>
      <c r="B956">
        <v>52094</v>
      </c>
      <c r="C956" t="s">
        <v>53</v>
      </c>
      <c r="D956">
        <v>55199</v>
      </c>
      <c r="E956" t="s">
        <v>332</v>
      </c>
      <c r="F956">
        <v>12240</v>
      </c>
      <c r="G956">
        <v>0.84322763704555181</v>
      </c>
      <c r="H956">
        <v>0</v>
      </c>
      <c r="I956">
        <v>0</v>
      </c>
      <c r="J956">
        <v>0.732453587915463</v>
      </c>
      <c r="K956">
        <v>0</v>
      </c>
      <c r="L956">
        <v>0</v>
      </c>
      <c r="M956">
        <v>0.53971546958954775</v>
      </c>
      <c r="N956">
        <v>0</v>
      </c>
      <c r="O956">
        <v>0</v>
      </c>
      <c r="P956">
        <v>0.71103284787742482</v>
      </c>
      <c r="Q956">
        <v>1.6224967352531421</v>
      </c>
      <c r="R956">
        <v>-1.467250378339231</v>
      </c>
      <c r="S956">
        <v>0.22424484765184721</v>
      </c>
      <c r="T956">
        <v>0.17176066161848691</v>
      </c>
      <c r="U956">
        <v>4.3319400696078434</v>
      </c>
      <c r="V956">
        <v>0.21680883535870621</v>
      </c>
      <c r="W956">
        <v>5.5613082419117648</v>
      </c>
      <c r="X956">
        <v>0.41717279188814582</v>
      </c>
      <c r="Z956" t="s">
        <v>392</v>
      </c>
      <c r="AA956">
        <v>9400</v>
      </c>
      <c r="AB956" t="s">
        <v>3375</v>
      </c>
      <c r="AC956" t="str">
        <f>HYPERLINK("plots/3FT6Y578R01_012_S11P_20251111092011_M5358ACSH101811_RBGEUFRF26/dpll_52094/txpa_55199.png","plot")</f>
        <v>plot</v>
      </c>
    </row>
    <row r="957" spans="1:29" x14ac:dyDescent="0.35">
      <c r="A957" t="s">
        <v>48</v>
      </c>
      <c r="B957">
        <v>52094</v>
      </c>
      <c r="C957" t="s">
        <v>53</v>
      </c>
      <c r="D957">
        <v>55200</v>
      </c>
      <c r="E957" t="s">
        <v>333</v>
      </c>
      <c r="F957">
        <v>12240</v>
      </c>
      <c r="G957">
        <v>0.84503521378177537</v>
      </c>
      <c r="H957">
        <v>0</v>
      </c>
      <c r="I957">
        <v>0</v>
      </c>
      <c r="J957">
        <v>0.73618301193666713</v>
      </c>
      <c r="K957">
        <v>0</v>
      </c>
      <c r="L957">
        <v>0</v>
      </c>
      <c r="M957">
        <v>0.54401379096755298</v>
      </c>
      <c r="N957">
        <v>0</v>
      </c>
      <c r="O957">
        <v>0</v>
      </c>
      <c r="P957">
        <v>0.71408451253121086</v>
      </c>
      <c r="Q957">
        <v>1.6292871300783049</v>
      </c>
      <c r="R957">
        <v>-1.492005476875444</v>
      </c>
      <c r="S957">
        <v>0.22348609076433301</v>
      </c>
      <c r="T957">
        <v>0.1713656229023692</v>
      </c>
      <c r="U957">
        <v>4.331890278839869</v>
      </c>
      <c r="V957">
        <v>0.21678367779622049</v>
      </c>
      <c r="W957">
        <v>5.5658876033496734</v>
      </c>
      <c r="X957">
        <v>0.41797412756770203</v>
      </c>
      <c r="Z957" t="s">
        <v>392</v>
      </c>
      <c r="AA957">
        <v>9400</v>
      </c>
      <c r="AB957" t="s">
        <v>3376</v>
      </c>
      <c r="AC957" t="str">
        <f>HYPERLINK("plots/3FT6Y578R01_012_S11P_20251111092011_M5358ACSH101811_RBGEUFRF26/dpll_52094/txpa_55200.png","plot")</f>
        <v>plot</v>
      </c>
    </row>
    <row r="958" spans="1:29" x14ac:dyDescent="0.35">
      <c r="A958" t="s">
        <v>48</v>
      </c>
      <c r="B958">
        <v>52094</v>
      </c>
      <c r="C958" t="s">
        <v>53</v>
      </c>
      <c r="D958">
        <v>55201</v>
      </c>
      <c r="E958" t="s">
        <v>334</v>
      </c>
      <c r="F958">
        <v>12242</v>
      </c>
      <c r="G958">
        <v>0.8441544918807169</v>
      </c>
      <c r="H958">
        <v>0</v>
      </c>
      <c r="I958">
        <v>0</v>
      </c>
      <c r="J958">
        <v>0.73206817481179853</v>
      </c>
      <c r="K958">
        <v>0</v>
      </c>
      <c r="L958">
        <v>0</v>
      </c>
      <c r="M958">
        <v>0.54051261721232657</v>
      </c>
      <c r="N958">
        <v>0</v>
      </c>
      <c r="O958">
        <v>0</v>
      </c>
      <c r="P958">
        <v>0.71259680616239129</v>
      </c>
      <c r="Q958">
        <v>1.6260924831169139</v>
      </c>
      <c r="R958">
        <v>-1.4730935196189221</v>
      </c>
      <c r="S958">
        <v>0.2238937884362576</v>
      </c>
      <c r="T958">
        <v>0.17119194376443531</v>
      </c>
      <c r="U958">
        <v>4.331949619669988</v>
      </c>
      <c r="V958">
        <v>0.21681567757630049</v>
      </c>
      <c r="W958">
        <v>5.5710571941676204</v>
      </c>
      <c r="X958">
        <v>0.4176514452268546</v>
      </c>
      <c r="Z958" t="s">
        <v>392</v>
      </c>
      <c r="AA958">
        <v>9400</v>
      </c>
      <c r="AB958" t="s">
        <v>3377</v>
      </c>
      <c r="AC958" t="str">
        <f>HYPERLINK("plots/3FT6Y578R01_012_S11P_20251111092011_M5358ACSH101811_RBGEUFRF26/dpll_52094/txpa_55201.png","plot")</f>
        <v>plot</v>
      </c>
    </row>
    <row r="959" spans="1:29" x14ac:dyDescent="0.35">
      <c r="A959" t="s">
        <v>48</v>
      </c>
      <c r="B959">
        <v>52094</v>
      </c>
      <c r="C959" t="s">
        <v>53</v>
      </c>
      <c r="D959">
        <v>55202</v>
      </c>
      <c r="E959" t="s">
        <v>335</v>
      </c>
      <c r="F959">
        <v>12237</v>
      </c>
      <c r="G959">
        <v>0.83937834213560747</v>
      </c>
      <c r="H959">
        <v>0</v>
      </c>
      <c r="I959">
        <v>0</v>
      </c>
      <c r="J959">
        <v>0.72466790866639519</v>
      </c>
      <c r="K959">
        <v>0</v>
      </c>
      <c r="L959">
        <v>0</v>
      </c>
      <c r="M959">
        <v>0.53382598617964006</v>
      </c>
      <c r="N959">
        <v>0</v>
      </c>
      <c r="O959">
        <v>0</v>
      </c>
      <c r="P959">
        <v>0.7045560012463209</v>
      </c>
      <c r="Q959">
        <v>1.6084841593345369</v>
      </c>
      <c r="R959">
        <v>-1.41175146098186</v>
      </c>
      <c r="S959">
        <v>0.2258134982407437</v>
      </c>
      <c r="T959">
        <v>0.17223445019614761</v>
      </c>
      <c r="U959">
        <v>4.3320423089809594</v>
      </c>
      <c r="V959">
        <v>0.21680586638261479</v>
      </c>
      <c r="W959">
        <v>5.5562699705810257</v>
      </c>
      <c r="X959">
        <v>0.41546080500477861</v>
      </c>
      <c r="Z959" t="s">
        <v>392</v>
      </c>
      <c r="AA959">
        <v>9400</v>
      </c>
      <c r="AB959" t="s">
        <v>3378</v>
      </c>
      <c r="AC959" t="str">
        <f>HYPERLINK("plots/3FT6Y578R01_012_S11P_20251111092011_M5358ACSH101811_RBGEUFRF26/dpll_52094/txpa_55202.png","plot")</f>
        <v>plot</v>
      </c>
    </row>
    <row r="960" spans="1:29" x14ac:dyDescent="0.35">
      <c r="A960" t="s">
        <v>48</v>
      </c>
      <c r="B960">
        <v>52094</v>
      </c>
      <c r="C960" t="s">
        <v>53</v>
      </c>
      <c r="D960">
        <v>55203</v>
      </c>
      <c r="E960" t="s">
        <v>336</v>
      </c>
      <c r="F960">
        <v>12241</v>
      </c>
      <c r="G960">
        <v>0.82527314354677672</v>
      </c>
      <c r="H960">
        <v>0</v>
      </c>
      <c r="I960">
        <v>0</v>
      </c>
      <c r="J960">
        <v>0.72445442583091346</v>
      </c>
      <c r="K960">
        <v>0</v>
      </c>
      <c r="L960">
        <v>0</v>
      </c>
      <c r="M960">
        <v>0.53130389924381249</v>
      </c>
      <c r="N960">
        <v>0</v>
      </c>
      <c r="O960">
        <v>0</v>
      </c>
      <c r="P960">
        <v>0.68107576145957871</v>
      </c>
      <c r="Q960">
        <v>1.669775621875808</v>
      </c>
      <c r="R960">
        <v>-0.72217446074488745</v>
      </c>
      <c r="S960">
        <v>0.2477326476000378</v>
      </c>
      <c r="T960">
        <v>0.18419620168217729</v>
      </c>
      <c r="U960">
        <v>4.331967701903439</v>
      </c>
      <c r="V960">
        <v>0.21681874017982869</v>
      </c>
      <c r="W960">
        <v>6.5112396026468424</v>
      </c>
      <c r="X960">
        <v>0.43868948062718888</v>
      </c>
      <c r="Z960" t="s">
        <v>392</v>
      </c>
      <c r="AA960">
        <v>9400</v>
      </c>
      <c r="AB960" t="s">
        <v>3379</v>
      </c>
      <c r="AC960" t="str">
        <f>HYPERLINK("plots/3FT6Y578R01_012_S11P_20251111092011_M5358ACSH101811_RBGEUFRF26/dpll_52094/txpa_55203.png","plot")</f>
        <v>plot</v>
      </c>
    </row>
    <row r="961" spans="1:29" x14ac:dyDescent="0.35">
      <c r="A961" t="s">
        <v>48</v>
      </c>
      <c r="B961">
        <v>52094</v>
      </c>
      <c r="C961" t="s">
        <v>53</v>
      </c>
      <c r="D961">
        <v>55204</v>
      </c>
      <c r="E961" t="s">
        <v>337</v>
      </c>
      <c r="F961">
        <v>12239</v>
      </c>
      <c r="G961">
        <v>0.83840580989043845</v>
      </c>
      <c r="H961">
        <v>0</v>
      </c>
      <c r="I961">
        <v>0</v>
      </c>
      <c r="J961">
        <v>0.73374484157205067</v>
      </c>
      <c r="K961">
        <v>0</v>
      </c>
      <c r="L961">
        <v>0</v>
      </c>
      <c r="M961">
        <v>0.54159119446373516</v>
      </c>
      <c r="N961">
        <v>0</v>
      </c>
      <c r="O961">
        <v>0</v>
      </c>
      <c r="P961">
        <v>0.70292430205804202</v>
      </c>
      <c r="Q961">
        <v>1.6933300981500621</v>
      </c>
      <c r="R961">
        <v>-0.79079163736027169</v>
      </c>
      <c r="S961">
        <v>0.2386551397332925</v>
      </c>
      <c r="T961">
        <v>0.18030844826941109</v>
      </c>
      <c r="U961">
        <v>4.3319834973445541</v>
      </c>
      <c r="V961">
        <v>0.216804165996315</v>
      </c>
      <c r="W961">
        <v>6.5446864033826291</v>
      </c>
      <c r="X961">
        <v>0.43787986122598199</v>
      </c>
      <c r="Z961" t="s">
        <v>392</v>
      </c>
      <c r="AA961">
        <v>9400</v>
      </c>
      <c r="AB961" t="s">
        <v>3380</v>
      </c>
      <c r="AC961" t="str">
        <f>HYPERLINK("plots/3FT6Y578R01_012_S11P_20251111092011_M5358ACSH101811_RBGEUFRF26/dpll_52094/txpa_55204.png","plot")</f>
        <v>plot</v>
      </c>
    </row>
    <row r="962" spans="1:29" x14ac:dyDescent="0.35">
      <c r="A962" t="s">
        <v>48</v>
      </c>
      <c r="B962">
        <v>52094</v>
      </c>
      <c r="C962" t="s">
        <v>53</v>
      </c>
      <c r="D962">
        <v>55205</v>
      </c>
      <c r="E962" t="s">
        <v>338</v>
      </c>
      <c r="F962">
        <v>12240</v>
      </c>
      <c r="G962">
        <v>0.83679387205117517</v>
      </c>
      <c r="H962">
        <v>0</v>
      </c>
      <c r="I962">
        <v>0</v>
      </c>
      <c r="J962">
        <v>0.73010070148318273</v>
      </c>
      <c r="K962">
        <v>0</v>
      </c>
      <c r="L962">
        <v>0</v>
      </c>
      <c r="M962">
        <v>0.53778071305765618</v>
      </c>
      <c r="N962">
        <v>0</v>
      </c>
      <c r="O962">
        <v>0</v>
      </c>
      <c r="P962">
        <v>0.70022398430239852</v>
      </c>
      <c r="Q962">
        <v>1.6763653914399299</v>
      </c>
      <c r="R962">
        <v>-0.70591390400535037</v>
      </c>
      <c r="S962">
        <v>0.23780502719647811</v>
      </c>
      <c r="T962">
        <v>0.17913214039097641</v>
      </c>
      <c r="U962">
        <v>4.3319884839869287</v>
      </c>
      <c r="V962">
        <v>0.2168154050444133</v>
      </c>
      <c r="W962">
        <v>6.5560816666666666</v>
      </c>
      <c r="X962">
        <v>0.43435050552719262</v>
      </c>
      <c r="Z962" t="s">
        <v>392</v>
      </c>
      <c r="AA962">
        <v>9400</v>
      </c>
      <c r="AB962" t="s">
        <v>3381</v>
      </c>
      <c r="AC962" t="str">
        <f>HYPERLINK("plots/3FT6Y578R01_012_S11P_20251111092011_M5358ACSH101811_RBGEUFRF26/dpll_52094/txpa_55205.png","plot")</f>
        <v>plot</v>
      </c>
    </row>
    <row r="963" spans="1:29" x14ac:dyDescent="0.35">
      <c r="A963" t="s">
        <v>48</v>
      </c>
      <c r="B963">
        <v>52094</v>
      </c>
      <c r="C963" t="s">
        <v>53</v>
      </c>
      <c r="D963">
        <v>55206</v>
      </c>
      <c r="E963" t="s">
        <v>339</v>
      </c>
      <c r="F963">
        <v>12242</v>
      </c>
      <c r="G963">
        <v>0.84500143440112041</v>
      </c>
      <c r="H963">
        <v>0</v>
      </c>
      <c r="I963">
        <v>0</v>
      </c>
      <c r="J963">
        <v>0.73587008328426184</v>
      </c>
      <c r="K963">
        <v>0</v>
      </c>
      <c r="L963">
        <v>0</v>
      </c>
      <c r="M963">
        <v>0.54371713580263681</v>
      </c>
      <c r="N963">
        <v>0</v>
      </c>
      <c r="O963">
        <v>0</v>
      </c>
      <c r="P963">
        <v>0.71402742413995102</v>
      </c>
      <c r="Q963">
        <v>1.698932506957975</v>
      </c>
      <c r="R963">
        <v>-0.78871416941208405</v>
      </c>
      <c r="S963">
        <v>0.2331397524477376</v>
      </c>
      <c r="T963">
        <v>0.17738864063163909</v>
      </c>
      <c r="U963">
        <v>4.3319235655121711</v>
      </c>
      <c r="V963">
        <v>0.21684688906752619</v>
      </c>
      <c r="W963">
        <v>6.5709315936938397</v>
      </c>
      <c r="X963">
        <v>0.43598532957595859</v>
      </c>
      <c r="Z963" t="s">
        <v>392</v>
      </c>
      <c r="AA963">
        <v>9400</v>
      </c>
      <c r="AB963" t="s">
        <v>3382</v>
      </c>
      <c r="AC963" t="str">
        <f>HYPERLINK("plots/3FT6Y578R01_012_S11P_20251111092011_M5358ACSH101811_RBGEUFRF26/dpll_52094/txpa_55206.png","plot")</f>
        <v>plot</v>
      </c>
    </row>
    <row r="964" spans="1:29" x14ac:dyDescent="0.35">
      <c r="A964" t="s">
        <v>48</v>
      </c>
      <c r="B964">
        <v>52094</v>
      </c>
      <c r="C964" t="s">
        <v>53</v>
      </c>
      <c r="D964">
        <v>55207</v>
      </c>
      <c r="E964" t="s">
        <v>340</v>
      </c>
      <c r="F964">
        <v>12240</v>
      </c>
      <c r="G964">
        <v>0.84602962497961709</v>
      </c>
      <c r="H964">
        <v>0</v>
      </c>
      <c r="I964">
        <v>0</v>
      </c>
      <c r="J964">
        <v>0.73415421468076558</v>
      </c>
      <c r="K964">
        <v>0</v>
      </c>
      <c r="L964">
        <v>0</v>
      </c>
      <c r="M964">
        <v>0.54162490174150957</v>
      </c>
      <c r="N964">
        <v>0</v>
      </c>
      <c r="O964">
        <v>0</v>
      </c>
      <c r="P964">
        <v>0.71576612634315151</v>
      </c>
      <c r="Q964">
        <v>1.705248864761703</v>
      </c>
      <c r="R964">
        <v>-0.84250823877398151</v>
      </c>
      <c r="S964">
        <v>0.23296965162300109</v>
      </c>
      <c r="T964">
        <v>0.17826900769370191</v>
      </c>
      <c r="U964">
        <v>4.3319400696078434</v>
      </c>
      <c r="V964">
        <v>0.21680883535870621</v>
      </c>
      <c r="W964">
        <v>6.5445276471405238</v>
      </c>
      <c r="X964">
        <v>0.43699772377905532</v>
      </c>
      <c r="Z964" t="s">
        <v>392</v>
      </c>
      <c r="AA964">
        <v>9400</v>
      </c>
      <c r="AB964" t="s">
        <v>3383</v>
      </c>
      <c r="AC964" t="str">
        <f>HYPERLINK("plots/3FT6Y578R01_012_S11P_20251111092011_M5358ACSH101811_RBGEUFRF26/dpll_52094/txpa_55207.png","plot")</f>
        <v>plot</v>
      </c>
    </row>
    <row r="965" spans="1:29" x14ac:dyDescent="0.35">
      <c r="A965" t="s">
        <v>48</v>
      </c>
      <c r="B965">
        <v>52094</v>
      </c>
      <c r="C965" t="s">
        <v>53</v>
      </c>
      <c r="D965">
        <v>55208</v>
      </c>
      <c r="E965" t="s">
        <v>341</v>
      </c>
      <c r="F965">
        <v>12240</v>
      </c>
      <c r="G965">
        <v>0.84764354636240291</v>
      </c>
      <c r="H965">
        <v>0</v>
      </c>
      <c r="I965">
        <v>0</v>
      </c>
      <c r="J965">
        <v>0.73768648905804557</v>
      </c>
      <c r="K965">
        <v>0</v>
      </c>
      <c r="L965">
        <v>0</v>
      </c>
      <c r="M965">
        <v>0.54574113632655263</v>
      </c>
      <c r="N965">
        <v>0</v>
      </c>
      <c r="O965">
        <v>0</v>
      </c>
      <c r="P965">
        <v>0.71849958168983108</v>
      </c>
      <c r="Q965">
        <v>1.711348986320105</v>
      </c>
      <c r="R965">
        <v>-0.86318132520592705</v>
      </c>
      <c r="S965">
        <v>0.23220613126153361</v>
      </c>
      <c r="T965">
        <v>0.17778124718707891</v>
      </c>
      <c r="U965">
        <v>4.331890278839869</v>
      </c>
      <c r="V965">
        <v>0.21678367779622049</v>
      </c>
      <c r="W965">
        <v>6.5501947123366024</v>
      </c>
      <c r="X965">
        <v>0.43767516291416653</v>
      </c>
      <c r="Z965" t="s">
        <v>392</v>
      </c>
      <c r="AA965">
        <v>9400</v>
      </c>
      <c r="AB965" t="s">
        <v>3384</v>
      </c>
      <c r="AC965" t="str">
        <f>HYPERLINK("plots/3FT6Y578R01_012_S11P_20251111092011_M5358ACSH101811_RBGEUFRF26/dpll_52094/txpa_55208.png","plot")</f>
        <v>plot</v>
      </c>
    </row>
    <row r="966" spans="1:29" x14ac:dyDescent="0.35">
      <c r="A966" t="s">
        <v>48</v>
      </c>
      <c r="B966">
        <v>52094</v>
      </c>
      <c r="C966" t="s">
        <v>53</v>
      </c>
      <c r="D966">
        <v>55209</v>
      </c>
      <c r="E966" t="s">
        <v>342</v>
      </c>
      <c r="F966">
        <v>12241</v>
      </c>
      <c r="G966">
        <v>0.84718510220924337</v>
      </c>
      <c r="H966">
        <v>0</v>
      </c>
      <c r="I966">
        <v>0</v>
      </c>
      <c r="J966">
        <v>0.7336490516427806</v>
      </c>
      <c r="K966">
        <v>0</v>
      </c>
      <c r="L966">
        <v>0</v>
      </c>
      <c r="M966">
        <v>0.54231800540189246</v>
      </c>
      <c r="N966">
        <v>0</v>
      </c>
      <c r="O966">
        <v>0</v>
      </c>
      <c r="P966">
        <v>0.7177225974052861</v>
      </c>
      <c r="Q966">
        <v>1.7084345879297409</v>
      </c>
      <c r="R966">
        <v>-0.84542278938340854</v>
      </c>
      <c r="S966">
        <v>0.2322933335481446</v>
      </c>
      <c r="T966">
        <v>0.17751151751959721</v>
      </c>
      <c r="U966">
        <v>4.3319642092966264</v>
      </c>
      <c r="V966">
        <v>0.216818524669256</v>
      </c>
      <c r="W966">
        <v>6.5554546994526577</v>
      </c>
      <c r="X966">
        <v>0.43723652113675371</v>
      </c>
      <c r="Z966" t="s">
        <v>392</v>
      </c>
      <c r="AA966">
        <v>9400</v>
      </c>
      <c r="AB966" t="s">
        <v>3385</v>
      </c>
      <c r="AC966" t="str">
        <f>HYPERLINK("plots/3FT6Y578R01_012_S11P_20251111092011_M5358ACSH101811_RBGEUFRF26/dpll_52094/txpa_55209.png","plot")</f>
        <v>plot</v>
      </c>
    </row>
    <row r="967" spans="1:29" x14ac:dyDescent="0.35">
      <c r="A967" t="s">
        <v>48</v>
      </c>
      <c r="B967">
        <v>52094</v>
      </c>
      <c r="C967" t="s">
        <v>53</v>
      </c>
      <c r="D967">
        <v>55210</v>
      </c>
      <c r="E967" t="s">
        <v>343</v>
      </c>
      <c r="F967">
        <v>12235</v>
      </c>
      <c r="G967">
        <v>0.84277319385722149</v>
      </c>
      <c r="H967">
        <v>0</v>
      </c>
      <c r="I967">
        <v>0</v>
      </c>
      <c r="J967">
        <v>0.72649877532374141</v>
      </c>
      <c r="K967">
        <v>0</v>
      </c>
      <c r="L967">
        <v>0</v>
      </c>
      <c r="M967">
        <v>0.5358661422206451</v>
      </c>
      <c r="N967">
        <v>0</v>
      </c>
      <c r="O967">
        <v>0</v>
      </c>
      <c r="P967">
        <v>0.71026665628430186</v>
      </c>
      <c r="Q967">
        <v>1.6894302157678369</v>
      </c>
      <c r="R967">
        <v>-0.77721642814458924</v>
      </c>
      <c r="S967">
        <v>0.23391823894565439</v>
      </c>
      <c r="T967">
        <v>0.17842772681342309</v>
      </c>
      <c r="U967">
        <v>4.3320857962402943</v>
      </c>
      <c r="V967">
        <v>0.21679689176247041</v>
      </c>
      <c r="W967">
        <v>6.5415402133224347</v>
      </c>
      <c r="X967">
        <v>0.43459286828019028</v>
      </c>
      <c r="Z967" t="s">
        <v>392</v>
      </c>
      <c r="AA967">
        <v>9400</v>
      </c>
      <c r="AB967" t="s">
        <v>3386</v>
      </c>
      <c r="AC967" t="str">
        <f>HYPERLINK("plots/3FT6Y578R01_012_S11P_20251111092011_M5358ACSH101811_RBGEUFRF26/dpll_52094/txpa_55210.png","plot")</f>
        <v>plot</v>
      </c>
    </row>
    <row r="968" spans="1:29" x14ac:dyDescent="0.35">
      <c r="A968" t="s">
        <v>48</v>
      </c>
      <c r="B968">
        <v>52094</v>
      </c>
      <c r="C968" t="s">
        <v>53</v>
      </c>
      <c r="D968">
        <v>55211</v>
      </c>
      <c r="E968" t="s">
        <v>344</v>
      </c>
      <c r="F968">
        <v>12238</v>
      </c>
      <c r="G968">
        <v>0.82834990253160623</v>
      </c>
      <c r="H968">
        <v>0</v>
      </c>
      <c r="I968">
        <v>0</v>
      </c>
      <c r="J968">
        <v>0.72606456087290938</v>
      </c>
      <c r="K968">
        <v>0</v>
      </c>
      <c r="L968">
        <v>0</v>
      </c>
      <c r="M968">
        <v>0.53304291117800373</v>
      </c>
      <c r="N968">
        <v>0</v>
      </c>
      <c r="O968">
        <v>0</v>
      </c>
      <c r="P968">
        <v>0.68616356102412157</v>
      </c>
      <c r="Q968">
        <v>1.7502959520066881</v>
      </c>
      <c r="R968">
        <v>-0.1180393162384359</v>
      </c>
      <c r="S968">
        <v>0.25657979939445802</v>
      </c>
      <c r="T968">
        <v>0.1907984830639595</v>
      </c>
      <c r="U968">
        <v>4.3320586041836906</v>
      </c>
      <c r="V968">
        <v>0.21676584801412349</v>
      </c>
      <c r="W968">
        <v>7.4643453225200203</v>
      </c>
      <c r="X968">
        <v>0.45802430247517389</v>
      </c>
      <c r="Z968" t="s">
        <v>392</v>
      </c>
      <c r="AA968">
        <v>9400</v>
      </c>
      <c r="AB968" t="s">
        <v>3387</v>
      </c>
      <c r="AC968" t="str">
        <f>HYPERLINK("plots/3FT6Y578R01_012_S11P_20251111092011_M5358ACSH101811_RBGEUFRF26/dpll_52094/txpa_55211.png","plot")</f>
        <v>plot</v>
      </c>
    </row>
    <row r="969" spans="1:29" x14ac:dyDescent="0.35">
      <c r="A969" t="s">
        <v>48</v>
      </c>
      <c r="B969">
        <v>52094</v>
      </c>
      <c r="C969" t="s">
        <v>53</v>
      </c>
      <c r="D969">
        <v>55212</v>
      </c>
      <c r="E969" t="s">
        <v>345</v>
      </c>
      <c r="F969">
        <v>12237</v>
      </c>
      <c r="G969">
        <v>0.84083498072109897</v>
      </c>
      <c r="H969">
        <v>0</v>
      </c>
      <c r="I969">
        <v>0</v>
      </c>
      <c r="J969">
        <v>0.73471446415095609</v>
      </c>
      <c r="K969">
        <v>0</v>
      </c>
      <c r="L969">
        <v>0</v>
      </c>
      <c r="M969">
        <v>0.54269814494867386</v>
      </c>
      <c r="N969">
        <v>0</v>
      </c>
      <c r="O969">
        <v>0</v>
      </c>
      <c r="P969">
        <v>0.70700346480425091</v>
      </c>
      <c r="Q969">
        <v>1.774098551085507</v>
      </c>
      <c r="R969">
        <v>-0.1877114842250798</v>
      </c>
      <c r="S969">
        <v>0.24757452561373261</v>
      </c>
      <c r="T969">
        <v>0.18706748973703691</v>
      </c>
      <c r="U969">
        <v>4.3320349549726238</v>
      </c>
      <c r="V969">
        <v>0.2167831332142641</v>
      </c>
      <c r="W969">
        <v>7.4977454526436214</v>
      </c>
      <c r="X969">
        <v>0.45739610191452129</v>
      </c>
      <c r="Z969" t="s">
        <v>392</v>
      </c>
      <c r="AA969">
        <v>9400</v>
      </c>
      <c r="AB969" t="s">
        <v>3388</v>
      </c>
      <c r="AC969" t="str">
        <f>HYPERLINK("plots/3FT6Y578R01_012_S11P_20251111092011_M5358ACSH101811_RBGEUFRF26/dpll_52094/txpa_55212.png","plot")</f>
        <v>plot</v>
      </c>
    </row>
    <row r="970" spans="1:29" x14ac:dyDescent="0.35">
      <c r="A970" t="s">
        <v>48</v>
      </c>
      <c r="B970">
        <v>52094</v>
      </c>
      <c r="C970" t="s">
        <v>53</v>
      </c>
      <c r="D970">
        <v>55213</v>
      </c>
      <c r="E970" t="s">
        <v>346</v>
      </c>
      <c r="F970">
        <v>12240</v>
      </c>
      <c r="G970">
        <v>0.83918763544442199</v>
      </c>
      <c r="H970">
        <v>0</v>
      </c>
      <c r="I970">
        <v>0</v>
      </c>
      <c r="J970">
        <v>0.73148337007770226</v>
      </c>
      <c r="K970">
        <v>0</v>
      </c>
      <c r="L970">
        <v>0</v>
      </c>
      <c r="M970">
        <v>0.53930889333885002</v>
      </c>
      <c r="N970">
        <v>0</v>
      </c>
      <c r="O970">
        <v>0</v>
      </c>
      <c r="P970">
        <v>0.70423588748280008</v>
      </c>
      <c r="Q970">
        <v>1.7586418115976279</v>
      </c>
      <c r="R970">
        <v>-0.10927351672040329</v>
      </c>
      <c r="S970">
        <v>0.24709471170782271</v>
      </c>
      <c r="T970">
        <v>0.1859150461623558</v>
      </c>
      <c r="U970">
        <v>4.3319884839869287</v>
      </c>
      <c r="V970">
        <v>0.2168154050444133</v>
      </c>
      <c r="W970">
        <v>7.5091425585784322</v>
      </c>
      <c r="X970">
        <v>0.45436874973455621</v>
      </c>
      <c r="Z970" t="s">
        <v>392</v>
      </c>
      <c r="AA970">
        <v>9400</v>
      </c>
      <c r="AB970" t="s">
        <v>3389</v>
      </c>
      <c r="AC970" t="str">
        <f>HYPERLINK("plots/3FT6Y578R01_012_S11P_20251111092011_M5358ACSH101811_RBGEUFRF26/dpll_52094/txpa_55213.png","plot")</f>
        <v>plot</v>
      </c>
    </row>
    <row r="971" spans="1:29" x14ac:dyDescent="0.35">
      <c r="A971" t="s">
        <v>48</v>
      </c>
      <c r="B971">
        <v>52094</v>
      </c>
      <c r="C971" t="s">
        <v>53</v>
      </c>
      <c r="D971">
        <v>55214</v>
      </c>
      <c r="E971" t="s">
        <v>347</v>
      </c>
      <c r="F971">
        <v>12240</v>
      </c>
      <c r="G971">
        <v>0.84737061747572506</v>
      </c>
      <c r="H971">
        <v>0</v>
      </c>
      <c r="I971">
        <v>0</v>
      </c>
      <c r="J971">
        <v>0.73663113399358526</v>
      </c>
      <c r="K971">
        <v>0</v>
      </c>
      <c r="L971">
        <v>0</v>
      </c>
      <c r="M971">
        <v>0.54468965395580915</v>
      </c>
      <c r="N971">
        <v>0</v>
      </c>
      <c r="O971">
        <v>0</v>
      </c>
      <c r="P971">
        <v>0.7180369633611916</v>
      </c>
      <c r="Q971">
        <v>1.7801258929339689</v>
      </c>
      <c r="R971">
        <v>-0.1882888138161114</v>
      </c>
      <c r="S971">
        <v>0.2418618968589912</v>
      </c>
      <c r="T971">
        <v>0.18403413601995469</v>
      </c>
      <c r="U971">
        <v>4.3319748101307187</v>
      </c>
      <c r="V971">
        <v>0.2168262156955765</v>
      </c>
      <c r="W971">
        <v>7.5231717132352944</v>
      </c>
      <c r="X971">
        <v>0.45550076066643752</v>
      </c>
      <c r="Z971" t="s">
        <v>392</v>
      </c>
      <c r="AA971">
        <v>9400</v>
      </c>
      <c r="AB971" t="s">
        <v>3390</v>
      </c>
      <c r="AC971" t="str">
        <f>HYPERLINK("plots/3FT6Y578R01_012_S11P_20251111092011_M5358ACSH101811_RBGEUFRF26/dpll_52094/txpa_55214.png","plot")</f>
        <v>plot</v>
      </c>
    </row>
    <row r="972" spans="1:29" x14ac:dyDescent="0.35">
      <c r="A972" t="s">
        <v>48</v>
      </c>
      <c r="B972">
        <v>52094</v>
      </c>
      <c r="C972" t="s">
        <v>53</v>
      </c>
      <c r="D972">
        <v>55215</v>
      </c>
      <c r="E972" t="s">
        <v>348</v>
      </c>
      <c r="F972">
        <v>12239</v>
      </c>
      <c r="G972">
        <v>0.84828205848182692</v>
      </c>
      <c r="H972">
        <v>0</v>
      </c>
      <c r="I972">
        <v>0</v>
      </c>
      <c r="J972">
        <v>0.7352522435552572</v>
      </c>
      <c r="K972">
        <v>0</v>
      </c>
      <c r="L972">
        <v>0</v>
      </c>
      <c r="M972">
        <v>0.54298262457557533</v>
      </c>
      <c r="N972">
        <v>0</v>
      </c>
      <c r="O972">
        <v>0</v>
      </c>
      <c r="P972">
        <v>0.71958245074216565</v>
      </c>
      <c r="Q972">
        <v>1.788190820400231</v>
      </c>
      <c r="R972">
        <v>-0.25054982857321217</v>
      </c>
      <c r="S972">
        <v>0.24200281692084019</v>
      </c>
      <c r="T972">
        <v>0.1850733970008942</v>
      </c>
      <c r="U972">
        <v>4.3319641277882184</v>
      </c>
      <c r="V972">
        <v>0.21680135387040489</v>
      </c>
      <c r="W972">
        <v>7.4958286590407717</v>
      </c>
      <c r="X972">
        <v>0.45702038250724758</v>
      </c>
      <c r="Z972" t="s">
        <v>392</v>
      </c>
      <c r="AA972">
        <v>9400</v>
      </c>
      <c r="AB972" t="s">
        <v>3391</v>
      </c>
      <c r="AC972" t="str">
        <f>HYPERLINK("plots/3FT6Y578R01_012_S11P_20251111092011_M5358ACSH101811_RBGEUFRF26/dpll_52094/txpa_55215.png","plot")</f>
        <v>plot</v>
      </c>
    </row>
    <row r="973" spans="1:29" x14ac:dyDescent="0.35">
      <c r="A973" t="s">
        <v>48</v>
      </c>
      <c r="B973">
        <v>52094</v>
      </c>
      <c r="C973" t="s">
        <v>53</v>
      </c>
      <c r="D973">
        <v>55216</v>
      </c>
      <c r="E973" t="s">
        <v>349</v>
      </c>
      <c r="F973">
        <v>12241</v>
      </c>
      <c r="G973">
        <v>0.84960069764976154</v>
      </c>
      <c r="H973">
        <v>0</v>
      </c>
      <c r="I973">
        <v>0</v>
      </c>
      <c r="J973">
        <v>0.73848295977254919</v>
      </c>
      <c r="K973">
        <v>0</v>
      </c>
      <c r="L973">
        <v>0</v>
      </c>
      <c r="M973">
        <v>0.54678660580881033</v>
      </c>
      <c r="N973">
        <v>0</v>
      </c>
      <c r="O973">
        <v>0</v>
      </c>
      <c r="P973">
        <v>0.72182134544696153</v>
      </c>
      <c r="Q973">
        <v>1.794483792940418</v>
      </c>
      <c r="R973">
        <v>-0.27095919149127301</v>
      </c>
      <c r="S973">
        <v>0.24150614513133509</v>
      </c>
      <c r="T973">
        <v>0.18465714555963789</v>
      </c>
      <c r="U973">
        <v>4.3319201616697978</v>
      </c>
      <c r="V973">
        <v>0.21680003343192039</v>
      </c>
      <c r="W973">
        <v>7.502601330937015</v>
      </c>
      <c r="X973">
        <v>0.4579141088027931</v>
      </c>
      <c r="Z973" t="s">
        <v>392</v>
      </c>
      <c r="AA973">
        <v>9400</v>
      </c>
      <c r="AB973" t="s">
        <v>3392</v>
      </c>
      <c r="AC973" t="str">
        <f>HYPERLINK("plots/3FT6Y578R01_012_S11P_20251111092011_M5358ACSH101811_RBGEUFRF26/dpll_52094/txpa_55216.png","plot")</f>
        <v>plot</v>
      </c>
    </row>
    <row r="974" spans="1:29" x14ac:dyDescent="0.35">
      <c r="A974" t="s">
        <v>48</v>
      </c>
      <c r="B974">
        <v>52094</v>
      </c>
      <c r="C974" t="s">
        <v>53</v>
      </c>
      <c r="D974">
        <v>55217</v>
      </c>
      <c r="E974" t="s">
        <v>350</v>
      </c>
      <c r="F974">
        <v>12239</v>
      </c>
      <c r="G974">
        <v>0.84949329657499895</v>
      </c>
      <c r="H974">
        <v>0</v>
      </c>
      <c r="I974">
        <v>0</v>
      </c>
      <c r="J974">
        <v>0.73441423676070083</v>
      </c>
      <c r="K974">
        <v>0</v>
      </c>
      <c r="L974">
        <v>0</v>
      </c>
      <c r="M974">
        <v>0.54341011164412611</v>
      </c>
      <c r="N974">
        <v>0</v>
      </c>
      <c r="O974">
        <v>0</v>
      </c>
      <c r="P974">
        <v>0.72163886092585916</v>
      </c>
      <c r="Q974">
        <v>1.7904388445661501</v>
      </c>
      <c r="R974">
        <v>-0.24793605463055449</v>
      </c>
      <c r="S974">
        <v>0.2410772194062335</v>
      </c>
      <c r="T974">
        <v>0.1841797251512412</v>
      </c>
      <c r="U974">
        <v>4.3320106986681921</v>
      </c>
      <c r="V974">
        <v>0.21680539186737349</v>
      </c>
      <c r="W974">
        <v>7.5082641753411226</v>
      </c>
      <c r="X974">
        <v>0.45695098110342858</v>
      </c>
      <c r="Z974" t="s">
        <v>392</v>
      </c>
      <c r="AA974">
        <v>9400</v>
      </c>
      <c r="AB974" t="s">
        <v>3393</v>
      </c>
      <c r="AC974" t="str">
        <f>HYPERLINK("plots/3FT6Y578R01_012_S11P_20251111092011_M5358ACSH101811_RBGEUFRF26/dpll_52094/txpa_55217.png","plot")</f>
        <v>plot</v>
      </c>
    </row>
    <row r="975" spans="1:29" x14ac:dyDescent="0.35">
      <c r="A975" t="s">
        <v>48</v>
      </c>
      <c r="B975">
        <v>52094</v>
      </c>
      <c r="C975" t="s">
        <v>53</v>
      </c>
      <c r="D975">
        <v>55218</v>
      </c>
      <c r="E975" t="s">
        <v>351</v>
      </c>
      <c r="F975">
        <v>12234</v>
      </c>
      <c r="G975">
        <v>0.84509091086746024</v>
      </c>
      <c r="H975">
        <v>0</v>
      </c>
      <c r="I975">
        <v>0</v>
      </c>
      <c r="J975">
        <v>0.72752447521443664</v>
      </c>
      <c r="K975">
        <v>0</v>
      </c>
      <c r="L975">
        <v>0</v>
      </c>
      <c r="M975">
        <v>0.53708626120689051</v>
      </c>
      <c r="N975">
        <v>0</v>
      </c>
      <c r="O975">
        <v>0</v>
      </c>
      <c r="P975">
        <v>0.71417864763079364</v>
      </c>
      <c r="Q975">
        <v>1.7710736273913019</v>
      </c>
      <c r="R975">
        <v>-0.17791764372724561</v>
      </c>
      <c r="S975">
        <v>0.242888411812408</v>
      </c>
      <c r="T975">
        <v>0.18514503177071159</v>
      </c>
      <c r="U975">
        <v>4.3321075601602086</v>
      </c>
      <c r="V975">
        <v>0.21679238596651421</v>
      </c>
      <c r="W975">
        <v>7.4945638070949796</v>
      </c>
      <c r="X975">
        <v>0.45433606309930741</v>
      </c>
      <c r="Z975" t="s">
        <v>392</v>
      </c>
      <c r="AA975">
        <v>9400</v>
      </c>
      <c r="AB975" t="s">
        <v>3394</v>
      </c>
      <c r="AC975" t="str">
        <f>HYPERLINK("plots/3FT6Y578R01_012_S11P_20251111092011_M5358ACSH101811_RBGEUFRF26/dpll_52094/txpa_55218.png","plot")</f>
        <v>plot</v>
      </c>
    </row>
    <row r="976" spans="1:29" x14ac:dyDescent="0.35">
      <c r="A976" t="s">
        <v>48</v>
      </c>
      <c r="B976">
        <v>52094</v>
      </c>
      <c r="C976" t="s">
        <v>53</v>
      </c>
      <c r="D976">
        <v>55219</v>
      </c>
      <c r="E976" t="s">
        <v>352</v>
      </c>
      <c r="F976">
        <v>12232</v>
      </c>
      <c r="G976">
        <v>0.8316815295765787</v>
      </c>
      <c r="H976">
        <v>0</v>
      </c>
      <c r="I976">
        <v>0</v>
      </c>
      <c r="J976">
        <v>0.72737753247490367</v>
      </c>
      <c r="K976">
        <v>0</v>
      </c>
      <c r="L976">
        <v>0</v>
      </c>
      <c r="M976">
        <v>0.53458232294690078</v>
      </c>
      <c r="N976">
        <v>0</v>
      </c>
      <c r="O976">
        <v>0</v>
      </c>
      <c r="P976">
        <v>0.69169416663883754</v>
      </c>
      <c r="Q976">
        <v>1.8401882377480641</v>
      </c>
      <c r="R976">
        <v>0.45490232318283841</v>
      </c>
      <c r="S976">
        <v>0.26616004217678169</v>
      </c>
      <c r="T976">
        <v>0.19790965297737101</v>
      </c>
      <c r="U976">
        <v>4.3322440963047741</v>
      </c>
      <c r="V976">
        <v>0.216652919108481</v>
      </c>
      <c r="W976">
        <v>8.4270469522563758</v>
      </c>
      <c r="X976">
        <v>0.47936877186653981</v>
      </c>
      <c r="Z976" t="s">
        <v>392</v>
      </c>
      <c r="AA976">
        <v>9400</v>
      </c>
      <c r="AB976" t="s">
        <v>3395</v>
      </c>
      <c r="AC976" t="str">
        <f>HYPERLINK("plots/3FT6Y578R01_012_S11P_20251111092011_M5358ACSH101811_RBGEUFRF26/dpll_52094/txpa_55219.png","plot")</f>
        <v>plot</v>
      </c>
    </row>
    <row r="977" spans="1:29" x14ac:dyDescent="0.35">
      <c r="A977" t="s">
        <v>48</v>
      </c>
      <c r="B977">
        <v>52094</v>
      </c>
      <c r="C977" t="s">
        <v>53</v>
      </c>
      <c r="D977">
        <v>55220</v>
      </c>
      <c r="E977" t="s">
        <v>353</v>
      </c>
      <c r="F977">
        <v>12235</v>
      </c>
      <c r="G977">
        <v>0.84351106036690104</v>
      </c>
      <c r="H977">
        <v>0</v>
      </c>
      <c r="I977">
        <v>0</v>
      </c>
      <c r="J977">
        <v>0.73589154793527756</v>
      </c>
      <c r="K977">
        <v>0</v>
      </c>
      <c r="L977">
        <v>0</v>
      </c>
      <c r="M977">
        <v>0.54408749903644282</v>
      </c>
      <c r="N977">
        <v>0</v>
      </c>
      <c r="O977">
        <v>0</v>
      </c>
      <c r="P977">
        <v>0.71151090896129376</v>
      </c>
      <c r="Q977">
        <v>1.867416036318116</v>
      </c>
      <c r="R977">
        <v>0.36920908040898581</v>
      </c>
      <c r="S977">
        <v>0.25773050150679572</v>
      </c>
      <c r="T977">
        <v>0.19466579906449191</v>
      </c>
      <c r="U977">
        <v>4.3320914950551694</v>
      </c>
      <c r="V977">
        <v>0.21675472208411559</v>
      </c>
      <c r="W977">
        <v>8.4590262090723325</v>
      </c>
      <c r="X977">
        <v>0.47986477354723839</v>
      </c>
      <c r="Z977" t="s">
        <v>392</v>
      </c>
      <c r="AA977">
        <v>9400</v>
      </c>
      <c r="AB977" t="s">
        <v>3396</v>
      </c>
      <c r="AC977" t="str">
        <f>HYPERLINK("plots/3FT6Y578R01_012_S11P_20251111092011_M5358ACSH101811_RBGEUFRF26/dpll_52094/txpa_55220.png","plot")</f>
        <v>plot</v>
      </c>
    </row>
    <row r="978" spans="1:29" x14ac:dyDescent="0.35">
      <c r="A978" t="s">
        <v>48</v>
      </c>
      <c r="B978">
        <v>52094</v>
      </c>
      <c r="C978" t="s">
        <v>53</v>
      </c>
      <c r="D978">
        <v>55221</v>
      </c>
      <c r="E978" t="s">
        <v>354</v>
      </c>
      <c r="F978">
        <v>12237</v>
      </c>
      <c r="G978">
        <v>0.84249996866238919</v>
      </c>
      <c r="H978">
        <v>0</v>
      </c>
      <c r="I978">
        <v>0</v>
      </c>
      <c r="J978">
        <v>0.73296193879555649</v>
      </c>
      <c r="K978">
        <v>0</v>
      </c>
      <c r="L978">
        <v>0</v>
      </c>
      <c r="M978">
        <v>0.54102939537746675</v>
      </c>
      <c r="N978">
        <v>0</v>
      </c>
      <c r="O978">
        <v>0</v>
      </c>
      <c r="P978">
        <v>0.70980619719612681</v>
      </c>
      <c r="Q978">
        <v>1.8516259506915751</v>
      </c>
      <c r="R978">
        <v>0.44934412506211169</v>
      </c>
      <c r="S978">
        <v>0.2566478341289759</v>
      </c>
      <c r="T978">
        <v>0.1931191985699538</v>
      </c>
      <c r="U978">
        <v>4.3320590022881422</v>
      </c>
      <c r="V978">
        <v>0.21678434528230381</v>
      </c>
      <c r="W978">
        <v>8.4706969936258876</v>
      </c>
      <c r="X978">
        <v>0.47644336422432398</v>
      </c>
      <c r="Z978" t="s">
        <v>392</v>
      </c>
      <c r="AA978">
        <v>9400</v>
      </c>
      <c r="AB978" t="s">
        <v>3397</v>
      </c>
      <c r="AC978" t="str">
        <f>HYPERLINK("plots/3FT6Y578R01_012_S11P_20251111092011_M5358ACSH101811_RBGEUFRF26/dpll_52094/txpa_55221.png","plot")</f>
        <v>plot</v>
      </c>
    </row>
    <row r="979" spans="1:29" x14ac:dyDescent="0.35">
      <c r="A979" t="s">
        <v>48</v>
      </c>
      <c r="B979">
        <v>52094</v>
      </c>
      <c r="C979" t="s">
        <v>53</v>
      </c>
      <c r="D979">
        <v>55222</v>
      </c>
      <c r="E979" t="s">
        <v>355</v>
      </c>
      <c r="F979">
        <v>12240</v>
      </c>
      <c r="G979">
        <v>0.84966973644391697</v>
      </c>
      <c r="H979">
        <v>0</v>
      </c>
      <c r="I979">
        <v>0</v>
      </c>
      <c r="J979">
        <v>0.7378034212756075</v>
      </c>
      <c r="K979">
        <v>0</v>
      </c>
      <c r="L979">
        <v>0</v>
      </c>
      <c r="M979">
        <v>0.54609898517984623</v>
      </c>
      <c r="N979">
        <v>0</v>
      </c>
      <c r="O979">
        <v>0</v>
      </c>
      <c r="P979">
        <v>0.72193866102867532</v>
      </c>
      <c r="Q979">
        <v>1.8757885953819879</v>
      </c>
      <c r="R979">
        <v>0.35765046874664291</v>
      </c>
      <c r="S979">
        <v>0.25240508187115929</v>
      </c>
      <c r="T979">
        <v>0.19169166512015659</v>
      </c>
      <c r="U979">
        <v>4.3319748101307187</v>
      </c>
      <c r="V979">
        <v>0.2168262156955765</v>
      </c>
      <c r="W979">
        <v>8.4835194130718961</v>
      </c>
      <c r="X979">
        <v>0.47868027438969912</v>
      </c>
      <c r="Z979" t="s">
        <v>392</v>
      </c>
      <c r="AA979">
        <v>9400</v>
      </c>
      <c r="AB979" t="s">
        <v>3398</v>
      </c>
      <c r="AC979" t="str">
        <f>HYPERLINK("plots/3FT6Y578R01_012_S11P_20251111092011_M5358ACSH101811_RBGEUFRF26/dpll_52094/txpa_55222.png","plot")</f>
        <v>plot</v>
      </c>
    </row>
    <row r="980" spans="1:29" x14ac:dyDescent="0.35">
      <c r="A980" t="s">
        <v>48</v>
      </c>
      <c r="B980">
        <v>52094</v>
      </c>
      <c r="C980" t="s">
        <v>53</v>
      </c>
      <c r="D980">
        <v>55223</v>
      </c>
      <c r="E980" t="s">
        <v>356</v>
      </c>
      <c r="F980">
        <v>12239</v>
      </c>
      <c r="G980">
        <v>0.85055473223412503</v>
      </c>
      <c r="H980">
        <v>0</v>
      </c>
      <c r="I980">
        <v>0</v>
      </c>
      <c r="J980">
        <v>0.73642422459074963</v>
      </c>
      <c r="K980">
        <v>0</v>
      </c>
      <c r="L980">
        <v>0</v>
      </c>
      <c r="M980">
        <v>0.5443909712544619</v>
      </c>
      <c r="N980">
        <v>0</v>
      </c>
      <c r="O980">
        <v>0</v>
      </c>
      <c r="P980">
        <v>0.72344335252586411</v>
      </c>
      <c r="Q980">
        <v>1.8837189988452849</v>
      </c>
      <c r="R980">
        <v>0.29490993863873532</v>
      </c>
      <c r="S980">
        <v>0.25249346992503208</v>
      </c>
      <c r="T980">
        <v>0.19272318557896051</v>
      </c>
      <c r="U980">
        <v>4.3319641277882184</v>
      </c>
      <c r="V980">
        <v>0.21680135387040489</v>
      </c>
      <c r="W980">
        <v>8.4551130684696467</v>
      </c>
      <c r="X980">
        <v>0.48014879440897262</v>
      </c>
      <c r="Z980" t="s">
        <v>392</v>
      </c>
      <c r="AA980">
        <v>9400</v>
      </c>
      <c r="AB980" t="s">
        <v>3399</v>
      </c>
      <c r="AC980" t="str">
        <f>HYPERLINK("plots/3FT6Y578R01_012_S11P_20251111092011_M5358ACSH101811_RBGEUFRF26/dpll_52094/txpa_55223.png","plot")</f>
        <v>plot</v>
      </c>
    </row>
    <row r="981" spans="1:29" x14ac:dyDescent="0.35">
      <c r="A981" t="s">
        <v>48</v>
      </c>
      <c r="B981">
        <v>52094</v>
      </c>
      <c r="C981" t="s">
        <v>53</v>
      </c>
      <c r="D981">
        <v>55224</v>
      </c>
      <c r="E981" t="s">
        <v>357</v>
      </c>
      <c r="F981">
        <v>12238</v>
      </c>
      <c r="G981">
        <v>0.85243085521442552</v>
      </c>
      <c r="H981">
        <v>0</v>
      </c>
      <c r="I981">
        <v>0</v>
      </c>
      <c r="J981">
        <v>0.73924558982638544</v>
      </c>
      <c r="K981">
        <v>0</v>
      </c>
      <c r="L981">
        <v>0</v>
      </c>
      <c r="M981">
        <v>0.54788442292414974</v>
      </c>
      <c r="N981">
        <v>0</v>
      </c>
      <c r="O981">
        <v>0</v>
      </c>
      <c r="P981">
        <v>0.72663836292159689</v>
      </c>
      <c r="Q981">
        <v>1.8874593775865911</v>
      </c>
      <c r="R981">
        <v>0.28737698074248291</v>
      </c>
      <c r="S981">
        <v>0.2509648328767719</v>
      </c>
      <c r="T981">
        <v>0.19191001662995849</v>
      </c>
      <c r="U981">
        <v>4.3319795925804874</v>
      </c>
      <c r="V981">
        <v>0.21679206298308129</v>
      </c>
      <c r="W981">
        <v>8.4638124862722659</v>
      </c>
      <c r="X981">
        <v>0.48002276050980192</v>
      </c>
      <c r="Z981" t="s">
        <v>392</v>
      </c>
      <c r="AA981">
        <v>9400</v>
      </c>
      <c r="AB981" t="s">
        <v>3400</v>
      </c>
      <c r="AC981" t="str">
        <f>HYPERLINK("plots/3FT6Y578R01_012_S11P_20251111092011_M5358ACSH101811_RBGEUFRF26/dpll_52094/txpa_55224.png","plot")</f>
        <v>plot</v>
      </c>
    </row>
    <row r="982" spans="1:29" x14ac:dyDescent="0.35">
      <c r="A982" t="s">
        <v>48</v>
      </c>
      <c r="B982">
        <v>52094</v>
      </c>
      <c r="C982" t="s">
        <v>53</v>
      </c>
      <c r="D982">
        <v>55225</v>
      </c>
      <c r="E982" t="s">
        <v>358</v>
      </c>
      <c r="F982">
        <v>12239</v>
      </c>
      <c r="G982">
        <v>0.8517114076021195</v>
      </c>
      <c r="H982">
        <v>0</v>
      </c>
      <c r="I982">
        <v>0</v>
      </c>
      <c r="J982">
        <v>0.73569865045636995</v>
      </c>
      <c r="K982">
        <v>0</v>
      </c>
      <c r="L982">
        <v>0</v>
      </c>
      <c r="M982">
        <v>0.54497345153814525</v>
      </c>
      <c r="N982">
        <v>0</v>
      </c>
      <c r="O982">
        <v>0</v>
      </c>
      <c r="P982">
        <v>0.72541232183958371</v>
      </c>
      <c r="Q982">
        <v>1.8859375280030291</v>
      </c>
      <c r="R982">
        <v>0.29926964498748282</v>
      </c>
      <c r="S982">
        <v>0.25155195484439852</v>
      </c>
      <c r="T982">
        <v>0.1917553920815247</v>
      </c>
      <c r="U982">
        <v>4.3320106986681921</v>
      </c>
      <c r="V982">
        <v>0.21680539186737349</v>
      </c>
      <c r="W982">
        <v>8.4691711933164466</v>
      </c>
      <c r="X982">
        <v>0.48007038669029167</v>
      </c>
      <c r="Z982" t="s">
        <v>392</v>
      </c>
      <c r="AA982">
        <v>9400</v>
      </c>
      <c r="AB982" t="s">
        <v>3401</v>
      </c>
      <c r="AC982" t="str">
        <f>HYPERLINK("plots/3FT6Y578R01_012_S11P_20251111092011_M5358ACSH101811_RBGEUFRF26/dpll_52094/txpa_55225.png","plot")</f>
        <v>plot</v>
      </c>
    </row>
    <row r="983" spans="1:29" x14ac:dyDescent="0.35">
      <c r="A983" t="s">
        <v>48</v>
      </c>
      <c r="B983">
        <v>52094</v>
      </c>
      <c r="C983" t="s">
        <v>53</v>
      </c>
      <c r="D983">
        <v>55226</v>
      </c>
      <c r="E983" t="s">
        <v>359</v>
      </c>
      <c r="F983">
        <v>12234</v>
      </c>
      <c r="G983">
        <v>0.84737896698014059</v>
      </c>
      <c r="H983">
        <v>0</v>
      </c>
      <c r="I983">
        <v>0</v>
      </c>
      <c r="J983">
        <v>0.72879708363846341</v>
      </c>
      <c r="K983">
        <v>0</v>
      </c>
      <c r="L983">
        <v>0</v>
      </c>
      <c r="M983">
        <v>0.53851403333702252</v>
      </c>
      <c r="N983">
        <v>0</v>
      </c>
      <c r="O983">
        <v>0</v>
      </c>
      <c r="P983">
        <v>0.71805111368033014</v>
      </c>
      <c r="Q983">
        <v>1.865578930259024</v>
      </c>
      <c r="R983">
        <v>0.37498196593382183</v>
      </c>
      <c r="S983">
        <v>0.25342380939622211</v>
      </c>
      <c r="T983">
        <v>0.19278592802817851</v>
      </c>
      <c r="U983">
        <v>4.3321075601602086</v>
      </c>
      <c r="V983">
        <v>0.21679238596651421</v>
      </c>
      <c r="W983">
        <v>8.4568705537845332</v>
      </c>
      <c r="X983">
        <v>0.47728740417177429</v>
      </c>
      <c r="Z983" t="s">
        <v>392</v>
      </c>
      <c r="AA983">
        <v>9400</v>
      </c>
      <c r="AB983" t="s">
        <v>3402</v>
      </c>
      <c r="AC983" t="str">
        <f>HYPERLINK("plots/3FT6Y578R01_012_S11P_20251111092011_M5358ACSH101811_RBGEUFRF26/dpll_52094/txpa_55226.png","plot")</f>
        <v>plot</v>
      </c>
    </row>
    <row r="984" spans="1:29" x14ac:dyDescent="0.35">
      <c r="A984" t="s">
        <v>48</v>
      </c>
      <c r="B984">
        <v>52094</v>
      </c>
      <c r="C984" t="s">
        <v>53</v>
      </c>
      <c r="D984">
        <v>55227</v>
      </c>
      <c r="E984" t="s">
        <v>360</v>
      </c>
      <c r="F984">
        <v>12227</v>
      </c>
      <c r="G984">
        <v>0.83331107952262795</v>
      </c>
      <c r="H984">
        <v>0</v>
      </c>
      <c r="I984">
        <v>0</v>
      </c>
      <c r="J984">
        <v>0.72746057826840049</v>
      </c>
      <c r="K984">
        <v>0</v>
      </c>
      <c r="L984">
        <v>0</v>
      </c>
      <c r="M984">
        <v>0.53487441197398988</v>
      </c>
      <c r="N984">
        <v>0</v>
      </c>
      <c r="O984">
        <v>0</v>
      </c>
      <c r="P984">
        <v>0.69440735525516761</v>
      </c>
      <c r="Q984">
        <v>1.888948310587899</v>
      </c>
      <c r="R984">
        <v>0.71188234217987123</v>
      </c>
      <c r="S984">
        <v>0.27140626063505191</v>
      </c>
      <c r="T984">
        <v>0.20201022836924429</v>
      </c>
      <c r="U984">
        <v>4.3323662139527279</v>
      </c>
      <c r="V984">
        <v>0.21659740815556711</v>
      </c>
      <c r="W984">
        <v>8.8954981828739683</v>
      </c>
      <c r="X984">
        <v>0.49098268133859158</v>
      </c>
      <c r="Z984" t="s">
        <v>392</v>
      </c>
      <c r="AA984">
        <v>9400</v>
      </c>
      <c r="AB984" t="s">
        <v>3403</v>
      </c>
      <c r="AC984" t="str">
        <f>HYPERLINK("plots/3FT6Y578R01_012_S11P_20251111092011_M5358ACSH101811_RBGEUFRF26/dpll_52094/txpa_55227.png","plot")</f>
        <v>plot</v>
      </c>
    </row>
    <row r="985" spans="1:29" x14ac:dyDescent="0.35">
      <c r="A985" t="s">
        <v>48</v>
      </c>
      <c r="B985">
        <v>52094</v>
      </c>
      <c r="C985" t="s">
        <v>53</v>
      </c>
      <c r="D985">
        <v>55228</v>
      </c>
      <c r="E985" t="s">
        <v>361</v>
      </c>
      <c r="F985">
        <v>12234</v>
      </c>
      <c r="G985">
        <v>0.84419337006858586</v>
      </c>
      <c r="H985">
        <v>0</v>
      </c>
      <c r="I985">
        <v>0</v>
      </c>
      <c r="J985">
        <v>0.7357765138093042</v>
      </c>
      <c r="K985">
        <v>0</v>
      </c>
      <c r="L985">
        <v>0</v>
      </c>
      <c r="M985">
        <v>0.54412415831224081</v>
      </c>
      <c r="N985">
        <v>0</v>
      </c>
      <c r="O985">
        <v>0</v>
      </c>
      <c r="P985">
        <v>0.71266244606775631</v>
      </c>
      <c r="Q985">
        <v>1.918857625978093</v>
      </c>
      <c r="R985">
        <v>0.61389748417853696</v>
      </c>
      <c r="S985">
        <v>0.2640566740044763</v>
      </c>
      <c r="T985">
        <v>0.19920098167614739</v>
      </c>
      <c r="U985">
        <v>4.3321262788131438</v>
      </c>
      <c r="V985">
        <v>0.2167294297827618</v>
      </c>
      <c r="W985">
        <v>8.9266310309792374</v>
      </c>
      <c r="X985">
        <v>0.49262755887167048</v>
      </c>
      <c r="Z985" t="s">
        <v>392</v>
      </c>
      <c r="AA985">
        <v>9400</v>
      </c>
      <c r="AB985" t="s">
        <v>3404</v>
      </c>
      <c r="AC985" t="str">
        <f>HYPERLINK("plots/3FT6Y578R01_012_S11P_20251111092011_M5358ACSH101811_RBGEUFRF26/dpll_52094/txpa_55228.png","plot")</f>
        <v>plot</v>
      </c>
    </row>
    <row r="986" spans="1:29" x14ac:dyDescent="0.35">
      <c r="A986" t="s">
        <v>48</v>
      </c>
      <c r="B986">
        <v>52094</v>
      </c>
      <c r="C986" t="s">
        <v>53</v>
      </c>
      <c r="D986">
        <v>55229</v>
      </c>
      <c r="E986" t="s">
        <v>362</v>
      </c>
      <c r="F986">
        <v>12236</v>
      </c>
      <c r="G986">
        <v>0.84335717588319103</v>
      </c>
      <c r="H986">
        <v>0</v>
      </c>
      <c r="I986">
        <v>0</v>
      </c>
      <c r="J986">
        <v>0.73297299036976316</v>
      </c>
      <c r="K986">
        <v>0</v>
      </c>
      <c r="L986">
        <v>0</v>
      </c>
      <c r="M986">
        <v>0.54116781205523312</v>
      </c>
      <c r="N986">
        <v>0</v>
      </c>
      <c r="O986">
        <v>0</v>
      </c>
      <c r="P986">
        <v>0.71125132611367159</v>
      </c>
      <c r="Q986">
        <v>1.9033471405046889</v>
      </c>
      <c r="R986">
        <v>0.69289129837452457</v>
      </c>
      <c r="S986">
        <v>0.26287007895532799</v>
      </c>
      <c r="T986">
        <v>0.19761325040666011</v>
      </c>
      <c r="U986">
        <v>4.3320896801242226</v>
      </c>
      <c r="V986">
        <v>0.2167666392269755</v>
      </c>
      <c r="W986">
        <v>8.9383618034488403</v>
      </c>
      <c r="X986">
        <v>0.48921403022083232</v>
      </c>
      <c r="Z986" t="s">
        <v>392</v>
      </c>
      <c r="AA986">
        <v>9400</v>
      </c>
      <c r="AB986" t="s">
        <v>3405</v>
      </c>
      <c r="AC986" t="str">
        <f>HYPERLINK("plots/3FT6Y578R01_012_S11P_20251111092011_M5358ACSH101811_RBGEUFRF26/dpll_52094/txpa_55229.png","plot")</f>
        <v>plot</v>
      </c>
    </row>
    <row r="987" spans="1:29" x14ac:dyDescent="0.35">
      <c r="A987" t="s">
        <v>48</v>
      </c>
      <c r="B987">
        <v>52094</v>
      </c>
      <c r="C987" t="s">
        <v>53</v>
      </c>
      <c r="D987">
        <v>55230</v>
      </c>
      <c r="E987" t="s">
        <v>363</v>
      </c>
      <c r="F987">
        <v>12240</v>
      </c>
      <c r="G987">
        <v>0.85025709999064558</v>
      </c>
      <c r="H987">
        <v>0</v>
      </c>
      <c r="I987">
        <v>0</v>
      </c>
      <c r="J987">
        <v>0.73775249918939589</v>
      </c>
      <c r="K987">
        <v>0</v>
      </c>
      <c r="L987">
        <v>0</v>
      </c>
      <c r="M987">
        <v>0.54617982056031067</v>
      </c>
      <c r="N987">
        <v>0</v>
      </c>
      <c r="O987">
        <v>0</v>
      </c>
      <c r="P987">
        <v>0.72293713608450272</v>
      </c>
      <c r="Q987">
        <v>1.9283097012081121</v>
      </c>
      <c r="R987">
        <v>0.59727435583380384</v>
      </c>
      <c r="S987">
        <v>0.25882708852340902</v>
      </c>
      <c r="T987">
        <v>0.1963009737954523</v>
      </c>
      <c r="U987">
        <v>4.3319748101307187</v>
      </c>
      <c r="V987">
        <v>0.2168262156955765</v>
      </c>
      <c r="W987">
        <v>8.9506634075980394</v>
      </c>
      <c r="X987">
        <v>0.49174313887719728</v>
      </c>
      <c r="Z987" t="s">
        <v>392</v>
      </c>
      <c r="AA987">
        <v>9400</v>
      </c>
      <c r="AB987" t="s">
        <v>3406</v>
      </c>
      <c r="AC987" t="str">
        <f>HYPERLINK("plots/3FT6Y578R01_012_S11P_20251111092011_M5358ACSH101811_RBGEUFRF26/dpll_52094/txpa_55230.png","plot")</f>
        <v>plot</v>
      </c>
    </row>
    <row r="988" spans="1:29" x14ac:dyDescent="0.35">
      <c r="A988" t="s">
        <v>48</v>
      </c>
      <c r="B988">
        <v>52094</v>
      </c>
      <c r="C988" t="s">
        <v>53</v>
      </c>
      <c r="D988">
        <v>55231</v>
      </c>
      <c r="E988" t="s">
        <v>364</v>
      </c>
      <c r="F988">
        <v>12239</v>
      </c>
      <c r="G988">
        <v>0.85109261580041728</v>
      </c>
      <c r="H988">
        <v>0</v>
      </c>
      <c r="I988">
        <v>0</v>
      </c>
      <c r="J988">
        <v>0.73625608247897301</v>
      </c>
      <c r="K988">
        <v>0</v>
      </c>
      <c r="L988">
        <v>0</v>
      </c>
      <c r="M988">
        <v>0.54436473355247583</v>
      </c>
      <c r="N988">
        <v>0</v>
      </c>
      <c r="O988">
        <v>0</v>
      </c>
      <c r="P988">
        <v>0.72435864066999667</v>
      </c>
      <c r="Q988">
        <v>1.936614356244573</v>
      </c>
      <c r="R988">
        <v>0.53228451365634122</v>
      </c>
      <c r="S988">
        <v>0.25898986121939921</v>
      </c>
      <c r="T988">
        <v>0.19736277681688111</v>
      </c>
      <c r="U988">
        <v>4.3319641277882184</v>
      </c>
      <c r="V988">
        <v>0.21680135387040489</v>
      </c>
      <c r="W988">
        <v>8.9216284342675056</v>
      </c>
      <c r="X988">
        <v>0.49331953604582129</v>
      </c>
      <c r="Z988" t="s">
        <v>392</v>
      </c>
      <c r="AA988">
        <v>9400</v>
      </c>
      <c r="AB988" t="s">
        <v>3407</v>
      </c>
      <c r="AC988" t="str">
        <f>HYPERLINK("plots/3FT6Y578R01_012_S11P_20251111092011_M5358ACSH101811_RBGEUFRF26/dpll_52094/txpa_55231.png","plot")</f>
        <v>plot</v>
      </c>
    </row>
    <row r="989" spans="1:29" x14ac:dyDescent="0.35">
      <c r="A989" t="s">
        <v>48</v>
      </c>
      <c r="B989">
        <v>52094</v>
      </c>
      <c r="C989" t="s">
        <v>53</v>
      </c>
      <c r="D989">
        <v>55232</v>
      </c>
      <c r="E989" t="s">
        <v>365</v>
      </c>
      <c r="F989">
        <v>12238</v>
      </c>
      <c r="G989">
        <v>0.85300906124852593</v>
      </c>
      <c r="H989">
        <v>0</v>
      </c>
      <c r="I989">
        <v>0</v>
      </c>
      <c r="J989">
        <v>0.73916749069731036</v>
      </c>
      <c r="K989">
        <v>0</v>
      </c>
      <c r="L989">
        <v>0</v>
      </c>
      <c r="M989">
        <v>0.54798608246944014</v>
      </c>
      <c r="N989">
        <v>0</v>
      </c>
      <c r="O989">
        <v>0</v>
      </c>
      <c r="P989">
        <v>0.72762445857209146</v>
      </c>
      <c r="Q989">
        <v>1.940335420084238</v>
      </c>
      <c r="R989">
        <v>0.52539391018771298</v>
      </c>
      <c r="S989">
        <v>0.25735514442416652</v>
      </c>
      <c r="T989">
        <v>0.1964986602689032</v>
      </c>
      <c r="U989">
        <v>4.3319795925804874</v>
      </c>
      <c r="V989">
        <v>0.21679206298308129</v>
      </c>
      <c r="W989">
        <v>8.9308873527537198</v>
      </c>
      <c r="X989">
        <v>0.49313581497424291</v>
      </c>
      <c r="Z989" t="s">
        <v>392</v>
      </c>
      <c r="AA989">
        <v>9400</v>
      </c>
      <c r="AB989" t="s">
        <v>3408</v>
      </c>
      <c r="AC989" t="str">
        <f>HYPERLINK("plots/3FT6Y578R01_012_S11P_20251111092011_M5358ACSH101811_RBGEUFRF26/dpll_52094/txpa_55232.png","plot")</f>
        <v>plot</v>
      </c>
    </row>
    <row r="990" spans="1:29" x14ac:dyDescent="0.35">
      <c r="A990" t="s">
        <v>48</v>
      </c>
      <c r="B990">
        <v>52094</v>
      </c>
      <c r="C990" t="s">
        <v>53</v>
      </c>
      <c r="D990">
        <v>55233</v>
      </c>
      <c r="E990" t="s">
        <v>366</v>
      </c>
      <c r="F990">
        <v>12236</v>
      </c>
      <c r="G990">
        <v>0.85268163766349447</v>
      </c>
      <c r="H990">
        <v>0</v>
      </c>
      <c r="I990">
        <v>0</v>
      </c>
      <c r="J990">
        <v>0.73551449770920618</v>
      </c>
      <c r="K990">
        <v>0</v>
      </c>
      <c r="L990">
        <v>0</v>
      </c>
      <c r="M990">
        <v>0.54504020390779939</v>
      </c>
      <c r="N990">
        <v>0</v>
      </c>
      <c r="O990">
        <v>0</v>
      </c>
      <c r="P990">
        <v>0.72706597520849892</v>
      </c>
      <c r="Q990">
        <v>1.937206550717691</v>
      </c>
      <c r="R990">
        <v>0.54461550088399235</v>
      </c>
      <c r="S990">
        <v>0.25727491504783179</v>
      </c>
      <c r="T990">
        <v>0.19601830491448291</v>
      </c>
      <c r="U990">
        <v>4.3320908059006209</v>
      </c>
      <c r="V990">
        <v>0.2167690791494131</v>
      </c>
      <c r="W990">
        <v>8.9367701883785546</v>
      </c>
      <c r="X990">
        <v>0.49247745180951819</v>
      </c>
      <c r="Z990" t="s">
        <v>392</v>
      </c>
      <c r="AA990">
        <v>9400</v>
      </c>
      <c r="AB990" t="s">
        <v>3409</v>
      </c>
      <c r="AC990" t="str">
        <f>HYPERLINK("plots/3FT6Y578R01_012_S11P_20251111092011_M5358ACSH101811_RBGEUFRF26/dpll_52094/txpa_55233.png","plot")</f>
        <v>plot</v>
      </c>
    </row>
    <row r="991" spans="1:29" x14ac:dyDescent="0.35">
      <c r="A991" t="s">
        <v>48</v>
      </c>
      <c r="B991">
        <v>52094</v>
      </c>
      <c r="C991" t="s">
        <v>53</v>
      </c>
      <c r="D991">
        <v>55234</v>
      </c>
      <c r="E991" t="s">
        <v>367</v>
      </c>
      <c r="F991">
        <v>12232</v>
      </c>
      <c r="G991">
        <v>0.84813276847334917</v>
      </c>
      <c r="H991">
        <v>0</v>
      </c>
      <c r="I991">
        <v>0</v>
      </c>
      <c r="J991">
        <v>0.72841327818107338</v>
      </c>
      <c r="K991">
        <v>0</v>
      </c>
      <c r="L991">
        <v>0</v>
      </c>
      <c r="M991">
        <v>0.53834312716653532</v>
      </c>
      <c r="N991">
        <v>0</v>
      </c>
      <c r="O991">
        <v>0</v>
      </c>
      <c r="P991">
        <v>0.71932919295826769</v>
      </c>
      <c r="Q991">
        <v>1.9166528969374861</v>
      </c>
      <c r="R991">
        <v>0.62165808037130432</v>
      </c>
      <c r="S991">
        <v>0.25951529667253848</v>
      </c>
      <c r="T991">
        <v>0.19733494496404089</v>
      </c>
      <c r="U991">
        <v>4.3321588683780243</v>
      </c>
      <c r="V991">
        <v>0.21677164140436361</v>
      </c>
      <c r="W991">
        <v>8.9249029254414651</v>
      </c>
      <c r="X991">
        <v>0.48987140918918892</v>
      </c>
      <c r="Z991" t="s">
        <v>392</v>
      </c>
      <c r="AA991">
        <v>9400</v>
      </c>
      <c r="AB991" t="s">
        <v>3410</v>
      </c>
      <c r="AC991" t="str">
        <f>HYPERLINK("plots/3FT6Y578R01_012_S11P_20251111092011_M5358ACSH101811_RBGEUFRF26/dpll_52094/txpa_55234.png","plot")</f>
        <v>plot</v>
      </c>
    </row>
    <row r="992" spans="1:29" x14ac:dyDescent="0.35">
      <c r="A992" t="s">
        <v>48</v>
      </c>
      <c r="B992">
        <v>52094</v>
      </c>
      <c r="C992" t="s">
        <v>53</v>
      </c>
      <c r="D992">
        <v>55235</v>
      </c>
      <c r="E992" t="s">
        <v>368</v>
      </c>
      <c r="F992">
        <v>12225</v>
      </c>
      <c r="G992">
        <v>0.83452790315023262</v>
      </c>
      <c r="H992">
        <v>0</v>
      </c>
      <c r="I992">
        <v>0</v>
      </c>
      <c r="J992">
        <v>0.72746725388709166</v>
      </c>
      <c r="K992">
        <v>0</v>
      </c>
      <c r="L992">
        <v>0</v>
      </c>
      <c r="M992">
        <v>0.53500718345645926</v>
      </c>
      <c r="N992">
        <v>0</v>
      </c>
      <c r="O992">
        <v>0</v>
      </c>
      <c r="P992">
        <v>0.69643682113632399</v>
      </c>
      <c r="Q992">
        <v>1.9455575968808621</v>
      </c>
      <c r="R992">
        <v>0.91588625703955628</v>
      </c>
      <c r="S992">
        <v>0.2781707906297245</v>
      </c>
      <c r="T992">
        <v>0.20693539557240381</v>
      </c>
      <c r="U992">
        <v>4.3324193384867078</v>
      </c>
      <c r="V992">
        <v>0.21657160351313359</v>
      </c>
      <c r="W992">
        <v>9.3448576139059298</v>
      </c>
      <c r="X992">
        <v>0.50489926926720718</v>
      </c>
      <c r="Z992" t="s">
        <v>392</v>
      </c>
      <c r="AA992">
        <v>9400</v>
      </c>
      <c r="AB992" t="s">
        <v>3411</v>
      </c>
      <c r="AC992" t="str">
        <f>HYPERLINK("plots/3FT6Y578R01_012_S11P_20251111092011_M5358ACSH101811_RBGEUFRF26/dpll_52094/txpa_55235.png","plot")</f>
        <v>plot</v>
      </c>
    </row>
    <row r="993" spans="1:29" x14ac:dyDescent="0.35">
      <c r="A993" t="s">
        <v>48</v>
      </c>
      <c r="B993">
        <v>52094</v>
      </c>
      <c r="C993" t="s">
        <v>53</v>
      </c>
      <c r="D993">
        <v>55236</v>
      </c>
      <c r="E993" t="s">
        <v>369</v>
      </c>
      <c r="F993">
        <v>12232</v>
      </c>
      <c r="G993">
        <v>0.84531268278773408</v>
      </c>
      <c r="H993">
        <v>0</v>
      </c>
      <c r="I993">
        <v>0</v>
      </c>
      <c r="J993">
        <v>0.73558271096169447</v>
      </c>
      <c r="K993">
        <v>0</v>
      </c>
      <c r="L993">
        <v>0</v>
      </c>
      <c r="M993">
        <v>0.54410398127668647</v>
      </c>
      <c r="N993">
        <v>0</v>
      </c>
      <c r="O993">
        <v>0</v>
      </c>
      <c r="P993">
        <v>0.71455353168179636</v>
      </c>
      <c r="Q993">
        <v>1.9758911615266319</v>
      </c>
      <c r="R993">
        <v>0.81632299127652885</v>
      </c>
      <c r="S993">
        <v>0.27064409603868739</v>
      </c>
      <c r="T993">
        <v>0.20410900110661209</v>
      </c>
      <c r="U993">
        <v>4.3321660865761942</v>
      </c>
      <c r="V993">
        <v>0.21672466492444131</v>
      </c>
      <c r="W993">
        <v>9.3762116720078481</v>
      </c>
      <c r="X993">
        <v>0.506586921772893</v>
      </c>
      <c r="Z993" t="s">
        <v>392</v>
      </c>
      <c r="AA993">
        <v>9400</v>
      </c>
      <c r="AB993" t="s">
        <v>3412</v>
      </c>
      <c r="AC993" t="str">
        <f>HYPERLINK("plots/3FT6Y578R01_012_S11P_20251111092011_M5358ACSH101811_RBGEUFRF26/dpll_52094/txpa_55236.png","plot")</f>
        <v>plot</v>
      </c>
    </row>
    <row r="994" spans="1:29" x14ac:dyDescent="0.35">
      <c r="A994" t="s">
        <v>48</v>
      </c>
      <c r="B994">
        <v>52094</v>
      </c>
      <c r="C994" t="s">
        <v>53</v>
      </c>
      <c r="D994">
        <v>55237</v>
      </c>
      <c r="E994" t="s">
        <v>370</v>
      </c>
      <c r="F994">
        <v>12232</v>
      </c>
      <c r="G994">
        <v>0.8450738623608024</v>
      </c>
      <c r="H994">
        <v>0</v>
      </c>
      <c r="I994">
        <v>0</v>
      </c>
      <c r="J994">
        <v>0.73290469335844399</v>
      </c>
      <c r="K994">
        <v>0</v>
      </c>
      <c r="L994">
        <v>0</v>
      </c>
      <c r="M994">
        <v>0.5413177424140615</v>
      </c>
      <c r="N994">
        <v>0</v>
      </c>
      <c r="O994">
        <v>0</v>
      </c>
      <c r="P994">
        <v>0.71414983284540434</v>
      </c>
      <c r="Q994">
        <v>1.95971868225983</v>
      </c>
      <c r="R994">
        <v>0.89861862830811745</v>
      </c>
      <c r="S994">
        <v>0.26871888959502621</v>
      </c>
      <c r="T994">
        <v>0.20219019305849159</v>
      </c>
      <c r="U994">
        <v>4.3321723469587967</v>
      </c>
      <c r="V994">
        <v>0.2167442878241771</v>
      </c>
      <c r="W994">
        <v>9.3884577114126877</v>
      </c>
      <c r="X994">
        <v>0.50262805305034075</v>
      </c>
      <c r="Z994" t="s">
        <v>392</v>
      </c>
      <c r="AA994">
        <v>9400</v>
      </c>
      <c r="AB994" t="s">
        <v>3413</v>
      </c>
      <c r="AC994" t="str">
        <f>HYPERLINK("plots/3FT6Y578R01_012_S11P_20251111092011_M5358ACSH101811_RBGEUFRF26/dpll_52094/txpa_55237.png","plot")</f>
        <v>plot</v>
      </c>
    </row>
    <row r="995" spans="1:29" x14ac:dyDescent="0.35">
      <c r="A995" t="s">
        <v>48</v>
      </c>
      <c r="B995">
        <v>52094</v>
      </c>
      <c r="C995" t="s">
        <v>53</v>
      </c>
      <c r="D995">
        <v>55238</v>
      </c>
      <c r="E995" t="s">
        <v>371</v>
      </c>
      <c r="F995">
        <v>12239</v>
      </c>
      <c r="G995">
        <v>0.85100890330989354</v>
      </c>
      <c r="H995">
        <v>0</v>
      </c>
      <c r="I995">
        <v>0</v>
      </c>
      <c r="J995">
        <v>0.7374251212050188</v>
      </c>
      <c r="K995">
        <v>0</v>
      </c>
      <c r="L995">
        <v>0</v>
      </c>
      <c r="M995">
        <v>0.54602770169672643</v>
      </c>
      <c r="N995">
        <v>0</v>
      </c>
      <c r="O995">
        <v>0</v>
      </c>
      <c r="P995">
        <v>0.72421615351270774</v>
      </c>
      <c r="Q995">
        <v>1.9866423283349171</v>
      </c>
      <c r="R995">
        <v>0.79346119984216656</v>
      </c>
      <c r="S995">
        <v>0.26578872924407088</v>
      </c>
      <c r="T995">
        <v>0.2013657057550772</v>
      </c>
      <c r="U995">
        <v>4.3320030913473317</v>
      </c>
      <c r="V995">
        <v>0.21681249672600131</v>
      </c>
      <c r="W995">
        <v>9.3996019075904886</v>
      </c>
      <c r="X995">
        <v>0.50613910340136659</v>
      </c>
      <c r="Z995" t="s">
        <v>392</v>
      </c>
      <c r="AA995">
        <v>9400</v>
      </c>
      <c r="AB995" t="s">
        <v>3414</v>
      </c>
      <c r="AC995" t="str">
        <f>HYPERLINK("plots/3FT6Y578R01_012_S11P_20251111092011_M5358ACSH101811_RBGEUFRF26/dpll_52094/txpa_55238.png","plot")</f>
        <v>plot</v>
      </c>
    </row>
    <row r="996" spans="1:29" x14ac:dyDescent="0.35">
      <c r="A996" t="s">
        <v>48</v>
      </c>
      <c r="B996">
        <v>52094</v>
      </c>
      <c r="C996" t="s">
        <v>53</v>
      </c>
      <c r="D996">
        <v>55239</v>
      </c>
      <c r="E996" t="s">
        <v>372</v>
      </c>
      <c r="F996">
        <v>12237</v>
      </c>
      <c r="G996">
        <v>0.85140579587535548</v>
      </c>
      <c r="H996">
        <v>0</v>
      </c>
      <c r="I996">
        <v>0</v>
      </c>
      <c r="J996">
        <v>0.73575467444641574</v>
      </c>
      <c r="K996">
        <v>0</v>
      </c>
      <c r="L996">
        <v>0</v>
      </c>
      <c r="M996">
        <v>0.54417009094381819</v>
      </c>
      <c r="N996">
        <v>0</v>
      </c>
      <c r="O996">
        <v>0</v>
      </c>
      <c r="P996">
        <v>0.7248918292501475</v>
      </c>
      <c r="Q996">
        <v>1.9930681930020919</v>
      </c>
      <c r="R996">
        <v>0.73646292440724004</v>
      </c>
      <c r="S996">
        <v>0.26614387391767941</v>
      </c>
      <c r="T996">
        <v>0.20237015961815799</v>
      </c>
      <c r="U996">
        <v>4.3320254838604244</v>
      </c>
      <c r="V996">
        <v>0.21676887277450879</v>
      </c>
      <c r="W996">
        <v>9.3704851275639456</v>
      </c>
      <c r="X996">
        <v>0.50743740253212921</v>
      </c>
      <c r="Z996" t="s">
        <v>392</v>
      </c>
      <c r="AA996">
        <v>9400</v>
      </c>
      <c r="AB996" t="s">
        <v>3415</v>
      </c>
      <c r="AC996" t="str">
        <f>HYPERLINK("plots/3FT6Y578R01_012_S11P_20251111092011_M5358ACSH101811_RBGEUFRF26/dpll_52094/txpa_55239.png","plot")</f>
        <v>plot</v>
      </c>
    </row>
    <row r="997" spans="1:29" x14ac:dyDescent="0.35">
      <c r="A997" t="s">
        <v>48</v>
      </c>
      <c r="B997">
        <v>52094</v>
      </c>
      <c r="C997" t="s">
        <v>53</v>
      </c>
      <c r="D997">
        <v>55240</v>
      </c>
      <c r="E997" t="s">
        <v>373</v>
      </c>
      <c r="F997">
        <v>12238</v>
      </c>
      <c r="G997">
        <v>0.85363843436421349</v>
      </c>
      <c r="H997">
        <v>0</v>
      </c>
      <c r="I997">
        <v>0</v>
      </c>
      <c r="J997">
        <v>0.73894971530471421</v>
      </c>
      <c r="K997">
        <v>0</v>
      </c>
      <c r="L997">
        <v>0</v>
      </c>
      <c r="M997">
        <v>0.5479463867687242</v>
      </c>
      <c r="N997">
        <v>0</v>
      </c>
      <c r="O997">
        <v>0</v>
      </c>
      <c r="P997">
        <v>0.72869857662378568</v>
      </c>
      <c r="Q997">
        <v>1.9995243074334079</v>
      </c>
      <c r="R997">
        <v>0.71816523404368837</v>
      </c>
      <c r="S997">
        <v>0.2644870406382146</v>
      </c>
      <c r="T997">
        <v>0.20162871855950809</v>
      </c>
      <c r="U997">
        <v>4.3319795925804874</v>
      </c>
      <c r="V997">
        <v>0.21679206298308129</v>
      </c>
      <c r="W997">
        <v>9.3800637287138429</v>
      </c>
      <c r="X997">
        <v>0.50780398602384891</v>
      </c>
      <c r="Z997" t="s">
        <v>392</v>
      </c>
      <c r="AA997">
        <v>9400</v>
      </c>
      <c r="AB997" t="s">
        <v>3416</v>
      </c>
      <c r="AC997" t="str">
        <f>HYPERLINK("plots/3FT6Y578R01_012_S11P_20251111092011_M5358ACSH101811_RBGEUFRF26/dpll_52094/txpa_55240.png","plot")</f>
        <v>plot</v>
      </c>
    </row>
    <row r="998" spans="1:29" x14ac:dyDescent="0.35">
      <c r="A998" t="s">
        <v>48</v>
      </c>
      <c r="B998">
        <v>52094</v>
      </c>
      <c r="C998" t="s">
        <v>53</v>
      </c>
      <c r="D998">
        <v>55241</v>
      </c>
      <c r="E998" t="s">
        <v>374</v>
      </c>
      <c r="F998">
        <v>12234</v>
      </c>
      <c r="G998">
        <v>0.85364751862275601</v>
      </c>
      <c r="H998">
        <v>0</v>
      </c>
      <c r="I998">
        <v>0</v>
      </c>
      <c r="J998">
        <v>0.73524760392889266</v>
      </c>
      <c r="K998">
        <v>0</v>
      </c>
      <c r="L998">
        <v>0</v>
      </c>
      <c r="M998">
        <v>0.54501445720861796</v>
      </c>
      <c r="N998">
        <v>0</v>
      </c>
      <c r="O998">
        <v>0</v>
      </c>
      <c r="P998">
        <v>0.72871408605078858</v>
      </c>
      <c r="Q998">
        <v>1.9951040326094629</v>
      </c>
      <c r="R998">
        <v>0.74313550103830472</v>
      </c>
      <c r="S998">
        <v>0.26385307010365322</v>
      </c>
      <c r="T998">
        <v>0.20089691421499831</v>
      </c>
      <c r="U998">
        <v>4.3321343046427989</v>
      </c>
      <c r="V998">
        <v>0.21676008652311729</v>
      </c>
      <c r="W998">
        <v>9.3861941220369456</v>
      </c>
      <c r="X998">
        <v>0.50660127663553878</v>
      </c>
      <c r="Z998" t="s">
        <v>392</v>
      </c>
      <c r="AA998">
        <v>9400</v>
      </c>
      <c r="AB998" t="s">
        <v>3417</v>
      </c>
      <c r="AC998" t="str">
        <f>HYPERLINK("plots/3FT6Y578R01_012_S11P_20251111092011_M5358ACSH101811_RBGEUFRF26/dpll_52094/txpa_55241.png","plot")</f>
        <v>plot</v>
      </c>
    </row>
    <row r="999" spans="1:29" x14ac:dyDescent="0.35">
      <c r="A999" t="s">
        <v>48</v>
      </c>
      <c r="B999">
        <v>52094</v>
      </c>
      <c r="C999" t="s">
        <v>53</v>
      </c>
      <c r="D999">
        <v>55242</v>
      </c>
      <c r="E999" t="s">
        <v>375</v>
      </c>
      <c r="F999">
        <v>12228</v>
      </c>
      <c r="G999">
        <v>0.849060644196448</v>
      </c>
      <c r="H999">
        <v>0</v>
      </c>
      <c r="I999">
        <v>0</v>
      </c>
      <c r="J999">
        <v>0.72800480503462295</v>
      </c>
      <c r="K999">
        <v>0</v>
      </c>
      <c r="L999">
        <v>0</v>
      </c>
      <c r="M999">
        <v>0.53816028034754015</v>
      </c>
      <c r="N999">
        <v>0</v>
      </c>
      <c r="O999">
        <v>0</v>
      </c>
      <c r="P999">
        <v>0.72090397752328728</v>
      </c>
      <c r="Q999">
        <v>1.9723072157040451</v>
      </c>
      <c r="R999">
        <v>0.83032308766285823</v>
      </c>
      <c r="S999">
        <v>0.26593619358154802</v>
      </c>
      <c r="T999">
        <v>0.20219642888415451</v>
      </c>
      <c r="U999">
        <v>4.3322741799149496</v>
      </c>
      <c r="V999">
        <v>0.21671178577175099</v>
      </c>
      <c r="W999">
        <v>9.3748987131174353</v>
      </c>
      <c r="X999">
        <v>0.50340599546955378</v>
      </c>
      <c r="Z999" t="s">
        <v>392</v>
      </c>
      <c r="AA999">
        <v>9400</v>
      </c>
      <c r="AB999" t="s">
        <v>3418</v>
      </c>
      <c r="AC999" t="str">
        <f>HYPERLINK("plots/3FT6Y578R01_012_S11P_20251111092011_M5358ACSH101811_RBGEUFRF26/dpll_52094/txpa_55242.png","plot")</f>
        <v>plot</v>
      </c>
    </row>
    <row r="1000" spans="1:29" x14ac:dyDescent="0.35">
      <c r="A1000" t="s">
        <v>48</v>
      </c>
      <c r="B1000">
        <v>52094</v>
      </c>
      <c r="C1000" t="s">
        <v>53</v>
      </c>
      <c r="D1000">
        <v>55243</v>
      </c>
      <c r="E1000" t="s">
        <v>376</v>
      </c>
      <c r="F1000">
        <v>12203</v>
      </c>
      <c r="G1000">
        <v>0.84041540670149928</v>
      </c>
      <c r="H1000">
        <v>0</v>
      </c>
      <c r="I1000">
        <v>0</v>
      </c>
      <c r="J1000">
        <v>0.72452450937924906</v>
      </c>
      <c r="K1000">
        <v>0</v>
      </c>
      <c r="L1000">
        <v>0</v>
      </c>
      <c r="M1000">
        <v>0.53330800532688316</v>
      </c>
      <c r="N1000">
        <v>0</v>
      </c>
      <c r="O1000">
        <v>0</v>
      </c>
      <c r="P1000">
        <v>0.70629805582124638</v>
      </c>
      <c r="Q1000">
        <v>2.2020572235694229</v>
      </c>
      <c r="R1000">
        <v>1.208535834345607</v>
      </c>
      <c r="S1000">
        <v>0.307233518977505</v>
      </c>
      <c r="T1000">
        <v>0.23043090477593939</v>
      </c>
      <c r="U1000">
        <v>4.332935340571991</v>
      </c>
      <c r="V1000">
        <v>0.21637066740152811</v>
      </c>
      <c r="W1000">
        <v>10.7499074003114</v>
      </c>
      <c r="X1000">
        <v>0.56693462223652713</v>
      </c>
      <c r="Z1000" t="s">
        <v>392</v>
      </c>
      <c r="AA1000">
        <v>9400</v>
      </c>
      <c r="AB1000" t="s">
        <v>3419</v>
      </c>
      <c r="AC1000" t="str">
        <f>HYPERLINK("plots/3FT6Y578R01_012_S11P_20251111092011_M5358ACSH101811_RBGEUFRF26/dpll_52094/txpa_55243.png","plot")</f>
        <v>plot</v>
      </c>
    </row>
    <row r="1001" spans="1:29" x14ac:dyDescent="0.35">
      <c r="A1001" t="s">
        <v>48</v>
      </c>
      <c r="B1001">
        <v>52094</v>
      </c>
      <c r="C1001" t="s">
        <v>53</v>
      </c>
      <c r="D1001">
        <v>55244</v>
      </c>
      <c r="E1001" t="s">
        <v>377</v>
      </c>
      <c r="F1001">
        <v>12219</v>
      </c>
      <c r="G1001">
        <v>0.84905555979158487</v>
      </c>
      <c r="H1001">
        <v>0</v>
      </c>
      <c r="I1001">
        <v>0</v>
      </c>
      <c r="J1001">
        <v>0.73250569975671509</v>
      </c>
      <c r="K1001">
        <v>0</v>
      </c>
      <c r="L1001">
        <v>0</v>
      </c>
      <c r="M1001">
        <v>0.54208457733234161</v>
      </c>
      <c r="N1001">
        <v>0</v>
      </c>
      <c r="O1001">
        <v>0</v>
      </c>
      <c r="P1001">
        <v>0.72089534361300156</v>
      </c>
      <c r="Q1001">
        <v>2.2399772762796561</v>
      </c>
      <c r="R1001">
        <v>1.0751951841199721</v>
      </c>
      <c r="S1001">
        <v>0.30190586489685028</v>
      </c>
      <c r="T1001">
        <v>0.22841789731977899</v>
      </c>
      <c r="U1001">
        <v>4.3324706034863736</v>
      </c>
      <c r="V1001">
        <v>0.21661986377461601</v>
      </c>
      <c r="W1001">
        <v>10.779830886079059</v>
      </c>
      <c r="X1001">
        <v>0.57148624356813627</v>
      </c>
      <c r="Z1001" t="s">
        <v>392</v>
      </c>
      <c r="AA1001">
        <v>9400</v>
      </c>
      <c r="AB1001" t="s">
        <v>3420</v>
      </c>
      <c r="AC1001" t="str">
        <f>HYPERLINK("plots/3FT6Y578R01_012_S11P_20251111092011_M5358ACSH101811_RBGEUFRF26/dpll_52094/txpa_55244.png","plot")</f>
        <v>plot</v>
      </c>
    </row>
    <row r="1002" spans="1:29" x14ac:dyDescent="0.35">
      <c r="A1002" t="s">
        <v>48</v>
      </c>
      <c r="B1002">
        <v>52094</v>
      </c>
      <c r="C1002" t="s">
        <v>53</v>
      </c>
      <c r="D1002">
        <v>55245</v>
      </c>
      <c r="E1002" t="s">
        <v>378</v>
      </c>
      <c r="F1002">
        <v>12214</v>
      </c>
      <c r="G1002">
        <v>0.84992188847963979</v>
      </c>
      <c r="H1002">
        <v>0</v>
      </c>
      <c r="I1002">
        <v>0</v>
      </c>
      <c r="J1002">
        <v>0.73017912767845483</v>
      </c>
      <c r="K1002">
        <v>0</v>
      </c>
      <c r="L1002">
        <v>0</v>
      </c>
      <c r="M1002">
        <v>0.53975452680202296</v>
      </c>
      <c r="N1002">
        <v>0</v>
      </c>
      <c r="O1002">
        <v>0</v>
      </c>
      <c r="P1002">
        <v>0.72236721651679725</v>
      </c>
      <c r="Q1002">
        <v>2.2208395475309008</v>
      </c>
      <c r="R1002">
        <v>1.1707358585562191</v>
      </c>
      <c r="S1002">
        <v>0.29815680738966782</v>
      </c>
      <c r="T1002">
        <v>0.22571686010061789</v>
      </c>
      <c r="U1002">
        <v>4.3326124405600126</v>
      </c>
      <c r="V1002">
        <v>0.21656534745680101</v>
      </c>
      <c r="W1002">
        <v>10.79277291067627</v>
      </c>
      <c r="X1002">
        <v>0.56588363563289501</v>
      </c>
      <c r="Z1002" t="s">
        <v>392</v>
      </c>
      <c r="AA1002">
        <v>9400</v>
      </c>
      <c r="AB1002" t="s">
        <v>3421</v>
      </c>
      <c r="AC1002" t="str">
        <f>HYPERLINK("plots/3FT6Y578R01_012_S11P_20251111092011_M5358ACSH101811_RBGEUFRF26/dpll_52094/txpa_55245.png","plot")</f>
        <v>plot</v>
      </c>
    </row>
    <row r="1003" spans="1:29" x14ac:dyDescent="0.35">
      <c r="A1003" t="s">
        <v>48</v>
      </c>
      <c r="B1003">
        <v>52094</v>
      </c>
      <c r="C1003" t="s">
        <v>53</v>
      </c>
      <c r="D1003">
        <v>55246</v>
      </c>
      <c r="E1003" t="s">
        <v>379</v>
      </c>
      <c r="F1003">
        <v>12227</v>
      </c>
      <c r="G1003">
        <v>0.85419763875652732</v>
      </c>
      <c r="H1003">
        <v>0</v>
      </c>
      <c r="I1003">
        <v>0</v>
      </c>
      <c r="J1003">
        <v>0.73401505275888423</v>
      </c>
      <c r="K1003">
        <v>0</v>
      </c>
      <c r="L1003">
        <v>0</v>
      </c>
      <c r="M1003">
        <v>0.54375313817044313</v>
      </c>
      <c r="N1003">
        <v>0</v>
      </c>
      <c r="O1003">
        <v>0</v>
      </c>
      <c r="P1003">
        <v>0.72965360605722673</v>
      </c>
      <c r="Q1003">
        <v>2.254967616760839</v>
      </c>
      <c r="R1003">
        <v>1.031206617704983</v>
      </c>
      <c r="S1003">
        <v>0.29741212772386327</v>
      </c>
      <c r="T1003">
        <v>0.22590134849675789</v>
      </c>
      <c r="U1003">
        <v>4.3323031638995664</v>
      </c>
      <c r="V1003">
        <v>0.21668767063846561</v>
      </c>
      <c r="W1003">
        <v>10.80040995828903</v>
      </c>
      <c r="X1003">
        <v>0.5720264937191557</v>
      </c>
      <c r="Z1003" t="s">
        <v>392</v>
      </c>
      <c r="AA1003">
        <v>9400</v>
      </c>
      <c r="AB1003" t="s">
        <v>3422</v>
      </c>
      <c r="AC1003" t="str">
        <f>HYPERLINK("plots/3FT6Y578R01_012_S11P_20251111092011_M5358ACSH101811_RBGEUFRF26/dpll_52094/txpa_55246.png","plot")</f>
        <v>plot</v>
      </c>
    </row>
    <row r="1004" spans="1:29" x14ac:dyDescent="0.35">
      <c r="A1004" t="s">
        <v>48</v>
      </c>
      <c r="B1004">
        <v>52094</v>
      </c>
      <c r="C1004" t="s">
        <v>53</v>
      </c>
      <c r="D1004">
        <v>55247</v>
      </c>
      <c r="E1004" t="s">
        <v>380</v>
      </c>
      <c r="F1004">
        <v>12229</v>
      </c>
      <c r="G1004">
        <v>0.8542211188752511</v>
      </c>
      <c r="H1004">
        <v>0</v>
      </c>
      <c r="I1004">
        <v>0</v>
      </c>
      <c r="J1004">
        <v>0.73286493857333379</v>
      </c>
      <c r="K1004">
        <v>0</v>
      </c>
      <c r="L1004">
        <v>0</v>
      </c>
      <c r="M1004">
        <v>0.54235608940111568</v>
      </c>
      <c r="N1004">
        <v>0</v>
      </c>
      <c r="O1004">
        <v>0</v>
      </c>
      <c r="P1004">
        <v>0.72969371993248588</v>
      </c>
      <c r="Q1004">
        <v>2.262861212764288</v>
      </c>
      <c r="R1004">
        <v>0.96659273310801019</v>
      </c>
      <c r="S1004">
        <v>0.29840158096746261</v>
      </c>
      <c r="T1004">
        <v>0.22728835517162199</v>
      </c>
      <c r="U1004">
        <v>4.3322388963120453</v>
      </c>
      <c r="V1004">
        <v>0.2166722011107097</v>
      </c>
      <c r="W1004">
        <v>10.76984809600131</v>
      </c>
      <c r="X1004">
        <v>0.57397213548555515</v>
      </c>
      <c r="Z1004" t="s">
        <v>392</v>
      </c>
      <c r="AA1004">
        <v>9400</v>
      </c>
      <c r="AB1004" t="s">
        <v>3423</v>
      </c>
      <c r="AC1004" t="str">
        <f>HYPERLINK("plots/3FT6Y578R01_012_S11P_20251111092011_M5358ACSH101811_RBGEUFRF26/dpll_52094/txpa_55247.png","plot")</f>
        <v>plot</v>
      </c>
    </row>
    <row r="1005" spans="1:29" x14ac:dyDescent="0.35">
      <c r="A1005" t="s">
        <v>48</v>
      </c>
      <c r="B1005">
        <v>52094</v>
      </c>
      <c r="C1005" t="s">
        <v>53</v>
      </c>
      <c r="D1005">
        <v>55248</v>
      </c>
      <c r="E1005" t="s">
        <v>381</v>
      </c>
      <c r="F1005">
        <v>12231</v>
      </c>
      <c r="G1005">
        <v>0.85576190146416387</v>
      </c>
      <c r="H1005">
        <v>0</v>
      </c>
      <c r="I1005">
        <v>0</v>
      </c>
      <c r="J1005">
        <v>0.73596640714870998</v>
      </c>
      <c r="K1005">
        <v>0</v>
      </c>
      <c r="L1005">
        <v>0</v>
      </c>
      <c r="M1005">
        <v>0.54604599865730874</v>
      </c>
      <c r="N1005">
        <v>0</v>
      </c>
      <c r="O1005">
        <v>0</v>
      </c>
      <c r="P1005">
        <v>0.73232843199756126</v>
      </c>
      <c r="Q1005">
        <v>2.2696116615348179</v>
      </c>
      <c r="R1005">
        <v>0.95036007595666661</v>
      </c>
      <c r="S1005">
        <v>0.29733951830232558</v>
      </c>
      <c r="T1005">
        <v>0.22658700398055071</v>
      </c>
      <c r="U1005">
        <v>4.3321690349112911</v>
      </c>
      <c r="V1005">
        <v>0.21670586238085171</v>
      </c>
      <c r="W1005">
        <v>10.782701437331371</v>
      </c>
      <c r="X1005">
        <v>0.57473714539176246</v>
      </c>
      <c r="Z1005" t="s">
        <v>392</v>
      </c>
      <c r="AA1005">
        <v>9400</v>
      </c>
      <c r="AB1005" t="s">
        <v>3424</v>
      </c>
      <c r="AC1005" t="str">
        <f>HYPERLINK("plots/3FT6Y578R01_012_S11P_20251111092011_M5358ACSH101811_RBGEUFRF26/dpll_52094/txpa_55248.png","plot")</f>
        <v>plot</v>
      </c>
    </row>
    <row r="1006" spans="1:29" x14ac:dyDescent="0.35">
      <c r="A1006" t="s">
        <v>48</v>
      </c>
      <c r="B1006">
        <v>52094</v>
      </c>
      <c r="C1006" t="s">
        <v>53</v>
      </c>
      <c r="D1006">
        <v>55249</v>
      </c>
      <c r="E1006" t="s">
        <v>382</v>
      </c>
      <c r="F1006">
        <v>12224</v>
      </c>
      <c r="G1006">
        <v>0.85653522153207595</v>
      </c>
      <c r="H1006">
        <v>0</v>
      </c>
      <c r="I1006">
        <v>0</v>
      </c>
      <c r="J1006">
        <v>0.73254526100656536</v>
      </c>
      <c r="K1006">
        <v>0</v>
      </c>
      <c r="L1006">
        <v>0</v>
      </c>
      <c r="M1006">
        <v>0.5434662628739807</v>
      </c>
      <c r="N1006">
        <v>0</v>
      </c>
      <c r="O1006">
        <v>0</v>
      </c>
      <c r="P1006">
        <v>0.73365258572500247</v>
      </c>
      <c r="Q1006">
        <v>2.2644558432911821</v>
      </c>
      <c r="R1006">
        <v>0.97920406257965453</v>
      </c>
      <c r="S1006">
        <v>0.29562034598739761</v>
      </c>
      <c r="T1006">
        <v>0.2255750594102961</v>
      </c>
      <c r="U1006">
        <v>4.3323712214496073</v>
      </c>
      <c r="V1006">
        <v>0.2166752034730792</v>
      </c>
      <c r="W1006">
        <v>10.789667390297771</v>
      </c>
      <c r="X1006">
        <v>0.57283275487877383</v>
      </c>
      <c r="Z1006" t="s">
        <v>392</v>
      </c>
      <c r="AA1006">
        <v>9400</v>
      </c>
      <c r="AB1006" t="s">
        <v>3425</v>
      </c>
      <c r="AC1006" t="str">
        <f>HYPERLINK("plots/3FT6Y578R01_012_S11P_20251111092011_M5358ACSH101811_RBGEUFRF26/dpll_52094/txpa_55249.png","plot")</f>
        <v>plot</v>
      </c>
    </row>
    <row r="1007" spans="1:29" x14ac:dyDescent="0.35">
      <c r="A1007" t="s">
        <v>48</v>
      </c>
      <c r="B1007">
        <v>52094</v>
      </c>
      <c r="C1007" t="s">
        <v>53</v>
      </c>
      <c r="D1007">
        <v>55250</v>
      </c>
      <c r="E1007" t="s">
        <v>383</v>
      </c>
      <c r="F1007">
        <v>12220</v>
      </c>
      <c r="G1007">
        <v>0.85075712312663676</v>
      </c>
      <c r="H1007">
        <v>0</v>
      </c>
      <c r="I1007">
        <v>0</v>
      </c>
      <c r="J1007">
        <v>0.72481547954913095</v>
      </c>
      <c r="K1007">
        <v>0</v>
      </c>
      <c r="L1007">
        <v>0</v>
      </c>
      <c r="M1007">
        <v>0.53590127984864466</v>
      </c>
      <c r="N1007">
        <v>0</v>
      </c>
      <c r="O1007">
        <v>0</v>
      </c>
      <c r="P1007">
        <v>0.72378768255071135</v>
      </c>
      <c r="Q1007">
        <v>2.2410147925228499</v>
      </c>
      <c r="R1007">
        <v>1.069520045237617</v>
      </c>
      <c r="S1007">
        <v>0.29980123221303262</v>
      </c>
      <c r="T1007">
        <v>0.22783340736971061</v>
      </c>
      <c r="U1007">
        <v>4.3325208954991821</v>
      </c>
      <c r="V1007">
        <v>0.21656612907784539</v>
      </c>
      <c r="W1007">
        <v>10.77876346096563</v>
      </c>
      <c r="X1007">
        <v>0.57046586579166669</v>
      </c>
      <c r="Z1007" t="s">
        <v>392</v>
      </c>
      <c r="AA1007">
        <v>9400</v>
      </c>
      <c r="AB1007" t="s">
        <v>3426</v>
      </c>
      <c r="AC1007" t="str">
        <f>HYPERLINK("plots/3FT6Y578R01_012_S11P_20251111092011_M5358ACSH101811_RBGEUFRF26/dpll_52094/txpa_55250.png","plot")</f>
        <v>plot</v>
      </c>
    </row>
    <row r="1008" spans="1:29" x14ac:dyDescent="0.35">
      <c r="A1008" t="s">
        <v>48</v>
      </c>
      <c r="B1008">
        <v>52094</v>
      </c>
      <c r="C1008" t="s">
        <v>53</v>
      </c>
      <c r="D1008">
        <v>55251</v>
      </c>
      <c r="E1008" t="s">
        <v>384</v>
      </c>
      <c r="F1008">
        <v>12202</v>
      </c>
      <c r="G1008">
        <v>0.84163905511503589</v>
      </c>
      <c r="H1008">
        <v>0</v>
      </c>
      <c r="I1008">
        <v>0</v>
      </c>
      <c r="J1008">
        <v>0.72292744079580951</v>
      </c>
      <c r="K1008">
        <v>0</v>
      </c>
      <c r="L1008">
        <v>0</v>
      </c>
      <c r="M1008">
        <v>0.53228607236104919</v>
      </c>
      <c r="N1008">
        <v>0</v>
      </c>
      <c r="O1008">
        <v>0</v>
      </c>
      <c r="P1008">
        <v>0.70835629909493047</v>
      </c>
      <c r="Q1008">
        <v>2.341936045000089</v>
      </c>
      <c r="R1008">
        <v>1.065161037863007</v>
      </c>
      <c r="S1008">
        <v>0.32512118525021311</v>
      </c>
      <c r="T1008">
        <v>0.2443182600812632</v>
      </c>
      <c r="U1008">
        <v>4.3329578052778244</v>
      </c>
      <c r="V1008">
        <v>0.2163653019517274</v>
      </c>
      <c r="W1008">
        <v>11.212671103507621</v>
      </c>
      <c r="X1008">
        <v>0.60205582957271475</v>
      </c>
      <c r="Z1008" t="s">
        <v>392</v>
      </c>
      <c r="AA1008">
        <v>9400</v>
      </c>
      <c r="AB1008" t="s">
        <v>3427</v>
      </c>
      <c r="AC1008" t="str">
        <f>HYPERLINK("plots/3FT6Y578R01_012_S11P_20251111092011_M5358ACSH101811_RBGEUFRF26/dpll_52094/txpa_55251.png","plot")</f>
        <v>plot</v>
      </c>
    </row>
    <row r="1009" spans="1:29" x14ac:dyDescent="0.35">
      <c r="A1009" t="s">
        <v>48</v>
      </c>
      <c r="B1009">
        <v>52094</v>
      </c>
      <c r="C1009" t="s">
        <v>53</v>
      </c>
      <c r="D1009">
        <v>55252</v>
      </c>
      <c r="E1009" t="s">
        <v>385</v>
      </c>
      <c r="F1009">
        <v>12215</v>
      </c>
      <c r="G1009">
        <v>0.85072439025671021</v>
      </c>
      <c r="H1009">
        <v>0</v>
      </c>
      <c r="I1009">
        <v>0</v>
      </c>
      <c r="J1009">
        <v>0.73073116589114495</v>
      </c>
      <c r="K1009">
        <v>0</v>
      </c>
      <c r="L1009">
        <v>0</v>
      </c>
      <c r="M1009">
        <v>0.54082404473663892</v>
      </c>
      <c r="N1009">
        <v>0</v>
      </c>
      <c r="O1009">
        <v>0</v>
      </c>
      <c r="P1009">
        <v>0.72373198817765139</v>
      </c>
      <c r="Q1009">
        <v>2.3792548242683691</v>
      </c>
      <c r="R1009">
        <v>0.93503152705336667</v>
      </c>
      <c r="S1009">
        <v>0.31840910106042769</v>
      </c>
      <c r="T1009">
        <v>0.24179912832518621</v>
      </c>
      <c r="U1009">
        <v>4.3325305537453946</v>
      </c>
      <c r="V1009">
        <v>0.21661367721047509</v>
      </c>
      <c r="W1009">
        <v>11.2432257483422</v>
      </c>
      <c r="X1009">
        <v>0.60581210837274313</v>
      </c>
      <c r="Z1009" t="s">
        <v>392</v>
      </c>
      <c r="AA1009">
        <v>9400</v>
      </c>
      <c r="AB1009" t="s">
        <v>3428</v>
      </c>
      <c r="AC1009" t="str">
        <f>HYPERLINK("plots/3FT6Y578R01_012_S11P_20251111092011_M5358ACSH101811_RBGEUFRF26/dpll_52094/txpa_55252.png","plot")</f>
        <v>plot</v>
      </c>
    </row>
    <row r="1010" spans="1:29" x14ac:dyDescent="0.35">
      <c r="A1010" t="s">
        <v>48</v>
      </c>
      <c r="B1010">
        <v>52094</v>
      </c>
      <c r="C1010" t="s">
        <v>53</v>
      </c>
      <c r="D1010">
        <v>55253</v>
      </c>
      <c r="E1010" t="s">
        <v>386</v>
      </c>
      <c r="F1010">
        <v>12214</v>
      </c>
      <c r="G1010">
        <v>0.85085417477767789</v>
      </c>
      <c r="H1010">
        <v>0</v>
      </c>
      <c r="I1010">
        <v>0</v>
      </c>
      <c r="J1010">
        <v>0.7288869553905728</v>
      </c>
      <c r="K1010">
        <v>0</v>
      </c>
      <c r="L1010">
        <v>0</v>
      </c>
      <c r="M1010">
        <v>0.5389648209275002</v>
      </c>
      <c r="N1010">
        <v>0</v>
      </c>
      <c r="O1010">
        <v>0</v>
      </c>
      <c r="P1010">
        <v>0.72395282673660322</v>
      </c>
      <c r="Q1010">
        <v>2.3618590540648592</v>
      </c>
      <c r="R1010">
        <v>1.022225302450172</v>
      </c>
      <c r="S1010">
        <v>0.31583603760445939</v>
      </c>
      <c r="T1010">
        <v>0.239467443677855</v>
      </c>
      <c r="U1010">
        <v>4.3326124405600126</v>
      </c>
      <c r="V1010">
        <v>0.21656534745680101</v>
      </c>
      <c r="W1010">
        <v>11.255245222940889</v>
      </c>
      <c r="X1010">
        <v>0.60115686312663164</v>
      </c>
      <c r="Z1010" t="s">
        <v>392</v>
      </c>
      <c r="AA1010">
        <v>9400</v>
      </c>
      <c r="AB1010" t="s">
        <v>3429</v>
      </c>
      <c r="AC1010" t="str">
        <f>HYPERLINK("plots/3FT6Y578R01_012_S11P_20251111092011_M5358ACSH101811_RBGEUFRF26/dpll_52094/txpa_55253.png","plot")</f>
        <v>plot</v>
      </c>
    </row>
    <row r="1011" spans="1:29" x14ac:dyDescent="0.35">
      <c r="A1011" t="s">
        <v>48</v>
      </c>
      <c r="B1011">
        <v>52094</v>
      </c>
      <c r="C1011" t="s">
        <v>53</v>
      </c>
      <c r="D1011">
        <v>55254</v>
      </c>
      <c r="E1011" t="s">
        <v>387</v>
      </c>
      <c r="F1011">
        <v>12223</v>
      </c>
      <c r="G1011">
        <v>0.85511470150341173</v>
      </c>
      <c r="H1011">
        <v>0</v>
      </c>
      <c r="I1011">
        <v>0</v>
      </c>
      <c r="J1011">
        <v>0.73198414260104994</v>
      </c>
      <c r="K1011">
        <v>0</v>
      </c>
      <c r="L1011">
        <v>0</v>
      </c>
      <c r="M1011">
        <v>0.54233834796014146</v>
      </c>
      <c r="N1011">
        <v>0</v>
      </c>
      <c r="O1011">
        <v>0</v>
      </c>
      <c r="P1011">
        <v>0.73122115272726895</v>
      </c>
      <c r="Q1011">
        <v>2.394560886117798</v>
      </c>
      <c r="R1011">
        <v>0.88775475783697111</v>
      </c>
      <c r="S1011">
        <v>0.31448181965057009</v>
      </c>
      <c r="T1011">
        <v>0.23934079483504689</v>
      </c>
      <c r="U1011">
        <v>4.3324169918187021</v>
      </c>
      <c r="V1011">
        <v>0.21662783294192059</v>
      </c>
      <c r="W1011">
        <v>11.261991028798169</v>
      </c>
      <c r="X1011">
        <v>0.60661866144411536</v>
      </c>
      <c r="Z1011" t="s">
        <v>392</v>
      </c>
      <c r="AA1011">
        <v>9400</v>
      </c>
      <c r="AB1011" t="s">
        <v>3430</v>
      </c>
      <c r="AC1011" t="str">
        <f>HYPERLINK("plots/3FT6Y578R01_012_S11P_20251111092011_M5358ACSH101811_RBGEUFRF26/dpll_52094/txpa_55254.png","plot")</f>
        <v>plot</v>
      </c>
    </row>
    <row r="1012" spans="1:29" x14ac:dyDescent="0.35">
      <c r="A1012" t="s">
        <v>48</v>
      </c>
      <c r="B1012">
        <v>52094</v>
      </c>
      <c r="C1012" t="s">
        <v>53</v>
      </c>
      <c r="D1012">
        <v>55255</v>
      </c>
      <c r="E1012" t="s">
        <v>388</v>
      </c>
      <c r="F1012">
        <v>12226</v>
      </c>
      <c r="G1012">
        <v>0.85495416279841729</v>
      </c>
      <c r="H1012">
        <v>0</v>
      </c>
      <c r="I1012">
        <v>0</v>
      </c>
      <c r="J1012">
        <v>0.73120982770006382</v>
      </c>
      <c r="K1012">
        <v>0</v>
      </c>
      <c r="L1012">
        <v>0</v>
      </c>
      <c r="M1012">
        <v>0.54125367587818118</v>
      </c>
      <c r="N1012">
        <v>0</v>
      </c>
      <c r="O1012">
        <v>0</v>
      </c>
      <c r="P1012">
        <v>0.73094662048634262</v>
      </c>
      <c r="Q1012">
        <v>2.4035381261307589</v>
      </c>
      <c r="R1012">
        <v>0.81777403874143317</v>
      </c>
      <c r="S1012">
        <v>0.3158533934634567</v>
      </c>
      <c r="T1012">
        <v>0.2409758797179313</v>
      </c>
      <c r="U1012">
        <v>4.332336727466056</v>
      </c>
      <c r="V1012">
        <v>0.21660870156693049</v>
      </c>
      <c r="W1012">
        <v>11.23071053844266</v>
      </c>
      <c r="X1012">
        <v>0.60895343320358986</v>
      </c>
      <c r="Z1012" t="s">
        <v>392</v>
      </c>
      <c r="AA1012">
        <v>9400</v>
      </c>
      <c r="AB1012" t="s">
        <v>3431</v>
      </c>
      <c r="AC1012" t="str">
        <f>HYPERLINK("plots/3FT6Y578R01_012_S11P_20251111092011_M5358ACSH101811_RBGEUFRF26/dpll_52094/txpa_55255.png","plot")</f>
        <v>plot</v>
      </c>
    </row>
    <row r="1013" spans="1:29" x14ac:dyDescent="0.35">
      <c r="A1013" t="s">
        <v>48</v>
      </c>
      <c r="B1013">
        <v>52094</v>
      </c>
      <c r="C1013" t="s">
        <v>53</v>
      </c>
      <c r="D1013">
        <v>55256</v>
      </c>
      <c r="E1013" t="s">
        <v>389</v>
      </c>
      <c r="F1013">
        <v>12230</v>
      </c>
      <c r="G1013">
        <v>0.8562706597462324</v>
      </c>
      <c r="H1013">
        <v>0</v>
      </c>
      <c r="I1013">
        <v>0</v>
      </c>
      <c r="J1013">
        <v>0.73411411542180616</v>
      </c>
      <c r="K1013">
        <v>0</v>
      </c>
      <c r="L1013">
        <v>0</v>
      </c>
      <c r="M1013">
        <v>0.54475435162817143</v>
      </c>
      <c r="N1013">
        <v>0</v>
      </c>
      <c r="O1013">
        <v>0</v>
      </c>
      <c r="P1013">
        <v>0.73319944274224813</v>
      </c>
      <c r="Q1013">
        <v>2.4119190026142001</v>
      </c>
      <c r="R1013">
        <v>0.79536712808185506</v>
      </c>
      <c r="S1013">
        <v>0.3152723057800399</v>
      </c>
      <c r="T1013">
        <v>0.2405055988832549</v>
      </c>
      <c r="U1013">
        <v>4.3321920116107933</v>
      </c>
      <c r="V1013">
        <v>0.21669982310877289</v>
      </c>
      <c r="W1013">
        <v>11.244263363859361</v>
      </c>
      <c r="X1013">
        <v>0.61039393942808162</v>
      </c>
      <c r="Z1013" t="s">
        <v>392</v>
      </c>
      <c r="AA1013">
        <v>9400</v>
      </c>
      <c r="AB1013" t="s">
        <v>3432</v>
      </c>
      <c r="AC1013" t="str">
        <f>HYPERLINK("plots/3FT6Y578R01_012_S11P_20251111092011_M5358ACSH101811_RBGEUFRF26/dpll_52094/txpa_55256.png","plot")</f>
        <v>plot</v>
      </c>
    </row>
    <row r="1014" spans="1:29" x14ac:dyDescent="0.35">
      <c r="A1014" t="s">
        <v>48</v>
      </c>
      <c r="B1014">
        <v>52094</v>
      </c>
      <c r="C1014" t="s">
        <v>53</v>
      </c>
      <c r="D1014">
        <v>55257</v>
      </c>
      <c r="E1014" t="s">
        <v>390</v>
      </c>
      <c r="F1014">
        <v>12221</v>
      </c>
      <c r="G1014">
        <v>0.85725480484547245</v>
      </c>
      <c r="H1014">
        <v>0</v>
      </c>
      <c r="I1014">
        <v>0</v>
      </c>
      <c r="J1014">
        <v>0.73104969202408809</v>
      </c>
      <c r="K1014">
        <v>0</v>
      </c>
      <c r="L1014">
        <v>0</v>
      </c>
      <c r="M1014">
        <v>0.54255361007069214</v>
      </c>
      <c r="N1014">
        <v>0</v>
      </c>
      <c r="O1014">
        <v>0</v>
      </c>
      <c r="P1014">
        <v>0.73488580043064911</v>
      </c>
      <c r="Q1014">
        <v>2.4054415381171248</v>
      </c>
      <c r="R1014">
        <v>0.83016695545992114</v>
      </c>
      <c r="S1014">
        <v>0.31297897032455052</v>
      </c>
      <c r="T1014">
        <v>0.23930000543410709</v>
      </c>
      <c r="U1014">
        <v>4.3324538818427296</v>
      </c>
      <c r="V1014">
        <v>0.21663646161281741</v>
      </c>
      <c r="W1014">
        <v>11.25163148482121</v>
      </c>
      <c r="X1014">
        <v>0.60787800836895978</v>
      </c>
      <c r="Z1014" t="s">
        <v>392</v>
      </c>
      <c r="AA1014">
        <v>9400</v>
      </c>
      <c r="AB1014" t="s">
        <v>3433</v>
      </c>
      <c r="AC1014" t="str">
        <f>HYPERLINK("plots/3FT6Y578R01_012_S11P_20251111092011_M5358ACSH101811_RBGEUFRF26/dpll_52094/txpa_55257.png","plot")</f>
        <v>plot</v>
      </c>
    </row>
    <row r="1015" spans="1:29" x14ac:dyDescent="0.35">
      <c r="A1015" t="s">
        <v>48</v>
      </c>
      <c r="B1015">
        <v>52094</v>
      </c>
      <c r="C1015" t="s">
        <v>53</v>
      </c>
      <c r="D1015">
        <v>55258</v>
      </c>
      <c r="E1015" t="s">
        <v>391</v>
      </c>
      <c r="F1015">
        <v>12214</v>
      </c>
      <c r="G1015">
        <v>0.85171077027050146</v>
      </c>
      <c r="H1015">
        <v>0</v>
      </c>
      <c r="I1015">
        <v>0</v>
      </c>
      <c r="J1015">
        <v>0.72268652585418836</v>
      </c>
      <c r="K1015">
        <v>0</v>
      </c>
      <c r="L1015">
        <v>0</v>
      </c>
      <c r="M1015">
        <v>0.53441534680822389</v>
      </c>
      <c r="N1015">
        <v>0</v>
      </c>
      <c r="O1015">
        <v>0</v>
      </c>
      <c r="P1015">
        <v>0.72541123619477088</v>
      </c>
      <c r="Q1015">
        <v>2.3799131965800751</v>
      </c>
      <c r="R1015">
        <v>0.92945975947965565</v>
      </c>
      <c r="S1015">
        <v>0.31700609385042222</v>
      </c>
      <c r="T1015">
        <v>0.24158685321350659</v>
      </c>
      <c r="U1015">
        <v>4.3326710761421321</v>
      </c>
      <c r="V1015">
        <v>0.21650853984044541</v>
      </c>
      <c r="W1015">
        <v>11.240840830031109</v>
      </c>
      <c r="X1015">
        <v>0.60498416730706572</v>
      </c>
      <c r="Z1015" t="s">
        <v>392</v>
      </c>
      <c r="AA1015">
        <v>9400</v>
      </c>
      <c r="AB1015" t="s">
        <v>3434</v>
      </c>
      <c r="AC1015" t="str">
        <f>HYPERLINK("plots/3FT6Y578R01_012_S11P_20251111092011_M5358ACSH101811_RBGEUFRF26/dpll_52094/txpa_55258.png","plot")</f>
        <v>plot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1015"/>
  <sheetViews>
    <sheetView workbookViewId="0"/>
  </sheetViews>
  <sheetFormatPr defaultRowHeight="14.5" x14ac:dyDescent="0.35"/>
  <sheetData>
    <row r="1" spans="1:29" x14ac:dyDescent="0.3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</row>
    <row r="2" spans="1:29" x14ac:dyDescent="0.35">
      <c r="A2" t="s">
        <v>49</v>
      </c>
      <c r="B2">
        <v>52046</v>
      </c>
      <c r="C2" t="s">
        <v>51</v>
      </c>
      <c r="D2">
        <v>53179</v>
      </c>
      <c r="E2" t="s">
        <v>54</v>
      </c>
      <c r="F2">
        <v>12028</v>
      </c>
      <c r="G2">
        <v>0.30226269718751192</v>
      </c>
      <c r="H2">
        <v>1.525669058683867E-252</v>
      </c>
      <c r="I2">
        <v>1.6216230875319089E-252</v>
      </c>
      <c r="J2">
        <v>0.28241123437108129</v>
      </c>
      <c r="K2">
        <v>2.285494117371066E-219</v>
      </c>
      <c r="L2">
        <v>2.4497791067804019E-219</v>
      </c>
      <c r="M2">
        <v>0.1908395799098879</v>
      </c>
      <c r="N2">
        <v>5.4825036098518349E-216</v>
      </c>
      <c r="O2">
        <v>5.8765947784246932E-216</v>
      </c>
      <c r="P2">
        <v>9.1362738111069486E-2</v>
      </c>
      <c r="Q2">
        <v>1.652742339369679</v>
      </c>
      <c r="R2">
        <v>-28.146407191967231</v>
      </c>
      <c r="S2">
        <v>1.095276775386383</v>
      </c>
      <c r="T2">
        <v>0.82754847171033141</v>
      </c>
      <c r="U2">
        <v>4.4179867093448619</v>
      </c>
      <c r="V2">
        <v>0.2101483876699779</v>
      </c>
      <c r="W2">
        <v>-20.844613502660462</v>
      </c>
      <c r="X2">
        <v>1.149070464480707</v>
      </c>
      <c r="Z2" t="s">
        <v>392</v>
      </c>
      <c r="AA2">
        <v>114</v>
      </c>
      <c r="AB2" t="s">
        <v>3435</v>
      </c>
      <c r="AC2" t="str">
        <f>HYPERLINK("plots/3FT6Y578R04_015_S21P_20251218081014_M5358ACSC201811_RBGEUFRF04/dpll_52046/txpa_53179.png","plot")</f>
        <v>plot</v>
      </c>
    </row>
    <row r="3" spans="1:29" x14ac:dyDescent="0.35">
      <c r="A3" t="s">
        <v>49</v>
      </c>
      <c r="B3">
        <v>52046</v>
      </c>
      <c r="C3" t="s">
        <v>51</v>
      </c>
      <c r="D3">
        <v>53180</v>
      </c>
      <c r="E3" t="s">
        <v>55</v>
      </c>
      <c r="F3">
        <v>12028</v>
      </c>
      <c r="G3">
        <v>0.31780591675488751</v>
      </c>
      <c r="H3">
        <v>2.0638069494520411E-280</v>
      </c>
      <c r="I3">
        <v>2.2215501557795851E-280</v>
      </c>
      <c r="J3">
        <v>0.2938553059251941</v>
      </c>
      <c r="K3">
        <v>3.6304137945788168E-238</v>
      </c>
      <c r="L3">
        <v>3.9245624602376547E-238</v>
      </c>
      <c r="M3">
        <v>0.19886790803843449</v>
      </c>
      <c r="N3">
        <v>2.156344170518052E-234</v>
      </c>
      <c r="O3">
        <v>2.331058623566423E-234</v>
      </c>
      <c r="P3">
        <v>0.1010006007244145</v>
      </c>
      <c r="Q3">
        <v>1.7066156471371541</v>
      </c>
      <c r="R3">
        <v>-28.318584709100389</v>
      </c>
      <c r="S3">
        <v>1.069944999989151</v>
      </c>
      <c r="T3">
        <v>0.81121417222969117</v>
      </c>
      <c r="U3">
        <v>4.4179867093448619</v>
      </c>
      <c r="V3">
        <v>0.2101483876699779</v>
      </c>
      <c r="W3">
        <v>-20.778779462088458</v>
      </c>
      <c r="X3">
        <v>1.128495436083518</v>
      </c>
      <c r="Z3" t="s">
        <v>392</v>
      </c>
      <c r="AA3">
        <v>114</v>
      </c>
      <c r="AB3" t="s">
        <v>3436</v>
      </c>
      <c r="AC3" t="str">
        <f>HYPERLINK("plots/3FT6Y578R04_015_S21P_20251218081014_M5358ACSC201811_RBGEUFRF04/dpll_52046/txpa_53180.png","plot")</f>
        <v>plot</v>
      </c>
    </row>
    <row r="4" spans="1:29" x14ac:dyDescent="0.35">
      <c r="A4" t="s">
        <v>49</v>
      </c>
      <c r="B4">
        <v>52046</v>
      </c>
      <c r="C4" t="s">
        <v>51</v>
      </c>
      <c r="D4">
        <v>53181</v>
      </c>
      <c r="E4" t="s">
        <v>56</v>
      </c>
      <c r="F4">
        <v>12028</v>
      </c>
      <c r="G4">
        <v>0.2957998685466296</v>
      </c>
      <c r="H4">
        <v>1.8955676321427789E-241</v>
      </c>
      <c r="I4">
        <v>2.0084697795117851E-241</v>
      </c>
      <c r="J4">
        <v>0.26925593119599028</v>
      </c>
      <c r="K4">
        <v>7.8223325167160345E-199</v>
      </c>
      <c r="L4">
        <v>8.2969091756799794E-199</v>
      </c>
      <c r="M4">
        <v>0.18238816047342871</v>
      </c>
      <c r="N4">
        <v>1.7336844688934569E-197</v>
      </c>
      <c r="O4">
        <v>1.838866162612935E-197</v>
      </c>
      <c r="P4">
        <v>8.7497562232203355E-2</v>
      </c>
      <c r="Q4">
        <v>1.5761143489400291</v>
      </c>
      <c r="R4">
        <v>-27.680997053972899</v>
      </c>
      <c r="S4">
        <v>1.069583687969839</v>
      </c>
      <c r="T4">
        <v>0.80593499005297975</v>
      </c>
      <c r="U4">
        <v>4.4179867093448619</v>
      </c>
      <c r="V4">
        <v>0.2101483876699779</v>
      </c>
      <c r="W4">
        <v>-20.717744807948119</v>
      </c>
      <c r="X4">
        <v>1.119736431394158</v>
      </c>
      <c r="Z4" t="s">
        <v>392</v>
      </c>
      <c r="AA4">
        <v>114</v>
      </c>
      <c r="AB4" t="s">
        <v>3437</v>
      </c>
      <c r="AC4" t="str">
        <f>HYPERLINK("plots/3FT6Y578R04_015_S21P_20251218081014_M5358ACSC201811_RBGEUFRF04/dpll_52046/txpa_53181.png","plot")</f>
        <v>plot</v>
      </c>
    </row>
    <row r="5" spans="1:29" x14ac:dyDescent="0.35">
      <c r="A5" t="s">
        <v>49</v>
      </c>
      <c r="B5">
        <v>52046</v>
      </c>
      <c r="C5" t="s">
        <v>51</v>
      </c>
      <c r="D5">
        <v>53182</v>
      </c>
      <c r="E5" t="s">
        <v>57</v>
      </c>
      <c r="F5">
        <v>12028</v>
      </c>
      <c r="G5">
        <v>0.30805606347443842</v>
      </c>
      <c r="H5">
        <v>9.8527888796010489E-263</v>
      </c>
      <c r="I5">
        <v>1.05387425357758E-262</v>
      </c>
      <c r="J5">
        <v>0.28140988918181992</v>
      </c>
      <c r="K5">
        <v>9.1655421700271514E-218</v>
      </c>
      <c r="L5">
        <v>9.8036495362948635E-218</v>
      </c>
      <c r="M5">
        <v>0.19038913747358779</v>
      </c>
      <c r="N5">
        <v>4.8935629820502201E-215</v>
      </c>
      <c r="O5">
        <v>5.2342540757372607E-215</v>
      </c>
      <c r="P5">
        <v>9.4898538243367234E-2</v>
      </c>
      <c r="Q5">
        <v>1.6378420864844501</v>
      </c>
      <c r="R5">
        <v>-27.839534593372971</v>
      </c>
      <c r="S5">
        <v>1.0629159068730489</v>
      </c>
      <c r="T5">
        <v>0.79268894866957085</v>
      </c>
      <c r="U5">
        <v>4.4179867093448619</v>
      </c>
      <c r="V5">
        <v>0.2101483876699779</v>
      </c>
      <c r="W5">
        <v>-20.603570023279019</v>
      </c>
      <c r="X5">
        <v>1.1172962150160679</v>
      </c>
      <c r="Z5" t="s">
        <v>392</v>
      </c>
      <c r="AA5">
        <v>114</v>
      </c>
      <c r="AB5" t="s">
        <v>3438</v>
      </c>
      <c r="AC5" t="str">
        <f>HYPERLINK("plots/3FT6Y578R04_015_S21P_20251218081014_M5358ACSC201811_RBGEUFRF04/dpll_52046/txpa_53182.png","plot")</f>
        <v>plot</v>
      </c>
    </row>
    <row r="6" spans="1:29" x14ac:dyDescent="0.35">
      <c r="A6" t="s">
        <v>49</v>
      </c>
      <c r="B6">
        <v>52046</v>
      </c>
      <c r="C6" t="s">
        <v>51</v>
      </c>
      <c r="D6">
        <v>53183</v>
      </c>
      <c r="E6" t="s">
        <v>58</v>
      </c>
      <c r="F6">
        <v>12028</v>
      </c>
      <c r="G6">
        <v>0.31895972437951681</v>
      </c>
      <c r="H6">
        <v>1.5067964623787129E-282</v>
      </c>
      <c r="I6">
        <v>1.6254166094170371E-282</v>
      </c>
      <c r="J6">
        <v>0.28870272591706098</v>
      </c>
      <c r="K6">
        <v>1.3583852872996871E-229</v>
      </c>
      <c r="L6">
        <v>1.465322001406258E-229</v>
      </c>
      <c r="M6">
        <v>0.1956051259813581</v>
      </c>
      <c r="N6">
        <v>7.3734298723781701E-227</v>
      </c>
      <c r="O6">
        <v>7.9538913729696427E-227</v>
      </c>
      <c r="P6">
        <v>0.10173530577625731</v>
      </c>
      <c r="Q6">
        <v>1.69137980320031</v>
      </c>
      <c r="R6">
        <v>-28.10750674756131</v>
      </c>
      <c r="S6">
        <v>1.0561253480123429</v>
      </c>
      <c r="T6">
        <v>0.79274712256019009</v>
      </c>
      <c r="U6">
        <v>4.4179867093448619</v>
      </c>
      <c r="V6">
        <v>0.2101483876699779</v>
      </c>
      <c r="W6">
        <v>-20.635013256568008</v>
      </c>
      <c r="X6">
        <v>1.114374986596069</v>
      </c>
      <c r="Z6" t="s">
        <v>392</v>
      </c>
      <c r="AA6">
        <v>114</v>
      </c>
      <c r="AB6" t="s">
        <v>3439</v>
      </c>
      <c r="AC6" t="str">
        <f>HYPERLINK("plots/3FT6Y578R04_015_S21P_20251218081014_M5358ACSC201811_RBGEUFRF04/dpll_52046/txpa_53183.png","plot")</f>
        <v>plot</v>
      </c>
    </row>
    <row r="7" spans="1:29" x14ac:dyDescent="0.35">
      <c r="A7" t="s">
        <v>49</v>
      </c>
      <c r="B7">
        <v>52046</v>
      </c>
      <c r="C7" t="s">
        <v>51</v>
      </c>
      <c r="D7">
        <v>53184</v>
      </c>
      <c r="E7" t="s">
        <v>59</v>
      </c>
      <c r="F7">
        <v>12028</v>
      </c>
      <c r="G7">
        <v>0.31107678706248859</v>
      </c>
      <c r="H7">
        <v>3.8701858860995549E-268</v>
      </c>
      <c r="I7">
        <v>4.1571700090094788E-268</v>
      </c>
      <c r="J7">
        <v>0.28632831123809932</v>
      </c>
      <c r="K7">
        <v>1.0554521538587651E-225</v>
      </c>
      <c r="L7">
        <v>1.1349188589743239E-225</v>
      </c>
      <c r="M7">
        <v>0.19371112864906831</v>
      </c>
      <c r="N7">
        <v>1.7039094008643689E-222</v>
      </c>
      <c r="O7">
        <v>1.83219950421683E-222</v>
      </c>
      <c r="P7">
        <v>9.6768767449120871E-2</v>
      </c>
      <c r="Q7">
        <v>1.678143107127267</v>
      </c>
      <c r="R7">
        <v>-28.159720733656979</v>
      </c>
      <c r="S7">
        <v>1.0773799027515369</v>
      </c>
      <c r="T7">
        <v>0.81035395960205536</v>
      </c>
      <c r="U7">
        <v>4.4179867093448619</v>
      </c>
      <c r="V7">
        <v>0.2101483876699779</v>
      </c>
      <c r="W7">
        <v>-20.74570678999002</v>
      </c>
      <c r="X7">
        <v>1.1336720800431841</v>
      </c>
      <c r="Z7" t="s">
        <v>392</v>
      </c>
      <c r="AA7">
        <v>114</v>
      </c>
      <c r="AB7" t="s">
        <v>3440</v>
      </c>
      <c r="AC7" t="str">
        <f>HYPERLINK("plots/3FT6Y578R04_015_S21P_20251218081014_M5358ACSC201811_RBGEUFRF04/dpll_52046/txpa_53184.png","plot")</f>
        <v>plot</v>
      </c>
    </row>
    <row r="8" spans="1:29" x14ac:dyDescent="0.35">
      <c r="A8" t="s">
        <v>49</v>
      </c>
      <c r="B8">
        <v>52046</v>
      </c>
      <c r="C8" t="s">
        <v>51</v>
      </c>
      <c r="D8">
        <v>53185</v>
      </c>
      <c r="E8" t="s">
        <v>60</v>
      </c>
      <c r="F8">
        <v>12028</v>
      </c>
      <c r="G8">
        <v>0.30713709967399261</v>
      </c>
      <c r="H8">
        <v>4.221566173955797E-261</v>
      </c>
      <c r="I8">
        <v>4.5012282864260552E-261</v>
      </c>
      <c r="J8">
        <v>0.27876705428559723</v>
      </c>
      <c r="K8">
        <v>1.4502622636443239E-213</v>
      </c>
      <c r="L8">
        <v>1.5447121169488909E-213</v>
      </c>
      <c r="M8">
        <v>0.1890014174556443</v>
      </c>
      <c r="N8">
        <v>6.4056012718005106E-212</v>
      </c>
      <c r="O8">
        <v>6.8227727831992832E-212</v>
      </c>
      <c r="P8">
        <v>9.4333197996152071E-2</v>
      </c>
      <c r="Q8">
        <v>1.6394101330244819</v>
      </c>
      <c r="R8">
        <v>-27.969975447906361</v>
      </c>
      <c r="S8">
        <v>1.0674500664369739</v>
      </c>
      <c r="T8">
        <v>0.80068988828179033</v>
      </c>
      <c r="U8">
        <v>4.4179867093448619</v>
      </c>
      <c r="V8">
        <v>0.2101483876699779</v>
      </c>
      <c r="W8">
        <v>-20.727083269038911</v>
      </c>
      <c r="X8">
        <v>1.12171208411685</v>
      </c>
      <c r="Z8" t="s">
        <v>392</v>
      </c>
      <c r="AA8">
        <v>114</v>
      </c>
      <c r="AB8" t="s">
        <v>3441</v>
      </c>
      <c r="AC8" t="str">
        <f>HYPERLINK("plots/3FT6Y578R04_015_S21P_20251218081014_M5358ACSC201811_RBGEUFRF04/dpll_52046/txpa_53185.png","plot")</f>
        <v>plot</v>
      </c>
    </row>
    <row r="9" spans="1:29" x14ac:dyDescent="0.35">
      <c r="A9" t="s">
        <v>49</v>
      </c>
      <c r="B9">
        <v>52046</v>
      </c>
      <c r="C9" t="s">
        <v>51</v>
      </c>
      <c r="D9">
        <v>53186</v>
      </c>
      <c r="E9" t="s">
        <v>61</v>
      </c>
      <c r="F9">
        <v>12028</v>
      </c>
      <c r="G9">
        <v>0.28706865813193572</v>
      </c>
      <c r="H9">
        <v>6.5231917373296689E-227</v>
      </c>
      <c r="I9">
        <v>6.8901212725544623E-227</v>
      </c>
      <c r="J9">
        <v>0.26451678877254392</v>
      </c>
      <c r="K9">
        <v>1.031773847057514E-191</v>
      </c>
      <c r="L9">
        <v>1.089811125954499E-191</v>
      </c>
      <c r="M9">
        <v>0.17934145063554841</v>
      </c>
      <c r="N9">
        <v>5.8977553221491693E-191</v>
      </c>
      <c r="O9">
        <v>6.2359998922411453E-191</v>
      </c>
      <c r="P9">
        <v>8.2408414481670147E-2</v>
      </c>
      <c r="Q9">
        <v>1.570778226674127</v>
      </c>
      <c r="R9">
        <v>-27.837112109286721</v>
      </c>
      <c r="S9">
        <v>1.101442455911007</v>
      </c>
      <c r="T9">
        <v>0.83623154207768291</v>
      </c>
      <c r="U9">
        <v>4.4179867093448619</v>
      </c>
      <c r="V9">
        <v>0.2101483876699779</v>
      </c>
      <c r="W9">
        <v>-20.897434780512139</v>
      </c>
      <c r="X9">
        <v>1.14988697780781</v>
      </c>
      <c r="Z9" t="s">
        <v>392</v>
      </c>
      <c r="AA9">
        <v>114</v>
      </c>
      <c r="AB9" t="s">
        <v>3442</v>
      </c>
      <c r="AC9" t="str">
        <f>HYPERLINK("plots/3FT6Y578R04_015_S21P_20251218081014_M5358ACSC201811_RBGEUFRF04/dpll_52046/txpa_53186.png","plot")</f>
        <v>plot</v>
      </c>
    </row>
    <row r="10" spans="1:29" x14ac:dyDescent="0.35">
      <c r="A10" t="s">
        <v>49</v>
      </c>
      <c r="B10">
        <v>52046</v>
      </c>
      <c r="C10" t="s">
        <v>51</v>
      </c>
      <c r="D10">
        <v>53187</v>
      </c>
      <c r="E10" t="s">
        <v>62</v>
      </c>
      <c r="F10">
        <v>12028</v>
      </c>
      <c r="G10">
        <v>0.5941874275382425</v>
      </c>
      <c r="H10">
        <v>0</v>
      </c>
      <c r="I10">
        <v>0</v>
      </c>
      <c r="J10">
        <v>0.50352921474474721</v>
      </c>
      <c r="K10">
        <v>0</v>
      </c>
      <c r="L10">
        <v>0</v>
      </c>
      <c r="M10">
        <v>0.34960649929738008</v>
      </c>
      <c r="N10">
        <v>0</v>
      </c>
      <c r="O10">
        <v>0</v>
      </c>
      <c r="P10">
        <v>0.3530586990445142</v>
      </c>
      <c r="Q10">
        <v>0.89597691473052088</v>
      </c>
      <c r="R10">
        <v>-15.348973894973691</v>
      </c>
      <c r="S10">
        <v>0.25486711830021058</v>
      </c>
      <c r="T10">
        <v>0.1992572139809253</v>
      </c>
      <c r="U10">
        <v>4.4179867093448619</v>
      </c>
      <c r="V10">
        <v>0.2101483876699779</v>
      </c>
      <c r="W10">
        <v>-11.390559793814431</v>
      </c>
      <c r="X10">
        <v>0.31688335244693783</v>
      </c>
      <c r="Z10" t="s">
        <v>392</v>
      </c>
      <c r="AA10">
        <v>114</v>
      </c>
      <c r="AB10" t="s">
        <v>3443</v>
      </c>
      <c r="AC10" t="str">
        <f>HYPERLINK("plots/3FT6Y578R04_015_S21P_20251218081014_M5358ACSC201811_RBGEUFRF04/dpll_52046/txpa_53187.png","plot")</f>
        <v>plot</v>
      </c>
    </row>
    <row r="11" spans="1:29" x14ac:dyDescent="0.35">
      <c r="A11" t="s">
        <v>49</v>
      </c>
      <c r="B11">
        <v>52046</v>
      </c>
      <c r="C11" t="s">
        <v>51</v>
      </c>
      <c r="D11">
        <v>53188</v>
      </c>
      <c r="E11" t="s">
        <v>63</v>
      </c>
      <c r="F11">
        <v>12028</v>
      </c>
      <c r="G11">
        <v>0.61749123662831296</v>
      </c>
      <c r="H11">
        <v>0</v>
      </c>
      <c r="I11">
        <v>0</v>
      </c>
      <c r="J11">
        <v>0.52119192040527929</v>
      </c>
      <c r="K11">
        <v>0</v>
      </c>
      <c r="L11">
        <v>0</v>
      </c>
      <c r="M11">
        <v>0.36511852307270892</v>
      </c>
      <c r="N11">
        <v>0</v>
      </c>
      <c r="O11">
        <v>0</v>
      </c>
      <c r="P11">
        <v>0.38129542731276322</v>
      </c>
      <c r="Q11">
        <v>0.92593369320233043</v>
      </c>
      <c r="R11">
        <v>-15.4181499476753</v>
      </c>
      <c r="S11">
        <v>0.2478556139157756</v>
      </c>
      <c r="T11">
        <v>0.19407198545977289</v>
      </c>
      <c r="U11">
        <v>4.4179867093448619</v>
      </c>
      <c r="V11">
        <v>0.2101483876699779</v>
      </c>
      <c r="W11">
        <v>-11.327387197372801</v>
      </c>
      <c r="X11">
        <v>0.31511940765064428</v>
      </c>
      <c r="Z11" t="s">
        <v>392</v>
      </c>
      <c r="AA11">
        <v>114</v>
      </c>
      <c r="AB11" t="s">
        <v>3444</v>
      </c>
      <c r="AC11" t="str">
        <f>HYPERLINK("plots/3FT6Y578R04_015_S21P_20251218081014_M5358ACSC201811_RBGEUFRF04/dpll_52046/txpa_53188.png","plot")</f>
        <v>plot</v>
      </c>
    </row>
    <row r="12" spans="1:29" x14ac:dyDescent="0.35">
      <c r="A12" t="s">
        <v>49</v>
      </c>
      <c r="B12">
        <v>52046</v>
      </c>
      <c r="C12" t="s">
        <v>51</v>
      </c>
      <c r="D12">
        <v>53189</v>
      </c>
      <c r="E12" t="s">
        <v>64</v>
      </c>
      <c r="F12">
        <v>12028</v>
      </c>
      <c r="G12">
        <v>0.59796325056250532</v>
      </c>
      <c r="H12">
        <v>0</v>
      </c>
      <c r="I12">
        <v>0</v>
      </c>
      <c r="J12">
        <v>0.49947670435922098</v>
      </c>
      <c r="K12">
        <v>0</v>
      </c>
      <c r="L12">
        <v>0</v>
      </c>
      <c r="M12">
        <v>0.3477446804085072</v>
      </c>
      <c r="N12">
        <v>0</v>
      </c>
      <c r="O12">
        <v>0</v>
      </c>
      <c r="P12">
        <v>0.35756004902327748</v>
      </c>
      <c r="Q12">
        <v>0.87885454847829325</v>
      </c>
      <c r="R12">
        <v>-15.18498340384952</v>
      </c>
      <c r="S12">
        <v>0.24755219921097471</v>
      </c>
      <c r="T12">
        <v>0.19425636940710231</v>
      </c>
      <c r="U12">
        <v>4.4179867093448619</v>
      </c>
      <c r="V12">
        <v>0.2101483876699779</v>
      </c>
      <c r="W12">
        <v>-11.30221568922514</v>
      </c>
      <c r="X12">
        <v>0.308864911322563</v>
      </c>
      <c r="Z12" t="s">
        <v>392</v>
      </c>
      <c r="AA12">
        <v>114</v>
      </c>
      <c r="AB12" t="s">
        <v>3445</v>
      </c>
      <c r="AC12" t="str">
        <f>HYPERLINK("plots/3FT6Y578R04_015_S21P_20251218081014_M5358ACSC201811_RBGEUFRF04/dpll_52046/txpa_53189.png","plot")</f>
        <v>plot</v>
      </c>
    </row>
    <row r="13" spans="1:29" x14ac:dyDescent="0.35">
      <c r="A13" t="s">
        <v>49</v>
      </c>
      <c r="B13">
        <v>52046</v>
      </c>
      <c r="C13" t="s">
        <v>51</v>
      </c>
      <c r="D13">
        <v>53190</v>
      </c>
      <c r="E13" t="s">
        <v>65</v>
      </c>
      <c r="F13">
        <v>12028</v>
      </c>
      <c r="G13">
        <v>0.62213035816581563</v>
      </c>
      <c r="H13">
        <v>0</v>
      </c>
      <c r="I13">
        <v>0</v>
      </c>
      <c r="J13">
        <v>0.51924056524275264</v>
      </c>
      <c r="K13">
        <v>0</v>
      </c>
      <c r="L13">
        <v>0</v>
      </c>
      <c r="M13">
        <v>0.36367661657172451</v>
      </c>
      <c r="N13">
        <v>0</v>
      </c>
      <c r="O13">
        <v>0</v>
      </c>
      <c r="P13">
        <v>0.38704618255152612</v>
      </c>
      <c r="Q13">
        <v>0.92872291762709902</v>
      </c>
      <c r="R13">
        <v>-15.36055114026229</v>
      </c>
      <c r="S13">
        <v>0.2455990335637494</v>
      </c>
      <c r="T13">
        <v>0.1924955706398675</v>
      </c>
      <c r="U13">
        <v>4.4179867093448619</v>
      </c>
      <c r="V13">
        <v>0.2101483876699779</v>
      </c>
      <c r="W13">
        <v>-11.257465633521781</v>
      </c>
      <c r="X13">
        <v>0.31371178269920458</v>
      </c>
      <c r="Z13" t="s">
        <v>392</v>
      </c>
      <c r="AA13">
        <v>114</v>
      </c>
      <c r="AB13" t="s">
        <v>3446</v>
      </c>
      <c r="AC13" t="str">
        <f>HYPERLINK("plots/3FT6Y578R04_015_S21P_20251218081014_M5358ACSC201811_RBGEUFRF04/dpll_52046/txpa_53190.png","plot")</f>
        <v>plot</v>
      </c>
    </row>
    <row r="14" spans="1:29" x14ac:dyDescent="0.35">
      <c r="A14" t="s">
        <v>49</v>
      </c>
      <c r="B14">
        <v>52046</v>
      </c>
      <c r="C14" t="s">
        <v>51</v>
      </c>
      <c r="D14">
        <v>53191</v>
      </c>
      <c r="E14" t="s">
        <v>66</v>
      </c>
      <c r="F14">
        <v>12027</v>
      </c>
      <c r="G14">
        <v>0.62886966133167432</v>
      </c>
      <c r="H14">
        <v>0</v>
      </c>
      <c r="I14">
        <v>0</v>
      </c>
      <c r="J14">
        <v>0.52395154130558097</v>
      </c>
      <c r="K14">
        <v>0</v>
      </c>
      <c r="L14">
        <v>0</v>
      </c>
      <c r="M14">
        <v>0.36700299149456023</v>
      </c>
      <c r="N14">
        <v>0</v>
      </c>
      <c r="O14">
        <v>0</v>
      </c>
      <c r="P14">
        <v>0.39547705094341468</v>
      </c>
      <c r="Q14">
        <v>0.9360248926715562</v>
      </c>
      <c r="R14">
        <v>-15.399270950816399</v>
      </c>
      <c r="S14">
        <v>0.243171644316268</v>
      </c>
      <c r="T14">
        <v>0.19091508104058141</v>
      </c>
      <c r="U14">
        <v>4.4179587365926656</v>
      </c>
      <c r="V14">
        <v>0.21013472984942591</v>
      </c>
      <c r="W14">
        <v>-11.263951598569889</v>
      </c>
      <c r="X14">
        <v>0.31276964059192802</v>
      </c>
      <c r="Z14" t="s">
        <v>392</v>
      </c>
      <c r="AA14">
        <v>114</v>
      </c>
      <c r="AB14" t="s">
        <v>3447</v>
      </c>
      <c r="AC14" t="str">
        <f>HYPERLINK("plots/3FT6Y578R04_015_S21P_20251218081014_M5358ACSC201811_RBGEUFRF04/dpll_52046/txpa_53191.png","plot")</f>
        <v>plot</v>
      </c>
    </row>
    <row r="15" spans="1:29" x14ac:dyDescent="0.35">
      <c r="A15" t="s">
        <v>49</v>
      </c>
      <c r="B15">
        <v>52046</v>
      </c>
      <c r="C15" t="s">
        <v>51</v>
      </c>
      <c r="D15">
        <v>53192</v>
      </c>
      <c r="E15" t="s">
        <v>67</v>
      </c>
      <c r="F15">
        <v>12027</v>
      </c>
      <c r="G15">
        <v>0.629793656741782</v>
      </c>
      <c r="H15">
        <v>0</v>
      </c>
      <c r="I15">
        <v>0</v>
      </c>
      <c r="J15">
        <v>0.53110138608026969</v>
      </c>
      <c r="K15">
        <v>0</v>
      </c>
      <c r="L15">
        <v>0</v>
      </c>
      <c r="M15">
        <v>0.37267666640387298</v>
      </c>
      <c r="N15">
        <v>0</v>
      </c>
      <c r="O15">
        <v>0</v>
      </c>
      <c r="P15">
        <v>0.39664005007218561</v>
      </c>
      <c r="Q15">
        <v>0.92839478037701106</v>
      </c>
      <c r="R15">
        <v>-15.408795271016761</v>
      </c>
      <c r="S15">
        <v>0.24062892714872619</v>
      </c>
      <c r="T15">
        <v>0.18849308844293819</v>
      </c>
      <c r="U15">
        <v>4.4179905558327102</v>
      </c>
      <c r="V15">
        <v>0.210156701307574</v>
      </c>
      <c r="W15">
        <v>-11.307155899226739</v>
      </c>
      <c r="X15">
        <v>0.30979731609967232</v>
      </c>
      <c r="Z15" t="s">
        <v>392</v>
      </c>
      <c r="AA15">
        <v>114</v>
      </c>
      <c r="AB15" t="s">
        <v>3448</v>
      </c>
      <c r="AC15" t="str">
        <f>HYPERLINK("plots/3FT6Y578R04_015_S21P_20251218081014_M5358ACSC201811_RBGEUFRF04/dpll_52046/txpa_53192.png","plot")</f>
        <v>plot</v>
      </c>
    </row>
    <row r="16" spans="1:29" x14ac:dyDescent="0.35">
      <c r="A16" t="s">
        <v>49</v>
      </c>
      <c r="B16">
        <v>52046</v>
      </c>
      <c r="C16" t="s">
        <v>51</v>
      </c>
      <c r="D16">
        <v>53193</v>
      </c>
      <c r="E16" t="s">
        <v>68</v>
      </c>
      <c r="F16">
        <v>12028</v>
      </c>
      <c r="G16">
        <v>0.62999080307806077</v>
      </c>
      <c r="H16">
        <v>0</v>
      </c>
      <c r="I16">
        <v>0</v>
      </c>
      <c r="J16">
        <v>0.53153353204028253</v>
      </c>
      <c r="K16">
        <v>0</v>
      </c>
      <c r="L16">
        <v>0</v>
      </c>
      <c r="M16">
        <v>0.3729492884944523</v>
      </c>
      <c r="N16">
        <v>0</v>
      </c>
      <c r="O16">
        <v>0</v>
      </c>
      <c r="P16">
        <v>0.39688841196293989</v>
      </c>
      <c r="Q16">
        <v>0.92396216855064572</v>
      </c>
      <c r="R16">
        <v>-15.376886075772131</v>
      </c>
      <c r="S16">
        <v>0.23934635862738279</v>
      </c>
      <c r="T16">
        <v>0.18742958118470829</v>
      </c>
      <c r="U16">
        <v>4.4179867093448619</v>
      </c>
      <c r="V16">
        <v>0.2101483876699779</v>
      </c>
      <c r="W16">
        <v>-11.294833495177921</v>
      </c>
      <c r="X16">
        <v>0.30820951518702661</v>
      </c>
      <c r="Z16" t="s">
        <v>392</v>
      </c>
      <c r="AA16">
        <v>114</v>
      </c>
      <c r="AB16" t="s">
        <v>3449</v>
      </c>
      <c r="AC16" t="str">
        <f>HYPERLINK("plots/3FT6Y578R04_015_S21P_20251218081014_M5358ACSC201811_RBGEUFRF04/dpll_52046/txpa_53193.png","plot")</f>
        <v>plot</v>
      </c>
    </row>
    <row r="17" spans="1:29" x14ac:dyDescent="0.35">
      <c r="A17" t="s">
        <v>49</v>
      </c>
      <c r="B17">
        <v>52046</v>
      </c>
      <c r="C17" t="s">
        <v>51</v>
      </c>
      <c r="D17">
        <v>53194</v>
      </c>
      <c r="E17" t="s">
        <v>69</v>
      </c>
      <c r="F17">
        <v>12027</v>
      </c>
      <c r="G17">
        <v>0.61274553122887665</v>
      </c>
      <c r="H17">
        <v>0</v>
      </c>
      <c r="I17">
        <v>0</v>
      </c>
      <c r="J17">
        <v>0.51412455038900817</v>
      </c>
      <c r="K17">
        <v>0</v>
      </c>
      <c r="L17">
        <v>0</v>
      </c>
      <c r="M17">
        <v>0.35923132711385541</v>
      </c>
      <c r="N17">
        <v>0</v>
      </c>
      <c r="O17">
        <v>0</v>
      </c>
      <c r="P17">
        <v>0.37545708604095818</v>
      </c>
      <c r="Q17">
        <v>0.90591587700144383</v>
      </c>
      <c r="R17">
        <v>-15.383159346699189</v>
      </c>
      <c r="S17">
        <v>0.24551753307746321</v>
      </c>
      <c r="T17">
        <v>0.19282987377508989</v>
      </c>
      <c r="U17">
        <v>4.418010118566559</v>
      </c>
      <c r="V17">
        <v>0.21014144114715341</v>
      </c>
      <c r="W17">
        <v>-11.38081383553671</v>
      </c>
      <c r="X17">
        <v>0.31068438405316168</v>
      </c>
      <c r="Z17" t="s">
        <v>392</v>
      </c>
      <c r="AA17">
        <v>114</v>
      </c>
      <c r="AB17" t="s">
        <v>3450</v>
      </c>
      <c r="AC17" t="str">
        <f>HYPERLINK("plots/3FT6Y578R04_015_S21P_20251218081014_M5358ACSC201811_RBGEUFRF04/dpll_52046/txpa_53194.png","plot")</f>
        <v>plot</v>
      </c>
    </row>
    <row r="18" spans="1:29" x14ac:dyDescent="0.35">
      <c r="A18" t="s">
        <v>49</v>
      </c>
      <c r="B18">
        <v>52046</v>
      </c>
      <c r="C18" t="s">
        <v>51</v>
      </c>
      <c r="D18">
        <v>53195</v>
      </c>
      <c r="E18" t="s">
        <v>70</v>
      </c>
      <c r="F18">
        <v>12028</v>
      </c>
      <c r="G18">
        <v>0.6076763224001771</v>
      </c>
      <c r="H18">
        <v>0</v>
      </c>
      <c r="I18">
        <v>0</v>
      </c>
      <c r="J18">
        <v>0.51917444612627517</v>
      </c>
      <c r="K18">
        <v>0</v>
      </c>
      <c r="L18">
        <v>0</v>
      </c>
      <c r="M18">
        <v>0.36168812883636359</v>
      </c>
      <c r="N18">
        <v>0</v>
      </c>
      <c r="O18">
        <v>0</v>
      </c>
      <c r="P18">
        <v>0.36927051280580397</v>
      </c>
      <c r="Q18">
        <v>0.781963380481835</v>
      </c>
      <c r="R18">
        <v>-8.9860333858478612</v>
      </c>
      <c r="S18">
        <v>0.21475519398892251</v>
      </c>
      <c r="T18">
        <v>0.16917259941869989</v>
      </c>
      <c r="U18">
        <v>4.4179867093448619</v>
      </c>
      <c r="V18">
        <v>0.2101483876699779</v>
      </c>
      <c r="W18">
        <v>-5.5313295636847348</v>
      </c>
      <c r="X18">
        <v>0.27042084341243572</v>
      </c>
      <c r="Z18" t="s">
        <v>392</v>
      </c>
      <c r="AA18">
        <v>114</v>
      </c>
      <c r="AB18" t="s">
        <v>3451</v>
      </c>
      <c r="AC18" t="str">
        <f>HYPERLINK("plots/3FT6Y578R04_015_S21P_20251218081014_M5358ACSC201811_RBGEUFRF04/dpll_52046/txpa_53195.png","plot")</f>
        <v>plot</v>
      </c>
    </row>
    <row r="19" spans="1:29" x14ac:dyDescent="0.35">
      <c r="A19" t="s">
        <v>49</v>
      </c>
      <c r="B19">
        <v>52046</v>
      </c>
      <c r="C19" t="s">
        <v>51</v>
      </c>
      <c r="D19">
        <v>53196</v>
      </c>
      <c r="E19" t="s">
        <v>71</v>
      </c>
      <c r="F19">
        <v>12028</v>
      </c>
      <c r="G19">
        <v>0.62984135290220145</v>
      </c>
      <c r="H19">
        <v>0</v>
      </c>
      <c r="I19">
        <v>0</v>
      </c>
      <c r="J19">
        <v>0.53830548473749162</v>
      </c>
      <c r="K19">
        <v>0</v>
      </c>
      <c r="L19">
        <v>0</v>
      </c>
      <c r="M19">
        <v>0.37835537645962558</v>
      </c>
      <c r="N19">
        <v>0</v>
      </c>
      <c r="O19">
        <v>0</v>
      </c>
      <c r="P19">
        <v>0.39670012982567548</v>
      </c>
      <c r="Q19">
        <v>0.81518780404258129</v>
      </c>
      <c r="R19">
        <v>-9.0865474029190558</v>
      </c>
      <c r="S19">
        <v>0.21125214448557081</v>
      </c>
      <c r="T19">
        <v>0.16683412579818979</v>
      </c>
      <c r="U19">
        <v>4.4179867093448619</v>
      </c>
      <c r="V19">
        <v>0.2101483876699779</v>
      </c>
      <c r="W19">
        <v>-5.4850585190389083</v>
      </c>
      <c r="X19">
        <v>0.27198976675381731</v>
      </c>
      <c r="Z19" t="s">
        <v>392</v>
      </c>
      <c r="AA19">
        <v>114</v>
      </c>
      <c r="AB19" t="s">
        <v>3452</v>
      </c>
      <c r="AC19" t="str">
        <f>HYPERLINK("plots/3FT6Y578R04_015_S21P_20251218081014_M5358ACSC201811_RBGEUFRF04/dpll_52046/txpa_53196.png","plot")</f>
        <v>plot</v>
      </c>
    </row>
    <row r="20" spans="1:29" x14ac:dyDescent="0.35">
      <c r="A20" t="s">
        <v>49</v>
      </c>
      <c r="B20">
        <v>52046</v>
      </c>
      <c r="C20" t="s">
        <v>51</v>
      </c>
      <c r="D20">
        <v>53197</v>
      </c>
      <c r="E20" t="s">
        <v>72</v>
      </c>
      <c r="F20">
        <v>12028</v>
      </c>
      <c r="G20">
        <v>0.6148244289429271</v>
      </c>
      <c r="H20">
        <v>0</v>
      </c>
      <c r="I20">
        <v>0</v>
      </c>
      <c r="J20">
        <v>0.51952955740279694</v>
      </c>
      <c r="K20">
        <v>0</v>
      </c>
      <c r="L20">
        <v>0</v>
      </c>
      <c r="M20">
        <v>0.36288625835495603</v>
      </c>
      <c r="N20">
        <v>0</v>
      </c>
      <c r="O20">
        <v>0</v>
      </c>
      <c r="P20">
        <v>0.37800907842499643</v>
      </c>
      <c r="Q20">
        <v>0.776979107509564</v>
      </c>
      <c r="R20">
        <v>-8.8975981695512374</v>
      </c>
      <c r="S20">
        <v>0.20943933823852401</v>
      </c>
      <c r="T20">
        <v>0.1656017125293727</v>
      </c>
      <c r="U20">
        <v>4.4179867093448619</v>
      </c>
      <c r="V20">
        <v>0.2101483876699779</v>
      </c>
      <c r="W20">
        <v>-5.4649147991353511</v>
      </c>
      <c r="X20">
        <v>0.26557322547694401</v>
      </c>
      <c r="Z20" t="s">
        <v>392</v>
      </c>
      <c r="AA20">
        <v>114</v>
      </c>
      <c r="AB20" t="s">
        <v>3453</v>
      </c>
      <c r="AC20" t="str">
        <f>HYPERLINK("plots/3FT6Y578R04_015_S21P_20251218081014_M5358ACSC201811_RBGEUFRF04/dpll_52046/txpa_53197.png","plot")</f>
        <v>plot</v>
      </c>
    </row>
    <row r="21" spans="1:29" x14ac:dyDescent="0.35">
      <c r="A21" t="s">
        <v>49</v>
      </c>
      <c r="B21">
        <v>52046</v>
      </c>
      <c r="C21" t="s">
        <v>51</v>
      </c>
      <c r="D21">
        <v>53198</v>
      </c>
      <c r="E21" t="s">
        <v>73</v>
      </c>
      <c r="F21">
        <v>12027</v>
      </c>
      <c r="G21">
        <v>0.63486830647556802</v>
      </c>
      <c r="H21">
        <v>0</v>
      </c>
      <c r="I21">
        <v>0</v>
      </c>
      <c r="J21">
        <v>0.53613256097096396</v>
      </c>
      <c r="K21">
        <v>0</v>
      </c>
      <c r="L21">
        <v>0</v>
      </c>
      <c r="M21">
        <v>0.37673325233451871</v>
      </c>
      <c r="N21">
        <v>0</v>
      </c>
      <c r="O21">
        <v>0</v>
      </c>
      <c r="P21">
        <v>0.40305776656715581</v>
      </c>
      <c r="Q21">
        <v>0.81950938417250052</v>
      </c>
      <c r="R21">
        <v>-9.0607750058549072</v>
      </c>
      <c r="S21">
        <v>0.20958411096869181</v>
      </c>
      <c r="T21">
        <v>0.16600828738050599</v>
      </c>
      <c r="U21">
        <v>4.417995080651866</v>
      </c>
      <c r="V21">
        <v>0.21015511914181201</v>
      </c>
      <c r="W21">
        <v>-5.4401865780327601</v>
      </c>
      <c r="X21">
        <v>0.27127530310135689</v>
      </c>
      <c r="Z21" t="s">
        <v>392</v>
      </c>
      <c r="AA21">
        <v>114</v>
      </c>
      <c r="AB21" t="s">
        <v>3454</v>
      </c>
      <c r="AC21" t="str">
        <f>HYPERLINK("plots/3FT6Y578R04_015_S21P_20251218081014_M5358ACSC201811_RBGEUFRF04/dpll_52046/txpa_53198.png","plot")</f>
        <v>plot</v>
      </c>
    </row>
    <row r="22" spans="1:29" x14ac:dyDescent="0.35">
      <c r="A22" t="s">
        <v>49</v>
      </c>
      <c r="B22">
        <v>52046</v>
      </c>
      <c r="C22" t="s">
        <v>51</v>
      </c>
      <c r="D22">
        <v>53199</v>
      </c>
      <c r="E22" t="s">
        <v>74</v>
      </c>
      <c r="F22">
        <v>12027</v>
      </c>
      <c r="G22">
        <v>0.6379629352400833</v>
      </c>
      <c r="H22">
        <v>0</v>
      </c>
      <c r="I22">
        <v>0</v>
      </c>
      <c r="J22">
        <v>0.53403802671739953</v>
      </c>
      <c r="K22">
        <v>0</v>
      </c>
      <c r="L22">
        <v>0</v>
      </c>
      <c r="M22">
        <v>0.37400147596735928</v>
      </c>
      <c r="N22">
        <v>0</v>
      </c>
      <c r="O22">
        <v>0</v>
      </c>
      <c r="P22">
        <v>0.40699670674014271</v>
      </c>
      <c r="Q22">
        <v>0.82144156107154898</v>
      </c>
      <c r="R22">
        <v>-9.0774667788236894</v>
      </c>
      <c r="S22">
        <v>0.2083481064056279</v>
      </c>
      <c r="T22">
        <v>0.16576314474661191</v>
      </c>
      <c r="U22">
        <v>4.4179587365926656</v>
      </c>
      <c r="V22">
        <v>0.21013472984942591</v>
      </c>
      <c r="W22">
        <v>-5.448371857487321</v>
      </c>
      <c r="X22">
        <v>0.27056963812153328</v>
      </c>
      <c r="Z22" t="s">
        <v>392</v>
      </c>
      <c r="AA22">
        <v>114</v>
      </c>
      <c r="AB22" t="s">
        <v>3455</v>
      </c>
      <c r="AC22" t="str">
        <f>HYPERLINK("plots/3FT6Y578R04_015_S21P_20251218081014_M5358ACSC201811_RBGEUFRF04/dpll_52046/txpa_53199.png","plot")</f>
        <v>plot</v>
      </c>
    </row>
    <row r="23" spans="1:29" x14ac:dyDescent="0.35">
      <c r="A23" t="s">
        <v>49</v>
      </c>
      <c r="B23">
        <v>52046</v>
      </c>
      <c r="C23" t="s">
        <v>51</v>
      </c>
      <c r="D23">
        <v>53200</v>
      </c>
      <c r="E23" t="s">
        <v>75</v>
      </c>
      <c r="F23">
        <v>12028</v>
      </c>
      <c r="G23">
        <v>0.64322210192574913</v>
      </c>
      <c r="H23">
        <v>0</v>
      </c>
      <c r="I23">
        <v>0</v>
      </c>
      <c r="J23">
        <v>0.55201616080376115</v>
      </c>
      <c r="K23">
        <v>0</v>
      </c>
      <c r="L23">
        <v>0</v>
      </c>
      <c r="M23">
        <v>0.38872876164595632</v>
      </c>
      <c r="N23">
        <v>0</v>
      </c>
      <c r="O23">
        <v>0</v>
      </c>
      <c r="P23">
        <v>0.41373467240577882</v>
      </c>
      <c r="Q23">
        <v>0.82575367301732194</v>
      </c>
      <c r="R23">
        <v>-9.1131659820478141</v>
      </c>
      <c r="S23">
        <v>0.2065592597056391</v>
      </c>
      <c r="T23">
        <v>0.16340635232159131</v>
      </c>
      <c r="U23">
        <v>4.4179867093448619</v>
      </c>
      <c r="V23">
        <v>0.2101483876699779</v>
      </c>
      <c r="W23">
        <v>-5.4649972294645828</v>
      </c>
      <c r="X23">
        <v>0.26978364468138882</v>
      </c>
      <c r="Z23" t="s">
        <v>392</v>
      </c>
      <c r="AA23">
        <v>114</v>
      </c>
      <c r="AB23" t="s">
        <v>3456</v>
      </c>
      <c r="AC23" t="str">
        <f>HYPERLINK("plots/3FT6Y578R04_015_S21P_20251218081014_M5358ACSC201811_RBGEUFRF04/dpll_52046/txpa_53200.png","plot")</f>
        <v>plot</v>
      </c>
    </row>
    <row r="24" spans="1:29" x14ac:dyDescent="0.35">
      <c r="A24" t="s">
        <v>49</v>
      </c>
      <c r="B24">
        <v>52046</v>
      </c>
      <c r="C24" t="s">
        <v>51</v>
      </c>
      <c r="D24">
        <v>53201</v>
      </c>
      <c r="E24" t="s">
        <v>76</v>
      </c>
      <c r="F24">
        <v>12028</v>
      </c>
      <c r="G24">
        <v>0.64061027880756127</v>
      </c>
      <c r="H24">
        <v>0</v>
      </c>
      <c r="I24">
        <v>0</v>
      </c>
      <c r="J24">
        <v>0.54459291993785885</v>
      </c>
      <c r="K24">
        <v>0</v>
      </c>
      <c r="L24">
        <v>0</v>
      </c>
      <c r="M24">
        <v>0.38250014453366971</v>
      </c>
      <c r="N24">
        <v>0</v>
      </c>
      <c r="O24">
        <v>0</v>
      </c>
      <c r="P24">
        <v>0.41038152931390143</v>
      </c>
      <c r="Q24">
        <v>0.81234363459725167</v>
      </c>
      <c r="R24">
        <v>-9.0454881545999903</v>
      </c>
      <c r="S24">
        <v>0.20461592299752129</v>
      </c>
      <c r="T24">
        <v>0.1626252292369002</v>
      </c>
      <c r="U24">
        <v>4.4179867093448619</v>
      </c>
      <c r="V24">
        <v>0.2101483876699779</v>
      </c>
      <c r="W24">
        <v>-5.4565647735284344</v>
      </c>
      <c r="X24">
        <v>0.2664844925097809</v>
      </c>
      <c r="Z24" t="s">
        <v>392</v>
      </c>
      <c r="AA24">
        <v>114</v>
      </c>
      <c r="AB24" t="s">
        <v>3457</v>
      </c>
      <c r="AC24" t="str">
        <f>HYPERLINK("plots/3FT6Y578R04_015_S21P_20251218081014_M5358ACSC201811_RBGEUFRF04/dpll_52046/txpa_53201.png","plot")</f>
        <v>plot</v>
      </c>
    </row>
    <row r="25" spans="1:29" x14ac:dyDescent="0.35">
      <c r="A25" t="s">
        <v>49</v>
      </c>
      <c r="B25">
        <v>52046</v>
      </c>
      <c r="C25" t="s">
        <v>51</v>
      </c>
      <c r="D25">
        <v>53202</v>
      </c>
      <c r="E25" t="s">
        <v>77</v>
      </c>
      <c r="F25">
        <v>12027</v>
      </c>
      <c r="G25">
        <v>0.62601291782335733</v>
      </c>
      <c r="H25">
        <v>0</v>
      </c>
      <c r="I25">
        <v>0</v>
      </c>
      <c r="J25">
        <v>0.53234083998812332</v>
      </c>
      <c r="K25">
        <v>0</v>
      </c>
      <c r="L25">
        <v>0</v>
      </c>
      <c r="M25">
        <v>0.37342260165853708</v>
      </c>
      <c r="N25">
        <v>0</v>
      </c>
      <c r="O25">
        <v>0</v>
      </c>
      <c r="P25">
        <v>0.39189217328171361</v>
      </c>
      <c r="Q25">
        <v>0.79918021641665016</v>
      </c>
      <c r="R25">
        <v>-9.0486714402491248</v>
      </c>
      <c r="S25">
        <v>0.20919214668507971</v>
      </c>
      <c r="T25">
        <v>0.1656200216461847</v>
      </c>
      <c r="U25">
        <v>4.418010118566559</v>
      </c>
      <c r="V25">
        <v>0.21014144114715341</v>
      </c>
      <c r="W25">
        <v>-5.5178851575621506</v>
      </c>
      <c r="X25">
        <v>0.26827063409173441</v>
      </c>
      <c r="Z25" t="s">
        <v>392</v>
      </c>
      <c r="AA25">
        <v>114</v>
      </c>
      <c r="AB25" t="s">
        <v>3458</v>
      </c>
      <c r="AC25" t="str">
        <f>HYPERLINK("plots/3FT6Y578R04_015_S21P_20251218081014_M5358ACSC201811_RBGEUFRF04/dpll_52046/txpa_53202.png","plot")</f>
        <v>plot</v>
      </c>
    </row>
    <row r="26" spans="1:29" x14ac:dyDescent="0.35">
      <c r="A26" t="s">
        <v>49</v>
      </c>
      <c r="B26">
        <v>52046</v>
      </c>
      <c r="C26" t="s">
        <v>51</v>
      </c>
      <c r="D26">
        <v>53203</v>
      </c>
      <c r="E26" t="s">
        <v>78</v>
      </c>
      <c r="F26">
        <v>12028</v>
      </c>
      <c r="G26">
        <v>0.62232715445715758</v>
      </c>
      <c r="H26">
        <v>0</v>
      </c>
      <c r="I26">
        <v>0</v>
      </c>
      <c r="J26">
        <v>0.53917513824891383</v>
      </c>
      <c r="K26">
        <v>0</v>
      </c>
      <c r="L26">
        <v>0</v>
      </c>
      <c r="M26">
        <v>0.37707682336034198</v>
      </c>
      <c r="N26">
        <v>0</v>
      </c>
      <c r="O26">
        <v>0</v>
      </c>
      <c r="P26">
        <v>0.38729108717474292</v>
      </c>
      <c r="Q26">
        <v>0.79222058239604409</v>
      </c>
      <c r="R26">
        <v>-5.9620259762097678</v>
      </c>
      <c r="S26">
        <v>0.2093931533454137</v>
      </c>
      <c r="T26">
        <v>0.16513898058523371</v>
      </c>
      <c r="U26">
        <v>4.4179867093448619</v>
      </c>
      <c r="V26">
        <v>0.2101483876699779</v>
      </c>
      <c r="W26">
        <v>-2.4620059723145999</v>
      </c>
      <c r="X26">
        <v>0.26751826089722819</v>
      </c>
      <c r="Z26" t="s">
        <v>392</v>
      </c>
      <c r="AA26">
        <v>114</v>
      </c>
      <c r="AB26" t="s">
        <v>3459</v>
      </c>
      <c r="AC26" t="str">
        <f>HYPERLINK("plots/3FT6Y578R04_015_S21P_20251218081014_M5358ACSC201811_RBGEUFRF04/dpll_52046/txpa_53203.png","plot")</f>
        <v>plot</v>
      </c>
    </row>
    <row r="27" spans="1:29" x14ac:dyDescent="0.35">
      <c r="A27" t="s">
        <v>49</v>
      </c>
      <c r="B27">
        <v>52046</v>
      </c>
      <c r="C27" t="s">
        <v>51</v>
      </c>
      <c r="D27">
        <v>53204</v>
      </c>
      <c r="E27" t="s">
        <v>79</v>
      </c>
      <c r="F27">
        <v>12028</v>
      </c>
      <c r="G27">
        <v>0.6479721491124053</v>
      </c>
      <c r="H27">
        <v>0</v>
      </c>
      <c r="I27">
        <v>0</v>
      </c>
      <c r="J27">
        <v>0.56250315825459896</v>
      </c>
      <c r="K27">
        <v>0</v>
      </c>
      <c r="L27">
        <v>0</v>
      </c>
      <c r="M27">
        <v>0.39716287836526681</v>
      </c>
      <c r="N27">
        <v>0</v>
      </c>
      <c r="O27">
        <v>0</v>
      </c>
      <c r="P27">
        <v>0.41986790602534918</v>
      </c>
      <c r="Q27">
        <v>0.83238755215988169</v>
      </c>
      <c r="R27">
        <v>-6.0988025975712166</v>
      </c>
      <c r="S27">
        <v>0.20560832330404749</v>
      </c>
      <c r="T27">
        <v>0.16243861615525659</v>
      </c>
      <c r="U27">
        <v>4.4179867093448619</v>
      </c>
      <c r="V27">
        <v>0.2101483876699779</v>
      </c>
      <c r="W27">
        <v>-2.4213254551047561</v>
      </c>
      <c r="X27">
        <v>0.26995743913156078</v>
      </c>
      <c r="Z27" t="s">
        <v>392</v>
      </c>
      <c r="AA27">
        <v>114</v>
      </c>
      <c r="AB27" t="s">
        <v>3460</v>
      </c>
      <c r="AC27" t="str">
        <f>HYPERLINK("plots/3FT6Y578R04_015_S21P_20251218081014_M5358ACSC201811_RBGEUFRF04/dpll_52046/txpa_53204.png","plot")</f>
        <v>plot</v>
      </c>
    </row>
    <row r="28" spans="1:29" x14ac:dyDescent="0.35">
      <c r="A28" t="s">
        <v>49</v>
      </c>
      <c r="B28">
        <v>52046</v>
      </c>
      <c r="C28" t="s">
        <v>51</v>
      </c>
      <c r="D28">
        <v>53205</v>
      </c>
      <c r="E28" t="s">
        <v>80</v>
      </c>
      <c r="F28">
        <v>12028</v>
      </c>
      <c r="G28">
        <v>0.63253532197188522</v>
      </c>
      <c r="H28">
        <v>0</v>
      </c>
      <c r="I28">
        <v>0</v>
      </c>
      <c r="J28">
        <v>0.54372285823582667</v>
      </c>
      <c r="K28">
        <v>0</v>
      </c>
      <c r="L28">
        <v>0</v>
      </c>
      <c r="M28">
        <v>0.38180204106545579</v>
      </c>
      <c r="N28">
        <v>0</v>
      </c>
      <c r="O28">
        <v>0</v>
      </c>
      <c r="P28">
        <v>0.40010093354207649</v>
      </c>
      <c r="Q28">
        <v>0.79085506774239467</v>
      </c>
      <c r="R28">
        <v>-5.8960361482074886</v>
      </c>
      <c r="S28">
        <v>0.2034975667478805</v>
      </c>
      <c r="T28">
        <v>0.16088841399988521</v>
      </c>
      <c r="U28">
        <v>4.4179867093448619</v>
      </c>
      <c r="V28">
        <v>0.2101483876699779</v>
      </c>
      <c r="W28">
        <v>-2.402048969903559</v>
      </c>
      <c r="X28">
        <v>0.26274725156626522</v>
      </c>
      <c r="Z28" t="s">
        <v>392</v>
      </c>
      <c r="AA28">
        <v>114</v>
      </c>
      <c r="AB28" t="s">
        <v>3461</v>
      </c>
      <c r="AC28" t="str">
        <f>HYPERLINK("plots/3FT6Y578R04_015_S21P_20251218081014_M5358ACSC201811_RBGEUFRF04/dpll_52046/txpa_53205.png","plot")</f>
        <v>plot</v>
      </c>
    </row>
    <row r="29" spans="1:29" x14ac:dyDescent="0.35">
      <c r="A29" t="s">
        <v>49</v>
      </c>
      <c r="B29">
        <v>52046</v>
      </c>
      <c r="C29" t="s">
        <v>51</v>
      </c>
      <c r="D29">
        <v>53206</v>
      </c>
      <c r="E29" t="s">
        <v>81</v>
      </c>
      <c r="F29">
        <v>12027</v>
      </c>
      <c r="G29">
        <v>0.65123883654103576</v>
      </c>
      <c r="H29">
        <v>0</v>
      </c>
      <c r="I29">
        <v>0</v>
      </c>
      <c r="J29">
        <v>0.55854375918328525</v>
      </c>
      <c r="K29">
        <v>0</v>
      </c>
      <c r="L29">
        <v>0</v>
      </c>
      <c r="M29">
        <v>0.39423723020597629</v>
      </c>
      <c r="N29">
        <v>0</v>
      </c>
      <c r="O29">
        <v>0</v>
      </c>
      <c r="P29">
        <v>0.42411202221932193</v>
      </c>
      <c r="Q29">
        <v>0.83218120422123942</v>
      </c>
      <c r="R29">
        <v>-6.0621454570648554</v>
      </c>
      <c r="S29">
        <v>0.2037832736335165</v>
      </c>
      <c r="T29">
        <v>0.1615132899542511</v>
      </c>
      <c r="U29">
        <v>4.417995080651866</v>
      </c>
      <c r="V29">
        <v>0.21015511914181201</v>
      </c>
      <c r="W29">
        <v>-2.3855729906044729</v>
      </c>
      <c r="X29">
        <v>0.26854531748993937</v>
      </c>
      <c r="Z29" t="s">
        <v>392</v>
      </c>
      <c r="AA29">
        <v>114</v>
      </c>
      <c r="AB29" t="s">
        <v>3462</v>
      </c>
      <c r="AC29" t="str">
        <f>HYPERLINK("plots/3FT6Y578R04_015_S21P_20251218081014_M5358ACSC201811_RBGEUFRF04/dpll_52046/txpa_53206.png","plot")</f>
        <v>plot</v>
      </c>
    </row>
    <row r="30" spans="1:29" x14ac:dyDescent="0.35">
      <c r="A30" t="s">
        <v>49</v>
      </c>
      <c r="B30">
        <v>52046</v>
      </c>
      <c r="C30" t="s">
        <v>51</v>
      </c>
      <c r="D30">
        <v>53207</v>
      </c>
      <c r="E30" t="s">
        <v>82</v>
      </c>
      <c r="F30">
        <v>12027</v>
      </c>
      <c r="G30">
        <v>0.65329014386077611</v>
      </c>
      <c r="H30">
        <v>0</v>
      </c>
      <c r="I30">
        <v>0</v>
      </c>
      <c r="J30">
        <v>0.55551211721071281</v>
      </c>
      <c r="K30">
        <v>0</v>
      </c>
      <c r="L30">
        <v>0</v>
      </c>
      <c r="M30">
        <v>0.39051858839344528</v>
      </c>
      <c r="N30">
        <v>0</v>
      </c>
      <c r="O30">
        <v>0</v>
      </c>
      <c r="P30">
        <v>0.42678801206563349</v>
      </c>
      <c r="Q30">
        <v>0.83109095851505399</v>
      </c>
      <c r="R30">
        <v>-6.0653474644588083</v>
      </c>
      <c r="S30">
        <v>0.20238571903244559</v>
      </c>
      <c r="T30">
        <v>0.16119651237197841</v>
      </c>
      <c r="U30">
        <v>4.4179587365926656</v>
      </c>
      <c r="V30">
        <v>0.21013472984942591</v>
      </c>
      <c r="W30">
        <v>-2.393621903384052</v>
      </c>
      <c r="X30">
        <v>0.26732543830491229</v>
      </c>
      <c r="Z30" t="s">
        <v>392</v>
      </c>
      <c r="AA30">
        <v>114</v>
      </c>
      <c r="AB30" t="s">
        <v>3463</v>
      </c>
      <c r="AC30" t="str">
        <f>HYPERLINK("plots/3FT6Y578R04_015_S21P_20251218081014_M5358ACSC201811_RBGEUFRF04/dpll_52046/txpa_53207.png","plot")</f>
        <v>plot</v>
      </c>
    </row>
    <row r="31" spans="1:29" x14ac:dyDescent="0.35">
      <c r="A31" t="s">
        <v>49</v>
      </c>
      <c r="B31">
        <v>52046</v>
      </c>
      <c r="C31" t="s">
        <v>51</v>
      </c>
      <c r="D31">
        <v>53208</v>
      </c>
      <c r="E31" t="s">
        <v>83</v>
      </c>
      <c r="F31">
        <v>12028</v>
      </c>
      <c r="G31">
        <v>0.65933654217085347</v>
      </c>
      <c r="H31">
        <v>0</v>
      </c>
      <c r="I31">
        <v>0</v>
      </c>
      <c r="J31">
        <v>0.57413198389880693</v>
      </c>
      <c r="K31">
        <v>0</v>
      </c>
      <c r="L31">
        <v>0</v>
      </c>
      <c r="M31">
        <v>0.40605268920241011</v>
      </c>
      <c r="N31">
        <v>0</v>
      </c>
      <c r="O31">
        <v>0</v>
      </c>
      <c r="P31">
        <v>0.43472467584181762</v>
      </c>
      <c r="Q31">
        <v>0.83998712807901388</v>
      </c>
      <c r="R31">
        <v>-6.1126767788981198</v>
      </c>
      <c r="S31">
        <v>0.2012813361762481</v>
      </c>
      <c r="T31">
        <v>0.15939073949924851</v>
      </c>
      <c r="U31">
        <v>4.4179867093448619</v>
      </c>
      <c r="V31">
        <v>0.2101483876699779</v>
      </c>
      <c r="W31">
        <v>-2.4016248110242771</v>
      </c>
      <c r="X31">
        <v>0.26772661507300177</v>
      </c>
      <c r="Z31" t="s">
        <v>392</v>
      </c>
      <c r="AA31">
        <v>114</v>
      </c>
      <c r="AB31" t="s">
        <v>3464</v>
      </c>
      <c r="AC31" t="str">
        <f>HYPERLINK("plots/3FT6Y578R04_015_S21P_20251218081014_M5358ACSC201811_RBGEUFRF04/dpll_52046/txpa_53208.png","plot")</f>
        <v>plot</v>
      </c>
    </row>
    <row r="32" spans="1:29" x14ac:dyDescent="0.35">
      <c r="A32" t="s">
        <v>49</v>
      </c>
      <c r="B32">
        <v>52046</v>
      </c>
      <c r="C32" t="s">
        <v>51</v>
      </c>
      <c r="D32">
        <v>53209</v>
      </c>
      <c r="E32" t="s">
        <v>84</v>
      </c>
      <c r="F32">
        <v>12028</v>
      </c>
      <c r="G32">
        <v>0.65634463470049298</v>
      </c>
      <c r="H32">
        <v>0</v>
      </c>
      <c r="I32">
        <v>0</v>
      </c>
      <c r="J32">
        <v>0.56612293857253615</v>
      </c>
      <c r="K32">
        <v>0</v>
      </c>
      <c r="L32">
        <v>0</v>
      </c>
      <c r="M32">
        <v>0.39938257988298798</v>
      </c>
      <c r="N32">
        <v>0</v>
      </c>
      <c r="O32">
        <v>0</v>
      </c>
      <c r="P32">
        <v>0.43078827950012349</v>
      </c>
      <c r="Q32">
        <v>0.82522769783713301</v>
      </c>
      <c r="R32">
        <v>-6.0399807953747011</v>
      </c>
      <c r="S32">
        <v>0.19933647852420491</v>
      </c>
      <c r="T32">
        <v>0.15869533822070661</v>
      </c>
      <c r="U32">
        <v>4.4179867093448619</v>
      </c>
      <c r="V32">
        <v>0.2101483876699779</v>
      </c>
      <c r="W32">
        <v>-2.3941357941469898</v>
      </c>
      <c r="X32">
        <v>0.26422135718412232</v>
      </c>
      <c r="Z32" t="s">
        <v>392</v>
      </c>
      <c r="AA32">
        <v>114</v>
      </c>
      <c r="AB32" t="s">
        <v>3465</v>
      </c>
      <c r="AC32" t="str">
        <f>HYPERLINK("plots/3FT6Y578R04_015_S21P_20251218081014_M5358ACSC201811_RBGEUFRF04/dpll_52046/txpa_53209.png","plot")</f>
        <v>plot</v>
      </c>
    </row>
    <row r="33" spans="1:29" x14ac:dyDescent="0.35">
      <c r="A33" t="s">
        <v>49</v>
      </c>
      <c r="B33">
        <v>52046</v>
      </c>
      <c r="C33" t="s">
        <v>51</v>
      </c>
      <c r="D33">
        <v>53210</v>
      </c>
      <c r="E33" t="s">
        <v>85</v>
      </c>
      <c r="F33">
        <v>12027</v>
      </c>
      <c r="G33">
        <v>0.64282888766156165</v>
      </c>
      <c r="H33">
        <v>0</v>
      </c>
      <c r="I33">
        <v>0</v>
      </c>
      <c r="J33">
        <v>0.55470429456844506</v>
      </c>
      <c r="K33">
        <v>0</v>
      </c>
      <c r="L33">
        <v>0</v>
      </c>
      <c r="M33">
        <v>0.39105646897922869</v>
      </c>
      <c r="N33">
        <v>0</v>
      </c>
      <c r="O33">
        <v>0</v>
      </c>
      <c r="P33">
        <v>0.41322897881220072</v>
      </c>
      <c r="Q33">
        <v>0.81260882267985446</v>
      </c>
      <c r="R33">
        <v>-6.0380181508656063</v>
      </c>
      <c r="S33">
        <v>0.20347643849737909</v>
      </c>
      <c r="T33">
        <v>0.16095016296613299</v>
      </c>
      <c r="U33">
        <v>4.418010118566559</v>
      </c>
      <c r="V33">
        <v>0.21014144114715341</v>
      </c>
      <c r="W33">
        <v>-2.44790414982955</v>
      </c>
      <c r="X33">
        <v>0.26564268091315152</v>
      </c>
      <c r="Z33" t="s">
        <v>392</v>
      </c>
      <c r="AA33">
        <v>114</v>
      </c>
      <c r="AB33" t="s">
        <v>3466</v>
      </c>
      <c r="AC33" t="str">
        <f>HYPERLINK("plots/3FT6Y578R04_015_S21P_20251218081014_M5358ACSC201811_RBGEUFRF04/dpll_52046/txpa_53210.png","plot")</f>
        <v>plot</v>
      </c>
    </row>
    <row r="34" spans="1:29" x14ac:dyDescent="0.35">
      <c r="A34" t="s">
        <v>49</v>
      </c>
      <c r="B34">
        <v>52046</v>
      </c>
      <c r="C34" t="s">
        <v>51</v>
      </c>
      <c r="D34">
        <v>53211</v>
      </c>
      <c r="E34" t="s">
        <v>86</v>
      </c>
      <c r="F34">
        <v>12028</v>
      </c>
      <c r="G34">
        <v>0.67013534597939384</v>
      </c>
      <c r="H34">
        <v>0</v>
      </c>
      <c r="I34">
        <v>0</v>
      </c>
      <c r="J34">
        <v>0.59309278821940503</v>
      </c>
      <c r="K34">
        <v>0</v>
      </c>
      <c r="L34">
        <v>0</v>
      </c>
      <c r="M34">
        <v>0.41994816767553161</v>
      </c>
      <c r="N34">
        <v>0</v>
      </c>
      <c r="O34">
        <v>0</v>
      </c>
      <c r="P34">
        <v>0.4490813819309219</v>
      </c>
      <c r="Q34">
        <v>0.8616798692375095</v>
      </c>
      <c r="R34">
        <v>-2.6646708715424059</v>
      </c>
      <c r="S34">
        <v>0.20055576694530711</v>
      </c>
      <c r="T34">
        <v>0.15798841068869121</v>
      </c>
      <c r="U34">
        <v>4.4179867093448619</v>
      </c>
      <c r="V34">
        <v>0.2101483876699779</v>
      </c>
      <c r="W34">
        <v>1.142219338458929</v>
      </c>
      <c r="X34">
        <v>0.27021501894261851</v>
      </c>
      <c r="Z34" t="s">
        <v>392</v>
      </c>
      <c r="AA34">
        <v>114</v>
      </c>
      <c r="AB34" t="s">
        <v>3467</v>
      </c>
      <c r="AC34" t="str">
        <f>HYPERLINK("plots/3FT6Y578R04_015_S21P_20251218081014_M5358ACSC201811_RBGEUFRF04/dpll_52046/txpa_53211.png","plot")</f>
        <v>plot</v>
      </c>
    </row>
    <row r="35" spans="1:29" x14ac:dyDescent="0.35">
      <c r="A35" t="s">
        <v>49</v>
      </c>
      <c r="B35">
        <v>52046</v>
      </c>
      <c r="C35" t="s">
        <v>51</v>
      </c>
      <c r="D35">
        <v>53212</v>
      </c>
      <c r="E35" t="s">
        <v>87</v>
      </c>
      <c r="F35">
        <v>12028</v>
      </c>
      <c r="G35">
        <v>0.69358408705076391</v>
      </c>
      <c r="H35">
        <v>0</v>
      </c>
      <c r="I35">
        <v>0</v>
      </c>
      <c r="J35">
        <v>0.61315699752625097</v>
      </c>
      <c r="K35">
        <v>0</v>
      </c>
      <c r="L35">
        <v>0</v>
      </c>
      <c r="M35">
        <v>0.43818835787939869</v>
      </c>
      <c r="N35">
        <v>0</v>
      </c>
      <c r="O35">
        <v>0</v>
      </c>
      <c r="P35">
        <v>0.48105888581004158</v>
      </c>
      <c r="Q35">
        <v>0.90058757204918527</v>
      </c>
      <c r="R35">
        <v>-2.799927568957691</v>
      </c>
      <c r="S35">
        <v>0.19655942679523181</v>
      </c>
      <c r="T35">
        <v>0.15548587678213929</v>
      </c>
      <c r="U35">
        <v>4.4179867093448619</v>
      </c>
      <c r="V35">
        <v>0.2101483876699779</v>
      </c>
      <c r="W35">
        <v>1.1788563549567681</v>
      </c>
      <c r="X35">
        <v>0.27286817814190201</v>
      </c>
      <c r="Z35" t="s">
        <v>392</v>
      </c>
      <c r="AA35">
        <v>114</v>
      </c>
      <c r="AB35" t="s">
        <v>3468</v>
      </c>
      <c r="AC35" t="str">
        <f>HYPERLINK("plots/3FT6Y578R04_015_S21P_20251218081014_M5358ACSC201811_RBGEUFRF04/dpll_52046/txpa_53212.png","plot")</f>
        <v>plot</v>
      </c>
    </row>
    <row r="36" spans="1:29" x14ac:dyDescent="0.35">
      <c r="A36" t="s">
        <v>49</v>
      </c>
      <c r="B36">
        <v>52046</v>
      </c>
      <c r="C36" t="s">
        <v>51</v>
      </c>
      <c r="D36">
        <v>53213</v>
      </c>
      <c r="E36" t="s">
        <v>88</v>
      </c>
      <c r="F36">
        <v>12028</v>
      </c>
      <c r="G36">
        <v>0.67987122371750952</v>
      </c>
      <c r="H36">
        <v>0</v>
      </c>
      <c r="I36">
        <v>0</v>
      </c>
      <c r="J36">
        <v>0.59668719230218237</v>
      </c>
      <c r="K36">
        <v>0</v>
      </c>
      <c r="L36">
        <v>0</v>
      </c>
      <c r="M36">
        <v>0.42408332031932777</v>
      </c>
      <c r="N36">
        <v>0</v>
      </c>
      <c r="O36">
        <v>0</v>
      </c>
      <c r="P36">
        <v>0.46222488083914393</v>
      </c>
      <c r="Q36">
        <v>0.8612874004654828</v>
      </c>
      <c r="R36">
        <v>-2.6085274727187708</v>
      </c>
      <c r="S36">
        <v>0.1952224663584953</v>
      </c>
      <c r="T36">
        <v>0.15443987876483159</v>
      </c>
      <c r="U36">
        <v>4.4179867093448619</v>
      </c>
      <c r="V36">
        <v>0.2101483876699779</v>
      </c>
      <c r="W36">
        <v>1.196628815463918</v>
      </c>
      <c r="X36">
        <v>0.26622417924764769</v>
      </c>
      <c r="Z36" t="s">
        <v>392</v>
      </c>
      <c r="AA36">
        <v>114</v>
      </c>
      <c r="AB36" t="s">
        <v>3469</v>
      </c>
      <c r="AC36" t="str">
        <f>HYPERLINK("plots/3FT6Y578R04_015_S21P_20251218081014_M5358ACSC201811_RBGEUFRF04/dpll_52046/txpa_53213.png","plot")</f>
        <v>plot</v>
      </c>
    </row>
    <row r="37" spans="1:29" x14ac:dyDescent="0.35">
      <c r="A37" t="s">
        <v>49</v>
      </c>
      <c r="B37">
        <v>52046</v>
      </c>
      <c r="C37" t="s">
        <v>51</v>
      </c>
      <c r="D37">
        <v>53214</v>
      </c>
      <c r="E37" t="s">
        <v>89</v>
      </c>
      <c r="F37">
        <v>12027</v>
      </c>
      <c r="G37">
        <v>0.69704551721064834</v>
      </c>
      <c r="H37">
        <v>0</v>
      </c>
      <c r="I37">
        <v>0</v>
      </c>
      <c r="J37">
        <v>0.61119210161317183</v>
      </c>
      <c r="K37">
        <v>0</v>
      </c>
      <c r="L37">
        <v>0</v>
      </c>
      <c r="M37">
        <v>0.4368264343934975</v>
      </c>
      <c r="N37">
        <v>0</v>
      </c>
      <c r="O37">
        <v>0</v>
      </c>
      <c r="P37">
        <v>0.48587245306346022</v>
      </c>
      <c r="Q37">
        <v>0.89906669637541792</v>
      </c>
      <c r="R37">
        <v>-2.7659852898646289</v>
      </c>
      <c r="S37">
        <v>0.19435160287954259</v>
      </c>
      <c r="T37">
        <v>0.15396878960408511</v>
      </c>
      <c r="U37">
        <v>4.417995080651866</v>
      </c>
      <c r="V37">
        <v>0.21015511914181201</v>
      </c>
      <c r="W37">
        <v>1.206086951899892</v>
      </c>
      <c r="X37">
        <v>0.27106331513227738</v>
      </c>
      <c r="Z37" t="s">
        <v>392</v>
      </c>
      <c r="AA37">
        <v>114</v>
      </c>
      <c r="AB37" t="s">
        <v>3470</v>
      </c>
      <c r="AC37" t="str">
        <f>HYPERLINK("plots/3FT6Y578R04_015_S21P_20251218081014_M5358ACSC201811_RBGEUFRF04/dpll_52046/txpa_53214.png","plot")</f>
        <v>plot</v>
      </c>
    </row>
    <row r="38" spans="1:29" x14ac:dyDescent="0.35">
      <c r="A38" t="s">
        <v>49</v>
      </c>
      <c r="B38">
        <v>52046</v>
      </c>
      <c r="C38" t="s">
        <v>51</v>
      </c>
      <c r="D38">
        <v>53215</v>
      </c>
      <c r="E38" t="s">
        <v>90</v>
      </c>
      <c r="F38">
        <v>12027</v>
      </c>
      <c r="G38">
        <v>0.69774028892766538</v>
      </c>
      <c r="H38">
        <v>0</v>
      </c>
      <c r="I38">
        <v>0</v>
      </c>
      <c r="J38">
        <v>0.60677539578996542</v>
      </c>
      <c r="K38">
        <v>0</v>
      </c>
      <c r="L38">
        <v>0</v>
      </c>
      <c r="M38">
        <v>0.43176821425612211</v>
      </c>
      <c r="N38">
        <v>0</v>
      </c>
      <c r="O38">
        <v>0</v>
      </c>
      <c r="P38">
        <v>0.48684151079286198</v>
      </c>
      <c r="Q38">
        <v>0.8956397821828187</v>
      </c>
      <c r="R38">
        <v>-2.7598864550169511</v>
      </c>
      <c r="S38">
        <v>0.19321690186127841</v>
      </c>
      <c r="T38">
        <v>0.1539310433527859</v>
      </c>
      <c r="U38">
        <v>4.4179587365926656</v>
      </c>
      <c r="V38">
        <v>0.21013472984942591</v>
      </c>
      <c r="W38">
        <v>1.197013145517585</v>
      </c>
      <c r="X38">
        <v>0.26973506712738549</v>
      </c>
      <c r="Z38" t="s">
        <v>392</v>
      </c>
      <c r="AA38">
        <v>114</v>
      </c>
      <c r="AB38" t="s">
        <v>3471</v>
      </c>
      <c r="AC38" t="str">
        <f>HYPERLINK("plots/3FT6Y578R04_015_S21P_20251218081014_M5358ACSC201811_RBGEUFRF04/dpll_52046/txpa_53215.png","plot")</f>
        <v>plot</v>
      </c>
    </row>
    <row r="39" spans="1:29" x14ac:dyDescent="0.35">
      <c r="A39" t="s">
        <v>49</v>
      </c>
      <c r="B39">
        <v>52046</v>
      </c>
      <c r="C39" t="s">
        <v>51</v>
      </c>
      <c r="D39">
        <v>53216</v>
      </c>
      <c r="E39" t="s">
        <v>91</v>
      </c>
      <c r="F39">
        <v>12028</v>
      </c>
      <c r="G39">
        <v>0.70373696106568273</v>
      </c>
      <c r="H39">
        <v>0</v>
      </c>
      <c r="I39">
        <v>0</v>
      </c>
      <c r="J39">
        <v>0.62525007327184734</v>
      </c>
      <c r="K39">
        <v>0</v>
      </c>
      <c r="L39">
        <v>0</v>
      </c>
      <c r="M39">
        <v>0.44771502151066728</v>
      </c>
      <c r="N39">
        <v>0</v>
      </c>
      <c r="O39">
        <v>0</v>
      </c>
      <c r="P39">
        <v>0.49524571036996218</v>
      </c>
      <c r="Q39">
        <v>0.90818172962297528</v>
      </c>
      <c r="R39">
        <v>-2.815960730609548</v>
      </c>
      <c r="S39">
        <v>0.19266836713645871</v>
      </c>
      <c r="T39">
        <v>0.1525664227806007</v>
      </c>
      <c r="U39">
        <v>4.4179867093448619</v>
      </c>
      <c r="V39">
        <v>0.2101483876699779</v>
      </c>
      <c r="W39">
        <v>1.1963740805345859</v>
      </c>
      <c r="X39">
        <v>0.27119923600799328</v>
      </c>
      <c r="Z39" t="s">
        <v>392</v>
      </c>
      <c r="AA39">
        <v>114</v>
      </c>
      <c r="AB39" t="s">
        <v>3472</v>
      </c>
      <c r="AC39" t="str">
        <f>HYPERLINK("plots/3FT6Y578R04_015_S21P_20251218081014_M5358ACSC201811_RBGEUFRF04/dpll_52046/txpa_53216.png","plot")</f>
        <v>plot</v>
      </c>
    </row>
    <row r="40" spans="1:29" x14ac:dyDescent="0.35">
      <c r="A40" t="s">
        <v>49</v>
      </c>
      <c r="B40">
        <v>52046</v>
      </c>
      <c r="C40" t="s">
        <v>51</v>
      </c>
      <c r="D40">
        <v>53217</v>
      </c>
      <c r="E40" t="s">
        <v>92</v>
      </c>
      <c r="F40">
        <v>12028</v>
      </c>
      <c r="G40">
        <v>0.70086368391270903</v>
      </c>
      <c r="H40">
        <v>0</v>
      </c>
      <c r="I40">
        <v>0</v>
      </c>
      <c r="J40">
        <v>0.61654834793568958</v>
      </c>
      <c r="K40">
        <v>0</v>
      </c>
      <c r="L40">
        <v>0</v>
      </c>
      <c r="M40">
        <v>0.44061050783230971</v>
      </c>
      <c r="N40">
        <v>0</v>
      </c>
      <c r="O40">
        <v>0</v>
      </c>
      <c r="P40">
        <v>0.49120990342769372</v>
      </c>
      <c r="Q40">
        <v>0.89188828111347651</v>
      </c>
      <c r="R40">
        <v>-2.7360277368538668</v>
      </c>
      <c r="S40">
        <v>0.1907454702282107</v>
      </c>
      <c r="T40">
        <v>0.15176897786690111</v>
      </c>
      <c r="U40">
        <v>4.4179867093448619</v>
      </c>
      <c r="V40">
        <v>0.2101483876699779</v>
      </c>
      <c r="W40">
        <v>1.2043228353259059</v>
      </c>
      <c r="X40">
        <v>0.2674255901110279</v>
      </c>
      <c r="Z40" t="s">
        <v>392</v>
      </c>
      <c r="AA40">
        <v>114</v>
      </c>
      <c r="AB40" t="s">
        <v>3473</v>
      </c>
      <c r="AC40" t="str">
        <f>HYPERLINK("plots/3FT6Y578R04_015_S21P_20251218081014_M5358ACSC201811_RBGEUFRF04/dpll_52046/txpa_53217.png","plot")</f>
        <v>plot</v>
      </c>
    </row>
    <row r="41" spans="1:29" x14ac:dyDescent="0.35">
      <c r="A41" t="s">
        <v>49</v>
      </c>
      <c r="B41">
        <v>52046</v>
      </c>
      <c r="C41" t="s">
        <v>51</v>
      </c>
      <c r="D41">
        <v>53218</v>
      </c>
      <c r="E41" t="s">
        <v>93</v>
      </c>
      <c r="F41">
        <v>12027</v>
      </c>
      <c r="G41">
        <v>0.69074523619266526</v>
      </c>
      <c r="H41">
        <v>0</v>
      </c>
      <c r="I41">
        <v>0</v>
      </c>
      <c r="J41">
        <v>0.60746660231814176</v>
      </c>
      <c r="K41">
        <v>0</v>
      </c>
      <c r="L41">
        <v>0</v>
      </c>
      <c r="M41">
        <v>0.4336488579952687</v>
      </c>
      <c r="N41">
        <v>0</v>
      </c>
      <c r="O41">
        <v>0</v>
      </c>
      <c r="P41">
        <v>0.47712898132286091</v>
      </c>
      <c r="Q41">
        <v>0.88327370408028372</v>
      </c>
      <c r="R41">
        <v>-2.7459774843520361</v>
      </c>
      <c r="S41">
        <v>0.19429800382504681</v>
      </c>
      <c r="T41">
        <v>0.15369505075151771</v>
      </c>
      <c r="U41">
        <v>4.418010118566559</v>
      </c>
      <c r="V41">
        <v>0.21014144114715341</v>
      </c>
      <c r="W41">
        <v>1.156334677738422</v>
      </c>
      <c r="X41">
        <v>0.26871326703010878</v>
      </c>
      <c r="Z41" t="s">
        <v>392</v>
      </c>
      <c r="AA41">
        <v>114</v>
      </c>
      <c r="AB41" t="s">
        <v>3474</v>
      </c>
      <c r="AC41" t="str">
        <f>HYPERLINK("plots/3FT6Y578R04_015_S21P_20251218081014_M5358ACSC201811_RBGEUFRF04/dpll_52046/txpa_53218.png","plot")</f>
        <v>plot</v>
      </c>
    </row>
    <row r="42" spans="1:29" x14ac:dyDescent="0.35">
      <c r="A42" t="s">
        <v>49</v>
      </c>
      <c r="B42">
        <v>52046</v>
      </c>
      <c r="C42" t="s">
        <v>51</v>
      </c>
      <c r="D42">
        <v>53219</v>
      </c>
      <c r="E42" t="s">
        <v>94</v>
      </c>
      <c r="F42">
        <v>12028</v>
      </c>
      <c r="G42">
        <v>0.70198490227510812</v>
      </c>
      <c r="H42">
        <v>0</v>
      </c>
      <c r="I42">
        <v>0</v>
      </c>
      <c r="J42">
        <v>0.62513271671072379</v>
      </c>
      <c r="K42">
        <v>0</v>
      </c>
      <c r="L42">
        <v>0</v>
      </c>
      <c r="M42">
        <v>0.44639765725389779</v>
      </c>
      <c r="N42">
        <v>0</v>
      </c>
      <c r="O42">
        <v>0</v>
      </c>
      <c r="P42">
        <v>0.49278280302219313</v>
      </c>
      <c r="Q42">
        <v>0.92232816759389658</v>
      </c>
      <c r="R42">
        <v>-0.90545996411882124</v>
      </c>
      <c r="S42">
        <v>0.19663584698203659</v>
      </c>
      <c r="T42">
        <v>0.1548610389659037</v>
      </c>
      <c r="U42">
        <v>4.4179867093448619</v>
      </c>
      <c r="V42">
        <v>0.2101483876699779</v>
      </c>
      <c r="W42">
        <v>3.1693736219654141</v>
      </c>
      <c r="X42">
        <v>0.27611103414657512</v>
      </c>
      <c r="Z42" t="s">
        <v>392</v>
      </c>
      <c r="AA42">
        <v>114</v>
      </c>
      <c r="AB42" t="s">
        <v>3475</v>
      </c>
      <c r="AC42" t="str">
        <f>HYPERLINK("plots/3FT6Y578R04_015_S21P_20251218081014_M5358ACSC201811_RBGEUFRF04/dpll_52046/txpa_53219.png","plot")</f>
        <v>plot</v>
      </c>
    </row>
    <row r="43" spans="1:29" x14ac:dyDescent="0.35">
      <c r="A43" t="s">
        <v>49</v>
      </c>
      <c r="B43">
        <v>52046</v>
      </c>
      <c r="C43" t="s">
        <v>51</v>
      </c>
      <c r="D43">
        <v>53220</v>
      </c>
      <c r="E43" t="s">
        <v>95</v>
      </c>
      <c r="F43">
        <v>12028</v>
      </c>
      <c r="G43">
        <v>0.7240707101849706</v>
      </c>
      <c r="H43">
        <v>0</v>
      </c>
      <c r="I43">
        <v>0</v>
      </c>
      <c r="J43">
        <v>0.64403523903582927</v>
      </c>
      <c r="K43">
        <v>0</v>
      </c>
      <c r="L43">
        <v>0</v>
      </c>
      <c r="M43">
        <v>0.46419234139908622</v>
      </c>
      <c r="N43">
        <v>0</v>
      </c>
      <c r="O43">
        <v>0</v>
      </c>
      <c r="P43">
        <v>0.52427839334776771</v>
      </c>
      <c r="Q43">
        <v>0.96057930322454665</v>
      </c>
      <c r="R43">
        <v>-1.039469924565285</v>
      </c>
      <c r="S43">
        <v>0.19228114147544989</v>
      </c>
      <c r="T43">
        <v>0.15232754789032549</v>
      </c>
      <c r="U43">
        <v>4.4179867093448619</v>
      </c>
      <c r="V43">
        <v>0.2101483876699779</v>
      </c>
      <c r="W43">
        <v>3.204356670352511</v>
      </c>
      <c r="X43">
        <v>0.27879071610315692</v>
      </c>
      <c r="Z43" t="s">
        <v>392</v>
      </c>
      <c r="AA43">
        <v>114</v>
      </c>
      <c r="AB43" t="s">
        <v>3476</v>
      </c>
      <c r="AC43" t="str">
        <f>HYPERLINK("plots/3FT6Y578R04_015_S21P_20251218081014_M5358ACSC201811_RBGEUFRF04/dpll_52046/txpa_53220.png","plot")</f>
        <v>plot</v>
      </c>
    </row>
    <row r="44" spans="1:29" x14ac:dyDescent="0.35">
      <c r="A44" t="s">
        <v>49</v>
      </c>
      <c r="B44">
        <v>52046</v>
      </c>
      <c r="C44" t="s">
        <v>51</v>
      </c>
      <c r="D44">
        <v>53221</v>
      </c>
      <c r="E44" t="s">
        <v>96</v>
      </c>
      <c r="F44">
        <v>12028</v>
      </c>
      <c r="G44">
        <v>0.71178766735638888</v>
      </c>
      <c r="H44">
        <v>0</v>
      </c>
      <c r="I44">
        <v>0</v>
      </c>
      <c r="J44">
        <v>0.62978583408145361</v>
      </c>
      <c r="K44">
        <v>0</v>
      </c>
      <c r="L44">
        <v>0</v>
      </c>
      <c r="M44">
        <v>0.45155422173707838</v>
      </c>
      <c r="N44">
        <v>0</v>
      </c>
      <c r="O44">
        <v>0</v>
      </c>
      <c r="P44">
        <v>0.5066416834006493</v>
      </c>
      <c r="Q44">
        <v>0.92231846281600183</v>
      </c>
      <c r="R44">
        <v>-0.85255115771099765</v>
      </c>
      <c r="S44">
        <v>0.19125803002328179</v>
      </c>
      <c r="T44">
        <v>0.15121484440782121</v>
      </c>
      <c r="U44">
        <v>4.4179867093448619</v>
      </c>
      <c r="V44">
        <v>0.2101483876699779</v>
      </c>
      <c r="W44">
        <v>3.2222395527934822</v>
      </c>
      <c r="X44">
        <v>0.27230555791856498</v>
      </c>
      <c r="Z44" t="s">
        <v>392</v>
      </c>
      <c r="AA44">
        <v>114</v>
      </c>
      <c r="AB44" t="s">
        <v>3477</v>
      </c>
      <c r="AC44" t="str">
        <f>HYPERLINK("plots/3FT6Y578R04_015_S21P_20251218081014_M5358ACSC201811_RBGEUFRF04/dpll_52046/txpa_53221.png","plot")</f>
        <v>plot</v>
      </c>
    </row>
    <row r="45" spans="1:29" x14ac:dyDescent="0.35">
      <c r="A45" t="s">
        <v>49</v>
      </c>
      <c r="B45">
        <v>52046</v>
      </c>
      <c r="C45" t="s">
        <v>51</v>
      </c>
      <c r="D45">
        <v>53222</v>
      </c>
      <c r="E45" t="s">
        <v>97</v>
      </c>
      <c r="F45">
        <v>12027</v>
      </c>
      <c r="G45">
        <v>0.7271929805607068</v>
      </c>
      <c r="H45">
        <v>0</v>
      </c>
      <c r="I45">
        <v>0</v>
      </c>
      <c r="J45">
        <v>0.64307027030275199</v>
      </c>
      <c r="K45">
        <v>0</v>
      </c>
      <c r="L45">
        <v>0</v>
      </c>
      <c r="M45">
        <v>0.46357198610788269</v>
      </c>
      <c r="N45">
        <v>0</v>
      </c>
      <c r="O45">
        <v>0</v>
      </c>
      <c r="P45">
        <v>0.52880963097676448</v>
      </c>
      <c r="Q45">
        <v>0.95708971214702099</v>
      </c>
      <c r="R45">
        <v>-1.000253979327913</v>
      </c>
      <c r="S45">
        <v>0.18985545941846191</v>
      </c>
      <c r="T45">
        <v>0.15042055238233229</v>
      </c>
      <c r="U45">
        <v>4.417995080651866</v>
      </c>
      <c r="V45">
        <v>0.21015511914181201</v>
      </c>
      <c r="W45">
        <v>3.2281636606801358</v>
      </c>
      <c r="X45">
        <v>0.27659411994127281</v>
      </c>
      <c r="Z45" t="s">
        <v>392</v>
      </c>
      <c r="AA45">
        <v>114</v>
      </c>
      <c r="AB45" t="s">
        <v>3478</v>
      </c>
      <c r="AC45" t="str">
        <f>HYPERLINK("plots/3FT6Y578R04_015_S21P_20251218081014_M5358ACSC201811_RBGEUFRF04/dpll_52046/txpa_53222.png","plot")</f>
        <v>plot</v>
      </c>
    </row>
    <row r="46" spans="1:29" x14ac:dyDescent="0.35">
      <c r="A46" t="s">
        <v>49</v>
      </c>
      <c r="B46">
        <v>52046</v>
      </c>
      <c r="C46" t="s">
        <v>51</v>
      </c>
      <c r="D46">
        <v>53223</v>
      </c>
      <c r="E46" t="s">
        <v>98</v>
      </c>
      <c r="F46">
        <v>12027</v>
      </c>
      <c r="G46">
        <v>0.72845786532759249</v>
      </c>
      <c r="H46">
        <v>0</v>
      </c>
      <c r="I46">
        <v>0</v>
      </c>
      <c r="J46">
        <v>0.63890330075588819</v>
      </c>
      <c r="K46">
        <v>0</v>
      </c>
      <c r="L46">
        <v>0</v>
      </c>
      <c r="M46">
        <v>0.45857378794860693</v>
      </c>
      <c r="N46">
        <v>0</v>
      </c>
      <c r="O46">
        <v>0</v>
      </c>
      <c r="P46">
        <v>0.53065086155763286</v>
      </c>
      <c r="Q46">
        <v>0.95382074967557917</v>
      </c>
      <c r="R46">
        <v>-0.99689681004022201</v>
      </c>
      <c r="S46">
        <v>0.1884907844658969</v>
      </c>
      <c r="T46">
        <v>0.15007591475900051</v>
      </c>
      <c r="U46">
        <v>4.4179587365926656</v>
      </c>
      <c r="V46">
        <v>0.21013472984942591</v>
      </c>
      <c r="W46">
        <v>3.2170439041323688</v>
      </c>
      <c r="X46">
        <v>0.27514407503544408</v>
      </c>
      <c r="Z46" t="s">
        <v>392</v>
      </c>
      <c r="AA46">
        <v>114</v>
      </c>
      <c r="AB46" t="s">
        <v>3479</v>
      </c>
      <c r="AC46" t="str">
        <f>HYPERLINK("plots/3FT6Y578R04_015_S21P_20251218081014_M5358ACSC201811_RBGEUFRF04/dpll_52046/txpa_53223.png","plot")</f>
        <v>plot</v>
      </c>
    </row>
    <row r="47" spans="1:29" x14ac:dyDescent="0.35">
      <c r="A47" t="s">
        <v>49</v>
      </c>
      <c r="B47">
        <v>52046</v>
      </c>
      <c r="C47" t="s">
        <v>51</v>
      </c>
      <c r="D47">
        <v>53224</v>
      </c>
      <c r="E47" t="s">
        <v>99</v>
      </c>
      <c r="F47">
        <v>12028</v>
      </c>
      <c r="G47">
        <v>0.73310593749628961</v>
      </c>
      <c r="H47">
        <v>0</v>
      </c>
      <c r="I47">
        <v>0</v>
      </c>
      <c r="J47">
        <v>0.65670688234095231</v>
      </c>
      <c r="K47">
        <v>0</v>
      </c>
      <c r="L47">
        <v>0</v>
      </c>
      <c r="M47">
        <v>0.47446279972378552</v>
      </c>
      <c r="N47">
        <v>0</v>
      </c>
      <c r="O47">
        <v>0</v>
      </c>
      <c r="P47">
        <v>0.53744431559231365</v>
      </c>
      <c r="Q47">
        <v>0.96828834447372159</v>
      </c>
      <c r="R47">
        <v>-1.05706936518198</v>
      </c>
      <c r="S47">
        <v>0.18876783137824471</v>
      </c>
      <c r="T47">
        <v>0.14946975123586351</v>
      </c>
      <c r="U47">
        <v>4.4179867093448619</v>
      </c>
      <c r="V47">
        <v>0.2101483876699779</v>
      </c>
      <c r="W47">
        <v>3.220815671516462</v>
      </c>
      <c r="X47">
        <v>0.27756457011619101</v>
      </c>
      <c r="Z47" t="s">
        <v>392</v>
      </c>
      <c r="AA47">
        <v>114</v>
      </c>
      <c r="AB47" t="s">
        <v>3480</v>
      </c>
      <c r="AC47" t="str">
        <f>HYPERLINK("plots/3FT6Y578R04_015_S21P_20251218081014_M5358ACSC201811_RBGEUFRF04/dpll_52046/txpa_53224.png","plot")</f>
        <v>plot</v>
      </c>
    </row>
    <row r="48" spans="1:29" x14ac:dyDescent="0.35">
      <c r="A48" t="s">
        <v>49</v>
      </c>
      <c r="B48">
        <v>52046</v>
      </c>
      <c r="C48" t="s">
        <v>51</v>
      </c>
      <c r="D48">
        <v>53225</v>
      </c>
      <c r="E48" t="s">
        <v>100</v>
      </c>
      <c r="F48">
        <v>12028</v>
      </c>
      <c r="G48">
        <v>0.73085546278198121</v>
      </c>
      <c r="H48">
        <v>0</v>
      </c>
      <c r="I48">
        <v>0</v>
      </c>
      <c r="J48">
        <v>0.64782185486112975</v>
      </c>
      <c r="K48">
        <v>0</v>
      </c>
      <c r="L48">
        <v>0</v>
      </c>
      <c r="M48">
        <v>0.46699911483280437</v>
      </c>
      <c r="N48">
        <v>0</v>
      </c>
      <c r="O48">
        <v>0</v>
      </c>
      <c r="P48">
        <v>0.53414970747826396</v>
      </c>
      <c r="Q48">
        <v>0.95242091001017759</v>
      </c>
      <c r="R48">
        <v>-0.97963847941011029</v>
      </c>
      <c r="S48">
        <v>0.1869083133619962</v>
      </c>
      <c r="T48">
        <v>0.14885789993865961</v>
      </c>
      <c r="U48">
        <v>4.4179867093448619</v>
      </c>
      <c r="V48">
        <v>0.2101483876699779</v>
      </c>
      <c r="W48">
        <v>3.2281444427169932</v>
      </c>
      <c r="X48">
        <v>0.27385677307514072</v>
      </c>
      <c r="Z48" t="s">
        <v>392</v>
      </c>
      <c r="AA48">
        <v>114</v>
      </c>
      <c r="AB48" t="s">
        <v>3481</v>
      </c>
      <c r="AC48" t="str">
        <f>HYPERLINK("plots/3FT6Y578R04_015_S21P_20251218081014_M5358ACSC201811_RBGEUFRF04/dpll_52046/txpa_53225.png","plot")</f>
        <v>plot</v>
      </c>
    </row>
    <row r="49" spans="1:29" x14ac:dyDescent="0.35">
      <c r="A49" t="s">
        <v>49</v>
      </c>
      <c r="B49">
        <v>52046</v>
      </c>
      <c r="C49" t="s">
        <v>51</v>
      </c>
      <c r="D49">
        <v>53226</v>
      </c>
      <c r="E49" t="s">
        <v>101</v>
      </c>
      <c r="F49">
        <v>12027</v>
      </c>
      <c r="G49">
        <v>0.72277574224964158</v>
      </c>
      <c r="H49">
        <v>0</v>
      </c>
      <c r="I49">
        <v>0</v>
      </c>
      <c r="J49">
        <v>0.64066760716695004</v>
      </c>
      <c r="K49">
        <v>0</v>
      </c>
      <c r="L49">
        <v>0</v>
      </c>
      <c r="M49">
        <v>0.46151954808496848</v>
      </c>
      <c r="N49">
        <v>0</v>
      </c>
      <c r="O49">
        <v>0</v>
      </c>
      <c r="P49">
        <v>0.52240477358452031</v>
      </c>
      <c r="Q49">
        <v>0.9443582827834226</v>
      </c>
      <c r="R49">
        <v>-0.98908781498225773</v>
      </c>
      <c r="S49">
        <v>0.189739112424821</v>
      </c>
      <c r="T49">
        <v>0.14991540262147501</v>
      </c>
      <c r="U49">
        <v>4.418010118566559</v>
      </c>
      <c r="V49">
        <v>0.21014144114715341</v>
      </c>
      <c r="W49">
        <v>3.1830966339070428</v>
      </c>
      <c r="X49">
        <v>0.27456484619376842</v>
      </c>
      <c r="Z49" t="s">
        <v>392</v>
      </c>
      <c r="AA49">
        <v>114</v>
      </c>
      <c r="AB49" t="s">
        <v>3482</v>
      </c>
      <c r="AC49" t="str">
        <f>HYPERLINK("plots/3FT6Y578R04_015_S21P_20251218081014_M5358ACSC201811_RBGEUFRF04/dpll_52046/txpa_53226.png","plot")</f>
        <v>plot</v>
      </c>
    </row>
    <row r="50" spans="1:29" x14ac:dyDescent="0.35">
      <c r="A50" t="s">
        <v>49</v>
      </c>
      <c r="B50">
        <v>52046</v>
      </c>
      <c r="C50" t="s">
        <v>51</v>
      </c>
      <c r="D50">
        <v>53227</v>
      </c>
      <c r="E50" t="s">
        <v>102</v>
      </c>
      <c r="F50">
        <v>12028</v>
      </c>
      <c r="G50">
        <v>0.73878725550171942</v>
      </c>
      <c r="H50">
        <v>0</v>
      </c>
      <c r="I50">
        <v>0</v>
      </c>
      <c r="J50">
        <v>0.65770184419976563</v>
      </c>
      <c r="K50">
        <v>0</v>
      </c>
      <c r="L50">
        <v>0</v>
      </c>
      <c r="M50">
        <v>0.47404235810457818</v>
      </c>
      <c r="N50">
        <v>0</v>
      </c>
      <c r="O50">
        <v>0</v>
      </c>
      <c r="P50">
        <v>0.5458066088917628</v>
      </c>
      <c r="Q50">
        <v>1.0122546349309229</v>
      </c>
      <c r="R50">
        <v>1.155306884200916</v>
      </c>
      <c r="S50">
        <v>0.1940433627771741</v>
      </c>
      <c r="T50">
        <v>0.1525517273095543</v>
      </c>
      <c r="U50">
        <v>4.4179867093448619</v>
      </c>
      <c r="V50">
        <v>0.2101483876699779</v>
      </c>
      <c r="W50">
        <v>5.6274344077984706</v>
      </c>
      <c r="X50">
        <v>0.28793631435579159</v>
      </c>
      <c r="Z50" t="s">
        <v>392</v>
      </c>
      <c r="AA50">
        <v>114</v>
      </c>
      <c r="AB50" t="s">
        <v>3483</v>
      </c>
      <c r="AC50" t="str">
        <f>HYPERLINK("plots/3FT6Y578R04_015_S21P_20251218081014_M5358ACSC201811_RBGEUFRF04/dpll_52046/txpa_53227.png","plot")</f>
        <v>plot</v>
      </c>
    </row>
    <row r="51" spans="1:29" x14ac:dyDescent="0.35">
      <c r="A51" t="s">
        <v>49</v>
      </c>
      <c r="B51">
        <v>52046</v>
      </c>
      <c r="C51" t="s">
        <v>51</v>
      </c>
      <c r="D51">
        <v>53228</v>
      </c>
      <c r="E51" t="s">
        <v>103</v>
      </c>
      <c r="F51">
        <v>12028</v>
      </c>
      <c r="G51">
        <v>0.75810482214137609</v>
      </c>
      <c r="H51">
        <v>0</v>
      </c>
      <c r="I51">
        <v>0</v>
      </c>
      <c r="J51">
        <v>0.67447224831607056</v>
      </c>
      <c r="K51">
        <v>0</v>
      </c>
      <c r="L51">
        <v>0</v>
      </c>
      <c r="M51">
        <v>0.4906235507524867</v>
      </c>
      <c r="N51">
        <v>0</v>
      </c>
      <c r="O51">
        <v>0</v>
      </c>
      <c r="P51">
        <v>0.57472292135400749</v>
      </c>
      <c r="Q51">
        <v>1.049012257520854</v>
      </c>
      <c r="R51">
        <v>1.0271797352901151</v>
      </c>
      <c r="S51">
        <v>0.18962487164792441</v>
      </c>
      <c r="T51">
        <v>0.15017144763433801</v>
      </c>
      <c r="U51">
        <v>4.4179867093448619</v>
      </c>
      <c r="V51">
        <v>0.2101483876699779</v>
      </c>
      <c r="W51">
        <v>5.6617019469570993</v>
      </c>
      <c r="X51">
        <v>0.29078859298291171</v>
      </c>
      <c r="Z51" t="s">
        <v>392</v>
      </c>
      <c r="AA51">
        <v>114</v>
      </c>
      <c r="AB51" t="s">
        <v>3484</v>
      </c>
      <c r="AC51" t="str">
        <f>HYPERLINK("plots/3FT6Y578R04_015_S21P_20251218081014_M5358ACSC201811_RBGEUFRF04/dpll_52046/txpa_53228.png","plot")</f>
        <v>plot</v>
      </c>
    </row>
    <row r="52" spans="1:29" x14ac:dyDescent="0.35">
      <c r="A52" t="s">
        <v>49</v>
      </c>
      <c r="B52">
        <v>52046</v>
      </c>
      <c r="C52" t="s">
        <v>51</v>
      </c>
      <c r="D52">
        <v>53229</v>
      </c>
      <c r="E52" t="s">
        <v>104</v>
      </c>
      <c r="F52">
        <v>12028</v>
      </c>
      <c r="G52">
        <v>0.74762646854825388</v>
      </c>
      <c r="H52">
        <v>0</v>
      </c>
      <c r="I52">
        <v>0</v>
      </c>
      <c r="J52">
        <v>0.66152913970047122</v>
      </c>
      <c r="K52">
        <v>0</v>
      </c>
      <c r="L52">
        <v>0</v>
      </c>
      <c r="M52">
        <v>0.47876295693347709</v>
      </c>
      <c r="N52">
        <v>0</v>
      </c>
      <c r="O52">
        <v>0</v>
      </c>
      <c r="P52">
        <v>0.55894533647393319</v>
      </c>
      <c r="Q52">
        <v>1.0115592434013581</v>
      </c>
      <c r="R52">
        <v>1.210458932411751</v>
      </c>
      <c r="S52">
        <v>0.18882559929625481</v>
      </c>
      <c r="T52">
        <v>0.14905356735580799</v>
      </c>
      <c r="U52">
        <v>4.4179867093448619</v>
      </c>
      <c r="V52">
        <v>0.2101483876699779</v>
      </c>
      <c r="W52">
        <v>5.679514225473894</v>
      </c>
      <c r="X52">
        <v>0.28433656775989041</v>
      </c>
      <c r="Z52" t="s">
        <v>392</v>
      </c>
      <c r="AA52">
        <v>114</v>
      </c>
      <c r="AB52" t="s">
        <v>3485</v>
      </c>
      <c r="AC52" t="str">
        <f>HYPERLINK("plots/3FT6Y578R04_015_S21P_20251218081014_M5358ACSC201811_RBGEUFRF04/dpll_52046/txpa_53229.png","plot")</f>
        <v>plot</v>
      </c>
    </row>
    <row r="53" spans="1:29" x14ac:dyDescent="0.35">
      <c r="A53" t="s">
        <v>49</v>
      </c>
      <c r="B53">
        <v>52046</v>
      </c>
      <c r="C53" t="s">
        <v>51</v>
      </c>
      <c r="D53">
        <v>53230</v>
      </c>
      <c r="E53" t="s">
        <v>105</v>
      </c>
      <c r="F53">
        <v>12027</v>
      </c>
      <c r="G53">
        <v>0.7618917443665093</v>
      </c>
      <c r="H53">
        <v>0</v>
      </c>
      <c r="I53">
        <v>0</v>
      </c>
      <c r="J53">
        <v>0.67471930843416317</v>
      </c>
      <c r="K53">
        <v>0</v>
      </c>
      <c r="L53">
        <v>0</v>
      </c>
      <c r="M53">
        <v>0.4911004821936184</v>
      </c>
      <c r="N53">
        <v>0</v>
      </c>
      <c r="O53">
        <v>0</v>
      </c>
      <c r="P53">
        <v>0.58047903013384239</v>
      </c>
      <c r="Q53">
        <v>1.046007632695952</v>
      </c>
      <c r="R53">
        <v>1.0614788409045699</v>
      </c>
      <c r="S53">
        <v>0.18687032484516511</v>
      </c>
      <c r="T53">
        <v>0.14789732456255639</v>
      </c>
      <c r="U53">
        <v>4.417995080651866</v>
      </c>
      <c r="V53">
        <v>0.21015511914181201</v>
      </c>
      <c r="W53">
        <v>5.6827354164795878</v>
      </c>
      <c r="X53">
        <v>0.28852374408550591</v>
      </c>
      <c r="Z53" t="s">
        <v>392</v>
      </c>
      <c r="AA53">
        <v>114</v>
      </c>
      <c r="AB53" t="s">
        <v>3486</v>
      </c>
      <c r="AC53" t="str">
        <f>HYPERLINK("plots/3FT6Y578R04_015_S21P_20251218081014_M5358ACSC201811_RBGEUFRF04/dpll_52046/txpa_53230.png","plot")</f>
        <v>plot</v>
      </c>
    </row>
    <row r="54" spans="1:29" x14ac:dyDescent="0.35">
      <c r="A54" t="s">
        <v>49</v>
      </c>
      <c r="B54">
        <v>52046</v>
      </c>
      <c r="C54" t="s">
        <v>51</v>
      </c>
      <c r="D54">
        <v>53231</v>
      </c>
      <c r="E54" t="s">
        <v>106</v>
      </c>
      <c r="F54">
        <v>12027</v>
      </c>
      <c r="G54">
        <v>0.76322417672056619</v>
      </c>
      <c r="H54">
        <v>0</v>
      </c>
      <c r="I54">
        <v>0</v>
      </c>
      <c r="J54">
        <v>0.67133771998270786</v>
      </c>
      <c r="K54">
        <v>0</v>
      </c>
      <c r="L54">
        <v>0</v>
      </c>
      <c r="M54">
        <v>0.48665442803925668</v>
      </c>
      <c r="N54">
        <v>0</v>
      </c>
      <c r="O54">
        <v>0</v>
      </c>
      <c r="P54">
        <v>0.58251114393078607</v>
      </c>
      <c r="Q54">
        <v>1.0429196167404029</v>
      </c>
      <c r="R54">
        <v>1.0623616012655781</v>
      </c>
      <c r="S54">
        <v>0.18552435965694181</v>
      </c>
      <c r="T54">
        <v>0.1475229350296684</v>
      </c>
      <c r="U54">
        <v>4.4179587365926656</v>
      </c>
      <c r="V54">
        <v>0.21013472984942591</v>
      </c>
      <c r="W54">
        <v>5.669937433607716</v>
      </c>
      <c r="X54">
        <v>0.28714188911058097</v>
      </c>
      <c r="Z54" t="s">
        <v>392</v>
      </c>
      <c r="AA54">
        <v>114</v>
      </c>
      <c r="AB54" t="s">
        <v>3487</v>
      </c>
      <c r="AC54" t="str">
        <f>HYPERLINK("plots/3FT6Y578R04_015_S21P_20251218081014_M5358ACSC201811_RBGEUFRF04/dpll_52046/txpa_53231.png","plot")</f>
        <v>plot</v>
      </c>
    </row>
    <row r="55" spans="1:29" x14ac:dyDescent="0.35">
      <c r="A55" t="s">
        <v>49</v>
      </c>
      <c r="B55">
        <v>52046</v>
      </c>
      <c r="C55" t="s">
        <v>51</v>
      </c>
      <c r="D55">
        <v>53232</v>
      </c>
      <c r="E55" t="s">
        <v>107</v>
      </c>
      <c r="F55">
        <v>12027</v>
      </c>
      <c r="G55">
        <v>0.76813313496024027</v>
      </c>
      <c r="H55">
        <v>0</v>
      </c>
      <c r="I55">
        <v>0</v>
      </c>
      <c r="J55">
        <v>0.68708414054188194</v>
      </c>
      <c r="K55">
        <v>0</v>
      </c>
      <c r="L55">
        <v>0</v>
      </c>
      <c r="M55">
        <v>0.50116609072247809</v>
      </c>
      <c r="N55">
        <v>0</v>
      </c>
      <c r="O55">
        <v>0</v>
      </c>
      <c r="P55">
        <v>0.59002851302384673</v>
      </c>
      <c r="Q55">
        <v>1.0584911920962341</v>
      </c>
      <c r="R55">
        <v>1.001096585424921</v>
      </c>
      <c r="S55">
        <v>0.18539256767033099</v>
      </c>
      <c r="T55">
        <v>0.14719706214293349</v>
      </c>
      <c r="U55">
        <v>4.417954512264072</v>
      </c>
      <c r="V55">
        <v>0.21012745463637059</v>
      </c>
      <c r="W55">
        <v>5.6774625237382548</v>
      </c>
      <c r="X55">
        <v>0.28955665343314713</v>
      </c>
      <c r="Z55" t="s">
        <v>392</v>
      </c>
      <c r="AA55">
        <v>114</v>
      </c>
      <c r="AB55" t="s">
        <v>3488</v>
      </c>
      <c r="AC55" t="str">
        <f>HYPERLINK("plots/3FT6Y578R04_015_S21P_20251218081014_M5358ACSC201811_RBGEUFRF04/dpll_52046/txpa_53232.png","plot")</f>
        <v>plot</v>
      </c>
    </row>
    <row r="56" spans="1:29" x14ac:dyDescent="0.35">
      <c r="A56" t="s">
        <v>49</v>
      </c>
      <c r="B56">
        <v>52046</v>
      </c>
      <c r="C56" t="s">
        <v>51</v>
      </c>
      <c r="D56">
        <v>53233</v>
      </c>
      <c r="E56" t="s">
        <v>108</v>
      </c>
      <c r="F56">
        <v>12028</v>
      </c>
      <c r="G56">
        <v>0.76500301652137992</v>
      </c>
      <c r="H56">
        <v>0</v>
      </c>
      <c r="I56">
        <v>0</v>
      </c>
      <c r="J56">
        <v>0.67834605975061724</v>
      </c>
      <c r="K56">
        <v>0</v>
      </c>
      <c r="L56">
        <v>0</v>
      </c>
      <c r="M56">
        <v>0.49383220428632912</v>
      </c>
      <c r="N56">
        <v>0</v>
      </c>
      <c r="O56">
        <v>0</v>
      </c>
      <c r="P56">
        <v>0.58522961528681072</v>
      </c>
      <c r="Q56">
        <v>1.041678031155447</v>
      </c>
      <c r="R56">
        <v>1.082474564993916</v>
      </c>
      <c r="S56">
        <v>0.18428171071256641</v>
      </c>
      <c r="T56">
        <v>0.14656546717820809</v>
      </c>
      <c r="U56">
        <v>4.4179867093448619</v>
      </c>
      <c r="V56">
        <v>0.2101483876699779</v>
      </c>
      <c r="W56">
        <v>5.6845942620552048</v>
      </c>
      <c r="X56">
        <v>0.28615175887013827</v>
      </c>
      <c r="Z56" t="s">
        <v>392</v>
      </c>
      <c r="AA56">
        <v>114</v>
      </c>
      <c r="AB56" t="s">
        <v>3489</v>
      </c>
      <c r="AC56" t="str">
        <f>HYPERLINK("plots/3FT6Y578R04_015_S21P_20251218081014_M5358ACSC201811_RBGEUFRF04/dpll_52046/txpa_53233.png","plot")</f>
        <v>plot</v>
      </c>
    </row>
    <row r="57" spans="1:29" x14ac:dyDescent="0.35">
      <c r="A57" t="s">
        <v>49</v>
      </c>
      <c r="B57">
        <v>52046</v>
      </c>
      <c r="C57" t="s">
        <v>51</v>
      </c>
      <c r="D57">
        <v>53234</v>
      </c>
      <c r="E57" t="s">
        <v>109</v>
      </c>
      <c r="F57">
        <v>12027</v>
      </c>
      <c r="G57">
        <v>0.75842577790468546</v>
      </c>
      <c r="H57">
        <v>0</v>
      </c>
      <c r="I57">
        <v>0</v>
      </c>
      <c r="J57">
        <v>0.67248187593561903</v>
      </c>
      <c r="K57">
        <v>0</v>
      </c>
      <c r="L57">
        <v>0</v>
      </c>
      <c r="M57">
        <v>0.48916482376380888</v>
      </c>
      <c r="N57">
        <v>0</v>
      </c>
      <c r="O57">
        <v>0</v>
      </c>
      <c r="P57">
        <v>0.5752096605903273</v>
      </c>
      <c r="Q57">
        <v>1.0346807809994101</v>
      </c>
      <c r="R57">
        <v>1.0708471879421819</v>
      </c>
      <c r="S57">
        <v>0.18684189477809429</v>
      </c>
      <c r="T57">
        <v>0.14752195314563621</v>
      </c>
      <c r="U57">
        <v>4.418010118566559</v>
      </c>
      <c r="V57">
        <v>0.21014144114715341</v>
      </c>
      <c r="W57">
        <v>5.6420773478839266</v>
      </c>
      <c r="X57">
        <v>0.28668502150226721</v>
      </c>
      <c r="Z57" t="s">
        <v>392</v>
      </c>
      <c r="AA57">
        <v>114</v>
      </c>
      <c r="AB57" t="s">
        <v>3490</v>
      </c>
      <c r="AC57" t="str">
        <f>HYPERLINK("plots/3FT6Y578R04_015_S21P_20251218081014_M5358ACSC201811_RBGEUFRF04/dpll_52046/txpa_53234.png","plot")</f>
        <v>plot</v>
      </c>
    </row>
    <row r="58" spans="1:29" x14ac:dyDescent="0.35">
      <c r="A58" t="s">
        <v>49</v>
      </c>
      <c r="B58">
        <v>52046</v>
      </c>
      <c r="C58" t="s">
        <v>51</v>
      </c>
      <c r="D58">
        <v>53235</v>
      </c>
      <c r="E58" t="s">
        <v>110</v>
      </c>
      <c r="F58">
        <v>12028</v>
      </c>
      <c r="G58">
        <v>0.7521942656866164</v>
      </c>
      <c r="H58">
        <v>0</v>
      </c>
      <c r="I58">
        <v>0</v>
      </c>
      <c r="J58">
        <v>0.66802431412036567</v>
      </c>
      <c r="K58">
        <v>0</v>
      </c>
      <c r="L58">
        <v>0</v>
      </c>
      <c r="M58">
        <v>0.48296532216618349</v>
      </c>
      <c r="N58">
        <v>0</v>
      </c>
      <c r="O58">
        <v>0</v>
      </c>
      <c r="P58">
        <v>0.56579621333182806</v>
      </c>
      <c r="Q58">
        <v>1.0578208042795141</v>
      </c>
      <c r="R58">
        <v>2.045571961155511</v>
      </c>
      <c r="S58">
        <v>0.19473180847947069</v>
      </c>
      <c r="T58">
        <v>0.15272301104424599</v>
      </c>
      <c r="U58">
        <v>4.4179867093448619</v>
      </c>
      <c r="V58">
        <v>0.2101483876699779</v>
      </c>
      <c r="W58">
        <v>6.7190102153308953</v>
      </c>
      <c r="X58">
        <v>0.29553447374419989</v>
      </c>
      <c r="Z58" t="s">
        <v>392</v>
      </c>
      <c r="AA58">
        <v>114</v>
      </c>
      <c r="AB58" t="s">
        <v>3491</v>
      </c>
      <c r="AC58" t="str">
        <f>HYPERLINK("plots/3FT6Y578R04_015_S21P_20251218081014_M5358ACSC201811_RBGEUFRF04/dpll_52046/txpa_53235.png","plot")</f>
        <v>plot</v>
      </c>
    </row>
    <row r="59" spans="1:29" x14ac:dyDescent="0.35">
      <c r="A59" t="s">
        <v>49</v>
      </c>
      <c r="B59">
        <v>52046</v>
      </c>
      <c r="C59" t="s">
        <v>51</v>
      </c>
      <c r="D59">
        <v>53236</v>
      </c>
      <c r="E59" t="s">
        <v>111</v>
      </c>
      <c r="F59">
        <v>12028</v>
      </c>
      <c r="G59">
        <v>0.77066179975614568</v>
      </c>
      <c r="H59">
        <v>0</v>
      </c>
      <c r="I59">
        <v>0</v>
      </c>
      <c r="J59">
        <v>0.68426715307114772</v>
      </c>
      <c r="K59">
        <v>0</v>
      </c>
      <c r="L59">
        <v>0</v>
      </c>
      <c r="M59">
        <v>0.4992830214683468</v>
      </c>
      <c r="N59">
        <v>0</v>
      </c>
      <c r="O59">
        <v>0</v>
      </c>
      <c r="P59">
        <v>0.59391960960338164</v>
      </c>
      <c r="Q59">
        <v>1.0947509917668281</v>
      </c>
      <c r="R59">
        <v>1.916238329123535</v>
      </c>
      <c r="S59">
        <v>0.19022409735437781</v>
      </c>
      <c r="T59">
        <v>0.1504349776259544</v>
      </c>
      <c r="U59">
        <v>4.4179867093448619</v>
      </c>
      <c r="V59">
        <v>0.2101483876699779</v>
      </c>
      <c r="W59">
        <v>6.7528336607914872</v>
      </c>
      <c r="X59">
        <v>0.29852284866423168</v>
      </c>
      <c r="Z59" t="s">
        <v>392</v>
      </c>
      <c r="AA59">
        <v>114</v>
      </c>
      <c r="AB59" t="s">
        <v>3492</v>
      </c>
      <c r="AC59" t="str">
        <f>HYPERLINK("plots/3FT6Y578R04_015_S21P_20251218081014_M5358ACSC201811_RBGEUFRF04/dpll_52046/txpa_53236.png","plot")</f>
        <v>plot</v>
      </c>
    </row>
    <row r="60" spans="1:29" x14ac:dyDescent="0.35">
      <c r="A60" t="s">
        <v>49</v>
      </c>
      <c r="B60">
        <v>52046</v>
      </c>
      <c r="C60" t="s">
        <v>51</v>
      </c>
      <c r="D60">
        <v>53237</v>
      </c>
      <c r="E60" t="s">
        <v>112</v>
      </c>
      <c r="F60">
        <v>12028</v>
      </c>
      <c r="G60">
        <v>0.76108291559693764</v>
      </c>
      <c r="H60">
        <v>0</v>
      </c>
      <c r="I60">
        <v>0</v>
      </c>
      <c r="J60">
        <v>0.67169019567745858</v>
      </c>
      <c r="K60">
        <v>0</v>
      </c>
      <c r="L60">
        <v>0</v>
      </c>
      <c r="M60">
        <v>0.48761398692168451</v>
      </c>
      <c r="N60">
        <v>0</v>
      </c>
      <c r="O60">
        <v>0</v>
      </c>
      <c r="P60">
        <v>0.57924720441353528</v>
      </c>
      <c r="Q60">
        <v>1.05746703079171</v>
      </c>
      <c r="R60">
        <v>2.0990020586672071</v>
      </c>
      <c r="S60">
        <v>0.1893897086651451</v>
      </c>
      <c r="T60">
        <v>0.14931884783512439</v>
      </c>
      <c r="U60">
        <v>4.4179867093448619</v>
      </c>
      <c r="V60">
        <v>0.2101483876699779</v>
      </c>
      <c r="W60">
        <v>6.7708773462753573</v>
      </c>
      <c r="X60">
        <v>0.2919852580855003</v>
      </c>
      <c r="Z60" t="s">
        <v>392</v>
      </c>
      <c r="AA60">
        <v>114</v>
      </c>
      <c r="AB60" t="s">
        <v>3493</v>
      </c>
      <c r="AC60" t="str">
        <f>HYPERLINK("plots/3FT6Y578R04_015_S21P_20251218081014_M5358ACSC201811_RBGEUFRF04/dpll_52046/txpa_53237.png","plot")</f>
        <v>plot</v>
      </c>
    </row>
    <row r="61" spans="1:29" x14ac:dyDescent="0.35">
      <c r="A61" t="s">
        <v>49</v>
      </c>
      <c r="B61">
        <v>52046</v>
      </c>
      <c r="C61" t="s">
        <v>51</v>
      </c>
      <c r="D61">
        <v>53238</v>
      </c>
      <c r="E61" t="s">
        <v>113</v>
      </c>
      <c r="F61">
        <v>12027</v>
      </c>
      <c r="G61">
        <v>0.77454146958175007</v>
      </c>
      <c r="H61">
        <v>0</v>
      </c>
      <c r="I61">
        <v>0</v>
      </c>
      <c r="J61">
        <v>0.6847704916770847</v>
      </c>
      <c r="K61">
        <v>0</v>
      </c>
      <c r="L61">
        <v>0</v>
      </c>
      <c r="M61">
        <v>0.49998997477372897</v>
      </c>
      <c r="N61">
        <v>0</v>
      </c>
      <c r="O61">
        <v>0</v>
      </c>
      <c r="P61">
        <v>0.5999144881018571</v>
      </c>
      <c r="Q61">
        <v>1.0922753636505751</v>
      </c>
      <c r="R61">
        <v>1.9476988511802289</v>
      </c>
      <c r="S61">
        <v>0.18745015033894169</v>
      </c>
      <c r="T61">
        <v>0.1482254119345125</v>
      </c>
      <c r="U61">
        <v>4.417995080651866</v>
      </c>
      <c r="V61">
        <v>0.21015511914181201</v>
      </c>
      <c r="W61">
        <v>6.7733660345056963</v>
      </c>
      <c r="X61">
        <v>0.29636535705132389</v>
      </c>
      <c r="Z61" t="s">
        <v>392</v>
      </c>
      <c r="AA61">
        <v>114</v>
      </c>
      <c r="AB61" t="s">
        <v>3494</v>
      </c>
      <c r="AC61" t="str">
        <f>HYPERLINK("plots/3FT6Y578R04_015_S21P_20251218081014_M5358ACSC201811_RBGEUFRF04/dpll_52046/txpa_53238.png","plot")</f>
        <v>plot</v>
      </c>
    </row>
    <row r="62" spans="1:29" x14ac:dyDescent="0.35">
      <c r="A62" t="s">
        <v>49</v>
      </c>
      <c r="B62">
        <v>52046</v>
      </c>
      <c r="C62" t="s">
        <v>51</v>
      </c>
      <c r="D62">
        <v>53239</v>
      </c>
      <c r="E62" t="s">
        <v>114</v>
      </c>
      <c r="F62">
        <v>12027</v>
      </c>
      <c r="G62">
        <v>0.77602783049485258</v>
      </c>
      <c r="H62">
        <v>0</v>
      </c>
      <c r="I62">
        <v>0</v>
      </c>
      <c r="J62">
        <v>0.68140294795746004</v>
      </c>
      <c r="K62">
        <v>0</v>
      </c>
      <c r="L62">
        <v>0</v>
      </c>
      <c r="M62">
        <v>0.49552090781419111</v>
      </c>
      <c r="N62">
        <v>0</v>
      </c>
      <c r="O62">
        <v>0</v>
      </c>
      <c r="P62">
        <v>0.60221919370254762</v>
      </c>
      <c r="Q62">
        <v>1.088761903989705</v>
      </c>
      <c r="R62">
        <v>1.949569824305011</v>
      </c>
      <c r="S62">
        <v>0.18593335765508159</v>
      </c>
      <c r="T62">
        <v>0.14770412495549071</v>
      </c>
      <c r="U62">
        <v>4.4179587365926656</v>
      </c>
      <c r="V62">
        <v>0.21013472984942591</v>
      </c>
      <c r="W62">
        <v>6.7596749901055952</v>
      </c>
      <c r="X62">
        <v>0.29481763356261581</v>
      </c>
      <c r="Z62" t="s">
        <v>392</v>
      </c>
      <c r="AA62">
        <v>114</v>
      </c>
      <c r="AB62" t="s">
        <v>3495</v>
      </c>
      <c r="AC62" t="str">
        <f>HYPERLINK("plots/3FT6Y578R04_015_S21P_20251218081014_M5358ACSC201811_RBGEUFRF04/dpll_52046/txpa_53239.png","plot")</f>
        <v>plot</v>
      </c>
    </row>
    <row r="63" spans="1:29" x14ac:dyDescent="0.35">
      <c r="A63" t="s">
        <v>49</v>
      </c>
      <c r="B63">
        <v>52046</v>
      </c>
      <c r="C63" t="s">
        <v>51</v>
      </c>
      <c r="D63">
        <v>53240</v>
      </c>
      <c r="E63" t="s">
        <v>115</v>
      </c>
      <c r="F63">
        <v>12027</v>
      </c>
      <c r="G63">
        <v>0.78059204205704069</v>
      </c>
      <c r="H63">
        <v>0</v>
      </c>
      <c r="I63">
        <v>0</v>
      </c>
      <c r="J63">
        <v>0.69670970889585138</v>
      </c>
      <c r="K63">
        <v>0</v>
      </c>
      <c r="L63">
        <v>0</v>
      </c>
      <c r="M63">
        <v>0.50985173657020844</v>
      </c>
      <c r="N63">
        <v>0</v>
      </c>
      <c r="O63">
        <v>0</v>
      </c>
      <c r="P63">
        <v>0.6093239361227808</v>
      </c>
      <c r="Q63">
        <v>1.104432081371332</v>
      </c>
      <c r="R63">
        <v>1.8887897369723581</v>
      </c>
      <c r="S63">
        <v>0.18581811057420769</v>
      </c>
      <c r="T63">
        <v>0.14735680512260921</v>
      </c>
      <c r="U63">
        <v>4.417954512264072</v>
      </c>
      <c r="V63">
        <v>0.21012745463637059</v>
      </c>
      <c r="W63">
        <v>6.7681204343560326</v>
      </c>
      <c r="X63">
        <v>0.29730190621178337</v>
      </c>
      <c r="Z63" t="s">
        <v>392</v>
      </c>
      <c r="AA63">
        <v>114</v>
      </c>
      <c r="AB63" t="s">
        <v>3496</v>
      </c>
      <c r="AC63" t="str">
        <f>HYPERLINK("plots/3FT6Y578R04_015_S21P_20251218081014_M5358ACSC201811_RBGEUFRF04/dpll_52046/txpa_53240.png","plot")</f>
        <v>plot</v>
      </c>
    </row>
    <row r="64" spans="1:29" x14ac:dyDescent="0.35">
      <c r="A64" t="s">
        <v>49</v>
      </c>
      <c r="B64">
        <v>52046</v>
      </c>
      <c r="C64" t="s">
        <v>51</v>
      </c>
      <c r="D64">
        <v>53241</v>
      </c>
      <c r="E64" t="s">
        <v>116</v>
      </c>
      <c r="F64">
        <v>12028</v>
      </c>
      <c r="G64">
        <v>0.77751355849090908</v>
      </c>
      <c r="H64">
        <v>0</v>
      </c>
      <c r="I64">
        <v>0</v>
      </c>
      <c r="J64">
        <v>0.6878829437608267</v>
      </c>
      <c r="K64">
        <v>0</v>
      </c>
      <c r="L64">
        <v>0</v>
      </c>
      <c r="M64">
        <v>0.50230786031073138</v>
      </c>
      <c r="N64">
        <v>0</v>
      </c>
      <c r="O64">
        <v>0</v>
      </c>
      <c r="P64">
        <v>0.60452733363719635</v>
      </c>
      <c r="Q64">
        <v>1.087582429083888</v>
      </c>
      <c r="R64">
        <v>1.9701538410216439</v>
      </c>
      <c r="S64">
        <v>0.18485042588602291</v>
      </c>
      <c r="T64">
        <v>0.146870987940386</v>
      </c>
      <c r="U64">
        <v>4.4179867093448619</v>
      </c>
      <c r="V64">
        <v>0.2101483876699779</v>
      </c>
      <c r="W64">
        <v>6.77507855803126</v>
      </c>
      <c r="X64">
        <v>0.29395460880937091</v>
      </c>
      <c r="Z64" t="s">
        <v>392</v>
      </c>
      <c r="AA64">
        <v>114</v>
      </c>
      <c r="AB64" t="s">
        <v>3497</v>
      </c>
      <c r="AC64" t="str">
        <f>HYPERLINK("plots/3FT6Y578R04_015_S21P_20251218081014_M5358ACSC201811_RBGEUFRF04/dpll_52046/txpa_53241.png","plot")</f>
        <v>plot</v>
      </c>
    </row>
    <row r="65" spans="1:29" x14ac:dyDescent="0.35">
      <c r="A65" t="s">
        <v>49</v>
      </c>
      <c r="B65">
        <v>52046</v>
      </c>
      <c r="C65" t="s">
        <v>51</v>
      </c>
      <c r="D65">
        <v>53242</v>
      </c>
      <c r="E65" t="s">
        <v>117</v>
      </c>
      <c r="F65">
        <v>12027</v>
      </c>
      <c r="G65">
        <v>0.77146708719801427</v>
      </c>
      <c r="H65">
        <v>0</v>
      </c>
      <c r="I65">
        <v>0</v>
      </c>
      <c r="J65">
        <v>0.68247051785048851</v>
      </c>
      <c r="K65">
        <v>0</v>
      </c>
      <c r="L65">
        <v>0</v>
      </c>
      <c r="M65">
        <v>0.49795136447245419</v>
      </c>
      <c r="N65">
        <v>0</v>
      </c>
      <c r="O65">
        <v>0</v>
      </c>
      <c r="P65">
        <v>0.59516146662978853</v>
      </c>
      <c r="Q65">
        <v>1.0802268862965301</v>
      </c>
      <c r="R65">
        <v>1.9611696694481759</v>
      </c>
      <c r="S65">
        <v>0.18721133998844891</v>
      </c>
      <c r="T65">
        <v>0.14765466117079809</v>
      </c>
      <c r="U65">
        <v>4.418010118566559</v>
      </c>
      <c r="V65">
        <v>0.21014144114715341</v>
      </c>
      <c r="W65">
        <v>6.7336229834538948</v>
      </c>
      <c r="X65">
        <v>0.29424513167078298</v>
      </c>
      <c r="Z65" t="s">
        <v>392</v>
      </c>
      <c r="AA65">
        <v>114</v>
      </c>
      <c r="AB65" t="s">
        <v>3498</v>
      </c>
      <c r="AC65" t="str">
        <f>HYPERLINK("plots/3FT6Y578R04_015_S21P_20251218081014_M5358ACSC201811_RBGEUFRF04/dpll_52046/txpa_53242.png","plot")</f>
        <v>plot</v>
      </c>
    </row>
    <row r="66" spans="1:29" x14ac:dyDescent="0.35">
      <c r="A66" t="s">
        <v>49</v>
      </c>
      <c r="B66">
        <v>52046</v>
      </c>
      <c r="C66" t="s">
        <v>51</v>
      </c>
      <c r="D66">
        <v>53243</v>
      </c>
      <c r="E66" t="s">
        <v>118</v>
      </c>
      <c r="F66">
        <v>12028</v>
      </c>
      <c r="G66">
        <v>0.76498861178873112</v>
      </c>
      <c r="H66">
        <v>0</v>
      </c>
      <c r="I66">
        <v>0</v>
      </c>
      <c r="J66">
        <v>0.6775000122715118</v>
      </c>
      <c r="K66">
        <v>0</v>
      </c>
      <c r="L66">
        <v>0</v>
      </c>
      <c r="M66">
        <v>0.49110340555672027</v>
      </c>
      <c r="N66">
        <v>0</v>
      </c>
      <c r="O66">
        <v>0</v>
      </c>
      <c r="P66">
        <v>0.58520757616644992</v>
      </c>
      <c r="Q66">
        <v>1.1113103075332</v>
      </c>
      <c r="R66">
        <v>2.880184778068053</v>
      </c>
      <c r="S66">
        <v>0.1966091783879779</v>
      </c>
      <c r="T66">
        <v>0.15386689563000339</v>
      </c>
      <c r="U66">
        <v>4.4179867093448619</v>
      </c>
      <c r="V66">
        <v>0.2101483876699779</v>
      </c>
      <c r="W66">
        <v>7.7899389467076823</v>
      </c>
      <c r="X66">
        <v>0.30528568102870901</v>
      </c>
      <c r="Z66" t="s">
        <v>392</v>
      </c>
      <c r="AA66">
        <v>114</v>
      </c>
      <c r="AB66" t="s">
        <v>3499</v>
      </c>
      <c r="AC66" t="str">
        <f>HYPERLINK("plots/3FT6Y578R04_015_S21P_20251218081014_M5358ACSC201811_RBGEUFRF04/dpll_52046/txpa_53243.png","plot")</f>
        <v>plot</v>
      </c>
    </row>
    <row r="67" spans="1:29" x14ac:dyDescent="0.35">
      <c r="A67" t="s">
        <v>49</v>
      </c>
      <c r="B67">
        <v>52046</v>
      </c>
      <c r="C67" t="s">
        <v>51</v>
      </c>
      <c r="D67">
        <v>53244</v>
      </c>
      <c r="E67" t="s">
        <v>119</v>
      </c>
      <c r="F67">
        <v>12028</v>
      </c>
      <c r="G67">
        <v>0.7824144271172836</v>
      </c>
      <c r="H67">
        <v>0</v>
      </c>
      <c r="I67">
        <v>0</v>
      </c>
      <c r="J67">
        <v>0.69311398125289669</v>
      </c>
      <c r="K67">
        <v>0</v>
      </c>
      <c r="L67">
        <v>0</v>
      </c>
      <c r="M67">
        <v>0.50712172769009178</v>
      </c>
      <c r="N67">
        <v>0</v>
      </c>
      <c r="O67">
        <v>0</v>
      </c>
      <c r="P67">
        <v>0.61217233576126706</v>
      </c>
      <c r="Q67">
        <v>1.148479088471251</v>
      </c>
      <c r="R67">
        <v>2.7493908268469398</v>
      </c>
      <c r="S67">
        <v>0.1920939303014107</v>
      </c>
      <c r="T67">
        <v>0.15172328717644259</v>
      </c>
      <c r="U67">
        <v>4.4179867093448619</v>
      </c>
      <c r="V67">
        <v>0.2101483876699779</v>
      </c>
      <c r="W67">
        <v>7.8233561756734282</v>
      </c>
      <c r="X67">
        <v>0.30846955315503272</v>
      </c>
      <c r="Z67" t="s">
        <v>392</v>
      </c>
      <c r="AA67">
        <v>114</v>
      </c>
      <c r="AB67" t="s">
        <v>3500</v>
      </c>
      <c r="AC67" t="str">
        <f>HYPERLINK("plots/3FT6Y578R04_015_S21P_20251218081014_M5358ACSC201811_RBGEUFRF04/dpll_52046/txpa_53244.png","plot")</f>
        <v>plot</v>
      </c>
    </row>
    <row r="68" spans="1:29" x14ac:dyDescent="0.35">
      <c r="A68" t="s">
        <v>49</v>
      </c>
      <c r="B68">
        <v>52046</v>
      </c>
      <c r="C68" t="s">
        <v>51</v>
      </c>
      <c r="D68">
        <v>53245</v>
      </c>
      <c r="E68" t="s">
        <v>120</v>
      </c>
      <c r="F68">
        <v>12028</v>
      </c>
      <c r="G68">
        <v>0.77370255954446177</v>
      </c>
      <c r="H68">
        <v>0</v>
      </c>
      <c r="I68">
        <v>0</v>
      </c>
      <c r="J68">
        <v>0.6812313279346337</v>
      </c>
      <c r="K68">
        <v>0</v>
      </c>
      <c r="L68">
        <v>0</v>
      </c>
      <c r="M68">
        <v>0.49592392939563512</v>
      </c>
      <c r="N68">
        <v>0</v>
      </c>
      <c r="O68">
        <v>0</v>
      </c>
      <c r="P68">
        <v>0.59861565064565136</v>
      </c>
      <c r="Q68">
        <v>1.1111366067768269</v>
      </c>
      <c r="R68">
        <v>2.9326711030606081</v>
      </c>
      <c r="S68">
        <v>0.19119725268568349</v>
      </c>
      <c r="T68">
        <v>0.1504815312467627</v>
      </c>
      <c r="U68">
        <v>4.4179867093448619</v>
      </c>
      <c r="V68">
        <v>0.2101483876699779</v>
      </c>
      <c r="W68">
        <v>7.8416578640671766</v>
      </c>
      <c r="X68">
        <v>0.30180017309587542</v>
      </c>
      <c r="Z68" t="s">
        <v>392</v>
      </c>
      <c r="AA68">
        <v>114</v>
      </c>
      <c r="AB68" t="s">
        <v>3501</v>
      </c>
      <c r="AC68" t="str">
        <f>HYPERLINK("plots/3FT6Y578R04_015_S21P_20251218081014_M5358ACSC201811_RBGEUFRF04/dpll_52046/txpa_53245.png","plot")</f>
        <v>plot</v>
      </c>
    </row>
    <row r="69" spans="1:29" x14ac:dyDescent="0.35">
      <c r="A69" t="s">
        <v>49</v>
      </c>
      <c r="B69">
        <v>52046</v>
      </c>
      <c r="C69" t="s">
        <v>51</v>
      </c>
      <c r="D69">
        <v>53246</v>
      </c>
      <c r="E69" t="s">
        <v>121</v>
      </c>
      <c r="F69">
        <v>12027</v>
      </c>
      <c r="G69">
        <v>0.78634926132327043</v>
      </c>
      <c r="H69">
        <v>0</v>
      </c>
      <c r="I69">
        <v>0</v>
      </c>
      <c r="J69">
        <v>0.69375769981864488</v>
      </c>
      <c r="K69">
        <v>0</v>
      </c>
      <c r="L69">
        <v>0</v>
      </c>
      <c r="M69">
        <v>0.50791767807907784</v>
      </c>
      <c r="N69">
        <v>0</v>
      </c>
      <c r="O69">
        <v>0</v>
      </c>
      <c r="P69">
        <v>0.61834516078365309</v>
      </c>
      <c r="Q69">
        <v>1.1459049668947769</v>
      </c>
      <c r="R69">
        <v>2.7808181163792169</v>
      </c>
      <c r="S69">
        <v>0.18918662213206219</v>
      </c>
      <c r="T69">
        <v>0.1494557145149939</v>
      </c>
      <c r="U69">
        <v>4.417995080651866</v>
      </c>
      <c r="V69">
        <v>0.21015511914181201</v>
      </c>
      <c r="W69">
        <v>7.8434206230148833</v>
      </c>
      <c r="X69">
        <v>0.30624788079245768</v>
      </c>
      <c r="Z69" t="s">
        <v>392</v>
      </c>
      <c r="AA69">
        <v>114</v>
      </c>
      <c r="AB69" t="s">
        <v>3502</v>
      </c>
      <c r="AC69" t="str">
        <f>HYPERLINK("plots/3FT6Y578R04_015_S21P_20251218081014_M5358ACSC201811_RBGEUFRF04/dpll_52046/txpa_53246.png","plot")</f>
        <v>plot</v>
      </c>
    </row>
    <row r="70" spans="1:29" x14ac:dyDescent="0.35">
      <c r="A70" t="s">
        <v>49</v>
      </c>
      <c r="B70">
        <v>52046</v>
      </c>
      <c r="C70" t="s">
        <v>51</v>
      </c>
      <c r="D70">
        <v>53247</v>
      </c>
      <c r="E70" t="s">
        <v>122</v>
      </c>
      <c r="F70">
        <v>12027</v>
      </c>
      <c r="G70">
        <v>0.78781494276712949</v>
      </c>
      <c r="H70">
        <v>0</v>
      </c>
      <c r="I70">
        <v>0</v>
      </c>
      <c r="J70">
        <v>0.69016499175230839</v>
      </c>
      <c r="K70">
        <v>0</v>
      </c>
      <c r="L70">
        <v>0</v>
      </c>
      <c r="M70">
        <v>0.50324824484110087</v>
      </c>
      <c r="N70">
        <v>0</v>
      </c>
      <c r="O70">
        <v>0</v>
      </c>
      <c r="P70">
        <v>0.62065238404717549</v>
      </c>
      <c r="Q70">
        <v>1.143219059114339</v>
      </c>
      <c r="R70">
        <v>2.778454165074185</v>
      </c>
      <c r="S70">
        <v>0.18780350876017521</v>
      </c>
      <c r="T70">
        <v>0.14902397384183549</v>
      </c>
      <c r="U70">
        <v>4.4179587365926656</v>
      </c>
      <c r="V70">
        <v>0.21013472984942591</v>
      </c>
      <c r="W70">
        <v>7.8291487951276304</v>
      </c>
      <c r="X70">
        <v>0.30493205333465739</v>
      </c>
      <c r="Z70" t="s">
        <v>392</v>
      </c>
      <c r="AA70">
        <v>114</v>
      </c>
      <c r="AB70" t="s">
        <v>3503</v>
      </c>
      <c r="AC70" t="str">
        <f>HYPERLINK("plots/3FT6Y578R04_015_S21P_20251218081014_M5358ACSC201811_RBGEUFRF04/dpll_52046/txpa_53247.png","plot")</f>
        <v>plot</v>
      </c>
    </row>
    <row r="71" spans="1:29" x14ac:dyDescent="0.35">
      <c r="A71" t="s">
        <v>49</v>
      </c>
      <c r="B71">
        <v>52046</v>
      </c>
      <c r="C71" t="s">
        <v>51</v>
      </c>
      <c r="D71">
        <v>53248</v>
      </c>
      <c r="E71" t="s">
        <v>123</v>
      </c>
      <c r="F71">
        <v>12027</v>
      </c>
      <c r="G71">
        <v>0.79195942778897843</v>
      </c>
      <c r="H71">
        <v>0</v>
      </c>
      <c r="I71">
        <v>0</v>
      </c>
      <c r="J71">
        <v>0.70490750540328617</v>
      </c>
      <c r="K71">
        <v>0</v>
      </c>
      <c r="L71">
        <v>0</v>
      </c>
      <c r="M71">
        <v>0.51728922881687378</v>
      </c>
      <c r="N71">
        <v>0</v>
      </c>
      <c r="O71">
        <v>0</v>
      </c>
      <c r="P71">
        <v>0.62719973526384609</v>
      </c>
      <c r="Q71">
        <v>1.157989014789268</v>
      </c>
      <c r="R71">
        <v>2.722330972819675</v>
      </c>
      <c r="S71">
        <v>0.18758769905163669</v>
      </c>
      <c r="T71">
        <v>0.14855615129272781</v>
      </c>
      <c r="U71">
        <v>4.417954512264072</v>
      </c>
      <c r="V71">
        <v>0.21012745463637059</v>
      </c>
      <c r="W71">
        <v>7.8382737658601487</v>
      </c>
      <c r="X71">
        <v>0.3072446335462814</v>
      </c>
      <c r="Z71" t="s">
        <v>392</v>
      </c>
      <c r="AA71">
        <v>114</v>
      </c>
      <c r="AB71" t="s">
        <v>3504</v>
      </c>
      <c r="AC71" t="str">
        <f>HYPERLINK("plots/3FT6Y578R04_015_S21P_20251218081014_M5358ACSC201811_RBGEUFRF04/dpll_52046/txpa_53248.png","plot")</f>
        <v>plot</v>
      </c>
    </row>
    <row r="72" spans="1:29" x14ac:dyDescent="0.35">
      <c r="A72" t="s">
        <v>49</v>
      </c>
      <c r="B72">
        <v>52046</v>
      </c>
      <c r="C72" t="s">
        <v>51</v>
      </c>
      <c r="D72">
        <v>53249</v>
      </c>
      <c r="E72" t="s">
        <v>124</v>
      </c>
      <c r="F72">
        <v>12028</v>
      </c>
      <c r="G72">
        <v>0.78952562391522274</v>
      </c>
      <c r="H72">
        <v>0</v>
      </c>
      <c r="I72">
        <v>0</v>
      </c>
      <c r="J72">
        <v>0.69641736004229171</v>
      </c>
      <c r="K72">
        <v>0</v>
      </c>
      <c r="L72">
        <v>0</v>
      </c>
      <c r="M72">
        <v>0.50996772278481795</v>
      </c>
      <c r="N72">
        <v>0</v>
      </c>
      <c r="O72">
        <v>0</v>
      </c>
      <c r="P72">
        <v>0.62335071081872173</v>
      </c>
      <c r="Q72">
        <v>1.1419764142177089</v>
      </c>
      <c r="R72">
        <v>2.8003321567874222</v>
      </c>
      <c r="S72">
        <v>0.186538074243112</v>
      </c>
      <c r="T72">
        <v>0.1480127201617068</v>
      </c>
      <c r="U72">
        <v>4.4179867093448619</v>
      </c>
      <c r="V72">
        <v>0.2101483876699779</v>
      </c>
      <c r="W72">
        <v>7.8455687771865632</v>
      </c>
      <c r="X72">
        <v>0.30396037181785401</v>
      </c>
      <c r="Z72" t="s">
        <v>392</v>
      </c>
      <c r="AA72">
        <v>114</v>
      </c>
      <c r="AB72" t="s">
        <v>3505</v>
      </c>
      <c r="AC72" t="str">
        <f>HYPERLINK("plots/3FT6Y578R04_015_S21P_20251218081014_M5358ACSC201811_RBGEUFRF04/dpll_52046/txpa_53249.png","plot")</f>
        <v>plot</v>
      </c>
    </row>
    <row r="73" spans="1:29" x14ac:dyDescent="0.35">
      <c r="A73" t="s">
        <v>49</v>
      </c>
      <c r="B73">
        <v>52046</v>
      </c>
      <c r="C73" t="s">
        <v>51</v>
      </c>
      <c r="D73">
        <v>53250</v>
      </c>
      <c r="E73" t="s">
        <v>125</v>
      </c>
      <c r="F73">
        <v>12027</v>
      </c>
      <c r="G73">
        <v>0.7832875344093233</v>
      </c>
      <c r="H73">
        <v>0</v>
      </c>
      <c r="I73">
        <v>0</v>
      </c>
      <c r="J73">
        <v>0.69107623444545707</v>
      </c>
      <c r="K73">
        <v>0</v>
      </c>
      <c r="L73">
        <v>0</v>
      </c>
      <c r="M73">
        <v>0.50555607291109483</v>
      </c>
      <c r="N73">
        <v>0</v>
      </c>
      <c r="O73">
        <v>0</v>
      </c>
      <c r="P73">
        <v>0.61353936156103683</v>
      </c>
      <c r="Q73">
        <v>1.1327822302111381</v>
      </c>
      <c r="R73">
        <v>2.7996874236257638</v>
      </c>
      <c r="S73">
        <v>0.18891719851807701</v>
      </c>
      <c r="T73">
        <v>0.148848872173721</v>
      </c>
      <c r="U73">
        <v>4.418010118566559</v>
      </c>
      <c r="V73">
        <v>0.21014144114715341</v>
      </c>
      <c r="W73">
        <v>7.8043307788309626</v>
      </c>
      <c r="X73">
        <v>0.30390435172948888</v>
      </c>
      <c r="Z73" t="s">
        <v>392</v>
      </c>
      <c r="AA73">
        <v>114</v>
      </c>
      <c r="AB73" t="s">
        <v>3506</v>
      </c>
      <c r="AC73" t="str">
        <f>HYPERLINK("plots/3FT6Y578R04_015_S21P_20251218081014_M5358ACSC201811_RBGEUFRF04/dpll_52046/txpa_53250.png","plot")</f>
        <v>plot</v>
      </c>
    </row>
    <row r="74" spans="1:29" x14ac:dyDescent="0.35">
      <c r="A74" t="s">
        <v>49</v>
      </c>
      <c r="B74">
        <v>52046</v>
      </c>
      <c r="C74" t="s">
        <v>51</v>
      </c>
      <c r="D74">
        <v>53251</v>
      </c>
      <c r="E74" t="s">
        <v>126</v>
      </c>
      <c r="F74">
        <v>12028</v>
      </c>
      <c r="G74">
        <v>0.77931004877535548</v>
      </c>
      <c r="H74">
        <v>0</v>
      </c>
      <c r="I74">
        <v>0</v>
      </c>
      <c r="J74">
        <v>0.6875282898655527</v>
      </c>
      <c r="K74">
        <v>0</v>
      </c>
      <c r="L74">
        <v>0</v>
      </c>
      <c r="M74">
        <v>0.49985965997323911</v>
      </c>
      <c r="N74">
        <v>0</v>
      </c>
      <c r="O74">
        <v>0</v>
      </c>
      <c r="P74">
        <v>0.60732415212224689</v>
      </c>
      <c r="Q74">
        <v>1.177430137896323</v>
      </c>
      <c r="R74">
        <v>3.6570487623455321</v>
      </c>
      <c r="S74">
        <v>0.19895276298328141</v>
      </c>
      <c r="T74">
        <v>0.15527389130590011</v>
      </c>
      <c r="U74">
        <v>4.4179867093448619</v>
      </c>
      <c r="V74">
        <v>0.2101483876699779</v>
      </c>
      <c r="W74">
        <v>8.8589194627535743</v>
      </c>
      <c r="X74">
        <v>0.31750526694963471</v>
      </c>
      <c r="Z74" t="s">
        <v>392</v>
      </c>
      <c r="AA74">
        <v>114</v>
      </c>
      <c r="AB74" t="s">
        <v>3507</v>
      </c>
      <c r="AC74" t="str">
        <f>HYPERLINK("plots/3FT6Y578R04_015_S21P_20251218081014_M5358ACSC201811_RBGEUFRF04/dpll_52046/txpa_53251.png","plot")</f>
        <v>plot</v>
      </c>
    </row>
    <row r="75" spans="1:29" x14ac:dyDescent="0.35">
      <c r="A75" t="s">
        <v>49</v>
      </c>
      <c r="B75">
        <v>52046</v>
      </c>
      <c r="C75" t="s">
        <v>51</v>
      </c>
      <c r="D75">
        <v>53252</v>
      </c>
      <c r="E75" t="s">
        <v>127</v>
      </c>
      <c r="F75">
        <v>12028</v>
      </c>
      <c r="G75">
        <v>0.79550658122280349</v>
      </c>
      <c r="H75">
        <v>0</v>
      </c>
      <c r="I75">
        <v>0</v>
      </c>
      <c r="J75">
        <v>0.7023468091774373</v>
      </c>
      <c r="K75">
        <v>0</v>
      </c>
      <c r="L75">
        <v>0</v>
      </c>
      <c r="M75">
        <v>0.51539274913373656</v>
      </c>
      <c r="N75">
        <v>0</v>
      </c>
      <c r="O75">
        <v>0</v>
      </c>
      <c r="P75">
        <v>0.63283072076879288</v>
      </c>
      <c r="Q75">
        <v>1.214847672877194</v>
      </c>
      <c r="R75">
        <v>3.52398163159013</v>
      </c>
      <c r="S75">
        <v>0.1944550497664862</v>
      </c>
      <c r="T75">
        <v>0.15335936285726021</v>
      </c>
      <c r="U75">
        <v>4.4179867093448619</v>
      </c>
      <c r="V75">
        <v>0.2101483876699779</v>
      </c>
      <c r="W75">
        <v>8.891162504240107</v>
      </c>
      <c r="X75">
        <v>0.32092541500704919</v>
      </c>
      <c r="Z75" t="s">
        <v>392</v>
      </c>
      <c r="AA75">
        <v>114</v>
      </c>
      <c r="AB75" t="s">
        <v>3508</v>
      </c>
      <c r="AC75" t="str">
        <f>HYPERLINK("plots/3FT6Y578R04_015_S21P_20251218081014_M5358ACSC201811_RBGEUFRF04/dpll_52046/txpa_53252.png","plot")</f>
        <v>plot</v>
      </c>
    </row>
    <row r="76" spans="1:29" x14ac:dyDescent="0.35">
      <c r="A76" t="s">
        <v>49</v>
      </c>
      <c r="B76">
        <v>52046</v>
      </c>
      <c r="C76" t="s">
        <v>51</v>
      </c>
      <c r="D76">
        <v>53253</v>
      </c>
      <c r="E76" t="s">
        <v>128</v>
      </c>
      <c r="F76">
        <v>12028</v>
      </c>
      <c r="G76">
        <v>0.78806036025007342</v>
      </c>
      <c r="H76">
        <v>0</v>
      </c>
      <c r="I76">
        <v>0</v>
      </c>
      <c r="J76">
        <v>0.69149066308316831</v>
      </c>
      <c r="K76">
        <v>0</v>
      </c>
      <c r="L76">
        <v>0</v>
      </c>
      <c r="M76">
        <v>0.50496441371401235</v>
      </c>
      <c r="N76">
        <v>0</v>
      </c>
      <c r="O76">
        <v>0</v>
      </c>
      <c r="P76">
        <v>0.62103913139747546</v>
      </c>
      <c r="Q76">
        <v>1.177976223395089</v>
      </c>
      <c r="R76">
        <v>3.705181332143844</v>
      </c>
      <c r="S76">
        <v>0.1933669438953575</v>
      </c>
      <c r="T76">
        <v>0.1518069150818375</v>
      </c>
      <c r="U76">
        <v>4.4179867093448619</v>
      </c>
      <c r="V76">
        <v>0.2101483876699779</v>
      </c>
      <c r="W76">
        <v>8.9094646310276016</v>
      </c>
      <c r="X76">
        <v>0.314125435748974</v>
      </c>
      <c r="Z76" t="s">
        <v>392</v>
      </c>
      <c r="AA76">
        <v>114</v>
      </c>
      <c r="AB76" t="s">
        <v>3509</v>
      </c>
      <c r="AC76" t="str">
        <f>HYPERLINK("plots/3FT6Y578R04_015_S21P_20251218081014_M5358ACSC201811_RBGEUFRF04/dpll_52046/txpa_53253.png","plot")</f>
        <v>plot</v>
      </c>
    </row>
    <row r="77" spans="1:29" x14ac:dyDescent="0.35">
      <c r="A77" t="s">
        <v>49</v>
      </c>
      <c r="B77">
        <v>52046</v>
      </c>
      <c r="C77" t="s">
        <v>51</v>
      </c>
      <c r="D77">
        <v>53254</v>
      </c>
      <c r="E77" t="s">
        <v>129</v>
      </c>
      <c r="F77">
        <v>12027</v>
      </c>
      <c r="G77">
        <v>0.79962313711165467</v>
      </c>
      <c r="H77">
        <v>0</v>
      </c>
      <c r="I77">
        <v>0</v>
      </c>
      <c r="J77">
        <v>0.70331011191546233</v>
      </c>
      <c r="K77">
        <v>0</v>
      </c>
      <c r="L77">
        <v>0</v>
      </c>
      <c r="M77">
        <v>0.51641285532514958</v>
      </c>
      <c r="N77">
        <v>0</v>
      </c>
      <c r="O77">
        <v>0</v>
      </c>
      <c r="P77">
        <v>0.63939716140428404</v>
      </c>
      <c r="Q77">
        <v>1.213108645636213</v>
      </c>
      <c r="R77">
        <v>3.551845750363364</v>
      </c>
      <c r="S77">
        <v>0.191448000168778</v>
      </c>
      <c r="T77">
        <v>0.15103875625991739</v>
      </c>
      <c r="U77">
        <v>4.417995080651866</v>
      </c>
      <c r="V77">
        <v>0.21015511914181201</v>
      </c>
      <c r="W77">
        <v>8.911353779080402</v>
      </c>
      <c r="X77">
        <v>0.31882643225722718</v>
      </c>
      <c r="Z77" t="s">
        <v>392</v>
      </c>
      <c r="AA77">
        <v>114</v>
      </c>
      <c r="AB77" t="s">
        <v>3510</v>
      </c>
      <c r="AC77" t="str">
        <f>HYPERLINK("plots/3FT6Y578R04_015_S21P_20251218081014_M5358ACSC201811_RBGEUFRF04/dpll_52046/txpa_53254.png","plot")</f>
        <v>plot</v>
      </c>
    </row>
    <row r="78" spans="1:29" x14ac:dyDescent="0.35">
      <c r="A78" t="s">
        <v>49</v>
      </c>
      <c r="B78">
        <v>52046</v>
      </c>
      <c r="C78" t="s">
        <v>51</v>
      </c>
      <c r="D78">
        <v>53255</v>
      </c>
      <c r="E78" t="s">
        <v>130</v>
      </c>
      <c r="F78">
        <v>12027</v>
      </c>
      <c r="G78">
        <v>0.80089776207350027</v>
      </c>
      <c r="H78">
        <v>0</v>
      </c>
      <c r="I78">
        <v>0</v>
      </c>
      <c r="J78">
        <v>0.69946936581353192</v>
      </c>
      <c r="K78">
        <v>0</v>
      </c>
      <c r="L78">
        <v>0</v>
      </c>
      <c r="M78">
        <v>0.51151505699951805</v>
      </c>
      <c r="N78">
        <v>0</v>
      </c>
      <c r="O78">
        <v>0</v>
      </c>
      <c r="P78">
        <v>0.64143722529434111</v>
      </c>
      <c r="Q78">
        <v>1.210187224050038</v>
      </c>
      <c r="R78">
        <v>3.5496438278223832</v>
      </c>
      <c r="S78">
        <v>0.1901244032385874</v>
      </c>
      <c r="T78">
        <v>0.15059594905730789</v>
      </c>
      <c r="U78">
        <v>4.4179587365926656</v>
      </c>
      <c r="V78">
        <v>0.21013472984942591</v>
      </c>
      <c r="W78">
        <v>8.8962010472270734</v>
      </c>
      <c r="X78">
        <v>0.31752163314153869</v>
      </c>
      <c r="Z78" t="s">
        <v>392</v>
      </c>
      <c r="AA78">
        <v>114</v>
      </c>
      <c r="AB78" t="s">
        <v>3511</v>
      </c>
      <c r="AC78" t="str">
        <f>HYPERLINK("plots/3FT6Y578R04_015_S21P_20251218081014_M5358ACSC201811_RBGEUFRF04/dpll_52046/txpa_53255.png","plot")</f>
        <v>plot</v>
      </c>
    </row>
    <row r="79" spans="1:29" x14ac:dyDescent="0.35">
      <c r="A79" t="s">
        <v>49</v>
      </c>
      <c r="B79">
        <v>52046</v>
      </c>
      <c r="C79" t="s">
        <v>51</v>
      </c>
      <c r="D79">
        <v>53256</v>
      </c>
      <c r="E79" t="s">
        <v>131</v>
      </c>
      <c r="F79">
        <v>12027</v>
      </c>
      <c r="G79">
        <v>0.80481016968356967</v>
      </c>
      <c r="H79">
        <v>0</v>
      </c>
      <c r="I79">
        <v>0</v>
      </c>
      <c r="J79">
        <v>0.71395555450763426</v>
      </c>
      <c r="K79">
        <v>0</v>
      </c>
      <c r="L79">
        <v>0</v>
      </c>
      <c r="M79">
        <v>0.52546569865879</v>
      </c>
      <c r="N79">
        <v>0</v>
      </c>
      <c r="O79">
        <v>0</v>
      </c>
      <c r="P79">
        <v>0.64771940922609617</v>
      </c>
      <c r="Q79">
        <v>1.2244505146836291</v>
      </c>
      <c r="R79">
        <v>3.4964715422840449</v>
      </c>
      <c r="S79">
        <v>0.18973912111884531</v>
      </c>
      <c r="T79">
        <v>0.15001634219005219</v>
      </c>
      <c r="U79">
        <v>4.417954512264072</v>
      </c>
      <c r="V79">
        <v>0.21012745463637059</v>
      </c>
      <c r="W79">
        <v>8.9060382186746487</v>
      </c>
      <c r="X79">
        <v>0.31969112676573769</v>
      </c>
      <c r="Z79" t="s">
        <v>392</v>
      </c>
      <c r="AA79">
        <v>114</v>
      </c>
      <c r="AB79" t="s">
        <v>3512</v>
      </c>
      <c r="AC79" t="str">
        <f>HYPERLINK("plots/3FT6Y578R04_015_S21P_20251218081014_M5358ACSC201811_RBGEUFRF04/dpll_52046/txpa_53256.png","plot")</f>
        <v>plot</v>
      </c>
    </row>
    <row r="80" spans="1:29" x14ac:dyDescent="0.35">
      <c r="A80" t="s">
        <v>49</v>
      </c>
      <c r="B80">
        <v>52046</v>
      </c>
      <c r="C80" t="s">
        <v>51</v>
      </c>
      <c r="D80">
        <v>53257</v>
      </c>
      <c r="E80" t="s">
        <v>132</v>
      </c>
      <c r="F80">
        <v>12028</v>
      </c>
      <c r="G80">
        <v>0.80275249416146022</v>
      </c>
      <c r="H80">
        <v>0</v>
      </c>
      <c r="I80">
        <v>0</v>
      </c>
      <c r="J80">
        <v>0.70559671995278472</v>
      </c>
      <c r="K80">
        <v>0</v>
      </c>
      <c r="L80">
        <v>0</v>
      </c>
      <c r="M80">
        <v>0.51823964323478122</v>
      </c>
      <c r="N80">
        <v>0</v>
      </c>
      <c r="O80">
        <v>0</v>
      </c>
      <c r="P80">
        <v>0.64441156688244527</v>
      </c>
      <c r="Q80">
        <v>1.2082522496794861</v>
      </c>
      <c r="R80">
        <v>3.5753980763969611</v>
      </c>
      <c r="S80">
        <v>0.18860698368172821</v>
      </c>
      <c r="T80">
        <v>0.1493605040554547</v>
      </c>
      <c r="U80">
        <v>4.4179867093448619</v>
      </c>
      <c r="V80">
        <v>0.2101483876699779</v>
      </c>
      <c r="W80">
        <v>8.9134404570169607</v>
      </c>
      <c r="X80">
        <v>0.31630205326736421</v>
      </c>
      <c r="Z80" t="s">
        <v>392</v>
      </c>
      <c r="AA80">
        <v>114</v>
      </c>
      <c r="AB80" t="s">
        <v>3513</v>
      </c>
      <c r="AC80" t="str">
        <f>HYPERLINK("plots/3FT6Y578R04_015_S21P_20251218081014_M5358ACSC201811_RBGEUFRF04/dpll_52046/txpa_53257.png","plot")</f>
        <v>plot</v>
      </c>
    </row>
    <row r="81" spans="1:29" x14ac:dyDescent="0.35">
      <c r="A81" t="s">
        <v>49</v>
      </c>
      <c r="B81">
        <v>52046</v>
      </c>
      <c r="C81" t="s">
        <v>51</v>
      </c>
      <c r="D81">
        <v>53258</v>
      </c>
      <c r="E81" t="s">
        <v>133</v>
      </c>
      <c r="F81">
        <v>12027</v>
      </c>
      <c r="G81">
        <v>0.79683618281005808</v>
      </c>
      <c r="H81">
        <v>0</v>
      </c>
      <c r="I81">
        <v>0</v>
      </c>
      <c r="J81">
        <v>0.70068525675305326</v>
      </c>
      <c r="K81">
        <v>0</v>
      </c>
      <c r="L81">
        <v>0</v>
      </c>
      <c r="M81">
        <v>0.51402774646052163</v>
      </c>
      <c r="N81">
        <v>0</v>
      </c>
      <c r="O81">
        <v>0</v>
      </c>
      <c r="P81">
        <v>0.63494790223530428</v>
      </c>
      <c r="Q81">
        <v>1.198935099780901</v>
      </c>
      <c r="R81">
        <v>3.5764977515670888</v>
      </c>
      <c r="S81">
        <v>0.1910282966302794</v>
      </c>
      <c r="T81">
        <v>0.15021507595298009</v>
      </c>
      <c r="U81">
        <v>4.418010118566559</v>
      </c>
      <c r="V81">
        <v>0.21014144114715341</v>
      </c>
      <c r="W81">
        <v>8.8734051539037164</v>
      </c>
      <c r="X81">
        <v>0.31618286812902069</v>
      </c>
      <c r="Z81" t="s">
        <v>392</v>
      </c>
      <c r="AA81">
        <v>114</v>
      </c>
      <c r="AB81" t="s">
        <v>3514</v>
      </c>
      <c r="AC81" t="str">
        <f>HYPERLINK("plots/3FT6Y578R04_015_S21P_20251218081014_M5358ACSC201811_RBGEUFRF04/dpll_52046/txpa_53258.png","plot")</f>
        <v>plot</v>
      </c>
    </row>
    <row r="82" spans="1:29" x14ac:dyDescent="0.35">
      <c r="A82" t="s">
        <v>49</v>
      </c>
      <c r="B82">
        <v>52046</v>
      </c>
      <c r="C82" t="s">
        <v>51</v>
      </c>
      <c r="D82">
        <v>53259</v>
      </c>
      <c r="E82" t="s">
        <v>134</v>
      </c>
      <c r="F82">
        <v>12028</v>
      </c>
      <c r="G82">
        <v>0.78435544063192575</v>
      </c>
      <c r="H82">
        <v>0</v>
      </c>
      <c r="I82">
        <v>0</v>
      </c>
      <c r="J82">
        <v>0.69081614786154066</v>
      </c>
      <c r="K82">
        <v>0</v>
      </c>
      <c r="L82">
        <v>0</v>
      </c>
      <c r="M82">
        <v>0.50265020045196795</v>
      </c>
      <c r="N82">
        <v>0</v>
      </c>
      <c r="O82">
        <v>0</v>
      </c>
      <c r="P82">
        <v>0.61521345724890242</v>
      </c>
      <c r="Q82">
        <v>1.2072727207546481</v>
      </c>
      <c r="R82">
        <v>4.054215940841412</v>
      </c>
      <c r="S82">
        <v>0.20063672015169581</v>
      </c>
      <c r="T82">
        <v>0.15634881008500159</v>
      </c>
      <c r="U82">
        <v>4.4179867093448619</v>
      </c>
      <c r="V82">
        <v>0.2101483876699779</v>
      </c>
      <c r="W82">
        <v>9.387930775690057</v>
      </c>
      <c r="X82">
        <v>0.32345847635114922</v>
      </c>
      <c r="Z82" t="s">
        <v>392</v>
      </c>
      <c r="AA82">
        <v>114</v>
      </c>
      <c r="AB82" t="s">
        <v>3515</v>
      </c>
      <c r="AC82" t="str">
        <f>HYPERLINK("plots/3FT6Y578R04_015_S21P_20251218081014_M5358ACSC201811_RBGEUFRF04/dpll_52046/txpa_53259.png","plot")</f>
        <v>plot</v>
      </c>
    </row>
    <row r="83" spans="1:29" x14ac:dyDescent="0.35">
      <c r="A83" t="s">
        <v>49</v>
      </c>
      <c r="B83">
        <v>52046</v>
      </c>
      <c r="C83" t="s">
        <v>51</v>
      </c>
      <c r="D83">
        <v>53260</v>
      </c>
      <c r="E83" t="s">
        <v>135</v>
      </c>
      <c r="F83">
        <v>12028</v>
      </c>
      <c r="G83">
        <v>0.80012299757928429</v>
      </c>
      <c r="H83">
        <v>0</v>
      </c>
      <c r="I83">
        <v>0</v>
      </c>
      <c r="J83">
        <v>0.70533350993878408</v>
      </c>
      <c r="K83">
        <v>0</v>
      </c>
      <c r="L83">
        <v>0</v>
      </c>
      <c r="M83">
        <v>0.5180457288934035</v>
      </c>
      <c r="N83">
        <v>0</v>
      </c>
      <c r="O83">
        <v>0</v>
      </c>
      <c r="P83">
        <v>0.6401968112552594</v>
      </c>
      <c r="Q83">
        <v>1.244479158125944</v>
      </c>
      <c r="R83">
        <v>3.921823833592978</v>
      </c>
      <c r="S83">
        <v>0.19605204935674439</v>
      </c>
      <c r="T83">
        <v>0.15443364948703531</v>
      </c>
      <c r="U83">
        <v>4.4179867093448619</v>
      </c>
      <c r="V83">
        <v>0.2101483876699779</v>
      </c>
      <c r="W83">
        <v>9.4199162142500832</v>
      </c>
      <c r="X83">
        <v>0.32685635753538528</v>
      </c>
      <c r="Z83" t="s">
        <v>392</v>
      </c>
      <c r="AA83">
        <v>114</v>
      </c>
      <c r="AB83" t="s">
        <v>3516</v>
      </c>
      <c r="AC83" t="str">
        <f>HYPERLINK("plots/3FT6Y578R04_015_S21P_20251218081014_M5358ACSC201811_RBGEUFRF04/dpll_52046/txpa_53260.png","plot")</f>
        <v>plot</v>
      </c>
    </row>
    <row r="84" spans="1:29" x14ac:dyDescent="0.35">
      <c r="A84" t="s">
        <v>49</v>
      </c>
      <c r="B84">
        <v>52046</v>
      </c>
      <c r="C84" t="s">
        <v>51</v>
      </c>
      <c r="D84">
        <v>53261</v>
      </c>
      <c r="E84" t="s">
        <v>136</v>
      </c>
      <c r="F84">
        <v>12028</v>
      </c>
      <c r="G84">
        <v>0.79301674325368254</v>
      </c>
      <c r="H84">
        <v>0</v>
      </c>
      <c r="I84">
        <v>0</v>
      </c>
      <c r="J84">
        <v>0.69478858903943141</v>
      </c>
      <c r="K84">
        <v>0</v>
      </c>
      <c r="L84">
        <v>0</v>
      </c>
      <c r="M84">
        <v>0.5077879628365598</v>
      </c>
      <c r="N84">
        <v>0</v>
      </c>
      <c r="O84">
        <v>0</v>
      </c>
      <c r="P84">
        <v>0.62887555508067705</v>
      </c>
      <c r="Q84">
        <v>1.2075820810185109</v>
      </c>
      <c r="R84">
        <v>4.1032093711376616</v>
      </c>
      <c r="S84">
        <v>0.1949405072418238</v>
      </c>
      <c r="T84">
        <v>0.1528287454504462</v>
      </c>
      <c r="U84">
        <v>4.4179867093448619</v>
      </c>
      <c r="V84">
        <v>0.2101483876699779</v>
      </c>
      <c r="W84">
        <v>9.4382909555204524</v>
      </c>
      <c r="X84">
        <v>0.32000765363918232</v>
      </c>
      <c r="Z84" t="s">
        <v>392</v>
      </c>
      <c r="AA84">
        <v>114</v>
      </c>
      <c r="AB84" t="s">
        <v>3517</v>
      </c>
      <c r="AC84" t="str">
        <f>HYPERLINK("plots/3FT6Y578R04_015_S21P_20251218081014_M5358ACSC201811_RBGEUFRF04/dpll_52046/txpa_53261.png","plot")</f>
        <v>plot</v>
      </c>
    </row>
    <row r="85" spans="1:29" x14ac:dyDescent="0.35">
      <c r="A85" t="s">
        <v>49</v>
      </c>
      <c r="B85">
        <v>52046</v>
      </c>
      <c r="C85" t="s">
        <v>51</v>
      </c>
      <c r="D85">
        <v>53262</v>
      </c>
      <c r="E85" t="s">
        <v>137</v>
      </c>
      <c r="F85">
        <v>12027</v>
      </c>
      <c r="G85">
        <v>0.80420580429605548</v>
      </c>
      <c r="H85">
        <v>0</v>
      </c>
      <c r="I85">
        <v>0</v>
      </c>
      <c r="J85">
        <v>0.70633786938438015</v>
      </c>
      <c r="K85">
        <v>0</v>
      </c>
      <c r="L85">
        <v>0</v>
      </c>
      <c r="M85">
        <v>0.51911140418844648</v>
      </c>
      <c r="N85">
        <v>0</v>
      </c>
      <c r="O85">
        <v>0</v>
      </c>
      <c r="P85">
        <v>0.64674697566346551</v>
      </c>
      <c r="Q85">
        <v>1.2428989791321889</v>
      </c>
      <c r="R85">
        <v>3.9490492305496971</v>
      </c>
      <c r="S85">
        <v>0.19303385774414469</v>
      </c>
      <c r="T85">
        <v>0.15216405742115341</v>
      </c>
      <c r="U85">
        <v>4.417995080651866</v>
      </c>
      <c r="V85">
        <v>0.21015511914181201</v>
      </c>
      <c r="W85">
        <v>9.4401708061029339</v>
      </c>
      <c r="X85">
        <v>0.32479445142701863</v>
      </c>
      <c r="Z85" t="s">
        <v>392</v>
      </c>
      <c r="AA85">
        <v>114</v>
      </c>
      <c r="AB85" t="s">
        <v>3518</v>
      </c>
      <c r="AC85" t="str">
        <f>HYPERLINK("plots/3FT6Y578R04_015_S21P_20251218081014_M5358ACSC201811_RBGEUFRF04/dpll_52046/txpa_53262.png","plot")</f>
        <v>plot</v>
      </c>
    </row>
    <row r="86" spans="1:29" x14ac:dyDescent="0.35">
      <c r="A86" t="s">
        <v>49</v>
      </c>
      <c r="B86">
        <v>52046</v>
      </c>
      <c r="C86" t="s">
        <v>51</v>
      </c>
      <c r="D86">
        <v>53263</v>
      </c>
      <c r="E86" t="s">
        <v>138</v>
      </c>
      <c r="F86">
        <v>12027</v>
      </c>
      <c r="G86">
        <v>0.80539864600773159</v>
      </c>
      <c r="H86">
        <v>0</v>
      </c>
      <c r="I86">
        <v>0</v>
      </c>
      <c r="J86">
        <v>0.70242845112559205</v>
      </c>
      <c r="K86">
        <v>0</v>
      </c>
      <c r="L86">
        <v>0</v>
      </c>
      <c r="M86">
        <v>0.51406135859548707</v>
      </c>
      <c r="N86">
        <v>0</v>
      </c>
      <c r="O86">
        <v>0</v>
      </c>
      <c r="P86">
        <v>0.64866697899108738</v>
      </c>
      <c r="Q86">
        <v>1.239989483636311</v>
      </c>
      <c r="R86">
        <v>3.9464172116715148</v>
      </c>
      <c r="S86">
        <v>0.19175485655206351</v>
      </c>
      <c r="T86">
        <v>0.151721787953498</v>
      </c>
      <c r="U86">
        <v>4.4179587365926656</v>
      </c>
      <c r="V86">
        <v>0.21013472984942591</v>
      </c>
      <c r="W86">
        <v>9.4246395841855826</v>
      </c>
      <c r="X86">
        <v>0.32352283735717108</v>
      </c>
      <c r="Z86" t="s">
        <v>392</v>
      </c>
      <c r="AA86">
        <v>114</v>
      </c>
      <c r="AB86" t="s">
        <v>3519</v>
      </c>
      <c r="AC86" t="str">
        <f>HYPERLINK("plots/3FT6Y578R04_015_S21P_20251218081014_M5358ACSC201811_RBGEUFRF04/dpll_52046/txpa_53263.png","plot")</f>
        <v>plot</v>
      </c>
    </row>
    <row r="87" spans="1:29" x14ac:dyDescent="0.35">
      <c r="A87" t="s">
        <v>49</v>
      </c>
      <c r="B87">
        <v>52046</v>
      </c>
      <c r="C87" t="s">
        <v>51</v>
      </c>
      <c r="D87">
        <v>53264</v>
      </c>
      <c r="E87" t="s">
        <v>139</v>
      </c>
      <c r="F87">
        <v>12027</v>
      </c>
      <c r="G87">
        <v>0.80925960079139814</v>
      </c>
      <c r="H87">
        <v>0</v>
      </c>
      <c r="I87">
        <v>0</v>
      </c>
      <c r="J87">
        <v>0.71653878437787399</v>
      </c>
      <c r="K87">
        <v>0</v>
      </c>
      <c r="L87">
        <v>0</v>
      </c>
      <c r="M87">
        <v>0.52786594738131642</v>
      </c>
      <c r="N87">
        <v>0</v>
      </c>
      <c r="O87">
        <v>0</v>
      </c>
      <c r="P87">
        <v>0.65490110147305303</v>
      </c>
      <c r="Q87">
        <v>1.254085628041429</v>
      </c>
      <c r="R87">
        <v>3.8940560805644409</v>
      </c>
      <c r="S87">
        <v>0.1912827738413263</v>
      </c>
      <c r="T87">
        <v>0.1510878496294133</v>
      </c>
      <c r="U87">
        <v>4.417954512264072</v>
      </c>
      <c r="V87">
        <v>0.21012745463637059</v>
      </c>
      <c r="W87">
        <v>9.4345493397355948</v>
      </c>
      <c r="X87">
        <v>0.32562829116725722</v>
      </c>
      <c r="Z87" t="s">
        <v>392</v>
      </c>
      <c r="AA87">
        <v>114</v>
      </c>
      <c r="AB87" t="s">
        <v>3520</v>
      </c>
      <c r="AC87" t="str">
        <f>HYPERLINK("plots/3FT6Y578R04_015_S21P_20251218081014_M5358ACSC201811_RBGEUFRF04/dpll_52046/txpa_53264.png","plot")</f>
        <v>plot</v>
      </c>
    </row>
    <row r="88" spans="1:29" x14ac:dyDescent="0.35">
      <c r="A88" t="s">
        <v>49</v>
      </c>
      <c r="B88">
        <v>52046</v>
      </c>
      <c r="C88" t="s">
        <v>51</v>
      </c>
      <c r="D88">
        <v>53265</v>
      </c>
      <c r="E88" t="s">
        <v>140</v>
      </c>
      <c r="F88">
        <v>12028</v>
      </c>
      <c r="G88">
        <v>0.80730150403129664</v>
      </c>
      <c r="H88">
        <v>0</v>
      </c>
      <c r="I88">
        <v>0</v>
      </c>
      <c r="J88">
        <v>0.70837911691505262</v>
      </c>
      <c r="K88">
        <v>0</v>
      </c>
      <c r="L88">
        <v>0</v>
      </c>
      <c r="M88">
        <v>0.5207205459953862</v>
      </c>
      <c r="N88">
        <v>0</v>
      </c>
      <c r="O88">
        <v>0</v>
      </c>
      <c r="P88">
        <v>0.65173571841119371</v>
      </c>
      <c r="Q88">
        <v>1.237664320837649</v>
      </c>
      <c r="R88">
        <v>3.974054236809498</v>
      </c>
      <c r="S88">
        <v>0.19012077909666941</v>
      </c>
      <c r="T88">
        <v>0.15033248931665991</v>
      </c>
      <c r="U88">
        <v>4.4179867093448619</v>
      </c>
      <c r="V88">
        <v>0.2101483876699779</v>
      </c>
      <c r="W88">
        <v>9.4420387569005655</v>
      </c>
      <c r="X88">
        <v>0.32217599026126331</v>
      </c>
      <c r="Z88" t="s">
        <v>392</v>
      </c>
      <c r="AA88">
        <v>114</v>
      </c>
      <c r="AB88" t="s">
        <v>3521</v>
      </c>
      <c r="AC88" t="str">
        <f>HYPERLINK("plots/3FT6Y578R04_015_S21P_20251218081014_M5358ACSC201811_RBGEUFRF04/dpll_52046/txpa_53265.png","plot")</f>
        <v>plot</v>
      </c>
    </row>
    <row r="89" spans="1:29" x14ac:dyDescent="0.35">
      <c r="A89" t="s">
        <v>49</v>
      </c>
      <c r="B89">
        <v>52046</v>
      </c>
      <c r="C89" t="s">
        <v>51</v>
      </c>
      <c r="D89">
        <v>53266</v>
      </c>
      <c r="E89" t="s">
        <v>141</v>
      </c>
      <c r="F89">
        <v>12027</v>
      </c>
      <c r="G89">
        <v>0.80125918825297004</v>
      </c>
      <c r="H89">
        <v>0</v>
      </c>
      <c r="I89">
        <v>0</v>
      </c>
      <c r="J89">
        <v>0.70315796890825288</v>
      </c>
      <c r="K89">
        <v>0</v>
      </c>
      <c r="L89">
        <v>0</v>
      </c>
      <c r="M89">
        <v>0.51619113236946956</v>
      </c>
      <c r="N89">
        <v>0</v>
      </c>
      <c r="O89">
        <v>0</v>
      </c>
      <c r="P89">
        <v>0.64201628675980849</v>
      </c>
      <c r="Q89">
        <v>1.227628958539998</v>
      </c>
      <c r="R89">
        <v>3.9786663076878108</v>
      </c>
      <c r="S89">
        <v>0.19262798716537249</v>
      </c>
      <c r="T89">
        <v>0.1512748424638625</v>
      </c>
      <c r="U89">
        <v>4.418010118566559</v>
      </c>
      <c r="V89">
        <v>0.21014144114715341</v>
      </c>
      <c r="W89">
        <v>9.4023434683628491</v>
      </c>
      <c r="X89">
        <v>0.32196288332624712</v>
      </c>
      <c r="Z89" t="s">
        <v>392</v>
      </c>
      <c r="AA89">
        <v>114</v>
      </c>
      <c r="AB89" t="s">
        <v>3522</v>
      </c>
      <c r="AC89" t="str">
        <f>HYPERLINK("plots/3FT6Y578R04_015_S21P_20251218081014_M5358ACSC201811_RBGEUFRF04/dpll_52046/txpa_53266.png","plot")</f>
        <v>plot</v>
      </c>
    </row>
    <row r="90" spans="1:29" x14ac:dyDescent="0.35">
      <c r="A90" t="s">
        <v>49</v>
      </c>
      <c r="B90">
        <v>52046</v>
      </c>
      <c r="C90" t="s">
        <v>51</v>
      </c>
      <c r="D90">
        <v>53267</v>
      </c>
      <c r="E90" t="s">
        <v>142</v>
      </c>
      <c r="F90">
        <v>12028</v>
      </c>
      <c r="G90">
        <v>0.78882543099074676</v>
      </c>
      <c r="H90">
        <v>0</v>
      </c>
      <c r="I90">
        <v>0</v>
      </c>
      <c r="J90">
        <v>0.6936238069878724</v>
      </c>
      <c r="K90">
        <v>0</v>
      </c>
      <c r="L90">
        <v>0</v>
      </c>
      <c r="M90">
        <v>0.50510719997931142</v>
      </c>
      <c r="N90">
        <v>0</v>
      </c>
      <c r="O90">
        <v>0</v>
      </c>
      <c r="P90">
        <v>0.62224556057773739</v>
      </c>
      <c r="Q90">
        <v>1.2349965382934189</v>
      </c>
      <c r="R90">
        <v>4.4264383509818446</v>
      </c>
      <c r="S90">
        <v>0.20220767394533959</v>
      </c>
      <c r="T90">
        <v>0.15735697760548101</v>
      </c>
      <c r="U90">
        <v>4.4179867093448619</v>
      </c>
      <c r="V90">
        <v>0.2101483876699779</v>
      </c>
      <c r="W90">
        <v>9.882636643249084</v>
      </c>
      <c r="X90">
        <v>0.32901136437044037</v>
      </c>
      <c r="Z90" t="s">
        <v>392</v>
      </c>
      <c r="AA90">
        <v>114</v>
      </c>
      <c r="AB90" t="s">
        <v>3523</v>
      </c>
      <c r="AC90" t="str">
        <f>HYPERLINK("plots/3FT6Y578R04_015_S21P_20251218081014_M5358ACSC201811_RBGEUFRF04/dpll_52046/txpa_53267.png","plot")</f>
        <v>plot</v>
      </c>
    </row>
    <row r="91" spans="1:29" x14ac:dyDescent="0.35">
      <c r="A91" t="s">
        <v>49</v>
      </c>
      <c r="B91">
        <v>52046</v>
      </c>
      <c r="C91" t="s">
        <v>51</v>
      </c>
      <c r="D91">
        <v>53268</v>
      </c>
      <c r="E91" t="s">
        <v>143</v>
      </c>
      <c r="F91">
        <v>12028</v>
      </c>
      <c r="G91">
        <v>0.80417838341222148</v>
      </c>
      <c r="H91">
        <v>0</v>
      </c>
      <c r="I91">
        <v>0</v>
      </c>
      <c r="J91">
        <v>0.70795994308426091</v>
      </c>
      <c r="K91">
        <v>0</v>
      </c>
      <c r="L91">
        <v>0</v>
      </c>
      <c r="M91">
        <v>0.52042639257801038</v>
      </c>
      <c r="N91">
        <v>0</v>
      </c>
      <c r="O91">
        <v>0</v>
      </c>
      <c r="P91">
        <v>0.64670287234749391</v>
      </c>
      <c r="Q91">
        <v>1.2728549365429691</v>
      </c>
      <c r="R91">
        <v>4.2914466491318599</v>
      </c>
      <c r="S91">
        <v>0.1976990478356718</v>
      </c>
      <c r="T91">
        <v>0.15551871723814009</v>
      </c>
      <c r="U91">
        <v>4.4179867093448619</v>
      </c>
      <c r="V91">
        <v>0.2101483876699779</v>
      </c>
      <c r="W91">
        <v>9.9149028417026948</v>
      </c>
      <c r="X91">
        <v>0.33262323157368762</v>
      </c>
      <c r="Z91" t="s">
        <v>392</v>
      </c>
      <c r="AA91">
        <v>114</v>
      </c>
      <c r="AB91" t="s">
        <v>3524</v>
      </c>
      <c r="AC91" t="str">
        <f>HYPERLINK("plots/3FT6Y578R04_015_S21P_20251218081014_M5358ACSC201811_RBGEUFRF04/dpll_52046/txpa_53268.png","plot")</f>
        <v>plot</v>
      </c>
    </row>
    <row r="92" spans="1:29" x14ac:dyDescent="0.35">
      <c r="A92" t="s">
        <v>49</v>
      </c>
      <c r="B92">
        <v>52046</v>
      </c>
      <c r="C92" t="s">
        <v>51</v>
      </c>
      <c r="D92">
        <v>53269</v>
      </c>
      <c r="E92" t="s">
        <v>144</v>
      </c>
      <c r="F92">
        <v>12028</v>
      </c>
      <c r="G92">
        <v>0.79751326612460527</v>
      </c>
      <c r="H92">
        <v>0</v>
      </c>
      <c r="I92">
        <v>0</v>
      </c>
      <c r="J92">
        <v>0.6975532210450105</v>
      </c>
      <c r="K92">
        <v>0</v>
      </c>
      <c r="L92">
        <v>0</v>
      </c>
      <c r="M92">
        <v>0.51018396880328276</v>
      </c>
      <c r="N92">
        <v>0</v>
      </c>
      <c r="O92">
        <v>0</v>
      </c>
      <c r="P92">
        <v>0.63602740964473548</v>
      </c>
      <c r="Q92">
        <v>1.235918383253265</v>
      </c>
      <c r="R92">
        <v>4.4733370798699426</v>
      </c>
      <c r="S92">
        <v>0.1964690856018225</v>
      </c>
      <c r="T92">
        <v>0.15384462750159589</v>
      </c>
      <c r="U92">
        <v>4.4179867093448619</v>
      </c>
      <c r="V92">
        <v>0.2101483876699779</v>
      </c>
      <c r="W92">
        <v>9.9336080709178578</v>
      </c>
      <c r="X92">
        <v>0.32567013812128781</v>
      </c>
      <c r="Z92" t="s">
        <v>392</v>
      </c>
      <c r="AA92">
        <v>114</v>
      </c>
      <c r="AB92" t="s">
        <v>3525</v>
      </c>
      <c r="AC92" t="str">
        <f>HYPERLINK("plots/3FT6Y578R04_015_S21P_20251218081014_M5358ACSC201811_RBGEUFRF04/dpll_52046/txpa_53269.png","plot")</f>
        <v>plot</v>
      </c>
    </row>
    <row r="93" spans="1:29" x14ac:dyDescent="0.35">
      <c r="A93" t="s">
        <v>49</v>
      </c>
      <c r="B93">
        <v>52046</v>
      </c>
      <c r="C93" t="s">
        <v>51</v>
      </c>
      <c r="D93">
        <v>53270</v>
      </c>
      <c r="E93" t="s">
        <v>145</v>
      </c>
      <c r="F93">
        <v>12027</v>
      </c>
      <c r="G93">
        <v>0.80836165031800955</v>
      </c>
      <c r="H93">
        <v>0</v>
      </c>
      <c r="I93">
        <v>0</v>
      </c>
      <c r="J93">
        <v>0.70889054768932835</v>
      </c>
      <c r="K93">
        <v>0</v>
      </c>
      <c r="L93">
        <v>0</v>
      </c>
      <c r="M93">
        <v>0.52138083856431239</v>
      </c>
      <c r="N93">
        <v>0</v>
      </c>
      <c r="O93">
        <v>0</v>
      </c>
      <c r="P93">
        <v>0.65344855770485599</v>
      </c>
      <c r="Q93">
        <v>1.2715350350075081</v>
      </c>
      <c r="R93">
        <v>4.3176473722646076</v>
      </c>
      <c r="S93">
        <v>0.19459353253380959</v>
      </c>
      <c r="T93">
        <v>0.15327773420160529</v>
      </c>
      <c r="U93">
        <v>4.417995080651866</v>
      </c>
      <c r="V93">
        <v>0.21015511914181201</v>
      </c>
      <c r="W93">
        <v>9.9352829018042748</v>
      </c>
      <c r="X93">
        <v>0.33056936418231442</v>
      </c>
      <c r="Z93" t="s">
        <v>392</v>
      </c>
      <c r="AA93">
        <v>114</v>
      </c>
      <c r="AB93" t="s">
        <v>3526</v>
      </c>
      <c r="AC93" t="str">
        <f>HYPERLINK("plots/3FT6Y578R04_015_S21P_20251218081014_M5358ACSC201811_RBGEUFRF04/dpll_52046/txpa_53270.png","plot")</f>
        <v>plot</v>
      </c>
    </row>
    <row r="94" spans="1:29" x14ac:dyDescent="0.35">
      <c r="A94" t="s">
        <v>49</v>
      </c>
      <c r="B94">
        <v>52046</v>
      </c>
      <c r="C94" t="s">
        <v>51</v>
      </c>
      <c r="D94">
        <v>53271</v>
      </c>
      <c r="E94" t="s">
        <v>146</v>
      </c>
      <c r="F94">
        <v>12027</v>
      </c>
      <c r="G94">
        <v>0.8093945976029876</v>
      </c>
      <c r="H94">
        <v>0</v>
      </c>
      <c r="I94">
        <v>0</v>
      </c>
      <c r="J94">
        <v>0.70483265200432055</v>
      </c>
      <c r="K94">
        <v>0</v>
      </c>
      <c r="L94">
        <v>0</v>
      </c>
      <c r="M94">
        <v>0.51618118299809734</v>
      </c>
      <c r="N94">
        <v>0</v>
      </c>
      <c r="O94">
        <v>0</v>
      </c>
      <c r="P94">
        <v>0.65511961462890222</v>
      </c>
      <c r="Q94">
        <v>1.2684641792126761</v>
      </c>
      <c r="R94">
        <v>4.3152977123006364</v>
      </c>
      <c r="S94">
        <v>0.1933890740520644</v>
      </c>
      <c r="T94">
        <v>0.15287084217046071</v>
      </c>
      <c r="U94">
        <v>4.4179587365926656</v>
      </c>
      <c r="V94">
        <v>0.21013472984942591</v>
      </c>
      <c r="W94">
        <v>9.9193201149081247</v>
      </c>
      <c r="X94">
        <v>0.32931820698075981</v>
      </c>
      <c r="Z94" t="s">
        <v>392</v>
      </c>
      <c r="AA94">
        <v>114</v>
      </c>
      <c r="AB94" t="s">
        <v>3527</v>
      </c>
      <c r="AC94" t="str">
        <f>HYPERLINK("plots/3FT6Y578R04_015_S21P_20251218081014_M5358ACSC201811_RBGEUFRF04/dpll_52046/txpa_53271.png","plot")</f>
        <v>plot</v>
      </c>
    </row>
    <row r="95" spans="1:29" x14ac:dyDescent="0.35">
      <c r="A95" t="s">
        <v>49</v>
      </c>
      <c r="B95">
        <v>52046</v>
      </c>
      <c r="C95" t="s">
        <v>51</v>
      </c>
      <c r="D95">
        <v>53272</v>
      </c>
      <c r="E95" t="s">
        <v>147</v>
      </c>
      <c r="F95">
        <v>12027</v>
      </c>
      <c r="G95">
        <v>0.81309869606691709</v>
      </c>
      <c r="H95">
        <v>0</v>
      </c>
      <c r="I95">
        <v>0</v>
      </c>
      <c r="J95">
        <v>0.71877319388309346</v>
      </c>
      <c r="K95">
        <v>0</v>
      </c>
      <c r="L95">
        <v>0</v>
      </c>
      <c r="M95">
        <v>0.52988574937383326</v>
      </c>
      <c r="N95">
        <v>0</v>
      </c>
      <c r="O95">
        <v>0</v>
      </c>
      <c r="P95">
        <v>0.66112948954572082</v>
      </c>
      <c r="Q95">
        <v>1.2821061477339279</v>
      </c>
      <c r="R95">
        <v>4.265381343785891</v>
      </c>
      <c r="S95">
        <v>0.19286896525501671</v>
      </c>
      <c r="T95">
        <v>0.1521973139044247</v>
      </c>
      <c r="U95">
        <v>4.417954512264072</v>
      </c>
      <c r="V95">
        <v>0.21012745463637059</v>
      </c>
      <c r="W95">
        <v>9.9296679843685052</v>
      </c>
      <c r="X95">
        <v>0.33133210359348692</v>
      </c>
      <c r="Z95" t="s">
        <v>392</v>
      </c>
      <c r="AA95">
        <v>114</v>
      </c>
      <c r="AB95" t="s">
        <v>3528</v>
      </c>
      <c r="AC95" t="str">
        <f>HYPERLINK("plots/3FT6Y578R04_015_S21P_20251218081014_M5358ACSC201811_RBGEUFRF04/dpll_52046/txpa_53272.png","plot")</f>
        <v>plot</v>
      </c>
    </row>
    <row r="96" spans="1:29" x14ac:dyDescent="0.35">
      <c r="A96" t="s">
        <v>49</v>
      </c>
      <c r="B96">
        <v>52046</v>
      </c>
      <c r="C96" t="s">
        <v>51</v>
      </c>
      <c r="D96">
        <v>53273</v>
      </c>
      <c r="E96" t="s">
        <v>148</v>
      </c>
      <c r="F96">
        <v>12028</v>
      </c>
      <c r="G96">
        <v>0.81134356061958746</v>
      </c>
      <c r="H96">
        <v>0</v>
      </c>
      <c r="I96">
        <v>0</v>
      </c>
      <c r="J96">
        <v>0.71063312220804109</v>
      </c>
      <c r="K96">
        <v>0</v>
      </c>
      <c r="L96">
        <v>0</v>
      </c>
      <c r="M96">
        <v>0.52274778612308959</v>
      </c>
      <c r="N96">
        <v>0</v>
      </c>
      <c r="O96">
        <v>0</v>
      </c>
      <c r="P96">
        <v>0.65827837335887018</v>
      </c>
      <c r="Q96">
        <v>1.265963600235654</v>
      </c>
      <c r="R96">
        <v>4.3441467289361588</v>
      </c>
      <c r="S96">
        <v>0.1916728787814507</v>
      </c>
      <c r="T96">
        <v>0.151369096901736</v>
      </c>
      <c r="U96">
        <v>4.4179867093448619</v>
      </c>
      <c r="V96">
        <v>0.2101483876699779</v>
      </c>
      <c r="W96">
        <v>9.9371570892916523</v>
      </c>
      <c r="X96">
        <v>0.32790080842601382</v>
      </c>
      <c r="Z96" t="s">
        <v>392</v>
      </c>
      <c r="AA96">
        <v>114</v>
      </c>
      <c r="AB96" t="s">
        <v>3529</v>
      </c>
      <c r="AC96" t="str">
        <f>HYPERLINK("plots/3FT6Y578R04_015_S21P_20251218081014_M5358ACSC201811_RBGEUFRF04/dpll_52046/txpa_53273.png","plot")</f>
        <v>plot</v>
      </c>
    </row>
    <row r="97" spans="1:29" x14ac:dyDescent="0.35">
      <c r="A97" t="s">
        <v>49</v>
      </c>
      <c r="B97">
        <v>52046</v>
      </c>
      <c r="C97" t="s">
        <v>51</v>
      </c>
      <c r="D97">
        <v>53274</v>
      </c>
      <c r="E97" t="s">
        <v>149</v>
      </c>
      <c r="F97">
        <v>12027</v>
      </c>
      <c r="G97">
        <v>0.80527309059395569</v>
      </c>
      <c r="H97">
        <v>0</v>
      </c>
      <c r="I97">
        <v>0</v>
      </c>
      <c r="J97">
        <v>0.70565050938621732</v>
      </c>
      <c r="K97">
        <v>0</v>
      </c>
      <c r="L97">
        <v>0</v>
      </c>
      <c r="M97">
        <v>0.51839144797564374</v>
      </c>
      <c r="N97">
        <v>0</v>
      </c>
      <c r="O97">
        <v>0</v>
      </c>
      <c r="P97">
        <v>0.64846475043474117</v>
      </c>
      <c r="Q97">
        <v>1.255313359447539</v>
      </c>
      <c r="R97">
        <v>4.3513166165726798</v>
      </c>
      <c r="S97">
        <v>0.19421691636194241</v>
      </c>
      <c r="T97">
        <v>0.1523827682433834</v>
      </c>
      <c r="U97">
        <v>4.418010118566559</v>
      </c>
      <c r="V97">
        <v>0.21014144114715341</v>
      </c>
      <c r="W97">
        <v>9.8973037405836877</v>
      </c>
      <c r="X97">
        <v>0.32758248292018688</v>
      </c>
      <c r="Z97" t="s">
        <v>392</v>
      </c>
      <c r="AA97">
        <v>114</v>
      </c>
      <c r="AB97" t="s">
        <v>3530</v>
      </c>
      <c r="AC97" t="str">
        <f>HYPERLINK("plots/3FT6Y578R04_015_S21P_20251218081014_M5358ACSC201811_RBGEUFRF04/dpll_52046/txpa_53274.png","plot")</f>
        <v>plot</v>
      </c>
    </row>
    <row r="98" spans="1:29" x14ac:dyDescent="0.35">
      <c r="A98" t="s">
        <v>49</v>
      </c>
      <c r="B98">
        <v>52046</v>
      </c>
      <c r="C98" t="s">
        <v>51</v>
      </c>
      <c r="D98">
        <v>53275</v>
      </c>
      <c r="E98" t="s">
        <v>150</v>
      </c>
      <c r="F98">
        <v>12028</v>
      </c>
      <c r="G98">
        <v>0.80030837150082279</v>
      </c>
      <c r="H98">
        <v>0</v>
      </c>
      <c r="I98">
        <v>0</v>
      </c>
      <c r="J98">
        <v>0.70150040938858171</v>
      </c>
      <c r="K98">
        <v>0</v>
      </c>
      <c r="L98">
        <v>0</v>
      </c>
      <c r="M98">
        <v>0.51192952024322247</v>
      </c>
      <c r="N98">
        <v>0</v>
      </c>
      <c r="O98">
        <v>0</v>
      </c>
      <c r="P98">
        <v>0.64049348949429896</v>
      </c>
      <c r="Q98">
        <v>1.314724777438053</v>
      </c>
      <c r="R98">
        <v>5.7066504404205958</v>
      </c>
      <c r="S98">
        <v>0.20698500104181619</v>
      </c>
      <c r="T98">
        <v>0.16051176468949149</v>
      </c>
      <c r="U98">
        <v>4.4179867093448619</v>
      </c>
      <c r="V98">
        <v>0.2101483876699779</v>
      </c>
      <c r="W98">
        <v>11.515087033588291</v>
      </c>
      <c r="X98">
        <v>0.34522604291924891</v>
      </c>
      <c r="Z98" t="s">
        <v>392</v>
      </c>
      <c r="AA98">
        <v>114</v>
      </c>
      <c r="AB98" t="s">
        <v>3531</v>
      </c>
      <c r="AC98" t="str">
        <f>HYPERLINK("plots/3FT6Y578R04_015_S21P_20251218081014_M5358ACSC201811_RBGEUFRF04/dpll_52046/txpa_53275.png","plot")</f>
        <v>plot</v>
      </c>
    </row>
    <row r="99" spans="1:29" x14ac:dyDescent="0.35">
      <c r="A99" t="s">
        <v>49</v>
      </c>
      <c r="B99">
        <v>52046</v>
      </c>
      <c r="C99" t="s">
        <v>51</v>
      </c>
      <c r="D99">
        <v>53276</v>
      </c>
      <c r="E99" t="s">
        <v>151</v>
      </c>
      <c r="F99">
        <v>12028</v>
      </c>
      <c r="G99">
        <v>0.81470408526422244</v>
      </c>
      <c r="H99">
        <v>0</v>
      </c>
      <c r="I99">
        <v>0</v>
      </c>
      <c r="J99">
        <v>0.71508218889654973</v>
      </c>
      <c r="K99">
        <v>0</v>
      </c>
      <c r="L99">
        <v>0</v>
      </c>
      <c r="M99">
        <v>0.52686536238198201</v>
      </c>
      <c r="N99">
        <v>0</v>
      </c>
      <c r="O99">
        <v>0</v>
      </c>
      <c r="P99">
        <v>0.66374274654621346</v>
      </c>
      <c r="Q99">
        <v>1.353206187250793</v>
      </c>
      <c r="R99">
        <v>5.5690660394134834</v>
      </c>
      <c r="S99">
        <v>0.20239879358746249</v>
      </c>
      <c r="T99">
        <v>0.15867621493615849</v>
      </c>
      <c r="U99">
        <v>4.4179867093448619</v>
      </c>
      <c r="V99">
        <v>0.2101483876699779</v>
      </c>
      <c r="W99">
        <v>11.54751298969072</v>
      </c>
      <c r="X99">
        <v>0.34905200990070551</v>
      </c>
      <c r="Z99" t="s">
        <v>392</v>
      </c>
      <c r="AA99">
        <v>114</v>
      </c>
      <c r="AB99" t="s">
        <v>3532</v>
      </c>
      <c r="AC99" t="str">
        <f>HYPERLINK("plots/3FT6Y578R04_015_S21P_20251218081014_M5358ACSC201811_RBGEUFRF04/dpll_52046/txpa_53276.png","plot")</f>
        <v>plot</v>
      </c>
    </row>
    <row r="100" spans="1:29" x14ac:dyDescent="0.35">
      <c r="A100" t="s">
        <v>49</v>
      </c>
      <c r="B100">
        <v>52046</v>
      </c>
      <c r="C100" t="s">
        <v>51</v>
      </c>
      <c r="D100">
        <v>53277</v>
      </c>
      <c r="E100" t="s">
        <v>152</v>
      </c>
      <c r="F100">
        <v>12028</v>
      </c>
      <c r="G100">
        <v>0.80911982302616381</v>
      </c>
      <c r="H100">
        <v>0</v>
      </c>
      <c r="I100">
        <v>0</v>
      </c>
      <c r="J100">
        <v>0.70562562550235663</v>
      </c>
      <c r="K100">
        <v>0</v>
      </c>
      <c r="L100">
        <v>0</v>
      </c>
      <c r="M100">
        <v>0.51731092252487776</v>
      </c>
      <c r="N100">
        <v>0</v>
      </c>
      <c r="O100">
        <v>0</v>
      </c>
      <c r="P100">
        <v>0.65467488801389062</v>
      </c>
      <c r="Q100">
        <v>1.316700790257765</v>
      </c>
      <c r="R100">
        <v>5.7493089613339396</v>
      </c>
      <c r="S100">
        <v>0.20095385581104261</v>
      </c>
      <c r="T100">
        <v>0.15677882292206091</v>
      </c>
      <c r="U100">
        <v>4.4179867093448619</v>
      </c>
      <c r="V100">
        <v>0.2101483876699779</v>
      </c>
      <c r="W100">
        <v>11.56647555287662</v>
      </c>
      <c r="X100">
        <v>0.34197969230511299</v>
      </c>
      <c r="Z100" t="s">
        <v>392</v>
      </c>
      <c r="AA100">
        <v>114</v>
      </c>
      <c r="AB100" t="s">
        <v>3533</v>
      </c>
      <c r="AC100" t="str">
        <f>HYPERLINK("plots/3FT6Y578R04_015_S21P_20251218081014_M5358ACSC201811_RBGEUFRF04/dpll_52046/txpa_53277.png","plot")</f>
        <v>plot</v>
      </c>
    </row>
    <row r="101" spans="1:29" x14ac:dyDescent="0.35">
      <c r="A101" t="s">
        <v>49</v>
      </c>
      <c r="B101">
        <v>52046</v>
      </c>
      <c r="C101" t="s">
        <v>51</v>
      </c>
      <c r="D101">
        <v>53278</v>
      </c>
      <c r="E101" t="s">
        <v>153</v>
      </c>
      <c r="F101">
        <v>12027</v>
      </c>
      <c r="G101">
        <v>0.8190079735208311</v>
      </c>
      <c r="H101">
        <v>0</v>
      </c>
      <c r="I101">
        <v>0</v>
      </c>
      <c r="J101">
        <v>0.71612450980673159</v>
      </c>
      <c r="K101">
        <v>0</v>
      </c>
      <c r="L101">
        <v>0</v>
      </c>
      <c r="M101">
        <v>0.52786442445310422</v>
      </c>
      <c r="N101">
        <v>0</v>
      </c>
      <c r="O101">
        <v>0</v>
      </c>
      <c r="P101">
        <v>0.67077406069069834</v>
      </c>
      <c r="Q101">
        <v>1.353135844180712</v>
      </c>
      <c r="R101">
        <v>5.5903936543517636</v>
      </c>
      <c r="S101">
        <v>0.19921507947592429</v>
      </c>
      <c r="T101">
        <v>0.15657911375710051</v>
      </c>
      <c r="U101">
        <v>4.417995080651866</v>
      </c>
      <c r="V101">
        <v>0.21015511914181201</v>
      </c>
      <c r="W101">
        <v>11.56854115739586</v>
      </c>
      <c r="X101">
        <v>0.3472108132554354</v>
      </c>
      <c r="Z101" t="s">
        <v>392</v>
      </c>
      <c r="AA101">
        <v>114</v>
      </c>
      <c r="AB101" t="s">
        <v>3534</v>
      </c>
      <c r="AC101" t="str">
        <f>HYPERLINK("plots/3FT6Y578R04_015_S21P_20251218081014_M5358ACSC201811_RBGEUFRF04/dpll_52046/txpa_53278.png","plot")</f>
        <v>plot</v>
      </c>
    </row>
    <row r="102" spans="1:29" x14ac:dyDescent="0.35">
      <c r="A102" t="s">
        <v>49</v>
      </c>
      <c r="B102">
        <v>52046</v>
      </c>
      <c r="C102" t="s">
        <v>51</v>
      </c>
      <c r="D102">
        <v>53279</v>
      </c>
      <c r="E102" t="s">
        <v>154</v>
      </c>
      <c r="F102">
        <v>12027</v>
      </c>
      <c r="G102">
        <v>0.81962611619040515</v>
      </c>
      <c r="H102">
        <v>0</v>
      </c>
      <c r="I102">
        <v>0</v>
      </c>
      <c r="J102">
        <v>0.71186768592322958</v>
      </c>
      <c r="K102">
        <v>0</v>
      </c>
      <c r="L102">
        <v>0</v>
      </c>
      <c r="M102">
        <v>0.52238367718950396</v>
      </c>
      <c r="N102">
        <v>0</v>
      </c>
      <c r="O102">
        <v>0</v>
      </c>
      <c r="P102">
        <v>0.67178697034136747</v>
      </c>
      <c r="Q102">
        <v>1.350204402801412</v>
      </c>
      <c r="R102">
        <v>5.5857858078804181</v>
      </c>
      <c r="S102">
        <v>0.1983085417568024</v>
      </c>
      <c r="T102">
        <v>0.15636328634681129</v>
      </c>
      <c r="U102">
        <v>4.4179587365926656</v>
      </c>
      <c r="V102">
        <v>0.21013472984942591</v>
      </c>
      <c r="W102">
        <v>11.5509331454228</v>
      </c>
      <c r="X102">
        <v>0.34616373468298423</v>
      </c>
      <c r="Z102" t="s">
        <v>392</v>
      </c>
      <c r="AA102">
        <v>114</v>
      </c>
      <c r="AB102" t="s">
        <v>3535</v>
      </c>
      <c r="AC102" t="str">
        <f>HYPERLINK("plots/3FT6Y578R04_015_S21P_20251218081014_M5358ACSC201811_RBGEUFRF04/dpll_52046/txpa_53279.png","plot")</f>
        <v>plot</v>
      </c>
    </row>
    <row r="103" spans="1:29" x14ac:dyDescent="0.35">
      <c r="A103" t="s">
        <v>49</v>
      </c>
      <c r="B103">
        <v>52046</v>
      </c>
      <c r="C103" t="s">
        <v>51</v>
      </c>
      <c r="D103">
        <v>53280</v>
      </c>
      <c r="E103" t="s">
        <v>155</v>
      </c>
      <c r="F103">
        <v>12027</v>
      </c>
      <c r="G103">
        <v>0.82324954581143717</v>
      </c>
      <c r="H103">
        <v>0</v>
      </c>
      <c r="I103">
        <v>0</v>
      </c>
      <c r="J103">
        <v>0.72512211650646707</v>
      </c>
      <c r="K103">
        <v>0</v>
      </c>
      <c r="L103">
        <v>0</v>
      </c>
      <c r="M103">
        <v>0.53573856032953115</v>
      </c>
      <c r="N103">
        <v>0</v>
      </c>
      <c r="O103">
        <v>0</v>
      </c>
      <c r="P103">
        <v>0.67773981467873756</v>
      </c>
      <c r="Q103">
        <v>1.362546431319247</v>
      </c>
      <c r="R103">
        <v>5.5427940739034423</v>
      </c>
      <c r="S103">
        <v>0.1974185151419566</v>
      </c>
      <c r="T103">
        <v>0.15538724996278361</v>
      </c>
      <c r="U103">
        <v>4.417954512264072</v>
      </c>
      <c r="V103">
        <v>0.21012745463637059</v>
      </c>
      <c r="W103">
        <v>11.562462228319619</v>
      </c>
      <c r="X103">
        <v>0.34777840436557222</v>
      </c>
      <c r="Z103" t="s">
        <v>392</v>
      </c>
      <c r="AA103">
        <v>114</v>
      </c>
      <c r="AB103" t="s">
        <v>3536</v>
      </c>
      <c r="AC103" t="str">
        <f>HYPERLINK("plots/3FT6Y578R04_015_S21P_20251218081014_M5358ACSC201811_RBGEUFRF04/dpll_52046/txpa_53280.png","plot")</f>
        <v>plot</v>
      </c>
    </row>
    <row r="104" spans="1:29" x14ac:dyDescent="0.35">
      <c r="A104" t="s">
        <v>49</v>
      </c>
      <c r="B104">
        <v>52046</v>
      </c>
      <c r="C104" t="s">
        <v>51</v>
      </c>
      <c r="D104">
        <v>53281</v>
      </c>
      <c r="E104" t="s">
        <v>156</v>
      </c>
      <c r="F104">
        <v>12028</v>
      </c>
      <c r="G104">
        <v>0.82191492267926169</v>
      </c>
      <c r="H104">
        <v>0</v>
      </c>
      <c r="I104">
        <v>0</v>
      </c>
      <c r="J104">
        <v>0.7175279481129454</v>
      </c>
      <c r="K104">
        <v>0</v>
      </c>
      <c r="L104">
        <v>0</v>
      </c>
      <c r="M104">
        <v>0.52893094108832495</v>
      </c>
      <c r="N104">
        <v>0</v>
      </c>
      <c r="O104">
        <v>0</v>
      </c>
      <c r="P104">
        <v>0.67554414012285668</v>
      </c>
      <c r="Q104">
        <v>1.346375628970147</v>
      </c>
      <c r="R104">
        <v>5.6223557046325743</v>
      </c>
      <c r="S104">
        <v>0.19607634166753621</v>
      </c>
      <c r="T104">
        <v>0.15426339673945691</v>
      </c>
      <c r="U104">
        <v>4.4179867093448619</v>
      </c>
      <c r="V104">
        <v>0.2101483876699779</v>
      </c>
      <c r="W104">
        <v>11.57062533920851</v>
      </c>
      <c r="X104">
        <v>0.34424325416055362</v>
      </c>
      <c r="Z104" t="s">
        <v>392</v>
      </c>
      <c r="AA104">
        <v>114</v>
      </c>
      <c r="AB104" t="s">
        <v>3537</v>
      </c>
      <c r="AC104" t="str">
        <f>HYPERLINK("plots/3FT6Y578R04_015_S21P_20251218081014_M5358ACSC201811_RBGEUFRF04/dpll_52046/txpa_53281.png","plot")</f>
        <v>plot</v>
      </c>
    </row>
    <row r="105" spans="1:29" x14ac:dyDescent="0.35">
      <c r="A105" t="s">
        <v>49</v>
      </c>
      <c r="B105">
        <v>52046</v>
      </c>
      <c r="C105" t="s">
        <v>51</v>
      </c>
      <c r="D105">
        <v>53282</v>
      </c>
      <c r="E105" t="s">
        <v>157</v>
      </c>
      <c r="F105">
        <v>12027</v>
      </c>
      <c r="G105">
        <v>0.81549140096406358</v>
      </c>
      <c r="H105">
        <v>0</v>
      </c>
      <c r="I105">
        <v>0</v>
      </c>
      <c r="J105">
        <v>0.71188113835442879</v>
      </c>
      <c r="K105">
        <v>0</v>
      </c>
      <c r="L105">
        <v>0</v>
      </c>
      <c r="M105">
        <v>0.52391775438535604</v>
      </c>
      <c r="N105">
        <v>0</v>
      </c>
      <c r="O105">
        <v>0</v>
      </c>
      <c r="P105">
        <v>0.66502622504633113</v>
      </c>
      <c r="Q105">
        <v>1.333425876992123</v>
      </c>
      <c r="R105">
        <v>5.6402826361209932</v>
      </c>
      <c r="S105">
        <v>0.1988605093112317</v>
      </c>
      <c r="T105">
        <v>0.15553282328090109</v>
      </c>
      <c r="U105">
        <v>4.418010118566559</v>
      </c>
      <c r="V105">
        <v>0.21014144114715341</v>
      </c>
      <c r="W105">
        <v>11.53137165303068</v>
      </c>
      <c r="X105">
        <v>0.34360636436236258</v>
      </c>
      <c r="Z105" t="s">
        <v>392</v>
      </c>
      <c r="AA105">
        <v>114</v>
      </c>
      <c r="AB105" t="s">
        <v>3538</v>
      </c>
      <c r="AC105" t="str">
        <f>HYPERLINK("plots/3FT6Y578R04_015_S21P_20251218081014_M5358ACSC201811_RBGEUFRF04/dpll_52046/txpa_53282.png","plot")</f>
        <v>plot</v>
      </c>
    </row>
    <row r="106" spans="1:29" x14ac:dyDescent="0.35">
      <c r="A106" t="s">
        <v>49</v>
      </c>
      <c r="B106">
        <v>52046</v>
      </c>
      <c r="C106" t="s">
        <v>51</v>
      </c>
      <c r="D106">
        <v>53283</v>
      </c>
      <c r="E106" t="s">
        <v>158</v>
      </c>
      <c r="F106">
        <v>12028</v>
      </c>
      <c r="G106">
        <v>0.80300188933197869</v>
      </c>
      <c r="H106">
        <v>0</v>
      </c>
      <c r="I106">
        <v>0</v>
      </c>
      <c r="J106">
        <v>0.70302691042943932</v>
      </c>
      <c r="K106">
        <v>0</v>
      </c>
      <c r="L106">
        <v>0</v>
      </c>
      <c r="M106">
        <v>0.51329122796927473</v>
      </c>
      <c r="N106">
        <v>0</v>
      </c>
      <c r="O106">
        <v>0</v>
      </c>
      <c r="P106">
        <v>0.64481203427072731</v>
      </c>
      <c r="Q106">
        <v>1.3344467887040099</v>
      </c>
      <c r="R106">
        <v>6.1952846698688067</v>
      </c>
      <c r="S106">
        <v>0.20812383665424089</v>
      </c>
      <c r="T106">
        <v>0.1612633089393187</v>
      </c>
      <c r="U106">
        <v>4.4179867093448619</v>
      </c>
      <c r="V106">
        <v>0.2101483876699779</v>
      </c>
      <c r="W106">
        <v>12.09085284669105</v>
      </c>
      <c r="X106">
        <v>0.34922936645992209</v>
      </c>
      <c r="Z106" t="s">
        <v>392</v>
      </c>
      <c r="AA106">
        <v>114</v>
      </c>
      <c r="AB106" t="s">
        <v>3539</v>
      </c>
      <c r="AC106" t="str">
        <f>HYPERLINK("plots/3FT6Y578R04_015_S21P_20251218081014_M5358ACSC201811_RBGEUFRF04/dpll_52046/txpa_53283.png","plot")</f>
        <v>plot</v>
      </c>
    </row>
    <row r="107" spans="1:29" x14ac:dyDescent="0.35">
      <c r="A107" t="s">
        <v>49</v>
      </c>
      <c r="B107">
        <v>52046</v>
      </c>
      <c r="C107" t="s">
        <v>51</v>
      </c>
      <c r="D107">
        <v>53284</v>
      </c>
      <c r="E107" t="s">
        <v>159</v>
      </c>
      <c r="F107">
        <v>12028</v>
      </c>
      <c r="G107">
        <v>0.81718251538620612</v>
      </c>
      <c r="H107">
        <v>0</v>
      </c>
      <c r="I107">
        <v>0</v>
      </c>
      <c r="J107">
        <v>0.71665254663906486</v>
      </c>
      <c r="K107">
        <v>0</v>
      </c>
      <c r="L107">
        <v>0</v>
      </c>
      <c r="M107">
        <v>0.52837271084051673</v>
      </c>
      <c r="N107">
        <v>0</v>
      </c>
      <c r="O107">
        <v>0</v>
      </c>
      <c r="P107">
        <v>0.66778726345292705</v>
      </c>
      <c r="Q107">
        <v>1.3740068571386099</v>
      </c>
      <c r="R107">
        <v>6.0533380276371931</v>
      </c>
      <c r="S107">
        <v>0.20365073493942809</v>
      </c>
      <c r="T107">
        <v>0.1594869680027946</v>
      </c>
      <c r="U107">
        <v>4.4179867093448619</v>
      </c>
      <c r="V107">
        <v>0.2101483876699779</v>
      </c>
      <c r="W107">
        <v>12.123682061024279</v>
      </c>
      <c r="X107">
        <v>0.35334251558075702</v>
      </c>
      <c r="Z107" t="s">
        <v>392</v>
      </c>
      <c r="AA107">
        <v>114</v>
      </c>
      <c r="AB107" t="s">
        <v>3540</v>
      </c>
      <c r="AC107" t="str">
        <f>HYPERLINK("plots/3FT6Y578R04_015_S21P_20251218081014_M5358ACSC201811_RBGEUFRF04/dpll_52046/txpa_53284.png","plot")</f>
        <v>plot</v>
      </c>
    </row>
    <row r="108" spans="1:29" x14ac:dyDescent="0.35">
      <c r="A108" t="s">
        <v>49</v>
      </c>
      <c r="B108">
        <v>52046</v>
      </c>
      <c r="C108" t="s">
        <v>51</v>
      </c>
      <c r="D108">
        <v>53285</v>
      </c>
      <c r="E108" t="s">
        <v>160</v>
      </c>
      <c r="F108">
        <v>12028</v>
      </c>
      <c r="G108">
        <v>0.81164221929893809</v>
      </c>
      <c r="H108">
        <v>0</v>
      </c>
      <c r="I108">
        <v>0</v>
      </c>
      <c r="J108">
        <v>0.70705614153966245</v>
      </c>
      <c r="K108">
        <v>0</v>
      </c>
      <c r="L108">
        <v>0</v>
      </c>
      <c r="M108">
        <v>0.51860473795855477</v>
      </c>
      <c r="N108">
        <v>0</v>
      </c>
      <c r="O108">
        <v>0</v>
      </c>
      <c r="P108">
        <v>0.65876309214850548</v>
      </c>
      <c r="Q108">
        <v>1.336934661185853</v>
      </c>
      <c r="R108">
        <v>6.2363898636197561</v>
      </c>
      <c r="S108">
        <v>0.20220019040457979</v>
      </c>
      <c r="T108">
        <v>0.15760596204539379</v>
      </c>
      <c r="U108">
        <v>4.4179867093448619</v>
      </c>
      <c r="V108">
        <v>0.2101483876699779</v>
      </c>
      <c r="W108">
        <v>12.14294942800133</v>
      </c>
      <c r="X108">
        <v>0.34615580213531999</v>
      </c>
      <c r="Z108" t="s">
        <v>392</v>
      </c>
      <c r="AA108">
        <v>114</v>
      </c>
      <c r="AB108" t="s">
        <v>3541</v>
      </c>
      <c r="AC108" t="str">
        <f>HYPERLINK("plots/3FT6Y578R04_015_S21P_20251218081014_M5358ACSC201811_RBGEUFRF04/dpll_52046/txpa_53285.png","plot")</f>
        <v>plot</v>
      </c>
    </row>
    <row r="109" spans="1:29" x14ac:dyDescent="0.35">
      <c r="A109" t="s">
        <v>49</v>
      </c>
      <c r="B109">
        <v>52046</v>
      </c>
      <c r="C109" t="s">
        <v>51</v>
      </c>
      <c r="D109">
        <v>53286</v>
      </c>
      <c r="E109" t="s">
        <v>161</v>
      </c>
      <c r="F109">
        <v>12027</v>
      </c>
      <c r="G109">
        <v>0.8213379776979749</v>
      </c>
      <c r="H109">
        <v>0</v>
      </c>
      <c r="I109">
        <v>0</v>
      </c>
      <c r="J109">
        <v>0.71746093615162754</v>
      </c>
      <c r="K109">
        <v>0</v>
      </c>
      <c r="L109">
        <v>0</v>
      </c>
      <c r="M109">
        <v>0.52908744820880083</v>
      </c>
      <c r="N109">
        <v>0</v>
      </c>
      <c r="O109">
        <v>0</v>
      </c>
      <c r="P109">
        <v>0.67459607360899909</v>
      </c>
      <c r="Q109">
        <v>1.3737194343674271</v>
      </c>
      <c r="R109">
        <v>6.0758614390320878</v>
      </c>
      <c r="S109">
        <v>0.2004977253640062</v>
      </c>
      <c r="T109">
        <v>0.15749633629745319</v>
      </c>
      <c r="U109">
        <v>4.417995080651866</v>
      </c>
      <c r="V109">
        <v>0.21015511914181201</v>
      </c>
      <c r="W109">
        <v>12.14494714226324</v>
      </c>
      <c r="X109">
        <v>0.35149253929065088</v>
      </c>
      <c r="Z109" t="s">
        <v>392</v>
      </c>
      <c r="AA109">
        <v>114</v>
      </c>
      <c r="AB109" t="s">
        <v>3542</v>
      </c>
      <c r="AC109" t="str">
        <f>HYPERLINK("plots/3FT6Y578R04_015_S21P_20251218081014_M5358ACSC201811_RBGEUFRF04/dpll_52046/txpa_53286.png","plot")</f>
        <v>plot</v>
      </c>
    </row>
    <row r="110" spans="1:29" x14ac:dyDescent="0.35">
      <c r="A110" t="s">
        <v>49</v>
      </c>
      <c r="B110">
        <v>52046</v>
      </c>
      <c r="C110" t="s">
        <v>51</v>
      </c>
      <c r="D110">
        <v>53287</v>
      </c>
      <c r="E110" t="s">
        <v>162</v>
      </c>
      <c r="F110">
        <v>12027</v>
      </c>
      <c r="G110">
        <v>0.82190649755780631</v>
      </c>
      <c r="H110">
        <v>0</v>
      </c>
      <c r="I110">
        <v>0</v>
      </c>
      <c r="J110">
        <v>0.71324803580879226</v>
      </c>
      <c r="K110">
        <v>0</v>
      </c>
      <c r="L110">
        <v>0</v>
      </c>
      <c r="M110">
        <v>0.52362461365138924</v>
      </c>
      <c r="N110">
        <v>0</v>
      </c>
      <c r="O110">
        <v>0</v>
      </c>
      <c r="P110">
        <v>0.67553029072774029</v>
      </c>
      <c r="Q110">
        <v>1.371211135001114</v>
      </c>
      <c r="R110">
        <v>6.0687048219121342</v>
      </c>
      <c r="S110">
        <v>0.1996865334231136</v>
      </c>
      <c r="T110">
        <v>0.1573662663787056</v>
      </c>
      <c r="U110">
        <v>4.4179587365926656</v>
      </c>
      <c r="V110">
        <v>0.21013472984942591</v>
      </c>
      <c r="W110">
        <v>12.126659035503449</v>
      </c>
      <c r="X110">
        <v>0.35057404008382143</v>
      </c>
      <c r="Z110" t="s">
        <v>392</v>
      </c>
      <c r="AA110">
        <v>114</v>
      </c>
      <c r="AB110" t="s">
        <v>3543</v>
      </c>
      <c r="AC110" t="str">
        <f>HYPERLINK("plots/3FT6Y578R04_015_S21P_20251218081014_M5358ACSC201811_RBGEUFRF04/dpll_52046/txpa_53287.png","plot")</f>
        <v>plot</v>
      </c>
    </row>
    <row r="111" spans="1:29" x14ac:dyDescent="0.35">
      <c r="A111" t="s">
        <v>49</v>
      </c>
      <c r="B111">
        <v>52046</v>
      </c>
      <c r="C111" t="s">
        <v>51</v>
      </c>
      <c r="D111">
        <v>53288</v>
      </c>
      <c r="E111" t="s">
        <v>163</v>
      </c>
      <c r="F111">
        <v>12027</v>
      </c>
      <c r="G111">
        <v>0.82546887932007018</v>
      </c>
      <c r="H111">
        <v>0</v>
      </c>
      <c r="I111">
        <v>0</v>
      </c>
      <c r="J111">
        <v>0.72624014516367563</v>
      </c>
      <c r="K111">
        <v>0</v>
      </c>
      <c r="L111">
        <v>0</v>
      </c>
      <c r="M111">
        <v>0.53680973824332678</v>
      </c>
      <c r="N111">
        <v>0</v>
      </c>
      <c r="O111">
        <v>0</v>
      </c>
      <c r="P111">
        <v>0.68139887072593264</v>
      </c>
      <c r="Q111">
        <v>1.382889139057327</v>
      </c>
      <c r="R111">
        <v>6.0290459942020664</v>
      </c>
      <c r="S111">
        <v>0.19868956569466839</v>
      </c>
      <c r="T111">
        <v>0.15626206383749919</v>
      </c>
      <c r="U111">
        <v>4.417954512264072</v>
      </c>
      <c r="V111">
        <v>0.21012745463637059</v>
      </c>
      <c r="W111">
        <v>12.13858730606136</v>
      </c>
      <c r="X111">
        <v>0.35202172015709188</v>
      </c>
      <c r="Z111" t="s">
        <v>392</v>
      </c>
      <c r="AA111">
        <v>114</v>
      </c>
      <c r="AB111" t="s">
        <v>3544</v>
      </c>
      <c r="AC111" t="str">
        <f>HYPERLINK("plots/3FT6Y578R04_015_S21P_20251218081014_M5358ACSC201811_RBGEUFRF04/dpll_52046/txpa_53288.png","plot")</f>
        <v>plot</v>
      </c>
    </row>
    <row r="112" spans="1:29" x14ac:dyDescent="0.35">
      <c r="A112" t="s">
        <v>49</v>
      </c>
      <c r="B112">
        <v>52046</v>
      </c>
      <c r="C112" t="s">
        <v>51</v>
      </c>
      <c r="D112">
        <v>53289</v>
      </c>
      <c r="E112" t="s">
        <v>164</v>
      </c>
      <c r="F112">
        <v>12028</v>
      </c>
      <c r="G112">
        <v>0.82429199735228376</v>
      </c>
      <c r="H112">
        <v>0</v>
      </c>
      <c r="I112">
        <v>0</v>
      </c>
      <c r="J112">
        <v>0.71889397514540876</v>
      </c>
      <c r="K112">
        <v>0</v>
      </c>
      <c r="L112">
        <v>0</v>
      </c>
      <c r="M112">
        <v>0.53017506502905687</v>
      </c>
      <c r="N112">
        <v>0</v>
      </c>
      <c r="O112">
        <v>0</v>
      </c>
      <c r="P112">
        <v>0.67945729689901735</v>
      </c>
      <c r="Q112">
        <v>1.3667337088692419</v>
      </c>
      <c r="R112">
        <v>6.1088453940735814</v>
      </c>
      <c r="S112">
        <v>0.19726669930099949</v>
      </c>
      <c r="T112">
        <v>0.15506715067409649</v>
      </c>
      <c r="U112">
        <v>4.4179867093448619</v>
      </c>
      <c r="V112">
        <v>0.2101483876699779</v>
      </c>
      <c r="W112">
        <v>12.1470567550715</v>
      </c>
      <c r="X112">
        <v>0.34844070573977698</v>
      </c>
      <c r="Z112" t="s">
        <v>392</v>
      </c>
      <c r="AA112">
        <v>114</v>
      </c>
      <c r="AB112" t="s">
        <v>3545</v>
      </c>
      <c r="AC112" t="str">
        <f>HYPERLINK("plots/3FT6Y578R04_015_S21P_20251218081014_M5358ACSC201811_RBGEUFRF04/dpll_52046/txpa_53289.png","plot")</f>
        <v>plot</v>
      </c>
    </row>
    <row r="113" spans="1:29" x14ac:dyDescent="0.35">
      <c r="A113" t="s">
        <v>49</v>
      </c>
      <c r="B113">
        <v>52046</v>
      </c>
      <c r="C113" t="s">
        <v>51</v>
      </c>
      <c r="D113">
        <v>53290</v>
      </c>
      <c r="E113" t="s">
        <v>165</v>
      </c>
      <c r="F113">
        <v>12027</v>
      </c>
      <c r="G113">
        <v>0.81758495053777058</v>
      </c>
      <c r="H113">
        <v>0</v>
      </c>
      <c r="I113">
        <v>0</v>
      </c>
      <c r="J113">
        <v>0.71275059923645134</v>
      </c>
      <c r="K113">
        <v>0</v>
      </c>
      <c r="L113">
        <v>0</v>
      </c>
      <c r="M113">
        <v>0.52473535774992686</v>
      </c>
      <c r="N113">
        <v>0</v>
      </c>
      <c r="O113">
        <v>0</v>
      </c>
      <c r="P113">
        <v>0.66844515134584881</v>
      </c>
      <c r="Q113">
        <v>1.3528141913560829</v>
      </c>
      <c r="R113">
        <v>6.1308998225126787</v>
      </c>
      <c r="S113">
        <v>0.2002057765503206</v>
      </c>
      <c r="T113">
        <v>0.15642056182430389</v>
      </c>
      <c r="U113">
        <v>4.418010118566559</v>
      </c>
      <c r="V113">
        <v>0.21014144114715341</v>
      </c>
      <c r="W113">
        <v>12.10764660846429</v>
      </c>
      <c r="X113">
        <v>0.3477098295276842</v>
      </c>
      <c r="Z113" t="s">
        <v>392</v>
      </c>
      <c r="AA113">
        <v>114</v>
      </c>
      <c r="AB113" t="s">
        <v>3546</v>
      </c>
      <c r="AC113" t="str">
        <f>HYPERLINK("plots/3FT6Y578R04_015_S21P_20251218081014_M5358ACSC201811_RBGEUFRF04/dpll_52046/txpa_53290.png","plot")</f>
        <v>plot</v>
      </c>
    </row>
    <row r="114" spans="1:29" x14ac:dyDescent="0.35">
      <c r="A114" t="s">
        <v>49</v>
      </c>
      <c r="B114">
        <v>52046</v>
      </c>
      <c r="C114" t="s">
        <v>51</v>
      </c>
      <c r="D114">
        <v>54146</v>
      </c>
      <c r="E114" t="s">
        <v>166</v>
      </c>
      <c r="F114">
        <v>12028</v>
      </c>
      <c r="G114">
        <v>-6.0913675742369656E-3</v>
      </c>
      <c r="H114">
        <v>0.5041395375868275</v>
      </c>
      <c r="I114">
        <v>0.50463720741662699</v>
      </c>
      <c r="J114">
        <v>-9.7035229687649997E-3</v>
      </c>
      <c r="K114">
        <v>0.28727364527719812</v>
      </c>
      <c r="L114">
        <v>0.28812608932846578</v>
      </c>
      <c r="M114">
        <v>-6.4241029190803831E-3</v>
      </c>
      <c r="N114">
        <v>0.29067264315901359</v>
      </c>
      <c r="O114">
        <v>0.29153517325740841</v>
      </c>
      <c r="P114">
        <v>3.7104758924465537E-5</v>
      </c>
      <c r="Q114">
        <v>-0.12695049321842189</v>
      </c>
      <c r="R114">
        <v>-11.32449946017833</v>
      </c>
      <c r="S114">
        <v>4.3794496340891573</v>
      </c>
      <c r="T114">
        <v>3.3759824506102589</v>
      </c>
      <c r="U114">
        <v>4.4179867093448619</v>
      </c>
      <c r="V114">
        <v>0.2101483876699779</v>
      </c>
      <c r="W114">
        <v>-11.88536505196209</v>
      </c>
      <c r="X114">
        <v>4.3797129525715333</v>
      </c>
      <c r="Z114" t="s">
        <v>392</v>
      </c>
      <c r="AA114">
        <v>114</v>
      </c>
      <c r="AB114" t="s">
        <v>3547</v>
      </c>
      <c r="AC114" t="str">
        <f>HYPERLINK("plots/3FT6Y578R04_015_S21P_20251218081014_M5358ACSC201811_RBGEUFRF04/dpll_52046/txpa_54146.png","plot")</f>
        <v>plot</v>
      </c>
    </row>
    <row r="115" spans="1:29" x14ac:dyDescent="0.35">
      <c r="A115" t="s">
        <v>49</v>
      </c>
      <c r="B115">
        <v>52046</v>
      </c>
      <c r="C115" t="s">
        <v>51</v>
      </c>
      <c r="D115">
        <v>54147</v>
      </c>
      <c r="E115" t="s">
        <v>167</v>
      </c>
      <c r="F115">
        <v>12028</v>
      </c>
      <c r="G115">
        <v>0.25802832039477819</v>
      </c>
      <c r="H115">
        <v>3.3665916478515951E-182</v>
      </c>
      <c r="I115">
        <v>3.4412539626224967E-182</v>
      </c>
      <c r="J115">
        <v>0.243861149050664</v>
      </c>
      <c r="K115">
        <v>2.337495500567298E-162</v>
      </c>
      <c r="L115">
        <v>2.3917461529518071E-162</v>
      </c>
      <c r="M115">
        <v>0.16490904154897451</v>
      </c>
      <c r="N115">
        <v>1.289121940828795E-161</v>
      </c>
      <c r="O115">
        <v>1.319041017154792E-161</v>
      </c>
      <c r="P115">
        <v>6.6578614125750335E-2</v>
      </c>
      <c r="Q115">
        <v>1.451204866034828</v>
      </c>
      <c r="R115">
        <v>-27.674371841107462</v>
      </c>
      <c r="S115">
        <v>1.141847833108633</v>
      </c>
      <c r="T115">
        <v>0.88141353631984332</v>
      </c>
      <c r="U115">
        <v>4.4179867093448619</v>
      </c>
      <c r="V115">
        <v>0.2101483876699779</v>
      </c>
      <c r="W115">
        <v>-21.262968030429001</v>
      </c>
      <c r="X115">
        <v>1.1819181797930169</v>
      </c>
      <c r="Z115" t="s">
        <v>392</v>
      </c>
      <c r="AA115">
        <v>114</v>
      </c>
      <c r="AB115" t="s">
        <v>3548</v>
      </c>
      <c r="AC115" t="str">
        <f>HYPERLINK("plots/3FT6Y578R04_015_S21P_20251218081014_M5358ACSC201811_RBGEUFRF04/dpll_52046/txpa_54147.png","plot")</f>
        <v>plot</v>
      </c>
    </row>
    <row r="116" spans="1:29" x14ac:dyDescent="0.35">
      <c r="A116" t="s">
        <v>49</v>
      </c>
      <c r="B116">
        <v>52046</v>
      </c>
      <c r="C116" t="s">
        <v>51</v>
      </c>
      <c r="D116">
        <v>54148</v>
      </c>
      <c r="E116" t="s">
        <v>168</v>
      </c>
      <c r="F116">
        <v>12028</v>
      </c>
      <c r="G116">
        <v>0.28380041689024788</v>
      </c>
      <c r="H116">
        <v>1.3298853976437811E-221</v>
      </c>
      <c r="I116">
        <v>1.4017710948137149E-221</v>
      </c>
      <c r="J116">
        <v>0.26196560023109278</v>
      </c>
      <c r="K116">
        <v>6.1161725391178457E-188</v>
      </c>
      <c r="L116">
        <v>6.4068171019271639E-188</v>
      </c>
      <c r="M116">
        <v>0.1768121587264497</v>
      </c>
      <c r="N116">
        <v>1.439497941123985E-185</v>
      </c>
      <c r="O116">
        <v>1.5079038350203719E-185</v>
      </c>
      <c r="P116">
        <v>8.0542676627078522E-2</v>
      </c>
      <c r="Q116">
        <v>1.574880603676734</v>
      </c>
      <c r="R116">
        <v>-28.120049459952579</v>
      </c>
      <c r="S116">
        <v>1.118171455205049</v>
      </c>
      <c r="T116">
        <v>0.86250720908251199</v>
      </c>
      <c r="U116">
        <v>4.4179867093448619</v>
      </c>
      <c r="V116">
        <v>0.2101483876699779</v>
      </c>
      <c r="W116">
        <v>-21.16224788410376</v>
      </c>
      <c r="X116">
        <v>1.1661667846082711</v>
      </c>
      <c r="Z116" t="s">
        <v>392</v>
      </c>
      <c r="AA116">
        <v>114</v>
      </c>
      <c r="AB116" t="s">
        <v>3549</v>
      </c>
      <c r="AC116" t="str">
        <f>HYPERLINK("plots/3FT6Y578R04_015_S21P_20251218081014_M5358ACSC201811_RBGEUFRF04/dpll_52046/txpa_54148.png","plot")</f>
        <v>plot</v>
      </c>
    </row>
    <row r="117" spans="1:29" x14ac:dyDescent="0.35">
      <c r="A117" t="s">
        <v>49</v>
      </c>
      <c r="B117">
        <v>52046</v>
      </c>
      <c r="C117" t="s">
        <v>51</v>
      </c>
      <c r="D117">
        <v>54149</v>
      </c>
      <c r="E117" t="s">
        <v>169</v>
      </c>
      <c r="F117">
        <v>12028</v>
      </c>
      <c r="G117">
        <v>0.26436569126051018</v>
      </c>
      <c r="H117">
        <v>1.7306444896048419E-191</v>
      </c>
      <c r="I117">
        <v>1.788861888337727E-191</v>
      </c>
      <c r="J117">
        <v>0.24896570331661291</v>
      </c>
      <c r="K117">
        <v>2.3206844492794049E-169</v>
      </c>
      <c r="L117">
        <v>2.381755092681495E-169</v>
      </c>
      <c r="M117">
        <v>0.16806991392048681</v>
      </c>
      <c r="N117">
        <v>8.4991196434948542E-168</v>
      </c>
      <c r="O117">
        <v>8.7316183571466893E-168</v>
      </c>
      <c r="P117">
        <v>6.9889218715647392E-2</v>
      </c>
      <c r="Q117">
        <v>1.490257904697077</v>
      </c>
      <c r="R117">
        <v>-27.779561530315451</v>
      </c>
      <c r="S117">
        <v>1.142435496707044</v>
      </c>
      <c r="T117">
        <v>0.87896576021772332</v>
      </c>
      <c r="U117">
        <v>4.4179867093448619</v>
      </c>
      <c r="V117">
        <v>0.2101483876699779</v>
      </c>
      <c r="W117">
        <v>-21.19562191386764</v>
      </c>
      <c r="X117">
        <v>1.1846291188213309</v>
      </c>
      <c r="Z117" t="s">
        <v>392</v>
      </c>
      <c r="AA117">
        <v>114</v>
      </c>
      <c r="AB117" t="s">
        <v>3550</v>
      </c>
      <c r="AC117" t="str">
        <f>HYPERLINK("plots/3FT6Y578R04_015_S21P_20251218081014_M5358ACSC201811_RBGEUFRF04/dpll_52046/txpa_54149.png","plot")</f>
        <v>plot</v>
      </c>
    </row>
    <row r="118" spans="1:29" x14ac:dyDescent="0.35">
      <c r="A118" t="s">
        <v>49</v>
      </c>
      <c r="B118">
        <v>52046</v>
      </c>
      <c r="C118" t="s">
        <v>51</v>
      </c>
      <c r="D118">
        <v>54150</v>
      </c>
      <c r="E118" t="s">
        <v>170</v>
      </c>
      <c r="F118">
        <v>12028</v>
      </c>
      <c r="G118">
        <v>0.27809824406024453</v>
      </c>
      <c r="H118">
        <v>1.647445534871668E-212</v>
      </c>
      <c r="I118">
        <v>1.7257332359089579E-212</v>
      </c>
      <c r="J118">
        <v>0.26203425429778271</v>
      </c>
      <c r="K118">
        <v>4.8472711793869558E-188</v>
      </c>
      <c r="L118">
        <v>5.0828676069269638E-188</v>
      </c>
      <c r="M118">
        <v>0.17714790301910049</v>
      </c>
      <c r="N118">
        <v>2.527200521414322E-186</v>
      </c>
      <c r="O118">
        <v>2.6500323978429401E-186</v>
      </c>
      <c r="P118">
        <v>7.7338633349391298E-2</v>
      </c>
      <c r="Q118">
        <v>1.5466811769057049</v>
      </c>
      <c r="R118">
        <v>-27.89670259649882</v>
      </c>
      <c r="S118">
        <v>1.122617297846535</v>
      </c>
      <c r="T118">
        <v>0.85463370986708997</v>
      </c>
      <c r="U118">
        <v>4.4179867093448619</v>
      </c>
      <c r="V118">
        <v>0.2101483876699779</v>
      </c>
      <c r="W118">
        <v>-21.063485713335549</v>
      </c>
      <c r="X118">
        <v>1.168768816446845</v>
      </c>
      <c r="Z118" t="s">
        <v>392</v>
      </c>
      <c r="AA118">
        <v>114</v>
      </c>
      <c r="AB118" t="s">
        <v>3551</v>
      </c>
      <c r="AC118" t="str">
        <f>HYPERLINK("plots/3FT6Y578R04_015_S21P_20251218081014_M5358ACSC201811_RBGEUFRF04/dpll_52046/txpa_54150.png","plot")</f>
        <v>plot</v>
      </c>
    </row>
    <row r="119" spans="1:29" x14ac:dyDescent="0.35">
      <c r="A119" t="s">
        <v>49</v>
      </c>
      <c r="B119">
        <v>52046</v>
      </c>
      <c r="C119" t="s">
        <v>51</v>
      </c>
      <c r="D119">
        <v>54151</v>
      </c>
      <c r="E119" t="s">
        <v>171</v>
      </c>
      <c r="F119">
        <v>12028</v>
      </c>
      <c r="G119">
        <v>0.26860693437168359</v>
      </c>
      <c r="H119">
        <v>7.5338967676955129E-198</v>
      </c>
      <c r="I119">
        <v>7.8352526384033338E-198</v>
      </c>
      <c r="J119">
        <v>0.26035866017119658</v>
      </c>
      <c r="K119">
        <v>1.3850371790001371E-185</v>
      </c>
      <c r="L119">
        <v>1.441917555961128E-185</v>
      </c>
      <c r="M119">
        <v>0.17651470673604441</v>
      </c>
      <c r="N119">
        <v>5.7045190138102218E-185</v>
      </c>
      <c r="O119">
        <v>5.9510105761353554E-185</v>
      </c>
      <c r="P119">
        <v>7.2149685192553964E-2</v>
      </c>
      <c r="Q119">
        <v>1.483513225302308</v>
      </c>
      <c r="R119">
        <v>-27.667850132044041</v>
      </c>
      <c r="S119">
        <v>1.1179468842082501</v>
      </c>
      <c r="T119">
        <v>0.85708083993552109</v>
      </c>
      <c r="U119">
        <v>4.4179867093448619</v>
      </c>
      <c r="V119">
        <v>0.2101483876699779</v>
      </c>
      <c r="W119">
        <v>-21.113708419521121</v>
      </c>
      <c r="X119">
        <v>1.1606472971877011</v>
      </c>
      <c r="Z119" t="s">
        <v>392</v>
      </c>
      <c r="AA119">
        <v>114</v>
      </c>
      <c r="AB119" t="s">
        <v>3552</v>
      </c>
      <c r="AC119" t="str">
        <f>HYPERLINK("plots/3FT6Y578R04_015_S21P_20251218081014_M5358ACSC201811_RBGEUFRF04/dpll_52046/txpa_54151.png","plot")</f>
        <v>plot</v>
      </c>
    </row>
    <row r="120" spans="1:29" x14ac:dyDescent="0.35">
      <c r="A120" t="s">
        <v>49</v>
      </c>
      <c r="B120">
        <v>52046</v>
      </c>
      <c r="C120" t="s">
        <v>51</v>
      </c>
      <c r="D120">
        <v>54152</v>
      </c>
      <c r="E120" t="s">
        <v>172</v>
      </c>
      <c r="F120">
        <v>12028</v>
      </c>
      <c r="G120">
        <v>0.27960949118987311</v>
      </c>
      <c r="H120">
        <v>6.7281341300254428E-215</v>
      </c>
      <c r="I120">
        <v>7.0697699563168892E-215</v>
      </c>
      <c r="J120">
        <v>0.26489504979361489</v>
      </c>
      <c r="K120">
        <v>2.8223502562318731E-192</v>
      </c>
      <c r="L120">
        <v>2.9873310645293518E-192</v>
      </c>
      <c r="M120">
        <v>0.17953299878986331</v>
      </c>
      <c r="N120">
        <v>2.9398908161685378E-191</v>
      </c>
      <c r="O120">
        <v>3.1117424713934218E-191</v>
      </c>
      <c r="P120">
        <v>7.8181467563459728E-2</v>
      </c>
      <c r="Q120">
        <v>1.54920540894945</v>
      </c>
      <c r="R120">
        <v>-27.99351106341836</v>
      </c>
      <c r="S120">
        <v>1.117861041888482</v>
      </c>
      <c r="T120">
        <v>0.86008552944768168</v>
      </c>
      <c r="U120">
        <v>4.4179867093448619</v>
      </c>
      <c r="V120">
        <v>0.2101483876699779</v>
      </c>
      <c r="W120">
        <v>-21.149142156634522</v>
      </c>
      <c r="X120">
        <v>1.164348954947517</v>
      </c>
      <c r="Z120" t="s">
        <v>392</v>
      </c>
      <c r="AA120">
        <v>114</v>
      </c>
      <c r="AB120" t="s">
        <v>3553</v>
      </c>
      <c r="AC120" t="str">
        <f>HYPERLINK("plots/3FT6Y578R04_015_S21P_20251218081014_M5358ACSC201811_RBGEUFRF04/dpll_52046/txpa_54152.png","plot")</f>
        <v>plot</v>
      </c>
    </row>
    <row r="121" spans="1:29" x14ac:dyDescent="0.35">
      <c r="A121" t="s">
        <v>49</v>
      </c>
      <c r="B121">
        <v>52046</v>
      </c>
      <c r="C121" t="s">
        <v>51</v>
      </c>
      <c r="D121">
        <v>54153</v>
      </c>
      <c r="E121" t="s">
        <v>173</v>
      </c>
      <c r="F121">
        <v>12028</v>
      </c>
      <c r="G121">
        <v>0.26183777111482082</v>
      </c>
      <c r="H121">
        <v>9.4280367250643727E-188</v>
      </c>
      <c r="I121">
        <v>9.7154768691212135E-188</v>
      </c>
      <c r="J121">
        <v>0.25049667819883792</v>
      </c>
      <c r="K121">
        <v>1.7111439792008811E-171</v>
      </c>
      <c r="L121">
        <v>1.7669042718021319E-171</v>
      </c>
      <c r="M121">
        <v>0.16872466681617981</v>
      </c>
      <c r="N121">
        <v>3.5768952280710267E-169</v>
      </c>
      <c r="O121">
        <v>3.6934539320407558E-169</v>
      </c>
      <c r="P121">
        <v>6.8559018382377296E-2</v>
      </c>
      <c r="Q121">
        <v>1.457098401456318</v>
      </c>
      <c r="R121">
        <v>-27.60782952947385</v>
      </c>
      <c r="S121">
        <v>1.1286057679492929</v>
      </c>
      <c r="T121">
        <v>0.86728546927055472</v>
      </c>
      <c r="U121">
        <v>4.4179867093448619</v>
      </c>
      <c r="V121">
        <v>0.2101483876699779</v>
      </c>
      <c r="W121">
        <v>-21.170388157632189</v>
      </c>
      <c r="X121">
        <v>1.16945266696557</v>
      </c>
      <c r="Z121" t="s">
        <v>392</v>
      </c>
      <c r="AA121">
        <v>114</v>
      </c>
      <c r="AB121" t="s">
        <v>3554</v>
      </c>
      <c r="AC121" t="str">
        <f>HYPERLINK("plots/3FT6Y578R04_015_S21P_20251218081014_M5358ACSC201811_RBGEUFRF04/dpll_52046/txpa_54153.png","plot")</f>
        <v>plot</v>
      </c>
    </row>
    <row r="122" spans="1:29" x14ac:dyDescent="0.35">
      <c r="A122" t="s">
        <v>49</v>
      </c>
      <c r="B122">
        <v>52046</v>
      </c>
      <c r="C122" t="s">
        <v>51</v>
      </c>
      <c r="D122">
        <v>54154</v>
      </c>
      <c r="E122" t="s">
        <v>174</v>
      </c>
      <c r="F122">
        <v>12028</v>
      </c>
      <c r="G122">
        <v>0.23239411714951111</v>
      </c>
      <c r="H122">
        <v>3.2286724873590052E-147</v>
      </c>
      <c r="I122">
        <v>3.2511160895551449E-147</v>
      </c>
      <c r="J122">
        <v>0.21680146038171419</v>
      </c>
      <c r="K122">
        <v>6.3506404125467663E-128</v>
      </c>
      <c r="L122">
        <v>6.4011425231833217E-128</v>
      </c>
      <c r="M122">
        <v>0.14646598344513229</v>
      </c>
      <c r="N122">
        <v>6.700763025483703E-128</v>
      </c>
      <c r="O122">
        <v>6.7540494113722424E-128</v>
      </c>
      <c r="P122">
        <v>5.4007025685700691E-2</v>
      </c>
      <c r="Q122">
        <v>1.3146924072656141</v>
      </c>
      <c r="R122">
        <v>-27.107817886299799</v>
      </c>
      <c r="S122">
        <v>1.1562479832816379</v>
      </c>
      <c r="T122">
        <v>0.89651522972937014</v>
      </c>
      <c r="U122">
        <v>4.4179867093448619</v>
      </c>
      <c r="V122">
        <v>0.2101483876699779</v>
      </c>
      <c r="W122">
        <v>-21.299524304123711</v>
      </c>
      <c r="X122">
        <v>1.1888445932178451</v>
      </c>
      <c r="Z122" t="s">
        <v>392</v>
      </c>
      <c r="AA122">
        <v>114</v>
      </c>
      <c r="AB122" t="s">
        <v>3555</v>
      </c>
      <c r="AC122" t="str">
        <f>HYPERLINK("plots/3FT6Y578R04_015_S21P_20251218081014_M5358ACSC201811_RBGEUFRF04/dpll_52046/txpa_54154.png","plot")</f>
        <v>plot</v>
      </c>
    </row>
    <row r="123" spans="1:29" x14ac:dyDescent="0.35">
      <c r="A123" t="s">
        <v>49</v>
      </c>
      <c r="B123">
        <v>52046</v>
      </c>
      <c r="C123" t="s">
        <v>51</v>
      </c>
      <c r="D123">
        <v>54155</v>
      </c>
      <c r="E123" t="s">
        <v>175</v>
      </c>
      <c r="F123">
        <v>12028</v>
      </c>
      <c r="G123">
        <v>0.52665473638782589</v>
      </c>
      <c r="H123">
        <v>0</v>
      </c>
      <c r="I123">
        <v>0</v>
      </c>
      <c r="J123">
        <v>0.46399757908853362</v>
      </c>
      <c r="K123">
        <v>0</v>
      </c>
      <c r="L123">
        <v>0</v>
      </c>
      <c r="M123">
        <v>0.32035467962886049</v>
      </c>
      <c r="N123">
        <v>0</v>
      </c>
      <c r="O123">
        <v>0</v>
      </c>
      <c r="P123">
        <v>0.27736521135973041</v>
      </c>
      <c r="Q123">
        <v>0.82095381301764836</v>
      </c>
      <c r="R123">
        <v>-15.2084994316389</v>
      </c>
      <c r="S123">
        <v>0.2784583021280666</v>
      </c>
      <c r="T123">
        <v>0.21626959755706879</v>
      </c>
      <c r="U123">
        <v>4.4179867093448619</v>
      </c>
      <c r="V123">
        <v>0.2101483876699779</v>
      </c>
      <c r="W123">
        <v>-11.58153639674094</v>
      </c>
      <c r="X123">
        <v>0.32758106637464079</v>
      </c>
      <c r="Z123" t="s">
        <v>392</v>
      </c>
      <c r="AA123">
        <v>114</v>
      </c>
      <c r="AB123" t="s">
        <v>3556</v>
      </c>
      <c r="AC123" t="str">
        <f>HYPERLINK("plots/3FT6Y578R04_015_S21P_20251218081014_M5358ACSC201811_RBGEUFRF04/dpll_52046/txpa_54155.png","plot")</f>
        <v>plot</v>
      </c>
    </row>
    <row r="124" spans="1:29" x14ac:dyDescent="0.35">
      <c r="A124" t="s">
        <v>49</v>
      </c>
      <c r="B124">
        <v>52046</v>
      </c>
      <c r="C124" t="s">
        <v>51</v>
      </c>
      <c r="D124">
        <v>54156</v>
      </c>
      <c r="E124" t="s">
        <v>176</v>
      </c>
      <c r="F124">
        <v>12028</v>
      </c>
      <c r="G124">
        <v>0.55455944417565184</v>
      </c>
      <c r="H124">
        <v>0</v>
      </c>
      <c r="I124">
        <v>0</v>
      </c>
      <c r="J124">
        <v>0.48376613789616418</v>
      </c>
      <c r="K124">
        <v>0</v>
      </c>
      <c r="L124">
        <v>0</v>
      </c>
      <c r="M124">
        <v>0.33636646452079161</v>
      </c>
      <c r="N124">
        <v>0</v>
      </c>
      <c r="O124">
        <v>0</v>
      </c>
      <c r="P124">
        <v>0.30753617712440789</v>
      </c>
      <c r="Q124">
        <v>0.86598604371174726</v>
      </c>
      <c r="R124">
        <v>-15.3448881829435</v>
      </c>
      <c r="S124">
        <v>0.27306707591013618</v>
      </c>
      <c r="T124">
        <v>0.21317488821199859</v>
      </c>
      <c r="U124">
        <v>4.4179867093448619</v>
      </c>
      <c r="V124">
        <v>0.2101483876699779</v>
      </c>
      <c r="W124">
        <v>-11.51897335134686</v>
      </c>
      <c r="X124">
        <v>0.32816242287830261</v>
      </c>
      <c r="Z124" t="s">
        <v>392</v>
      </c>
      <c r="AA124">
        <v>114</v>
      </c>
      <c r="AB124" t="s">
        <v>3557</v>
      </c>
      <c r="AC124" t="str">
        <f>HYPERLINK("plots/3FT6Y578R04_015_S21P_20251218081014_M5358ACSC201811_RBGEUFRF04/dpll_52046/txpa_54156.png","plot")</f>
        <v>plot</v>
      </c>
    </row>
    <row r="125" spans="1:29" x14ac:dyDescent="0.35">
      <c r="A125" t="s">
        <v>49</v>
      </c>
      <c r="B125">
        <v>52046</v>
      </c>
      <c r="C125" t="s">
        <v>51</v>
      </c>
      <c r="D125">
        <v>54157</v>
      </c>
      <c r="E125" t="s">
        <v>177</v>
      </c>
      <c r="F125">
        <v>12028</v>
      </c>
      <c r="G125">
        <v>0.54759032159643095</v>
      </c>
      <c r="H125">
        <v>0</v>
      </c>
      <c r="I125">
        <v>0</v>
      </c>
      <c r="J125">
        <v>0.47888605664537542</v>
      </c>
      <c r="K125">
        <v>0</v>
      </c>
      <c r="L125">
        <v>0</v>
      </c>
      <c r="M125">
        <v>0.33235389562830098</v>
      </c>
      <c r="N125">
        <v>0</v>
      </c>
      <c r="O125">
        <v>0</v>
      </c>
      <c r="P125">
        <v>0.29985516030608272</v>
      </c>
      <c r="Q125">
        <v>0.83677336463824548</v>
      </c>
      <c r="R125">
        <v>-15.210490928281541</v>
      </c>
      <c r="S125">
        <v>0.26869156835815122</v>
      </c>
      <c r="T125">
        <v>0.20986895189019619</v>
      </c>
      <c r="U125">
        <v>4.4179867093448619</v>
      </c>
      <c r="V125">
        <v>0.2101483876699779</v>
      </c>
      <c r="W125">
        <v>-11.51363732457599</v>
      </c>
      <c r="X125">
        <v>0.32112797923683389</v>
      </c>
      <c r="Z125" t="s">
        <v>392</v>
      </c>
      <c r="AA125">
        <v>114</v>
      </c>
      <c r="AB125" t="s">
        <v>3558</v>
      </c>
      <c r="AC125" t="str">
        <f>HYPERLINK("plots/3FT6Y578R04_015_S21P_20251218081014_M5358ACSC201811_RBGEUFRF04/dpll_52046/txpa_54157.png","plot")</f>
        <v>plot</v>
      </c>
    </row>
    <row r="126" spans="1:29" x14ac:dyDescent="0.35">
      <c r="A126" t="s">
        <v>49</v>
      </c>
      <c r="B126">
        <v>52046</v>
      </c>
      <c r="C126" t="s">
        <v>51</v>
      </c>
      <c r="D126">
        <v>54158</v>
      </c>
      <c r="E126" t="s">
        <v>178</v>
      </c>
      <c r="F126">
        <v>12028</v>
      </c>
      <c r="G126">
        <v>0.57449843640466502</v>
      </c>
      <c r="H126">
        <v>0</v>
      </c>
      <c r="I126">
        <v>0</v>
      </c>
      <c r="J126">
        <v>0.49861706961476149</v>
      </c>
      <c r="K126">
        <v>0</v>
      </c>
      <c r="L126">
        <v>0</v>
      </c>
      <c r="M126">
        <v>0.34710891155049228</v>
      </c>
      <c r="N126">
        <v>0</v>
      </c>
      <c r="O126">
        <v>0</v>
      </c>
      <c r="P126">
        <v>0.33004845343140488</v>
      </c>
      <c r="Q126">
        <v>0.90174194863360679</v>
      </c>
      <c r="R126">
        <v>-15.4474029857254</v>
      </c>
      <c r="S126">
        <v>0.26997473738436639</v>
      </c>
      <c r="T126">
        <v>0.2111358313766539</v>
      </c>
      <c r="U126">
        <v>4.4179867093448619</v>
      </c>
      <c r="V126">
        <v>0.2101483876699779</v>
      </c>
      <c r="W126">
        <v>-11.463519041403391</v>
      </c>
      <c r="X126">
        <v>0.3298522756400627</v>
      </c>
      <c r="Z126" t="s">
        <v>392</v>
      </c>
      <c r="AA126">
        <v>114</v>
      </c>
      <c r="AB126" t="s">
        <v>3559</v>
      </c>
      <c r="AC126" t="str">
        <f>HYPERLINK("plots/3FT6Y578R04_015_S21P_20251218081014_M5358ACSC201811_RBGEUFRF04/dpll_52046/txpa_54158.png","plot")</f>
        <v>plot</v>
      </c>
    </row>
    <row r="127" spans="1:29" x14ac:dyDescent="0.35">
      <c r="A127" t="s">
        <v>49</v>
      </c>
      <c r="B127">
        <v>52046</v>
      </c>
      <c r="C127" t="s">
        <v>51</v>
      </c>
      <c r="D127">
        <v>54159</v>
      </c>
      <c r="E127" t="s">
        <v>179</v>
      </c>
      <c r="F127">
        <v>12027</v>
      </c>
      <c r="G127">
        <v>0.56296623698091697</v>
      </c>
      <c r="H127">
        <v>0</v>
      </c>
      <c r="I127">
        <v>0</v>
      </c>
      <c r="J127">
        <v>0.4838882277977683</v>
      </c>
      <c r="K127">
        <v>0</v>
      </c>
      <c r="L127">
        <v>0</v>
      </c>
      <c r="M127">
        <v>0.33571158331765077</v>
      </c>
      <c r="N127">
        <v>0</v>
      </c>
      <c r="O127">
        <v>0</v>
      </c>
      <c r="P127">
        <v>0.31693098398045388</v>
      </c>
      <c r="Q127">
        <v>0.87240418935100716</v>
      </c>
      <c r="R127">
        <v>-15.33567372132492</v>
      </c>
      <c r="S127">
        <v>0.26912092467004589</v>
      </c>
      <c r="T127">
        <v>0.21160538470203319</v>
      </c>
      <c r="U127">
        <v>4.4179587365926656</v>
      </c>
      <c r="V127">
        <v>0.21013472984942591</v>
      </c>
      <c r="W127">
        <v>-11.481428011141601</v>
      </c>
      <c r="X127">
        <v>0.32563661300881058</v>
      </c>
      <c r="Z127" t="s">
        <v>392</v>
      </c>
      <c r="AA127">
        <v>114</v>
      </c>
      <c r="AB127" t="s">
        <v>3560</v>
      </c>
      <c r="AC127" t="str">
        <f>HYPERLINK("plots/3FT6Y578R04_015_S21P_20251218081014_M5358ACSC201811_RBGEUFRF04/dpll_52046/txpa_54159.png","plot")</f>
        <v>plot</v>
      </c>
    </row>
    <row r="128" spans="1:29" x14ac:dyDescent="0.35">
      <c r="A128" t="s">
        <v>49</v>
      </c>
      <c r="B128">
        <v>52046</v>
      </c>
      <c r="C128" t="s">
        <v>51</v>
      </c>
      <c r="D128">
        <v>54160</v>
      </c>
      <c r="E128" t="s">
        <v>180</v>
      </c>
      <c r="F128">
        <v>12028</v>
      </c>
      <c r="G128">
        <v>0.5663739938318838</v>
      </c>
      <c r="H128">
        <v>0</v>
      </c>
      <c r="I128">
        <v>0</v>
      </c>
      <c r="J128">
        <v>0.49538754133597079</v>
      </c>
      <c r="K128">
        <v>0</v>
      </c>
      <c r="L128">
        <v>0</v>
      </c>
      <c r="M128">
        <v>0.34537078056277598</v>
      </c>
      <c r="N128">
        <v>0</v>
      </c>
      <c r="O128">
        <v>0</v>
      </c>
      <c r="P128">
        <v>0.32077950088907881</v>
      </c>
      <c r="Q128">
        <v>0.8746134144988571</v>
      </c>
      <c r="R128">
        <v>-15.36125435111391</v>
      </c>
      <c r="S128">
        <v>0.26743991823995489</v>
      </c>
      <c r="T128">
        <v>0.20938309696418439</v>
      </c>
      <c r="U128">
        <v>4.4179867093448619</v>
      </c>
      <c r="V128">
        <v>0.2101483876699779</v>
      </c>
      <c r="W128">
        <v>-11.49722391004323</v>
      </c>
      <c r="X128">
        <v>0.3245180762060656</v>
      </c>
      <c r="Z128" t="s">
        <v>392</v>
      </c>
      <c r="AA128">
        <v>114</v>
      </c>
      <c r="AB128" t="s">
        <v>3561</v>
      </c>
      <c r="AC128" t="str">
        <f>HYPERLINK("plots/3FT6Y578R04_015_S21P_20251218081014_M5358ACSC201811_RBGEUFRF04/dpll_52046/txpa_54160.png","plot")</f>
        <v>plot</v>
      </c>
    </row>
    <row r="129" spans="1:29" x14ac:dyDescent="0.35">
      <c r="A129" t="s">
        <v>49</v>
      </c>
      <c r="B129">
        <v>52046</v>
      </c>
      <c r="C129" t="s">
        <v>51</v>
      </c>
      <c r="D129">
        <v>54161</v>
      </c>
      <c r="E129" t="s">
        <v>181</v>
      </c>
      <c r="F129">
        <v>12028</v>
      </c>
      <c r="G129">
        <v>0.55526899685779874</v>
      </c>
      <c r="H129">
        <v>0</v>
      </c>
      <c r="I129">
        <v>0</v>
      </c>
      <c r="J129">
        <v>0.48207105940077211</v>
      </c>
      <c r="K129">
        <v>0</v>
      </c>
      <c r="L129">
        <v>0</v>
      </c>
      <c r="M129">
        <v>0.33489516489742321</v>
      </c>
      <c r="N129">
        <v>0</v>
      </c>
      <c r="O129">
        <v>0</v>
      </c>
      <c r="P129">
        <v>0.30832365887146612</v>
      </c>
      <c r="Q129">
        <v>0.85103343101202344</v>
      </c>
      <c r="R129">
        <v>-15.25900457697697</v>
      </c>
      <c r="S129">
        <v>0.26785679230568671</v>
      </c>
      <c r="T129">
        <v>0.2097759873317312</v>
      </c>
      <c r="U129">
        <v>4.4179867093448619</v>
      </c>
      <c r="V129">
        <v>0.2101483876699779</v>
      </c>
      <c r="W129">
        <v>-11.4991501895577</v>
      </c>
      <c r="X129">
        <v>0.32208407887434592</v>
      </c>
      <c r="Z129" t="s">
        <v>392</v>
      </c>
      <c r="AA129">
        <v>114</v>
      </c>
      <c r="AB129" t="s">
        <v>3562</v>
      </c>
      <c r="AC129" t="str">
        <f>HYPERLINK("plots/3FT6Y578R04_015_S21P_20251218081014_M5358ACSC201811_RBGEUFRF04/dpll_52046/txpa_54161.png","plot")</f>
        <v>plot</v>
      </c>
    </row>
    <row r="130" spans="1:29" x14ac:dyDescent="0.35">
      <c r="A130" t="s">
        <v>49</v>
      </c>
      <c r="B130">
        <v>52046</v>
      </c>
      <c r="C130" t="s">
        <v>51</v>
      </c>
      <c r="D130">
        <v>54162</v>
      </c>
      <c r="E130" t="s">
        <v>182</v>
      </c>
      <c r="F130">
        <v>12028</v>
      </c>
      <c r="G130">
        <v>0.54221914957388762</v>
      </c>
      <c r="H130">
        <v>0</v>
      </c>
      <c r="I130">
        <v>0</v>
      </c>
      <c r="J130">
        <v>0.46899006611929361</v>
      </c>
      <c r="K130">
        <v>0</v>
      </c>
      <c r="L130">
        <v>0</v>
      </c>
      <c r="M130">
        <v>0.32574428681829559</v>
      </c>
      <c r="N130">
        <v>0</v>
      </c>
      <c r="O130">
        <v>0</v>
      </c>
      <c r="P130">
        <v>0.29400160616462989</v>
      </c>
      <c r="Q130">
        <v>0.83182596925369889</v>
      </c>
      <c r="R130">
        <v>-15.251050515460189</v>
      </c>
      <c r="S130">
        <v>0.27087410402137002</v>
      </c>
      <c r="T130">
        <v>0.2118466040624957</v>
      </c>
      <c r="U130">
        <v>4.4179867093448619</v>
      </c>
      <c r="V130">
        <v>0.2101483876699779</v>
      </c>
      <c r="W130">
        <v>-11.57605443880944</v>
      </c>
      <c r="X130">
        <v>0.32239157616999792</v>
      </c>
      <c r="Z130" t="s">
        <v>392</v>
      </c>
      <c r="AA130">
        <v>114</v>
      </c>
      <c r="AB130" t="s">
        <v>3563</v>
      </c>
      <c r="AC130" t="str">
        <f>HYPERLINK("plots/3FT6Y578R04_015_S21P_20251218081014_M5358ACSC201811_RBGEUFRF04/dpll_52046/txpa_54162.png","plot")</f>
        <v>plot</v>
      </c>
    </row>
    <row r="131" spans="1:29" x14ac:dyDescent="0.35">
      <c r="A131" t="s">
        <v>49</v>
      </c>
      <c r="B131">
        <v>52046</v>
      </c>
      <c r="C131" t="s">
        <v>51</v>
      </c>
      <c r="D131">
        <v>54163</v>
      </c>
      <c r="E131" t="s">
        <v>183</v>
      </c>
      <c r="F131">
        <v>12028</v>
      </c>
      <c r="G131">
        <v>0.52093431836667281</v>
      </c>
      <c r="H131">
        <v>0</v>
      </c>
      <c r="I131">
        <v>0</v>
      </c>
      <c r="J131">
        <v>0.4602338897759693</v>
      </c>
      <c r="K131">
        <v>0</v>
      </c>
      <c r="L131">
        <v>0</v>
      </c>
      <c r="M131">
        <v>0.31687870311596023</v>
      </c>
      <c r="N131">
        <v>0</v>
      </c>
      <c r="O131">
        <v>0</v>
      </c>
      <c r="P131">
        <v>0.27137256405214999</v>
      </c>
      <c r="Q131">
        <v>0.71471087270212863</v>
      </c>
      <c r="R131">
        <v>-8.8846414190466145</v>
      </c>
      <c r="S131">
        <v>0.2460980588438676</v>
      </c>
      <c r="T131">
        <v>0.19154754220806069</v>
      </c>
      <c r="U131">
        <v>4.4179867093448619</v>
      </c>
      <c r="V131">
        <v>0.2101483876699779</v>
      </c>
      <c r="W131">
        <v>-5.727058282424343</v>
      </c>
      <c r="X131">
        <v>0.28831914552966043</v>
      </c>
      <c r="Z131" t="s">
        <v>392</v>
      </c>
      <c r="AA131">
        <v>114</v>
      </c>
      <c r="AB131" t="s">
        <v>3564</v>
      </c>
      <c r="AC131" t="str">
        <f>HYPERLINK("plots/3FT6Y578R04_015_S21P_20251218081014_M5358ACSC201811_RBGEUFRF04/dpll_52046/txpa_54163.png","plot")</f>
        <v>plot</v>
      </c>
    </row>
    <row r="132" spans="1:29" x14ac:dyDescent="0.35">
      <c r="A132" t="s">
        <v>49</v>
      </c>
      <c r="B132">
        <v>52046</v>
      </c>
      <c r="C132" t="s">
        <v>51</v>
      </c>
      <c r="D132">
        <v>54164</v>
      </c>
      <c r="E132" t="s">
        <v>184</v>
      </c>
      <c r="F132">
        <v>12028</v>
      </c>
      <c r="G132">
        <v>0.54790101927776358</v>
      </c>
      <c r="H132">
        <v>0</v>
      </c>
      <c r="I132">
        <v>0</v>
      </c>
      <c r="J132">
        <v>0.48137601219381421</v>
      </c>
      <c r="K132">
        <v>0</v>
      </c>
      <c r="L132">
        <v>0</v>
      </c>
      <c r="M132">
        <v>0.3339960196559848</v>
      </c>
      <c r="N132">
        <v>0</v>
      </c>
      <c r="O132">
        <v>0</v>
      </c>
      <c r="P132">
        <v>0.30019552692561219</v>
      </c>
      <c r="Q132">
        <v>0.75476038947066904</v>
      </c>
      <c r="R132">
        <v>-9.0182357709012475</v>
      </c>
      <c r="S132">
        <v>0.24216052900390869</v>
      </c>
      <c r="T132">
        <v>0.18995507607826209</v>
      </c>
      <c r="U132">
        <v>4.4179867093448619</v>
      </c>
      <c r="V132">
        <v>0.2101483876699779</v>
      </c>
      <c r="W132">
        <v>-5.6837144014798797</v>
      </c>
      <c r="X132">
        <v>0.28948965843046931</v>
      </c>
      <c r="Z132" t="s">
        <v>392</v>
      </c>
      <c r="AA132">
        <v>114</v>
      </c>
      <c r="AB132" t="s">
        <v>3565</v>
      </c>
      <c r="AC132" t="str">
        <f>HYPERLINK("plots/3FT6Y578R04_015_S21P_20251218081014_M5358ACSC201811_RBGEUFRF04/dpll_52046/txpa_54164.png","plot")</f>
        <v>plot</v>
      </c>
    </row>
    <row r="133" spans="1:29" x14ac:dyDescent="0.35">
      <c r="A133" t="s">
        <v>49</v>
      </c>
      <c r="B133">
        <v>52046</v>
      </c>
      <c r="C133" t="s">
        <v>51</v>
      </c>
      <c r="D133">
        <v>54165</v>
      </c>
      <c r="E133" t="s">
        <v>185</v>
      </c>
      <c r="F133">
        <v>12028</v>
      </c>
      <c r="G133">
        <v>0.53402785571706557</v>
      </c>
      <c r="H133">
        <v>0</v>
      </c>
      <c r="I133">
        <v>0</v>
      </c>
      <c r="J133">
        <v>0.46516378265741359</v>
      </c>
      <c r="K133">
        <v>0</v>
      </c>
      <c r="L133">
        <v>0</v>
      </c>
      <c r="M133">
        <v>0.32173116791560691</v>
      </c>
      <c r="N133">
        <v>0</v>
      </c>
      <c r="O133">
        <v>0</v>
      </c>
      <c r="P133">
        <v>0.28518575068176699</v>
      </c>
      <c r="Q133">
        <v>0.7193532151323272</v>
      </c>
      <c r="R133">
        <v>-8.8524678920664446</v>
      </c>
      <c r="S133">
        <v>0.2393221449685704</v>
      </c>
      <c r="T133">
        <v>0.1879885987900369</v>
      </c>
      <c r="U133">
        <v>4.4179867093448619</v>
      </c>
      <c r="V133">
        <v>0.2101483876699779</v>
      </c>
      <c r="W133">
        <v>-5.674374948287328</v>
      </c>
      <c r="X133">
        <v>0.28307684085559298</v>
      </c>
      <c r="Z133" t="s">
        <v>392</v>
      </c>
      <c r="AA133">
        <v>114</v>
      </c>
      <c r="AB133" t="s">
        <v>3566</v>
      </c>
      <c r="AC133" t="str">
        <f>HYPERLINK("plots/3FT6Y578R04_015_S21P_20251218081014_M5358ACSC201811_RBGEUFRF04/dpll_52046/txpa_54165.png","plot")</f>
        <v>plot</v>
      </c>
    </row>
    <row r="134" spans="1:29" x14ac:dyDescent="0.35">
      <c r="A134" t="s">
        <v>49</v>
      </c>
      <c r="B134">
        <v>52046</v>
      </c>
      <c r="C134" t="s">
        <v>51</v>
      </c>
      <c r="D134">
        <v>54166</v>
      </c>
      <c r="E134" t="s">
        <v>186</v>
      </c>
      <c r="F134">
        <v>12028</v>
      </c>
      <c r="G134">
        <v>0.5641278585443289</v>
      </c>
      <c r="H134">
        <v>0</v>
      </c>
      <c r="I134">
        <v>0</v>
      </c>
      <c r="J134">
        <v>0.49017374042234291</v>
      </c>
      <c r="K134">
        <v>0</v>
      </c>
      <c r="L134">
        <v>0</v>
      </c>
      <c r="M134">
        <v>0.34126039598455282</v>
      </c>
      <c r="N134">
        <v>0</v>
      </c>
      <c r="O134">
        <v>0</v>
      </c>
      <c r="P134">
        <v>0.31824024078581042</v>
      </c>
      <c r="Q134">
        <v>0.77919289051431373</v>
      </c>
      <c r="R134">
        <v>-9.0902711859045198</v>
      </c>
      <c r="S134">
        <v>0.2396575547929207</v>
      </c>
      <c r="T134">
        <v>0.18807132178395519</v>
      </c>
      <c r="U134">
        <v>4.4179867093448619</v>
      </c>
      <c r="V134">
        <v>0.2101483876699779</v>
      </c>
      <c r="W134">
        <v>-5.647807351596275</v>
      </c>
      <c r="X134">
        <v>0.29026421430067628</v>
      </c>
      <c r="Z134" t="s">
        <v>392</v>
      </c>
      <c r="AA134">
        <v>114</v>
      </c>
      <c r="AB134" t="s">
        <v>3567</v>
      </c>
      <c r="AC134" t="str">
        <f>HYPERLINK("plots/3FT6Y578R04_015_S21P_20251218081014_M5358ACSC201811_RBGEUFRF04/dpll_52046/txpa_54166.png","plot")</f>
        <v>plot</v>
      </c>
    </row>
    <row r="135" spans="1:29" x14ac:dyDescent="0.35">
      <c r="A135" t="s">
        <v>49</v>
      </c>
      <c r="B135">
        <v>52046</v>
      </c>
      <c r="C135" t="s">
        <v>51</v>
      </c>
      <c r="D135">
        <v>54167</v>
      </c>
      <c r="E135" t="s">
        <v>187</v>
      </c>
      <c r="F135">
        <v>12027</v>
      </c>
      <c r="G135">
        <v>0.55515296797215374</v>
      </c>
      <c r="H135">
        <v>0</v>
      </c>
      <c r="I135">
        <v>0</v>
      </c>
      <c r="J135">
        <v>0.47741287898193119</v>
      </c>
      <c r="K135">
        <v>0</v>
      </c>
      <c r="L135">
        <v>0</v>
      </c>
      <c r="M135">
        <v>0.33002860670775941</v>
      </c>
      <c r="N135">
        <v>0</v>
      </c>
      <c r="O135">
        <v>0</v>
      </c>
      <c r="P135">
        <v>0.30819481784829122</v>
      </c>
      <c r="Q135">
        <v>0.75731830420158186</v>
      </c>
      <c r="R135">
        <v>-9.0086341992720254</v>
      </c>
      <c r="S135">
        <v>0.23841713972971851</v>
      </c>
      <c r="T135">
        <v>0.1888209901066446</v>
      </c>
      <c r="U135">
        <v>4.4179587365926656</v>
      </c>
      <c r="V135">
        <v>0.21013472984942591</v>
      </c>
      <c r="W135">
        <v>-5.6628331808431041</v>
      </c>
      <c r="X135">
        <v>0.2866577077750706</v>
      </c>
      <c r="Z135" t="s">
        <v>392</v>
      </c>
      <c r="AA135">
        <v>114</v>
      </c>
      <c r="AB135" t="s">
        <v>3568</v>
      </c>
      <c r="AC135" t="str">
        <f>HYPERLINK("plots/3FT6Y578R04_015_S21P_20251218081014_M5358ACSC201811_RBGEUFRF04/dpll_52046/txpa_54167.png","plot")</f>
        <v>plot</v>
      </c>
    </row>
    <row r="136" spans="1:29" x14ac:dyDescent="0.35">
      <c r="A136" t="s">
        <v>49</v>
      </c>
      <c r="B136">
        <v>52046</v>
      </c>
      <c r="C136" t="s">
        <v>51</v>
      </c>
      <c r="D136">
        <v>54168</v>
      </c>
      <c r="E136" t="s">
        <v>188</v>
      </c>
      <c r="F136">
        <v>12028</v>
      </c>
      <c r="G136">
        <v>0.56476810789073784</v>
      </c>
      <c r="H136">
        <v>0</v>
      </c>
      <c r="I136">
        <v>0</v>
      </c>
      <c r="J136">
        <v>0.49467931203646331</v>
      </c>
      <c r="K136">
        <v>0</v>
      </c>
      <c r="L136">
        <v>0</v>
      </c>
      <c r="M136">
        <v>0.34436536251857691</v>
      </c>
      <c r="N136">
        <v>0</v>
      </c>
      <c r="O136">
        <v>0</v>
      </c>
      <c r="P136">
        <v>0.31896301569048408</v>
      </c>
      <c r="Q136">
        <v>0.7728531486514767</v>
      </c>
      <c r="R136">
        <v>-9.0770216864402329</v>
      </c>
      <c r="S136">
        <v>0.23731225872221609</v>
      </c>
      <c r="T136">
        <v>0.18693463471940491</v>
      </c>
      <c r="U136">
        <v>4.4179867093448619</v>
      </c>
      <c r="V136">
        <v>0.2101483876699779</v>
      </c>
      <c r="W136">
        <v>-5.6625667474226793</v>
      </c>
      <c r="X136">
        <v>0.28757615882622539</v>
      </c>
      <c r="Z136" t="s">
        <v>392</v>
      </c>
      <c r="AA136">
        <v>114</v>
      </c>
      <c r="AB136" t="s">
        <v>3569</v>
      </c>
      <c r="AC136" t="str">
        <f>HYPERLINK("plots/3FT6Y578R04_015_S21P_20251218081014_M5358ACSC201811_RBGEUFRF04/dpll_52046/txpa_54168.png","plot")</f>
        <v>plot</v>
      </c>
    </row>
    <row r="137" spans="1:29" x14ac:dyDescent="0.35">
      <c r="A137" t="s">
        <v>49</v>
      </c>
      <c r="B137">
        <v>52046</v>
      </c>
      <c r="C137" t="s">
        <v>51</v>
      </c>
      <c r="D137">
        <v>54169</v>
      </c>
      <c r="E137" t="s">
        <v>189</v>
      </c>
      <c r="F137">
        <v>12028</v>
      </c>
      <c r="G137">
        <v>0.55372289924542528</v>
      </c>
      <c r="H137">
        <v>0</v>
      </c>
      <c r="I137">
        <v>0</v>
      </c>
      <c r="J137">
        <v>0.47895209604768929</v>
      </c>
      <c r="K137">
        <v>0</v>
      </c>
      <c r="L137">
        <v>0</v>
      </c>
      <c r="M137">
        <v>0.33149782099918279</v>
      </c>
      <c r="N137">
        <v>0</v>
      </c>
      <c r="O137">
        <v>0</v>
      </c>
      <c r="P137">
        <v>0.30660904914875942</v>
      </c>
      <c r="Q137">
        <v>0.74511315906526654</v>
      </c>
      <c r="R137">
        <v>-8.9542563637714974</v>
      </c>
      <c r="S137">
        <v>0.23546526033937451</v>
      </c>
      <c r="T137">
        <v>0.186508050717277</v>
      </c>
      <c r="U137">
        <v>4.4179867093448619</v>
      </c>
      <c r="V137">
        <v>0.2101483876699779</v>
      </c>
      <c r="W137">
        <v>-5.6623563300631856</v>
      </c>
      <c r="X137">
        <v>0.28278463690526751</v>
      </c>
      <c r="Z137" t="s">
        <v>392</v>
      </c>
      <c r="AA137">
        <v>114</v>
      </c>
      <c r="AB137" t="s">
        <v>3570</v>
      </c>
      <c r="AC137" t="str">
        <f>HYPERLINK("plots/3FT6Y578R04_015_S21P_20251218081014_M5358ACSC201811_RBGEUFRF04/dpll_52046/txpa_54169.png","plot")</f>
        <v>plot</v>
      </c>
    </row>
    <row r="138" spans="1:29" x14ac:dyDescent="0.35">
      <c r="A138" t="s">
        <v>49</v>
      </c>
      <c r="B138">
        <v>52046</v>
      </c>
      <c r="C138" t="s">
        <v>51</v>
      </c>
      <c r="D138">
        <v>54170</v>
      </c>
      <c r="E138" t="s">
        <v>190</v>
      </c>
      <c r="F138">
        <v>12028</v>
      </c>
      <c r="G138">
        <v>0.54392963366111458</v>
      </c>
      <c r="H138">
        <v>0</v>
      </c>
      <c r="I138">
        <v>0</v>
      </c>
      <c r="J138">
        <v>0.47209806857764042</v>
      </c>
      <c r="K138">
        <v>0</v>
      </c>
      <c r="L138">
        <v>0</v>
      </c>
      <c r="M138">
        <v>0.32769223938132702</v>
      </c>
      <c r="N138">
        <v>0</v>
      </c>
      <c r="O138">
        <v>0</v>
      </c>
      <c r="P138">
        <v>0.29585944637471429</v>
      </c>
      <c r="Q138">
        <v>0.73952868577910424</v>
      </c>
      <c r="R138">
        <v>-8.9854416823873375</v>
      </c>
      <c r="S138">
        <v>0.2397452388982069</v>
      </c>
      <c r="T138">
        <v>0.18843189005565661</v>
      </c>
      <c r="U138">
        <v>4.4179867093448619</v>
      </c>
      <c r="V138">
        <v>0.2101483876699779</v>
      </c>
      <c r="W138">
        <v>-5.7182137774359827</v>
      </c>
      <c r="X138">
        <v>0.285718503524304</v>
      </c>
      <c r="Z138" t="s">
        <v>392</v>
      </c>
      <c r="AA138">
        <v>114</v>
      </c>
      <c r="AB138" t="s">
        <v>3571</v>
      </c>
      <c r="AC138" t="str">
        <f>HYPERLINK("plots/3FT6Y578R04_015_S21P_20251218081014_M5358ACSC201811_RBGEUFRF04/dpll_52046/txpa_54170.png","plot")</f>
        <v>plot</v>
      </c>
    </row>
    <row r="139" spans="1:29" x14ac:dyDescent="0.35">
      <c r="A139" t="s">
        <v>49</v>
      </c>
      <c r="B139">
        <v>52046</v>
      </c>
      <c r="C139" t="s">
        <v>51</v>
      </c>
      <c r="D139">
        <v>54171</v>
      </c>
      <c r="E139" t="s">
        <v>191</v>
      </c>
      <c r="F139">
        <v>12028</v>
      </c>
      <c r="G139">
        <v>0.53013853545598977</v>
      </c>
      <c r="H139">
        <v>0</v>
      </c>
      <c r="I139">
        <v>0</v>
      </c>
      <c r="J139">
        <v>0.47316645963136472</v>
      </c>
      <c r="K139">
        <v>0</v>
      </c>
      <c r="L139">
        <v>0</v>
      </c>
      <c r="M139">
        <v>0.32632537757653313</v>
      </c>
      <c r="N139">
        <v>0</v>
      </c>
      <c r="O139">
        <v>0</v>
      </c>
      <c r="P139">
        <v>0.28104686677542168</v>
      </c>
      <c r="Q139">
        <v>0.72325586027771338</v>
      </c>
      <c r="R139">
        <v>-5.8437525800416719</v>
      </c>
      <c r="S139">
        <v>0.24308652523550589</v>
      </c>
      <c r="T139">
        <v>0.1890713810039559</v>
      </c>
      <c r="U139">
        <v>4.4179867093448619</v>
      </c>
      <c r="V139">
        <v>0.2101483876699779</v>
      </c>
      <c r="W139">
        <v>-2.6484178018789488</v>
      </c>
      <c r="X139">
        <v>0.28670063152359182</v>
      </c>
      <c r="Z139" t="s">
        <v>392</v>
      </c>
      <c r="AA139">
        <v>114</v>
      </c>
      <c r="AB139" t="s">
        <v>3572</v>
      </c>
      <c r="AC139" t="str">
        <f>HYPERLINK("plots/3FT6Y578R04_015_S21P_20251218081014_M5358ACSC201811_RBGEUFRF04/dpll_52046/txpa_54171.png","plot")</f>
        <v>plot</v>
      </c>
    </row>
    <row r="140" spans="1:29" x14ac:dyDescent="0.35">
      <c r="A140" t="s">
        <v>49</v>
      </c>
      <c r="B140">
        <v>52046</v>
      </c>
      <c r="C140" t="s">
        <v>51</v>
      </c>
      <c r="D140">
        <v>54172</v>
      </c>
      <c r="E140" t="s">
        <v>192</v>
      </c>
      <c r="F140">
        <v>12028</v>
      </c>
      <c r="G140">
        <v>0.55802501216525258</v>
      </c>
      <c r="H140">
        <v>0</v>
      </c>
      <c r="I140">
        <v>0</v>
      </c>
      <c r="J140">
        <v>0.49493644857115288</v>
      </c>
      <c r="K140">
        <v>0</v>
      </c>
      <c r="L140">
        <v>0</v>
      </c>
      <c r="M140">
        <v>0.3439950046755379</v>
      </c>
      <c r="N140">
        <v>0</v>
      </c>
      <c r="O140">
        <v>0</v>
      </c>
      <c r="P140">
        <v>0.31139191420203027</v>
      </c>
      <c r="Q140">
        <v>0.76311885958883252</v>
      </c>
      <c r="R140">
        <v>-5.983683296157901</v>
      </c>
      <c r="S140">
        <v>0.23846936113617201</v>
      </c>
      <c r="T140">
        <v>0.18710888925444841</v>
      </c>
      <c r="U140">
        <v>4.4179867093448619</v>
      </c>
      <c r="V140">
        <v>0.2101483876699779</v>
      </c>
      <c r="W140">
        <v>-2.612234316844031</v>
      </c>
      <c r="X140">
        <v>0.2873853222472656</v>
      </c>
      <c r="Z140" t="s">
        <v>392</v>
      </c>
      <c r="AA140">
        <v>114</v>
      </c>
      <c r="AB140" t="s">
        <v>3573</v>
      </c>
      <c r="AC140" t="str">
        <f>HYPERLINK("plots/3FT6Y578R04_015_S21P_20251218081014_M5358ACSC201811_RBGEUFRF04/dpll_52046/txpa_54172.png","plot")</f>
        <v>plot</v>
      </c>
    </row>
    <row r="141" spans="1:29" x14ac:dyDescent="0.35">
      <c r="A141" t="s">
        <v>49</v>
      </c>
      <c r="B141">
        <v>52046</v>
      </c>
      <c r="C141" t="s">
        <v>51</v>
      </c>
      <c r="D141">
        <v>54173</v>
      </c>
      <c r="E141" t="s">
        <v>193</v>
      </c>
      <c r="F141">
        <v>12028</v>
      </c>
      <c r="G141">
        <v>0.54313489404130566</v>
      </c>
      <c r="H141">
        <v>0</v>
      </c>
      <c r="I141">
        <v>0</v>
      </c>
      <c r="J141">
        <v>0.47844235116353778</v>
      </c>
      <c r="K141">
        <v>0</v>
      </c>
      <c r="L141">
        <v>0</v>
      </c>
      <c r="M141">
        <v>0.33145034828182451</v>
      </c>
      <c r="N141">
        <v>0</v>
      </c>
      <c r="O141">
        <v>0</v>
      </c>
      <c r="P141">
        <v>0.29499551312526029</v>
      </c>
      <c r="Q141">
        <v>0.72850859594701967</v>
      </c>
      <c r="R141">
        <v>-5.8198511223558427</v>
      </c>
      <c r="S141">
        <v>0.2366633043221924</v>
      </c>
      <c r="T141">
        <v>0.18582140882153511</v>
      </c>
      <c r="U141">
        <v>4.4179867093448619</v>
      </c>
      <c r="V141">
        <v>0.2101483876699779</v>
      </c>
      <c r="W141">
        <v>-2.6013098278184241</v>
      </c>
      <c r="X141">
        <v>0.28187271435066868</v>
      </c>
      <c r="Z141" t="s">
        <v>392</v>
      </c>
      <c r="AA141">
        <v>114</v>
      </c>
      <c r="AB141" t="s">
        <v>3574</v>
      </c>
      <c r="AC141" t="str">
        <f>HYPERLINK("plots/3FT6Y578R04_015_S21P_20251218081014_M5358ACSC201811_RBGEUFRF04/dpll_52046/txpa_54173.png","plot")</f>
        <v>plot</v>
      </c>
    </row>
    <row r="142" spans="1:29" x14ac:dyDescent="0.35">
      <c r="A142" t="s">
        <v>49</v>
      </c>
      <c r="B142">
        <v>52046</v>
      </c>
      <c r="C142" t="s">
        <v>51</v>
      </c>
      <c r="D142">
        <v>54174</v>
      </c>
      <c r="E142" t="s">
        <v>194</v>
      </c>
      <c r="F142">
        <v>12028</v>
      </c>
      <c r="G142">
        <v>0.56804759850997544</v>
      </c>
      <c r="H142">
        <v>0</v>
      </c>
      <c r="I142">
        <v>0</v>
      </c>
      <c r="J142">
        <v>0.49856308000704519</v>
      </c>
      <c r="K142">
        <v>0</v>
      </c>
      <c r="L142">
        <v>0</v>
      </c>
      <c r="M142">
        <v>0.34725008382567268</v>
      </c>
      <c r="N142">
        <v>0</v>
      </c>
      <c r="O142">
        <v>0</v>
      </c>
      <c r="P142">
        <v>0.32267807417295019</v>
      </c>
      <c r="Q142">
        <v>0.77662531187232453</v>
      </c>
      <c r="R142">
        <v>-6.0141555153375998</v>
      </c>
      <c r="S142">
        <v>0.23644622694136869</v>
      </c>
      <c r="T142">
        <v>0.18580834843843119</v>
      </c>
      <c r="U142">
        <v>4.4179867093448619</v>
      </c>
      <c r="V142">
        <v>0.2101483876699779</v>
      </c>
      <c r="W142">
        <v>-2.5830352093448621</v>
      </c>
      <c r="X142">
        <v>0.28731141112428582</v>
      </c>
      <c r="Z142" t="s">
        <v>392</v>
      </c>
      <c r="AA142">
        <v>114</v>
      </c>
      <c r="AB142" t="s">
        <v>3575</v>
      </c>
      <c r="AC142" t="str">
        <f>HYPERLINK("plots/3FT6Y578R04_015_S21P_20251218081014_M5358ACSC201811_RBGEUFRF04/dpll_52046/txpa_54174.png","plot")</f>
        <v>plot</v>
      </c>
    </row>
    <row r="143" spans="1:29" x14ac:dyDescent="0.35">
      <c r="A143" t="s">
        <v>49</v>
      </c>
      <c r="B143">
        <v>52046</v>
      </c>
      <c r="C143" t="s">
        <v>51</v>
      </c>
      <c r="D143">
        <v>54175</v>
      </c>
      <c r="E143" t="s">
        <v>195</v>
      </c>
      <c r="F143">
        <v>12027</v>
      </c>
      <c r="G143">
        <v>0.56183670958404464</v>
      </c>
      <c r="H143">
        <v>0</v>
      </c>
      <c r="I143">
        <v>0</v>
      </c>
      <c r="J143">
        <v>0.48772293338800099</v>
      </c>
      <c r="K143">
        <v>0</v>
      </c>
      <c r="L143">
        <v>0</v>
      </c>
      <c r="M143">
        <v>0.33760329737170119</v>
      </c>
      <c r="N143">
        <v>0</v>
      </c>
      <c r="O143">
        <v>0</v>
      </c>
      <c r="P143">
        <v>0.31566048823622611</v>
      </c>
      <c r="Q143">
        <v>0.75975781967551559</v>
      </c>
      <c r="R143">
        <v>-5.9541226905614852</v>
      </c>
      <c r="S143">
        <v>0.23506104081356041</v>
      </c>
      <c r="T143">
        <v>0.18594596347445891</v>
      </c>
      <c r="U143">
        <v>4.4179587365926656</v>
      </c>
      <c r="V143">
        <v>0.21013472984942591</v>
      </c>
      <c r="W143">
        <v>-2.5975439934314459</v>
      </c>
      <c r="X143">
        <v>0.2841599729335969</v>
      </c>
      <c r="Z143" t="s">
        <v>392</v>
      </c>
      <c r="AA143">
        <v>114</v>
      </c>
      <c r="AB143" t="s">
        <v>3576</v>
      </c>
      <c r="AC143" t="str">
        <f>HYPERLINK("plots/3FT6Y578R04_015_S21P_20251218081014_M5358ACSC201811_RBGEUFRF04/dpll_52046/txpa_54175.png","plot")</f>
        <v>plot</v>
      </c>
    </row>
    <row r="144" spans="1:29" x14ac:dyDescent="0.35">
      <c r="A144" t="s">
        <v>49</v>
      </c>
      <c r="B144">
        <v>52046</v>
      </c>
      <c r="C144" t="s">
        <v>51</v>
      </c>
      <c r="D144">
        <v>54176</v>
      </c>
      <c r="E144" t="s">
        <v>196</v>
      </c>
      <c r="F144">
        <v>12028</v>
      </c>
      <c r="G144">
        <v>0.57275171093911248</v>
      </c>
      <c r="H144">
        <v>0</v>
      </c>
      <c r="I144">
        <v>0</v>
      </c>
      <c r="J144">
        <v>0.50630037140432171</v>
      </c>
      <c r="K144">
        <v>0</v>
      </c>
      <c r="L144">
        <v>0</v>
      </c>
      <c r="M144">
        <v>0.35274705165235559</v>
      </c>
      <c r="N144">
        <v>0</v>
      </c>
      <c r="O144">
        <v>0</v>
      </c>
      <c r="P144">
        <v>0.32804452238368059</v>
      </c>
      <c r="Q144">
        <v>0.77884656754696791</v>
      </c>
      <c r="R144">
        <v>-6.0332566805328893</v>
      </c>
      <c r="S144">
        <v>0.2342414632989013</v>
      </c>
      <c r="T144">
        <v>0.1847513770146843</v>
      </c>
      <c r="U144">
        <v>4.4179867093448619</v>
      </c>
      <c r="V144">
        <v>0.2101483876699779</v>
      </c>
      <c r="W144">
        <v>-2.5923228964915199</v>
      </c>
      <c r="X144">
        <v>0.28576667216571872</v>
      </c>
      <c r="Z144" t="s">
        <v>392</v>
      </c>
      <c r="AA144">
        <v>114</v>
      </c>
      <c r="AB144" t="s">
        <v>3577</v>
      </c>
      <c r="AC144" t="str">
        <f>HYPERLINK("plots/3FT6Y578R04_015_S21P_20251218081014_M5358ACSC201811_RBGEUFRF04/dpll_52046/txpa_54176.png","plot")</f>
        <v>plot</v>
      </c>
    </row>
    <row r="145" spans="1:29" x14ac:dyDescent="0.35">
      <c r="A145" t="s">
        <v>49</v>
      </c>
      <c r="B145">
        <v>52046</v>
      </c>
      <c r="C145" t="s">
        <v>51</v>
      </c>
      <c r="D145">
        <v>54177</v>
      </c>
      <c r="E145" t="s">
        <v>197</v>
      </c>
      <c r="F145">
        <v>12028</v>
      </c>
      <c r="G145">
        <v>0.56346914783234292</v>
      </c>
      <c r="H145">
        <v>0</v>
      </c>
      <c r="I145">
        <v>0</v>
      </c>
      <c r="J145">
        <v>0.49262182095871559</v>
      </c>
      <c r="K145">
        <v>0</v>
      </c>
      <c r="L145">
        <v>0</v>
      </c>
      <c r="M145">
        <v>0.34145828564688352</v>
      </c>
      <c r="N145">
        <v>0</v>
      </c>
      <c r="O145">
        <v>0</v>
      </c>
      <c r="P145">
        <v>0.3174974805589067</v>
      </c>
      <c r="Q145">
        <v>0.75310264667106219</v>
      </c>
      <c r="R145">
        <v>-5.9176453931433102</v>
      </c>
      <c r="S145">
        <v>0.2320300158525393</v>
      </c>
      <c r="T145">
        <v>0.18372177961413941</v>
      </c>
      <c r="U145">
        <v>4.4179867093448619</v>
      </c>
      <c r="V145">
        <v>0.2101483876699779</v>
      </c>
      <c r="W145">
        <v>-2.5904479093781179</v>
      </c>
      <c r="X145">
        <v>0.28087306564477099</v>
      </c>
      <c r="Z145" t="s">
        <v>392</v>
      </c>
      <c r="AA145">
        <v>114</v>
      </c>
      <c r="AB145" t="s">
        <v>3578</v>
      </c>
      <c r="AC145" t="str">
        <f>HYPERLINK("plots/3FT6Y578R04_015_S21P_20251218081014_M5358ACSC201811_RBGEUFRF04/dpll_52046/txpa_54177.png","plot")</f>
        <v>plot</v>
      </c>
    </row>
    <row r="146" spans="1:29" x14ac:dyDescent="0.35">
      <c r="A146" t="s">
        <v>49</v>
      </c>
      <c r="B146">
        <v>52046</v>
      </c>
      <c r="C146" t="s">
        <v>51</v>
      </c>
      <c r="D146">
        <v>54178</v>
      </c>
      <c r="E146" t="s">
        <v>198</v>
      </c>
      <c r="F146">
        <v>12027</v>
      </c>
      <c r="G146">
        <v>0.55306281991930095</v>
      </c>
      <c r="H146">
        <v>0</v>
      </c>
      <c r="I146">
        <v>0</v>
      </c>
      <c r="J146">
        <v>0.48452623118194449</v>
      </c>
      <c r="K146">
        <v>0</v>
      </c>
      <c r="L146">
        <v>0</v>
      </c>
      <c r="M146">
        <v>0.33681743019356603</v>
      </c>
      <c r="N146">
        <v>0</v>
      </c>
      <c r="O146">
        <v>0</v>
      </c>
      <c r="P146">
        <v>0.30587848277708912</v>
      </c>
      <c r="Q146">
        <v>0.74805707769916474</v>
      </c>
      <c r="R146">
        <v>-5.943840976421674</v>
      </c>
      <c r="S146">
        <v>0.23679453604628381</v>
      </c>
      <c r="T146">
        <v>0.18636991341403261</v>
      </c>
      <c r="U146">
        <v>4.418010118566559</v>
      </c>
      <c r="V146">
        <v>0.21014144114715341</v>
      </c>
      <c r="W146">
        <v>-2.638917237881433</v>
      </c>
      <c r="X146">
        <v>0.28423135077307837</v>
      </c>
      <c r="Z146" t="s">
        <v>392</v>
      </c>
      <c r="AA146">
        <v>114</v>
      </c>
      <c r="AB146" t="s">
        <v>3579</v>
      </c>
      <c r="AC146" t="str">
        <f>HYPERLINK("plots/3FT6Y578R04_015_S21P_20251218081014_M5358ACSC201811_RBGEUFRF04/dpll_52046/txpa_54178.png","plot")</f>
        <v>plot</v>
      </c>
    </row>
    <row r="147" spans="1:29" x14ac:dyDescent="0.35">
      <c r="A147" t="s">
        <v>49</v>
      </c>
      <c r="B147">
        <v>52046</v>
      </c>
      <c r="C147" t="s">
        <v>51</v>
      </c>
      <c r="D147">
        <v>54179</v>
      </c>
      <c r="E147" t="s">
        <v>199</v>
      </c>
      <c r="F147">
        <v>12028</v>
      </c>
      <c r="G147">
        <v>0.57602276197593627</v>
      </c>
      <c r="H147">
        <v>0</v>
      </c>
      <c r="I147">
        <v>0</v>
      </c>
      <c r="J147">
        <v>0.52386710804173953</v>
      </c>
      <c r="K147">
        <v>0</v>
      </c>
      <c r="L147">
        <v>0</v>
      </c>
      <c r="M147">
        <v>0.36445762768348411</v>
      </c>
      <c r="N147">
        <v>0</v>
      </c>
      <c r="O147">
        <v>0</v>
      </c>
      <c r="P147">
        <v>0.33180222231438611</v>
      </c>
      <c r="Q147">
        <v>0.78958215945889376</v>
      </c>
      <c r="R147">
        <v>-2.5114366064286169</v>
      </c>
      <c r="S147">
        <v>0.23546057661240899</v>
      </c>
      <c r="T147">
        <v>0.18266614642511941</v>
      </c>
      <c r="U147">
        <v>4.4179867093448619</v>
      </c>
      <c r="V147">
        <v>0.2101483876699779</v>
      </c>
      <c r="W147">
        <v>0.97692687999659122</v>
      </c>
      <c r="X147">
        <v>0.28806052242462921</v>
      </c>
      <c r="Z147" t="s">
        <v>392</v>
      </c>
      <c r="AA147">
        <v>114</v>
      </c>
      <c r="AB147" t="s">
        <v>3580</v>
      </c>
      <c r="AC147" t="str">
        <f>HYPERLINK("plots/3FT6Y578R04_015_S21P_20251218081014_M5358ACSC201811_RBGEUFRF04/dpll_52046/txpa_54179.png","plot")</f>
        <v>plot</v>
      </c>
    </row>
    <row r="148" spans="1:29" x14ac:dyDescent="0.35">
      <c r="A148" t="s">
        <v>49</v>
      </c>
      <c r="B148">
        <v>52046</v>
      </c>
      <c r="C148" t="s">
        <v>51</v>
      </c>
      <c r="D148">
        <v>54180</v>
      </c>
      <c r="E148" t="s">
        <v>200</v>
      </c>
      <c r="F148">
        <v>12028</v>
      </c>
      <c r="G148">
        <v>0.60230949621287599</v>
      </c>
      <c r="H148">
        <v>0</v>
      </c>
      <c r="I148">
        <v>0</v>
      </c>
      <c r="J148">
        <v>0.54333665505444284</v>
      </c>
      <c r="K148">
        <v>0</v>
      </c>
      <c r="L148">
        <v>0</v>
      </c>
      <c r="M148">
        <v>0.38103352870579732</v>
      </c>
      <c r="N148">
        <v>0</v>
      </c>
      <c r="O148">
        <v>0</v>
      </c>
      <c r="P148">
        <v>0.36277672922820853</v>
      </c>
      <c r="Q148">
        <v>0.82637326808945188</v>
      </c>
      <c r="R148">
        <v>-2.642253491565969</v>
      </c>
      <c r="S148">
        <v>0.2301496778364106</v>
      </c>
      <c r="T148">
        <v>0.18052963089106289</v>
      </c>
      <c r="U148">
        <v>4.4179867093448619</v>
      </c>
      <c r="V148">
        <v>0.2101483876699779</v>
      </c>
      <c r="W148">
        <v>1.008652623811108</v>
      </c>
      <c r="X148">
        <v>0.28832520654994159</v>
      </c>
      <c r="Z148" t="s">
        <v>392</v>
      </c>
      <c r="AA148">
        <v>114</v>
      </c>
      <c r="AB148" t="s">
        <v>3581</v>
      </c>
      <c r="AC148" t="str">
        <f>HYPERLINK("plots/3FT6Y578R04_015_S21P_20251218081014_M5358ACSC201811_RBGEUFRF04/dpll_52046/txpa_54180.png","plot")</f>
        <v>plot</v>
      </c>
    </row>
    <row r="149" spans="1:29" x14ac:dyDescent="0.35">
      <c r="A149" t="s">
        <v>49</v>
      </c>
      <c r="B149">
        <v>52046</v>
      </c>
      <c r="C149" t="s">
        <v>51</v>
      </c>
      <c r="D149">
        <v>54181</v>
      </c>
      <c r="E149" t="s">
        <v>201</v>
      </c>
      <c r="F149">
        <v>12028</v>
      </c>
      <c r="G149">
        <v>0.58748742269533805</v>
      </c>
      <c r="H149">
        <v>0</v>
      </c>
      <c r="I149">
        <v>0</v>
      </c>
      <c r="J149">
        <v>0.52739886006795289</v>
      </c>
      <c r="K149">
        <v>0</v>
      </c>
      <c r="L149">
        <v>0</v>
      </c>
      <c r="M149">
        <v>0.36826502005781903</v>
      </c>
      <c r="N149">
        <v>0</v>
      </c>
      <c r="O149">
        <v>0</v>
      </c>
      <c r="P149">
        <v>0.34514147182521082</v>
      </c>
      <c r="Q149">
        <v>0.79164195554070771</v>
      </c>
      <c r="R149">
        <v>-2.4772584478860451</v>
      </c>
      <c r="S149">
        <v>0.22914584218819159</v>
      </c>
      <c r="T149">
        <v>0.17971332127423759</v>
      </c>
      <c r="U149">
        <v>4.4179867093448619</v>
      </c>
      <c r="V149">
        <v>0.2101483876699779</v>
      </c>
      <c r="W149">
        <v>1.0202051902525771</v>
      </c>
      <c r="X149">
        <v>0.28317590154616989</v>
      </c>
      <c r="Z149" t="s">
        <v>392</v>
      </c>
      <c r="AA149">
        <v>114</v>
      </c>
      <c r="AB149" t="s">
        <v>3582</v>
      </c>
      <c r="AC149" t="str">
        <f>HYPERLINK("plots/3FT6Y578R04_015_S21P_20251218081014_M5358ACSC201811_RBGEUFRF04/dpll_52046/txpa_54181.png","plot")</f>
        <v>plot</v>
      </c>
    </row>
    <row r="150" spans="1:29" x14ac:dyDescent="0.35">
      <c r="A150" t="s">
        <v>49</v>
      </c>
      <c r="B150">
        <v>52046</v>
      </c>
      <c r="C150" t="s">
        <v>51</v>
      </c>
      <c r="D150">
        <v>54182</v>
      </c>
      <c r="E150" t="s">
        <v>202</v>
      </c>
      <c r="F150">
        <v>12028</v>
      </c>
      <c r="G150">
        <v>0.60919053856282046</v>
      </c>
      <c r="H150">
        <v>0</v>
      </c>
      <c r="I150">
        <v>0</v>
      </c>
      <c r="J150">
        <v>0.54479659553585591</v>
      </c>
      <c r="K150">
        <v>0</v>
      </c>
      <c r="L150">
        <v>0</v>
      </c>
      <c r="M150">
        <v>0.38260728195837579</v>
      </c>
      <c r="N150">
        <v>0</v>
      </c>
      <c r="O150">
        <v>0</v>
      </c>
      <c r="P150">
        <v>0.37111311227445931</v>
      </c>
      <c r="Q150">
        <v>0.83341343431390202</v>
      </c>
      <c r="R150">
        <v>-2.6509970478533078</v>
      </c>
      <c r="S150">
        <v>0.22798255956967961</v>
      </c>
      <c r="T150">
        <v>0.17883651337032119</v>
      </c>
      <c r="U150">
        <v>4.4179867093448619</v>
      </c>
      <c r="V150">
        <v>0.2101483876699779</v>
      </c>
      <c r="W150">
        <v>1.031012428334968</v>
      </c>
      <c r="X150">
        <v>0.28749706109479389</v>
      </c>
      <c r="Z150" t="s">
        <v>392</v>
      </c>
      <c r="AA150">
        <v>114</v>
      </c>
      <c r="AB150" t="s">
        <v>3583</v>
      </c>
      <c r="AC150" t="str">
        <f>HYPERLINK("plots/3FT6Y578R04_015_S21P_20251218081014_M5358ACSC201811_RBGEUFRF04/dpll_52046/txpa_54182.png","plot")</f>
        <v>plot</v>
      </c>
    </row>
    <row r="151" spans="1:29" x14ac:dyDescent="0.35">
      <c r="A151" t="s">
        <v>49</v>
      </c>
      <c r="B151">
        <v>52046</v>
      </c>
      <c r="C151" t="s">
        <v>51</v>
      </c>
      <c r="D151">
        <v>54183</v>
      </c>
      <c r="E151" t="s">
        <v>203</v>
      </c>
      <c r="F151">
        <v>12027</v>
      </c>
      <c r="G151">
        <v>0.6047906467039702</v>
      </c>
      <c r="H151">
        <v>0</v>
      </c>
      <c r="I151">
        <v>0</v>
      </c>
      <c r="J151">
        <v>0.5346478912060092</v>
      </c>
      <c r="K151">
        <v>0</v>
      </c>
      <c r="L151">
        <v>0</v>
      </c>
      <c r="M151">
        <v>0.37319821701880912</v>
      </c>
      <c r="N151">
        <v>0</v>
      </c>
      <c r="O151">
        <v>0</v>
      </c>
      <c r="P151">
        <v>0.36577172634060651</v>
      </c>
      <c r="Q151">
        <v>0.81975109353639719</v>
      </c>
      <c r="R151">
        <v>-2.6047766867036062</v>
      </c>
      <c r="S151">
        <v>0.22681904540973449</v>
      </c>
      <c r="T151">
        <v>0.17933718599965959</v>
      </c>
      <c r="U151">
        <v>4.4179587365926656</v>
      </c>
      <c r="V151">
        <v>0.21013472984942591</v>
      </c>
      <c r="W151">
        <v>1.0168498188169119</v>
      </c>
      <c r="X151">
        <v>0.28482281517220343</v>
      </c>
      <c r="Z151" t="s">
        <v>392</v>
      </c>
      <c r="AA151">
        <v>114</v>
      </c>
      <c r="AB151" t="s">
        <v>3584</v>
      </c>
      <c r="AC151" t="str">
        <f>HYPERLINK("plots/3FT6Y578R04_015_S21P_20251218081014_M5358ACSC201811_RBGEUFRF04/dpll_52046/txpa_54183.png","plot")</f>
        <v>plot</v>
      </c>
    </row>
    <row r="152" spans="1:29" x14ac:dyDescent="0.35">
      <c r="A152" t="s">
        <v>49</v>
      </c>
      <c r="B152">
        <v>52046</v>
      </c>
      <c r="C152" t="s">
        <v>51</v>
      </c>
      <c r="D152">
        <v>54184</v>
      </c>
      <c r="E152" t="s">
        <v>204</v>
      </c>
      <c r="F152">
        <v>12028</v>
      </c>
      <c r="G152">
        <v>0.61457558306336502</v>
      </c>
      <c r="H152">
        <v>0</v>
      </c>
      <c r="I152">
        <v>0</v>
      </c>
      <c r="J152">
        <v>0.55282569478074473</v>
      </c>
      <c r="K152">
        <v>0</v>
      </c>
      <c r="L152">
        <v>0</v>
      </c>
      <c r="M152">
        <v>0.38840667611227059</v>
      </c>
      <c r="N152">
        <v>0</v>
      </c>
      <c r="O152">
        <v>0</v>
      </c>
      <c r="P152">
        <v>0.37770314729767512</v>
      </c>
      <c r="Q152">
        <v>0.83975122456240003</v>
      </c>
      <c r="R152">
        <v>-2.6842075263827492</v>
      </c>
      <c r="S152">
        <v>0.22650727447045199</v>
      </c>
      <c r="T152">
        <v>0.1783551103742218</v>
      </c>
      <c r="U152">
        <v>4.4179867093448619</v>
      </c>
      <c r="V152">
        <v>0.2101483876699779</v>
      </c>
      <c r="W152">
        <v>1.025802222890007</v>
      </c>
      <c r="X152">
        <v>0.28714509776982627</v>
      </c>
      <c r="Z152" t="s">
        <v>392</v>
      </c>
      <c r="AA152">
        <v>114</v>
      </c>
      <c r="AB152" t="s">
        <v>3585</v>
      </c>
      <c r="AC152" t="str">
        <f>HYPERLINK("plots/3FT6Y578R04_015_S21P_20251218081014_M5358ACSC201811_RBGEUFRF04/dpll_52046/txpa_54184.png","plot")</f>
        <v>plot</v>
      </c>
    </row>
    <row r="153" spans="1:29" x14ac:dyDescent="0.35">
      <c r="A153" t="s">
        <v>49</v>
      </c>
      <c r="B153">
        <v>52046</v>
      </c>
      <c r="C153" t="s">
        <v>51</v>
      </c>
      <c r="D153">
        <v>54185</v>
      </c>
      <c r="E153" t="s">
        <v>205</v>
      </c>
      <c r="F153">
        <v>12028</v>
      </c>
      <c r="G153">
        <v>0.60821003300393695</v>
      </c>
      <c r="H153">
        <v>0</v>
      </c>
      <c r="I153">
        <v>0</v>
      </c>
      <c r="J153">
        <v>0.54165666131130041</v>
      </c>
      <c r="K153">
        <v>0</v>
      </c>
      <c r="L153">
        <v>0</v>
      </c>
      <c r="M153">
        <v>0.37903664908354701</v>
      </c>
      <c r="N153">
        <v>0</v>
      </c>
      <c r="O153">
        <v>0</v>
      </c>
      <c r="P153">
        <v>0.36991944424665008</v>
      </c>
      <c r="Q153">
        <v>0.81747993934038909</v>
      </c>
      <c r="R153">
        <v>-2.5817492404055651</v>
      </c>
      <c r="S153">
        <v>0.22419688329645379</v>
      </c>
      <c r="T153">
        <v>0.17739168791515861</v>
      </c>
      <c r="U153">
        <v>4.4179867093448619</v>
      </c>
      <c r="V153">
        <v>0.2101483876699779</v>
      </c>
      <c r="W153">
        <v>1.029866266756319</v>
      </c>
      <c r="X153">
        <v>0.28245520771246829</v>
      </c>
      <c r="Z153" t="s">
        <v>392</v>
      </c>
      <c r="AA153">
        <v>114</v>
      </c>
      <c r="AB153" t="s">
        <v>3586</v>
      </c>
      <c r="AC153" t="str">
        <f>HYPERLINK("plots/3FT6Y578R04_015_S21P_20251218081014_M5358ACSC201811_RBGEUFRF04/dpll_52046/txpa_54185.png","plot")</f>
        <v>plot</v>
      </c>
    </row>
    <row r="154" spans="1:29" x14ac:dyDescent="0.35">
      <c r="A154" t="s">
        <v>49</v>
      </c>
      <c r="B154">
        <v>52046</v>
      </c>
      <c r="C154" t="s">
        <v>51</v>
      </c>
      <c r="D154">
        <v>54186</v>
      </c>
      <c r="E154" t="s">
        <v>206</v>
      </c>
      <c r="F154">
        <v>12027</v>
      </c>
      <c r="G154">
        <v>0.59846239014179003</v>
      </c>
      <c r="H154">
        <v>0</v>
      </c>
      <c r="I154">
        <v>0</v>
      </c>
      <c r="J154">
        <v>0.53393020315629247</v>
      </c>
      <c r="K154">
        <v>0</v>
      </c>
      <c r="L154">
        <v>0</v>
      </c>
      <c r="M154">
        <v>0.37431436215358083</v>
      </c>
      <c r="N154">
        <v>0</v>
      </c>
      <c r="O154">
        <v>0</v>
      </c>
      <c r="P154">
        <v>0.35815723241422409</v>
      </c>
      <c r="Q154">
        <v>0.81388423132164933</v>
      </c>
      <c r="R154">
        <v>-2.6090133021318209</v>
      </c>
      <c r="S154">
        <v>0.2289463626121753</v>
      </c>
      <c r="T154">
        <v>0.1799247341475686</v>
      </c>
      <c r="U154">
        <v>4.418010118566559</v>
      </c>
      <c r="V154">
        <v>0.21014144114715341</v>
      </c>
      <c r="W154">
        <v>0.98673546718899141</v>
      </c>
      <c r="X154">
        <v>0.28578371525795188</v>
      </c>
      <c r="Z154" t="s">
        <v>392</v>
      </c>
      <c r="AA154">
        <v>114</v>
      </c>
      <c r="AB154" t="s">
        <v>3587</v>
      </c>
      <c r="AC154" t="str">
        <f>HYPERLINK("plots/3FT6Y578R04_015_S21P_20251218081014_M5358ACSC201811_RBGEUFRF04/dpll_52046/txpa_54186.png","plot")</f>
        <v>plot</v>
      </c>
    </row>
    <row r="155" spans="1:29" x14ac:dyDescent="0.35">
      <c r="A155" t="s">
        <v>49</v>
      </c>
      <c r="B155">
        <v>52046</v>
      </c>
      <c r="C155" t="s">
        <v>51</v>
      </c>
      <c r="D155">
        <v>54187</v>
      </c>
      <c r="E155" t="s">
        <v>207</v>
      </c>
      <c r="F155">
        <v>12028</v>
      </c>
      <c r="G155">
        <v>0.61451865650585014</v>
      </c>
      <c r="H155">
        <v>0</v>
      </c>
      <c r="I155">
        <v>0</v>
      </c>
      <c r="J155">
        <v>0.5625978178795682</v>
      </c>
      <c r="K155">
        <v>0</v>
      </c>
      <c r="L155">
        <v>0</v>
      </c>
      <c r="M155">
        <v>0.39472040758885257</v>
      </c>
      <c r="N155">
        <v>0</v>
      </c>
      <c r="O155">
        <v>0</v>
      </c>
      <c r="P155">
        <v>0.37763317919375511</v>
      </c>
      <c r="Q155">
        <v>0.85291456196326187</v>
      </c>
      <c r="R155">
        <v>-0.7540468966657401</v>
      </c>
      <c r="S155">
        <v>0.2300920856932071</v>
      </c>
      <c r="T155">
        <v>0.1783825648267732</v>
      </c>
      <c r="U155">
        <v>4.4179867093448619</v>
      </c>
      <c r="V155">
        <v>0.2101483876699779</v>
      </c>
      <c r="W155">
        <v>3.0141183022946461</v>
      </c>
      <c r="X155">
        <v>0.2916731951410147</v>
      </c>
      <c r="Z155" t="s">
        <v>392</v>
      </c>
      <c r="AA155">
        <v>114</v>
      </c>
      <c r="AB155" t="s">
        <v>3588</v>
      </c>
      <c r="AC155" t="str">
        <f>HYPERLINK("plots/3FT6Y578R04_015_S21P_20251218081014_M5358ACSC201811_RBGEUFRF04/dpll_52046/txpa_54187.png","plot")</f>
        <v>plot</v>
      </c>
    </row>
    <row r="156" spans="1:29" x14ac:dyDescent="0.35">
      <c r="A156" t="s">
        <v>49</v>
      </c>
      <c r="B156">
        <v>52046</v>
      </c>
      <c r="C156" t="s">
        <v>51</v>
      </c>
      <c r="D156">
        <v>54188</v>
      </c>
      <c r="E156" t="s">
        <v>208</v>
      </c>
      <c r="F156">
        <v>12028</v>
      </c>
      <c r="G156">
        <v>0.63845007844714508</v>
      </c>
      <c r="H156">
        <v>0</v>
      </c>
      <c r="I156">
        <v>0</v>
      </c>
      <c r="J156">
        <v>0.57974818486105706</v>
      </c>
      <c r="K156">
        <v>0</v>
      </c>
      <c r="L156">
        <v>0</v>
      </c>
      <c r="M156">
        <v>0.40998727687725878</v>
      </c>
      <c r="N156">
        <v>0</v>
      </c>
      <c r="O156">
        <v>0</v>
      </c>
      <c r="P156">
        <v>0.40761850266916572</v>
      </c>
      <c r="Q156">
        <v>0.88792440427828423</v>
      </c>
      <c r="R156">
        <v>-0.87845361549127787</v>
      </c>
      <c r="S156">
        <v>0.22493539436323051</v>
      </c>
      <c r="T156">
        <v>0.17660520679772951</v>
      </c>
      <c r="U156">
        <v>4.4179867093448619</v>
      </c>
      <c r="V156">
        <v>0.2101483876699779</v>
      </c>
      <c r="W156">
        <v>3.0443846015131362</v>
      </c>
      <c r="X156">
        <v>0.29226385622153961</v>
      </c>
      <c r="Z156" t="s">
        <v>392</v>
      </c>
      <c r="AA156">
        <v>114</v>
      </c>
      <c r="AB156" t="s">
        <v>3589</v>
      </c>
      <c r="AC156" t="str">
        <f>HYPERLINK("plots/3FT6Y578R04_015_S21P_20251218081014_M5358ACSC201811_RBGEUFRF04/dpll_52046/txpa_54188.png","plot")</f>
        <v>plot</v>
      </c>
    </row>
    <row r="157" spans="1:29" x14ac:dyDescent="0.35">
      <c r="A157" t="s">
        <v>49</v>
      </c>
      <c r="B157">
        <v>52046</v>
      </c>
      <c r="C157" t="s">
        <v>51</v>
      </c>
      <c r="D157">
        <v>54189</v>
      </c>
      <c r="E157" t="s">
        <v>209</v>
      </c>
      <c r="F157">
        <v>12028</v>
      </c>
      <c r="G157">
        <v>0.62486358586512247</v>
      </c>
      <c r="H157">
        <v>0</v>
      </c>
      <c r="I157">
        <v>0</v>
      </c>
      <c r="J157">
        <v>0.56552098012501184</v>
      </c>
      <c r="K157">
        <v>0</v>
      </c>
      <c r="L157">
        <v>0</v>
      </c>
      <c r="M157">
        <v>0.39811686183237921</v>
      </c>
      <c r="N157">
        <v>0</v>
      </c>
      <c r="O157">
        <v>0</v>
      </c>
      <c r="P157">
        <v>0.39045450094021927</v>
      </c>
      <c r="Q157">
        <v>0.85401908867510123</v>
      </c>
      <c r="R157">
        <v>-0.71618560633963435</v>
      </c>
      <c r="S157">
        <v>0.22422985374760709</v>
      </c>
      <c r="T157">
        <v>0.17565752021581801</v>
      </c>
      <c r="U157">
        <v>4.4179867093448619</v>
      </c>
      <c r="V157">
        <v>0.2101483876699779</v>
      </c>
      <c r="W157">
        <v>3.0568593769537742</v>
      </c>
      <c r="X157">
        <v>0.2872158637248472</v>
      </c>
      <c r="Z157" t="s">
        <v>392</v>
      </c>
      <c r="AA157">
        <v>114</v>
      </c>
      <c r="AB157" t="s">
        <v>3590</v>
      </c>
      <c r="AC157" t="str">
        <f>HYPERLINK("plots/3FT6Y578R04_015_S21P_20251218081014_M5358ACSC201811_RBGEUFRF04/dpll_52046/txpa_54189.png","plot")</f>
        <v>plot</v>
      </c>
    </row>
    <row r="158" spans="1:29" x14ac:dyDescent="0.35">
      <c r="A158" t="s">
        <v>49</v>
      </c>
      <c r="B158">
        <v>52046</v>
      </c>
      <c r="C158" t="s">
        <v>51</v>
      </c>
      <c r="D158">
        <v>54190</v>
      </c>
      <c r="E158" t="s">
        <v>210</v>
      </c>
      <c r="F158">
        <v>12028</v>
      </c>
      <c r="G158">
        <v>0.64481069651196343</v>
      </c>
      <c r="H158">
        <v>0</v>
      </c>
      <c r="I158">
        <v>0</v>
      </c>
      <c r="J158">
        <v>0.58118640107657016</v>
      </c>
      <c r="K158">
        <v>0</v>
      </c>
      <c r="L158">
        <v>0</v>
      </c>
      <c r="M158">
        <v>0.41146779002105899</v>
      </c>
      <c r="N158">
        <v>0</v>
      </c>
      <c r="O158">
        <v>0</v>
      </c>
      <c r="P158">
        <v>0.41578083433624341</v>
      </c>
      <c r="Q158">
        <v>0.89287913068664104</v>
      </c>
      <c r="R158">
        <v>-0.88081728881007582</v>
      </c>
      <c r="S158">
        <v>0.2224110432626436</v>
      </c>
      <c r="T158">
        <v>0.17451215102654169</v>
      </c>
      <c r="U158">
        <v>4.4179867093448619</v>
      </c>
      <c r="V158">
        <v>0.2101483876699779</v>
      </c>
      <c r="W158">
        <v>3.0639108436148978</v>
      </c>
      <c r="X158">
        <v>0.29099565300788699</v>
      </c>
      <c r="Z158" t="s">
        <v>392</v>
      </c>
      <c r="AA158">
        <v>114</v>
      </c>
      <c r="AB158" t="s">
        <v>3591</v>
      </c>
      <c r="AC158" t="str">
        <f>HYPERLINK("plots/3FT6Y578R04_015_S21P_20251218081014_M5358ACSC201811_RBGEUFRF04/dpll_52046/txpa_54190.png","plot")</f>
        <v>plot</v>
      </c>
    </row>
    <row r="159" spans="1:29" x14ac:dyDescent="0.35">
      <c r="A159" t="s">
        <v>49</v>
      </c>
      <c r="B159">
        <v>52046</v>
      </c>
      <c r="C159" t="s">
        <v>51</v>
      </c>
      <c r="D159">
        <v>54191</v>
      </c>
      <c r="E159" t="s">
        <v>211</v>
      </c>
      <c r="F159">
        <v>12027</v>
      </c>
      <c r="G159">
        <v>0.64145535367188711</v>
      </c>
      <c r="H159">
        <v>0</v>
      </c>
      <c r="I159">
        <v>0</v>
      </c>
      <c r="J159">
        <v>0.57229301703066682</v>
      </c>
      <c r="K159">
        <v>0</v>
      </c>
      <c r="L159">
        <v>0</v>
      </c>
      <c r="M159">
        <v>0.4027347426629998</v>
      </c>
      <c r="N159">
        <v>0</v>
      </c>
      <c r="O159">
        <v>0</v>
      </c>
      <c r="P159">
        <v>0.41146497075432581</v>
      </c>
      <c r="Q159">
        <v>0.87973331602661087</v>
      </c>
      <c r="R159">
        <v>-0.83837277077832661</v>
      </c>
      <c r="S159">
        <v>0.22108055381483629</v>
      </c>
      <c r="T159">
        <v>0.17475487065485579</v>
      </c>
      <c r="U159">
        <v>4.4179587365926656</v>
      </c>
      <c r="V159">
        <v>0.21013472984942591</v>
      </c>
      <c r="W159">
        <v>3.0482527186330759</v>
      </c>
      <c r="X159">
        <v>0.28819234517972547</v>
      </c>
      <c r="Z159" t="s">
        <v>392</v>
      </c>
      <c r="AA159">
        <v>114</v>
      </c>
      <c r="AB159" t="s">
        <v>3592</v>
      </c>
      <c r="AC159" t="str">
        <f>HYPERLINK("plots/3FT6Y578R04_015_S21P_20251218081014_M5358ACSC201811_RBGEUFRF04/dpll_52046/txpa_54191.png","plot")</f>
        <v>plot</v>
      </c>
    </row>
    <row r="160" spans="1:29" x14ac:dyDescent="0.35">
      <c r="A160" t="s">
        <v>49</v>
      </c>
      <c r="B160">
        <v>52046</v>
      </c>
      <c r="C160" t="s">
        <v>51</v>
      </c>
      <c r="D160">
        <v>54192</v>
      </c>
      <c r="E160" t="s">
        <v>212</v>
      </c>
      <c r="F160">
        <v>12028</v>
      </c>
      <c r="G160">
        <v>0.64994378662553398</v>
      </c>
      <c r="H160">
        <v>0</v>
      </c>
      <c r="I160">
        <v>0</v>
      </c>
      <c r="J160">
        <v>0.5890804272761011</v>
      </c>
      <c r="K160">
        <v>0</v>
      </c>
      <c r="L160">
        <v>0</v>
      </c>
      <c r="M160">
        <v>0.41722030495489998</v>
      </c>
      <c r="N160">
        <v>0</v>
      </c>
      <c r="O160">
        <v>0</v>
      </c>
      <c r="P160">
        <v>0.42242692577313762</v>
      </c>
      <c r="Q160">
        <v>0.90037744635187822</v>
      </c>
      <c r="R160">
        <v>-0.91768597972032895</v>
      </c>
      <c r="S160">
        <v>0.22123828788667971</v>
      </c>
      <c r="T160">
        <v>0.17432690354716551</v>
      </c>
      <c r="U160">
        <v>4.4179867093448619</v>
      </c>
      <c r="V160">
        <v>0.2101483876699779</v>
      </c>
      <c r="W160">
        <v>3.0601696116561361</v>
      </c>
      <c r="X160">
        <v>0.29112189783002651</v>
      </c>
      <c r="Z160" t="s">
        <v>392</v>
      </c>
      <c r="AA160">
        <v>114</v>
      </c>
      <c r="AB160" t="s">
        <v>3593</v>
      </c>
      <c r="AC160" t="str">
        <f>HYPERLINK("plots/3FT6Y578R04_015_S21P_20251218081014_M5358ACSC201811_RBGEUFRF04/dpll_52046/txpa_54192.png","plot")</f>
        <v>plot</v>
      </c>
    </row>
    <row r="161" spans="1:29" x14ac:dyDescent="0.35">
      <c r="A161" t="s">
        <v>49</v>
      </c>
      <c r="B161">
        <v>52046</v>
      </c>
      <c r="C161" t="s">
        <v>51</v>
      </c>
      <c r="D161">
        <v>54193</v>
      </c>
      <c r="E161" t="s">
        <v>213</v>
      </c>
      <c r="F161">
        <v>12028</v>
      </c>
      <c r="G161">
        <v>0.64505076800073569</v>
      </c>
      <c r="H161">
        <v>0</v>
      </c>
      <c r="I161">
        <v>0</v>
      </c>
      <c r="J161">
        <v>0.57925257678469977</v>
      </c>
      <c r="K161">
        <v>0</v>
      </c>
      <c r="L161">
        <v>0</v>
      </c>
      <c r="M161">
        <v>0.40873322822533348</v>
      </c>
      <c r="N161">
        <v>0</v>
      </c>
      <c r="O161">
        <v>0</v>
      </c>
      <c r="P161">
        <v>0.41609049329833891</v>
      </c>
      <c r="Q161">
        <v>0.87937877908399309</v>
      </c>
      <c r="R161">
        <v>-0.82078544786441299</v>
      </c>
      <c r="S161">
        <v>0.218908621226927</v>
      </c>
      <c r="T161">
        <v>0.17336795741217129</v>
      </c>
      <c r="U161">
        <v>4.4179867093448619</v>
      </c>
      <c r="V161">
        <v>0.2101483876699779</v>
      </c>
      <c r="W161">
        <v>3.0642983106085802</v>
      </c>
      <c r="X161">
        <v>0.28648912883006472</v>
      </c>
      <c r="Z161" t="s">
        <v>392</v>
      </c>
      <c r="AA161">
        <v>114</v>
      </c>
      <c r="AB161" t="s">
        <v>3594</v>
      </c>
      <c r="AC161" t="str">
        <f>HYPERLINK("plots/3FT6Y578R04_015_S21P_20251218081014_M5358ACSC201811_RBGEUFRF04/dpll_52046/txpa_54193.png","plot")</f>
        <v>plot</v>
      </c>
    </row>
    <row r="162" spans="1:29" x14ac:dyDescent="0.35">
      <c r="A162" t="s">
        <v>49</v>
      </c>
      <c r="B162">
        <v>52046</v>
      </c>
      <c r="C162" t="s">
        <v>51</v>
      </c>
      <c r="D162">
        <v>54194</v>
      </c>
      <c r="E162" t="s">
        <v>214</v>
      </c>
      <c r="F162">
        <v>12027</v>
      </c>
      <c r="G162">
        <v>0.6366518542821421</v>
      </c>
      <c r="H162">
        <v>0</v>
      </c>
      <c r="I162">
        <v>0</v>
      </c>
      <c r="J162">
        <v>0.57260060069047858</v>
      </c>
      <c r="K162">
        <v>0</v>
      </c>
      <c r="L162">
        <v>0</v>
      </c>
      <c r="M162">
        <v>0.40471691977351648</v>
      </c>
      <c r="N162">
        <v>0</v>
      </c>
      <c r="O162">
        <v>0</v>
      </c>
      <c r="P162">
        <v>0.40532558356088988</v>
      </c>
      <c r="Q162">
        <v>0.87700049416121217</v>
      </c>
      <c r="R162">
        <v>-0.85088422922170803</v>
      </c>
      <c r="S162">
        <v>0.22321897413176861</v>
      </c>
      <c r="T162">
        <v>0.17524835242404699</v>
      </c>
      <c r="U162">
        <v>4.418010118566559</v>
      </c>
      <c r="V162">
        <v>0.21014144114715341</v>
      </c>
      <c r="W162">
        <v>3.0237128279704</v>
      </c>
      <c r="X162">
        <v>0.28947398250744782</v>
      </c>
      <c r="Z162" t="s">
        <v>392</v>
      </c>
      <c r="AA162">
        <v>114</v>
      </c>
      <c r="AB162" t="s">
        <v>3595</v>
      </c>
      <c r="AC162" t="str">
        <f>HYPERLINK("plots/3FT6Y578R04_015_S21P_20251218081014_M5358ACSC201811_RBGEUFRF04/dpll_52046/txpa_54194.png","plot")</f>
        <v>plot</v>
      </c>
    </row>
    <row r="163" spans="1:29" x14ac:dyDescent="0.35">
      <c r="A163" t="s">
        <v>49</v>
      </c>
      <c r="B163">
        <v>52046</v>
      </c>
      <c r="C163" t="s">
        <v>51</v>
      </c>
      <c r="D163">
        <v>54195</v>
      </c>
      <c r="E163" t="s">
        <v>215</v>
      </c>
      <c r="F163">
        <v>12028</v>
      </c>
      <c r="G163">
        <v>0.66081119195713822</v>
      </c>
      <c r="H163">
        <v>0</v>
      </c>
      <c r="I163">
        <v>0</v>
      </c>
      <c r="J163">
        <v>0.60519147597062961</v>
      </c>
      <c r="K163">
        <v>0</v>
      </c>
      <c r="L163">
        <v>0</v>
      </c>
      <c r="M163">
        <v>0.4292977436822728</v>
      </c>
      <c r="N163">
        <v>0</v>
      </c>
      <c r="O163">
        <v>0</v>
      </c>
      <c r="P163">
        <v>0.43667143141581383</v>
      </c>
      <c r="Q163">
        <v>0.94474045841439103</v>
      </c>
      <c r="R163">
        <v>1.303100072767263</v>
      </c>
      <c r="S163">
        <v>0.22548830438338299</v>
      </c>
      <c r="T163">
        <v>0.17438011020201891</v>
      </c>
      <c r="U163">
        <v>4.4179867093448619</v>
      </c>
      <c r="V163">
        <v>0.2101483876699779</v>
      </c>
      <c r="W163">
        <v>5.4769508618224148</v>
      </c>
      <c r="X163">
        <v>0.30044237524847739</v>
      </c>
      <c r="Z163" t="s">
        <v>392</v>
      </c>
      <c r="AA163">
        <v>114</v>
      </c>
      <c r="AB163" t="s">
        <v>3596</v>
      </c>
      <c r="AC163" t="str">
        <f>HYPERLINK("plots/3FT6Y578R04_015_S21P_20251218081014_M5358ACSC201811_RBGEUFRF04/dpll_52046/txpa_54195.png","plot")</f>
        <v>plot</v>
      </c>
    </row>
    <row r="164" spans="1:29" x14ac:dyDescent="0.35">
      <c r="A164" t="s">
        <v>49</v>
      </c>
      <c r="B164">
        <v>52046</v>
      </c>
      <c r="C164" t="s">
        <v>51</v>
      </c>
      <c r="D164">
        <v>54196</v>
      </c>
      <c r="E164" t="s">
        <v>216</v>
      </c>
      <c r="F164">
        <v>12028</v>
      </c>
      <c r="G164">
        <v>0.6823367557959632</v>
      </c>
      <c r="H164">
        <v>0</v>
      </c>
      <c r="I164">
        <v>0</v>
      </c>
      <c r="J164">
        <v>0.61955409511591497</v>
      </c>
      <c r="K164">
        <v>0</v>
      </c>
      <c r="L164">
        <v>0</v>
      </c>
      <c r="M164">
        <v>0.44283533630667621</v>
      </c>
      <c r="N164">
        <v>0</v>
      </c>
      <c r="O164">
        <v>0</v>
      </c>
      <c r="P164">
        <v>0.46558344831015991</v>
      </c>
      <c r="Q164">
        <v>0.97768018801340872</v>
      </c>
      <c r="R164">
        <v>1.187424842888092</v>
      </c>
      <c r="S164">
        <v>0.22011315895262351</v>
      </c>
      <c r="T164">
        <v>0.1726304571500544</v>
      </c>
      <c r="U164">
        <v>4.4179867093448619</v>
      </c>
      <c r="V164">
        <v>0.2101483876699779</v>
      </c>
      <c r="W164">
        <v>5.5068029195211166</v>
      </c>
      <c r="X164">
        <v>0.30110925935424221</v>
      </c>
      <c r="Z164" t="s">
        <v>392</v>
      </c>
      <c r="AA164">
        <v>114</v>
      </c>
      <c r="AB164" t="s">
        <v>3597</v>
      </c>
      <c r="AC164" t="str">
        <f>HYPERLINK("plots/3FT6Y578R04_015_S21P_20251218081014_M5358ACSC201811_RBGEUFRF04/dpll_52046/txpa_54196.png","plot")</f>
        <v>plot</v>
      </c>
    </row>
    <row r="165" spans="1:29" x14ac:dyDescent="0.35">
      <c r="A165" t="s">
        <v>49</v>
      </c>
      <c r="B165">
        <v>52046</v>
      </c>
      <c r="C165" t="s">
        <v>51</v>
      </c>
      <c r="D165">
        <v>54197</v>
      </c>
      <c r="E165" t="s">
        <v>217</v>
      </c>
      <c r="F165">
        <v>12028</v>
      </c>
      <c r="G165">
        <v>0.6698803447660775</v>
      </c>
      <c r="H165">
        <v>0</v>
      </c>
      <c r="I165">
        <v>0</v>
      </c>
      <c r="J165">
        <v>0.60688724204557487</v>
      </c>
      <c r="K165">
        <v>0</v>
      </c>
      <c r="L165">
        <v>0</v>
      </c>
      <c r="M165">
        <v>0.43186232543053071</v>
      </c>
      <c r="N165">
        <v>0</v>
      </c>
      <c r="O165">
        <v>0</v>
      </c>
      <c r="P165">
        <v>0.44873967630391892</v>
      </c>
      <c r="Q165">
        <v>0.94362761549936103</v>
      </c>
      <c r="R165">
        <v>1.350807241557098</v>
      </c>
      <c r="S165">
        <v>0.21978081672580299</v>
      </c>
      <c r="T165">
        <v>0.17158988933417779</v>
      </c>
      <c r="U165">
        <v>4.4179867093448619</v>
      </c>
      <c r="V165">
        <v>0.2101483876699779</v>
      </c>
      <c r="W165">
        <v>5.5197415054040579</v>
      </c>
      <c r="X165">
        <v>0.296025735801076</v>
      </c>
      <c r="Z165" t="s">
        <v>392</v>
      </c>
      <c r="AA165">
        <v>114</v>
      </c>
      <c r="AB165" t="s">
        <v>3598</v>
      </c>
      <c r="AC165" t="str">
        <f>HYPERLINK("plots/3FT6Y578R04_015_S21P_20251218081014_M5358ACSC201811_RBGEUFRF04/dpll_52046/txpa_54197.png","plot")</f>
        <v>plot</v>
      </c>
    </row>
    <row r="166" spans="1:29" x14ac:dyDescent="0.35">
      <c r="A166" t="s">
        <v>49</v>
      </c>
      <c r="B166">
        <v>52046</v>
      </c>
      <c r="C166" t="s">
        <v>51</v>
      </c>
      <c r="D166">
        <v>54198</v>
      </c>
      <c r="E166" t="s">
        <v>218</v>
      </c>
      <c r="F166">
        <v>12028</v>
      </c>
      <c r="G166">
        <v>0.68772008560398623</v>
      </c>
      <c r="H166">
        <v>0</v>
      </c>
      <c r="I166">
        <v>0</v>
      </c>
      <c r="J166">
        <v>0.62145536905106535</v>
      </c>
      <c r="K166">
        <v>0</v>
      </c>
      <c r="L166">
        <v>0</v>
      </c>
      <c r="M166">
        <v>0.44467119532722899</v>
      </c>
      <c r="N166">
        <v>0</v>
      </c>
      <c r="O166">
        <v>0</v>
      </c>
      <c r="P166">
        <v>0.47295891614315422</v>
      </c>
      <c r="Q166">
        <v>0.98024512914268658</v>
      </c>
      <c r="R166">
        <v>1.1926287773447131</v>
      </c>
      <c r="S166">
        <v>0.2174469035965447</v>
      </c>
      <c r="T166">
        <v>0.17031114327611979</v>
      </c>
      <c r="U166">
        <v>4.4179867093448619</v>
      </c>
      <c r="V166">
        <v>0.2101483876699779</v>
      </c>
      <c r="W166">
        <v>5.5233387297971399</v>
      </c>
      <c r="X166">
        <v>0.29953601432153781</v>
      </c>
      <c r="Z166" t="s">
        <v>392</v>
      </c>
      <c r="AA166">
        <v>114</v>
      </c>
      <c r="AB166" t="s">
        <v>3599</v>
      </c>
      <c r="AC166" t="str">
        <f>HYPERLINK("plots/3FT6Y578R04_015_S21P_20251218081014_M5358ACSC201811_RBGEUFRF04/dpll_52046/txpa_54198.png","plot")</f>
        <v>plot</v>
      </c>
    </row>
    <row r="167" spans="1:29" x14ac:dyDescent="0.35">
      <c r="A167" t="s">
        <v>49</v>
      </c>
      <c r="B167">
        <v>52046</v>
      </c>
      <c r="C167" t="s">
        <v>51</v>
      </c>
      <c r="D167">
        <v>54199</v>
      </c>
      <c r="E167" t="s">
        <v>219</v>
      </c>
      <c r="F167">
        <v>12027</v>
      </c>
      <c r="G167">
        <v>0.68626655646770673</v>
      </c>
      <c r="H167">
        <v>0</v>
      </c>
      <c r="I167">
        <v>0</v>
      </c>
      <c r="J167">
        <v>0.61396184262011344</v>
      </c>
      <c r="K167">
        <v>0</v>
      </c>
      <c r="L167">
        <v>0</v>
      </c>
      <c r="M167">
        <v>0.43680588100234569</v>
      </c>
      <c r="N167">
        <v>0</v>
      </c>
      <c r="O167">
        <v>0</v>
      </c>
      <c r="P167">
        <v>0.47096178652604409</v>
      </c>
      <c r="Q167">
        <v>0.96901028426233493</v>
      </c>
      <c r="R167">
        <v>1.225848988472467</v>
      </c>
      <c r="S167">
        <v>0.21580368337816999</v>
      </c>
      <c r="T167">
        <v>0.17035603492251211</v>
      </c>
      <c r="U167">
        <v>4.4179587365926656</v>
      </c>
      <c r="V167">
        <v>0.21013472984942591</v>
      </c>
      <c r="W167">
        <v>5.5068964396773934</v>
      </c>
      <c r="X167">
        <v>0.29671082232660562</v>
      </c>
      <c r="Z167" t="s">
        <v>392</v>
      </c>
      <c r="AA167">
        <v>114</v>
      </c>
      <c r="AB167" t="s">
        <v>3600</v>
      </c>
      <c r="AC167" t="str">
        <f>HYPERLINK("plots/3FT6Y578R04_015_S21P_20251218081014_M5358ACSC201811_RBGEUFRF04/dpll_52046/txpa_54199.png","plot")</f>
        <v>plot</v>
      </c>
    </row>
    <row r="168" spans="1:29" x14ac:dyDescent="0.35">
      <c r="A168" t="s">
        <v>49</v>
      </c>
      <c r="B168">
        <v>52046</v>
      </c>
      <c r="C168" t="s">
        <v>51</v>
      </c>
      <c r="D168">
        <v>54200</v>
      </c>
      <c r="E168" t="s">
        <v>220</v>
      </c>
      <c r="F168">
        <v>12028</v>
      </c>
      <c r="G168">
        <v>0.69257599390700197</v>
      </c>
      <c r="H168">
        <v>0</v>
      </c>
      <c r="I168">
        <v>0</v>
      </c>
      <c r="J168">
        <v>0.62908016125386823</v>
      </c>
      <c r="K168">
        <v>0</v>
      </c>
      <c r="L168">
        <v>0</v>
      </c>
      <c r="M168">
        <v>0.45047916041186331</v>
      </c>
      <c r="N168">
        <v>0</v>
      </c>
      <c r="O168">
        <v>0</v>
      </c>
      <c r="P168">
        <v>0.47966150733627161</v>
      </c>
      <c r="Q168">
        <v>0.98940652065267998</v>
      </c>
      <c r="R168">
        <v>1.1499690408524359</v>
      </c>
      <c r="S168">
        <v>0.21655006560478909</v>
      </c>
      <c r="T168">
        <v>0.17024048231049221</v>
      </c>
      <c r="U168">
        <v>4.4179867093448619</v>
      </c>
      <c r="V168">
        <v>0.2101483876699779</v>
      </c>
      <c r="W168">
        <v>5.5211538992351183</v>
      </c>
      <c r="X168">
        <v>0.30021569747513221</v>
      </c>
      <c r="Z168" t="s">
        <v>392</v>
      </c>
      <c r="AA168">
        <v>114</v>
      </c>
      <c r="AB168" t="s">
        <v>3601</v>
      </c>
      <c r="AC168" t="str">
        <f>HYPERLINK("plots/3FT6Y578R04_015_S21P_20251218081014_M5358ACSC201811_RBGEUFRF04/dpll_52046/txpa_54200.png","plot")</f>
        <v>plot</v>
      </c>
    </row>
    <row r="169" spans="1:29" x14ac:dyDescent="0.35">
      <c r="A169" t="s">
        <v>49</v>
      </c>
      <c r="B169">
        <v>52046</v>
      </c>
      <c r="C169" t="s">
        <v>51</v>
      </c>
      <c r="D169">
        <v>54201</v>
      </c>
      <c r="E169" t="s">
        <v>221</v>
      </c>
      <c r="F169">
        <v>12028</v>
      </c>
      <c r="G169">
        <v>0.68957980979727806</v>
      </c>
      <c r="H169">
        <v>0</v>
      </c>
      <c r="I169">
        <v>0</v>
      </c>
      <c r="J169">
        <v>0.62055256576605933</v>
      </c>
      <c r="K169">
        <v>0</v>
      </c>
      <c r="L169">
        <v>0</v>
      </c>
      <c r="M169">
        <v>0.44283836697811318</v>
      </c>
      <c r="N169">
        <v>0</v>
      </c>
      <c r="O169">
        <v>0</v>
      </c>
      <c r="P169">
        <v>0.47552031408005019</v>
      </c>
      <c r="Q169">
        <v>0.96947109823747679</v>
      </c>
      <c r="R169">
        <v>1.242905544708623</v>
      </c>
      <c r="S169">
        <v>0.21395511479263229</v>
      </c>
      <c r="T169">
        <v>0.16911095900244699</v>
      </c>
      <c r="U169">
        <v>4.4179867093448619</v>
      </c>
      <c r="V169">
        <v>0.2101483876699779</v>
      </c>
      <c r="W169">
        <v>5.5260159718157631</v>
      </c>
      <c r="X169">
        <v>0.2954448278396401</v>
      </c>
      <c r="Z169" t="s">
        <v>392</v>
      </c>
      <c r="AA169">
        <v>114</v>
      </c>
      <c r="AB169" t="s">
        <v>3602</v>
      </c>
      <c r="AC169" t="str">
        <f>HYPERLINK("plots/3FT6Y578R04_015_S21P_20251218081014_M5358ACSC201811_RBGEUFRF04/dpll_52046/txpa_54201.png","plot")</f>
        <v>plot</v>
      </c>
    </row>
    <row r="170" spans="1:29" x14ac:dyDescent="0.35">
      <c r="A170" t="s">
        <v>49</v>
      </c>
      <c r="B170">
        <v>52046</v>
      </c>
      <c r="C170" t="s">
        <v>51</v>
      </c>
      <c r="D170">
        <v>54202</v>
      </c>
      <c r="E170" t="s">
        <v>222</v>
      </c>
      <c r="F170">
        <v>12027</v>
      </c>
      <c r="G170">
        <v>0.68241771901779824</v>
      </c>
      <c r="H170">
        <v>0</v>
      </c>
      <c r="I170">
        <v>0</v>
      </c>
      <c r="J170">
        <v>0.61452153215851613</v>
      </c>
      <c r="K170">
        <v>0</v>
      </c>
      <c r="L170">
        <v>0</v>
      </c>
      <c r="M170">
        <v>0.43911028149870202</v>
      </c>
      <c r="N170">
        <v>0</v>
      </c>
      <c r="O170">
        <v>0</v>
      </c>
      <c r="P170">
        <v>0.46569394322945462</v>
      </c>
      <c r="Q170">
        <v>0.96907247121081608</v>
      </c>
      <c r="R170">
        <v>1.2064269670111469</v>
      </c>
      <c r="S170">
        <v>0.21811958414911131</v>
      </c>
      <c r="T170">
        <v>0.1709480419860562</v>
      </c>
      <c r="U170">
        <v>4.418010118566559</v>
      </c>
      <c r="V170">
        <v>0.21014144114715341</v>
      </c>
      <c r="W170">
        <v>5.4877989504448328</v>
      </c>
      <c r="X170">
        <v>0.29841295148281921</v>
      </c>
      <c r="Z170" t="s">
        <v>392</v>
      </c>
      <c r="AA170">
        <v>114</v>
      </c>
      <c r="AB170" t="s">
        <v>3603</v>
      </c>
      <c r="AC170" t="str">
        <f>HYPERLINK("plots/3FT6Y578R04_015_S21P_20251218081014_M5358ACSC201811_RBGEUFRF04/dpll_52046/txpa_54202.png","plot")</f>
        <v>plot</v>
      </c>
    </row>
    <row r="171" spans="1:29" x14ac:dyDescent="0.35">
      <c r="A171" t="s">
        <v>49</v>
      </c>
      <c r="B171">
        <v>52046</v>
      </c>
      <c r="C171" t="s">
        <v>51</v>
      </c>
      <c r="D171">
        <v>54203</v>
      </c>
      <c r="E171" t="s">
        <v>223</v>
      </c>
      <c r="F171">
        <v>12028</v>
      </c>
      <c r="G171">
        <v>0.67728750431196505</v>
      </c>
      <c r="H171">
        <v>0</v>
      </c>
      <c r="I171">
        <v>0</v>
      </c>
      <c r="J171">
        <v>0.61890633429593689</v>
      </c>
      <c r="K171">
        <v>0</v>
      </c>
      <c r="L171">
        <v>0</v>
      </c>
      <c r="M171">
        <v>0.44068552097411468</v>
      </c>
      <c r="N171">
        <v>0</v>
      </c>
      <c r="O171">
        <v>0</v>
      </c>
      <c r="P171">
        <v>0.45871836349713008</v>
      </c>
      <c r="Q171">
        <v>0.98773651496104797</v>
      </c>
      <c r="R171">
        <v>2.2045876173543091</v>
      </c>
      <c r="S171">
        <v>0.22546944764361271</v>
      </c>
      <c r="T171">
        <v>0.17399787894187291</v>
      </c>
      <c r="U171">
        <v>4.4179867093448619</v>
      </c>
      <c r="V171">
        <v>0.2101483876699779</v>
      </c>
      <c r="W171">
        <v>6.568394412786831</v>
      </c>
      <c r="X171">
        <v>0.30647433289455472</v>
      </c>
      <c r="Z171" t="s">
        <v>392</v>
      </c>
      <c r="AA171">
        <v>114</v>
      </c>
      <c r="AB171" t="s">
        <v>3604</v>
      </c>
      <c r="AC171" t="str">
        <f>HYPERLINK("plots/3FT6Y578R04_015_S21P_20251218081014_M5358ACSC201811_RBGEUFRF04/dpll_52046/txpa_54203.png","plot")</f>
        <v>plot</v>
      </c>
    </row>
    <row r="172" spans="1:29" x14ac:dyDescent="0.35">
      <c r="A172" t="s">
        <v>49</v>
      </c>
      <c r="B172">
        <v>52046</v>
      </c>
      <c r="C172" t="s">
        <v>51</v>
      </c>
      <c r="D172">
        <v>54204</v>
      </c>
      <c r="E172" t="s">
        <v>224</v>
      </c>
      <c r="F172">
        <v>12028</v>
      </c>
      <c r="G172">
        <v>0.69778086902208936</v>
      </c>
      <c r="H172">
        <v>0</v>
      </c>
      <c r="I172">
        <v>0</v>
      </c>
      <c r="J172">
        <v>0.63252996542921514</v>
      </c>
      <c r="K172">
        <v>0</v>
      </c>
      <c r="L172">
        <v>0</v>
      </c>
      <c r="M172">
        <v>0.45385387161564822</v>
      </c>
      <c r="N172">
        <v>0</v>
      </c>
      <c r="O172">
        <v>0</v>
      </c>
      <c r="P172">
        <v>0.48689814117322222</v>
      </c>
      <c r="Q172">
        <v>1.019427155057067</v>
      </c>
      <c r="R172">
        <v>2.0939639948728259</v>
      </c>
      <c r="S172">
        <v>0.21991099408979481</v>
      </c>
      <c r="T172">
        <v>0.17222164997012951</v>
      </c>
      <c r="U172">
        <v>4.4179867093448619</v>
      </c>
      <c r="V172">
        <v>0.2101483876699779</v>
      </c>
      <c r="W172">
        <v>6.5977796170601932</v>
      </c>
      <c r="X172">
        <v>0.3070175501980601</v>
      </c>
      <c r="Z172" t="s">
        <v>392</v>
      </c>
      <c r="AA172">
        <v>114</v>
      </c>
      <c r="AB172" t="s">
        <v>3605</v>
      </c>
      <c r="AC172" t="str">
        <f>HYPERLINK("plots/3FT6Y578R04_015_S21P_20251218081014_M5358ACSC201811_RBGEUFRF04/dpll_52046/txpa_54204.png","plot")</f>
        <v>plot</v>
      </c>
    </row>
    <row r="173" spans="1:29" x14ac:dyDescent="0.35">
      <c r="A173" t="s">
        <v>49</v>
      </c>
      <c r="B173">
        <v>52046</v>
      </c>
      <c r="C173" t="s">
        <v>51</v>
      </c>
      <c r="D173">
        <v>54205</v>
      </c>
      <c r="E173" t="s">
        <v>225</v>
      </c>
      <c r="F173">
        <v>12028</v>
      </c>
      <c r="G173">
        <v>0.68629346386625489</v>
      </c>
      <c r="H173">
        <v>0</v>
      </c>
      <c r="I173">
        <v>0</v>
      </c>
      <c r="J173">
        <v>0.6204901002990717</v>
      </c>
      <c r="K173">
        <v>0</v>
      </c>
      <c r="L173">
        <v>0</v>
      </c>
      <c r="M173">
        <v>0.44323638798729598</v>
      </c>
      <c r="N173">
        <v>0</v>
      </c>
      <c r="O173">
        <v>0</v>
      </c>
      <c r="P173">
        <v>0.47099871854554248</v>
      </c>
      <c r="Q173">
        <v>0.98643968645258162</v>
      </c>
      <c r="R173">
        <v>2.2529539544650219</v>
      </c>
      <c r="S173">
        <v>0.2196833000337757</v>
      </c>
      <c r="T173">
        <v>0.17109336528283031</v>
      </c>
      <c r="U173">
        <v>4.4179867093448619</v>
      </c>
      <c r="V173">
        <v>0.2101483876699779</v>
      </c>
      <c r="W173">
        <v>6.6110313787828412</v>
      </c>
      <c r="X173">
        <v>0.30205549164619028</v>
      </c>
      <c r="Z173" t="s">
        <v>392</v>
      </c>
      <c r="AA173">
        <v>114</v>
      </c>
      <c r="AB173" t="s">
        <v>3606</v>
      </c>
      <c r="AC173" t="str">
        <f>HYPERLINK("plots/3FT6Y578R04_015_S21P_20251218081014_M5358ACSC201811_RBGEUFRF04/dpll_52046/txpa_54205.png","plot")</f>
        <v>plot</v>
      </c>
    </row>
    <row r="174" spans="1:29" x14ac:dyDescent="0.35">
      <c r="A174" t="s">
        <v>49</v>
      </c>
      <c r="B174">
        <v>52046</v>
      </c>
      <c r="C174" t="s">
        <v>51</v>
      </c>
      <c r="D174">
        <v>54206</v>
      </c>
      <c r="E174" t="s">
        <v>226</v>
      </c>
      <c r="F174">
        <v>12028</v>
      </c>
      <c r="G174">
        <v>0.70329612823779031</v>
      </c>
      <c r="H174">
        <v>0</v>
      </c>
      <c r="I174">
        <v>0</v>
      </c>
      <c r="J174">
        <v>0.63471683715156269</v>
      </c>
      <c r="K174">
        <v>0</v>
      </c>
      <c r="L174">
        <v>0</v>
      </c>
      <c r="M174">
        <v>0.45587634592088988</v>
      </c>
      <c r="N174">
        <v>0</v>
      </c>
      <c r="O174">
        <v>0</v>
      </c>
      <c r="P174">
        <v>0.49462544399426639</v>
      </c>
      <c r="Q174">
        <v>1.0225278484916069</v>
      </c>
      <c r="R174">
        <v>2.0958806694962608</v>
      </c>
      <c r="S174">
        <v>0.2171958949523356</v>
      </c>
      <c r="T174">
        <v>0.16987860249264139</v>
      </c>
      <c r="U174">
        <v>4.4179867093448619</v>
      </c>
      <c r="V174">
        <v>0.2101483876699779</v>
      </c>
      <c r="W174">
        <v>6.6133951140671767</v>
      </c>
      <c r="X174">
        <v>0.30553641642615298</v>
      </c>
      <c r="Z174" t="s">
        <v>392</v>
      </c>
      <c r="AA174">
        <v>114</v>
      </c>
      <c r="AB174" t="s">
        <v>3607</v>
      </c>
      <c r="AC174" t="str">
        <f>HYPERLINK("plots/3FT6Y578R04_015_S21P_20251218081014_M5358ACSC201811_RBGEUFRF04/dpll_52046/txpa_54206.png","plot")</f>
        <v>plot</v>
      </c>
    </row>
    <row r="175" spans="1:29" x14ac:dyDescent="0.35">
      <c r="A175" t="s">
        <v>49</v>
      </c>
      <c r="B175">
        <v>52046</v>
      </c>
      <c r="C175" t="s">
        <v>51</v>
      </c>
      <c r="D175">
        <v>54207</v>
      </c>
      <c r="E175" t="s">
        <v>227</v>
      </c>
      <c r="F175">
        <v>12027</v>
      </c>
      <c r="G175">
        <v>0.70252443251977814</v>
      </c>
      <c r="H175">
        <v>0</v>
      </c>
      <c r="I175">
        <v>0</v>
      </c>
      <c r="J175">
        <v>0.62769600341720422</v>
      </c>
      <c r="K175">
        <v>0</v>
      </c>
      <c r="L175">
        <v>0</v>
      </c>
      <c r="M175">
        <v>0.44825358389129027</v>
      </c>
      <c r="N175">
        <v>0</v>
      </c>
      <c r="O175">
        <v>0</v>
      </c>
      <c r="P175">
        <v>0.4935405782872363</v>
      </c>
      <c r="Q175">
        <v>1.0119796024112331</v>
      </c>
      <c r="R175">
        <v>2.125480740075667</v>
      </c>
      <c r="S175">
        <v>0.2154083002274631</v>
      </c>
      <c r="T175">
        <v>0.16985353578340359</v>
      </c>
      <c r="U175">
        <v>4.4179587365926656</v>
      </c>
      <c r="V175">
        <v>0.21013472984942591</v>
      </c>
      <c r="W175">
        <v>6.5963648658019469</v>
      </c>
      <c r="X175">
        <v>0.3026970316222094</v>
      </c>
      <c r="Z175" t="s">
        <v>392</v>
      </c>
      <c r="AA175">
        <v>114</v>
      </c>
      <c r="AB175" t="s">
        <v>3608</v>
      </c>
      <c r="AC175" t="str">
        <f>HYPERLINK("plots/3FT6Y578R04_015_S21P_20251218081014_M5358ACSC201811_RBGEUFRF04/dpll_52046/txpa_54207.png","plot")</f>
        <v>plot</v>
      </c>
    </row>
    <row r="176" spans="1:29" x14ac:dyDescent="0.35">
      <c r="A176" t="s">
        <v>49</v>
      </c>
      <c r="B176">
        <v>52046</v>
      </c>
      <c r="C176" t="s">
        <v>51</v>
      </c>
      <c r="D176">
        <v>54208</v>
      </c>
      <c r="E176" t="s">
        <v>228</v>
      </c>
      <c r="F176">
        <v>12028</v>
      </c>
      <c r="G176">
        <v>0.707918460754694</v>
      </c>
      <c r="H176">
        <v>0</v>
      </c>
      <c r="I176">
        <v>0</v>
      </c>
      <c r="J176">
        <v>0.6423733052771885</v>
      </c>
      <c r="K176">
        <v>0</v>
      </c>
      <c r="L176">
        <v>0</v>
      </c>
      <c r="M176">
        <v>0.46184843786094731</v>
      </c>
      <c r="N176">
        <v>0</v>
      </c>
      <c r="O176">
        <v>0</v>
      </c>
      <c r="P176">
        <v>0.50114854707729528</v>
      </c>
      <c r="Q176">
        <v>1.0320052993498361</v>
      </c>
      <c r="R176">
        <v>2.0518451598341771</v>
      </c>
      <c r="S176">
        <v>0.2163676451330053</v>
      </c>
      <c r="T176">
        <v>0.16974689082554209</v>
      </c>
      <c r="U176">
        <v>4.4179867093448619</v>
      </c>
      <c r="V176">
        <v>0.2101483876699779</v>
      </c>
      <c r="W176">
        <v>6.6112308563352187</v>
      </c>
      <c r="X176">
        <v>0.3063548441638842</v>
      </c>
      <c r="Z176" t="s">
        <v>392</v>
      </c>
      <c r="AA176">
        <v>114</v>
      </c>
      <c r="AB176" t="s">
        <v>3609</v>
      </c>
      <c r="AC176" t="str">
        <f>HYPERLINK("plots/3FT6Y578R04_015_S21P_20251218081014_M5358ACSC201811_RBGEUFRF04/dpll_52046/txpa_54208.png","plot")</f>
        <v>plot</v>
      </c>
    </row>
    <row r="177" spans="1:29" x14ac:dyDescent="0.35">
      <c r="A177" t="s">
        <v>49</v>
      </c>
      <c r="B177">
        <v>52046</v>
      </c>
      <c r="C177" t="s">
        <v>51</v>
      </c>
      <c r="D177">
        <v>54209</v>
      </c>
      <c r="E177" t="s">
        <v>229</v>
      </c>
      <c r="F177">
        <v>12028</v>
      </c>
      <c r="G177">
        <v>0.70561075491361747</v>
      </c>
      <c r="H177">
        <v>0</v>
      </c>
      <c r="I177">
        <v>0</v>
      </c>
      <c r="J177">
        <v>0.6337363372696585</v>
      </c>
      <c r="K177">
        <v>0</v>
      </c>
      <c r="L177">
        <v>0</v>
      </c>
      <c r="M177">
        <v>0.45399877816257522</v>
      </c>
      <c r="N177">
        <v>0</v>
      </c>
      <c r="O177">
        <v>0</v>
      </c>
      <c r="P177">
        <v>0.49788653744976508</v>
      </c>
      <c r="Q177">
        <v>1.0125097006178581</v>
      </c>
      <c r="R177">
        <v>2.143001705091383</v>
      </c>
      <c r="S177">
        <v>0.21366970087730339</v>
      </c>
      <c r="T177">
        <v>0.16864419912165379</v>
      </c>
      <c r="U177">
        <v>4.4179867093448619</v>
      </c>
      <c r="V177">
        <v>0.2101483876699779</v>
      </c>
      <c r="W177">
        <v>6.6162561055038234</v>
      </c>
      <c r="X177">
        <v>0.30155050727805821</v>
      </c>
      <c r="Z177" t="s">
        <v>392</v>
      </c>
      <c r="AA177">
        <v>114</v>
      </c>
      <c r="AB177" t="s">
        <v>3610</v>
      </c>
      <c r="AC177" t="str">
        <f>HYPERLINK("plots/3FT6Y578R04_015_S21P_20251218081014_M5358ACSC201811_RBGEUFRF04/dpll_52046/txpa_54209.png","plot")</f>
        <v>plot</v>
      </c>
    </row>
    <row r="178" spans="1:29" x14ac:dyDescent="0.35">
      <c r="A178" t="s">
        <v>49</v>
      </c>
      <c r="B178">
        <v>52046</v>
      </c>
      <c r="C178" t="s">
        <v>51</v>
      </c>
      <c r="D178">
        <v>54210</v>
      </c>
      <c r="E178" t="s">
        <v>230</v>
      </c>
      <c r="F178">
        <v>12027</v>
      </c>
      <c r="G178">
        <v>0.69865036245181489</v>
      </c>
      <c r="H178">
        <v>0</v>
      </c>
      <c r="I178">
        <v>0</v>
      </c>
      <c r="J178">
        <v>0.62809002153748006</v>
      </c>
      <c r="K178">
        <v>0</v>
      </c>
      <c r="L178">
        <v>0</v>
      </c>
      <c r="M178">
        <v>0.45052256668234147</v>
      </c>
      <c r="N178">
        <v>0</v>
      </c>
      <c r="O178">
        <v>0</v>
      </c>
      <c r="P178">
        <v>0.48811232895405232</v>
      </c>
      <c r="Q178">
        <v>1.011822196642038</v>
      </c>
      <c r="R178">
        <v>2.1090762970452319</v>
      </c>
      <c r="S178">
        <v>0.21773352272105501</v>
      </c>
      <c r="T178">
        <v>0.17038194352786859</v>
      </c>
      <c r="U178">
        <v>4.418010118566559</v>
      </c>
      <c r="V178">
        <v>0.21014144114715341</v>
      </c>
      <c r="W178">
        <v>6.5793169999999996</v>
      </c>
      <c r="X178">
        <v>0.30433788632250358</v>
      </c>
      <c r="Z178" t="s">
        <v>392</v>
      </c>
      <c r="AA178">
        <v>114</v>
      </c>
      <c r="AB178" t="s">
        <v>3611</v>
      </c>
      <c r="AC178" t="str">
        <f>HYPERLINK("plots/3FT6Y578R04_015_S21P_20251218081014_M5358ACSC201811_RBGEUFRF04/dpll_52046/txpa_54210.png","plot")</f>
        <v>plot</v>
      </c>
    </row>
    <row r="179" spans="1:29" x14ac:dyDescent="0.35">
      <c r="A179" t="s">
        <v>49</v>
      </c>
      <c r="B179">
        <v>52046</v>
      </c>
      <c r="C179" t="s">
        <v>51</v>
      </c>
      <c r="D179">
        <v>54211</v>
      </c>
      <c r="E179" t="s">
        <v>231</v>
      </c>
      <c r="F179">
        <v>12028</v>
      </c>
      <c r="G179">
        <v>0.69246135043909907</v>
      </c>
      <c r="H179">
        <v>0</v>
      </c>
      <c r="I179">
        <v>0</v>
      </c>
      <c r="J179">
        <v>0.6312812758644043</v>
      </c>
      <c r="K179">
        <v>0</v>
      </c>
      <c r="L179">
        <v>0</v>
      </c>
      <c r="M179">
        <v>0.45103610142050221</v>
      </c>
      <c r="N179">
        <v>0</v>
      </c>
      <c r="O179">
        <v>0</v>
      </c>
      <c r="P179">
        <v>0.47950272185194082</v>
      </c>
      <c r="Q179">
        <v>1.035604543767277</v>
      </c>
      <c r="R179">
        <v>3.0634418850094951</v>
      </c>
      <c r="S179">
        <v>0.2267334771476657</v>
      </c>
      <c r="T179">
        <v>0.17461393012999901</v>
      </c>
      <c r="U179">
        <v>4.4179867093448619</v>
      </c>
      <c r="V179">
        <v>0.2101483876699779</v>
      </c>
      <c r="W179">
        <v>7.6387289955104754</v>
      </c>
      <c r="X179">
        <v>0.31428559153286162</v>
      </c>
      <c r="Z179" t="s">
        <v>392</v>
      </c>
      <c r="AA179">
        <v>114</v>
      </c>
      <c r="AB179" t="s">
        <v>3612</v>
      </c>
      <c r="AC179" t="str">
        <f>HYPERLINK("plots/3FT6Y578R04_015_S21P_20251218081014_M5358ACSC201811_RBGEUFRF04/dpll_52046/txpa_54211.png","plot")</f>
        <v>plot</v>
      </c>
    </row>
    <row r="180" spans="1:29" x14ac:dyDescent="0.35">
      <c r="A180" t="s">
        <v>49</v>
      </c>
      <c r="B180">
        <v>52046</v>
      </c>
      <c r="C180" t="s">
        <v>51</v>
      </c>
      <c r="D180">
        <v>54212</v>
      </c>
      <c r="E180" t="s">
        <v>232</v>
      </c>
      <c r="F180">
        <v>12028</v>
      </c>
      <c r="G180">
        <v>0.71201847916898642</v>
      </c>
      <c r="H180">
        <v>0</v>
      </c>
      <c r="I180">
        <v>0</v>
      </c>
      <c r="J180">
        <v>0.64411056191478178</v>
      </c>
      <c r="K180">
        <v>0</v>
      </c>
      <c r="L180">
        <v>0</v>
      </c>
      <c r="M180">
        <v>0.46368820463373739</v>
      </c>
      <c r="N180">
        <v>0</v>
      </c>
      <c r="O180">
        <v>0</v>
      </c>
      <c r="P180">
        <v>0.50697031467811637</v>
      </c>
      <c r="Q180">
        <v>1.066593105150873</v>
      </c>
      <c r="R180">
        <v>2.955227626406344</v>
      </c>
      <c r="S180">
        <v>0.22103042020653951</v>
      </c>
      <c r="T180">
        <v>0.17284523993727921</v>
      </c>
      <c r="U180">
        <v>4.4179867093448619</v>
      </c>
      <c r="V180">
        <v>0.2101483876699779</v>
      </c>
      <c r="W180">
        <v>7.6674217892417689</v>
      </c>
      <c r="X180">
        <v>0.31479916309050521</v>
      </c>
      <c r="Z180" t="s">
        <v>392</v>
      </c>
      <c r="AA180">
        <v>114</v>
      </c>
      <c r="AB180" t="s">
        <v>3613</v>
      </c>
      <c r="AC180" t="str">
        <f>HYPERLINK("plots/3FT6Y578R04_015_S21P_20251218081014_M5358ACSC201811_RBGEUFRF04/dpll_52046/txpa_54212.png","plot")</f>
        <v>plot</v>
      </c>
    </row>
    <row r="181" spans="1:29" x14ac:dyDescent="0.35">
      <c r="A181" t="s">
        <v>49</v>
      </c>
      <c r="B181">
        <v>52046</v>
      </c>
      <c r="C181" t="s">
        <v>51</v>
      </c>
      <c r="D181">
        <v>54213</v>
      </c>
      <c r="E181" t="s">
        <v>233</v>
      </c>
      <c r="F181">
        <v>12028</v>
      </c>
      <c r="G181">
        <v>0.70131824187167735</v>
      </c>
      <c r="H181">
        <v>0</v>
      </c>
      <c r="I181">
        <v>0</v>
      </c>
      <c r="J181">
        <v>0.63295510174603531</v>
      </c>
      <c r="K181">
        <v>0</v>
      </c>
      <c r="L181">
        <v>0</v>
      </c>
      <c r="M181">
        <v>0.45368487523870088</v>
      </c>
      <c r="N181">
        <v>0</v>
      </c>
      <c r="O181">
        <v>0</v>
      </c>
      <c r="P181">
        <v>0.49184727638198061</v>
      </c>
      <c r="Q181">
        <v>1.034025072026219</v>
      </c>
      <c r="R181">
        <v>3.1128045893910952</v>
      </c>
      <c r="S181">
        <v>0.22086203568009111</v>
      </c>
      <c r="T181">
        <v>0.17159318276992599</v>
      </c>
      <c r="U181">
        <v>4.4179867093448619</v>
      </c>
      <c r="V181">
        <v>0.2101483876699779</v>
      </c>
      <c r="W181">
        <v>7.6811136147322916</v>
      </c>
      <c r="X181">
        <v>0.30984321913075591</v>
      </c>
      <c r="Z181" t="s">
        <v>392</v>
      </c>
      <c r="AA181">
        <v>114</v>
      </c>
      <c r="AB181" t="s">
        <v>3614</v>
      </c>
      <c r="AC181" t="str">
        <f>HYPERLINK("plots/3FT6Y578R04_015_S21P_20251218081014_M5358ACSC201811_RBGEUFRF04/dpll_52046/txpa_54213.png","plot")</f>
        <v>plot</v>
      </c>
    </row>
    <row r="182" spans="1:29" x14ac:dyDescent="0.35">
      <c r="A182" t="s">
        <v>49</v>
      </c>
      <c r="B182">
        <v>52046</v>
      </c>
      <c r="C182" t="s">
        <v>51</v>
      </c>
      <c r="D182">
        <v>54214</v>
      </c>
      <c r="E182" t="s">
        <v>234</v>
      </c>
      <c r="F182">
        <v>12027</v>
      </c>
      <c r="G182">
        <v>0.71814973302930751</v>
      </c>
      <c r="H182">
        <v>0</v>
      </c>
      <c r="I182">
        <v>0</v>
      </c>
      <c r="J182">
        <v>0.64622010574240674</v>
      </c>
      <c r="K182">
        <v>0</v>
      </c>
      <c r="L182">
        <v>0</v>
      </c>
      <c r="M182">
        <v>0.4656603108907128</v>
      </c>
      <c r="N182">
        <v>0</v>
      </c>
      <c r="O182">
        <v>0</v>
      </c>
      <c r="P182">
        <v>0.51573903905006568</v>
      </c>
      <c r="Q182">
        <v>1.0688518381816401</v>
      </c>
      <c r="R182">
        <v>2.960176674583177</v>
      </c>
      <c r="S182">
        <v>0.2176527468712732</v>
      </c>
      <c r="T182">
        <v>0.17036539387580149</v>
      </c>
      <c r="U182">
        <v>4.417995080651866</v>
      </c>
      <c r="V182">
        <v>0.21015511914181201</v>
      </c>
      <c r="W182">
        <v>7.6823588376153653</v>
      </c>
      <c r="X182">
        <v>0.31278252301298343</v>
      </c>
      <c r="Z182" t="s">
        <v>392</v>
      </c>
      <c r="AA182">
        <v>114</v>
      </c>
      <c r="AB182" t="s">
        <v>3615</v>
      </c>
      <c r="AC182" t="str">
        <f>HYPERLINK("plots/3FT6Y578R04_015_S21P_20251218081014_M5358ACSC201811_RBGEUFRF04/dpll_52046/txpa_54214.png","plot")</f>
        <v>plot</v>
      </c>
    </row>
    <row r="183" spans="1:29" x14ac:dyDescent="0.35">
      <c r="A183" t="s">
        <v>49</v>
      </c>
      <c r="B183">
        <v>52046</v>
      </c>
      <c r="C183" t="s">
        <v>51</v>
      </c>
      <c r="D183">
        <v>54215</v>
      </c>
      <c r="E183" t="s">
        <v>235</v>
      </c>
      <c r="F183">
        <v>12027</v>
      </c>
      <c r="G183">
        <v>0.71707754916431721</v>
      </c>
      <c r="H183">
        <v>0</v>
      </c>
      <c r="I183">
        <v>0</v>
      </c>
      <c r="J183">
        <v>0.63956181714672578</v>
      </c>
      <c r="K183">
        <v>0</v>
      </c>
      <c r="L183">
        <v>0</v>
      </c>
      <c r="M183">
        <v>0.45827968399788838</v>
      </c>
      <c r="N183">
        <v>0</v>
      </c>
      <c r="O183">
        <v>0</v>
      </c>
      <c r="P183">
        <v>0.51420021151550377</v>
      </c>
      <c r="Q183">
        <v>1.0600443813140821</v>
      </c>
      <c r="R183">
        <v>2.9816409457644082</v>
      </c>
      <c r="S183">
        <v>0.2165042190458428</v>
      </c>
      <c r="T183">
        <v>0.17037961993403339</v>
      </c>
      <c r="U183">
        <v>4.4179587365926656</v>
      </c>
      <c r="V183">
        <v>0.21013472984942591</v>
      </c>
      <c r="W183">
        <v>7.6648732813669236</v>
      </c>
      <c r="X183">
        <v>0.31063884227784272</v>
      </c>
      <c r="Z183" t="s">
        <v>392</v>
      </c>
      <c r="AA183">
        <v>114</v>
      </c>
      <c r="AB183" t="s">
        <v>3616</v>
      </c>
      <c r="AC183" t="str">
        <f>HYPERLINK("plots/3FT6Y578R04_015_S21P_20251218081014_M5358ACSC201811_RBGEUFRF04/dpll_52046/txpa_54215.png","plot")</f>
        <v>plot</v>
      </c>
    </row>
    <row r="184" spans="1:29" x14ac:dyDescent="0.35">
      <c r="A184" t="s">
        <v>49</v>
      </c>
      <c r="B184">
        <v>52046</v>
      </c>
      <c r="C184" t="s">
        <v>51</v>
      </c>
      <c r="D184">
        <v>54216</v>
      </c>
      <c r="E184" t="s">
        <v>236</v>
      </c>
      <c r="F184">
        <v>12028</v>
      </c>
      <c r="G184">
        <v>0.72168585502395022</v>
      </c>
      <c r="H184">
        <v>0</v>
      </c>
      <c r="I184">
        <v>0</v>
      </c>
      <c r="J184">
        <v>0.65336967574604832</v>
      </c>
      <c r="K184">
        <v>0</v>
      </c>
      <c r="L184">
        <v>0</v>
      </c>
      <c r="M184">
        <v>0.4713393697232538</v>
      </c>
      <c r="N184">
        <v>0</v>
      </c>
      <c r="O184">
        <v>0</v>
      </c>
      <c r="P184">
        <v>0.52083047334165011</v>
      </c>
      <c r="Q184">
        <v>1.0790605153245529</v>
      </c>
      <c r="R184">
        <v>2.9129270673578138</v>
      </c>
      <c r="S184">
        <v>0.21749546778525941</v>
      </c>
      <c r="T184">
        <v>0.1703030112924504</v>
      </c>
      <c r="U184">
        <v>4.4179867093448619</v>
      </c>
      <c r="V184">
        <v>0.2101483876699779</v>
      </c>
      <c r="W184">
        <v>7.6802020826405064</v>
      </c>
      <c r="X184">
        <v>0.31421265349071431</v>
      </c>
      <c r="Z184" t="s">
        <v>392</v>
      </c>
      <c r="AA184">
        <v>114</v>
      </c>
      <c r="AB184" t="s">
        <v>3617</v>
      </c>
      <c r="AC184" t="str">
        <f>HYPERLINK("plots/3FT6Y578R04_015_S21P_20251218081014_M5358ACSC201811_RBGEUFRF04/dpll_52046/txpa_54216.png","plot")</f>
        <v>plot</v>
      </c>
    </row>
    <row r="185" spans="1:29" x14ac:dyDescent="0.35">
      <c r="A185" t="s">
        <v>49</v>
      </c>
      <c r="B185">
        <v>52046</v>
      </c>
      <c r="C185" t="s">
        <v>51</v>
      </c>
      <c r="D185">
        <v>54217</v>
      </c>
      <c r="E185" t="s">
        <v>237</v>
      </c>
      <c r="F185">
        <v>12028</v>
      </c>
      <c r="G185">
        <v>0.72018133905783854</v>
      </c>
      <c r="H185">
        <v>0</v>
      </c>
      <c r="I185">
        <v>0</v>
      </c>
      <c r="J185">
        <v>0.6454153294547591</v>
      </c>
      <c r="K185">
        <v>0</v>
      </c>
      <c r="L185">
        <v>0</v>
      </c>
      <c r="M185">
        <v>0.46394106691178633</v>
      </c>
      <c r="N185">
        <v>0</v>
      </c>
      <c r="O185">
        <v>0</v>
      </c>
      <c r="P185">
        <v>0.51866116112714145</v>
      </c>
      <c r="Q185">
        <v>1.060578444182263</v>
      </c>
      <c r="R185">
        <v>3.0002314011011051</v>
      </c>
      <c r="S185">
        <v>0.2147011611002862</v>
      </c>
      <c r="T185">
        <v>0.16912305300149469</v>
      </c>
      <c r="U185">
        <v>4.4179867093448619</v>
      </c>
      <c r="V185">
        <v>0.2101483876699779</v>
      </c>
      <c r="W185">
        <v>7.685852871715996</v>
      </c>
      <c r="X185">
        <v>0.30947601382453582</v>
      </c>
      <c r="Z185" t="s">
        <v>392</v>
      </c>
      <c r="AA185">
        <v>114</v>
      </c>
      <c r="AB185" t="s">
        <v>3618</v>
      </c>
      <c r="AC185" t="str">
        <f>HYPERLINK("plots/3FT6Y578R04_015_S21P_20251218081014_M5358ACSC201811_RBGEUFRF04/dpll_52046/txpa_54217.png","plot")</f>
        <v>plot</v>
      </c>
    </row>
    <row r="186" spans="1:29" x14ac:dyDescent="0.35">
      <c r="A186" t="s">
        <v>49</v>
      </c>
      <c r="B186">
        <v>52046</v>
      </c>
      <c r="C186" t="s">
        <v>51</v>
      </c>
      <c r="D186">
        <v>54218</v>
      </c>
      <c r="E186" t="s">
        <v>238</v>
      </c>
      <c r="F186">
        <v>12027</v>
      </c>
      <c r="G186">
        <v>0.71314669876861059</v>
      </c>
      <c r="H186">
        <v>0</v>
      </c>
      <c r="I186">
        <v>0</v>
      </c>
      <c r="J186">
        <v>0.63977572897186119</v>
      </c>
      <c r="K186">
        <v>0</v>
      </c>
      <c r="L186">
        <v>0</v>
      </c>
      <c r="M186">
        <v>0.46036244957376937</v>
      </c>
      <c r="N186">
        <v>0</v>
      </c>
      <c r="O186">
        <v>0</v>
      </c>
      <c r="P186">
        <v>0.50857821396456737</v>
      </c>
      <c r="Q186">
        <v>1.0589456847886869</v>
      </c>
      <c r="R186">
        <v>2.9711811231257359</v>
      </c>
      <c r="S186">
        <v>0.21873368138003851</v>
      </c>
      <c r="T186">
        <v>0.17085823614525369</v>
      </c>
      <c r="U186">
        <v>4.418010118566559</v>
      </c>
      <c r="V186">
        <v>0.21014144114715341</v>
      </c>
      <c r="W186">
        <v>7.6496138735345474</v>
      </c>
      <c r="X186">
        <v>0.31203730267880858</v>
      </c>
      <c r="Z186" t="s">
        <v>392</v>
      </c>
      <c r="AA186">
        <v>114</v>
      </c>
      <c r="AB186" t="s">
        <v>3619</v>
      </c>
      <c r="AC186" t="str">
        <f>HYPERLINK("plots/3FT6Y578R04_015_S21P_20251218081014_M5358ACSC201811_RBGEUFRF04/dpll_52046/txpa_54218.png","plot")</f>
        <v>plot</v>
      </c>
    </row>
    <row r="187" spans="1:29" x14ac:dyDescent="0.35">
      <c r="A187" t="s">
        <v>49</v>
      </c>
      <c r="B187">
        <v>52046</v>
      </c>
      <c r="C187" t="s">
        <v>51</v>
      </c>
      <c r="D187">
        <v>54219</v>
      </c>
      <c r="E187" t="s">
        <v>239</v>
      </c>
      <c r="F187">
        <v>12028</v>
      </c>
      <c r="G187">
        <v>0.70940805337158563</v>
      </c>
      <c r="H187">
        <v>0</v>
      </c>
      <c r="I187">
        <v>0</v>
      </c>
      <c r="J187">
        <v>0.64433219268792941</v>
      </c>
      <c r="K187">
        <v>0</v>
      </c>
      <c r="L187">
        <v>0</v>
      </c>
      <c r="M187">
        <v>0.46208169201223309</v>
      </c>
      <c r="N187">
        <v>0</v>
      </c>
      <c r="O187">
        <v>0</v>
      </c>
      <c r="P187">
        <v>0.50325978618846245</v>
      </c>
      <c r="Q187">
        <v>1.0934313459324689</v>
      </c>
      <c r="R187">
        <v>3.877569360638673</v>
      </c>
      <c r="S187">
        <v>0.22828011019125161</v>
      </c>
      <c r="T187">
        <v>0.17519633973711729</v>
      </c>
      <c r="U187">
        <v>4.4179867093448619</v>
      </c>
      <c r="V187">
        <v>0.2101483876699779</v>
      </c>
      <c r="W187">
        <v>8.7083345145493851</v>
      </c>
      <c r="X187">
        <v>0.32390784582080678</v>
      </c>
      <c r="Z187" t="s">
        <v>392</v>
      </c>
      <c r="AA187">
        <v>114</v>
      </c>
      <c r="AB187" t="s">
        <v>3620</v>
      </c>
      <c r="AC187" t="str">
        <f>HYPERLINK("plots/3FT6Y578R04_015_S21P_20251218081014_M5358ACSC201811_RBGEUFRF04/dpll_52046/txpa_54219.png","plot")</f>
        <v>plot</v>
      </c>
    </row>
    <row r="188" spans="1:29" x14ac:dyDescent="0.35">
      <c r="A188" t="s">
        <v>49</v>
      </c>
      <c r="B188">
        <v>52046</v>
      </c>
      <c r="C188" t="s">
        <v>51</v>
      </c>
      <c r="D188">
        <v>54220</v>
      </c>
      <c r="E188" t="s">
        <v>240</v>
      </c>
      <c r="F188">
        <v>12028</v>
      </c>
      <c r="G188">
        <v>0.72838234750346231</v>
      </c>
      <c r="H188">
        <v>0</v>
      </c>
      <c r="I188">
        <v>0</v>
      </c>
      <c r="J188">
        <v>0.65688552341997564</v>
      </c>
      <c r="K188">
        <v>0</v>
      </c>
      <c r="L188">
        <v>0</v>
      </c>
      <c r="M188">
        <v>0.47474155788741812</v>
      </c>
      <c r="N188">
        <v>0</v>
      </c>
      <c r="O188">
        <v>0</v>
      </c>
      <c r="P188">
        <v>0.53054084415465452</v>
      </c>
      <c r="Q188">
        <v>1.1248716899289311</v>
      </c>
      <c r="R188">
        <v>3.765713014647921</v>
      </c>
      <c r="S188">
        <v>0.22235683803906461</v>
      </c>
      <c r="T188">
        <v>0.17343992710046269</v>
      </c>
      <c r="U188">
        <v>4.4179867093448619</v>
      </c>
      <c r="V188">
        <v>0.2101483876699779</v>
      </c>
      <c r="W188">
        <v>8.735381190472232</v>
      </c>
      <c r="X188">
        <v>0.32454105015641471</v>
      </c>
      <c r="Z188" t="s">
        <v>392</v>
      </c>
      <c r="AA188">
        <v>114</v>
      </c>
      <c r="AB188" t="s">
        <v>3621</v>
      </c>
      <c r="AC188" t="str">
        <f>HYPERLINK("plots/3FT6Y578R04_015_S21P_20251218081014_M5358ACSC201811_RBGEUFRF04/dpll_52046/txpa_54220.png","plot")</f>
        <v>plot</v>
      </c>
    </row>
    <row r="189" spans="1:29" x14ac:dyDescent="0.35">
      <c r="A189" t="s">
        <v>49</v>
      </c>
      <c r="B189">
        <v>52046</v>
      </c>
      <c r="C189" t="s">
        <v>51</v>
      </c>
      <c r="D189">
        <v>54221</v>
      </c>
      <c r="E189" t="s">
        <v>241</v>
      </c>
      <c r="F189">
        <v>12028</v>
      </c>
      <c r="G189">
        <v>0.71837868135206739</v>
      </c>
      <c r="H189">
        <v>0</v>
      </c>
      <c r="I189">
        <v>0</v>
      </c>
      <c r="J189">
        <v>0.64616447293905821</v>
      </c>
      <c r="K189">
        <v>0</v>
      </c>
      <c r="L189">
        <v>0</v>
      </c>
      <c r="M189">
        <v>0.46493812938411411</v>
      </c>
      <c r="N189">
        <v>0</v>
      </c>
      <c r="O189">
        <v>0</v>
      </c>
      <c r="P189">
        <v>0.51606792982113514</v>
      </c>
      <c r="Q189">
        <v>1.092009118471083</v>
      </c>
      <c r="R189">
        <v>3.9246792152247578</v>
      </c>
      <c r="S189">
        <v>0.22221482994315511</v>
      </c>
      <c r="T189">
        <v>0.17203316707207689</v>
      </c>
      <c r="U189">
        <v>4.4179867093448619</v>
      </c>
      <c r="V189">
        <v>0.2101483876699779</v>
      </c>
      <c r="W189">
        <v>8.7491609871134024</v>
      </c>
      <c r="X189">
        <v>0.31944705699742931</v>
      </c>
      <c r="Z189" t="s">
        <v>392</v>
      </c>
      <c r="AA189">
        <v>114</v>
      </c>
      <c r="AB189" t="s">
        <v>3622</v>
      </c>
      <c r="AC189" t="str">
        <f>HYPERLINK("plots/3FT6Y578R04_015_S21P_20251218081014_M5358ACSC201811_RBGEUFRF04/dpll_52046/txpa_54221.png","plot")</f>
        <v>plot</v>
      </c>
    </row>
    <row r="190" spans="1:29" x14ac:dyDescent="0.35">
      <c r="A190" t="s">
        <v>49</v>
      </c>
      <c r="B190">
        <v>52046</v>
      </c>
      <c r="C190" t="s">
        <v>51</v>
      </c>
      <c r="D190">
        <v>54222</v>
      </c>
      <c r="E190" t="s">
        <v>242</v>
      </c>
      <c r="F190">
        <v>12027</v>
      </c>
      <c r="G190">
        <v>0.73416798406402517</v>
      </c>
      <c r="H190">
        <v>0</v>
      </c>
      <c r="I190">
        <v>0</v>
      </c>
      <c r="J190">
        <v>0.65876585224898099</v>
      </c>
      <c r="K190">
        <v>0</v>
      </c>
      <c r="L190">
        <v>0</v>
      </c>
      <c r="M190">
        <v>0.47645688338703801</v>
      </c>
      <c r="N190">
        <v>0</v>
      </c>
      <c r="O190">
        <v>0</v>
      </c>
      <c r="P190">
        <v>0.53900262882463468</v>
      </c>
      <c r="Q190">
        <v>1.126158746780054</v>
      </c>
      <c r="R190">
        <v>3.77437776275235</v>
      </c>
      <c r="S190">
        <v>0.21886449514492581</v>
      </c>
      <c r="T190">
        <v>0.17094391108162549</v>
      </c>
      <c r="U190">
        <v>4.417995080651866</v>
      </c>
      <c r="V190">
        <v>0.21015511914181201</v>
      </c>
      <c r="W190">
        <v>8.7497415660597007</v>
      </c>
      <c r="X190">
        <v>0.32236222600183118</v>
      </c>
      <c r="Z190" t="s">
        <v>392</v>
      </c>
      <c r="AA190">
        <v>114</v>
      </c>
      <c r="AB190" t="s">
        <v>3623</v>
      </c>
      <c r="AC190" t="str">
        <f>HYPERLINK("plots/3FT6Y578R04_015_S21P_20251218081014_M5358ACSC201811_RBGEUFRF04/dpll_52046/txpa_54222.png","plot")</f>
        <v>plot</v>
      </c>
    </row>
    <row r="191" spans="1:29" x14ac:dyDescent="0.35">
      <c r="A191" t="s">
        <v>49</v>
      </c>
      <c r="B191">
        <v>52046</v>
      </c>
      <c r="C191" t="s">
        <v>51</v>
      </c>
      <c r="D191">
        <v>54223</v>
      </c>
      <c r="E191" t="s">
        <v>243</v>
      </c>
      <c r="F191">
        <v>12027</v>
      </c>
      <c r="G191">
        <v>0.73340094291587576</v>
      </c>
      <c r="H191">
        <v>0</v>
      </c>
      <c r="I191">
        <v>0</v>
      </c>
      <c r="J191">
        <v>0.65209440821681364</v>
      </c>
      <c r="K191">
        <v>0</v>
      </c>
      <c r="L191">
        <v>0</v>
      </c>
      <c r="M191">
        <v>0.46893441509582351</v>
      </c>
      <c r="N191">
        <v>0</v>
      </c>
      <c r="O191">
        <v>0</v>
      </c>
      <c r="P191">
        <v>0.53787694306989564</v>
      </c>
      <c r="Q191">
        <v>1.1178363067627131</v>
      </c>
      <c r="R191">
        <v>3.793201479437323</v>
      </c>
      <c r="S191">
        <v>0.21771850636948531</v>
      </c>
      <c r="T191">
        <v>0.1708798875541826</v>
      </c>
      <c r="U191">
        <v>4.4179587365926656</v>
      </c>
      <c r="V191">
        <v>0.21013472984942591</v>
      </c>
      <c r="W191">
        <v>8.7317561569801292</v>
      </c>
      <c r="X191">
        <v>0.32028351286753942</v>
      </c>
      <c r="Z191" t="s">
        <v>392</v>
      </c>
      <c r="AA191">
        <v>114</v>
      </c>
      <c r="AB191" t="s">
        <v>3624</v>
      </c>
      <c r="AC191" t="str">
        <f>HYPERLINK("plots/3FT6Y578R04_015_S21P_20251218081014_M5358ACSC201811_RBGEUFRF04/dpll_52046/txpa_54223.png","plot")</f>
        <v>plot</v>
      </c>
    </row>
    <row r="192" spans="1:29" x14ac:dyDescent="0.35">
      <c r="A192" t="s">
        <v>49</v>
      </c>
      <c r="B192">
        <v>52046</v>
      </c>
      <c r="C192" t="s">
        <v>51</v>
      </c>
      <c r="D192">
        <v>54224</v>
      </c>
      <c r="E192" t="s">
        <v>244</v>
      </c>
      <c r="F192">
        <v>12028</v>
      </c>
      <c r="G192">
        <v>0.73740348862658467</v>
      </c>
      <c r="H192">
        <v>0</v>
      </c>
      <c r="I192">
        <v>0</v>
      </c>
      <c r="J192">
        <v>0.66570544830915612</v>
      </c>
      <c r="K192">
        <v>0</v>
      </c>
      <c r="L192">
        <v>0</v>
      </c>
      <c r="M192">
        <v>0.48202995932293963</v>
      </c>
      <c r="N192">
        <v>0</v>
      </c>
      <c r="O192">
        <v>0</v>
      </c>
      <c r="P192">
        <v>0.54376390503865757</v>
      </c>
      <c r="Q192">
        <v>1.136789803053744</v>
      </c>
      <c r="R192">
        <v>3.725514811749556</v>
      </c>
      <c r="S192">
        <v>0.21881536284234571</v>
      </c>
      <c r="T192">
        <v>0.1708405767754779</v>
      </c>
      <c r="U192">
        <v>4.4179867093448619</v>
      </c>
      <c r="V192">
        <v>0.2101483876699779</v>
      </c>
      <c r="W192">
        <v>8.7478370529597598</v>
      </c>
      <c r="X192">
        <v>0.32396720101820742</v>
      </c>
      <c r="Z192" t="s">
        <v>392</v>
      </c>
      <c r="AA192">
        <v>114</v>
      </c>
      <c r="AB192" t="s">
        <v>3625</v>
      </c>
      <c r="AC192" t="str">
        <f>HYPERLINK("plots/3FT6Y578R04_015_S21P_20251218081014_M5358ACSC201811_RBGEUFRF04/dpll_52046/txpa_54224.png","plot")</f>
        <v>plot</v>
      </c>
    </row>
    <row r="193" spans="1:29" x14ac:dyDescent="0.35">
      <c r="A193" t="s">
        <v>49</v>
      </c>
      <c r="B193">
        <v>52046</v>
      </c>
      <c r="C193" t="s">
        <v>51</v>
      </c>
      <c r="D193">
        <v>54225</v>
      </c>
      <c r="E193" t="s">
        <v>245</v>
      </c>
      <c r="F193">
        <v>12028</v>
      </c>
      <c r="G193">
        <v>0.73664178166943606</v>
      </c>
      <c r="H193">
        <v>0</v>
      </c>
      <c r="I193">
        <v>0</v>
      </c>
      <c r="J193">
        <v>0.65803239512178846</v>
      </c>
      <c r="K193">
        <v>0</v>
      </c>
      <c r="L193">
        <v>0</v>
      </c>
      <c r="M193">
        <v>0.47485918354030721</v>
      </c>
      <c r="N193">
        <v>0</v>
      </c>
      <c r="O193">
        <v>0</v>
      </c>
      <c r="P193">
        <v>0.54264111450112107</v>
      </c>
      <c r="Q193">
        <v>1.118828914027487</v>
      </c>
      <c r="R193">
        <v>3.8109699153581729</v>
      </c>
      <c r="S193">
        <v>0.2158459488278634</v>
      </c>
      <c r="T193">
        <v>0.1695762736023233</v>
      </c>
      <c r="U193">
        <v>4.4179867093448619</v>
      </c>
      <c r="V193">
        <v>0.2101483876699779</v>
      </c>
      <c r="W193">
        <v>8.7539411875623561</v>
      </c>
      <c r="X193">
        <v>0.31917832820802122</v>
      </c>
      <c r="Z193" t="s">
        <v>392</v>
      </c>
      <c r="AA193">
        <v>114</v>
      </c>
      <c r="AB193" t="s">
        <v>3626</v>
      </c>
      <c r="AC193" t="str">
        <f>HYPERLINK("plots/3FT6Y578R04_015_S21P_20251218081014_M5358ACSC201811_RBGEUFRF04/dpll_52046/txpa_54225.png","plot")</f>
        <v>plot</v>
      </c>
    </row>
    <row r="194" spans="1:29" x14ac:dyDescent="0.35">
      <c r="A194" t="s">
        <v>49</v>
      </c>
      <c r="B194">
        <v>52046</v>
      </c>
      <c r="C194" t="s">
        <v>51</v>
      </c>
      <c r="D194">
        <v>54226</v>
      </c>
      <c r="E194" t="s">
        <v>246</v>
      </c>
      <c r="F194">
        <v>12027</v>
      </c>
      <c r="G194">
        <v>0.72933549304714951</v>
      </c>
      <c r="H194">
        <v>0</v>
      </c>
      <c r="I194">
        <v>0</v>
      </c>
      <c r="J194">
        <v>0.651933453713053</v>
      </c>
      <c r="K194">
        <v>0</v>
      </c>
      <c r="L194">
        <v>0</v>
      </c>
      <c r="M194">
        <v>0.4706584174954237</v>
      </c>
      <c r="N194">
        <v>0</v>
      </c>
      <c r="O194">
        <v>0</v>
      </c>
      <c r="P194">
        <v>0.53193026141832866</v>
      </c>
      <c r="Q194">
        <v>1.1156409443525619</v>
      </c>
      <c r="R194">
        <v>3.790512308262755</v>
      </c>
      <c r="S194">
        <v>0.21991053157979129</v>
      </c>
      <c r="T194">
        <v>0.1713168056925379</v>
      </c>
      <c r="U194">
        <v>4.418010118566559</v>
      </c>
      <c r="V194">
        <v>0.21014144114715341</v>
      </c>
      <c r="W194">
        <v>8.7194252890995259</v>
      </c>
      <c r="X194">
        <v>0.32144657442835101</v>
      </c>
      <c r="Z194" t="s">
        <v>392</v>
      </c>
      <c r="AA194">
        <v>114</v>
      </c>
      <c r="AB194" t="s">
        <v>3627</v>
      </c>
      <c r="AC194" t="str">
        <f>HYPERLINK("plots/3FT6Y578R04_015_S21P_20251218081014_M5358ACSC201811_RBGEUFRF04/dpll_52046/txpa_54226.png","plot")</f>
        <v>plot</v>
      </c>
    </row>
    <row r="195" spans="1:29" x14ac:dyDescent="0.35">
      <c r="A195" t="s">
        <v>49</v>
      </c>
      <c r="B195">
        <v>52046</v>
      </c>
      <c r="C195" t="s">
        <v>51</v>
      </c>
      <c r="D195">
        <v>54227</v>
      </c>
      <c r="E195" t="s">
        <v>247</v>
      </c>
      <c r="F195">
        <v>12028</v>
      </c>
      <c r="G195">
        <v>0.71512603237596928</v>
      </c>
      <c r="H195">
        <v>0</v>
      </c>
      <c r="I195">
        <v>0</v>
      </c>
      <c r="J195">
        <v>0.64843881429125316</v>
      </c>
      <c r="K195">
        <v>0</v>
      </c>
      <c r="L195">
        <v>0</v>
      </c>
      <c r="M195">
        <v>0.46558468254383217</v>
      </c>
      <c r="N195">
        <v>0</v>
      </c>
      <c r="O195">
        <v>0</v>
      </c>
      <c r="P195">
        <v>0.51140524218179584</v>
      </c>
      <c r="Q195">
        <v>1.118497072245392</v>
      </c>
      <c r="R195">
        <v>4.2964268869267732</v>
      </c>
      <c r="S195">
        <v>0.22973897204450139</v>
      </c>
      <c r="T195">
        <v>0.17601041774666371</v>
      </c>
      <c r="U195">
        <v>4.4179867093448619</v>
      </c>
      <c r="V195">
        <v>0.2101483876699779</v>
      </c>
      <c r="W195">
        <v>9.2379320865480548</v>
      </c>
      <c r="X195">
        <v>0.32868382034005578</v>
      </c>
      <c r="Z195" t="s">
        <v>392</v>
      </c>
      <c r="AA195">
        <v>114</v>
      </c>
      <c r="AB195" t="s">
        <v>3628</v>
      </c>
      <c r="AC195" t="str">
        <f>HYPERLINK("plots/3FT6Y578R04_015_S21P_20251218081014_M5358ACSC201811_RBGEUFRF04/dpll_52046/txpa_54227.png","plot")</f>
        <v>plot</v>
      </c>
    </row>
    <row r="196" spans="1:29" x14ac:dyDescent="0.35">
      <c r="A196" t="s">
        <v>49</v>
      </c>
      <c r="B196">
        <v>52046</v>
      </c>
      <c r="C196" t="s">
        <v>51</v>
      </c>
      <c r="D196">
        <v>54228</v>
      </c>
      <c r="E196" t="s">
        <v>248</v>
      </c>
      <c r="F196">
        <v>12028</v>
      </c>
      <c r="G196">
        <v>0.73354496688259385</v>
      </c>
      <c r="H196">
        <v>0</v>
      </c>
      <c r="I196">
        <v>0</v>
      </c>
      <c r="J196">
        <v>0.66070858834042401</v>
      </c>
      <c r="K196">
        <v>0</v>
      </c>
      <c r="L196">
        <v>0</v>
      </c>
      <c r="M196">
        <v>0.47807758812975859</v>
      </c>
      <c r="N196">
        <v>0</v>
      </c>
      <c r="O196">
        <v>0</v>
      </c>
      <c r="P196">
        <v>0.53808821843878574</v>
      </c>
      <c r="Q196">
        <v>1.1497144281804941</v>
      </c>
      <c r="R196">
        <v>4.1850128980136159</v>
      </c>
      <c r="S196">
        <v>0.22384673683645501</v>
      </c>
      <c r="T196">
        <v>0.17428395795592519</v>
      </c>
      <c r="U196">
        <v>4.4179867093448619</v>
      </c>
      <c r="V196">
        <v>0.2101483876699779</v>
      </c>
      <c r="W196">
        <v>9.2644359612570675</v>
      </c>
      <c r="X196">
        <v>0.32937399105856319</v>
      </c>
      <c r="Z196" t="s">
        <v>392</v>
      </c>
      <c r="AA196">
        <v>114</v>
      </c>
      <c r="AB196" t="s">
        <v>3629</v>
      </c>
      <c r="AC196" t="str">
        <f>HYPERLINK("plots/3FT6Y578R04_015_S21P_20251218081014_M5358ACSC201811_RBGEUFRF04/dpll_52046/txpa_54228.png","plot")</f>
        <v>plot</v>
      </c>
    </row>
    <row r="197" spans="1:29" x14ac:dyDescent="0.35">
      <c r="A197" t="s">
        <v>49</v>
      </c>
      <c r="B197">
        <v>52046</v>
      </c>
      <c r="C197" t="s">
        <v>51</v>
      </c>
      <c r="D197">
        <v>54229</v>
      </c>
      <c r="E197" t="s">
        <v>249</v>
      </c>
      <c r="F197">
        <v>12028</v>
      </c>
      <c r="G197">
        <v>0.72394264920776541</v>
      </c>
      <c r="H197">
        <v>0</v>
      </c>
      <c r="I197">
        <v>0</v>
      </c>
      <c r="J197">
        <v>0.65007910671853053</v>
      </c>
      <c r="K197">
        <v>0</v>
      </c>
      <c r="L197">
        <v>0</v>
      </c>
      <c r="M197">
        <v>0.46830767700179721</v>
      </c>
      <c r="N197">
        <v>0</v>
      </c>
      <c r="O197">
        <v>0</v>
      </c>
      <c r="P197">
        <v>0.52409295934195765</v>
      </c>
      <c r="Q197">
        <v>1.1169137027953679</v>
      </c>
      <c r="R197">
        <v>4.3436796504601531</v>
      </c>
      <c r="S197">
        <v>0.22365804756479071</v>
      </c>
      <c r="T197">
        <v>0.17284304033533049</v>
      </c>
      <c r="U197">
        <v>4.4179867093448619</v>
      </c>
      <c r="V197">
        <v>0.2101483876699779</v>
      </c>
      <c r="W197">
        <v>9.2781895448952447</v>
      </c>
      <c r="X197">
        <v>0.32422128198388472</v>
      </c>
      <c r="Z197" t="s">
        <v>392</v>
      </c>
      <c r="AA197">
        <v>114</v>
      </c>
      <c r="AB197" t="s">
        <v>3630</v>
      </c>
      <c r="AC197" t="str">
        <f>HYPERLINK("plots/3FT6Y578R04_015_S21P_20251218081014_M5358ACSC201811_RBGEUFRF04/dpll_52046/txpa_54229.png","plot")</f>
        <v>plot</v>
      </c>
    </row>
    <row r="198" spans="1:29" x14ac:dyDescent="0.35">
      <c r="A198" t="s">
        <v>49</v>
      </c>
      <c r="B198">
        <v>52046</v>
      </c>
      <c r="C198" t="s">
        <v>51</v>
      </c>
      <c r="D198">
        <v>54230</v>
      </c>
      <c r="E198" t="s">
        <v>250</v>
      </c>
      <c r="F198">
        <v>12027</v>
      </c>
      <c r="G198">
        <v>0.73939317715667685</v>
      </c>
      <c r="H198">
        <v>0</v>
      </c>
      <c r="I198">
        <v>0</v>
      </c>
      <c r="J198">
        <v>0.66259579793260759</v>
      </c>
      <c r="K198">
        <v>0</v>
      </c>
      <c r="L198">
        <v>0</v>
      </c>
      <c r="M198">
        <v>0.47976838643784769</v>
      </c>
      <c r="N198">
        <v>0</v>
      </c>
      <c r="O198">
        <v>0</v>
      </c>
      <c r="P198">
        <v>0.54670227042584496</v>
      </c>
      <c r="Q198">
        <v>1.151206092824786</v>
      </c>
      <c r="R198">
        <v>4.1924247496400531</v>
      </c>
      <c r="S198">
        <v>0.22028824870245689</v>
      </c>
      <c r="T198">
        <v>0.17182552224086009</v>
      </c>
      <c r="U198">
        <v>4.417995080651866</v>
      </c>
      <c r="V198">
        <v>0.21015511914181201</v>
      </c>
      <c r="W198">
        <v>9.2784476045564137</v>
      </c>
      <c r="X198">
        <v>0.32720325405857459</v>
      </c>
      <c r="Z198" t="s">
        <v>392</v>
      </c>
      <c r="AA198">
        <v>114</v>
      </c>
      <c r="AB198" t="s">
        <v>3631</v>
      </c>
      <c r="AC198" t="str">
        <f>HYPERLINK("plots/3FT6Y578R04_015_S21P_20251218081014_M5358ACSC201811_RBGEUFRF04/dpll_52046/txpa_54230.png","plot")</f>
        <v>plot</v>
      </c>
    </row>
    <row r="199" spans="1:29" x14ac:dyDescent="0.35">
      <c r="A199" t="s">
        <v>49</v>
      </c>
      <c r="B199">
        <v>52046</v>
      </c>
      <c r="C199" t="s">
        <v>51</v>
      </c>
      <c r="D199">
        <v>54231</v>
      </c>
      <c r="E199" t="s">
        <v>251</v>
      </c>
      <c r="F199">
        <v>12027</v>
      </c>
      <c r="G199">
        <v>0.73873297839965968</v>
      </c>
      <c r="H199">
        <v>0</v>
      </c>
      <c r="I199">
        <v>0</v>
      </c>
      <c r="J199">
        <v>0.65599610680190379</v>
      </c>
      <c r="K199">
        <v>0</v>
      </c>
      <c r="L199">
        <v>0</v>
      </c>
      <c r="M199">
        <v>0.4722508639761161</v>
      </c>
      <c r="N199">
        <v>0</v>
      </c>
      <c r="O199">
        <v>0</v>
      </c>
      <c r="P199">
        <v>0.54572641337523209</v>
      </c>
      <c r="Q199">
        <v>1.1429585440962799</v>
      </c>
      <c r="R199">
        <v>4.2106575588303023</v>
      </c>
      <c r="S199">
        <v>0.21911974536503451</v>
      </c>
      <c r="T199">
        <v>0.17172147148858791</v>
      </c>
      <c r="U199">
        <v>4.4179587365926656</v>
      </c>
      <c r="V199">
        <v>0.21013472984942591</v>
      </c>
      <c r="W199">
        <v>9.2602012442836958</v>
      </c>
      <c r="X199">
        <v>0.3251178597888833</v>
      </c>
      <c r="Z199" t="s">
        <v>392</v>
      </c>
      <c r="AA199">
        <v>114</v>
      </c>
      <c r="AB199" t="s">
        <v>3632</v>
      </c>
      <c r="AC199" t="str">
        <f>HYPERLINK("plots/3FT6Y578R04_015_S21P_20251218081014_M5358ACSC201811_RBGEUFRF04/dpll_52046/txpa_54231.png","plot")</f>
        <v>plot</v>
      </c>
    </row>
    <row r="200" spans="1:29" x14ac:dyDescent="0.35">
      <c r="A200" t="s">
        <v>49</v>
      </c>
      <c r="B200">
        <v>52046</v>
      </c>
      <c r="C200" t="s">
        <v>51</v>
      </c>
      <c r="D200">
        <v>54232</v>
      </c>
      <c r="E200" t="s">
        <v>252</v>
      </c>
      <c r="F200">
        <v>12027</v>
      </c>
      <c r="G200">
        <v>0.74454978174659403</v>
      </c>
      <c r="H200">
        <v>0</v>
      </c>
      <c r="I200">
        <v>0</v>
      </c>
      <c r="J200">
        <v>0.66949681366085234</v>
      </c>
      <c r="K200">
        <v>0</v>
      </c>
      <c r="L200">
        <v>0</v>
      </c>
      <c r="M200">
        <v>0.4853221993138192</v>
      </c>
      <c r="N200">
        <v>0</v>
      </c>
      <c r="O200">
        <v>0</v>
      </c>
      <c r="P200">
        <v>0.55435437749890082</v>
      </c>
      <c r="Q200">
        <v>1.1632394674668209</v>
      </c>
      <c r="R200">
        <v>4.1374892253158633</v>
      </c>
      <c r="S200">
        <v>0.21914670982067519</v>
      </c>
      <c r="T200">
        <v>0.17145615939547201</v>
      </c>
      <c r="U200">
        <v>4.417954512264072</v>
      </c>
      <c r="V200">
        <v>0.21012745463637059</v>
      </c>
      <c r="W200">
        <v>9.2766282794545614</v>
      </c>
      <c r="X200">
        <v>0.32829040370944729</v>
      </c>
      <c r="Z200" t="s">
        <v>392</v>
      </c>
      <c r="AA200">
        <v>114</v>
      </c>
      <c r="AB200" t="s">
        <v>3633</v>
      </c>
      <c r="AC200" t="str">
        <f>HYPERLINK("plots/3FT6Y578R04_015_S21P_20251218081014_M5358ACSC201811_RBGEUFRF04/dpll_52046/txpa_54232.png","plot")</f>
        <v>plot</v>
      </c>
    </row>
    <row r="201" spans="1:29" x14ac:dyDescent="0.35">
      <c r="A201" t="s">
        <v>49</v>
      </c>
      <c r="B201">
        <v>52046</v>
      </c>
      <c r="C201" t="s">
        <v>51</v>
      </c>
      <c r="D201">
        <v>54233</v>
      </c>
      <c r="E201" t="s">
        <v>253</v>
      </c>
      <c r="F201">
        <v>12028</v>
      </c>
      <c r="G201">
        <v>0.74203250782677188</v>
      </c>
      <c r="H201">
        <v>0</v>
      </c>
      <c r="I201">
        <v>0</v>
      </c>
      <c r="J201">
        <v>0.66197629940071367</v>
      </c>
      <c r="K201">
        <v>0</v>
      </c>
      <c r="L201">
        <v>0</v>
      </c>
      <c r="M201">
        <v>0.47826987722938219</v>
      </c>
      <c r="N201">
        <v>0</v>
      </c>
      <c r="O201">
        <v>0</v>
      </c>
      <c r="P201">
        <v>0.55061224267168829</v>
      </c>
      <c r="Q201">
        <v>1.1437834761170651</v>
      </c>
      <c r="R201">
        <v>4.2295464806513614</v>
      </c>
      <c r="S201">
        <v>0.2171398396658118</v>
      </c>
      <c r="T201">
        <v>0.17031494646001419</v>
      </c>
      <c r="U201">
        <v>4.4179867093448619</v>
      </c>
      <c r="V201">
        <v>0.2101483876699779</v>
      </c>
      <c r="W201">
        <v>9.2827666765048225</v>
      </c>
      <c r="X201">
        <v>0.32392685066255522</v>
      </c>
      <c r="Z201" t="s">
        <v>392</v>
      </c>
      <c r="AA201">
        <v>114</v>
      </c>
      <c r="AB201" t="s">
        <v>3634</v>
      </c>
      <c r="AC201" t="str">
        <f>HYPERLINK("plots/3FT6Y578R04_015_S21P_20251218081014_M5358ACSC201811_RBGEUFRF04/dpll_52046/txpa_54233.png","plot")</f>
        <v>plot</v>
      </c>
    </row>
    <row r="202" spans="1:29" x14ac:dyDescent="0.35">
      <c r="A202" t="s">
        <v>49</v>
      </c>
      <c r="B202">
        <v>52046</v>
      </c>
      <c r="C202" t="s">
        <v>51</v>
      </c>
      <c r="D202">
        <v>54234</v>
      </c>
      <c r="E202" t="s">
        <v>254</v>
      </c>
      <c r="F202">
        <v>12027</v>
      </c>
      <c r="G202">
        <v>0.73452295477507568</v>
      </c>
      <c r="H202">
        <v>0</v>
      </c>
      <c r="I202">
        <v>0</v>
      </c>
      <c r="J202">
        <v>0.65548960035921056</v>
      </c>
      <c r="K202">
        <v>0</v>
      </c>
      <c r="L202">
        <v>0</v>
      </c>
      <c r="M202">
        <v>0.4737217146236074</v>
      </c>
      <c r="N202">
        <v>0</v>
      </c>
      <c r="O202">
        <v>0</v>
      </c>
      <c r="P202">
        <v>0.53952397109150785</v>
      </c>
      <c r="Q202">
        <v>1.140283736256003</v>
      </c>
      <c r="R202">
        <v>4.2111979733864766</v>
      </c>
      <c r="S202">
        <v>0.2213628418096944</v>
      </c>
      <c r="T202">
        <v>0.17219949785029201</v>
      </c>
      <c r="U202">
        <v>4.418010118566559</v>
      </c>
      <c r="V202">
        <v>0.21014144114715341</v>
      </c>
      <c r="W202">
        <v>9.2489830582023789</v>
      </c>
      <c r="X202">
        <v>0.32622652035003241</v>
      </c>
      <c r="Z202" t="s">
        <v>392</v>
      </c>
      <c r="AA202">
        <v>114</v>
      </c>
      <c r="AB202" t="s">
        <v>3635</v>
      </c>
      <c r="AC202" t="str">
        <f>HYPERLINK("plots/3FT6Y578R04_015_S21P_20251218081014_M5358ACSC201811_RBGEUFRF04/dpll_52046/txpa_54234.png","plot")</f>
        <v>plot</v>
      </c>
    </row>
    <row r="203" spans="1:29" x14ac:dyDescent="0.35">
      <c r="A203" t="s">
        <v>49</v>
      </c>
      <c r="B203">
        <v>52046</v>
      </c>
      <c r="C203" t="s">
        <v>51</v>
      </c>
      <c r="D203">
        <v>54235</v>
      </c>
      <c r="E203" t="s">
        <v>255</v>
      </c>
      <c r="F203">
        <v>12028</v>
      </c>
      <c r="G203">
        <v>0.72016058444480402</v>
      </c>
      <c r="H203">
        <v>0</v>
      </c>
      <c r="I203">
        <v>0</v>
      </c>
      <c r="J203">
        <v>0.65190441717105452</v>
      </c>
      <c r="K203">
        <v>0</v>
      </c>
      <c r="L203">
        <v>0</v>
      </c>
      <c r="M203">
        <v>0.46852395945742997</v>
      </c>
      <c r="N203">
        <v>0</v>
      </c>
      <c r="O203">
        <v>0</v>
      </c>
      <c r="P203">
        <v>0.51863126738788168</v>
      </c>
      <c r="Q203">
        <v>1.1419171084680759</v>
      </c>
      <c r="R203">
        <v>4.6879931877568612</v>
      </c>
      <c r="S203">
        <v>0.2311810214682897</v>
      </c>
      <c r="T203">
        <v>0.1767841951848492</v>
      </c>
      <c r="U203">
        <v>4.4179867093448619</v>
      </c>
      <c r="V203">
        <v>0.2101483876699779</v>
      </c>
      <c r="W203">
        <v>9.7329677961423346</v>
      </c>
      <c r="X203">
        <v>0.3332201794719602</v>
      </c>
      <c r="Z203" t="s">
        <v>392</v>
      </c>
      <c r="AA203">
        <v>114</v>
      </c>
      <c r="AB203" t="s">
        <v>3636</v>
      </c>
      <c r="AC203" t="str">
        <f>HYPERLINK("plots/3FT6Y578R04_015_S21P_20251218081014_M5358ACSC201811_RBGEUFRF04/dpll_52046/txpa_54235.png","plot")</f>
        <v>plot</v>
      </c>
    </row>
    <row r="204" spans="1:29" x14ac:dyDescent="0.35">
      <c r="A204" t="s">
        <v>49</v>
      </c>
      <c r="B204">
        <v>52046</v>
      </c>
      <c r="C204" t="s">
        <v>51</v>
      </c>
      <c r="D204">
        <v>54236</v>
      </c>
      <c r="E204" t="s">
        <v>256</v>
      </c>
      <c r="F204">
        <v>12028</v>
      </c>
      <c r="G204">
        <v>0.73831679644938886</v>
      </c>
      <c r="H204">
        <v>0</v>
      </c>
      <c r="I204">
        <v>0</v>
      </c>
      <c r="J204">
        <v>0.66405936446605351</v>
      </c>
      <c r="K204">
        <v>0</v>
      </c>
      <c r="L204">
        <v>0</v>
      </c>
      <c r="M204">
        <v>0.48099610709215429</v>
      </c>
      <c r="N204">
        <v>0</v>
      </c>
      <c r="O204">
        <v>0</v>
      </c>
      <c r="P204">
        <v>0.54511169191928832</v>
      </c>
      <c r="Q204">
        <v>1.1736128938138899</v>
      </c>
      <c r="R204">
        <v>4.5745327246344898</v>
      </c>
      <c r="S204">
        <v>0.2252903132521995</v>
      </c>
      <c r="T204">
        <v>0.17510641934020749</v>
      </c>
      <c r="U204">
        <v>4.4179867093448619</v>
      </c>
      <c r="V204">
        <v>0.2101483876699779</v>
      </c>
      <c r="W204">
        <v>9.7595388914200196</v>
      </c>
      <c r="X204">
        <v>0.33404746928386131</v>
      </c>
      <c r="Z204" t="s">
        <v>392</v>
      </c>
      <c r="AA204">
        <v>114</v>
      </c>
      <c r="AB204" t="s">
        <v>3637</v>
      </c>
      <c r="AC204" t="str">
        <f>HYPERLINK("plots/3FT6Y578R04_015_S21P_20251218081014_M5358ACSC201811_RBGEUFRF04/dpll_52046/txpa_54236.png","plot")</f>
        <v>plot</v>
      </c>
    </row>
    <row r="205" spans="1:29" x14ac:dyDescent="0.35">
      <c r="A205" t="s">
        <v>49</v>
      </c>
      <c r="B205">
        <v>52046</v>
      </c>
      <c r="C205" t="s">
        <v>51</v>
      </c>
      <c r="D205">
        <v>54237</v>
      </c>
      <c r="E205" t="s">
        <v>257</v>
      </c>
      <c r="F205">
        <v>12028</v>
      </c>
      <c r="G205">
        <v>0.72912143803179486</v>
      </c>
      <c r="H205">
        <v>0</v>
      </c>
      <c r="I205">
        <v>0</v>
      </c>
      <c r="J205">
        <v>0.65352190748644923</v>
      </c>
      <c r="K205">
        <v>0</v>
      </c>
      <c r="L205">
        <v>0</v>
      </c>
      <c r="M205">
        <v>0.47125446290432421</v>
      </c>
      <c r="N205">
        <v>0</v>
      </c>
      <c r="O205">
        <v>0</v>
      </c>
      <c r="P205">
        <v>0.53161807139755246</v>
      </c>
      <c r="Q205">
        <v>1.1408632702124299</v>
      </c>
      <c r="R205">
        <v>4.7332974446160474</v>
      </c>
      <c r="S205">
        <v>0.22503071697359581</v>
      </c>
      <c r="T205">
        <v>0.17356220482989951</v>
      </c>
      <c r="U205">
        <v>4.4179867093448619</v>
      </c>
      <c r="V205">
        <v>0.2101483876699779</v>
      </c>
      <c r="W205">
        <v>9.7736162095942802</v>
      </c>
      <c r="X205">
        <v>0.3288211870909023</v>
      </c>
      <c r="Z205" t="s">
        <v>392</v>
      </c>
      <c r="AA205">
        <v>114</v>
      </c>
      <c r="AB205" t="s">
        <v>3638</v>
      </c>
      <c r="AC205" t="str">
        <f>HYPERLINK("plots/3FT6Y578R04_015_S21P_20251218081014_M5358ACSC201811_RBGEUFRF04/dpll_52046/txpa_54237.png","plot")</f>
        <v>plot</v>
      </c>
    </row>
    <row r="206" spans="1:29" x14ac:dyDescent="0.35">
      <c r="A206" t="s">
        <v>49</v>
      </c>
      <c r="B206">
        <v>52046</v>
      </c>
      <c r="C206" t="s">
        <v>51</v>
      </c>
      <c r="D206">
        <v>54238</v>
      </c>
      <c r="E206" t="s">
        <v>258</v>
      </c>
      <c r="F206">
        <v>12027</v>
      </c>
      <c r="G206">
        <v>0.74413477454303145</v>
      </c>
      <c r="H206">
        <v>0</v>
      </c>
      <c r="I206">
        <v>0</v>
      </c>
      <c r="J206">
        <v>0.66589667097588223</v>
      </c>
      <c r="K206">
        <v>0</v>
      </c>
      <c r="L206">
        <v>0</v>
      </c>
      <c r="M206">
        <v>0.48264322423899969</v>
      </c>
      <c r="N206">
        <v>0</v>
      </c>
      <c r="O206">
        <v>0</v>
      </c>
      <c r="P206">
        <v>0.55373656268420823</v>
      </c>
      <c r="Q206">
        <v>1.174880921405538</v>
      </c>
      <c r="R206">
        <v>4.582633260164874</v>
      </c>
      <c r="S206">
        <v>0.2216459611682165</v>
      </c>
      <c r="T206">
        <v>0.17261960172379601</v>
      </c>
      <c r="U206">
        <v>4.417995080651866</v>
      </c>
      <c r="V206">
        <v>0.21015511914181201</v>
      </c>
      <c r="W206">
        <v>9.7732513912862728</v>
      </c>
      <c r="X206">
        <v>0.331804464005928</v>
      </c>
      <c r="Z206" t="s">
        <v>392</v>
      </c>
      <c r="AA206">
        <v>114</v>
      </c>
      <c r="AB206" t="s">
        <v>3639</v>
      </c>
      <c r="AC206" t="str">
        <f>HYPERLINK("plots/3FT6Y578R04_015_S21P_20251218081014_M5358ACSC201811_RBGEUFRF04/dpll_52046/txpa_54238.png","plot")</f>
        <v>plot</v>
      </c>
    </row>
    <row r="207" spans="1:29" x14ac:dyDescent="0.35">
      <c r="A207" t="s">
        <v>49</v>
      </c>
      <c r="B207">
        <v>52046</v>
      </c>
      <c r="C207" t="s">
        <v>51</v>
      </c>
      <c r="D207">
        <v>54239</v>
      </c>
      <c r="E207" t="s">
        <v>259</v>
      </c>
      <c r="F207">
        <v>12027</v>
      </c>
      <c r="G207">
        <v>0.74369903629773548</v>
      </c>
      <c r="H207">
        <v>0</v>
      </c>
      <c r="I207">
        <v>0</v>
      </c>
      <c r="J207">
        <v>0.65942849768670897</v>
      </c>
      <c r="K207">
        <v>0</v>
      </c>
      <c r="L207">
        <v>0</v>
      </c>
      <c r="M207">
        <v>0.47517231344584338</v>
      </c>
      <c r="N207">
        <v>0</v>
      </c>
      <c r="O207">
        <v>0</v>
      </c>
      <c r="P207">
        <v>0.55308825659018046</v>
      </c>
      <c r="Q207">
        <v>1.167186264459958</v>
      </c>
      <c r="R207">
        <v>4.598185618858559</v>
      </c>
      <c r="S207">
        <v>0.22046193403396849</v>
      </c>
      <c r="T207">
        <v>0.17252561984126261</v>
      </c>
      <c r="U207">
        <v>4.4179587365926656</v>
      </c>
      <c r="V207">
        <v>0.21013472984942591</v>
      </c>
      <c r="W207">
        <v>9.754766373160388</v>
      </c>
      <c r="X207">
        <v>0.32979250798445681</v>
      </c>
      <c r="Z207" t="s">
        <v>392</v>
      </c>
      <c r="AA207">
        <v>114</v>
      </c>
      <c r="AB207" t="s">
        <v>3640</v>
      </c>
      <c r="AC207" t="str">
        <f>HYPERLINK("plots/3FT6Y578R04_015_S21P_20251218081014_M5358ACSC201811_RBGEUFRF04/dpll_52046/txpa_54239.png","plot")</f>
        <v>plot</v>
      </c>
    </row>
    <row r="208" spans="1:29" x14ac:dyDescent="0.35">
      <c r="A208" t="s">
        <v>49</v>
      </c>
      <c r="B208">
        <v>52046</v>
      </c>
      <c r="C208" t="s">
        <v>51</v>
      </c>
      <c r="D208">
        <v>54240</v>
      </c>
      <c r="E208" t="s">
        <v>260</v>
      </c>
      <c r="F208">
        <v>12027</v>
      </c>
      <c r="G208">
        <v>0.74904950463711051</v>
      </c>
      <c r="H208">
        <v>0</v>
      </c>
      <c r="I208">
        <v>0</v>
      </c>
      <c r="J208">
        <v>0.67229832056467442</v>
      </c>
      <c r="K208">
        <v>0</v>
      </c>
      <c r="L208">
        <v>0</v>
      </c>
      <c r="M208">
        <v>0.48777167901893392</v>
      </c>
      <c r="N208">
        <v>0</v>
      </c>
      <c r="O208">
        <v>0</v>
      </c>
      <c r="P208">
        <v>0.56107516039710059</v>
      </c>
      <c r="Q208">
        <v>1.1867604259892039</v>
      </c>
      <c r="R208">
        <v>4.5286222665388216</v>
      </c>
      <c r="S208">
        <v>0.22055268956765581</v>
      </c>
      <c r="T208">
        <v>0.1723266510572721</v>
      </c>
      <c r="U208">
        <v>4.417954512264072</v>
      </c>
      <c r="V208">
        <v>0.21012745463637059</v>
      </c>
      <c r="W208">
        <v>9.7716758455142596</v>
      </c>
      <c r="X208">
        <v>0.33291651090150359</v>
      </c>
      <c r="Z208" t="s">
        <v>392</v>
      </c>
      <c r="AA208">
        <v>114</v>
      </c>
      <c r="AB208" t="s">
        <v>3641</v>
      </c>
      <c r="AC208" t="str">
        <f>HYPERLINK("plots/3FT6Y578R04_015_S21P_20251218081014_M5358ACSC201811_RBGEUFRF04/dpll_52046/txpa_54240.png","plot")</f>
        <v>plot</v>
      </c>
    </row>
    <row r="209" spans="1:29" x14ac:dyDescent="0.35">
      <c r="A209" t="s">
        <v>49</v>
      </c>
      <c r="B209">
        <v>52046</v>
      </c>
      <c r="C209" t="s">
        <v>51</v>
      </c>
      <c r="D209">
        <v>54241</v>
      </c>
      <c r="E209" t="s">
        <v>261</v>
      </c>
      <c r="F209">
        <v>12028</v>
      </c>
      <c r="G209">
        <v>0.74680241246590218</v>
      </c>
      <c r="H209">
        <v>0</v>
      </c>
      <c r="I209">
        <v>0</v>
      </c>
      <c r="J209">
        <v>0.66503015739215277</v>
      </c>
      <c r="K209">
        <v>0</v>
      </c>
      <c r="L209">
        <v>0</v>
      </c>
      <c r="M209">
        <v>0.48094234450731882</v>
      </c>
      <c r="N209">
        <v>0</v>
      </c>
      <c r="O209">
        <v>0</v>
      </c>
      <c r="P209">
        <v>0.55771384326489148</v>
      </c>
      <c r="Q209">
        <v>1.1676666902460811</v>
      </c>
      <c r="R209">
        <v>4.6191306454822616</v>
      </c>
      <c r="S209">
        <v>0.21851077655084139</v>
      </c>
      <c r="T209">
        <v>0.17112945998490089</v>
      </c>
      <c r="U209">
        <v>4.4179867093448619</v>
      </c>
      <c r="V209">
        <v>0.2101483876699779</v>
      </c>
      <c r="W209">
        <v>9.777866563934154</v>
      </c>
      <c r="X209">
        <v>0.32857857472756541</v>
      </c>
      <c r="Z209" t="s">
        <v>392</v>
      </c>
      <c r="AA209">
        <v>114</v>
      </c>
      <c r="AB209" t="s">
        <v>3642</v>
      </c>
      <c r="AC209" t="str">
        <f>HYPERLINK("plots/3FT6Y578R04_015_S21P_20251218081014_M5358ACSC201811_RBGEUFRF04/dpll_52046/txpa_54241.png","plot")</f>
        <v>plot</v>
      </c>
    </row>
    <row r="210" spans="1:29" x14ac:dyDescent="0.35">
      <c r="A210" t="s">
        <v>49</v>
      </c>
      <c r="B210">
        <v>52046</v>
      </c>
      <c r="C210" t="s">
        <v>51</v>
      </c>
      <c r="D210">
        <v>54242</v>
      </c>
      <c r="E210" t="s">
        <v>262</v>
      </c>
      <c r="F210">
        <v>12027</v>
      </c>
      <c r="G210">
        <v>0.73928947799285594</v>
      </c>
      <c r="H210">
        <v>0</v>
      </c>
      <c r="I210">
        <v>0</v>
      </c>
      <c r="J210">
        <v>0.6586962293664016</v>
      </c>
      <c r="K210">
        <v>0</v>
      </c>
      <c r="L210">
        <v>0</v>
      </c>
      <c r="M210">
        <v>0.47649295298824917</v>
      </c>
      <c r="N210">
        <v>0</v>
      </c>
      <c r="O210">
        <v>0</v>
      </c>
      <c r="P210">
        <v>0.54654893227094947</v>
      </c>
      <c r="Q210">
        <v>1.1636009786233059</v>
      </c>
      <c r="R210">
        <v>4.6036313009383916</v>
      </c>
      <c r="S210">
        <v>0.22271446138859921</v>
      </c>
      <c r="T210">
        <v>0.17294365146291191</v>
      </c>
      <c r="U210">
        <v>4.418010118566559</v>
      </c>
      <c r="V210">
        <v>0.21014144114715341</v>
      </c>
      <c r="W210">
        <v>9.7444321984701077</v>
      </c>
      <c r="X210">
        <v>0.33075107092286049</v>
      </c>
      <c r="Z210" t="s">
        <v>392</v>
      </c>
      <c r="AA210">
        <v>114</v>
      </c>
      <c r="AB210" t="s">
        <v>3643</v>
      </c>
      <c r="AC210" t="str">
        <f>HYPERLINK("plots/3FT6Y578R04_015_S21P_20251218081014_M5358ACSC201811_RBGEUFRF04/dpll_52046/txpa_54242.png","plot")</f>
        <v>plot</v>
      </c>
    </row>
    <row r="211" spans="1:29" x14ac:dyDescent="0.35">
      <c r="A211" t="s">
        <v>49</v>
      </c>
      <c r="B211">
        <v>52046</v>
      </c>
      <c r="C211" t="s">
        <v>51</v>
      </c>
      <c r="D211">
        <v>54243</v>
      </c>
      <c r="E211" t="s">
        <v>263</v>
      </c>
      <c r="F211">
        <v>12028</v>
      </c>
      <c r="G211">
        <v>0.7330161749507077</v>
      </c>
      <c r="H211">
        <v>0</v>
      </c>
      <c r="I211">
        <v>0</v>
      </c>
      <c r="J211">
        <v>0.66090618605786744</v>
      </c>
      <c r="K211">
        <v>0</v>
      </c>
      <c r="L211">
        <v>0</v>
      </c>
      <c r="M211">
        <v>0.47636295760283609</v>
      </c>
      <c r="N211">
        <v>0</v>
      </c>
      <c r="O211">
        <v>0</v>
      </c>
      <c r="P211">
        <v>0.53731271273936654</v>
      </c>
      <c r="Q211">
        <v>1.2097120254665461</v>
      </c>
      <c r="R211">
        <v>6.0259858904249812</v>
      </c>
      <c r="S211">
        <v>0.23589581243502511</v>
      </c>
      <c r="T211">
        <v>0.17939309315957261</v>
      </c>
      <c r="U211">
        <v>4.4179867093448619</v>
      </c>
      <c r="V211">
        <v>0.2101483876699779</v>
      </c>
      <c r="W211">
        <v>11.370477541070841</v>
      </c>
      <c r="X211">
        <v>0.34681230835577842</v>
      </c>
      <c r="Z211" t="s">
        <v>392</v>
      </c>
      <c r="AA211">
        <v>114</v>
      </c>
      <c r="AB211" t="s">
        <v>3644</v>
      </c>
      <c r="AC211" t="str">
        <f>HYPERLINK("plots/3FT6Y578R04_015_S21P_20251218081014_M5358ACSC201811_RBGEUFRF04/dpll_52046/txpa_54243.png","plot")</f>
        <v>plot</v>
      </c>
    </row>
    <row r="212" spans="1:29" x14ac:dyDescent="0.35">
      <c r="A212" t="s">
        <v>49</v>
      </c>
      <c r="B212">
        <v>52046</v>
      </c>
      <c r="C212" t="s">
        <v>51</v>
      </c>
      <c r="D212">
        <v>54244</v>
      </c>
      <c r="E212" t="s">
        <v>264</v>
      </c>
      <c r="F212">
        <v>12028</v>
      </c>
      <c r="G212">
        <v>0.75067105274183266</v>
      </c>
      <c r="H212">
        <v>0</v>
      </c>
      <c r="I212">
        <v>0</v>
      </c>
      <c r="J212">
        <v>0.67275925002562109</v>
      </c>
      <c r="K212">
        <v>0</v>
      </c>
      <c r="L212">
        <v>0</v>
      </c>
      <c r="M212">
        <v>0.48877149926204971</v>
      </c>
      <c r="N212">
        <v>0</v>
      </c>
      <c r="O212">
        <v>0</v>
      </c>
      <c r="P212">
        <v>0.56350702942453135</v>
      </c>
      <c r="Q212">
        <v>1.2419667605686171</v>
      </c>
      <c r="R212">
        <v>5.9090111505945444</v>
      </c>
      <c r="S212">
        <v>0.22969785459463951</v>
      </c>
      <c r="T212">
        <v>0.1775641739912269</v>
      </c>
      <c r="U212">
        <v>4.4179867093448619</v>
      </c>
      <c r="V212">
        <v>0.2101483876699779</v>
      </c>
      <c r="W212">
        <v>11.39600379223479</v>
      </c>
      <c r="X212">
        <v>0.34768532943944669</v>
      </c>
      <c r="Z212" t="s">
        <v>392</v>
      </c>
      <c r="AA212">
        <v>114</v>
      </c>
      <c r="AB212" t="s">
        <v>3645</v>
      </c>
      <c r="AC212" t="str">
        <f>HYPERLINK("plots/3FT6Y578R04_015_S21P_20251218081014_M5358ACSC201811_RBGEUFRF04/dpll_52046/txpa_54244.png","plot")</f>
        <v>plot</v>
      </c>
    </row>
    <row r="213" spans="1:29" x14ac:dyDescent="0.35">
      <c r="A213" t="s">
        <v>49</v>
      </c>
      <c r="B213">
        <v>52046</v>
      </c>
      <c r="C213" t="s">
        <v>51</v>
      </c>
      <c r="D213">
        <v>54245</v>
      </c>
      <c r="E213" t="s">
        <v>265</v>
      </c>
      <c r="F213">
        <v>12028</v>
      </c>
      <c r="G213">
        <v>0.74209140153783415</v>
      </c>
      <c r="H213">
        <v>0</v>
      </c>
      <c r="I213">
        <v>0</v>
      </c>
      <c r="J213">
        <v>0.6627248859134186</v>
      </c>
      <c r="K213">
        <v>0</v>
      </c>
      <c r="L213">
        <v>0</v>
      </c>
      <c r="M213">
        <v>0.47933827509763688</v>
      </c>
      <c r="N213">
        <v>0</v>
      </c>
      <c r="O213">
        <v>0</v>
      </c>
      <c r="P213">
        <v>0.55069964823638695</v>
      </c>
      <c r="Q213">
        <v>1.209127297572395</v>
      </c>
      <c r="R213">
        <v>6.068352997154375</v>
      </c>
      <c r="S213">
        <v>0.22950439879824949</v>
      </c>
      <c r="T213">
        <v>0.17606367109569029</v>
      </c>
      <c r="U213">
        <v>4.4179867093448619</v>
      </c>
      <c r="V213">
        <v>0.2101483876699779</v>
      </c>
      <c r="W213">
        <v>11.410261327735279</v>
      </c>
      <c r="X213">
        <v>0.34240546588470561</v>
      </c>
      <c r="Z213" t="s">
        <v>392</v>
      </c>
      <c r="AA213">
        <v>114</v>
      </c>
      <c r="AB213" t="s">
        <v>3646</v>
      </c>
      <c r="AC213" t="str">
        <f>HYPERLINK("plots/3FT6Y578R04_015_S21P_20251218081014_M5358ACSC201811_RBGEUFRF04/dpll_52046/txpa_54245.png","plot")</f>
        <v>plot</v>
      </c>
    </row>
    <row r="214" spans="1:29" x14ac:dyDescent="0.35">
      <c r="A214" t="s">
        <v>49</v>
      </c>
      <c r="B214">
        <v>52046</v>
      </c>
      <c r="C214" t="s">
        <v>51</v>
      </c>
      <c r="D214">
        <v>54246</v>
      </c>
      <c r="E214" t="s">
        <v>266</v>
      </c>
      <c r="F214">
        <v>12027</v>
      </c>
      <c r="G214">
        <v>0.75612370841820831</v>
      </c>
      <c r="H214">
        <v>0</v>
      </c>
      <c r="I214">
        <v>0</v>
      </c>
      <c r="J214">
        <v>0.6743624012999142</v>
      </c>
      <c r="K214">
        <v>0</v>
      </c>
      <c r="L214">
        <v>0</v>
      </c>
      <c r="M214">
        <v>0.49016748385216158</v>
      </c>
      <c r="N214">
        <v>0</v>
      </c>
      <c r="O214">
        <v>0</v>
      </c>
      <c r="P214">
        <v>0.57172306243210369</v>
      </c>
      <c r="Q214">
        <v>1.242265284133977</v>
      </c>
      <c r="R214">
        <v>5.9205476984530963</v>
      </c>
      <c r="S214">
        <v>0.2259465711240399</v>
      </c>
      <c r="T214">
        <v>0.1751990497509896</v>
      </c>
      <c r="U214">
        <v>4.417995080651866</v>
      </c>
      <c r="V214">
        <v>0.21015511914181201</v>
      </c>
      <c r="W214">
        <v>11.408869612621601</v>
      </c>
      <c r="X214">
        <v>0.34527208429829748</v>
      </c>
      <c r="Z214" t="s">
        <v>392</v>
      </c>
      <c r="AA214">
        <v>114</v>
      </c>
      <c r="AB214" t="s">
        <v>3647</v>
      </c>
      <c r="AC214" t="str">
        <f>HYPERLINK("plots/3FT6Y578R04_015_S21P_20251218081014_M5358ACSC201811_RBGEUFRF04/dpll_52046/txpa_54246.png","plot")</f>
        <v>plot</v>
      </c>
    </row>
    <row r="215" spans="1:29" x14ac:dyDescent="0.35">
      <c r="A215" t="s">
        <v>49</v>
      </c>
      <c r="B215">
        <v>52046</v>
      </c>
      <c r="C215" t="s">
        <v>51</v>
      </c>
      <c r="D215">
        <v>54247</v>
      </c>
      <c r="E215" t="s">
        <v>267</v>
      </c>
      <c r="F215">
        <v>12027</v>
      </c>
      <c r="G215">
        <v>0.75580050668714449</v>
      </c>
      <c r="H215">
        <v>0</v>
      </c>
      <c r="I215">
        <v>0</v>
      </c>
      <c r="J215">
        <v>0.66755757269517002</v>
      </c>
      <c r="K215">
        <v>0</v>
      </c>
      <c r="L215">
        <v>0</v>
      </c>
      <c r="M215">
        <v>0.4822584656585775</v>
      </c>
      <c r="N215">
        <v>0</v>
      </c>
      <c r="O215">
        <v>0</v>
      </c>
      <c r="P215">
        <v>0.57123440590854435</v>
      </c>
      <c r="Q215">
        <v>1.235819495167918</v>
      </c>
      <c r="R215">
        <v>5.9297897052629107</v>
      </c>
      <c r="S215">
        <v>0.22497673398208171</v>
      </c>
      <c r="T215">
        <v>0.17527530437432479</v>
      </c>
      <c r="U215">
        <v>4.4179587365926656</v>
      </c>
      <c r="V215">
        <v>0.21013472984942591</v>
      </c>
      <c r="W215">
        <v>11.389589240791549</v>
      </c>
      <c r="X215">
        <v>0.34359410117101119</v>
      </c>
      <c r="Z215" t="s">
        <v>392</v>
      </c>
      <c r="AA215">
        <v>114</v>
      </c>
      <c r="AB215" t="s">
        <v>3648</v>
      </c>
      <c r="AC215" t="str">
        <f>HYPERLINK("plots/3FT6Y578R04_015_S21P_20251218081014_M5358ACSC201811_RBGEUFRF04/dpll_52046/txpa_54247.png","plot")</f>
        <v>plot</v>
      </c>
    </row>
    <row r="216" spans="1:29" x14ac:dyDescent="0.35">
      <c r="A216" t="s">
        <v>49</v>
      </c>
      <c r="B216">
        <v>52046</v>
      </c>
      <c r="C216" t="s">
        <v>51</v>
      </c>
      <c r="D216">
        <v>54248</v>
      </c>
      <c r="E216" t="s">
        <v>268</v>
      </c>
      <c r="F216">
        <v>12027</v>
      </c>
      <c r="G216">
        <v>0.76082531496690264</v>
      </c>
      <c r="H216">
        <v>0</v>
      </c>
      <c r="I216">
        <v>0</v>
      </c>
      <c r="J216">
        <v>0.68016068799679974</v>
      </c>
      <c r="K216">
        <v>0</v>
      </c>
      <c r="L216">
        <v>0</v>
      </c>
      <c r="M216">
        <v>0.49495548095643249</v>
      </c>
      <c r="N216">
        <v>0</v>
      </c>
      <c r="O216">
        <v>0</v>
      </c>
      <c r="P216">
        <v>0.57885515989448666</v>
      </c>
      <c r="Q216">
        <v>1.254525975557597</v>
      </c>
      <c r="R216">
        <v>5.8656450636603736</v>
      </c>
      <c r="S216">
        <v>0.22484083506497141</v>
      </c>
      <c r="T216">
        <v>0.17486869003662581</v>
      </c>
      <c r="U216">
        <v>4.417954512264072</v>
      </c>
      <c r="V216">
        <v>0.21012745463637059</v>
      </c>
      <c r="W216">
        <v>11.408083758127541</v>
      </c>
      <c r="X216">
        <v>0.34647946753795261</v>
      </c>
      <c r="Z216" t="s">
        <v>392</v>
      </c>
      <c r="AA216">
        <v>114</v>
      </c>
      <c r="AB216" t="s">
        <v>3649</v>
      </c>
      <c r="AC216" t="str">
        <f>HYPERLINK("plots/3FT6Y578R04_015_S21P_20251218081014_M5358ACSC201811_RBGEUFRF04/dpll_52046/txpa_54248.png","plot")</f>
        <v>plot</v>
      </c>
    </row>
    <row r="217" spans="1:29" x14ac:dyDescent="0.35">
      <c r="A217" t="s">
        <v>49</v>
      </c>
      <c r="B217">
        <v>52046</v>
      </c>
      <c r="C217" t="s">
        <v>51</v>
      </c>
      <c r="D217">
        <v>54249</v>
      </c>
      <c r="E217" t="s">
        <v>269</v>
      </c>
      <c r="F217">
        <v>12028</v>
      </c>
      <c r="G217">
        <v>0.7589572004932863</v>
      </c>
      <c r="H217">
        <v>0</v>
      </c>
      <c r="I217">
        <v>0</v>
      </c>
      <c r="J217">
        <v>0.67313328238305736</v>
      </c>
      <c r="K217">
        <v>0</v>
      </c>
      <c r="L217">
        <v>0</v>
      </c>
      <c r="M217">
        <v>0.48813221199703921</v>
      </c>
      <c r="N217">
        <v>0</v>
      </c>
      <c r="O217">
        <v>0</v>
      </c>
      <c r="P217">
        <v>0.57601603218060637</v>
      </c>
      <c r="Q217">
        <v>1.235581947419677</v>
      </c>
      <c r="R217">
        <v>5.9563570308035336</v>
      </c>
      <c r="S217">
        <v>0.22275988973533151</v>
      </c>
      <c r="T217">
        <v>0.17350929815465671</v>
      </c>
      <c r="U217">
        <v>4.4179867093448619</v>
      </c>
      <c r="V217">
        <v>0.2101483876699779</v>
      </c>
      <c r="W217">
        <v>11.41514165281011</v>
      </c>
      <c r="X217">
        <v>0.34212147129721249</v>
      </c>
      <c r="Z217" t="s">
        <v>392</v>
      </c>
      <c r="AA217">
        <v>114</v>
      </c>
      <c r="AB217" t="s">
        <v>3650</v>
      </c>
      <c r="AC217" t="str">
        <f>HYPERLINK("plots/3FT6Y578R04_015_S21P_20251218081014_M5358ACSC201811_RBGEUFRF04/dpll_52046/txpa_54249.png","plot")</f>
        <v>plot</v>
      </c>
    </row>
    <row r="218" spans="1:29" x14ac:dyDescent="0.35">
      <c r="A218" t="s">
        <v>49</v>
      </c>
      <c r="B218">
        <v>52046</v>
      </c>
      <c r="C218" t="s">
        <v>51</v>
      </c>
      <c r="D218">
        <v>54250</v>
      </c>
      <c r="E218" t="s">
        <v>270</v>
      </c>
      <c r="F218">
        <v>12027</v>
      </c>
      <c r="G218">
        <v>0.75109213322427726</v>
      </c>
      <c r="H218">
        <v>0</v>
      </c>
      <c r="I218">
        <v>0</v>
      </c>
      <c r="J218">
        <v>0.66645861420182129</v>
      </c>
      <c r="K218">
        <v>0</v>
      </c>
      <c r="L218">
        <v>0</v>
      </c>
      <c r="M218">
        <v>0.48329720487358568</v>
      </c>
      <c r="N218">
        <v>0</v>
      </c>
      <c r="O218">
        <v>0</v>
      </c>
      <c r="P218">
        <v>0.56413939259139545</v>
      </c>
      <c r="Q218">
        <v>1.2300537698192451</v>
      </c>
      <c r="R218">
        <v>5.9492571141309263</v>
      </c>
      <c r="S218">
        <v>0.22719477719791059</v>
      </c>
      <c r="T218">
        <v>0.1755431798763829</v>
      </c>
      <c r="U218">
        <v>4.418010118566559</v>
      </c>
      <c r="V218">
        <v>0.21014144114715341</v>
      </c>
      <c r="W218">
        <v>11.383647115573289</v>
      </c>
      <c r="X218">
        <v>0.34414589162142267</v>
      </c>
      <c r="Z218" t="s">
        <v>392</v>
      </c>
      <c r="AA218">
        <v>114</v>
      </c>
      <c r="AB218" t="s">
        <v>3651</v>
      </c>
      <c r="AC218" t="str">
        <f>HYPERLINK("plots/3FT6Y578R04_015_S21P_20251218081014_M5358ACSC201811_RBGEUFRF04/dpll_52046/txpa_54250.png","plot")</f>
        <v>plot</v>
      </c>
    </row>
    <row r="219" spans="1:29" x14ac:dyDescent="0.35">
      <c r="A219" t="s">
        <v>49</v>
      </c>
      <c r="B219">
        <v>52046</v>
      </c>
      <c r="C219" t="s">
        <v>51</v>
      </c>
      <c r="D219">
        <v>54251</v>
      </c>
      <c r="E219" t="s">
        <v>271</v>
      </c>
      <c r="F219">
        <v>12028</v>
      </c>
      <c r="G219">
        <v>0.73597567335084846</v>
      </c>
      <c r="H219">
        <v>0</v>
      </c>
      <c r="I219">
        <v>0</v>
      </c>
      <c r="J219">
        <v>0.66263803721478565</v>
      </c>
      <c r="K219">
        <v>0</v>
      </c>
      <c r="L219">
        <v>0</v>
      </c>
      <c r="M219">
        <v>0.47794248049761928</v>
      </c>
      <c r="N219">
        <v>0</v>
      </c>
      <c r="O219">
        <v>0</v>
      </c>
      <c r="P219">
        <v>0.54166019176423474</v>
      </c>
      <c r="Q219">
        <v>1.2263460165981539</v>
      </c>
      <c r="R219">
        <v>6.5312376421740286</v>
      </c>
      <c r="S219">
        <v>0.2370562241233056</v>
      </c>
      <c r="T219">
        <v>0.1799564149765745</v>
      </c>
      <c r="U219">
        <v>4.4179867093448619</v>
      </c>
      <c r="V219">
        <v>0.2101483876699779</v>
      </c>
      <c r="W219">
        <v>11.94921804456269</v>
      </c>
      <c r="X219">
        <v>0.3501673322166266</v>
      </c>
      <c r="Z219" t="s">
        <v>392</v>
      </c>
      <c r="AA219">
        <v>114</v>
      </c>
      <c r="AB219" t="s">
        <v>3652</v>
      </c>
      <c r="AC219" t="str">
        <f>HYPERLINK("plots/3FT6Y578R04_015_S21P_20251218081014_M5358ACSC201811_RBGEUFRF04/dpll_52046/txpa_54251.png","plot")</f>
        <v>plot</v>
      </c>
    </row>
    <row r="220" spans="1:29" x14ac:dyDescent="0.35">
      <c r="A220" t="s">
        <v>49</v>
      </c>
      <c r="B220">
        <v>52046</v>
      </c>
      <c r="C220" t="s">
        <v>51</v>
      </c>
      <c r="D220">
        <v>54252</v>
      </c>
      <c r="E220" t="s">
        <v>272</v>
      </c>
      <c r="F220">
        <v>12028</v>
      </c>
      <c r="G220">
        <v>0.7535115280584983</v>
      </c>
      <c r="H220">
        <v>0</v>
      </c>
      <c r="I220">
        <v>0</v>
      </c>
      <c r="J220">
        <v>0.67451157680645202</v>
      </c>
      <c r="K220">
        <v>0</v>
      </c>
      <c r="L220">
        <v>0</v>
      </c>
      <c r="M220">
        <v>0.49042665388354278</v>
      </c>
      <c r="N220">
        <v>0</v>
      </c>
      <c r="O220">
        <v>0</v>
      </c>
      <c r="P220">
        <v>0.56777962291705308</v>
      </c>
      <c r="Q220">
        <v>1.2589117843264781</v>
      </c>
      <c r="R220">
        <v>6.4127839273708807</v>
      </c>
      <c r="S220">
        <v>0.23081606077979919</v>
      </c>
      <c r="T220">
        <v>0.17811928422921641</v>
      </c>
      <c r="U220">
        <v>4.4179867093448619</v>
      </c>
      <c r="V220">
        <v>0.2101483876699779</v>
      </c>
      <c r="W220">
        <v>11.974639458762891</v>
      </c>
      <c r="X220">
        <v>0.35110050987090607</v>
      </c>
      <c r="Z220" t="s">
        <v>392</v>
      </c>
      <c r="AA220">
        <v>114</v>
      </c>
      <c r="AB220" t="s">
        <v>3653</v>
      </c>
      <c r="AC220" t="str">
        <f>HYPERLINK("plots/3FT6Y578R04_015_S21P_20251218081014_M5358ACSC201811_RBGEUFRF04/dpll_52046/txpa_54252.png","plot")</f>
        <v>plot</v>
      </c>
    </row>
    <row r="221" spans="1:29" x14ac:dyDescent="0.35">
      <c r="A221" t="s">
        <v>49</v>
      </c>
      <c r="B221">
        <v>52046</v>
      </c>
      <c r="C221" t="s">
        <v>51</v>
      </c>
      <c r="D221">
        <v>54253</v>
      </c>
      <c r="E221" t="s">
        <v>273</v>
      </c>
      <c r="F221">
        <v>12028</v>
      </c>
      <c r="G221">
        <v>0.74501093574025845</v>
      </c>
      <c r="H221">
        <v>0</v>
      </c>
      <c r="I221">
        <v>0</v>
      </c>
      <c r="J221">
        <v>0.66432904174999208</v>
      </c>
      <c r="K221">
        <v>0</v>
      </c>
      <c r="L221">
        <v>0</v>
      </c>
      <c r="M221">
        <v>0.48079980791284438</v>
      </c>
      <c r="N221">
        <v>0</v>
      </c>
      <c r="O221">
        <v>0</v>
      </c>
      <c r="P221">
        <v>0.55504129437257554</v>
      </c>
      <c r="Q221">
        <v>1.225599619915352</v>
      </c>
      <c r="R221">
        <v>6.5745436422963888</v>
      </c>
      <c r="S221">
        <v>0.23059709513185639</v>
      </c>
      <c r="T221">
        <v>0.17661319277205861</v>
      </c>
      <c r="U221">
        <v>4.4179867093448619</v>
      </c>
      <c r="V221">
        <v>0.2101483876699779</v>
      </c>
      <c r="W221">
        <v>11.98922647406053</v>
      </c>
      <c r="X221">
        <v>0.34571007175650942</v>
      </c>
      <c r="Z221" t="s">
        <v>392</v>
      </c>
      <c r="AA221">
        <v>114</v>
      </c>
      <c r="AB221" t="s">
        <v>3654</v>
      </c>
      <c r="AC221" t="str">
        <f>HYPERLINK("plots/3FT6Y578R04_015_S21P_20251218081014_M5358ACSC201811_RBGEUFRF04/dpll_52046/txpa_54253.png","plot")</f>
        <v>plot</v>
      </c>
    </row>
    <row r="222" spans="1:29" x14ac:dyDescent="0.35">
      <c r="A222" t="s">
        <v>49</v>
      </c>
      <c r="B222">
        <v>52046</v>
      </c>
      <c r="C222" t="s">
        <v>51</v>
      </c>
      <c r="D222">
        <v>54254</v>
      </c>
      <c r="E222" t="s">
        <v>274</v>
      </c>
      <c r="F222">
        <v>12027</v>
      </c>
      <c r="G222">
        <v>0.75881835967140021</v>
      </c>
      <c r="H222">
        <v>0</v>
      </c>
      <c r="I222">
        <v>0</v>
      </c>
      <c r="J222">
        <v>0.67597139272983553</v>
      </c>
      <c r="K222">
        <v>0</v>
      </c>
      <c r="L222">
        <v>0</v>
      </c>
      <c r="M222">
        <v>0.4916382886790045</v>
      </c>
      <c r="N222">
        <v>0</v>
      </c>
      <c r="O222">
        <v>0</v>
      </c>
      <c r="P222">
        <v>0.57580530297439447</v>
      </c>
      <c r="Q222">
        <v>1.258692959745092</v>
      </c>
      <c r="R222">
        <v>6.4263910300429856</v>
      </c>
      <c r="S222">
        <v>0.2270317036336951</v>
      </c>
      <c r="T222">
        <v>0.17579495678178511</v>
      </c>
      <c r="U222">
        <v>4.417995080651866</v>
      </c>
      <c r="V222">
        <v>0.21015511914181201</v>
      </c>
      <c r="W222">
        <v>11.987290334247939</v>
      </c>
      <c r="X222">
        <v>0.3485956362900054</v>
      </c>
      <c r="Z222" t="s">
        <v>392</v>
      </c>
      <c r="AA222">
        <v>114</v>
      </c>
      <c r="AB222" t="s">
        <v>3655</v>
      </c>
      <c r="AC222" t="str">
        <f>HYPERLINK("plots/3FT6Y578R04_015_S21P_20251218081014_M5358ACSC201811_RBGEUFRF04/dpll_52046/txpa_54254.png","plot")</f>
        <v>plot</v>
      </c>
    </row>
    <row r="223" spans="1:29" x14ac:dyDescent="0.35">
      <c r="A223" t="s">
        <v>49</v>
      </c>
      <c r="B223">
        <v>52046</v>
      </c>
      <c r="C223" t="s">
        <v>51</v>
      </c>
      <c r="D223">
        <v>54255</v>
      </c>
      <c r="E223" t="s">
        <v>275</v>
      </c>
      <c r="F223">
        <v>12027</v>
      </c>
      <c r="G223">
        <v>0.75841724752514583</v>
      </c>
      <c r="H223">
        <v>0</v>
      </c>
      <c r="I223">
        <v>0</v>
      </c>
      <c r="J223">
        <v>0.66899205632841396</v>
      </c>
      <c r="K223">
        <v>0</v>
      </c>
      <c r="L223">
        <v>0</v>
      </c>
      <c r="M223">
        <v>0.48359799157244421</v>
      </c>
      <c r="N223">
        <v>0</v>
      </c>
      <c r="O223">
        <v>0</v>
      </c>
      <c r="P223">
        <v>0.57519672134361832</v>
      </c>
      <c r="Q223">
        <v>1.2524315239717121</v>
      </c>
      <c r="R223">
        <v>6.4342449279788649</v>
      </c>
      <c r="S223">
        <v>0.2261619289944988</v>
      </c>
      <c r="T223">
        <v>0.1759507582413698</v>
      </c>
      <c r="U223">
        <v>4.4179587365926656</v>
      </c>
      <c r="V223">
        <v>0.21013472984942591</v>
      </c>
      <c r="W223">
        <v>11.967435721293761</v>
      </c>
      <c r="X223">
        <v>0.34701130651168949</v>
      </c>
      <c r="Z223" t="s">
        <v>392</v>
      </c>
      <c r="AA223">
        <v>114</v>
      </c>
      <c r="AB223" t="s">
        <v>3656</v>
      </c>
      <c r="AC223" t="str">
        <f>HYPERLINK("plots/3FT6Y578R04_015_S21P_20251218081014_M5358ACSC201811_RBGEUFRF04/dpll_52046/txpa_54255.png","plot")</f>
        <v>plot</v>
      </c>
    </row>
    <row r="224" spans="1:29" x14ac:dyDescent="0.35">
      <c r="A224" t="s">
        <v>49</v>
      </c>
      <c r="B224">
        <v>52046</v>
      </c>
      <c r="C224" t="s">
        <v>51</v>
      </c>
      <c r="D224">
        <v>54256</v>
      </c>
      <c r="E224" t="s">
        <v>276</v>
      </c>
      <c r="F224">
        <v>12027</v>
      </c>
      <c r="G224">
        <v>0.76336700201486718</v>
      </c>
      <c r="H224">
        <v>0</v>
      </c>
      <c r="I224">
        <v>0</v>
      </c>
      <c r="J224">
        <v>0.68157654037614257</v>
      </c>
      <c r="K224">
        <v>0</v>
      </c>
      <c r="L224">
        <v>0</v>
      </c>
      <c r="M224">
        <v>0.49638650428951508</v>
      </c>
      <c r="N224">
        <v>0</v>
      </c>
      <c r="O224">
        <v>0</v>
      </c>
      <c r="P224">
        <v>0.58272917976516625</v>
      </c>
      <c r="Q224">
        <v>1.2712215749222551</v>
      </c>
      <c r="R224">
        <v>6.3702517958182412</v>
      </c>
      <c r="S224">
        <v>0.22602767825435099</v>
      </c>
      <c r="T224">
        <v>0.17550344645078719</v>
      </c>
      <c r="U224">
        <v>4.417954512264072</v>
      </c>
      <c r="V224">
        <v>0.21012745463637059</v>
      </c>
      <c r="W224">
        <v>11.98645088883346</v>
      </c>
      <c r="X224">
        <v>0.34992153592204839</v>
      </c>
      <c r="Z224" t="s">
        <v>392</v>
      </c>
      <c r="AA224">
        <v>114</v>
      </c>
      <c r="AB224" t="s">
        <v>3657</v>
      </c>
      <c r="AC224" t="str">
        <f>HYPERLINK("plots/3FT6Y578R04_015_S21P_20251218081014_M5358ACSC201811_RBGEUFRF04/dpll_52046/txpa_54256.png","plot")</f>
        <v>plot</v>
      </c>
    </row>
    <row r="225" spans="1:29" x14ac:dyDescent="0.35">
      <c r="A225" t="s">
        <v>49</v>
      </c>
      <c r="B225">
        <v>52046</v>
      </c>
      <c r="C225" t="s">
        <v>51</v>
      </c>
      <c r="D225">
        <v>54257</v>
      </c>
      <c r="E225" t="s">
        <v>277</v>
      </c>
      <c r="F225">
        <v>12028</v>
      </c>
      <c r="G225">
        <v>0.76169783593503548</v>
      </c>
      <c r="H225">
        <v>0</v>
      </c>
      <c r="I225">
        <v>0</v>
      </c>
      <c r="J225">
        <v>0.67464474753370796</v>
      </c>
      <c r="K225">
        <v>0</v>
      </c>
      <c r="L225">
        <v>0</v>
      </c>
      <c r="M225">
        <v>0.48955365859024103</v>
      </c>
      <c r="N225">
        <v>0</v>
      </c>
      <c r="O225">
        <v>0</v>
      </c>
      <c r="P225">
        <v>0.58018359326811619</v>
      </c>
      <c r="Q225">
        <v>1.2522021174564519</v>
      </c>
      <c r="R225">
        <v>6.4617476535767704</v>
      </c>
      <c r="S225">
        <v>0.22383573584296271</v>
      </c>
      <c r="T225">
        <v>0.17403081549060431</v>
      </c>
      <c r="U225">
        <v>4.4179867093448619</v>
      </c>
      <c r="V225">
        <v>0.2101483876699779</v>
      </c>
      <c r="W225">
        <v>11.99395996591287</v>
      </c>
      <c r="X225">
        <v>0.34547591394607752</v>
      </c>
      <c r="Z225" t="s">
        <v>392</v>
      </c>
      <c r="AA225">
        <v>114</v>
      </c>
      <c r="AB225" t="s">
        <v>3658</v>
      </c>
      <c r="AC225" t="str">
        <f>HYPERLINK("plots/3FT6Y578R04_015_S21P_20251218081014_M5358ACSC201811_RBGEUFRF04/dpll_52046/txpa_54257.png","plot")</f>
        <v>plot</v>
      </c>
    </row>
    <row r="226" spans="1:29" x14ac:dyDescent="0.35">
      <c r="A226" t="s">
        <v>49</v>
      </c>
      <c r="B226">
        <v>52046</v>
      </c>
      <c r="C226" t="s">
        <v>51</v>
      </c>
      <c r="D226">
        <v>54258</v>
      </c>
      <c r="E226" t="s">
        <v>278</v>
      </c>
      <c r="F226">
        <v>12027</v>
      </c>
      <c r="G226">
        <v>0.75360556105718735</v>
      </c>
      <c r="H226">
        <v>0</v>
      </c>
      <c r="I226">
        <v>0</v>
      </c>
      <c r="J226">
        <v>0.66759784067170436</v>
      </c>
      <c r="K226">
        <v>0</v>
      </c>
      <c r="L226">
        <v>0</v>
      </c>
      <c r="M226">
        <v>0.48439723610434438</v>
      </c>
      <c r="N226">
        <v>0</v>
      </c>
      <c r="O226">
        <v>0</v>
      </c>
      <c r="P226">
        <v>0.56792134165631813</v>
      </c>
      <c r="Q226">
        <v>1.2462288763430109</v>
      </c>
      <c r="R226">
        <v>6.4569340369989296</v>
      </c>
      <c r="S226">
        <v>0.22841718444078821</v>
      </c>
      <c r="T226">
        <v>0.17620029408220739</v>
      </c>
      <c r="U226">
        <v>4.418010118566559</v>
      </c>
      <c r="V226">
        <v>0.21014144114715341</v>
      </c>
      <c r="W226">
        <v>11.96278582273219</v>
      </c>
      <c r="X226">
        <v>0.34750849198423722</v>
      </c>
      <c r="Z226" t="s">
        <v>392</v>
      </c>
      <c r="AA226">
        <v>114</v>
      </c>
      <c r="AB226" t="s">
        <v>3659</v>
      </c>
      <c r="AC226" t="str">
        <f>HYPERLINK("plots/3FT6Y578R04_015_S21P_20251218081014_M5358ACSC201811_RBGEUFRF04/dpll_52046/txpa_54258.png","plot")</f>
        <v>plot</v>
      </c>
    </row>
    <row r="227" spans="1:29" x14ac:dyDescent="0.35">
      <c r="A227" t="s">
        <v>49</v>
      </c>
      <c r="B227">
        <v>52046</v>
      </c>
      <c r="C227" t="s">
        <v>51</v>
      </c>
      <c r="D227">
        <v>55146</v>
      </c>
      <c r="E227" t="s">
        <v>279</v>
      </c>
      <c r="F227">
        <v>12027</v>
      </c>
      <c r="G227">
        <v>-8.7378435915427839E-3</v>
      </c>
      <c r="H227">
        <v>0.33797314806999901</v>
      </c>
      <c r="I227">
        <v>0.33931165558710791</v>
      </c>
      <c r="J227">
        <v>-9.6450697790420072E-3</v>
      </c>
      <c r="K227">
        <v>0.29020724732708081</v>
      </c>
      <c r="L227">
        <v>0.29078077943642278</v>
      </c>
      <c r="M227">
        <v>-6.3691411642744682E-3</v>
      </c>
      <c r="N227">
        <v>0.29483986821548752</v>
      </c>
      <c r="O227">
        <v>0.29542255570207931</v>
      </c>
      <c r="P227">
        <v>7.6349910630265296E-5</v>
      </c>
      <c r="Q227">
        <v>-0.1810260570345667</v>
      </c>
      <c r="R227">
        <v>-11.07616793080817</v>
      </c>
      <c r="S227">
        <v>4.3535630290450831</v>
      </c>
      <c r="T227">
        <v>3.3643042434861901</v>
      </c>
      <c r="U227">
        <v>4.4179916976802192</v>
      </c>
      <c r="V227">
        <v>0.2101564125970847</v>
      </c>
      <c r="W227">
        <v>-11.87593954785067</v>
      </c>
      <c r="X227">
        <v>4.3539102450634077</v>
      </c>
      <c r="Z227" t="s">
        <v>392</v>
      </c>
      <c r="AA227">
        <v>114</v>
      </c>
      <c r="AB227" t="s">
        <v>3660</v>
      </c>
      <c r="AC227" t="str">
        <f>HYPERLINK("plots/3FT6Y578R04_015_S21P_20251218081014_M5358ACSC201811_RBGEUFRF04/dpll_52046/txpa_55146.png","plot")</f>
        <v>plot</v>
      </c>
    </row>
    <row r="228" spans="1:29" x14ac:dyDescent="0.35">
      <c r="A228" t="s">
        <v>49</v>
      </c>
      <c r="B228">
        <v>52046</v>
      </c>
      <c r="C228" t="s">
        <v>51</v>
      </c>
      <c r="D228">
        <v>55147</v>
      </c>
      <c r="E228" t="s">
        <v>280</v>
      </c>
      <c r="F228">
        <v>12028</v>
      </c>
      <c r="G228">
        <v>0.2345791853520714</v>
      </c>
      <c r="H228">
        <v>4.860998021328007E-150</v>
      </c>
      <c r="I228">
        <v>4.9094143362814728E-150</v>
      </c>
      <c r="J228">
        <v>0.2220948603774146</v>
      </c>
      <c r="K228">
        <v>2.620596782963715E-134</v>
      </c>
      <c r="L228">
        <v>2.6493371265455699E-134</v>
      </c>
      <c r="M228">
        <v>0.1494100957989796</v>
      </c>
      <c r="N228">
        <v>6.4236057888535132E-133</v>
      </c>
      <c r="O228">
        <v>6.4940541075747382E-133</v>
      </c>
      <c r="P228">
        <v>5.5027394200441462E-2</v>
      </c>
      <c r="Q228">
        <v>1.335057819817036</v>
      </c>
      <c r="R228">
        <v>-27.28876400196371</v>
      </c>
      <c r="S228">
        <v>1.162594378331786</v>
      </c>
      <c r="T228">
        <v>0.90550330012558577</v>
      </c>
      <c r="U228">
        <v>4.4179867093448619</v>
      </c>
      <c r="V228">
        <v>0.2101483876699779</v>
      </c>
      <c r="W228">
        <v>-21.390496297805122</v>
      </c>
      <c r="X228">
        <v>1.1960151019352521</v>
      </c>
      <c r="Z228" t="s">
        <v>392</v>
      </c>
      <c r="AA228">
        <v>114</v>
      </c>
      <c r="AB228" t="s">
        <v>3661</v>
      </c>
      <c r="AC228" t="str">
        <f>HYPERLINK("plots/3FT6Y578R04_015_S21P_20251218081014_M5358ACSC201811_RBGEUFRF04/dpll_52046/txpa_55147.png","plot")</f>
        <v>plot</v>
      </c>
    </row>
    <row r="229" spans="1:29" x14ac:dyDescent="0.35">
      <c r="A229" t="s">
        <v>49</v>
      </c>
      <c r="B229">
        <v>52046</v>
      </c>
      <c r="C229" t="s">
        <v>51</v>
      </c>
      <c r="D229">
        <v>55148</v>
      </c>
      <c r="E229" t="s">
        <v>281</v>
      </c>
      <c r="F229">
        <v>12028</v>
      </c>
      <c r="G229">
        <v>0.27418525371487312</v>
      </c>
      <c r="H229">
        <v>2.149386799269916E-206</v>
      </c>
      <c r="I229">
        <v>2.2422615375099739E-206</v>
      </c>
      <c r="J229">
        <v>0.26327343869412889</v>
      </c>
      <c r="K229">
        <v>7.2041701352499205E-190</v>
      </c>
      <c r="L229">
        <v>7.5699777379724546E-190</v>
      </c>
      <c r="M229">
        <v>0.17751284226410061</v>
      </c>
      <c r="N229">
        <v>6.1109030272900201E-187</v>
      </c>
      <c r="O229">
        <v>6.4211975851524139E-187</v>
      </c>
      <c r="P229">
        <v>7.5177553354689342E-2</v>
      </c>
      <c r="Q229">
        <v>1.532689914982867</v>
      </c>
      <c r="R229">
        <v>-28.05947953859037</v>
      </c>
      <c r="S229">
        <v>1.12965907394349</v>
      </c>
      <c r="T229">
        <v>0.87290194660199227</v>
      </c>
      <c r="U229">
        <v>4.4179867093448619</v>
      </c>
      <c r="V229">
        <v>0.2101483876699779</v>
      </c>
      <c r="W229">
        <v>-21.288075864649151</v>
      </c>
      <c r="X229">
        <v>1.1747251541347681</v>
      </c>
      <c r="Z229" t="s">
        <v>392</v>
      </c>
      <c r="AA229">
        <v>114</v>
      </c>
      <c r="AB229" t="s">
        <v>3662</v>
      </c>
      <c r="AC229" t="str">
        <f>HYPERLINK("plots/3FT6Y578R04_015_S21P_20251218081014_M5358ACSC201811_RBGEUFRF04/dpll_52046/txpa_55148.png","plot")</f>
        <v>plot</v>
      </c>
    </row>
    <row r="230" spans="1:29" x14ac:dyDescent="0.35">
      <c r="A230" t="s">
        <v>49</v>
      </c>
      <c r="B230">
        <v>52046</v>
      </c>
      <c r="C230" t="s">
        <v>51</v>
      </c>
      <c r="D230">
        <v>55149</v>
      </c>
      <c r="E230" t="s">
        <v>282</v>
      </c>
      <c r="F230">
        <v>12028</v>
      </c>
      <c r="G230">
        <v>0.24571883475722381</v>
      </c>
      <c r="H230">
        <v>6.9028700308604265E-165</v>
      </c>
      <c r="I230">
        <v>7.0135372858641997E-165</v>
      </c>
      <c r="J230">
        <v>0.2296625442334575</v>
      </c>
      <c r="K230">
        <v>9.9074341205165879E-144</v>
      </c>
      <c r="L230">
        <v>1.007636730010413E-143</v>
      </c>
      <c r="M230">
        <v>0.15469681129139379</v>
      </c>
      <c r="N230">
        <v>1.9158071086699771E-142</v>
      </c>
      <c r="O230">
        <v>1.9484738296803981E-142</v>
      </c>
      <c r="P230">
        <v>6.0377745754447862E-2</v>
      </c>
      <c r="Q230">
        <v>1.375001424840818</v>
      </c>
      <c r="R230">
        <v>-27.35661393065277</v>
      </c>
      <c r="S230">
        <v>1.139854337527874</v>
      </c>
      <c r="T230">
        <v>0.88404382850904761</v>
      </c>
      <c r="U230">
        <v>4.4179867093448619</v>
      </c>
      <c r="V230">
        <v>0.2101483876699779</v>
      </c>
      <c r="W230">
        <v>-21.281875910375788</v>
      </c>
      <c r="X230">
        <v>1.175955163387105</v>
      </c>
      <c r="Z230" t="s">
        <v>392</v>
      </c>
      <c r="AA230">
        <v>114</v>
      </c>
      <c r="AB230" t="s">
        <v>3663</v>
      </c>
      <c r="AC230" t="str">
        <f>HYPERLINK("plots/3FT6Y578R04_015_S21P_20251218081014_M5358ACSC201811_RBGEUFRF04/dpll_52046/txpa_55149.png","plot")</f>
        <v>plot</v>
      </c>
    </row>
    <row r="231" spans="1:29" x14ac:dyDescent="0.35">
      <c r="A231" t="s">
        <v>49</v>
      </c>
      <c r="B231">
        <v>52046</v>
      </c>
      <c r="C231" t="s">
        <v>51</v>
      </c>
      <c r="D231">
        <v>55150</v>
      </c>
      <c r="E231" t="s">
        <v>283</v>
      </c>
      <c r="F231">
        <v>12028</v>
      </c>
      <c r="G231">
        <v>0.26810014940812849</v>
      </c>
      <c r="H231">
        <v>4.3979417035974043E-197</v>
      </c>
      <c r="I231">
        <v>4.5691730404177939E-197</v>
      </c>
      <c r="J231">
        <v>0.25377573648884388</v>
      </c>
      <c r="K231">
        <v>4.1344650298085162E-176</v>
      </c>
      <c r="L231">
        <v>4.2910414946016737E-176</v>
      </c>
      <c r="M231">
        <v>0.17127972314676579</v>
      </c>
      <c r="N231">
        <v>3.241703572672499E-174</v>
      </c>
      <c r="O231">
        <v>3.3644702381677731E-174</v>
      </c>
      <c r="P231">
        <v>7.1877690112660847E-2</v>
      </c>
      <c r="Q231">
        <v>1.4977417270951909</v>
      </c>
      <c r="R231">
        <v>-27.82420113213292</v>
      </c>
      <c r="S231">
        <v>1.1309684441547789</v>
      </c>
      <c r="T231">
        <v>0.87225148582107093</v>
      </c>
      <c r="U231">
        <v>4.4179867093448619</v>
      </c>
      <c r="V231">
        <v>0.2101483876699779</v>
      </c>
      <c r="W231">
        <v>-21.207198087795138</v>
      </c>
      <c r="X231">
        <v>1.173994157742754</v>
      </c>
      <c r="Z231" t="s">
        <v>392</v>
      </c>
      <c r="AA231">
        <v>114</v>
      </c>
      <c r="AB231" t="s">
        <v>3664</v>
      </c>
      <c r="AC231" t="str">
        <f>HYPERLINK("plots/3FT6Y578R04_015_S21P_20251218081014_M5358ACSC201811_RBGEUFRF04/dpll_52046/txpa_55150.png","plot")</f>
        <v>plot</v>
      </c>
    </row>
    <row r="232" spans="1:29" x14ac:dyDescent="0.35">
      <c r="A232" t="s">
        <v>49</v>
      </c>
      <c r="B232">
        <v>52046</v>
      </c>
      <c r="C232" t="s">
        <v>51</v>
      </c>
      <c r="D232">
        <v>55151</v>
      </c>
      <c r="E232" t="s">
        <v>284</v>
      </c>
      <c r="F232">
        <v>12028</v>
      </c>
      <c r="G232">
        <v>0.26101771520351841</v>
      </c>
      <c r="H232">
        <v>1.505278003336326E-186</v>
      </c>
      <c r="I232">
        <v>1.5448905823714921E-186</v>
      </c>
      <c r="J232">
        <v>0.2493667411803121</v>
      </c>
      <c r="K232">
        <v>6.4340123927257292E-170</v>
      </c>
      <c r="L232">
        <v>6.6234401687552181E-170</v>
      </c>
      <c r="M232">
        <v>0.16822562574481359</v>
      </c>
      <c r="N232">
        <v>4.3188538518584663E-168</v>
      </c>
      <c r="O232">
        <v>4.4505262253907363E-168</v>
      </c>
      <c r="P232">
        <v>6.8130247650065021E-2</v>
      </c>
      <c r="Q232">
        <v>1.460335454082557</v>
      </c>
      <c r="R232">
        <v>-27.706883630813689</v>
      </c>
      <c r="S232">
        <v>1.134927870163976</v>
      </c>
      <c r="T232">
        <v>0.87833318578524999</v>
      </c>
      <c r="U232">
        <v>4.4179867093448619</v>
      </c>
      <c r="V232">
        <v>0.2101483876699779</v>
      </c>
      <c r="W232">
        <v>-21.25514100349185</v>
      </c>
      <c r="X232">
        <v>1.1757329991700809</v>
      </c>
      <c r="Z232" t="s">
        <v>392</v>
      </c>
      <c r="AA232">
        <v>114</v>
      </c>
      <c r="AB232" t="s">
        <v>3665</v>
      </c>
      <c r="AC232" t="str">
        <f>HYPERLINK("plots/3FT6Y578R04_015_S21P_20251218081014_M5358ACSC201811_RBGEUFRF04/dpll_52046/txpa_55151.png","plot")</f>
        <v>plot</v>
      </c>
    </row>
    <row r="233" spans="1:29" x14ac:dyDescent="0.35">
      <c r="A233" t="s">
        <v>49</v>
      </c>
      <c r="B233">
        <v>52046</v>
      </c>
      <c r="C233" t="s">
        <v>51</v>
      </c>
      <c r="D233">
        <v>55152</v>
      </c>
      <c r="E233" t="s">
        <v>285</v>
      </c>
      <c r="F233">
        <v>12028</v>
      </c>
      <c r="G233">
        <v>0.26110165223542198</v>
      </c>
      <c r="H233">
        <v>1.1341270469345109E-186</v>
      </c>
      <c r="I233">
        <v>1.1651517989783129E-186</v>
      </c>
      <c r="J233">
        <v>0.25340507574589449</v>
      </c>
      <c r="K233">
        <v>1.3858538922393939E-175</v>
      </c>
      <c r="L233">
        <v>1.436866918947592E-175</v>
      </c>
      <c r="M233">
        <v>0.17123481432010379</v>
      </c>
      <c r="N233">
        <v>4.9624304857039136E-174</v>
      </c>
      <c r="O233">
        <v>5.1450966385519114E-174</v>
      </c>
      <c r="P233">
        <v>6.8174072800067265E-2</v>
      </c>
      <c r="Q233">
        <v>1.4701105542333739</v>
      </c>
      <c r="R233">
        <v>-27.799693272976739</v>
      </c>
      <c r="S233">
        <v>1.142130629660322</v>
      </c>
      <c r="T233">
        <v>0.88714963710250616</v>
      </c>
      <c r="U233">
        <v>4.4179867093448619</v>
      </c>
      <c r="V233">
        <v>0.2101483876699779</v>
      </c>
      <c r="W233">
        <v>-21.304764383106079</v>
      </c>
      <c r="X233">
        <v>1.1832225496229509</v>
      </c>
      <c r="Z233" t="s">
        <v>392</v>
      </c>
      <c r="AA233">
        <v>114</v>
      </c>
      <c r="AB233" t="s">
        <v>3666</v>
      </c>
      <c r="AC233" t="str">
        <f>HYPERLINK("plots/3FT6Y578R04_015_S21P_20251218081014_M5358ACSC201811_RBGEUFRF04/dpll_52046/txpa_55152.png","plot")</f>
        <v>plot</v>
      </c>
    </row>
    <row r="234" spans="1:29" x14ac:dyDescent="0.35">
      <c r="A234" t="s">
        <v>49</v>
      </c>
      <c r="B234">
        <v>52046</v>
      </c>
      <c r="C234" t="s">
        <v>51</v>
      </c>
      <c r="D234">
        <v>55153</v>
      </c>
      <c r="E234" t="s">
        <v>286</v>
      </c>
      <c r="F234">
        <v>12028</v>
      </c>
      <c r="G234">
        <v>0.23958026322242501</v>
      </c>
      <c r="H234">
        <v>1.3070500747043681E-156</v>
      </c>
      <c r="I234">
        <v>1.3240247509992291E-156</v>
      </c>
      <c r="J234">
        <v>0.2263604850860485</v>
      </c>
      <c r="K234">
        <v>1.4131786236407509E-139</v>
      </c>
      <c r="L234">
        <v>1.431531592778942E-139</v>
      </c>
      <c r="M234">
        <v>0.15314155337890781</v>
      </c>
      <c r="N234">
        <v>1.340746224758157E-139</v>
      </c>
      <c r="O234">
        <v>1.3581585133913799E-139</v>
      </c>
      <c r="P234">
        <v>5.7398702525726437E-2</v>
      </c>
      <c r="Q234">
        <v>1.3590514487678389</v>
      </c>
      <c r="R234">
        <v>-27.30011167528513</v>
      </c>
      <c r="S234">
        <v>1.1573291309322971</v>
      </c>
      <c r="T234">
        <v>0.89951000663291825</v>
      </c>
      <c r="U234">
        <v>4.4179867093448619</v>
      </c>
      <c r="V234">
        <v>0.2101483876699779</v>
      </c>
      <c r="W234">
        <v>-21.29584043731294</v>
      </c>
      <c r="X234">
        <v>1.1920951537395941</v>
      </c>
      <c r="Z234" t="s">
        <v>392</v>
      </c>
      <c r="AA234">
        <v>114</v>
      </c>
      <c r="AB234" t="s">
        <v>3667</v>
      </c>
      <c r="AC234" t="str">
        <f>HYPERLINK("plots/3FT6Y578R04_015_S21P_20251218081014_M5358ACSC201811_RBGEUFRF04/dpll_52046/txpa_55153.png","plot")</f>
        <v>plot</v>
      </c>
    </row>
    <row r="235" spans="1:29" x14ac:dyDescent="0.35">
      <c r="A235" t="s">
        <v>49</v>
      </c>
      <c r="B235">
        <v>52046</v>
      </c>
      <c r="C235" t="s">
        <v>51</v>
      </c>
      <c r="D235">
        <v>55154</v>
      </c>
      <c r="E235" t="s">
        <v>287</v>
      </c>
      <c r="F235">
        <v>12028</v>
      </c>
      <c r="G235">
        <v>0.25664918785722413</v>
      </c>
      <c r="H235">
        <v>3.2701920258848258E-180</v>
      </c>
      <c r="I235">
        <v>3.3326379037660441E-180</v>
      </c>
      <c r="J235">
        <v>0.23945227157285681</v>
      </c>
      <c r="K235">
        <v>1.93365632192372E-156</v>
      </c>
      <c r="L235">
        <v>1.9725628877571959E-156</v>
      </c>
      <c r="M235">
        <v>0.1616169398434848</v>
      </c>
      <c r="N235">
        <v>3.181623518444494E-155</v>
      </c>
      <c r="O235">
        <v>3.245640088232109E-155</v>
      </c>
      <c r="P235">
        <v>6.5868805627772697E-2</v>
      </c>
      <c r="Q235">
        <v>1.455803904486652</v>
      </c>
      <c r="R235">
        <v>-27.813100948757299</v>
      </c>
      <c r="S235">
        <v>1.152059557414717</v>
      </c>
      <c r="T235">
        <v>0.89955745319723313</v>
      </c>
      <c r="U235">
        <v>4.4179867093448619</v>
      </c>
      <c r="V235">
        <v>0.2101483876699779</v>
      </c>
      <c r="W235">
        <v>-21.381378647322911</v>
      </c>
      <c r="X235">
        <v>1.192035111608156</v>
      </c>
      <c r="Z235" t="s">
        <v>392</v>
      </c>
      <c r="AA235">
        <v>114</v>
      </c>
      <c r="AB235" t="s">
        <v>3668</v>
      </c>
      <c r="AC235" t="str">
        <f>HYPERLINK("plots/3FT6Y578R04_015_S21P_20251218081014_M5358ACSC201811_RBGEUFRF04/dpll_52046/txpa_55154.png","plot")</f>
        <v>plot</v>
      </c>
    </row>
    <row r="236" spans="1:29" x14ac:dyDescent="0.35">
      <c r="A236" t="s">
        <v>49</v>
      </c>
      <c r="B236">
        <v>52046</v>
      </c>
      <c r="C236" t="s">
        <v>51</v>
      </c>
      <c r="D236">
        <v>55155</v>
      </c>
      <c r="E236" t="s">
        <v>288</v>
      </c>
      <c r="F236">
        <v>12028</v>
      </c>
      <c r="G236">
        <v>0.50934344127243825</v>
      </c>
      <c r="H236">
        <v>0</v>
      </c>
      <c r="I236">
        <v>0</v>
      </c>
      <c r="J236">
        <v>0.450732495101621</v>
      </c>
      <c r="K236">
        <v>0</v>
      </c>
      <c r="L236">
        <v>0</v>
      </c>
      <c r="M236">
        <v>0.31068967383338991</v>
      </c>
      <c r="N236">
        <v>0</v>
      </c>
      <c r="O236">
        <v>0</v>
      </c>
      <c r="P236">
        <v>0.25943074116724968</v>
      </c>
      <c r="Q236">
        <v>0.79780445315227433</v>
      </c>
      <c r="R236">
        <v>-15.130919218770689</v>
      </c>
      <c r="S236">
        <v>0.28325434873493882</v>
      </c>
      <c r="T236">
        <v>0.2196664695870893</v>
      </c>
      <c r="U236">
        <v>4.4179867093448619</v>
      </c>
      <c r="V236">
        <v>0.2101483876699779</v>
      </c>
      <c r="W236">
        <v>-11.60622974808779</v>
      </c>
      <c r="X236">
        <v>0.32916359752672691</v>
      </c>
      <c r="Z236" t="s">
        <v>392</v>
      </c>
      <c r="AA236">
        <v>114</v>
      </c>
      <c r="AB236" t="s">
        <v>3669</v>
      </c>
      <c r="AC236" t="str">
        <f>HYPERLINK("plots/3FT6Y578R04_015_S21P_20251218081014_M5358ACSC201811_RBGEUFRF04/dpll_52046/txpa_55155.png","plot")</f>
        <v>plot</v>
      </c>
    </row>
    <row r="237" spans="1:29" x14ac:dyDescent="0.35">
      <c r="A237" t="s">
        <v>49</v>
      </c>
      <c r="B237">
        <v>52046</v>
      </c>
      <c r="C237" t="s">
        <v>51</v>
      </c>
      <c r="D237">
        <v>55156</v>
      </c>
      <c r="E237" t="s">
        <v>289</v>
      </c>
      <c r="F237">
        <v>12028</v>
      </c>
      <c r="G237">
        <v>0.54675544860739822</v>
      </c>
      <c r="H237">
        <v>0</v>
      </c>
      <c r="I237">
        <v>0</v>
      </c>
      <c r="J237">
        <v>0.48139831110911441</v>
      </c>
      <c r="K237">
        <v>0</v>
      </c>
      <c r="L237">
        <v>0</v>
      </c>
      <c r="M237">
        <v>0.33451487907710142</v>
      </c>
      <c r="N237">
        <v>0</v>
      </c>
      <c r="O237">
        <v>0</v>
      </c>
      <c r="P237">
        <v>0.29894152058187728</v>
      </c>
      <c r="Q237">
        <v>0.85610644974813299</v>
      </c>
      <c r="R237">
        <v>-15.325224274603389</v>
      </c>
      <c r="S237">
        <v>0.27549884386647289</v>
      </c>
      <c r="T237">
        <v>0.21545037424965949</v>
      </c>
      <c r="U237">
        <v>4.4179867093448619</v>
      </c>
      <c r="V237">
        <v>0.2101483876699779</v>
      </c>
      <c r="W237">
        <v>-11.54295735783173</v>
      </c>
      <c r="X237">
        <v>0.32904910329960768</v>
      </c>
      <c r="Z237" t="s">
        <v>392</v>
      </c>
      <c r="AA237">
        <v>114</v>
      </c>
      <c r="AB237" t="s">
        <v>3670</v>
      </c>
      <c r="AC237" t="str">
        <f>HYPERLINK("plots/3FT6Y578R04_015_S21P_20251218081014_M5358ACSC201811_RBGEUFRF04/dpll_52046/txpa_55156.png","plot")</f>
        <v>plot</v>
      </c>
    </row>
    <row r="238" spans="1:29" x14ac:dyDescent="0.35">
      <c r="A238" t="s">
        <v>49</v>
      </c>
      <c r="B238">
        <v>52046</v>
      </c>
      <c r="C238" t="s">
        <v>51</v>
      </c>
      <c r="D238">
        <v>55157</v>
      </c>
      <c r="E238" t="s">
        <v>290</v>
      </c>
      <c r="F238">
        <v>12028</v>
      </c>
      <c r="G238">
        <v>0.53638289458157451</v>
      </c>
      <c r="H238">
        <v>0</v>
      </c>
      <c r="I238">
        <v>0</v>
      </c>
      <c r="J238">
        <v>0.46668982694353361</v>
      </c>
      <c r="K238">
        <v>0</v>
      </c>
      <c r="L238">
        <v>0</v>
      </c>
      <c r="M238">
        <v>0.32388683128631629</v>
      </c>
      <c r="N238">
        <v>0</v>
      </c>
      <c r="O238">
        <v>0</v>
      </c>
      <c r="P238">
        <v>0.28770660959970851</v>
      </c>
      <c r="Q238">
        <v>0.82412603977741206</v>
      </c>
      <c r="R238">
        <v>-15.16099277084097</v>
      </c>
      <c r="S238">
        <v>0.27249352207168093</v>
      </c>
      <c r="T238">
        <v>0.21359285727818031</v>
      </c>
      <c r="U238">
        <v>4.4179867093448619</v>
      </c>
      <c r="V238">
        <v>0.2101483876699779</v>
      </c>
      <c r="W238">
        <v>-11.52001488027935</v>
      </c>
      <c r="X238">
        <v>0.32288270234860789</v>
      </c>
      <c r="Z238" t="s">
        <v>392</v>
      </c>
      <c r="AA238">
        <v>114</v>
      </c>
      <c r="AB238" t="s">
        <v>3671</v>
      </c>
      <c r="AC238" t="str">
        <f>HYPERLINK("plots/3FT6Y578R04_015_S21P_20251218081014_M5358ACSC201811_RBGEUFRF04/dpll_52046/txpa_55157.png","plot")</f>
        <v>plot</v>
      </c>
    </row>
    <row r="239" spans="1:29" x14ac:dyDescent="0.35">
      <c r="A239" t="s">
        <v>49</v>
      </c>
      <c r="B239">
        <v>52046</v>
      </c>
      <c r="C239" t="s">
        <v>51</v>
      </c>
      <c r="D239">
        <v>55158</v>
      </c>
      <c r="E239" t="s">
        <v>291</v>
      </c>
      <c r="F239">
        <v>12028</v>
      </c>
      <c r="G239">
        <v>0.55817393920233038</v>
      </c>
      <c r="H239">
        <v>0</v>
      </c>
      <c r="I239">
        <v>0</v>
      </c>
      <c r="J239">
        <v>0.48920874212979532</v>
      </c>
      <c r="K239">
        <v>0</v>
      </c>
      <c r="L239">
        <v>0</v>
      </c>
      <c r="M239">
        <v>0.34037505988127009</v>
      </c>
      <c r="N239">
        <v>0</v>
      </c>
      <c r="O239">
        <v>0</v>
      </c>
      <c r="P239">
        <v>0.3115581464046468</v>
      </c>
      <c r="Q239">
        <v>0.87763798803300697</v>
      </c>
      <c r="R239">
        <v>-15.370532805455669</v>
      </c>
      <c r="S239">
        <v>0.27414952525951292</v>
      </c>
      <c r="T239">
        <v>0.2138921761184536</v>
      </c>
      <c r="U239">
        <v>4.4179867093448619</v>
      </c>
      <c r="V239">
        <v>0.2101483876699779</v>
      </c>
      <c r="W239">
        <v>-11.493139838709681</v>
      </c>
      <c r="X239">
        <v>0.33042425521805852</v>
      </c>
      <c r="Z239" t="s">
        <v>392</v>
      </c>
      <c r="AA239">
        <v>114</v>
      </c>
      <c r="AB239" t="s">
        <v>3672</v>
      </c>
      <c r="AC239" t="str">
        <f>HYPERLINK("plots/3FT6Y578R04_015_S21P_20251218081014_M5358ACSC201811_RBGEUFRF04/dpll_52046/txpa_55158.png","plot")</f>
        <v>plot</v>
      </c>
    </row>
    <row r="240" spans="1:29" x14ac:dyDescent="0.35">
      <c r="A240" t="s">
        <v>49</v>
      </c>
      <c r="B240">
        <v>52046</v>
      </c>
      <c r="C240" t="s">
        <v>51</v>
      </c>
      <c r="D240">
        <v>55159</v>
      </c>
      <c r="E240" t="s">
        <v>292</v>
      </c>
      <c r="F240">
        <v>12027</v>
      </c>
      <c r="G240">
        <v>0.54634278233286782</v>
      </c>
      <c r="H240">
        <v>0</v>
      </c>
      <c r="I240">
        <v>0</v>
      </c>
      <c r="J240">
        <v>0.47509038307048301</v>
      </c>
      <c r="K240">
        <v>0</v>
      </c>
      <c r="L240">
        <v>0</v>
      </c>
      <c r="M240">
        <v>0.32937723080029868</v>
      </c>
      <c r="N240">
        <v>0</v>
      </c>
      <c r="O240">
        <v>0</v>
      </c>
      <c r="P240">
        <v>0.2984904358072194</v>
      </c>
      <c r="Q240">
        <v>0.8629763662936184</v>
      </c>
      <c r="R240">
        <v>-15.3219870999132</v>
      </c>
      <c r="S240">
        <v>0.27799070225495282</v>
      </c>
      <c r="T240">
        <v>0.21723031810685761</v>
      </c>
      <c r="U240">
        <v>4.4179587365926656</v>
      </c>
      <c r="V240">
        <v>0.21013472984942591</v>
      </c>
      <c r="W240">
        <v>-11.509393122973311</v>
      </c>
      <c r="X240">
        <v>0.3319185527137864</v>
      </c>
      <c r="Z240" t="s">
        <v>392</v>
      </c>
      <c r="AA240">
        <v>114</v>
      </c>
      <c r="AB240" t="s">
        <v>3673</v>
      </c>
      <c r="AC240" t="str">
        <f>HYPERLINK("plots/3FT6Y578R04_015_S21P_20251218081014_M5358ACSC201811_RBGEUFRF04/dpll_52046/txpa_55159.png","plot")</f>
        <v>plot</v>
      </c>
    </row>
    <row r="241" spans="1:29" x14ac:dyDescent="0.35">
      <c r="A241" t="s">
        <v>49</v>
      </c>
      <c r="B241">
        <v>52046</v>
      </c>
      <c r="C241" t="s">
        <v>51</v>
      </c>
      <c r="D241">
        <v>55160</v>
      </c>
      <c r="E241" t="s">
        <v>293</v>
      </c>
      <c r="F241">
        <v>12028</v>
      </c>
      <c r="G241">
        <v>0.55571115326942455</v>
      </c>
      <c r="H241">
        <v>0</v>
      </c>
      <c r="I241">
        <v>0</v>
      </c>
      <c r="J241">
        <v>0.48977453603917798</v>
      </c>
      <c r="K241">
        <v>0</v>
      </c>
      <c r="L241">
        <v>0</v>
      </c>
      <c r="M241">
        <v>0.34095344296521779</v>
      </c>
      <c r="N241">
        <v>0</v>
      </c>
      <c r="O241">
        <v>0</v>
      </c>
      <c r="P241">
        <v>0.30881488586803391</v>
      </c>
      <c r="Q241">
        <v>0.86403589127383285</v>
      </c>
      <c r="R241">
        <v>-15.336172707090959</v>
      </c>
      <c r="S241">
        <v>0.27163633737109599</v>
      </c>
      <c r="T241">
        <v>0.21324203767661701</v>
      </c>
      <c r="U241">
        <v>4.4179867093448619</v>
      </c>
      <c r="V241">
        <v>0.2101483876699779</v>
      </c>
      <c r="W241">
        <v>-11.518873623046231</v>
      </c>
      <c r="X241">
        <v>0.32674483564333878</v>
      </c>
      <c r="Z241" t="s">
        <v>392</v>
      </c>
      <c r="AA241">
        <v>114</v>
      </c>
      <c r="AB241" t="s">
        <v>3674</v>
      </c>
      <c r="AC241" t="str">
        <f>HYPERLINK("plots/3FT6Y578R04_015_S21P_20251218081014_M5358ACSC201811_RBGEUFRF04/dpll_52046/txpa_55160.png","plot")</f>
        <v>plot</v>
      </c>
    </row>
    <row r="242" spans="1:29" x14ac:dyDescent="0.35">
      <c r="A242" t="s">
        <v>49</v>
      </c>
      <c r="B242">
        <v>52046</v>
      </c>
      <c r="C242" t="s">
        <v>51</v>
      </c>
      <c r="D242">
        <v>55161</v>
      </c>
      <c r="E242" t="s">
        <v>294</v>
      </c>
      <c r="F242">
        <v>12028</v>
      </c>
      <c r="G242">
        <v>0.54759127384725659</v>
      </c>
      <c r="H242">
        <v>0</v>
      </c>
      <c r="I242">
        <v>0</v>
      </c>
      <c r="J242">
        <v>0.47667438055313388</v>
      </c>
      <c r="K242">
        <v>0</v>
      </c>
      <c r="L242">
        <v>0</v>
      </c>
      <c r="M242">
        <v>0.3305779588213516</v>
      </c>
      <c r="N242">
        <v>0</v>
      </c>
      <c r="O242">
        <v>0</v>
      </c>
      <c r="P242">
        <v>0.29985620319366108</v>
      </c>
      <c r="Q242">
        <v>0.84197145071931756</v>
      </c>
      <c r="R242">
        <v>-15.2359433197638</v>
      </c>
      <c r="S242">
        <v>0.27036002490953692</v>
      </c>
      <c r="T242">
        <v>0.21278196044790981</v>
      </c>
      <c r="U242">
        <v>4.4179867093448619</v>
      </c>
      <c r="V242">
        <v>0.2101483876699779</v>
      </c>
      <c r="W242">
        <v>-11.516124640838051</v>
      </c>
      <c r="X242">
        <v>0.32312228350477989</v>
      </c>
      <c r="Z242" t="s">
        <v>392</v>
      </c>
      <c r="AA242">
        <v>114</v>
      </c>
      <c r="AB242" t="s">
        <v>3675</v>
      </c>
      <c r="AC242" t="str">
        <f>HYPERLINK("plots/3FT6Y578R04_015_S21P_20251218081014_M5358ACSC201811_RBGEUFRF04/dpll_52046/txpa_55161.png","plot")</f>
        <v>plot</v>
      </c>
    </row>
    <row r="243" spans="1:29" x14ac:dyDescent="0.35">
      <c r="A243" t="s">
        <v>49</v>
      </c>
      <c r="B243">
        <v>52046</v>
      </c>
      <c r="C243" t="s">
        <v>51</v>
      </c>
      <c r="D243">
        <v>55162</v>
      </c>
      <c r="E243" t="s">
        <v>295</v>
      </c>
      <c r="F243">
        <v>12028</v>
      </c>
      <c r="G243">
        <v>0.5302817009622417</v>
      </c>
      <c r="H243">
        <v>0</v>
      </c>
      <c r="I243">
        <v>0</v>
      </c>
      <c r="J243">
        <v>0.46330400791837639</v>
      </c>
      <c r="K243">
        <v>0</v>
      </c>
      <c r="L243">
        <v>0</v>
      </c>
      <c r="M243">
        <v>0.32114253622984701</v>
      </c>
      <c r="N243">
        <v>0</v>
      </c>
      <c r="O243">
        <v>0</v>
      </c>
      <c r="P243">
        <v>0.28119868237540829</v>
      </c>
      <c r="Q243">
        <v>0.82359402445529939</v>
      </c>
      <c r="R243">
        <v>-15.2277342040225</v>
      </c>
      <c r="S243">
        <v>0.27670626140241023</v>
      </c>
      <c r="T243">
        <v>0.21593139627277891</v>
      </c>
      <c r="U243">
        <v>4.4179867093448619</v>
      </c>
      <c r="V243">
        <v>0.2101483876699779</v>
      </c>
      <c r="W243">
        <v>-11.58910675008314</v>
      </c>
      <c r="X243">
        <v>0.32638681670486919</v>
      </c>
      <c r="Z243" t="s">
        <v>392</v>
      </c>
      <c r="AA243">
        <v>114</v>
      </c>
      <c r="AB243" t="s">
        <v>3676</v>
      </c>
      <c r="AC243" t="str">
        <f>HYPERLINK("plots/3FT6Y578R04_015_S21P_20251218081014_M5358ACSC201811_RBGEUFRF04/dpll_52046/txpa_55162.png","plot")</f>
        <v>plot</v>
      </c>
    </row>
    <row r="244" spans="1:29" x14ac:dyDescent="0.35">
      <c r="A244" t="s">
        <v>49</v>
      </c>
      <c r="B244">
        <v>52046</v>
      </c>
      <c r="C244" t="s">
        <v>51</v>
      </c>
      <c r="D244">
        <v>55163</v>
      </c>
      <c r="E244" t="s">
        <v>296</v>
      </c>
      <c r="F244">
        <v>12028</v>
      </c>
      <c r="G244">
        <v>0.50695801959987985</v>
      </c>
      <c r="H244">
        <v>0</v>
      </c>
      <c r="I244">
        <v>0</v>
      </c>
      <c r="J244">
        <v>0.45035566658906367</v>
      </c>
      <c r="K244">
        <v>0</v>
      </c>
      <c r="L244">
        <v>0</v>
      </c>
      <c r="M244">
        <v>0.30965781904781792</v>
      </c>
      <c r="N244">
        <v>0</v>
      </c>
      <c r="O244">
        <v>0</v>
      </c>
      <c r="P244">
        <v>0.25700643363663223</v>
      </c>
      <c r="Q244">
        <v>0.70722905001851954</v>
      </c>
      <c r="R244">
        <v>-8.8755901745551533</v>
      </c>
      <c r="S244">
        <v>0.25269033342587999</v>
      </c>
      <c r="T244">
        <v>0.1960562063393145</v>
      </c>
      <c r="U244">
        <v>4.4179867093448619</v>
      </c>
      <c r="V244">
        <v>0.2101483876699779</v>
      </c>
      <c r="W244">
        <v>-5.7510616311107423</v>
      </c>
      <c r="X244">
        <v>0.29316637439144139</v>
      </c>
      <c r="Z244" t="s">
        <v>392</v>
      </c>
      <c r="AA244">
        <v>114</v>
      </c>
      <c r="AB244" t="s">
        <v>3677</v>
      </c>
      <c r="AC244" t="str">
        <f>HYPERLINK("plots/3FT6Y578R04_015_S21P_20251218081014_M5358ACSC201811_RBGEUFRF04/dpll_52046/txpa_55163.png","plot")</f>
        <v>plot</v>
      </c>
    </row>
    <row r="245" spans="1:29" x14ac:dyDescent="0.35">
      <c r="A245" t="s">
        <v>49</v>
      </c>
      <c r="B245">
        <v>52046</v>
      </c>
      <c r="C245" t="s">
        <v>51</v>
      </c>
      <c r="D245">
        <v>55164</v>
      </c>
      <c r="E245" t="s">
        <v>297</v>
      </c>
      <c r="F245">
        <v>12028</v>
      </c>
      <c r="G245">
        <v>0.53688703947678373</v>
      </c>
      <c r="H245">
        <v>0</v>
      </c>
      <c r="I245">
        <v>0</v>
      </c>
      <c r="J245">
        <v>0.47467387055018279</v>
      </c>
      <c r="K245">
        <v>0</v>
      </c>
      <c r="L245">
        <v>0</v>
      </c>
      <c r="M245">
        <v>0.32936832556459172</v>
      </c>
      <c r="N245">
        <v>0</v>
      </c>
      <c r="O245">
        <v>0</v>
      </c>
      <c r="P245">
        <v>0.28824769315814552</v>
      </c>
      <c r="Q245">
        <v>0.74946872243520946</v>
      </c>
      <c r="R245">
        <v>-9.0196358190385109</v>
      </c>
      <c r="S245">
        <v>0.24748167273479621</v>
      </c>
      <c r="T245">
        <v>0.19362946741698639</v>
      </c>
      <c r="U245">
        <v>4.4179867093448619</v>
      </c>
      <c r="V245">
        <v>0.2101483876699779</v>
      </c>
      <c r="W245">
        <v>-5.7084929642500821</v>
      </c>
      <c r="X245">
        <v>0.29335713483105641</v>
      </c>
      <c r="Z245" t="s">
        <v>392</v>
      </c>
      <c r="AA245">
        <v>114</v>
      </c>
      <c r="AB245" t="s">
        <v>3678</v>
      </c>
      <c r="AC245" t="str">
        <f>HYPERLINK("plots/3FT6Y578R04_015_S21P_20251218081014_M5358ACSC201811_RBGEUFRF04/dpll_52046/txpa_55164.png","plot")</f>
        <v>plot</v>
      </c>
    </row>
    <row r="246" spans="1:29" x14ac:dyDescent="0.35">
      <c r="A246" t="s">
        <v>49</v>
      </c>
      <c r="B246">
        <v>52046</v>
      </c>
      <c r="C246" t="s">
        <v>51</v>
      </c>
      <c r="D246">
        <v>55165</v>
      </c>
      <c r="E246" t="s">
        <v>298</v>
      </c>
      <c r="F246">
        <v>12028</v>
      </c>
      <c r="G246">
        <v>0.52351499477113805</v>
      </c>
      <c r="H246">
        <v>0</v>
      </c>
      <c r="I246">
        <v>0</v>
      </c>
      <c r="J246">
        <v>0.45836752617855447</v>
      </c>
      <c r="K246">
        <v>0</v>
      </c>
      <c r="L246">
        <v>0</v>
      </c>
      <c r="M246">
        <v>0.31696041087173321</v>
      </c>
      <c r="N246">
        <v>0</v>
      </c>
      <c r="O246">
        <v>0</v>
      </c>
      <c r="P246">
        <v>0.27406794975022469</v>
      </c>
      <c r="Q246">
        <v>0.71753327447669235</v>
      </c>
      <c r="R246">
        <v>-8.8579146316904662</v>
      </c>
      <c r="S246">
        <v>0.2453968105017697</v>
      </c>
      <c r="T246">
        <v>0.1924621974156433</v>
      </c>
      <c r="U246">
        <v>4.4179867093448619</v>
      </c>
      <c r="V246">
        <v>0.2101483876699779</v>
      </c>
      <c r="W246">
        <v>-5.6878621615397398</v>
      </c>
      <c r="X246">
        <v>0.28803083433504312</v>
      </c>
      <c r="Z246" t="s">
        <v>392</v>
      </c>
      <c r="AA246">
        <v>114</v>
      </c>
      <c r="AB246" t="s">
        <v>3679</v>
      </c>
      <c r="AC246" t="str">
        <f>HYPERLINK("plots/3FT6Y578R04_015_S21P_20251218081014_M5358ACSC201811_RBGEUFRF04/dpll_52046/txpa_55165.png","plot")</f>
        <v>plot</v>
      </c>
    </row>
    <row r="247" spans="1:29" x14ac:dyDescent="0.35">
      <c r="A247" t="s">
        <v>49</v>
      </c>
      <c r="B247">
        <v>52046</v>
      </c>
      <c r="C247" t="s">
        <v>51</v>
      </c>
      <c r="D247">
        <v>55166</v>
      </c>
      <c r="E247" t="s">
        <v>299</v>
      </c>
      <c r="F247">
        <v>12028</v>
      </c>
      <c r="G247">
        <v>0.54926753736549339</v>
      </c>
      <c r="H247">
        <v>0</v>
      </c>
      <c r="I247">
        <v>0</v>
      </c>
      <c r="J247">
        <v>0.48092563602477623</v>
      </c>
      <c r="K247">
        <v>0</v>
      </c>
      <c r="L247">
        <v>0</v>
      </c>
      <c r="M247">
        <v>0.33416733207381638</v>
      </c>
      <c r="N247">
        <v>0</v>
      </c>
      <c r="O247">
        <v>0</v>
      </c>
      <c r="P247">
        <v>0.30169482760355371</v>
      </c>
      <c r="Q247">
        <v>0.76715002317477843</v>
      </c>
      <c r="R247">
        <v>-9.0636914994594413</v>
      </c>
      <c r="S247">
        <v>0.24526016029639919</v>
      </c>
      <c r="T247">
        <v>0.19229229732652989</v>
      </c>
      <c r="U247">
        <v>4.4179867093448619</v>
      </c>
      <c r="V247">
        <v>0.2101483876699779</v>
      </c>
      <c r="W247">
        <v>-5.6744328929996666</v>
      </c>
      <c r="X247">
        <v>0.29350968244804559</v>
      </c>
      <c r="Z247" t="s">
        <v>392</v>
      </c>
      <c r="AA247">
        <v>114</v>
      </c>
      <c r="AB247" t="s">
        <v>3680</v>
      </c>
      <c r="AC247" t="str">
        <f>HYPERLINK("plots/3FT6Y578R04_015_S21P_20251218081014_M5358ACSC201811_RBGEUFRF04/dpll_52046/txpa_55166.png","plot")</f>
        <v>plot</v>
      </c>
    </row>
    <row r="248" spans="1:29" x14ac:dyDescent="0.35">
      <c r="A248" t="s">
        <v>49</v>
      </c>
      <c r="B248">
        <v>52046</v>
      </c>
      <c r="C248" t="s">
        <v>51</v>
      </c>
      <c r="D248">
        <v>55167</v>
      </c>
      <c r="E248" t="s">
        <v>300</v>
      </c>
      <c r="F248">
        <v>12027</v>
      </c>
      <c r="G248">
        <v>0.54343734924345144</v>
      </c>
      <c r="H248">
        <v>0</v>
      </c>
      <c r="I248">
        <v>0</v>
      </c>
      <c r="J248">
        <v>0.46920864902555559</v>
      </c>
      <c r="K248">
        <v>0</v>
      </c>
      <c r="L248">
        <v>0</v>
      </c>
      <c r="M248">
        <v>0.32415702768639931</v>
      </c>
      <c r="N248">
        <v>0</v>
      </c>
      <c r="O248">
        <v>0</v>
      </c>
      <c r="P248">
        <v>0.29532415255274902</v>
      </c>
      <c r="Q248">
        <v>0.75733442892196456</v>
      </c>
      <c r="R248">
        <v>-9.0314428504424669</v>
      </c>
      <c r="S248">
        <v>0.2458174396416174</v>
      </c>
      <c r="T248">
        <v>0.1941156522245216</v>
      </c>
      <c r="U248">
        <v>4.4179587365926656</v>
      </c>
      <c r="V248">
        <v>0.21013472984942591</v>
      </c>
      <c r="W248">
        <v>-5.6855705936642549</v>
      </c>
      <c r="X248">
        <v>0.29284381327256348</v>
      </c>
      <c r="Z248" t="s">
        <v>392</v>
      </c>
      <c r="AA248">
        <v>114</v>
      </c>
      <c r="AB248" t="s">
        <v>3681</v>
      </c>
      <c r="AC248" t="str">
        <f>HYPERLINK("plots/3FT6Y578R04_015_S21P_20251218081014_M5358ACSC201811_RBGEUFRF04/dpll_52046/txpa_55167.png","plot")</f>
        <v>plot</v>
      </c>
    </row>
    <row r="249" spans="1:29" x14ac:dyDescent="0.35">
      <c r="A249" t="s">
        <v>49</v>
      </c>
      <c r="B249">
        <v>52046</v>
      </c>
      <c r="C249" t="s">
        <v>51</v>
      </c>
      <c r="D249">
        <v>55168</v>
      </c>
      <c r="E249" t="s">
        <v>301</v>
      </c>
      <c r="F249">
        <v>12028</v>
      </c>
      <c r="G249">
        <v>0.5512325898876862</v>
      </c>
      <c r="H249">
        <v>0</v>
      </c>
      <c r="I249">
        <v>0</v>
      </c>
      <c r="J249">
        <v>0.48412330580650342</v>
      </c>
      <c r="K249">
        <v>0</v>
      </c>
      <c r="L249">
        <v>0</v>
      </c>
      <c r="M249">
        <v>0.33615839439161282</v>
      </c>
      <c r="N249">
        <v>0</v>
      </c>
      <c r="O249">
        <v>0</v>
      </c>
      <c r="P249">
        <v>0.30385736815428599</v>
      </c>
      <c r="Q249">
        <v>0.76459424531541764</v>
      </c>
      <c r="R249">
        <v>-9.0634412543339415</v>
      </c>
      <c r="S249">
        <v>0.24319422766221771</v>
      </c>
      <c r="T249">
        <v>0.1918098849437804</v>
      </c>
      <c r="U249">
        <v>4.4179867093448619</v>
      </c>
      <c r="V249">
        <v>0.2101483876699779</v>
      </c>
      <c r="W249">
        <v>-5.6854740404888604</v>
      </c>
      <c r="X249">
        <v>0.29148902082788108</v>
      </c>
      <c r="Z249" t="s">
        <v>392</v>
      </c>
      <c r="AA249">
        <v>114</v>
      </c>
      <c r="AB249" t="s">
        <v>3682</v>
      </c>
      <c r="AC249" t="str">
        <f>HYPERLINK("plots/3FT6Y578R04_015_S21P_20251218081014_M5358ACSC201811_RBGEUFRF04/dpll_52046/txpa_55168.png","plot")</f>
        <v>plot</v>
      </c>
    </row>
    <row r="250" spans="1:29" x14ac:dyDescent="0.35">
      <c r="A250" t="s">
        <v>49</v>
      </c>
      <c r="B250">
        <v>52046</v>
      </c>
      <c r="C250" t="s">
        <v>51</v>
      </c>
      <c r="D250">
        <v>55169</v>
      </c>
      <c r="E250" t="s">
        <v>302</v>
      </c>
      <c r="F250">
        <v>12028</v>
      </c>
      <c r="G250">
        <v>0.54529331260742819</v>
      </c>
      <c r="H250">
        <v>0</v>
      </c>
      <c r="I250">
        <v>0</v>
      </c>
      <c r="J250">
        <v>0.47311511122890593</v>
      </c>
      <c r="K250">
        <v>0</v>
      </c>
      <c r="L250">
        <v>0</v>
      </c>
      <c r="M250">
        <v>0.32700761415841417</v>
      </c>
      <c r="N250">
        <v>0</v>
      </c>
      <c r="O250">
        <v>0</v>
      </c>
      <c r="P250">
        <v>0.29734479677438241</v>
      </c>
      <c r="Q250">
        <v>0.74368640374411721</v>
      </c>
      <c r="R250">
        <v>-8.9672276931392059</v>
      </c>
      <c r="S250">
        <v>0.24023640012135561</v>
      </c>
      <c r="T250">
        <v>0.18983514871975099</v>
      </c>
      <c r="U250">
        <v>4.4179867093448619</v>
      </c>
      <c r="V250">
        <v>0.2101483876699779</v>
      </c>
      <c r="W250">
        <v>-5.6816310454772196</v>
      </c>
      <c r="X250">
        <v>0.28660629988584529</v>
      </c>
      <c r="Z250" t="s">
        <v>392</v>
      </c>
      <c r="AA250">
        <v>114</v>
      </c>
      <c r="AB250" t="s">
        <v>3683</v>
      </c>
      <c r="AC250" t="str">
        <f>HYPERLINK("plots/3FT6Y578R04_015_S21P_20251218081014_M5358ACSC201811_RBGEUFRF04/dpll_52046/txpa_55169.png","plot")</f>
        <v>plot</v>
      </c>
    </row>
    <row r="251" spans="1:29" x14ac:dyDescent="0.35">
      <c r="A251" t="s">
        <v>49</v>
      </c>
      <c r="B251">
        <v>52046</v>
      </c>
      <c r="C251" t="s">
        <v>51</v>
      </c>
      <c r="D251">
        <v>55170</v>
      </c>
      <c r="E251" t="s">
        <v>303</v>
      </c>
      <c r="F251">
        <v>12028</v>
      </c>
      <c r="G251">
        <v>0.53061502271677907</v>
      </c>
      <c r="H251">
        <v>0</v>
      </c>
      <c r="I251">
        <v>0</v>
      </c>
      <c r="J251">
        <v>0.46224541282110743</v>
      </c>
      <c r="K251">
        <v>0</v>
      </c>
      <c r="L251">
        <v>0</v>
      </c>
      <c r="M251">
        <v>0.31990844353997572</v>
      </c>
      <c r="N251">
        <v>0</v>
      </c>
      <c r="O251">
        <v>0</v>
      </c>
      <c r="P251">
        <v>0.28155230233272799</v>
      </c>
      <c r="Q251">
        <v>0.733569870636682</v>
      </c>
      <c r="R251">
        <v>-8.9748853031652853</v>
      </c>
      <c r="S251">
        <v>0.2462450623134515</v>
      </c>
      <c r="T251">
        <v>0.19342846852637469</v>
      </c>
      <c r="U251">
        <v>4.4179867093448619</v>
      </c>
      <c r="V251">
        <v>0.2101483876699779</v>
      </c>
      <c r="W251">
        <v>-5.7339833643165941</v>
      </c>
      <c r="X251">
        <v>0.29052800798641659</v>
      </c>
      <c r="Z251" t="s">
        <v>392</v>
      </c>
      <c r="AA251">
        <v>114</v>
      </c>
      <c r="AB251" t="s">
        <v>3684</v>
      </c>
      <c r="AC251" t="str">
        <f>HYPERLINK("plots/3FT6Y578R04_015_S21P_20251218081014_M5358ACSC201811_RBGEUFRF04/dpll_52046/txpa_55170.png","plot")</f>
        <v>plot</v>
      </c>
    </row>
    <row r="252" spans="1:29" x14ac:dyDescent="0.35">
      <c r="A252" t="s">
        <v>49</v>
      </c>
      <c r="B252">
        <v>52046</v>
      </c>
      <c r="C252" t="s">
        <v>51</v>
      </c>
      <c r="D252">
        <v>55171</v>
      </c>
      <c r="E252" t="s">
        <v>304</v>
      </c>
      <c r="F252">
        <v>12028</v>
      </c>
      <c r="G252">
        <v>0.5163522557866147</v>
      </c>
      <c r="H252">
        <v>0</v>
      </c>
      <c r="I252">
        <v>0</v>
      </c>
      <c r="J252">
        <v>0.46329450958883811</v>
      </c>
      <c r="K252">
        <v>0</v>
      </c>
      <c r="L252">
        <v>0</v>
      </c>
      <c r="M252">
        <v>0.31885488855876942</v>
      </c>
      <c r="N252">
        <v>0</v>
      </c>
      <c r="O252">
        <v>0</v>
      </c>
      <c r="P252">
        <v>0.26661965205592558</v>
      </c>
      <c r="Q252">
        <v>0.71691245256229785</v>
      </c>
      <c r="R252">
        <v>-5.840413062475049</v>
      </c>
      <c r="S252">
        <v>0.2498576710335996</v>
      </c>
      <c r="T252">
        <v>0.19378625390288221</v>
      </c>
      <c r="U252">
        <v>4.4179867093448619</v>
      </c>
      <c r="V252">
        <v>0.2101483876699779</v>
      </c>
      <c r="W252">
        <v>-2.6731033752909878</v>
      </c>
      <c r="X252">
        <v>0.29177367643525248</v>
      </c>
      <c r="Z252" t="s">
        <v>392</v>
      </c>
      <c r="AA252">
        <v>114</v>
      </c>
      <c r="AB252" t="s">
        <v>3685</v>
      </c>
      <c r="AC252" t="str">
        <f>HYPERLINK("plots/3FT6Y578R04_015_S21P_20251218081014_M5358ACSC201811_RBGEUFRF04/dpll_52046/txpa_55171.png","plot")</f>
        <v>plot</v>
      </c>
    </row>
    <row r="253" spans="1:29" x14ac:dyDescent="0.35">
      <c r="A253" t="s">
        <v>49</v>
      </c>
      <c r="B253">
        <v>52046</v>
      </c>
      <c r="C253" t="s">
        <v>51</v>
      </c>
      <c r="D253">
        <v>55172</v>
      </c>
      <c r="E253" t="s">
        <v>305</v>
      </c>
      <c r="F253">
        <v>12028</v>
      </c>
      <c r="G253">
        <v>0.54505403351720638</v>
      </c>
      <c r="H253">
        <v>0</v>
      </c>
      <c r="I253">
        <v>0</v>
      </c>
      <c r="J253">
        <v>0.48582169438736339</v>
      </c>
      <c r="K253">
        <v>0</v>
      </c>
      <c r="L253">
        <v>0</v>
      </c>
      <c r="M253">
        <v>0.33734452295999118</v>
      </c>
      <c r="N253">
        <v>0</v>
      </c>
      <c r="O253">
        <v>0</v>
      </c>
      <c r="P253">
        <v>0.29708389945337588</v>
      </c>
      <c r="Q253">
        <v>0.75666314445770722</v>
      </c>
      <c r="R253">
        <v>-5.97960201255583</v>
      </c>
      <c r="S253">
        <v>0.24458103395648639</v>
      </c>
      <c r="T253">
        <v>0.19144961103448491</v>
      </c>
      <c r="U253">
        <v>4.4179867093448619</v>
      </c>
      <c r="V253">
        <v>0.2101483876699779</v>
      </c>
      <c r="W253">
        <v>-2.6366742968905879</v>
      </c>
      <c r="X253">
        <v>0.29173536941097239</v>
      </c>
      <c r="Z253" t="s">
        <v>392</v>
      </c>
      <c r="AA253">
        <v>114</v>
      </c>
      <c r="AB253" t="s">
        <v>3686</v>
      </c>
      <c r="AC253" t="str">
        <f>HYPERLINK("plots/3FT6Y578R04_015_S21P_20251218081014_M5358ACSC201811_RBGEUFRF04/dpll_52046/txpa_55172.png","plot")</f>
        <v>plot</v>
      </c>
    </row>
    <row r="254" spans="1:29" x14ac:dyDescent="0.35">
      <c r="A254" t="s">
        <v>49</v>
      </c>
      <c r="B254">
        <v>52046</v>
      </c>
      <c r="C254" t="s">
        <v>51</v>
      </c>
      <c r="D254">
        <v>55173</v>
      </c>
      <c r="E254" t="s">
        <v>306</v>
      </c>
      <c r="F254">
        <v>12028</v>
      </c>
      <c r="G254">
        <v>0.53062912106440674</v>
      </c>
      <c r="H254">
        <v>0</v>
      </c>
      <c r="I254">
        <v>0</v>
      </c>
      <c r="J254">
        <v>0.46957318224625</v>
      </c>
      <c r="K254">
        <v>0</v>
      </c>
      <c r="L254">
        <v>0</v>
      </c>
      <c r="M254">
        <v>0.32488123082963027</v>
      </c>
      <c r="N254">
        <v>0</v>
      </c>
      <c r="O254">
        <v>0</v>
      </c>
      <c r="P254">
        <v>0.28156726412158478</v>
      </c>
      <c r="Q254">
        <v>0.72347506102398551</v>
      </c>
      <c r="R254">
        <v>-5.8138120913263442</v>
      </c>
      <c r="S254">
        <v>0.24284745091782181</v>
      </c>
      <c r="T254">
        <v>0.19036263463545339</v>
      </c>
      <c r="U254">
        <v>4.4179867093448619</v>
      </c>
      <c r="V254">
        <v>0.2101483876699779</v>
      </c>
      <c r="W254">
        <v>-2.617508887179913</v>
      </c>
      <c r="X254">
        <v>0.28652237798154218</v>
      </c>
      <c r="Z254" t="s">
        <v>392</v>
      </c>
      <c r="AA254">
        <v>114</v>
      </c>
      <c r="AB254" t="s">
        <v>3687</v>
      </c>
      <c r="AC254" t="str">
        <f>HYPERLINK("plots/3FT6Y578R04_015_S21P_20251218081014_M5358ACSC201811_RBGEUFRF04/dpll_52046/txpa_55173.png","plot")</f>
        <v>plot</v>
      </c>
    </row>
    <row r="255" spans="1:29" x14ac:dyDescent="0.35">
      <c r="A255" t="s">
        <v>49</v>
      </c>
      <c r="B255">
        <v>52046</v>
      </c>
      <c r="C255" t="s">
        <v>51</v>
      </c>
      <c r="D255">
        <v>55174</v>
      </c>
      <c r="E255" t="s">
        <v>307</v>
      </c>
      <c r="F255">
        <v>12028</v>
      </c>
      <c r="G255">
        <v>0.55356677312336711</v>
      </c>
      <c r="H255">
        <v>0</v>
      </c>
      <c r="I255">
        <v>0</v>
      </c>
      <c r="J255">
        <v>0.48817412826737761</v>
      </c>
      <c r="K255">
        <v>0</v>
      </c>
      <c r="L255">
        <v>0</v>
      </c>
      <c r="M255">
        <v>0.3394893623669718</v>
      </c>
      <c r="N255">
        <v>0</v>
      </c>
      <c r="O255">
        <v>0</v>
      </c>
      <c r="P255">
        <v>0.30643617230621739</v>
      </c>
      <c r="Q255">
        <v>0.76624514206743854</v>
      </c>
      <c r="R255">
        <v>-5.9943674702322269</v>
      </c>
      <c r="S255">
        <v>0.2422417220372948</v>
      </c>
      <c r="T255">
        <v>0.19003782543604891</v>
      </c>
      <c r="U255">
        <v>4.4179867093448619</v>
      </c>
      <c r="V255">
        <v>0.2101483876699779</v>
      </c>
      <c r="W255">
        <v>-2.609106616478218</v>
      </c>
      <c r="X255">
        <v>0.29088664454493829</v>
      </c>
      <c r="Z255" t="s">
        <v>392</v>
      </c>
      <c r="AA255">
        <v>114</v>
      </c>
      <c r="AB255" t="s">
        <v>3688</v>
      </c>
      <c r="AC255" t="str">
        <f>HYPERLINK("plots/3FT6Y578R04_015_S21P_20251218081014_M5358ACSC201811_RBGEUFRF04/dpll_52046/txpa_55174.png","plot")</f>
        <v>plot</v>
      </c>
    </row>
    <row r="256" spans="1:29" x14ac:dyDescent="0.35">
      <c r="A256" t="s">
        <v>49</v>
      </c>
      <c r="B256">
        <v>52046</v>
      </c>
      <c r="C256" t="s">
        <v>51</v>
      </c>
      <c r="D256">
        <v>55175</v>
      </c>
      <c r="E256" t="s">
        <v>308</v>
      </c>
      <c r="F256">
        <v>12027</v>
      </c>
      <c r="G256">
        <v>0.54833591666917569</v>
      </c>
      <c r="H256">
        <v>0</v>
      </c>
      <c r="I256">
        <v>0</v>
      </c>
      <c r="J256">
        <v>0.47700007524231219</v>
      </c>
      <c r="K256">
        <v>0</v>
      </c>
      <c r="L256">
        <v>0</v>
      </c>
      <c r="M256">
        <v>0.3297012764306621</v>
      </c>
      <c r="N256">
        <v>0</v>
      </c>
      <c r="O256">
        <v>0</v>
      </c>
      <c r="P256">
        <v>0.30067227750942521</v>
      </c>
      <c r="Q256">
        <v>0.7562404147951941</v>
      </c>
      <c r="R256">
        <v>-5.9607616209104028</v>
      </c>
      <c r="S256">
        <v>0.24234459722512369</v>
      </c>
      <c r="T256">
        <v>0.1913581977850648</v>
      </c>
      <c r="U256">
        <v>4.4179587365926656</v>
      </c>
      <c r="V256">
        <v>0.21013472984942591</v>
      </c>
      <c r="W256">
        <v>-2.6197226734015131</v>
      </c>
      <c r="X256">
        <v>0.28980843755321889</v>
      </c>
      <c r="Z256" t="s">
        <v>392</v>
      </c>
      <c r="AA256">
        <v>114</v>
      </c>
      <c r="AB256" t="s">
        <v>3689</v>
      </c>
      <c r="AC256" t="str">
        <f>HYPERLINK("plots/3FT6Y578R04_015_S21P_20251218081014_M5358ACSC201811_RBGEUFRF04/dpll_52046/txpa_55175.png","plot")</f>
        <v>plot</v>
      </c>
    </row>
    <row r="257" spans="1:29" x14ac:dyDescent="0.35">
      <c r="A257" t="s">
        <v>49</v>
      </c>
      <c r="B257">
        <v>52046</v>
      </c>
      <c r="C257" t="s">
        <v>51</v>
      </c>
      <c r="D257">
        <v>55176</v>
      </c>
      <c r="E257" t="s">
        <v>309</v>
      </c>
      <c r="F257">
        <v>12028</v>
      </c>
      <c r="G257">
        <v>0.55886674131962744</v>
      </c>
      <c r="H257">
        <v>0</v>
      </c>
      <c r="I257">
        <v>0</v>
      </c>
      <c r="J257">
        <v>0.49534787777635653</v>
      </c>
      <c r="K257">
        <v>0</v>
      </c>
      <c r="L257">
        <v>0</v>
      </c>
      <c r="M257">
        <v>0.34443558182715611</v>
      </c>
      <c r="N257">
        <v>0</v>
      </c>
      <c r="O257">
        <v>0</v>
      </c>
      <c r="P257">
        <v>0.3123320345532194</v>
      </c>
      <c r="Q257">
        <v>0.77169207176144117</v>
      </c>
      <c r="R257">
        <v>-6.0252969673141958</v>
      </c>
      <c r="S257">
        <v>0.2406208064989887</v>
      </c>
      <c r="T257">
        <v>0.18953619458257159</v>
      </c>
      <c r="U257">
        <v>4.4179867093448619</v>
      </c>
      <c r="V257">
        <v>0.2101483876699779</v>
      </c>
      <c r="W257">
        <v>-2.615971650565347</v>
      </c>
      <c r="X257">
        <v>0.29017623105545198</v>
      </c>
      <c r="Z257" t="s">
        <v>392</v>
      </c>
      <c r="AA257">
        <v>114</v>
      </c>
      <c r="AB257" t="s">
        <v>3690</v>
      </c>
      <c r="AC257" t="str">
        <f>HYPERLINK("plots/3FT6Y578R04_015_S21P_20251218081014_M5358ACSC201811_RBGEUFRF04/dpll_52046/txpa_55176.png","plot")</f>
        <v>plot</v>
      </c>
    </row>
    <row r="258" spans="1:29" x14ac:dyDescent="0.35">
      <c r="A258" t="s">
        <v>49</v>
      </c>
      <c r="B258">
        <v>52046</v>
      </c>
      <c r="C258" t="s">
        <v>51</v>
      </c>
      <c r="D258">
        <v>55177</v>
      </c>
      <c r="E258" t="s">
        <v>310</v>
      </c>
      <c r="F258">
        <v>12028</v>
      </c>
      <c r="G258">
        <v>0.55334937233060333</v>
      </c>
      <c r="H258">
        <v>0</v>
      </c>
      <c r="I258">
        <v>0</v>
      </c>
      <c r="J258">
        <v>0.48478891044660272</v>
      </c>
      <c r="K258">
        <v>0</v>
      </c>
      <c r="L258">
        <v>0</v>
      </c>
      <c r="M258">
        <v>0.3355481084134122</v>
      </c>
      <c r="N258">
        <v>0</v>
      </c>
      <c r="O258">
        <v>0</v>
      </c>
      <c r="P258">
        <v>0.30619552785867271</v>
      </c>
      <c r="Q258">
        <v>0.75154584232484345</v>
      </c>
      <c r="R258">
        <v>-5.9309009657843781</v>
      </c>
      <c r="S258">
        <v>0.23772924462789169</v>
      </c>
      <c r="T258">
        <v>0.1881016789268343</v>
      </c>
      <c r="U258">
        <v>4.4179867093448619</v>
      </c>
      <c r="V258">
        <v>0.2101483876699779</v>
      </c>
      <c r="W258">
        <v>-2.610581422929831</v>
      </c>
      <c r="X258">
        <v>0.28541849855082341</v>
      </c>
      <c r="Z258" t="s">
        <v>392</v>
      </c>
      <c r="AA258">
        <v>114</v>
      </c>
      <c r="AB258" t="s">
        <v>3691</v>
      </c>
      <c r="AC258" t="str">
        <f>HYPERLINK("plots/3FT6Y578R04_015_S21P_20251218081014_M5358ACSC201811_RBGEUFRF04/dpll_52046/txpa_55177.png","plot")</f>
        <v>plot</v>
      </c>
    </row>
    <row r="259" spans="1:29" x14ac:dyDescent="0.35">
      <c r="A259" t="s">
        <v>49</v>
      </c>
      <c r="B259">
        <v>52046</v>
      </c>
      <c r="C259" t="s">
        <v>51</v>
      </c>
      <c r="D259">
        <v>55178</v>
      </c>
      <c r="E259" t="s">
        <v>311</v>
      </c>
      <c r="F259">
        <v>12027</v>
      </c>
      <c r="G259">
        <v>0.53857543166542876</v>
      </c>
      <c r="H259">
        <v>0</v>
      </c>
      <c r="I259">
        <v>0</v>
      </c>
      <c r="J259">
        <v>0.47355785169688908</v>
      </c>
      <c r="K259">
        <v>0</v>
      </c>
      <c r="L259">
        <v>0</v>
      </c>
      <c r="M259">
        <v>0.32831284619738832</v>
      </c>
      <c r="N259">
        <v>0</v>
      </c>
      <c r="O259">
        <v>0</v>
      </c>
      <c r="P259">
        <v>0.29006349559360289</v>
      </c>
      <c r="Q259">
        <v>0.74225647818670926</v>
      </c>
      <c r="R259">
        <v>-5.9359400460171221</v>
      </c>
      <c r="S259">
        <v>0.24401181931867641</v>
      </c>
      <c r="T259">
        <v>0.19168460005253149</v>
      </c>
      <c r="U259">
        <v>4.418010118566559</v>
      </c>
      <c r="V259">
        <v>0.21014144114715341</v>
      </c>
      <c r="W259">
        <v>-2.6566434148166622</v>
      </c>
      <c r="X259">
        <v>0.28961374183860328</v>
      </c>
      <c r="Z259" t="s">
        <v>392</v>
      </c>
      <c r="AA259">
        <v>114</v>
      </c>
      <c r="AB259" t="s">
        <v>3692</v>
      </c>
      <c r="AC259" t="str">
        <f>HYPERLINK("plots/3FT6Y578R04_015_S21P_20251218081014_M5358ACSC201811_RBGEUFRF04/dpll_52046/txpa_55178.png","plot")</f>
        <v>plot</v>
      </c>
    </row>
    <row r="260" spans="1:29" x14ac:dyDescent="0.35">
      <c r="A260" t="s">
        <v>49</v>
      </c>
      <c r="B260">
        <v>52046</v>
      </c>
      <c r="C260" t="s">
        <v>51</v>
      </c>
      <c r="D260">
        <v>55179</v>
      </c>
      <c r="E260" t="s">
        <v>312</v>
      </c>
      <c r="F260">
        <v>12028</v>
      </c>
      <c r="G260">
        <v>0.56170467427452964</v>
      </c>
      <c r="H260">
        <v>0</v>
      </c>
      <c r="I260">
        <v>0</v>
      </c>
      <c r="J260">
        <v>0.51376376995983253</v>
      </c>
      <c r="K260">
        <v>0</v>
      </c>
      <c r="L260">
        <v>0</v>
      </c>
      <c r="M260">
        <v>0.35671134176311459</v>
      </c>
      <c r="N260">
        <v>0</v>
      </c>
      <c r="O260">
        <v>0</v>
      </c>
      <c r="P260">
        <v>0.31551214110185538</v>
      </c>
      <c r="Q260">
        <v>0.78323645753026983</v>
      </c>
      <c r="R260">
        <v>-2.5066513657894922</v>
      </c>
      <c r="S260">
        <v>0.24242407058728141</v>
      </c>
      <c r="T260">
        <v>0.18746231044267811</v>
      </c>
      <c r="U260">
        <v>4.4179867093448619</v>
      </c>
      <c r="V260">
        <v>0.2101483876699779</v>
      </c>
      <c r="W260">
        <v>0.95367689385359156</v>
      </c>
      <c r="X260">
        <v>0.29302921313039698</v>
      </c>
      <c r="Z260" t="s">
        <v>392</v>
      </c>
      <c r="AA260">
        <v>114</v>
      </c>
      <c r="AB260" t="s">
        <v>3693</v>
      </c>
      <c r="AC260" t="str">
        <f>HYPERLINK("plots/3FT6Y578R04_015_S21P_20251218081014_M5358ACSC201811_RBGEUFRF04/dpll_52046/txpa_55179.png","plot")</f>
        <v>plot</v>
      </c>
    </row>
    <row r="261" spans="1:29" x14ac:dyDescent="0.35">
      <c r="A261" t="s">
        <v>49</v>
      </c>
      <c r="B261">
        <v>52046</v>
      </c>
      <c r="C261" t="s">
        <v>51</v>
      </c>
      <c r="D261">
        <v>55180</v>
      </c>
      <c r="E261" t="s">
        <v>313</v>
      </c>
      <c r="F261">
        <v>12028</v>
      </c>
      <c r="G261">
        <v>0.58880344657145123</v>
      </c>
      <c r="H261">
        <v>0</v>
      </c>
      <c r="I261">
        <v>0</v>
      </c>
      <c r="J261">
        <v>0.53352234257366604</v>
      </c>
      <c r="K261">
        <v>0</v>
      </c>
      <c r="L261">
        <v>0</v>
      </c>
      <c r="M261">
        <v>0.37349234048761037</v>
      </c>
      <c r="N261">
        <v>0</v>
      </c>
      <c r="O261">
        <v>0</v>
      </c>
      <c r="P261">
        <v>0.34668949869441978</v>
      </c>
      <c r="Q261">
        <v>0.82029076342080476</v>
      </c>
      <c r="R261">
        <v>-2.6386837550323539</v>
      </c>
      <c r="S261">
        <v>0.2366275491031482</v>
      </c>
      <c r="T261">
        <v>0.1852006859427312</v>
      </c>
      <c r="U261">
        <v>4.4179867093448619</v>
      </c>
      <c r="V261">
        <v>0.2101483876699779</v>
      </c>
      <c r="W261">
        <v>0.9853499355591121</v>
      </c>
      <c r="X261">
        <v>0.29276795568576691</v>
      </c>
      <c r="Z261" t="s">
        <v>392</v>
      </c>
      <c r="AA261">
        <v>114</v>
      </c>
      <c r="AB261" t="s">
        <v>3694</v>
      </c>
      <c r="AC261" t="str">
        <f>HYPERLINK("plots/3FT6Y578R04_015_S21P_20251218081014_M5358ACSC201811_RBGEUFRF04/dpll_52046/txpa_55180.png","plot")</f>
        <v>plot</v>
      </c>
    </row>
    <row r="262" spans="1:29" x14ac:dyDescent="0.35">
      <c r="A262" t="s">
        <v>49</v>
      </c>
      <c r="B262">
        <v>52046</v>
      </c>
      <c r="C262" t="s">
        <v>51</v>
      </c>
      <c r="D262">
        <v>55181</v>
      </c>
      <c r="E262" t="s">
        <v>314</v>
      </c>
      <c r="F262">
        <v>12028</v>
      </c>
      <c r="G262">
        <v>0.57367080963730821</v>
      </c>
      <c r="H262">
        <v>0</v>
      </c>
      <c r="I262">
        <v>0</v>
      </c>
      <c r="J262">
        <v>0.51705536155325327</v>
      </c>
      <c r="K262">
        <v>0</v>
      </c>
      <c r="L262">
        <v>0</v>
      </c>
      <c r="M262">
        <v>0.36043815913473071</v>
      </c>
      <c r="N262">
        <v>0</v>
      </c>
      <c r="O262">
        <v>0</v>
      </c>
      <c r="P262">
        <v>0.32909819782992472</v>
      </c>
      <c r="Q262">
        <v>0.78735523056319989</v>
      </c>
      <c r="R262">
        <v>-2.475621134809614</v>
      </c>
      <c r="S262">
        <v>0.2362356582700654</v>
      </c>
      <c r="T262">
        <v>0.1846901961558966</v>
      </c>
      <c r="U262">
        <v>4.4179867093448619</v>
      </c>
      <c r="V262">
        <v>0.2101483876699779</v>
      </c>
      <c r="W262">
        <v>1.002903809351763</v>
      </c>
      <c r="X262">
        <v>0.28842574774022411</v>
      </c>
      <c r="Z262" t="s">
        <v>392</v>
      </c>
      <c r="AA262">
        <v>114</v>
      </c>
      <c r="AB262" t="s">
        <v>3695</v>
      </c>
      <c r="AC262" t="str">
        <f>HYPERLINK("plots/3FT6Y578R04_015_S21P_20251218081014_M5358ACSC201811_RBGEUFRF04/dpll_52046/txpa_55181.png","plot")</f>
        <v>plot</v>
      </c>
    </row>
    <row r="263" spans="1:29" x14ac:dyDescent="0.35">
      <c r="A263" t="s">
        <v>49</v>
      </c>
      <c r="B263">
        <v>52046</v>
      </c>
      <c r="C263" t="s">
        <v>51</v>
      </c>
      <c r="D263">
        <v>55182</v>
      </c>
      <c r="E263" t="s">
        <v>315</v>
      </c>
      <c r="F263">
        <v>12028</v>
      </c>
      <c r="G263">
        <v>0.59392870322705804</v>
      </c>
      <c r="H263">
        <v>0</v>
      </c>
      <c r="I263">
        <v>0</v>
      </c>
      <c r="J263">
        <v>0.53293845597420131</v>
      </c>
      <c r="K263">
        <v>0</v>
      </c>
      <c r="L263">
        <v>0</v>
      </c>
      <c r="M263">
        <v>0.37346865079039981</v>
      </c>
      <c r="N263">
        <v>0</v>
      </c>
      <c r="O263">
        <v>0</v>
      </c>
      <c r="P263">
        <v>0.35275130451697478</v>
      </c>
      <c r="Q263">
        <v>0.82501629163022527</v>
      </c>
      <c r="R263">
        <v>-2.6379481418205408</v>
      </c>
      <c r="S263">
        <v>0.23483985869200269</v>
      </c>
      <c r="T263">
        <v>0.18390973407982331</v>
      </c>
      <c r="U263">
        <v>4.4179867093448619</v>
      </c>
      <c r="V263">
        <v>0.2101483876699779</v>
      </c>
      <c r="W263">
        <v>1.006962869594779</v>
      </c>
      <c r="X263">
        <v>0.29191356226014031</v>
      </c>
      <c r="Z263" t="s">
        <v>392</v>
      </c>
      <c r="AA263">
        <v>114</v>
      </c>
      <c r="AB263" t="s">
        <v>3696</v>
      </c>
      <c r="AC263" t="str">
        <f>HYPERLINK("plots/3FT6Y578R04_015_S21P_20251218081014_M5358ACSC201811_RBGEUFRF04/dpll_52046/txpa_55182.png","plot")</f>
        <v>plot</v>
      </c>
    </row>
    <row r="264" spans="1:29" x14ac:dyDescent="0.35">
      <c r="A264" t="s">
        <v>49</v>
      </c>
      <c r="B264">
        <v>52046</v>
      </c>
      <c r="C264" t="s">
        <v>51</v>
      </c>
      <c r="D264">
        <v>55183</v>
      </c>
      <c r="E264" t="s">
        <v>316</v>
      </c>
      <c r="F264">
        <v>12027</v>
      </c>
      <c r="G264">
        <v>0.59110107343365204</v>
      </c>
      <c r="H264">
        <v>0</v>
      </c>
      <c r="I264">
        <v>0</v>
      </c>
      <c r="J264">
        <v>0.52401396091112973</v>
      </c>
      <c r="K264">
        <v>0</v>
      </c>
      <c r="L264">
        <v>0</v>
      </c>
      <c r="M264">
        <v>0.36501919875752031</v>
      </c>
      <c r="N264">
        <v>0</v>
      </c>
      <c r="O264">
        <v>0</v>
      </c>
      <c r="P264">
        <v>0.34940047901441568</v>
      </c>
      <c r="Q264">
        <v>0.81630540079375025</v>
      </c>
      <c r="R264">
        <v>-2.6102515879858461</v>
      </c>
      <c r="S264">
        <v>0.23406019995865529</v>
      </c>
      <c r="T264">
        <v>0.1846176037787175</v>
      </c>
      <c r="U264">
        <v>4.4179587365926656</v>
      </c>
      <c r="V264">
        <v>0.21013472984942591</v>
      </c>
      <c r="W264">
        <v>0.9961519891786812</v>
      </c>
      <c r="X264">
        <v>0.290194219871732</v>
      </c>
      <c r="Z264" t="s">
        <v>392</v>
      </c>
      <c r="AA264">
        <v>114</v>
      </c>
      <c r="AB264" t="s">
        <v>3697</v>
      </c>
      <c r="AC264" t="str">
        <f>HYPERLINK("plots/3FT6Y578R04_015_S21P_20251218081014_M5358ACSC201811_RBGEUFRF04/dpll_52046/txpa_55183.png","plot")</f>
        <v>plot</v>
      </c>
    </row>
    <row r="265" spans="1:29" x14ac:dyDescent="0.35">
      <c r="A265" t="s">
        <v>49</v>
      </c>
      <c r="B265">
        <v>52046</v>
      </c>
      <c r="C265" t="s">
        <v>51</v>
      </c>
      <c r="D265">
        <v>55184</v>
      </c>
      <c r="E265" t="s">
        <v>317</v>
      </c>
      <c r="F265">
        <v>12028</v>
      </c>
      <c r="G265">
        <v>0.60060434899955084</v>
      </c>
      <c r="H265">
        <v>0</v>
      </c>
      <c r="I265">
        <v>0</v>
      </c>
      <c r="J265">
        <v>0.5411331453570235</v>
      </c>
      <c r="K265">
        <v>0</v>
      </c>
      <c r="L265">
        <v>0</v>
      </c>
      <c r="M265">
        <v>0.37926533859072692</v>
      </c>
      <c r="N265">
        <v>0</v>
      </c>
      <c r="O265">
        <v>0</v>
      </c>
      <c r="P265">
        <v>0.36072558403717431</v>
      </c>
      <c r="Q265">
        <v>0.83405829069102877</v>
      </c>
      <c r="R265">
        <v>-2.6816362199584201</v>
      </c>
      <c r="S265">
        <v>0.23332410102068141</v>
      </c>
      <c r="T265">
        <v>0.1835884057048891</v>
      </c>
      <c r="U265">
        <v>4.4179867093448619</v>
      </c>
      <c r="V265">
        <v>0.2101483876699779</v>
      </c>
      <c r="W265">
        <v>1.003222223133438</v>
      </c>
      <c r="X265">
        <v>0.29183272699150659</v>
      </c>
      <c r="Z265" t="s">
        <v>392</v>
      </c>
      <c r="AA265">
        <v>114</v>
      </c>
      <c r="AB265" t="s">
        <v>3698</v>
      </c>
      <c r="AC265" t="str">
        <f>HYPERLINK("plots/3FT6Y578R04_015_S21P_20251218081014_M5358ACSC201811_RBGEUFRF04/dpll_52046/txpa_55184.png","plot")</f>
        <v>plot</v>
      </c>
    </row>
    <row r="266" spans="1:29" x14ac:dyDescent="0.35">
      <c r="A266" t="s">
        <v>49</v>
      </c>
      <c r="B266">
        <v>52046</v>
      </c>
      <c r="C266" t="s">
        <v>51</v>
      </c>
      <c r="D266">
        <v>55185</v>
      </c>
      <c r="E266" t="s">
        <v>318</v>
      </c>
      <c r="F266">
        <v>12028</v>
      </c>
      <c r="G266">
        <v>0.5952043690729083</v>
      </c>
      <c r="H266">
        <v>0</v>
      </c>
      <c r="I266">
        <v>0</v>
      </c>
      <c r="J266">
        <v>0.53121213734393136</v>
      </c>
      <c r="K266">
        <v>0</v>
      </c>
      <c r="L266">
        <v>0</v>
      </c>
      <c r="M266">
        <v>0.37081225157946018</v>
      </c>
      <c r="N266">
        <v>0</v>
      </c>
      <c r="O266">
        <v>0</v>
      </c>
      <c r="P266">
        <v>0.35426824096347892</v>
      </c>
      <c r="Q266">
        <v>0.81271057167483185</v>
      </c>
      <c r="R266">
        <v>-2.5806158655545688</v>
      </c>
      <c r="S266">
        <v>0.23057057365233721</v>
      </c>
      <c r="T266">
        <v>0.1822508850250841</v>
      </c>
      <c r="U266">
        <v>4.4179867093448619</v>
      </c>
      <c r="V266">
        <v>0.2101483876699779</v>
      </c>
      <c r="W266">
        <v>1.009928638648903</v>
      </c>
      <c r="X266">
        <v>0.28694314953674582</v>
      </c>
      <c r="Z266" t="s">
        <v>392</v>
      </c>
      <c r="AA266">
        <v>114</v>
      </c>
      <c r="AB266" t="s">
        <v>3699</v>
      </c>
      <c r="AC266" t="str">
        <f>HYPERLINK("plots/3FT6Y578R04_015_S21P_20251218081014_M5358ACSC201811_RBGEUFRF04/dpll_52046/txpa_55185.png","plot")</f>
        <v>plot</v>
      </c>
    </row>
    <row r="267" spans="1:29" x14ac:dyDescent="0.35">
      <c r="A267" t="s">
        <v>49</v>
      </c>
      <c r="B267">
        <v>52046</v>
      </c>
      <c r="C267" t="s">
        <v>51</v>
      </c>
      <c r="D267">
        <v>55186</v>
      </c>
      <c r="E267" t="s">
        <v>319</v>
      </c>
      <c r="F267">
        <v>12027</v>
      </c>
      <c r="G267">
        <v>0.58348606345044041</v>
      </c>
      <c r="H267">
        <v>0</v>
      </c>
      <c r="I267">
        <v>0</v>
      </c>
      <c r="J267">
        <v>0.52196761924821233</v>
      </c>
      <c r="K267">
        <v>0</v>
      </c>
      <c r="L267">
        <v>0</v>
      </c>
      <c r="M267">
        <v>0.36485116860578232</v>
      </c>
      <c r="N267">
        <v>0</v>
      </c>
      <c r="O267">
        <v>0</v>
      </c>
      <c r="P267">
        <v>0.34045598624089141</v>
      </c>
      <c r="Q267">
        <v>0.80837159724203067</v>
      </c>
      <c r="R267">
        <v>-2.6022699788068522</v>
      </c>
      <c r="S267">
        <v>0.23642647136336889</v>
      </c>
      <c r="T267">
        <v>0.18548129792569171</v>
      </c>
      <c r="U267">
        <v>4.418010118566559</v>
      </c>
      <c r="V267">
        <v>0.21014144114715341</v>
      </c>
      <c r="W267">
        <v>0.96912391737025039</v>
      </c>
      <c r="X267">
        <v>0.29113355582535688</v>
      </c>
      <c r="Z267" t="s">
        <v>392</v>
      </c>
      <c r="AA267">
        <v>114</v>
      </c>
      <c r="AB267" t="s">
        <v>3700</v>
      </c>
      <c r="AC267" t="str">
        <f>HYPERLINK("plots/3FT6Y578R04_015_S21P_20251218081014_M5358ACSC201811_RBGEUFRF04/dpll_52046/txpa_55186.png","plot")</f>
        <v>plot</v>
      </c>
    </row>
    <row r="268" spans="1:29" x14ac:dyDescent="0.35">
      <c r="A268" t="s">
        <v>49</v>
      </c>
      <c r="B268">
        <v>52046</v>
      </c>
      <c r="C268" t="s">
        <v>51</v>
      </c>
      <c r="D268">
        <v>55187</v>
      </c>
      <c r="E268" t="s">
        <v>320</v>
      </c>
      <c r="F268">
        <v>12028</v>
      </c>
      <c r="G268">
        <v>0.60032575641063279</v>
      </c>
      <c r="H268">
        <v>0</v>
      </c>
      <c r="I268">
        <v>0</v>
      </c>
      <c r="J268">
        <v>0.5527048938611091</v>
      </c>
      <c r="K268">
        <v>0</v>
      </c>
      <c r="L268">
        <v>0</v>
      </c>
      <c r="M268">
        <v>0.38684945776917712</v>
      </c>
      <c r="N268">
        <v>0</v>
      </c>
      <c r="O268">
        <v>0</v>
      </c>
      <c r="P268">
        <v>0.36039101380999838</v>
      </c>
      <c r="Q268">
        <v>0.84660734259298598</v>
      </c>
      <c r="R268">
        <v>-0.74917097015032219</v>
      </c>
      <c r="S268">
        <v>0.23700654561501891</v>
      </c>
      <c r="T268">
        <v>0.1831682284019561</v>
      </c>
      <c r="U268">
        <v>4.4179867093448619</v>
      </c>
      <c r="V268">
        <v>0.2101483876699779</v>
      </c>
      <c r="W268">
        <v>2.991129017459262</v>
      </c>
      <c r="X268">
        <v>0.29636104420911291</v>
      </c>
      <c r="Z268" t="s">
        <v>392</v>
      </c>
      <c r="AA268">
        <v>114</v>
      </c>
      <c r="AB268" t="s">
        <v>3701</v>
      </c>
      <c r="AC268" t="str">
        <f>HYPERLINK("plots/3FT6Y578R04_015_S21P_20251218081014_M5358ACSC201811_RBGEUFRF04/dpll_52046/txpa_55187.png","plot")</f>
        <v>plot</v>
      </c>
    </row>
    <row r="269" spans="1:29" x14ac:dyDescent="0.35">
      <c r="A269" t="s">
        <v>49</v>
      </c>
      <c r="B269">
        <v>52046</v>
      </c>
      <c r="C269" t="s">
        <v>51</v>
      </c>
      <c r="D269">
        <v>55188</v>
      </c>
      <c r="E269" t="s">
        <v>321</v>
      </c>
      <c r="F269">
        <v>12028</v>
      </c>
      <c r="G269">
        <v>0.62589595322193703</v>
      </c>
      <c r="H269">
        <v>0</v>
      </c>
      <c r="I269">
        <v>0</v>
      </c>
      <c r="J269">
        <v>0.57082335388344219</v>
      </c>
      <c r="K269">
        <v>0</v>
      </c>
      <c r="L269">
        <v>0</v>
      </c>
      <c r="M269">
        <v>0.40292583621414613</v>
      </c>
      <c r="N269">
        <v>0</v>
      </c>
      <c r="O269">
        <v>0</v>
      </c>
      <c r="P269">
        <v>0.39174574425959718</v>
      </c>
      <c r="Q269">
        <v>0.88311827055335479</v>
      </c>
      <c r="R269">
        <v>-0.88028381849937309</v>
      </c>
      <c r="S269">
        <v>0.23124231708245779</v>
      </c>
      <c r="T269">
        <v>0.18096572732433869</v>
      </c>
      <c r="U269">
        <v>4.4179867093448619</v>
      </c>
      <c r="V269">
        <v>0.2101483876699779</v>
      </c>
      <c r="W269">
        <v>3.021320963584968</v>
      </c>
      <c r="X269">
        <v>0.29651235117169672</v>
      </c>
      <c r="Z269" t="s">
        <v>392</v>
      </c>
      <c r="AA269">
        <v>114</v>
      </c>
      <c r="AB269" t="s">
        <v>3702</v>
      </c>
      <c r="AC269" t="str">
        <f>HYPERLINK("plots/3FT6Y578R04_015_S21P_20251218081014_M5358ACSC201811_RBGEUFRF04/dpll_52046/txpa_55188.png","plot")</f>
        <v>plot</v>
      </c>
    </row>
    <row r="270" spans="1:29" x14ac:dyDescent="0.35">
      <c r="A270" t="s">
        <v>49</v>
      </c>
      <c r="B270">
        <v>52046</v>
      </c>
      <c r="C270" t="s">
        <v>51</v>
      </c>
      <c r="D270">
        <v>55189</v>
      </c>
      <c r="E270" t="s">
        <v>322</v>
      </c>
      <c r="F270">
        <v>12028</v>
      </c>
      <c r="G270">
        <v>0.61175217652470326</v>
      </c>
      <c r="H270">
        <v>0</v>
      </c>
      <c r="I270">
        <v>0</v>
      </c>
      <c r="J270">
        <v>0.55602856598679951</v>
      </c>
      <c r="K270">
        <v>0</v>
      </c>
      <c r="L270">
        <v>0</v>
      </c>
      <c r="M270">
        <v>0.39061740053848681</v>
      </c>
      <c r="N270">
        <v>0</v>
      </c>
      <c r="O270">
        <v>0</v>
      </c>
      <c r="P270">
        <v>0.3742407254827117</v>
      </c>
      <c r="Q270">
        <v>0.84981258303373275</v>
      </c>
      <c r="R270">
        <v>-0.71592423419092643</v>
      </c>
      <c r="S270">
        <v>0.23091879883132321</v>
      </c>
      <c r="T270">
        <v>0.18044758507729641</v>
      </c>
      <c r="U270">
        <v>4.4179867093448619</v>
      </c>
      <c r="V270">
        <v>0.2101483876699779</v>
      </c>
      <c r="W270">
        <v>3.0385364630861318</v>
      </c>
      <c r="X270">
        <v>0.29192661832562627</v>
      </c>
      <c r="Z270" t="s">
        <v>392</v>
      </c>
      <c r="AA270">
        <v>114</v>
      </c>
      <c r="AB270" t="s">
        <v>3703</v>
      </c>
      <c r="AC270" t="str">
        <f>HYPERLINK("plots/3FT6Y578R04_015_S21P_20251218081014_M5358ACSC201811_RBGEUFRF04/dpll_52046/txpa_55189.png","plot")</f>
        <v>plot</v>
      </c>
    </row>
    <row r="271" spans="1:29" x14ac:dyDescent="0.35">
      <c r="A271" t="s">
        <v>49</v>
      </c>
      <c r="B271">
        <v>52046</v>
      </c>
      <c r="C271" t="s">
        <v>51</v>
      </c>
      <c r="D271">
        <v>55190</v>
      </c>
      <c r="E271" t="s">
        <v>323</v>
      </c>
      <c r="F271">
        <v>12028</v>
      </c>
      <c r="G271">
        <v>0.63005494084980374</v>
      </c>
      <c r="H271">
        <v>0</v>
      </c>
      <c r="I271">
        <v>0</v>
      </c>
      <c r="J271">
        <v>0.57061429364482219</v>
      </c>
      <c r="K271">
        <v>0</v>
      </c>
      <c r="L271">
        <v>0</v>
      </c>
      <c r="M271">
        <v>0.40302930599612102</v>
      </c>
      <c r="N271">
        <v>0</v>
      </c>
      <c r="O271">
        <v>0</v>
      </c>
      <c r="P271">
        <v>0.3969692284892497</v>
      </c>
      <c r="Q271">
        <v>0.884847985348996</v>
      </c>
      <c r="R271">
        <v>-0.86882937767235191</v>
      </c>
      <c r="S271">
        <v>0.2291753956639011</v>
      </c>
      <c r="T271">
        <v>0.1794106793981971</v>
      </c>
      <c r="U271">
        <v>4.4179867093448619</v>
      </c>
      <c r="V271">
        <v>0.2101483876699779</v>
      </c>
      <c r="W271">
        <v>3.0404172613900902</v>
      </c>
      <c r="X271">
        <v>0.29513200420794328</v>
      </c>
      <c r="Z271" t="s">
        <v>392</v>
      </c>
      <c r="AA271">
        <v>114</v>
      </c>
      <c r="AB271" t="s">
        <v>3704</v>
      </c>
      <c r="AC271" t="str">
        <f>HYPERLINK("plots/3FT6Y578R04_015_S21P_20251218081014_M5358ACSC201811_RBGEUFRF04/dpll_52046/txpa_55190.png","plot")</f>
        <v>plot</v>
      </c>
    </row>
    <row r="272" spans="1:29" x14ac:dyDescent="0.35">
      <c r="A272" t="s">
        <v>49</v>
      </c>
      <c r="B272">
        <v>52046</v>
      </c>
      <c r="C272" t="s">
        <v>51</v>
      </c>
      <c r="D272">
        <v>55191</v>
      </c>
      <c r="E272" t="s">
        <v>324</v>
      </c>
      <c r="F272">
        <v>12027</v>
      </c>
      <c r="G272">
        <v>0.62821805986961354</v>
      </c>
      <c r="H272">
        <v>0</v>
      </c>
      <c r="I272">
        <v>0</v>
      </c>
      <c r="J272">
        <v>0.56180769868114522</v>
      </c>
      <c r="K272">
        <v>0</v>
      </c>
      <c r="L272">
        <v>0</v>
      </c>
      <c r="M272">
        <v>0.39440448525433452</v>
      </c>
      <c r="N272">
        <v>0</v>
      </c>
      <c r="O272">
        <v>0</v>
      </c>
      <c r="P272">
        <v>0.39465793074634142</v>
      </c>
      <c r="Q272">
        <v>0.87660226694423393</v>
      </c>
      <c r="R272">
        <v>-0.84458384589175939</v>
      </c>
      <c r="S272">
        <v>0.22812473691977639</v>
      </c>
      <c r="T272">
        <v>0.17989038003398419</v>
      </c>
      <c r="U272">
        <v>4.4179587365926656</v>
      </c>
      <c r="V272">
        <v>0.21013472984942591</v>
      </c>
      <c r="W272">
        <v>3.0282087978714558</v>
      </c>
      <c r="X272">
        <v>0.29321758210509319</v>
      </c>
      <c r="Z272" t="s">
        <v>392</v>
      </c>
      <c r="AA272">
        <v>114</v>
      </c>
      <c r="AB272" t="s">
        <v>3705</v>
      </c>
      <c r="AC272" t="str">
        <f>HYPERLINK("plots/3FT6Y578R04_015_S21P_20251218081014_M5358ACSC201811_RBGEUFRF04/dpll_52046/txpa_55191.png","plot")</f>
        <v>plot</v>
      </c>
    </row>
    <row r="273" spans="1:29" x14ac:dyDescent="0.35">
      <c r="A273" t="s">
        <v>49</v>
      </c>
      <c r="B273">
        <v>52046</v>
      </c>
      <c r="C273" t="s">
        <v>51</v>
      </c>
      <c r="D273">
        <v>55192</v>
      </c>
      <c r="E273" t="s">
        <v>325</v>
      </c>
      <c r="F273">
        <v>12028</v>
      </c>
      <c r="G273">
        <v>0.63646927938436093</v>
      </c>
      <c r="H273">
        <v>0</v>
      </c>
      <c r="I273">
        <v>0</v>
      </c>
      <c r="J273">
        <v>0.57825700489635956</v>
      </c>
      <c r="K273">
        <v>0</v>
      </c>
      <c r="L273">
        <v>0</v>
      </c>
      <c r="M273">
        <v>0.40860357354505472</v>
      </c>
      <c r="N273">
        <v>0</v>
      </c>
      <c r="O273">
        <v>0</v>
      </c>
      <c r="P273">
        <v>0.40509314360004772</v>
      </c>
      <c r="Q273">
        <v>0.89558883129021849</v>
      </c>
      <c r="R273">
        <v>-0.91892016766191986</v>
      </c>
      <c r="S273">
        <v>0.2280676658670294</v>
      </c>
      <c r="T273">
        <v>0.17944870414446679</v>
      </c>
      <c r="U273">
        <v>4.4179867093448619</v>
      </c>
      <c r="V273">
        <v>0.2101483876699779</v>
      </c>
      <c r="W273">
        <v>3.0377793860159632</v>
      </c>
      <c r="X273">
        <v>0.29570405832144231</v>
      </c>
      <c r="Z273" t="s">
        <v>392</v>
      </c>
      <c r="AA273">
        <v>114</v>
      </c>
      <c r="AB273" t="s">
        <v>3706</v>
      </c>
      <c r="AC273" t="str">
        <f>HYPERLINK("plots/3FT6Y578R04_015_S21P_20251218081014_M5358ACSC201811_RBGEUFRF04/dpll_52046/txpa_55192.png","plot")</f>
        <v>plot</v>
      </c>
    </row>
    <row r="274" spans="1:29" x14ac:dyDescent="0.35">
      <c r="A274" t="s">
        <v>49</v>
      </c>
      <c r="B274">
        <v>52046</v>
      </c>
      <c r="C274" t="s">
        <v>51</v>
      </c>
      <c r="D274">
        <v>55193</v>
      </c>
      <c r="E274" t="s">
        <v>326</v>
      </c>
      <c r="F274">
        <v>12028</v>
      </c>
      <c r="G274">
        <v>0.6323413142611809</v>
      </c>
      <c r="H274">
        <v>0</v>
      </c>
      <c r="I274">
        <v>0</v>
      </c>
      <c r="J274">
        <v>0.56911680982700785</v>
      </c>
      <c r="K274">
        <v>0</v>
      </c>
      <c r="L274">
        <v>0</v>
      </c>
      <c r="M274">
        <v>0.40056515418131572</v>
      </c>
      <c r="N274">
        <v>0</v>
      </c>
      <c r="O274">
        <v>0</v>
      </c>
      <c r="P274">
        <v>0.39985553772155752</v>
      </c>
      <c r="Q274">
        <v>0.87539777637743643</v>
      </c>
      <c r="R274">
        <v>-0.82296442749140564</v>
      </c>
      <c r="S274">
        <v>0.22536672373453201</v>
      </c>
      <c r="T274">
        <v>0.17820772290242409</v>
      </c>
      <c r="U274">
        <v>4.4179867093448619</v>
      </c>
      <c r="V274">
        <v>0.2101483876699779</v>
      </c>
      <c r="W274">
        <v>3.0445313139341539</v>
      </c>
      <c r="X274">
        <v>0.29092426372700719</v>
      </c>
      <c r="Z274" t="s">
        <v>392</v>
      </c>
      <c r="AA274">
        <v>114</v>
      </c>
      <c r="AB274" t="s">
        <v>3707</v>
      </c>
      <c r="AC274" t="str">
        <f>HYPERLINK("plots/3FT6Y578R04_015_S21P_20251218081014_M5358ACSC201811_RBGEUFRF04/dpll_52046/txpa_55193.png","plot")</f>
        <v>plot</v>
      </c>
    </row>
    <row r="275" spans="1:29" x14ac:dyDescent="0.35">
      <c r="A275" t="s">
        <v>49</v>
      </c>
      <c r="B275">
        <v>52046</v>
      </c>
      <c r="C275" t="s">
        <v>51</v>
      </c>
      <c r="D275">
        <v>55194</v>
      </c>
      <c r="E275" t="s">
        <v>327</v>
      </c>
      <c r="F275">
        <v>12027</v>
      </c>
      <c r="G275">
        <v>0.62236032967263233</v>
      </c>
      <c r="H275">
        <v>0</v>
      </c>
      <c r="I275">
        <v>0</v>
      </c>
      <c r="J275">
        <v>0.56106845970283981</v>
      </c>
      <c r="K275">
        <v>0</v>
      </c>
      <c r="L275">
        <v>0</v>
      </c>
      <c r="M275">
        <v>0.39537091659163831</v>
      </c>
      <c r="N275">
        <v>0</v>
      </c>
      <c r="O275">
        <v>0</v>
      </c>
      <c r="P275">
        <v>0.38733237995022762</v>
      </c>
      <c r="Q275">
        <v>0.87248421150701561</v>
      </c>
      <c r="R275">
        <v>-0.8489748784192539</v>
      </c>
      <c r="S275">
        <v>0.23058008193916829</v>
      </c>
      <c r="T275">
        <v>0.18074784034863309</v>
      </c>
      <c r="U275">
        <v>4.418010118566559</v>
      </c>
      <c r="V275">
        <v>0.21014144114715341</v>
      </c>
      <c r="W275">
        <v>3.0056691963083071</v>
      </c>
      <c r="X275">
        <v>0.29459636297940689</v>
      </c>
      <c r="Z275" t="s">
        <v>392</v>
      </c>
      <c r="AA275">
        <v>114</v>
      </c>
      <c r="AB275" t="s">
        <v>3708</v>
      </c>
      <c r="AC275" t="str">
        <f>HYPERLINK("plots/3FT6Y578R04_015_S21P_20251218081014_M5358ACSC201811_RBGEUFRF04/dpll_52046/txpa_55194.png","plot")</f>
        <v>plot</v>
      </c>
    </row>
    <row r="276" spans="1:29" x14ac:dyDescent="0.35">
      <c r="A276" t="s">
        <v>49</v>
      </c>
      <c r="B276">
        <v>52046</v>
      </c>
      <c r="C276" t="s">
        <v>51</v>
      </c>
      <c r="D276">
        <v>55195</v>
      </c>
      <c r="E276" t="s">
        <v>328</v>
      </c>
      <c r="F276">
        <v>12028</v>
      </c>
      <c r="G276">
        <v>0.6474238981288083</v>
      </c>
      <c r="H276">
        <v>0</v>
      </c>
      <c r="I276">
        <v>0</v>
      </c>
      <c r="J276">
        <v>0.59630709421563477</v>
      </c>
      <c r="K276">
        <v>0</v>
      </c>
      <c r="L276">
        <v>0</v>
      </c>
      <c r="M276">
        <v>0.4220450928292751</v>
      </c>
      <c r="N276">
        <v>0</v>
      </c>
      <c r="O276">
        <v>0</v>
      </c>
      <c r="P276">
        <v>0.41915770386830148</v>
      </c>
      <c r="Q276">
        <v>0.93871047556052389</v>
      </c>
      <c r="R276">
        <v>1.305999707455201</v>
      </c>
      <c r="S276">
        <v>0.23220954256732909</v>
      </c>
      <c r="T276">
        <v>0.17901792617883139</v>
      </c>
      <c r="U276">
        <v>4.4179867093448619</v>
      </c>
      <c r="V276">
        <v>0.2101483876699779</v>
      </c>
      <c r="W276">
        <v>5.4532101124043901</v>
      </c>
      <c r="X276">
        <v>0.30469757680881088</v>
      </c>
      <c r="Z276" t="s">
        <v>392</v>
      </c>
      <c r="AA276">
        <v>114</v>
      </c>
      <c r="AB276" t="s">
        <v>3709</v>
      </c>
      <c r="AC276" t="str">
        <f>HYPERLINK("plots/3FT6Y578R04_015_S21P_20251218081014_M5358ACSC201811_RBGEUFRF04/dpll_52046/txpa_55195.png","plot")</f>
        <v>plot</v>
      </c>
    </row>
    <row r="277" spans="1:29" x14ac:dyDescent="0.35">
      <c r="A277" t="s">
        <v>49</v>
      </c>
      <c r="B277">
        <v>52046</v>
      </c>
      <c r="C277" t="s">
        <v>51</v>
      </c>
      <c r="D277">
        <v>55196</v>
      </c>
      <c r="E277" t="s">
        <v>329</v>
      </c>
      <c r="F277">
        <v>12028</v>
      </c>
      <c r="G277">
        <v>0.67005691220096297</v>
      </c>
      <c r="H277">
        <v>0</v>
      </c>
      <c r="I277">
        <v>0</v>
      </c>
      <c r="J277">
        <v>0.61107574011614108</v>
      </c>
      <c r="K277">
        <v>0</v>
      </c>
      <c r="L277">
        <v>0</v>
      </c>
      <c r="M277">
        <v>0.43597289433046399</v>
      </c>
      <c r="N277">
        <v>0</v>
      </c>
      <c r="O277">
        <v>0</v>
      </c>
      <c r="P277">
        <v>0.44897626558828901</v>
      </c>
      <c r="Q277">
        <v>0.97207280127490947</v>
      </c>
      <c r="R277">
        <v>1.188326113265588</v>
      </c>
      <c r="S277">
        <v>0.22629776304174401</v>
      </c>
      <c r="T277">
        <v>0.17690977762060259</v>
      </c>
      <c r="U277">
        <v>4.4179867093448619</v>
      </c>
      <c r="V277">
        <v>0.2101483876699779</v>
      </c>
      <c r="W277">
        <v>5.4829308298137676</v>
      </c>
      <c r="X277">
        <v>0.30486892705092139</v>
      </c>
      <c r="Z277" t="s">
        <v>392</v>
      </c>
      <c r="AA277">
        <v>114</v>
      </c>
      <c r="AB277" t="s">
        <v>3710</v>
      </c>
      <c r="AC277" t="str">
        <f>HYPERLINK("plots/3FT6Y578R04_015_S21P_20251218081014_M5358ACSC201811_RBGEUFRF04/dpll_52046/txpa_55196.png","plot")</f>
        <v>plot</v>
      </c>
    </row>
    <row r="278" spans="1:29" x14ac:dyDescent="0.35">
      <c r="A278" t="s">
        <v>49</v>
      </c>
      <c r="B278">
        <v>52046</v>
      </c>
      <c r="C278" t="s">
        <v>51</v>
      </c>
      <c r="D278">
        <v>55197</v>
      </c>
      <c r="E278" t="s">
        <v>330</v>
      </c>
      <c r="F278">
        <v>12028</v>
      </c>
      <c r="G278">
        <v>0.65665681338843362</v>
      </c>
      <c r="H278">
        <v>0</v>
      </c>
      <c r="I278">
        <v>0</v>
      </c>
      <c r="J278">
        <v>0.59772010880593274</v>
      </c>
      <c r="K278">
        <v>0</v>
      </c>
      <c r="L278">
        <v>0</v>
      </c>
      <c r="M278">
        <v>0.42443161893269382</v>
      </c>
      <c r="N278">
        <v>0</v>
      </c>
      <c r="O278">
        <v>0</v>
      </c>
      <c r="P278">
        <v>0.43119817056945209</v>
      </c>
      <c r="Q278">
        <v>0.93832130101354316</v>
      </c>
      <c r="R278">
        <v>1.3541311825148481</v>
      </c>
      <c r="S278">
        <v>0.22646527602312899</v>
      </c>
      <c r="T278">
        <v>0.1763123700645724</v>
      </c>
      <c r="U278">
        <v>4.4179867093448619</v>
      </c>
      <c r="V278">
        <v>0.2101483876699779</v>
      </c>
      <c r="W278">
        <v>5.4996222194878612</v>
      </c>
      <c r="X278">
        <v>0.30028883353373498</v>
      </c>
      <c r="Z278" t="s">
        <v>392</v>
      </c>
      <c r="AA278">
        <v>114</v>
      </c>
      <c r="AB278" t="s">
        <v>3711</v>
      </c>
      <c r="AC278" t="str">
        <f>HYPERLINK("plots/3FT6Y578R04_015_S21P_20251218081014_M5358ACSC201811_RBGEUFRF04/dpll_52046/txpa_55197.png","plot")</f>
        <v>plot</v>
      </c>
    </row>
    <row r="279" spans="1:29" x14ac:dyDescent="0.35">
      <c r="A279" t="s">
        <v>49</v>
      </c>
      <c r="B279">
        <v>52046</v>
      </c>
      <c r="C279" t="s">
        <v>51</v>
      </c>
      <c r="D279">
        <v>55198</v>
      </c>
      <c r="E279" t="s">
        <v>331</v>
      </c>
      <c r="F279">
        <v>12028</v>
      </c>
      <c r="G279">
        <v>0.67357375714582512</v>
      </c>
      <c r="H279">
        <v>0</v>
      </c>
      <c r="I279">
        <v>0</v>
      </c>
      <c r="J279">
        <v>0.61133394798591068</v>
      </c>
      <c r="K279">
        <v>0</v>
      </c>
      <c r="L279">
        <v>0</v>
      </c>
      <c r="M279">
        <v>0.43632549928441328</v>
      </c>
      <c r="N279">
        <v>0</v>
      </c>
      <c r="O279">
        <v>0</v>
      </c>
      <c r="P279">
        <v>0.45370160631554302</v>
      </c>
      <c r="Q279">
        <v>0.97190929703173823</v>
      </c>
      <c r="R279">
        <v>1.2053978098025919</v>
      </c>
      <c r="S279">
        <v>0.22411119322232201</v>
      </c>
      <c r="T279">
        <v>0.1750790165900451</v>
      </c>
      <c r="U279">
        <v>4.4179867093448619</v>
      </c>
      <c r="V279">
        <v>0.2101483876699779</v>
      </c>
      <c r="W279">
        <v>5.4992801667775186</v>
      </c>
      <c r="X279">
        <v>0.30322614200134801</v>
      </c>
      <c r="Z279" t="s">
        <v>392</v>
      </c>
      <c r="AA279">
        <v>114</v>
      </c>
      <c r="AB279" t="s">
        <v>3712</v>
      </c>
      <c r="AC279" t="str">
        <f>HYPERLINK("plots/3FT6Y578R04_015_S21P_20251218081014_M5358ACSC201811_RBGEUFRF04/dpll_52046/txpa_55198.png","plot")</f>
        <v>plot</v>
      </c>
    </row>
    <row r="280" spans="1:29" x14ac:dyDescent="0.35">
      <c r="A280" t="s">
        <v>49</v>
      </c>
      <c r="B280">
        <v>52046</v>
      </c>
      <c r="C280" t="s">
        <v>51</v>
      </c>
      <c r="D280">
        <v>55199</v>
      </c>
      <c r="E280" t="s">
        <v>332</v>
      </c>
      <c r="F280">
        <v>12027</v>
      </c>
      <c r="G280">
        <v>0.6733802188902801</v>
      </c>
      <c r="H280">
        <v>0</v>
      </c>
      <c r="I280">
        <v>0</v>
      </c>
      <c r="J280">
        <v>0.60410753947262374</v>
      </c>
      <c r="K280">
        <v>0</v>
      </c>
      <c r="L280">
        <v>0</v>
      </c>
      <c r="M280">
        <v>0.42868792385338861</v>
      </c>
      <c r="N280">
        <v>0</v>
      </c>
      <c r="O280">
        <v>0</v>
      </c>
      <c r="P280">
        <v>0.45344091919272161</v>
      </c>
      <c r="Q280">
        <v>0.96521410036249644</v>
      </c>
      <c r="R280">
        <v>1.2218398632771019</v>
      </c>
      <c r="S280">
        <v>0.22266996488730811</v>
      </c>
      <c r="T280">
        <v>0.17530309265650501</v>
      </c>
      <c r="U280">
        <v>4.4179587365926656</v>
      </c>
      <c r="V280">
        <v>0.21013472984942591</v>
      </c>
      <c r="W280">
        <v>5.4861159306560241</v>
      </c>
      <c r="X280">
        <v>0.30120428034072982</v>
      </c>
      <c r="Z280" t="s">
        <v>392</v>
      </c>
      <c r="AA280">
        <v>114</v>
      </c>
      <c r="AB280" t="s">
        <v>3713</v>
      </c>
      <c r="AC280" t="str">
        <f>HYPERLINK("plots/3FT6Y578R04_015_S21P_20251218081014_M5358ACSC201811_RBGEUFRF04/dpll_52046/txpa_55199.png","plot")</f>
        <v>plot</v>
      </c>
    </row>
    <row r="281" spans="1:29" x14ac:dyDescent="0.35">
      <c r="A281" t="s">
        <v>49</v>
      </c>
      <c r="B281">
        <v>52046</v>
      </c>
      <c r="C281" t="s">
        <v>51</v>
      </c>
      <c r="D281">
        <v>55200</v>
      </c>
      <c r="E281" t="s">
        <v>333</v>
      </c>
      <c r="F281">
        <v>12028</v>
      </c>
      <c r="G281">
        <v>0.67942675595267898</v>
      </c>
      <c r="H281">
        <v>0</v>
      </c>
      <c r="I281">
        <v>0</v>
      </c>
      <c r="J281">
        <v>0.61865614731343643</v>
      </c>
      <c r="K281">
        <v>0</v>
      </c>
      <c r="L281">
        <v>0</v>
      </c>
      <c r="M281">
        <v>0.44196550280115188</v>
      </c>
      <c r="N281">
        <v>0</v>
      </c>
      <c r="O281">
        <v>0</v>
      </c>
      <c r="P281">
        <v>0.46162071670438121</v>
      </c>
      <c r="Q281">
        <v>0.98359542936307132</v>
      </c>
      <c r="R281">
        <v>1.1521879805004001</v>
      </c>
      <c r="S281">
        <v>0.22321636656068511</v>
      </c>
      <c r="T281">
        <v>0.17511320054195709</v>
      </c>
      <c r="U281">
        <v>4.4179867093448619</v>
      </c>
      <c r="V281">
        <v>0.2101483876699779</v>
      </c>
      <c r="W281">
        <v>5.4976995147988026</v>
      </c>
      <c r="X281">
        <v>0.3042285158616943</v>
      </c>
      <c r="Z281" t="s">
        <v>392</v>
      </c>
      <c r="AA281">
        <v>114</v>
      </c>
      <c r="AB281" t="s">
        <v>3714</v>
      </c>
      <c r="AC281" t="str">
        <f>HYPERLINK("plots/3FT6Y578R04_015_S21P_20251218081014_M5358ACSC201811_RBGEUFRF04/dpll_52046/txpa_55200.png","plot")</f>
        <v>plot</v>
      </c>
    </row>
    <row r="282" spans="1:29" x14ac:dyDescent="0.35">
      <c r="A282" t="s">
        <v>49</v>
      </c>
      <c r="B282">
        <v>52046</v>
      </c>
      <c r="C282" t="s">
        <v>51</v>
      </c>
      <c r="D282">
        <v>55201</v>
      </c>
      <c r="E282" t="s">
        <v>334</v>
      </c>
      <c r="F282">
        <v>12028</v>
      </c>
      <c r="G282">
        <v>0.67689446086274863</v>
      </c>
      <c r="H282">
        <v>0</v>
      </c>
      <c r="I282">
        <v>0</v>
      </c>
      <c r="J282">
        <v>0.61069941416069862</v>
      </c>
      <c r="K282">
        <v>0</v>
      </c>
      <c r="L282">
        <v>0</v>
      </c>
      <c r="M282">
        <v>0.43460571054041092</v>
      </c>
      <c r="N282">
        <v>0</v>
      </c>
      <c r="O282">
        <v>0</v>
      </c>
      <c r="P282">
        <v>0.45818611114667113</v>
      </c>
      <c r="Q282">
        <v>0.96436346247750349</v>
      </c>
      <c r="R282">
        <v>1.2443562730855899</v>
      </c>
      <c r="S282">
        <v>0.22037019817975109</v>
      </c>
      <c r="T282">
        <v>0.17386650708360929</v>
      </c>
      <c r="U282">
        <v>4.4179867093448619</v>
      </c>
      <c r="V282">
        <v>0.2101483876699779</v>
      </c>
      <c r="W282">
        <v>5.5049012332889928</v>
      </c>
      <c r="X282">
        <v>0.29939590066844579</v>
      </c>
      <c r="Z282" t="s">
        <v>392</v>
      </c>
      <c r="AA282">
        <v>114</v>
      </c>
      <c r="AB282" t="s">
        <v>3715</v>
      </c>
      <c r="AC282" t="str">
        <f>HYPERLINK("plots/3FT6Y578R04_015_S21P_20251218081014_M5358ACSC201811_RBGEUFRF04/dpll_52046/txpa_55201.png","plot")</f>
        <v>plot</v>
      </c>
    </row>
    <row r="283" spans="1:29" x14ac:dyDescent="0.35">
      <c r="A283" t="s">
        <v>49</v>
      </c>
      <c r="B283">
        <v>52046</v>
      </c>
      <c r="C283" t="s">
        <v>51</v>
      </c>
      <c r="D283">
        <v>55202</v>
      </c>
      <c r="E283" t="s">
        <v>335</v>
      </c>
      <c r="F283">
        <v>12027</v>
      </c>
      <c r="G283">
        <v>0.66849394126289741</v>
      </c>
      <c r="H283">
        <v>0</v>
      </c>
      <c r="I283">
        <v>0</v>
      </c>
      <c r="J283">
        <v>0.60400553813900693</v>
      </c>
      <c r="K283">
        <v>0</v>
      </c>
      <c r="L283">
        <v>0</v>
      </c>
      <c r="M283">
        <v>0.43032476196441999</v>
      </c>
      <c r="N283">
        <v>0</v>
      </c>
      <c r="O283">
        <v>0</v>
      </c>
      <c r="P283">
        <v>0.44688414950520211</v>
      </c>
      <c r="Q283">
        <v>0.96418519748827891</v>
      </c>
      <c r="R283">
        <v>1.208425646546273</v>
      </c>
      <c r="S283">
        <v>0.2254055924257107</v>
      </c>
      <c r="T283">
        <v>0.17630341017168449</v>
      </c>
      <c r="U283">
        <v>4.418010118566559</v>
      </c>
      <c r="V283">
        <v>0.21014144114715341</v>
      </c>
      <c r="W283">
        <v>5.4682056052215851</v>
      </c>
      <c r="X283">
        <v>0.30309215151623581</v>
      </c>
      <c r="Z283" t="s">
        <v>392</v>
      </c>
      <c r="AA283">
        <v>114</v>
      </c>
      <c r="AB283" t="s">
        <v>3716</v>
      </c>
      <c r="AC283" t="str">
        <f>HYPERLINK("plots/3FT6Y578R04_015_S21P_20251218081014_M5358ACSC201811_RBGEUFRF04/dpll_52046/txpa_55202.png","plot")</f>
        <v>plot</v>
      </c>
    </row>
    <row r="284" spans="1:29" x14ac:dyDescent="0.35">
      <c r="A284" t="s">
        <v>49</v>
      </c>
      <c r="B284">
        <v>52046</v>
      </c>
      <c r="C284" t="s">
        <v>51</v>
      </c>
      <c r="D284">
        <v>55203</v>
      </c>
      <c r="E284" t="s">
        <v>336</v>
      </c>
      <c r="F284">
        <v>12028</v>
      </c>
      <c r="G284">
        <v>0.66403991926860029</v>
      </c>
      <c r="H284">
        <v>0</v>
      </c>
      <c r="I284">
        <v>0</v>
      </c>
      <c r="J284">
        <v>0.61032454720429208</v>
      </c>
      <c r="K284">
        <v>0</v>
      </c>
      <c r="L284">
        <v>0</v>
      </c>
      <c r="M284">
        <v>0.43363055129683842</v>
      </c>
      <c r="N284">
        <v>0</v>
      </c>
      <c r="O284">
        <v>0</v>
      </c>
      <c r="P284">
        <v>0.4409490143822492</v>
      </c>
      <c r="Q284">
        <v>0.98083898655514357</v>
      </c>
      <c r="R284">
        <v>2.2106750034685811</v>
      </c>
      <c r="S284">
        <v>0.23207975036014611</v>
      </c>
      <c r="T284">
        <v>0.17857969499801429</v>
      </c>
      <c r="U284">
        <v>4.4179867093448619</v>
      </c>
      <c r="V284">
        <v>0.2101483876699779</v>
      </c>
      <c r="W284">
        <v>6.5440086100764887</v>
      </c>
      <c r="X284">
        <v>0.31040563316652597</v>
      </c>
      <c r="Z284" t="s">
        <v>392</v>
      </c>
      <c r="AA284">
        <v>114</v>
      </c>
      <c r="AB284" t="s">
        <v>3717</v>
      </c>
      <c r="AC284" t="str">
        <f>HYPERLINK("plots/3FT6Y578R04_015_S21P_20251218081014_M5358ACSC201811_RBGEUFRF04/dpll_52046/txpa_55203.png","plot")</f>
        <v>plot</v>
      </c>
    </row>
    <row r="285" spans="1:29" x14ac:dyDescent="0.35">
      <c r="A285" t="s">
        <v>49</v>
      </c>
      <c r="B285">
        <v>52046</v>
      </c>
      <c r="C285" t="s">
        <v>51</v>
      </c>
      <c r="D285">
        <v>55204</v>
      </c>
      <c r="E285" t="s">
        <v>337</v>
      </c>
      <c r="F285">
        <v>12028</v>
      </c>
      <c r="G285">
        <v>0.68560049660176525</v>
      </c>
      <c r="H285">
        <v>0</v>
      </c>
      <c r="I285">
        <v>0</v>
      </c>
      <c r="J285">
        <v>0.6242422232815682</v>
      </c>
      <c r="K285">
        <v>0</v>
      </c>
      <c r="L285">
        <v>0</v>
      </c>
      <c r="M285">
        <v>0.44703732131189933</v>
      </c>
      <c r="N285">
        <v>0</v>
      </c>
      <c r="O285">
        <v>0</v>
      </c>
      <c r="P285">
        <v>0.47004804094058711</v>
      </c>
      <c r="Q285">
        <v>1.012739343337653</v>
      </c>
      <c r="R285">
        <v>2.098772783787342</v>
      </c>
      <c r="S285">
        <v>0.22597105723487179</v>
      </c>
      <c r="T285">
        <v>0.17636563963481419</v>
      </c>
      <c r="U285">
        <v>4.4179867093448619</v>
      </c>
      <c r="V285">
        <v>0.2101483876699779</v>
      </c>
      <c r="W285">
        <v>6.5730417426837384</v>
      </c>
      <c r="X285">
        <v>0.31042209156388773</v>
      </c>
      <c r="Z285" t="s">
        <v>392</v>
      </c>
      <c r="AA285">
        <v>114</v>
      </c>
      <c r="AB285" t="s">
        <v>3718</v>
      </c>
      <c r="AC285" t="str">
        <f>HYPERLINK("plots/3FT6Y578R04_015_S21P_20251218081014_M5358ACSC201811_RBGEUFRF04/dpll_52046/txpa_55204.png","plot")</f>
        <v>plot</v>
      </c>
    </row>
    <row r="286" spans="1:29" x14ac:dyDescent="0.35">
      <c r="A286" t="s">
        <v>49</v>
      </c>
      <c r="B286">
        <v>52046</v>
      </c>
      <c r="C286" t="s">
        <v>51</v>
      </c>
      <c r="D286">
        <v>55205</v>
      </c>
      <c r="E286" t="s">
        <v>338</v>
      </c>
      <c r="F286">
        <v>12028</v>
      </c>
      <c r="G286">
        <v>0.67296418695376059</v>
      </c>
      <c r="H286">
        <v>0</v>
      </c>
      <c r="I286">
        <v>0</v>
      </c>
      <c r="J286">
        <v>0.611491799090779</v>
      </c>
      <c r="K286">
        <v>0</v>
      </c>
      <c r="L286">
        <v>0</v>
      </c>
      <c r="M286">
        <v>0.43580861938393051</v>
      </c>
      <c r="N286">
        <v>0</v>
      </c>
      <c r="O286">
        <v>0</v>
      </c>
      <c r="P286">
        <v>0.45288079692233602</v>
      </c>
      <c r="Q286">
        <v>0.97957010591152149</v>
      </c>
      <c r="R286">
        <v>2.2619843396815948</v>
      </c>
      <c r="S286">
        <v>0.22625206783664839</v>
      </c>
      <c r="T286">
        <v>0.1757094551432859</v>
      </c>
      <c r="U286">
        <v>4.4179867093448619</v>
      </c>
      <c r="V286">
        <v>0.2101483876699779</v>
      </c>
      <c r="W286">
        <v>6.5897120484702354</v>
      </c>
      <c r="X286">
        <v>0.30589306586854093</v>
      </c>
      <c r="Z286" t="s">
        <v>392</v>
      </c>
      <c r="AA286">
        <v>114</v>
      </c>
      <c r="AB286" t="s">
        <v>3719</v>
      </c>
      <c r="AC286" t="str">
        <f>HYPERLINK("plots/3FT6Y578R04_015_S21P_20251218081014_M5358ACSC201811_RBGEUFRF04/dpll_52046/txpa_55205.png","plot")</f>
        <v>plot</v>
      </c>
    </row>
    <row r="287" spans="1:29" x14ac:dyDescent="0.35">
      <c r="A287" t="s">
        <v>49</v>
      </c>
      <c r="B287">
        <v>52046</v>
      </c>
      <c r="C287" t="s">
        <v>51</v>
      </c>
      <c r="D287">
        <v>55206</v>
      </c>
      <c r="E287" t="s">
        <v>339</v>
      </c>
      <c r="F287">
        <v>12027</v>
      </c>
      <c r="G287">
        <v>0.69013551188966837</v>
      </c>
      <c r="H287">
        <v>0</v>
      </c>
      <c r="I287">
        <v>0</v>
      </c>
      <c r="J287">
        <v>0.62482305486029677</v>
      </c>
      <c r="K287">
        <v>0</v>
      </c>
      <c r="L287">
        <v>0</v>
      </c>
      <c r="M287">
        <v>0.44764149128503578</v>
      </c>
      <c r="N287">
        <v>0</v>
      </c>
      <c r="O287">
        <v>0</v>
      </c>
      <c r="P287">
        <v>0.4762870247712146</v>
      </c>
      <c r="Q287">
        <v>1.012656577184555</v>
      </c>
      <c r="R287">
        <v>2.1148334426161108</v>
      </c>
      <c r="S287">
        <v>0.22314974617365521</v>
      </c>
      <c r="T287">
        <v>0.17446115393308201</v>
      </c>
      <c r="U287">
        <v>4.417995080651866</v>
      </c>
      <c r="V287">
        <v>0.21015511914181201</v>
      </c>
      <c r="W287">
        <v>6.588745219007234</v>
      </c>
      <c r="X287">
        <v>0.30836692209222583</v>
      </c>
      <c r="Z287" t="s">
        <v>392</v>
      </c>
      <c r="AA287">
        <v>114</v>
      </c>
      <c r="AB287" t="s">
        <v>3720</v>
      </c>
      <c r="AC287" t="str">
        <f>HYPERLINK("plots/3FT6Y578R04_015_S21P_20251218081014_M5358ACSC201811_RBGEUFRF04/dpll_52046/txpa_55206.png","plot")</f>
        <v>plot</v>
      </c>
    </row>
    <row r="288" spans="1:29" x14ac:dyDescent="0.35">
      <c r="A288" t="s">
        <v>49</v>
      </c>
      <c r="B288">
        <v>52046</v>
      </c>
      <c r="C288" t="s">
        <v>51</v>
      </c>
      <c r="D288">
        <v>55207</v>
      </c>
      <c r="E288" t="s">
        <v>340</v>
      </c>
      <c r="F288">
        <v>12027</v>
      </c>
      <c r="G288">
        <v>0.68959320386277279</v>
      </c>
      <c r="H288">
        <v>0</v>
      </c>
      <c r="I288">
        <v>0</v>
      </c>
      <c r="J288">
        <v>0.61811577376913196</v>
      </c>
      <c r="K288">
        <v>0</v>
      </c>
      <c r="L288">
        <v>0</v>
      </c>
      <c r="M288">
        <v>0.44039178835488391</v>
      </c>
      <c r="N288">
        <v>0</v>
      </c>
      <c r="O288">
        <v>0</v>
      </c>
      <c r="P288">
        <v>0.47553878681372369</v>
      </c>
      <c r="Q288">
        <v>1.0061747949805471</v>
      </c>
      <c r="R288">
        <v>2.1295444904892031</v>
      </c>
      <c r="S288">
        <v>0.22203269433244679</v>
      </c>
      <c r="T288">
        <v>0.1745562137384872</v>
      </c>
      <c r="U288">
        <v>4.4179587365926656</v>
      </c>
      <c r="V288">
        <v>0.21013472984942591</v>
      </c>
      <c r="W288">
        <v>6.5747832165128468</v>
      </c>
      <c r="X288">
        <v>0.30660433939922238</v>
      </c>
      <c r="Z288" t="s">
        <v>392</v>
      </c>
      <c r="AA288">
        <v>114</v>
      </c>
      <c r="AB288" t="s">
        <v>3721</v>
      </c>
      <c r="AC288" t="str">
        <f>HYPERLINK("plots/3FT6Y578R04_015_S21P_20251218081014_M5358ACSC201811_RBGEUFRF04/dpll_52046/txpa_55207.png","plot")</f>
        <v>plot</v>
      </c>
    </row>
    <row r="289" spans="1:29" x14ac:dyDescent="0.35">
      <c r="A289" t="s">
        <v>49</v>
      </c>
      <c r="B289">
        <v>52046</v>
      </c>
      <c r="C289" t="s">
        <v>51</v>
      </c>
      <c r="D289">
        <v>55208</v>
      </c>
      <c r="E289" t="s">
        <v>341</v>
      </c>
      <c r="F289">
        <v>12028</v>
      </c>
      <c r="G289">
        <v>0.69478071549309273</v>
      </c>
      <c r="H289">
        <v>0</v>
      </c>
      <c r="I289">
        <v>0</v>
      </c>
      <c r="J289">
        <v>0.63191549452401252</v>
      </c>
      <c r="K289">
        <v>0</v>
      </c>
      <c r="L289">
        <v>0</v>
      </c>
      <c r="M289">
        <v>0.4532139764383028</v>
      </c>
      <c r="N289">
        <v>0</v>
      </c>
      <c r="O289">
        <v>0</v>
      </c>
      <c r="P289">
        <v>0.48272024262109392</v>
      </c>
      <c r="Q289">
        <v>1.0246492555418281</v>
      </c>
      <c r="R289">
        <v>2.060068692477294</v>
      </c>
      <c r="S289">
        <v>0.22289392051321</v>
      </c>
      <c r="T289">
        <v>0.17449972932136229</v>
      </c>
      <c r="U289">
        <v>4.4179867093448619</v>
      </c>
      <c r="V289">
        <v>0.2101483876699779</v>
      </c>
      <c r="W289">
        <v>6.5869554852011962</v>
      </c>
      <c r="X289">
        <v>0.30992280611377859</v>
      </c>
      <c r="Z289" t="s">
        <v>392</v>
      </c>
      <c r="AA289">
        <v>114</v>
      </c>
      <c r="AB289" t="s">
        <v>3722</v>
      </c>
      <c r="AC289" t="str">
        <f>HYPERLINK("plots/3FT6Y578R04_015_S21P_20251218081014_M5358ACSC201811_RBGEUFRF04/dpll_52046/txpa_55208.png","plot")</f>
        <v>plot</v>
      </c>
    </row>
    <row r="290" spans="1:29" x14ac:dyDescent="0.35">
      <c r="A290" t="s">
        <v>49</v>
      </c>
      <c r="B290">
        <v>52046</v>
      </c>
      <c r="C290" t="s">
        <v>51</v>
      </c>
      <c r="D290">
        <v>55209</v>
      </c>
      <c r="E290" t="s">
        <v>342</v>
      </c>
      <c r="F290">
        <v>12028</v>
      </c>
      <c r="G290">
        <v>0.69309384197745116</v>
      </c>
      <c r="H290">
        <v>0</v>
      </c>
      <c r="I290">
        <v>0</v>
      </c>
      <c r="J290">
        <v>0.62454360757180827</v>
      </c>
      <c r="K290">
        <v>0</v>
      </c>
      <c r="L290">
        <v>0</v>
      </c>
      <c r="M290">
        <v>0.44623610170597172</v>
      </c>
      <c r="N290">
        <v>0</v>
      </c>
      <c r="O290">
        <v>0</v>
      </c>
      <c r="P290">
        <v>0.48037907378706413</v>
      </c>
      <c r="Q290">
        <v>1.0063281745789761</v>
      </c>
      <c r="R290">
        <v>2.1482776478745311</v>
      </c>
      <c r="S290">
        <v>0.21993731362854579</v>
      </c>
      <c r="T290">
        <v>0.1731780610774637</v>
      </c>
      <c r="U290">
        <v>4.4179867093448619</v>
      </c>
      <c r="V290">
        <v>0.2101483876699779</v>
      </c>
      <c r="W290">
        <v>6.5942221484037242</v>
      </c>
      <c r="X290">
        <v>0.30512209248790889</v>
      </c>
      <c r="Z290" t="s">
        <v>392</v>
      </c>
      <c r="AA290">
        <v>114</v>
      </c>
      <c r="AB290" t="s">
        <v>3723</v>
      </c>
      <c r="AC290" t="str">
        <f>HYPERLINK("plots/3FT6Y578R04_015_S21P_20251218081014_M5358ACSC201811_RBGEUFRF04/dpll_52046/txpa_55209.png","plot")</f>
        <v>plot</v>
      </c>
    </row>
    <row r="291" spans="1:29" x14ac:dyDescent="0.35">
      <c r="A291" t="s">
        <v>49</v>
      </c>
      <c r="B291">
        <v>52046</v>
      </c>
      <c r="C291" t="s">
        <v>51</v>
      </c>
      <c r="D291">
        <v>55210</v>
      </c>
      <c r="E291" t="s">
        <v>343</v>
      </c>
      <c r="F291">
        <v>12027</v>
      </c>
      <c r="G291">
        <v>0.68472674531962463</v>
      </c>
      <c r="H291">
        <v>0</v>
      </c>
      <c r="I291">
        <v>0</v>
      </c>
      <c r="J291">
        <v>0.61763070050793623</v>
      </c>
      <c r="K291">
        <v>0</v>
      </c>
      <c r="L291">
        <v>0</v>
      </c>
      <c r="M291">
        <v>0.44171473832947022</v>
      </c>
      <c r="N291">
        <v>0</v>
      </c>
      <c r="O291">
        <v>0</v>
      </c>
      <c r="P291">
        <v>0.46885071575600612</v>
      </c>
      <c r="Q291">
        <v>1.005701020449181</v>
      </c>
      <c r="R291">
        <v>2.1156045973351221</v>
      </c>
      <c r="S291">
        <v>0.22493319390513161</v>
      </c>
      <c r="T291">
        <v>0.17557416030481809</v>
      </c>
      <c r="U291">
        <v>4.418010118566559</v>
      </c>
      <c r="V291">
        <v>0.21014144114715341</v>
      </c>
      <c r="W291">
        <v>6.5588018819323191</v>
      </c>
      <c r="X291">
        <v>0.30864788507962021</v>
      </c>
      <c r="Z291" t="s">
        <v>392</v>
      </c>
      <c r="AA291">
        <v>114</v>
      </c>
      <c r="AB291" t="s">
        <v>3724</v>
      </c>
      <c r="AC291" t="str">
        <f>HYPERLINK("plots/3FT6Y578R04_015_S21P_20251218081014_M5358ACSC201811_RBGEUFRF04/dpll_52046/txpa_55210.png","plot")</f>
        <v>plot</v>
      </c>
    </row>
    <row r="292" spans="1:29" x14ac:dyDescent="0.35">
      <c r="A292" t="s">
        <v>49</v>
      </c>
      <c r="B292">
        <v>52046</v>
      </c>
      <c r="C292" t="s">
        <v>51</v>
      </c>
      <c r="D292">
        <v>55211</v>
      </c>
      <c r="E292" t="s">
        <v>344</v>
      </c>
      <c r="F292">
        <v>12028</v>
      </c>
      <c r="G292">
        <v>0.67870918640759637</v>
      </c>
      <c r="H292">
        <v>0</v>
      </c>
      <c r="I292">
        <v>0</v>
      </c>
      <c r="J292">
        <v>0.62237783914449485</v>
      </c>
      <c r="K292">
        <v>0</v>
      </c>
      <c r="L292">
        <v>0</v>
      </c>
      <c r="M292">
        <v>0.4436864364102342</v>
      </c>
      <c r="N292">
        <v>0</v>
      </c>
      <c r="O292">
        <v>0</v>
      </c>
      <c r="P292">
        <v>0.46064615971406142</v>
      </c>
      <c r="Q292">
        <v>1.0264512687483229</v>
      </c>
      <c r="R292">
        <v>3.0789661217816331</v>
      </c>
      <c r="S292">
        <v>0.23339927578526831</v>
      </c>
      <c r="T292">
        <v>0.17917585803962119</v>
      </c>
      <c r="U292">
        <v>4.4179867093448619</v>
      </c>
      <c r="V292">
        <v>0.2101483876699779</v>
      </c>
      <c r="W292">
        <v>7.6138141849018952</v>
      </c>
      <c r="X292">
        <v>0.31781959559292172</v>
      </c>
      <c r="Z292" t="s">
        <v>392</v>
      </c>
      <c r="AA292">
        <v>114</v>
      </c>
      <c r="AB292" t="s">
        <v>3725</v>
      </c>
      <c r="AC292" t="str">
        <f>HYPERLINK("plots/3FT6Y578R04_015_S21P_20251218081014_M5358ACSC201811_RBGEUFRF04/dpll_52046/txpa_55211.png","plot")</f>
        <v>plot</v>
      </c>
    </row>
    <row r="293" spans="1:29" x14ac:dyDescent="0.35">
      <c r="A293" t="s">
        <v>49</v>
      </c>
      <c r="B293">
        <v>52046</v>
      </c>
      <c r="C293" t="s">
        <v>51</v>
      </c>
      <c r="D293">
        <v>55212</v>
      </c>
      <c r="E293" t="s">
        <v>345</v>
      </c>
      <c r="F293">
        <v>12028</v>
      </c>
      <c r="G293">
        <v>0.69956990973574962</v>
      </c>
      <c r="H293">
        <v>0</v>
      </c>
      <c r="I293">
        <v>0</v>
      </c>
      <c r="J293">
        <v>0.63589670633797646</v>
      </c>
      <c r="K293">
        <v>0</v>
      </c>
      <c r="L293">
        <v>0</v>
      </c>
      <c r="M293">
        <v>0.45691980457642067</v>
      </c>
      <c r="N293">
        <v>0</v>
      </c>
      <c r="O293">
        <v>0</v>
      </c>
      <c r="P293">
        <v>0.48939805860768493</v>
      </c>
      <c r="Q293">
        <v>1.0581433152365241</v>
      </c>
      <c r="R293">
        <v>2.967120896536648</v>
      </c>
      <c r="S293">
        <v>0.22712378155780449</v>
      </c>
      <c r="T293">
        <v>0.17701559651450399</v>
      </c>
      <c r="U293">
        <v>4.4179867093448619</v>
      </c>
      <c r="V293">
        <v>0.2101483876699779</v>
      </c>
      <c r="W293">
        <v>7.6419839998337196</v>
      </c>
      <c r="X293">
        <v>0.31786260175872338</v>
      </c>
      <c r="Z293" t="s">
        <v>392</v>
      </c>
      <c r="AA293">
        <v>114</v>
      </c>
      <c r="AB293" t="s">
        <v>3726</v>
      </c>
      <c r="AC293" t="str">
        <f>HYPERLINK("plots/3FT6Y578R04_015_S21P_20251218081014_M5358ACSC201811_RBGEUFRF04/dpll_52046/txpa_55212.png","plot")</f>
        <v>plot</v>
      </c>
    </row>
    <row r="294" spans="1:29" x14ac:dyDescent="0.35">
      <c r="A294" t="s">
        <v>49</v>
      </c>
      <c r="B294">
        <v>52046</v>
      </c>
      <c r="C294" t="s">
        <v>51</v>
      </c>
      <c r="D294">
        <v>55213</v>
      </c>
      <c r="E294" t="s">
        <v>346</v>
      </c>
      <c r="F294">
        <v>12028</v>
      </c>
      <c r="G294">
        <v>0.68767538042931697</v>
      </c>
      <c r="H294">
        <v>0</v>
      </c>
      <c r="I294">
        <v>0</v>
      </c>
      <c r="J294">
        <v>0.6236500532322834</v>
      </c>
      <c r="K294">
        <v>0</v>
      </c>
      <c r="L294">
        <v>0</v>
      </c>
      <c r="M294">
        <v>0.44599924126540691</v>
      </c>
      <c r="N294">
        <v>0</v>
      </c>
      <c r="O294">
        <v>0</v>
      </c>
      <c r="P294">
        <v>0.47289742884860581</v>
      </c>
      <c r="Q294">
        <v>1.024714756706367</v>
      </c>
      <c r="R294">
        <v>3.1313730069914101</v>
      </c>
      <c r="S294">
        <v>0.22733959891906089</v>
      </c>
      <c r="T294">
        <v>0.176106407536047</v>
      </c>
      <c r="U294">
        <v>4.4179867093448619</v>
      </c>
      <c r="V294">
        <v>0.2101483876699779</v>
      </c>
      <c r="W294">
        <v>7.6585491829896917</v>
      </c>
      <c r="X294">
        <v>0.31314506825740679</v>
      </c>
      <c r="Z294" t="s">
        <v>392</v>
      </c>
      <c r="AA294">
        <v>114</v>
      </c>
      <c r="AB294" t="s">
        <v>3727</v>
      </c>
      <c r="AC294" t="str">
        <f>HYPERLINK("plots/3FT6Y578R04_015_S21P_20251218081014_M5358ACSC201811_RBGEUFRF04/dpll_52046/txpa_55213.png","plot")</f>
        <v>plot</v>
      </c>
    </row>
    <row r="295" spans="1:29" x14ac:dyDescent="0.35">
      <c r="A295" t="s">
        <v>49</v>
      </c>
      <c r="B295">
        <v>52046</v>
      </c>
      <c r="C295" t="s">
        <v>51</v>
      </c>
      <c r="D295">
        <v>55214</v>
      </c>
      <c r="E295" t="s">
        <v>347</v>
      </c>
      <c r="F295">
        <v>12027</v>
      </c>
      <c r="G295">
        <v>0.70417786845167285</v>
      </c>
      <c r="H295">
        <v>0</v>
      </c>
      <c r="I295">
        <v>0</v>
      </c>
      <c r="J295">
        <v>0.63662472137867832</v>
      </c>
      <c r="K295">
        <v>0</v>
      </c>
      <c r="L295">
        <v>0</v>
      </c>
      <c r="M295">
        <v>0.45756254335474411</v>
      </c>
      <c r="N295">
        <v>0</v>
      </c>
      <c r="O295">
        <v>0</v>
      </c>
      <c r="P295">
        <v>0.49586647041714149</v>
      </c>
      <c r="Q295">
        <v>1.057380746773116</v>
      </c>
      <c r="R295">
        <v>2.9852617870831319</v>
      </c>
      <c r="S295">
        <v>0.22404937459043969</v>
      </c>
      <c r="T295">
        <v>0.17489591750814051</v>
      </c>
      <c r="U295">
        <v>4.417995080651866</v>
      </c>
      <c r="V295">
        <v>0.21015511914181201</v>
      </c>
      <c r="W295">
        <v>7.6567647247027537</v>
      </c>
      <c r="X295">
        <v>0.31556512462534558</v>
      </c>
      <c r="Z295" t="s">
        <v>392</v>
      </c>
      <c r="AA295">
        <v>114</v>
      </c>
      <c r="AB295" t="s">
        <v>3728</v>
      </c>
      <c r="AC295" t="str">
        <f>HYPERLINK("plots/3FT6Y578R04_015_S21P_20251218081014_M5358ACSC201811_RBGEUFRF04/dpll_52046/txpa_55214.png","plot")</f>
        <v>plot</v>
      </c>
    </row>
    <row r="296" spans="1:29" x14ac:dyDescent="0.35">
      <c r="A296" t="s">
        <v>49</v>
      </c>
      <c r="B296">
        <v>52046</v>
      </c>
      <c r="C296" t="s">
        <v>51</v>
      </c>
      <c r="D296">
        <v>55215</v>
      </c>
      <c r="E296" t="s">
        <v>348</v>
      </c>
      <c r="F296">
        <v>12027</v>
      </c>
      <c r="G296">
        <v>0.70385407310027681</v>
      </c>
      <c r="H296">
        <v>0</v>
      </c>
      <c r="I296">
        <v>0</v>
      </c>
      <c r="J296">
        <v>0.62987409612637779</v>
      </c>
      <c r="K296">
        <v>0</v>
      </c>
      <c r="L296">
        <v>0</v>
      </c>
      <c r="M296">
        <v>0.45019926681762051</v>
      </c>
      <c r="N296">
        <v>0</v>
      </c>
      <c r="O296">
        <v>0</v>
      </c>
      <c r="P296">
        <v>0.49541055621984981</v>
      </c>
      <c r="Q296">
        <v>1.0519680267763321</v>
      </c>
      <c r="R296">
        <v>2.9949243280798559</v>
      </c>
      <c r="S296">
        <v>0.2230841796085315</v>
      </c>
      <c r="T296">
        <v>0.1750524381203655</v>
      </c>
      <c r="U296">
        <v>4.4179587365926656</v>
      </c>
      <c r="V296">
        <v>0.21013472984942591</v>
      </c>
      <c r="W296">
        <v>7.6424756625925001</v>
      </c>
      <c r="X296">
        <v>0.31406370377767873</v>
      </c>
      <c r="Z296" t="s">
        <v>392</v>
      </c>
      <c r="AA296">
        <v>114</v>
      </c>
      <c r="AB296" t="s">
        <v>3729</v>
      </c>
      <c r="AC296" t="str">
        <f>HYPERLINK("plots/3FT6Y578R04_015_S21P_20251218081014_M5358ACSC201811_RBGEUFRF04/dpll_52046/txpa_55215.png","plot")</f>
        <v>plot</v>
      </c>
    </row>
    <row r="297" spans="1:29" x14ac:dyDescent="0.35">
      <c r="A297" t="s">
        <v>49</v>
      </c>
      <c r="B297">
        <v>52046</v>
      </c>
      <c r="C297" t="s">
        <v>51</v>
      </c>
      <c r="D297">
        <v>55216</v>
      </c>
      <c r="E297" t="s">
        <v>349</v>
      </c>
      <c r="F297">
        <v>12028</v>
      </c>
      <c r="G297">
        <v>0.7084245893745108</v>
      </c>
      <c r="H297">
        <v>0</v>
      </c>
      <c r="I297">
        <v>0</v>
      </c>
      <c r="J297">
        <v>0.6432322134890105</v>
      </c>
      <c r="K297">
        <v>0</v>
      </c>
      <c r="L297">
        <v>0</v>
      </c>
      <c r="M297">
        <v>0.46288502733675668</v>
      </c>
      <c r="N297">
        <v>0</v>
      </c>
      <c r="O297">
        <v>0</v>
      </c>
      <c r="P297">
        <v>0.50186539883044423</v>
      </c>
      <c r="Q297">
        <v>1.0697475600257489</v>
      </c>
      <c r="R297">
        <v>2.929009979161493</v>
      </c>
      <c r="S297">
        <v>0.22395926848496681</v>
      </c>
      <c r="T297">
        <v>0.17497965667407539</v>
      </c>
      <c r="U297">
        <v>4.4179867093448619</v>
      </c>
      <c r="V297">
        <v>0.2101483876699779</v>
      </c>
      <c r="W297">
        <v>7.6551404817093456</v>
      </c>
      <c r="X297">
        <v>0.31733190564685471</v>
      </c>
      <c r="Z297" t="s">
        <v>392</v>
      </c>
      <c r="AA297">
        <v>114</v>
      </c>
      <c r="AB297" t="s">
        <v>3730</v>
      </c>
      <c r="AC297" t="str">
        <f>HYPERLINK("plots/3FT6Y578R04_015_S21P_20251218081014_M5358ACSC201811_RBGEUFRF04/dpll_52046/txpa_55216.png","plot")</f>
        <v>plot</v>
      </c>
    </row>
    <row r="298" spans="1:29" x14ac:dyDescent="0.35">
      <c r="A298" t="s">
        <v>49</v>
      </c>
      <c r="B298">
        <v>52046</v>
      </c>
      <c r="C298" t="s">
        <v>51</v>
      </c>
      <c r="D298">
        <v>55217</v>
      </c>
      <c r="E298" t="s">
        <v>350</v>
      </c>
      <c r="F298">
        <v>12028</v>
      </c>
      <c r="G298">
        <v>0.70751248967970848</v>
      </c>
      <c r="H298">
        <v>0</v>
      </c>
      <c r="I298">
        <v>0</v>
      </c>
      <c r="J298">
        <v>0.6362763729257328</v>
      </c>
      <c r="K298">
        <v>0</v>
      </c>
      <c r="L298">
        <v>0</v>
      </c>
      <c r="M298">
        <v>0.45612282779364738</v>
      </c>
      <c r="N298">
        <v>0</v>
      </c>
      <c r="O298">
        <v>0</v>
      </c>
      <c r="P298">
        <v>0.50057392305277959</v>
      </c>
      <c r="Q298">
        <v>1.0522207131975201</v>
      </c>
      <c r="R298">
        <v>3.014191691803966</v>
      </c>
      <c r="S298">
        <v>0.22085963563472211</v>
      </c>
      <c r="T298">
        <v>0.17366782554405591</v>
      </c>
      <c r="U298">
        <v>4.4179867093448619</v>
      </c>
      <c r="V298">
        <v>0.2101483876699779</v>
      </c>
      <c r="W298">
        <v>7.6628888180079811</v>
      </c>
      <c r="X298">
        <v>0.31253509948851299</v>
      </c>
      <c r="Z298" t="s">
        <v>392</v>
      </c>
      <c r="AA298">
        <v>114</v>
      </c>
      <c r="AB298" t="s">
        <v>3731</v>
      </c>
      <c r="AC298" t="str">
        <f>HYPERLINK("plots/3FT6Y578R04_015_S21P_20251218081014_M5358ACSC201811_RBGEUFRF04/dpll_52046/txpa_55217.png","plot")</f>
        <v>plot</v>
      </c>
    </row>
    <row r="299" spans="1:29" x14ac:dyDescent="0.35">
      <c r="A299" t="s">
        <v>49</v>
      </c>
      <c r="B299">
        <v>52046</v>
      </c>
      <c r="C299" t="s">
        <v>51</v>
      </c>
      <c r="D299">
        <v>55218</v>
      </c>
      <c r="E299" t="s">
        <v>351</v>
      </c>
      <c r="F299">
        <v>12027</v>
      </c>
      <c r="G299">
        <v>0.69901523370153218</v>
      </c>
      <c r="H299">
        <v>0</v>
      </c>
      <c r="I299">
        <v>0</v>
      </c>
      <c r="J299">
        <v>0.62928750042363135</v>
      </c>
      <c r="K299">
        <v>0</v>
      </c>
      <c r="L299">
        <v>0</v>
      </c>
      <c r="M299">
        <v>0.45142407266241008</v>
      </c>
      <c r="N299">
        <v>0</v>
      </c>
      <c r="O299">
        <v>0</v>
      </c>
      <c r="P299">
        <v>0.48862229694680759</v>
      </c>
      <c r="Q299">
        <v>1.0509312129804209</v>
      </c>
      <c r="R299">
        <v>2.9850975764391379</v>
      </c>
      <c r="S299">
        <v>0.2259187076787329</v>
      </c>
      <c r="T299">
        <v>0.176061224188342</v>
      </c>
      <c r="U299">
        <v>4.418010118566559</v>
      </c>
      <c r="V299">
        <v>0.21014144114715341</v>
      </c>
      <c r="W299">
        <v>7.6281223093040662</v>
      </c>
      <c r="X299">
        <v>0.31593617562922599</v>
      </c>
      <c r="Z299" t="s">
        <v>392</v>
      </c>
      <c r="AA299">
        <v>114</v>
      </c>
      <c r="AB299" t="s">
        <v>3732</v>
      </c>
      <c r="AC299" t="str">
        <f>HYPERLINK("plots/3FT6Y578R04_015_S21P_20251218081014_M5358ACSC201811_RBGEUFRF04/dpll_52046/txpa_55218.png","plot")</f>
        <v>plot</v>
      </c>
    </row>
    <row r="300" spans="1:29" x14ac:dyDescent="0.35">
      <c r="A300" t="s">
        <v>49</v>
      </c>
      <c r="B300">
        <v>52046</v>
      </c>
      <c r="C300" t="s">
        <v>51</v>
      </c>
      <c r="D300">
        <v>55219</v>
      </c>
      <c r="E300" t="s">
        <v>352</v>
      </c>
      <c r="F300">
        <v>12028</v>
      </c>
      <c r="G300">
        <v>0.69558182689612313</v>
      </c>
      <c r="H300">
        <v>0</v>
      </c>
      <c r="I300">
        <v>0</v>
      </c>
      <c r="J300">
        <v>0.63567075660860906</v>
      </c>
      <c r="K300">
        <v>0</v>
      </c>
      <c r="L300">
        <v>0</v>
      </c>
      <c r="M300">
        <v>0.45492243283408068</v>
      </c>
      <c r="N300">
        <v>0</v>
      </c>
      <c r="O300">
        <v>0</v>
      </c>
      <c r="P300">
        <v>0.4838340779081482</v>
      </c>
      <c r="Q300">
        <v>1.0819552341365291</v>
      </c>
      <c r="R300">
        <v>3.903152494604079</v>
      </c>
      <c r="S300">
        <v>0.23483549349257821</v>
      </c>
      <c r="T300">
        <v>0.17965356697202259</v>
      </c>
      <c r="U300">
        <v>4.4179867093448619</v>
      </c>
      <c r="V300">
        <v>0.2101483876699779</v>
      </c>
      <c r="W300">
        <v>8.6832163391253747</v>
      </c>
      <c r="X300">
        <v>0.32687908049506942</v>
      </c>
      <c r="Z300" t="s">
        <v>392</v>
      </c>
      <c r="AA300">
        <v>114</v>
      </c>
      <c r="AB300" t="s">
        <v>3733</v>
      </c>
      <c r="AC300" t="str">
        <f>HYPERLINK("plots/3FT6Y578R04_015_S21P_20251218081014_M5358ACSC201811_RBGEUFRF04/dpll_52046/txpa_55219.png","plot")</f>
        <v>plot</v>
      </c>
    </row>
    <row r="301" spans="1:29" x14ac:dyDescent="0.35">
      <c r="A301" t="s">
        <v>49</v>
      </c>
      <c r="B301">
        <v>52046</v>
      </c>
      <c r="C301" t="s">
        <v>51</v>
      </c>
      <c r="D301">
        <v>55220</v>
      </c>
      <c r="E301" t="s">
        <v>353</v>
      </c>
      <c r="F301">
        <v>12028</v>
      </c>
      <c r="G301">
        <v>0.71542658461466102</v>
      </c>
      <c r="H301">
        <v>0</v>
      </c>
      <c r="I301">
        <v>0</v>
      </c>
      <c r="J301">
        <v>0.64835743363733034</v>
      </c>
      <c r="K301">
        <v>0</v>
      </c>
      <c r="L301">
        <v>0</v>
      </c>
      <c r="M301">
        <v>0.46762306797170627</v>
      </c>
      <c r="N301">
        <v>0</v>
      </c>
      <c r="O301">
        <v>0</v>
      </c>
      <c r="P301">
        <v>0.51183519797339871</v>
      </c>
      <c r="Q301">
        <v>1.112986786741563</v>
      </c>
      <c r="R301">
        <v>3.792331966221314</v>
      </c>
      <c r="S301">
        <v>0.22841055740691099</v>
      </c>
      <c r="T301">
        <v>0.177584721319445</v>
      </c>
      <c r="U301">
        <v>4.4179867093448619</v>
      </c>
      <c r="V301">
        <v>0.2101483876699779</v>
      </c>
      <c r="W301">
        <v>8.7094927977219818</v>
      </c>
      <c r="X301">
        <v>0.32692715613539408</v>
      </c>
      <c r="Z301" t="s">
        <v>392</v>
      </c>
      <c r="AA301">
        <v>114</v>
      </c>
      <c r="AB301" t="s">
        <v>3734</v>
      </c>
      <c r="AC301" t="str">
        <f>HYPERLINK("plots/3FT6Y578R04_015_S21P_20251218081014_M5358ACSC201811_RBGEUFRF04/dpll_52046/txpa_55220.png","plot")</f>
        <v>plot</v>
      </c>
    </row>
    <row r="302" spans="1:29" x14ac:dyDescent="0.35">
      <c r="A302" t="s">
        <v>49</v>
      </c>
      <c r="B302">
        <v>52046</v>
      </c>
      <c r="C302" t="s">
        <v>51</v>
      </c>
      <c r="D302">
        <v>55221</v>
      </c>
      <c r="E302" t="s">
        <v>354</v>
      </c>
      <c r="F302">
        <v>12028</v>
      </c>
      <c r="G302">
        <v>0.70451003622191144</v>
      </c>
      <c r="H302">
        <v>0</v>
      </c>
      <c r="I302">
        <v>0</v>
      </c>
      <c r="J302">
        <v>0.63699074623849783</v>
      </c>
      <c r="K302">
        <v>0</v>
      </c>
      <c r="L302">
        <v>0</v>
      </c>
      <c r="M302">
        <v>0.45731667307217411</v>
      </c>
      <c r="N302">
        <v>0</v>
      </c>
      <c r="O302">
        <v>0</v>
      </c>
      <c r="P302">
        <v>0.49633439113739902</v>
      </c>
      <c r="Q302">
        <v>1.0798287448090671</v>
      </c>
      <c r="R302">
        <v>3.9551879633004492</v>
      </c>
      <c r="S302">
        <v>0.2285845413092133</v>
      </c>
      <c r="T302">
        <v>0.1764287832509496</v>
      </c>
      <c r="U302">
        <v>4.4179867093448619</v>
      </c>
      <c r="V302">
        <v>0.2101483876699779</v>
      </c>
      <c r="W302">
        <v>8.7258570062354508</v>
      </c>
      <c r="X302">
        <v>0.32210225264958919</v>
      </c>
      <c r="Z302" t="s">
        <v>392</v>
      </c>
      <c r="AA302">
        <v>114</v>
      </c>
      <c r="AB302" t="s">
        <v>3735</v>
      </c>
      <c r="AC302" t="str">
        <f>HYPERLINK("plots/3FT6Y578R04_015_S21P_20251218081014_M5358ACSC201811_RBGEUFRF04/dpll_52046/txpa_55221.png","plot")</f>
        <v>plot</v>
      </c>
    </row>
    <row r="303" spans="1:29" x14ac:dyDescent="0.35">
      <c r="A303" t="s">
        <v>49</v>
      </c>
      <c r="B303">
        <v>52046</v>
      </c>
      <c r="C303" t="s">
        <v>51</v>
      </c>
      <c r="D303">
        <v>55222</v>
      </c>
      <c r="E303" t="s">
        <v>355</v>
      </c>
      <c r="F303">
        <v>12027</v>
      </c>
      <c r="G303">
        <v>0.72009853914696009</v>
      </c>
      <c r="H303">
        <v>0</v>
      </c>
      <c r="I303">
        <v>0</v>
      </c>
      <c r="J303">
        <v>0.64914800533773542</v>
      </c>
      <c r="K303">
        <v>0</v>
      </c>
      <c r="L303">
        <v>0</v>
      </c>
      <c r="M303">
        <v>0.46829466543923581</v>
      </c>
      <c r="N303">
        <v>0</v>
      </c>
      <c r="O303">
        <v>0</v>
      </c>
      <c r="P303">
        <v>0.51854190608158601</v>
      </c>
      <c r="Q303">
        <v>1.1122857210148109</v>
      </c>
      <c r="R303">
        <v>3.8097728230270631</v>
      </c>
      <c r="S303">
        <v>0.22522966758298679</v>
      </c>
      <c r="T303">
        <v>0.17541514268170261</v>
      </c>
      <c r="U303">
        <v>4.417995080651866</v>
      </c>
      <c r="V303">
        <v>0.21015511914181201</v>
      </c>
      <c r="W303">
        <v>8.7238456667498134</v>
      </c>
      <c r="X303">
        <v>0.32461187672524761</v>
      </c>
      <c r="Z303" t="s">
        <v>392</v>
      </c>
      <c r="AA303">
        <v>114</v>
      </c>
      <c r="AB303" t="s">
        <v>3736</v>
      </c>
      <c r="AC303" t="str">
        <f>HYPERLINK("plots/3FT6Y578R04_015_S21P_20251218081014_M5358ACSC201811_RBGEUFRF04/dpll_52046/txpa_55222.png","plot")</f>
        <v>plot</v>
      </c>
    </row>
    <row r="304" spans="1:29" x14ac:dyDescent="0.35">
      <c r="A304" t="s">
        <v>49</v>
      </c>
      <c r="B304">
        <v>52046</v>
      </c>
      <c r="C304" t="s">
        <v>51</v>
      </c>
      <c r="D304">
        <v>55223</v>
      </c>
      <c r="E304" t="s">
        <v>356</v>
      </c>
      <c r="F304">
        <v>12027</v>
      </c>
      <c r="G304">
        <v>0.71999860471299937</v>
      </c>
      <c r="H304">
        <v>0</v>
      </c>
      <c r="I304">
        <v>0</v>
      </c>
      <c r="J304">
        <v>0.64256264646244265</v>
      </c>
      <c r="K304">
        <v>0</v>
      </c>
      <c r="L304">
        <v>0</v>
      </c>
      <c r="M304">
        <v>0.46094858455519511</v>
      </c>
      <c r="N304">
        <v>0</v>
      </c>
      <c r="O304">
        <v>0</v>
      </c>
      <c r="P304">
        <v>0.51839799078866589</v>
      </c>
      <c r="Q304">
        <v>1.1071058442501041</v>
      </c>
      <c r="R304">
        <v>3.8178678348259849</v>
      </c>
      <c r="S304">
        <v>0.2242236479165052</v>
      </c>
      <c r="T304">
        <v>0.1755093052265479</v>
      </c>
      <c r="U304">
        <v>4.4179587365926656</v>
      </c>
      <c r="V304">
        <v>0.21013472984942591</v>
      </c>
      <c r="W304">
        <v>8.7090157717635321</v>
      </c>
      <c r="X304">
        <v>0.32311366435071071</v>
      </c>
      <c r="Z304" t="s">
        <v>392</v>
      </c>
      <c r="AA304">
        <v>114</v>
      </c>
      <c r="AB304" t="s">
        <v>3737</v>
      </c>
      <c r="AC304" t="str">
        <f>HYPERLINK("plots/3FT6Y578R04_015_S21P_20251218081014_M5358ACSC201811_RBGEUFRF04/dpll_52046/txpa_55223.png","plot")</f>
        <v>plot</v>
      </c>
    </row>
    <row r="305" spans="1:29" x14ac:dyDescent="0.35">
      <c r="A305" t="s">
        <v>49</v>
      </c>
      <c r="B305">
        <v>52046</v>
      </c>
      <c r="C305" t="s">
        <v>51</v>
      </c>
      <c r="D305">
        <v>55224</v>
      </c>
      <c r="E305" t="s">
        <v>357</v>
      </c>
      <c r="F305">
        <v>12028</v>
      </c>
      <c r="G305">
        <v>0.72399558343332115</v>
      </c>
      <c r="H305">
        <v>0</v>
      </c>
      <c r="I305">
        <v>0</v>
      </c>
      <c r="J305">
        <v>0.65529639473738543</v>
      </c>
      <c r="K305">
        <v>0</v>
      </c>
      <c r="L305">
        <v>0</v>
      </c>
      <c r="M305">
        <v>0.47326297717849469</v>
      </c>
      <c r="N305">
        <v>0</v>
      </c>
      <c r="O305">
        <v>0</v>
      </c>
      <c r="P305">
        <v>0.52416960483095509</v>
      </c>
      <c r="Q305">
        <v>1.12440909266066</v>
      </c>
      <c r="R305">
        <v>3.7546791265498429</v>
      </c>
      <c r="S305">
        <v>0.2251243803055604</v>
      </c>
      <c r="T305">
        <v>0.1754260532341719</v>
      </c>
      <c r="U305">
        <v>4.4179867093448619</v>
      </c>
      <c r="V305">
        <v>0.2101483876699779</v>
      </c>
      <c r="W305">
        <v>8.7223035537911535</v>
      </c>
      <c r="X305">
        <v>0.32637320352640342</v>
      </c>
      <c r="Z305" t="s">
        <v>392</v>
      </c>
      <c r="AA305">
        <v>114</v>
      </c>
      <c r="AB305" t="s">
        <v>3738</v>
      </c>
      <c r="AC305" t="str">
        <f>HYPERLINK("plots/3FT6Y578R04_015_S21P_20251218081014_M5358ACSC201811_RBGEUFRF04/dpll_52046/txpa_55224.png","plot")</f>
        <v>plot</v>
      </c>
    </row>
    <row r="306" spans="1:29" x14ac:dyDescent="0.35">
      <c r="A306" t="s">
        <v>49</v>
      </c>
      <c r="B306">
        <v>52046</v>
      </c>
      <c r="C306" t="s">
        <v>51</v>
      </c>
      <c r="D306">
        <v>55225</v>
      </c>
      <c r="E306" t="s">
        <v>358</v>
      </c>
      <c r="F306">
        <v>12028</v>
      </c>
      <c r="G306">
        <v>0.72365464053259465</v>
      </c>
      <c r="H306">
        <v>0</v>
      </c>
      <c r="I306">
        <v>0</v>
      </c>
      <c r="J306">
        <v>0.64880002682597715</v>
      </c>
      <c r="K306">
        <v>0</v>
      </c>
      <c r="L306">
        <v>0</v>
      </c>
      <c r="M306">
        <v>0.46689330847203742</v>
      </c>
      <c r="N306">
        <v>0</v>
      </c>
      <c r="O306">
        <v>0</v>
      </c>
      <c r="P306">
        <v>0.52367603876435875</v>
      </c>
      <c r="Q306">
        <v>1.1072022047153911</v>
      </c>
      <c r="R306">
        <v>3.838617199835483</v>
      </c>
      <c r="S306">
        <v>0.22189872817717929</v>
      </c>
      <c r="T306">
        <v>0.17396925393138199</v>
      </c>
      <c r="U306">
        <v>4.4179867093448619</v>
      </c>
      <c r="V306">
        <v>0.2101483876699779</v>
      </c>
      <c r="W306">
        <v>8.7302218248254082</v>
      </c>
      <c r="X306">
        <v>0.32153011272661652</v>
      </c>
      <c r="Z306" t="s">
        <v>392</v>
      </c>
      <c r="AA306">
        <v>114</v>
      </c>
      <c r="AB306" t="s">
        <v>3739</v>
      </c>
      <c r="AC306" t="str">
        <f>HYPERLINK("plots/3FT6Y578R04_015_S21P_20251218081014_M5358ACSC201811_RBGEUFRF04/dpll_52046/txpa_55225.png","plot")</f>
        <v>plot</v>
      </c>
    </row>
    <row r="307" spans="1:29" x14ac:dyDescent="0.35">
      <c r="A307" t="s">
        <v>49</v>
      </c>
      <c r="B307">
        <v>52046</v>
      </c>
      <c r="C307" t="s">
        <v>51</v>
      </c>
      <c r="D307">
        <v>55226</v>
      </c>
      <c r="E307" t="s">
        <v>359</v>
      </c>
      <c r="F307">
        <v>12027</v>
      </c>
      <c r="G307">
        <v>0.71529068084414393</v>
      </c>
      <c r="H307">
        <v>0</v>
      </c>
      <c r="I307">
        <v>0</v>
      </c>
      <c r="J307">
        <v>0.64176038148407899</v>
      </c>
      <c r="K307">
        <v>0</v>
      </c>
      <c r="L307">
        <v>0</v>
      </c>
      <c r="M307">
        <v>0.46200003922978378</v>
      </c>
      <c r="N307">
        <v>0</v>
      </c>
      <c r="O307">
        <v>0</v>
      </c>
      <c r="P307">
        <v>0.511640758102479</v>
      </c>
      <c r="Q307">
        <v>1.1051237420031239</v>
      </c>
      <c r="R307">
        <v>3.814853169879012</v>
      </c>
      <c r="S307">
        <v>0.22687764125254151</v>
      </c>
      <c r="T307">
        <v>0.17633928525906639</v>
      </c>
      <c r="U307">
        <v>4.418010118566559</v>
      </c>
      <c r="V307">
        <v>0.21014144114715341</v>
      </c>
      <c r="W307">
        <v>8.6973010443169532</v>
      </c>
      <c r="X307">
        <v>0.32466842083893038</v>
      </c>
      <c r="Z307" t="s">
        <v>392</v>
      </c>
      <c r="AA307">
        <v>114</v>
      </c>
      <c r="AB307" t="s">
        <v>3740</v>
      </c>
      <c r="AC307" t="str">
        <f>HYPERLINK("plots/3FT6Y578R04_015_S21P_20251218081014_M5358ACSC201811_RBGEUFRF04/dpll_52046/txpa_55226.png","plot")</f>
        <v>plot</v>
      </c>
    </row>
    <row r="308" spans="1:29" x14ac:dyDescent="0.35">
      <c r="A308" t="s">
        <v>49</v>
      </c>
      <c r="B308">
        <v>52046</v>
      </c>
      <c r="C308" t="s">
        <v>51</v>
      </c>
      <c r="D308">
        <v>55227</v>
      </c>
      <c r="E308" t="s">
        <v>360</v>
      </c>
      <c r="F308">
        <v>12028</v>
      </c>
      <c r="G308">
        <v>0.7009460556013446</v>
      </c>
      <c r="H308">
        <v>0</v>
      </c>
      <c r="I308">
        <v>0</v>
      </c>
      <c r="J308">
        <v>0.63975881496044273</v>
      </c>
      <c r="K308">
        <v>0</v>
      </c>
      <c r="L308">
        <v>0</v>
      </c>
      <c r="M308">
        <v>0.4584337219971214</v>
      </c>
      <c r="N308">
        <v>0</v>
      </c>
      <c r="O308">
        <v>0</v>
      </c>
      <c r="P308">
        <v>0.49132537286308331</v>
      </c>
      <c r="Q308">
        <v>1.1052119668405831</v>
      </c>
      <c r="R308">
        <v>4.3299954278366011</v>
      </c>
      <c r="S308">
        <v>0.23631376974256491</v>
      </c>
      <c r="T308">
        <v>0.180423509848048</v>
      </c>
      <c r="U308">
        <v>4.4179867093448619</v>
      </c>
      <c r="V308">
        <v>0.2101483876699779</v>
      </c>
      <c r="W308">
        <v>9.2128072083471899</v>
      </c>
      <c r="X308">
        <v>0.33135005327315531</v>
      </c>
      <c r="Z308" t="s">
        <v>392</v>
      </c>
      <c r="AA308">
        <v>114</v>
      </c>
      <c r="AB308" t="s">
        <v>3741</v>
      </c>
      <c r="AC308" t="str">
        <f>HYPERLINK("plots/3FT6Y578R04_015_S21P_20251218081014_M5358ACSC201811_RBGEUFRF04/dpll_52046/txpa_55227.png","plot")</f>
        <v>plot</v>
      </c>
    </row>
    <row r="309" spans="1:29" x14ac:dyDescent="0.35">
      <c r="A309" t="s">
        <v>49</v>
      </c>
      <c r="B309">
        <v>52046</v>
      </c>
      <c r="C309" t="s">
        <v>51</v>
      </c>
      <c r="D309">
        <v>55228</v>
      </c>
      <c r="E309" t="s">
        <v>361</v>
      </c>
      <c r="F309">
        <v>12028</v>
      </c>
      <c r="G309">
        <v>0.72052374214942039</v>
      </c>
      <c r="H309">
        <v>0</v>
      </c>
      <c r="I309">
        <v>0</v>
      </c>
      <c r="J309">
        <v>0.65220195640462442</v>
      </c>
      <c r="K309">
        <v>0</v>
      </c>
      <c r="L309">
        <v>0</v>
      </c>
      <c r="M309">
        <v>0.47099644351626352</v>
      </c>
      <c r="N309">
        <v>0</v>
      </c>
      <c r="O309">
        <v>0</v>
      </c>
      <c r="P309">
        <v>0.51915446300100443</v>
      </c>
      <c r="Q309">
        <v>1.136523205370392</v>
      </c>
      <c r="R309">
        <v>4.2172198708917374</v>
      </c>
      <c r="S309">
        <v>0.22984804512331899</v>
      </c>
      <c r="T309">
        <v>0.17835656291558091</v>
      </c>
      <c r="U309">
        <v>4.4179867093448619</v>
      </c>
      <c r="V309">
        <v>0.2101483876699779</v>
      </c>
      <c r="W309">
        <v>9.238364287080147</v>
      </c>
      <c r="X309">
        <v>0.33147904112863119</v>
      </c>
      <c r="Z309" t="s">
        <v>392</v>
      </c>
      <c r="AA309">
        <v>114</v>
      </c>
      <c r="AB309" t="s">
        <v>3742</v>
      </c>
      <c r="AC309" t="str">
        <f>HYPERLINK("plots/3FT6Y578R04_015_S21P_20251218081014_M5358ACSC201811_RBGEUFRF04/dpll_52046/txpa_55228.png","plot")</f>
        <v>plot</v>
      </c>
    </row>
    <row r="310" spans="1:29" x14ac:dyDescent="0.35">
      <c r="A310" t="s">
        <v>49</v>
      </c>
      <c r="B310">
        <v>52046</v>
      </c>
      <c r="C310" t="s">
        <v>51</v>
      </c>
      <c r="D310">
        <v>55229</v>
      </c>
      <c r="E310" t="s">
        <v>362</v>
      </c>
      <c r="F310">
        <v>12028</v>
      </c>
      <c r="G310">
        <v>0.7098856824038341</v>
      </c>
      <c r="H310">
        <v>0</v>
      </c>
      <c r="I310">
        <v>0</v>
      </c>
      <c r="J310">
        <v>0.64088970372206899</v>
      </c>
      <c r="K310">
        <v>0</v>
      </c>
      <c r="L310">
        <v>0</v>
      </c>
      <c r="M310">
        <v>0.46061046778009562</v>
      </c>
      <c r="N310">
        <v>0</v>
      </c>
      <c r="O310">
        <v>0</v>
      </c>
      <c r="P310">
        <v>0.50393768208195722</v>
      </c>
      <c r="Q310">
        <v>1.10344269210141</v>
      </c>
      <c r="R310">
        <v>4.379741497598661</v>
      </c>
      <c r="S310">
        <v>0.23005808103311809</v>
      </c>
      <c r="T310">
        <v>0.1772757353263584</v>
      </c>
      <c r="U310">
        <v>4.4179867093448619</v>
      </c>
      <c r="V310">
        <v>0.2101483876699779</v>
      </c>
      <c r="W310">
        <v>9.2547366458264051</v>
      </c>
      <c r="X310">
        <v>0.32665358434348218</v>
      </c>
      <c r="Z310" t="s">
        <v>392</v>
      </c>
      <c r="AA310">
        <v>114</v>
      </c>
      <c r="AB310" t="s">
        <v>3743</v>
      </c>
      <c r="AC310" t="str">
        <f>HYPERLINK("plots/3FT6Y578R04_015_S21P_20251218081014_M5358ACSC201811_RBGEUFRF04/dpll_52046/txpa_55229.png","plot")</f>
        <v>plot</v>
      </c>
    </row>
    <row r="311" spans="1:29" x14ac:dyDescent="0.35">
      <c r="A311" t="s">
        <v>49</v>
      </c>
      <c r="B311">
        <v>52046</v>
      </c>
      <c r="C311" t="s">
        <v>51</v>
      </c>
      <c r="D311">
        <v>55230</v>
      </c>
      <c r="E311" t="s">
        <v>363</v>
      </c>
      <c r="F311">
        <v>12027</v>
      </c>
      <c r="G311">
        <v>0.72519323021669913</v>
      </c>
      <c r="H311">
        <v>0</v>
      </c>
      <c r="I311">
        <v>0</v>
      </c>
      <c r="J311">
        <v>0.65305159508205635</v>
      </c>
      <c r="K311">
        <v>0</v>
      </c>
      <c r="L311">
        <v>0</v>
      </c>
      <c r="M311">
        <v>0.47166012164603499</v>
      </c>
      <c r="N311">
        <v>0</v>
      </c>
      <c r="O311">
        <v>0</v>
      </c>
      <c r="P311">
        <v>0.52590522115213034</v>
      </c>
      <c r="Q311">
        <v>1.1355851203803791</v>
      </c>
      <c r="R311">
        <v>4.2354748530920254</v>
      </c>
      <c r="S311">
        <v>0.2265794175161335</v>
      </c>
      <c r="T311">
        <v>0.17618778617281791</v>
      </c>
      <c r="U311">
        <v>4.417995080651866</v>
      </c>
      <c r="V311">
        <v>0.21015511914181201</v>
      </c>
      <c r="W311">
        <v>9.2524843285939973</v>
      </c>
      <c r="X311">
        <v>0.3290833619584333</v>
      </c>
      <c r="Z311" t="s">
        <v>392</v>
      </c>
      <c r="AA311">
        <v>114</v>
      </c>
      <c r="AB311" t="s">
        <v>3744</v>
      </c>
      <c r="AC311" t="str">
        <f>HYPERLINK("plots/3FT6Y578R04_015_S21P_20251218081014_M5358ACSC201811_RBGEUFRF04/dpll_52046/txpa_55230.png","plot")</f>
        <v>plot</v>
      </c>
    </row>
    <row r="312" spans="1:29" x14ac:dyDescent="0.35">
      <c r="A312" t="s">
        <v>49</v>
      </c>
      <c r="B312">
        <v>52046</v>
      </c>
      <c r="C312" t="s">
        <v>51</v>
      </c>
      <c r="D312">
        <v>55231</v>
      </c>
      <c r="E312" t="s">
        <v>364</v>
      </c>
      <c r="F312">
        <v>12027</v>
      </c>
      <c r="G312">
        <v>0.7251552665305081</v>
      </c>
      <c r="H312">
        <v>0</v>
      </c>
      <c r="I312">
        <v>0</v>
      </c>
      <c r="J312">
        <v>0.64636718698257656</v>
      </c>
      <c r="K312">
        <v>0</v>
      </c>
      <c r="L312">
        <v>0</v>
      </c>
      <c r="M312">
        <v>0.46417136046448843</v>
      </c>
      <c r="N312">
        <v>0</v>
      </c>
      <c r="O312">
        <v>0</v>
      </c>
      <c r="P312">
        <v>0.52585016057693224</v>
      </c>
      <c r="Q312">
        <v>1.130400954694939</v>
      </c>
      <c r="R312">
        <v>4.2432144202498661</v>
      </c>
      <c r="S312">
        <v>0.22554805917754681</v>
      </c>
      <c r="T312">
        <v>0.17630917294234569</v>
      </c>
      <c r="U312">
        <v>4.4179587365926656</v>
      </c>
      <c r="V312">
        <v>0.21013472984942591</v>
      </c>
      <c r="W312">
        <v>9.2372791938970646</v>
      </c>
      <c r="X312">
        <v>0.32756639881117189</v>
      </c>
      <c r="Z312" t="s">
        <v>392</v>
      </c>
      <c r="AA312">
        <v>114</v>
      </c>
      <c r="AB312" t="s">
        <v>3745</v>
      </c>
      <c r="AC312" t="str">
        <f>HYPERLINK("plots/3FT6Y578R04_015_S21P_20251218081014_M5358ACSC201811_RBGEUFRF04/dpll_52046/txpa_55231.png","plot")</f>
        <v>plot</v>
      </c>
    </row>
    <row r="313" spans="1:29" x14ac:dyDescent="0.35">
      <c r="A313" t="s">
        <v>49</v>
      </c>
      <c r="B313">
        <v>52046</v>
      </c>
      <c r="C313" t="s">
        <v>51</v>
      </c>
      <c r="D313">
        <v>55232</v>
      </c>
      <c r="E313" t="s">
        <v>365</v>
      </c>
      <c r="F313">
        <v>12028</v>
      </c>
      <c r="G313">
        <v>0.72874808446014894</v>
      </c>
      <c r="H313">
        <v>0</v>
      </c>
      <c r="I313">
        <v>0</v>
      </c>
      <c r="J313">
        <v>0.65881879395006315</v>
      </c>
      <c r="K313">
        <v>0</v>
      </c>
      <c r="L313">
        <v>0</v>
      </c>
      <c r="M313">
        <v>0.47639089430748172</v>
      </c>
      <c r="N313">
        <v>0</v>
      </c>
      <c r="O313">
        <v>0</v>
      </c>
      <c r="P313">
        <v>0.53107377060433636</v>
      </c>
      <c r="Q313">
        <v>1.1475780879446089</v>
      </c>
      <c r="R313">
        <v>4.1807723035891788</v>
      </c>
      <c r="S313">
        <v>0.22660270606793981</v>
      </c>
      <c r="T313">
        <v>0.17626748918637039</v>
      </c>
      <c r="U313">
        <v>4.4179867093448619</v>
      </c>
      <c r="V313">
        <v>0.2101483876699779</v>
      </c>
      <c r="W313">
        <v>9.2507570440638514</v>
      </c>
      <c r="X313">
        <v>0.33092599493500757</v>
      </c>
      <c r="Z313" t="s">
        <v>392</v>
      </c>
      <c r="AA313">
        <v>114</v>
      </c>
      <c r="AB313" t="s">
        <v>3746</v>
      </c>
      <c r="AC313" t="str">
        <f>HYPERLINK("plots/3FT6Y578R04_015_S21P_20251218081014_M5358ACSC201811_RBGEUFRF04/dpll_52046/txpa_55232.png","plot")</f>
        <v>plot</v>
      </c>
    </row>
    <row r="314" spans="1:29" x14ac:dyDescent="0.35">
      <c r="A314" t="s">
        <v>49</v>
      </c>
      <c r="B314">
        <v>52046</v>
      </c>
      <c r="C314" t="s">
        <v>51</v>
      </c>
      <c r="D314">
        <v>55233</v>
      </c>
      <c r="E314" t="s">
        <v>366</v>
      </c>
      <c r="F314">
        <v>12028</v>
      </c>
      <c r="G314">
        <v>0.72871530850880328</v>
      </c>
      <c r="H314">
        <v>0</v>
      </c>
      <c r="I314">
        <v>0</v>
      </c>
      <c r="J314">
        <v>0.65250546692441813</v>
      </c>
      <c r="K314">
        <v>0</v>
      </c>
      <c r="L314">
        <v>0</v>
      </c>
      <c r="M314">
        <v>0.47008806007698289</v>
      </c>
      <c r="N314">
        <v>0</v>
      </c>
      <c r="O314">
        <v>0</v>
      </c>
      <c r="P314">
        <v>0.53102600085508034</v>
      </c>
      <c r="Q314">
        <v>1.130363119358097</v>
      </c>
      <c r="R314">
        <v>4.2649611054740859</v>
      </c>
      <c r="S314">
        <v>0.22322481763944821</v>
      </c>
      <c r="T314">
        <v>0.17470053138571359</v>
      </c>
      <c r="U314">
        <v>4.4179867093448619</v>
      </c>
      <c r="V314">
        <v>0.2101483876699779</v>
      </c>
      <c r="W314">
        <v>9.2588903435317604</v>
      </c>
      <c r="X314">
        <v>0.3259763919339172</v>
      </c>
      <c r="Z314" t="s">
        <v>392</v>
      </c>
      <c r="AA314">
        <v>114</v>
      </c>
      <c r="AB314" t="s">
        <v>3747</v>
      </c>
      <c r="AC314" t="str">
        <f>HYPERLINK("plots/3FT6Y578R04_015_S21P_20251218081014_M5358ACSC201811_RBGEUFRF04/dpll_52046/txpa_55233.png","plot")</f>
        <v>plot</v>
      </c>
    </row>
    <row r="315" spans="1:29" x14ac:dyDescent="0.35">
      <c r="A315" t="s">
        <v>49</v>
      </c>
      <c r="B315">
        <v>52046</v>
      </c>
      <c r="C315" t="s">
        <v>51</v>
      </c>
      <c r="D315">
        <v>55234</v>
      </c>
      <c r="E315" t="s">
        <v>367</v>
      </c>
      <c r="F315">
        <v>12027</v>
      </c>
      <c r="G315">
        <v>0.72046606548195258</v>
      </c>
      <c r="H315">
        <v>0</v>
      </c>
      <c r="I315">
        <v>0</v>
      </c>
      <c r="J315">
        <v>0.6454624086187557</v>
      </c>
      <c r="K315">
        <v>0</v>
      </c>
      <c r="L315">
        <v>0</v>
      </c>
      <c r="M315">
        <v>0.46519463843427228</v>
      </c>
      <c r="N315">
        <v>0</v>
      </c>
      <c r="O315">
        <v>0</v>
      </c>
      <c r="P315">
        <v>0.51907135151104522</v>
      </c>
      <c r="Q315">
        <v>1.128161007749779</v>
      </c>
      <c r="R315">
        <v>4.2424600564135106</v>
      </c>
      <c r="S315">
        <v>0.2281873317267275</v>
      </c>
      <c r="T315">
        <v>0.17703122684221079</v>
      </c>
      <c r="U315">
        <v>4.418010118566559</v>
      </c>
      <c r="V315">
        <v>0.21014144114715341</v>
      </c>
      <c r="W315">
        <v>9.2266868040242791</v>
      </c>
      <c r="X315">
        <v>0.3290555813422999</v>
      </c>
      <c r="Z315" t="s">
        <v>392</v>
      </c>
      <c r="AA315">
        <v>114</v>
      </c>
      <c r="AB315" t="s">
        <v>3748</v>
      </c>
      <c r="AC315" t="str">
        <f>HYPERLINK("plots/3FT6Y578R04_015_S21P_20251218081014_M5358ACSC201811_RBGEUFRF04/dpll_52046/txpa_55234.png","plot")</f>
        <v>plot</v>
      </c>
    </row>
    <row r="316" spans="1:29" x14ac:dyDescent="0.35">
      <c r="A316" t="s">
        <v>49</v>
      </c>
      <c r="B316">
        <v>52046</v>
      </c>
      <c r="C316" t="s">
        <v>51</v>
      </c>
      <c r="D316">
        <v>55235</v>
      </c>
      <c r="E316" t="s">
        <v>368</v>
      </c>
      <c r="F316">
        <v>12028</v>
      </c>
      <c r="G316">
        <v>0.70583780591194611</v>
      </c>
      <c r="H316">
        <v>0</v>
      </c>
      <c r="I316">
        <v>0</v>
      </c>
      <c r="J316">
        <v>0.64328280924891723</v>
      </c>
      <c r="K316">
        <v>0</v>
      </c>
      <c r="L316">
        <v>0</v>
      </c>
      <c r="M316">
        <v>0.46141477798279318</v>
      </c>
      <c r="N316">
        <v>0</v>
      </c>
      <c r="O316">
        <v>0</v>
      </c>
      <c r="P316">
        <v>0.49820700825459008</v>
      </c>
      <c r="Q316">
        <v>1.127083538801495</v>
      </c>
      <c r="R316">
        <v>4.7285080543224591</v>
      </c>
      <c r="S316">
        <v>0.23769579262413809</v>
      </c>
      <c r="T316">
        <v>0.1811458423634118</v>
      </c>
      <c r="U316">
        <v>4.4179867093448619</v>
      </c>
      <c r="V316">
        <v>0.2101483876699779</v>
      </c>
      <c r="W316">
        <v>9.7079481490688391</v>
      </c>
      <c r="X316">
        <v>0.33556546059825992</v>
      </c>
      <c r="Z316" t="s">
        <v>392</v>
      </c>
      <c r="AA316">
        <v>114</v>
      </c>
      <c r="AB316" t="s">
        <v>3749</v>
      </c>
      <c r="AC316" t="str">
        <f>HYPERLINK("plots/3FT6Y578R04_015_S21P_20251218081014_M5358ACSC201811_RBGEUFRF04/dpll_52046/txpa_55235.png","plot")</f>
        <v>plot</v>
      </c>
    </row>
    <row r="317" spans="1:29" x14ac:dyDescent="0.35">
      <c r="A317" t="s">
        <v>49</v>
      </c>
      <c r="B317">
        <v>52046</v>
      </c>
      <c r="C317" t="s">
        <v>51</v>
      </c>
      <c r="D317">
        <v>55236</v>
      </c>
      <c r="E317" t="s">
        <v>369</v>
      </c>
      <c r="F317">
        <v>12028</v>
      </c>
      <c r="G317">
        <v>0.72506719805737807</v>
      </c>
      <c r="H317">
        <v>0</v>
      </c>
      <c r="I317">
        <v>0</v>
      </c>
      <c r="J317">
        <v>0.65549087760578628</v>
      </c>
      <c r="K317">
        <v>0</v>
      </c>
      <c r="L317">
        <v>0</v>
      </c>
      <c r="M317">
        <v>0.47382968575892731</v>
      </c>
      <c r="N317">
        <v>0</v>
      </c>
      <c r="O317">
        <v>0</v>
      </c>
      <c r="P317">
        <v>0.52572244169877713</v>
      </c>
      <c r="Q317">
        <v>1.1585941689639809</v>
      </c>
      <c r="R317">
        <v>4.6148480799793736</v>
      </c>
      <c r="S317">
        <v>0.2312476755606846</v>
      </c>
      <c r="T317">
        <v>0.1791232426498123</v>
      </c>
      <c r="U317">
        <v>4.4179867093448619</v>
      </c>
      <c r="V317">
        <v>0.2101483876699779</v>
      </c>
      <c r="W317">
        <v>9.7335017199866982</v>
      </c>
      <c r="X317">
        <v>0.33579880213026991</v>
      </c>
      <c r="Z317" t="s">
        <v>392</v>
      </c>
      <c r="AA317">
        <v>114</v>
      </c>
      <c r="AB317" t="s">
        <v>3750</v>
      </c>
      <c r="AC317" t="str">
        <f>HYPERLINK("plots/3FT6Y578R04_015_S21P_20251218081014_M5358ACSC201811_RBGEUFRF04/dpll_52046/txpa_55236.png","plot")</f>
        <v>plot</v>
      </c>
    </row>
    <row r="318" spans="1:29" x14ac:dyDescent="0.35">
      <c r="A318" t="s">
        <v>49</v>
      </c>
      <c r="B318">
        <v>52046</v>
      </c>
      <c r="C318" t="s">
        <v>51</v>
      </c>
      <c r="D318">
        <v>55237</v>
      </c>
      <c r="E318" t="s">
        <v>370</v>
      </c>
      <c r="F318">
        <v>12028</v>
      </c>
      <c r="G318">
        <v>0.71483437372337499</v>
      </c>
      <c r="H318">
        <v>0</v>
      </c>
      <c r="I318">
        <v>0</v>
      </c>
      <c r="J318">
        <v>0.64443475268130668</v>
      </c>
      <c r="K318">
        <v>0</v>
      </c>
      <c r="L318">
        <v>0</v>
      </c>
      <c r="M318">
        <v>0.46362688670878022</v>
      </c>
      <c r="N318">
        <v>0</v>
      </c>
      <c r="O318">
        <v>0</v>
      </c>
      <c r="P318">
        <v>0.51098818185648975</v>
      </c>
      <c r="Q318">
        <v>1.125718600530965</v>
      </c>
      <c r="R318">
        <v>4.7766258421903691</v>
      </c>
      <c r="S318">
        <v>0.2314153164339865</v>
      </c>
      <c r="T318">
        <v>0.17796895201682811</v>
      </c>
      <c r="U318">
        <v>4.4179867093448619</v>
      </c>
      <c r="V318">
        <v>0.2101483876699779</v>
      </c>
      <c r="W318">
        <v>9.7500356577984704</v>
      </c>
      <c r="X318">
        <v>0.330940925013817</v>
      </c>
      <c r="Z318" t="s">
        <v>392</v>
      </c>
      <c r="AA318">
        <v>114</v>
      </c>
      <c r="AB318" t="s">
        <v>3751</v>
      </c>
      <c r="AC318" t="str">
        <f>HYPERLINK("plots/3FT6Y578R04_015_S21P_20251218081014_M5358ACSC201811_RBGEUFRF04/dpll_52046/txpa_55237.png","plot")</f>
        <v>plot</v>
      </c>
    </row>
    <row r="319" spans="1:29" x14ac:dyDescent="0.35">
      <c r="A319" t="s">
        <v>49</v>
      </c>
      <c r="B319">
        <v>52046</v>
      </c>
      <c r="C319" t="s">
        <v>51</v>
      </c>
      <c r="D319">
        <v>55238</v>
      </c>
      <c r="E319" t="s">
        <v>371</v>
      </c>
      <c r="F319">
        <v>12027</v>
      </c>
      <c r="G319">
        <v>0.72979778313678945</v>
      </c>
      <c r="H319">
        <v>0</v>
      </c>
      <c r="I319">
        <v>0</v>
      </c>
      <c r="J319">
        <v>0.65638549052846151</v>
      </c>
      <c r="K319">
        <v>0</v>
      </c>
      <c r="L319">
        <v>0</v>
      </c>
      <c r="M319">
        <v>0.47452885095138919</v>
      </c>
      <c r="N319">
        <v>0</v>
      </c>
      <c r="O319">
        <v>0</v>
      </c>
      <c r="P319">
        <v>0.53260480427137236</v>
      </c>
      <c r="Q319">
        <v>1.1579402972459649</v>
      </c>
      <c r="R319">
        <v>4.6315392642760713</v>
      </c>
      <c r="S319">
        <v>0.22795423647595001</v>
      </c>
      <c r="T319">
        <v>0.17699600062903581</v>
      </c>
      <c r="U319">
        <v>4.417995080651866</v>
      </c>
      <c r="V319">
        <v>0.21015511914181201</v>
      </c>
      <c r="W319">
        <v>9.7473138011973059</v>
      </c>
      <c r="X319">
        <v>0.33344453319779299</v>
      </c>
      <c r="Z319" t="s">
        <v>392</v>
      </c>
      <c r="AA319">
        <v>114</v>
      </c>
      <c r="AB319" t="s">
        <v>3752</v>
      </c>
      <c r="AC319" t="str">
        <f>HYPERLINK("plots/3FT6Y578R04_015_S21P_20251218081014_M5358ACSC201811_RBGEUFRF04/dpll_52046/txpa_55238.png","plot")</f>
        <v>plot</v>
      </c>
    </row>
    <row r="320" spans="1:29" x14ac:dyDescent="0.35">
      <c r="A320" t="s">
        <v>49</v>
      </c>
      <c r="B320">
        <v>52046</v>
      </c>
      <c r="C320" t="s">
        <v>51</v>
      </c>
      <c r="D320">
        <v>55239</v>
      </c>
      <c r="E320" t="s">
        <v>372</v>
      </c>
      <c r="F320">
        <v>12027</v>
      </c>
      <c r="G320">
        <v>0.72982462721696018</v>
      </c>
      <c r="H320">
        <v>0</v>
      </c>
      <c r="I320">
        <v>0</v>
      </c>
      <c r="J320">
        <v>0.64972371259459794</v>
      </c>
      <c r="K320">
        <v>0</v>
      </c>
      <c r="L320">
        <v>0</v>
      </c>
      <c r="M320">
        <v>0.46699562475882062</v>
      </c>
      <c r="N320">
        <v>0</v>
      </c>
      <c r="O320">
        <v>0</v>
      </c>
      <c r="P320">
        <v>0.53264398649237488</v>
      </c>
      <c r="Q320">
        <v>1.152577199617066</v>
      </c>
      <c r="R320">
        <v>4.63971575467846</v>
      </c>
      <c r="S320">
        <v>0.226858579213853</v>
      </c>
      <c r="T320">
        <v>0.17704247294458331</v>
      </c>
      <c r="U320">
        <v>4.4179587365926656</v>
      </c>
      <c r="V320">
        <v>0.21013472984942591</v>
      </c>
      <c r="W320">
        <v>9.7317542633241878</v>
      </c>
      <c r="X320">
        <v>0.33185574923075389</v>
      </c>
      <c r="Z320" t="s">
        <v>392</v>
      </c>
      <c r="AA320">
        <v>114</v>
      </c>
      <c r="AB320" t="s">
        <v>3753</v>
      </c>
      <c r="AC320" t="str">
        <f>HYPERLINK("plots/3FT6Y578R04_015_S21P_20251218081014_M5358ACSC201811_RBGEUFRF04/dpll_52046/txpa_55239.png","plot")</f>
        <v>plot</v>
      </c>
    </row>
    <row r="321" spans="1:29" x14ac:dyDescent="0.35">
      <c r="A321" t="s">
        <v>49</v>
      </c>
      <c r="B321">
        <v>52046</v>
      </c>
      <c r="C321" t="s">
        <v>51</v>
      </c>
      <c r="D321">
        <v>55240</v>
      </c>
      <c r="E321" t="s">
        <v>373</v>
      </c>
      <c r="F321">
        <v>12028</v>
      </c>
      <c r="G321">
        <v>0.73310988270453714</v>
      </c>
      <c r="H321">
        <v>0</v>
      </c>
      <c r="I321">
        <v>0</v>
      </c>
      <c r="J321">
        <v>0.66204795925465931</v>
      </c>
      <c r="K321">
        <v>0</v>
      </c>
      <c r="L321">
        <v>0</v>
      </c>
      <c r="M321">
        <v>0.47921142120906829</v>
      </c>
      <c r="N321">
        <v>0</v>
      </c>
      <c r="O321">
        <v>0</v>
      </c>
      <c r="P321">
        <v>0.53745010011906025</v>
      </c>
      <c r="Q321">
        <v>1.1696904686169409</v>
      </c>
      <c r="R321">
        <v>4.5780978285494474</v>
      </c>
      <c r="S321">
        <v>0.22802852638299489</v>
      </c>
      <c r="T321">
        <v>0.17708594716506171</v>
      </c>
      <c r="U321">
        <v>4.4179867093448619</v>
      </c>
      <c r="V321">
        <v>0.2101483876699779</v>
      </c>
      <c r="W321">
        <v>9.7457747729464579</v>
      </c>
      <c r="X321">
        <v>0.33529566556376439</v>
      </c>
      <c r="Z321" t="s">
        <v>392</v>
      </c>
      <c r="AA321">
        <v>114</v>
      </c>
      <c r="AB321" t="s">
        <v>3754</v>
      </c>
      <c r="AC321" t="str">
        <f>HYPERLINK("plots/3FT6Y578R04_015_S21P_20251218081014_M5358ACSC201811_RBGEUFRF04/dpll_52046/txpa_55240.png","plot")</f>
        <v>plot</v>
      </c>
    </row>
    <row r="322" spans="1:29" x14ac:dyDescent="0.35">
      <c r="A322" t="s">
        <v>49</v>
      </c>
      <c r="B322">
        <v>52046</v>
      </c>
      <c r="C322" t="s">
        <v>51</v>
      </c>
      <c r="D322">
        <v>55241</v>
      </c>
      <c r="E322" t="s">
        <v>374</v>
      </c>
      <c r="F322">
        <v>12028</v>
      </c>
      <c r="G322">
        <v>0.73340800041606891</v>
      </c>
      <c r="H322">
        <v>0</v>
      </c>
      <c r="I322">
        <v>0</v>
      </c>
      <c r="J322">
        <v>0.65564775798791697</v>
      </c>
      <c r="K322">
        <v>0</v>
      </c>
      <c r="L322">
        <v>0</v>
      </c>
      <c r="M322">
        <v>0.47284761657145141</v>
      </c>
      <c r="N322">
        <v>0</v>
      </c>
      <c r="O322">
        <v>0</v>
      </c>
      <c r="P322">
        <v>0.53788729507429656</v>
      </c>
      <c r="Q322">
        <v>1.1529681489901</v>
      </c>
      <c r="R322">
        <v>4.6600977498941196</v>
      </c>
      <c r="S322">
        <v>0.2245709774496395</v>
      </c>
      <c r="T322">
        <v>0.17545805230002021</v>
      </c>
      <c r="U322">
        <v>4.4179867093448619</v>
      </c>
      <c r="V322">
        <v>0.2101483876699779</v>
      </c>
      <c r="W322">
        <v>9.7538957084303277</v>
      </c>
      <c r="X322">
        <v>0.33036781356032752</v>
      </c>
      <c r="Z322" t="s">
        <v>392</v>
      </c>
      <c r="AA322">
        <v>114</v>
      </c>
      <c r="AB322" t="s">
        <v>3755</v>
      </c>
      <c r="AC322" t="str">
        <f>HYPERLINK("plots/3FT6Y578R04_015_S21P_20251218081014_M5358ACSC201811_RBGEUFRF04/dpll_52046/txpa_55241.png","plot")</f>
        <v>plot</v>
      </c>
    </row>
    <row r="323" spans="1:29" x14ac:dyDescent="0.35">
      <c r="A323" t="s">
        <v>49</v>
      </c>
      <c r="B323">
        <v>52046</v>
      </c>
      <c r="C323" t="s">
        <v>51</v>
      </c>
      <c r="D323">
        <v>55242</v>
      </c>
      <c r="E323" t="s">
        <v>375</v>
      </c>
      <c r="F323">
        <v>12027</v>
      </c>
      <c r="G323">
        <v>0.72497186204508546</v>
      </c>
      <c r="H323">
        <v>0</v>
      </c>
      <c r="I323">
        <v>0</v>
      </c>
      <c r="J323">
        <v>0.64867255933860613</v>
      </c>
      <c r="K323">
        <v>0</v>
      </c>
      <c r="L323">
        <v>0</v>
      </c>
      <c r="M323">
        <v>0.46792836806681692</v>
      </c>
      <c r="N323">
        <v>0</v>
      </c>
      <c r="O323">
        <v>0</v>
      </c>
      <c r="P323">
        <v>0.52558420075711842</v>
      </c>
      <c r="Q323">
        <v>1.150127352176648</v>
      </c>
      <c r="R323">
        <v>4.6408432812648881</v>
      </c>
      <c r="S323">
        <v>0.2296138092431943</v>
      </c>
      <c r="T323">
        <v>0.17787009414321439</v>
      </c>
      <c r="U323">
        <v>4.418010118566559</v>
      </c>
      <c r="V323">
        <v>0.21014144114715341</v>
      </c>
      <c r="W323">
        <v>9.7221175608214843</v>
      </c>
      <c r="X323">
        <v>0.3333776549718423</v>
      </c>
      <c r="Z323" t="s">
        <v>392</v>
      </c>
      <c r="AA323">
        <v>114</v>
      </c>
      <c r="AB323" t="s">
        <v>3756</v>
      </c>
      <c r="AC323" t="str">
        <f>HYPERLINK("plots/3FT6Y578R04_015_S21P_20251218081014_M5358ACSC201811_RBGEUFRF04/dpll_52046/txpa_55242.png","plot")</f>
        <v>plot</v>
      </c>
    </row>
    <row r="324" spans="1:29" x14ac:dyDescent="0.35">
      <c r="A324" t="s">
        <v>49</v>
      </c>
      <c r="B324">
        <v>52046</v>
      </c>
      <c r="C324" t="s">
        <v>51</v>
      </c>
      <c r="D324">
        <v>55243</v>
      </c>
      <c r="E324" t="s">
        <v>376</v>
      </c>
      <c r="F324">
        <v>12028</v>
      </c>
      <c r="G324">
        <v>0.71803650408773001</v>
      </c>
      <c r="H324">
        <v>0</v>
      </c>
      <c r="I324">
        <v>0</v>
      </c>
      <c r="J324">
        <v>0.65209230967916965</v>
      </c>
      <c r="K324">
        <v>0</v>
      </c>
      <c r="L324">
        <v>0</v>
      </c>
      <c r="M324">
        <v>0.46913271168241871</v>
      </c>
      <c r="N324">
        <v>0</v>
      </c>
      <c r="O324">
        <v>0</v>
      </c>
      <c r="P324">
        <v>0.51557642120252867</v>
      </c>
      <c r="Q324">
        <v>1.190303345246531</v>
      </c>
      <c r="R324">
        <v>6.0886640349419956</v>
      </c>
      <c r="S324">
        <v>0.2424553520416301</v>
      </c>
      <c r="T324">
        <v>0.18365878746490269</v>
      </c>
      <c r="U324">
        <v>4.4179867093448619</v>
      </c>
      <c r="V324">
        <v>0.2101483876699779</v>
      </c>
      <c r="W324">
        <v>11.3474083943299</v>
      </c>
      <c r="X324">
        <v>0.34836714765573717</v>
      </c>
      <c r="Z324" t="s">
        <v>392</v>
      </c>
      <c r="AA324">
        <v>114</v>
      </c>
      <c r="AB324" t="s">
        <v>3757</v>
      </c>
      <c r="AC324" t="str">
        <f>HYPERLINK("plots/3FT6Y578R04_015_S21P_20251218081014_M5358ACSC201811_RBGEUFRF04/dpll_52046/txpa_55243.png","plot")</f>
        <v>plot</v>
      </c>
    </row>
    <row r="325" spans="1:29" x14ac:dyDescent="0.35">
      <c r="A325" t="s">
        <v>49</v>
      </c>
      <c r="B325">
        <v>52046</v>
      </c>
      <c r="C325" t="s">
        <v>51</v>
      </c>
      <c r="D325">
        <v>55244</v>
      </c>
      <c r="E325" t="s">
        <v>377</v>
      </c>
      <c r="F325">
        <v>12028</v>
      </c>
      <c r="G325">
        <v>0.73673706227292013</v>
      </c>
      <c r="H325">
        <v>0</v>
      </c>
      <c r="I325">
        <v>0</v>
      </c>
      <c r="J325">
        <v>0.66402172891987621</v>
      </c>
      <c r="K325">
        <v>0</v>
      </c>
      <c r="L325">
        <v>0</v>
      </c>
      <c r="M325">
        <v>0.4814617992295791</v>
      </c>
      <c r="N325">
        <v>0</v>
      </c>
      <c r="O325">
        <v>0</v>
      </c>
      <c r="P325">
        <v>0.5427814989265326</v>
      </c>
      <c r="Q325">
        <v>1.222147407176541</v>
      </c>
      <c r="R325">
        <v>5.9721897982836403</v>
      </c>
      <c r="S325">
        <v>0.23571161233286261</v>
      </c>
      <c r="T325">
        <v>0.18159528534858119</v>
      </c>
      <c r="U325">
        <v>4.4179867093448619</v>
      </c>
      <c r="V325">
        <v>0.2101483876699779</v>
      </c>
      <c r="W325">
        <v>11.371620800049881</v>
      </c>
      <c r="X325">
        <v>0.34860782803682561</v>
      </c>
      <c r="Z325" t="s">
        <v>392</v>
      </c>
      <c r="AA325">
        <v>114</v>
      </c>
      <c r="AB325" t="s">
        <v>3758</v>
      </c>
      <c r="AC325" t="str">
        <f>HYPERLINK("plots/3FT6Y578R04_015_S21P_20251218081014_M5358ACSC201811_RBGEUFRF04/dpll_52046/txpa_55244.png","plot")</f>
        <v>plot</v>
      </c>
    </row>
    <row r="326" spans="1:29" x14ac:dyDescent="0.35">
      <c r="A326" t="s">
        <v>49</v>
      </c>
      <c r="B326">
        <v>52046</v>
      </c>
      <c r="C326" t="s">
        <v>51</v>
      </c>
      <c r="D326">
        <v>55245</v>
      </c>
      <c r="E326" t="s">
        <v>378</v>
      </c>
      <c r="F326">
        <v>12028</v>
      </c>
      <c r="G326">
        <v>0.72718417465230811</v>
      </c>
      <c r="H326">
        <v>0</v>
      </c>
      <c r="I326">
        <v>0</v>
      </c>
      <c r="J326">
        <v>0.65340485630952516</v>
      </c>
      <c r="K326">
        <v>0</v>
      </c>
      <c r="L326">
        <v>0</v>
      </c>
      <c r="M326">
        <v>0.4715508497352775</v>
      </c>
      <c r="N326">
        <v>0</v>
      </c>
      <c r="O326">
        <v>0</v>
      </c>
      <c r="P326">
        <v>0.52879682386475857</v>
      </c>
      <c r="Q326">
        <v>1.189130321852065</v>
      </c>
      <c r="R326">
        <v>6.1344318376064013</v>
      </c>
      <c r="S326">
        <v>0.2358832740116609</v>
      </c>
      <c r="T326">
        <v>0.18040918432233949</v>
      </c>
      <c r="U326">
        <v>4.4179867093448619</v>
      </c>
      <c r="V326">
        <v>0.2101483876699779</v>
      </c>
      <c r="W326">
        <v>11.3879937952278</v>
      </c>
      <c r="X326">
        <v>0.34364584458425029</v>
      </c>
      <c r="Z326" t="s">
        <v>392</v>
      </c>
      <c r="AA326">
        <v>114</v>
      </c>
      <c r="AB326" t="s">
        <v>3759</v>
      </c>
      <c r="AC326" t="str">
        <f>HYPERLINK("plots/3FT6Y578R04_015_S21P_20251218081014_M5358ACSC201811_RBGEUFRF04/dpll_52046/txpa_55245.png","plot")</f>
        <v>plot</v>
      </c>
    </row>
    <row r="327" spans="1:29" x14ac:dyDescent="0.35">
      <c r="A327" t="s">
        <v>49</v>
      </c>
      <c r="B327">
        <v>52046</v>
      </c>
      <c r="C327" t="s">
        <v>51</v>
      </c>
      <c r="D327">
        <v>55246</v>
      </c>
      <c r="E327" t="s">
        <v>379</v>
      </c>
      <c r="F327">
        <v>12027</v>
      </c>
      <c r="G327">
        <v>0.7413626827935339</v>
      </c>
      <c r="H327">
        <v>0</v>
      </c>
      <c r="I327">
        <v>0</v>
      </c>
      <c r="J327">
        <v>0.66470448542698002</v>
      </c>
      <c r="K327">
        <v>0</v>
      </c>
      <c r="L327">
        <v>0</v>
      </c>
      <c r="M327">
        <v>0.48190852290486802</v>
      </c>
      <c r="N327">
        <v>0</v>
      </c>
      <c r="O327">
        <v>0</v>
      </c>
      <c r="P327">
        <v>0.54961862743882595</v>
      </c>
      <c r="Q327">
        <v>1.2203193916003221</v>
      </c>
      <c r="R327">
        <v>5.9931952872842524</v>
      </c>
      <c r="S327">
        <v>0.2321426397685358</v>
      </c>
      <c r="T327">
        <v>0.17944158769405391</v>
      </c>
      <c r="U327">
        <v>4.417995080651866</v>
      </c>
      <c r="V327">
        <v>0.21015511914181201</v>
      </c>
      <c r="W327">
        <v>11.38456035619855</v>
      </c>
      <c r="X327">
        <v>0.34592564892324251</v>
      </c>
      <c r="Z327" t="s">
        <v>392</v>
      </c>
      <c r="AA327">
        <v>114</v>
      </c>
      <c r="AB327" t="s">
        <v>3760</v>
      </c>
      <c r="AC327" t="str">
        <f>HYPERLINK("plots/3FT6Y578R04_015_S21P_20251218081014_M5358ACSC201811_RBGEUFRF04/dpll_52046/txpa_55246.png","plot")</f>
        <v>plot</v>
      </c>
    </row>
    <row r="328" spans="1:29" x14ac:dyDescent="0.35">
      <c r="A328" t="s">
        <v>49</v>
      </c>
      <c r="B328">
        <v>52046</v>
      </c>
      <c r="C328" t="s">
        <v>51</v>
      </c>
      <c r="D328">
        <v>55247</v>
      </c>
      <c r="E328" t="s">
        <v>380</v>
      </c>
      <c r="F328">
        <v>12027</v>
      </c>
      <c r="G328">
        <v>0.74128227934669388</v>
      </c>
      <c r="H328">
        <v>0</v>
      </c>
      <c r="I328">
        <v>0</v>
      </c>
      <c r="J328">
        <v>0.65771036177126796</v>
      </c>
      <c r="K328">
        <v>0</v>
      </c>
      <c r="L328">
        <v>0</v>
      </c>
      <c r="M328">
        <v>0.47399685649273771</v>
      </c>
      <c r="N328">
        <v>0</v>
      </c>
      <c r="O328">
        <v>0</v>
      </c>
      <c r="P328">
        <v>0.54949941767342991</v>
      </c>
      <c r="Q328">
        <v>1.2159175337393431</v>
      </c>
      <c r="R328">
        <v>5.9962729143443427</v>
      </c>
      <c r="S328">
        <v>0.23133852460297261</v>
      </c>
      <c r="T328">
        <v>0.17967497604495011</v>
      </c>
      <c r="U328">
        <v>4.4179587365926656</v>
      </c>
      <c r="V328">
        <v>0.21013472984942591</v>
      </c>
      <c r="W328">
        <v>11.36814640550428</v>
      </c>
      <c r="X328">
        <v>0.3446817893673107</v>
      </c>
      <c r="Z328" t="s">
        <v>392</v>
      </c>
      <c r="AA328">
        <v>114</v>
      </c>
      <c r="AB328" t="s">
        <v>3761</v>
      </c>
      <c r="AC328" t="str">
        <f>HYPERLINK("plots/3FT6Y578R04_015_S21P_20251218081014_M5358ACSC201811_RBGEUFRF04/dpll_52046/txpa_55247.png","plot")</f>
        <v>plot</v>
      </c>
    </row>
    <row r="329" spans="1:29" x14ac:dyDescent="0.35">
      <c r="A329" t="s">
        <v>49</v>
      </c>
      <c r="B329">
        <v>52046</v>
      </c>
      <c r="C329" t="s">
        <v>51</v>
      </c>
      <c r="D329">
        <v>55248</v>
      </c>
      <c r="E329" t="s">
        <v>381</v>
      </c>
      <c r="F329">
        <v>12027</v>
      </c>
      <c r="G329">
        <v>0.74624246684626216</v>
      </c>
      <c r="H329">
        <v>0</v>
      </c>
      <c r="I329">
        <v>0</v>
      </c>
      <c r="J329">
        <v>0.66997611463728235</v>
      </c>
      <c r="K329">
        <v>0</v>
      </c>
      <c r="L329">
        <v>0</v>
      </c>
      <c r="M329">
        <v>0.48634879699990208</v>
      </c>
      <c r="N329">
        <v>0</v>
      </c>
      <c r="O329">
        <v>0</v>
      </c>
      <c r="P329">
        <v>0.55687781932479463</v>
      </c>
      <c r="Q329">
        <v>1.23434393326265</v>
      </c>
      <c r="R329">
        <v>5.9306106391317508</v>
      </c>
      <c r="S329">
        <v>0.2313570380068275</v>
      </c>
      <c r="T329">
        <v>0.1793998668423791</v>
      </c>
      <c r="U329">
        <v>4.417954512264072</v>
      </c>
      <c r="V329">
        <v>0.21012745463637059</v>
      </c>
      <c r="W329">
        <v>11.38388598877526</v>
      </c>
      <c r="X329">
        <v>0.34756739312687901</v>
      </c>
      <c r="Z329" t="s">
        <v>392</v>
      </c>
      <c r="AA329">
        <v>114</v>
      </c>
      <c r="AB329" t="s">
        <v>3762</v>
      </c>
      <c r="AC329" t="str">
        <f>HYPERLINK("plots/3FT6Y578R04_015_S21P_20251218081014_M5358ACSC201811_RBGEUFRF04/dpll_52046/txpa_55248.png","plot")</f>
        <v>plot</v>
      </c>
    </row>
    <row r="330" spans="1:29" x14ac:dyDescent="0.35">
      <c r="A330" t="s">
        <v>49</v>
      </c>
      <c r="B330">
        <v>52046</v>
      </c>
      <c r="C330" t="s">
        <v>51</v>
      </c>
      <c r="D330">
        <v>55249</v>
      </c>
      <c r="E330" t="s">
        <v>382</v>
      </c>
      <c r="F330">
        <v>12028</v>
      </c>
      <c r="G330">
        <v>0.74490539015587309</v>
      </c>
      <c r="H330">
        <v>0</v>
      </c>
      <c r="I330">
        <v>0</v>
      </c>
      <c r="J330">
        <v>0.66362728795265669</v>
      </c>
      <c r="K330">
        <v>0</v>
      </c>
      <c r="L330">
        <v>0</v>
      </c>
      <c r="M330">
        <v>0.47990964649081408</v>
      </c>
      <c r="N330">
        <v>0</v>
      </c>
      <c r="O330">
        <v>0</v>
      </c>
      <c r="P330">
        <v>0.55488404028327354</v>
      </c>
      <c r="Q330">
        <v>1.215707746744342</v>
      </c>
      <c r="R330">
        <v>6.0214293868090376</v>
      </c>
      <c r="S330">
        <v>0.22880876577653569</v>
      </c>
      <c r="T330">
        <v>0.17776590281808599</v>
      </c>
      <c r="U330">
        <v>4.4179867093448619</v>
      </c>
      <c r="V330">
        <v>0.2101483876699779</v>
      </c>
      <c r="W330">
        <v>11.39241005437313</v>
      </c>
      <c r="X330">
        <v>0.34296841750972668</v>
      </c>
      <c r="Z330" t="s">
        <v>392</v>
      </c>
      <c r="AA330">
        <v>114</v>
      </c>
      <c r="AB330" t="s">
        <v>3763</v>
      </c>
      <c r="AC330" t="str">
        <f>HYPERLINK("plots/3FT6Y578R04_015_S21P_20251218081014_M5358ACSC201811_RBGEUFRF04/dpll_52046/txpa_55249.png","plot")</f>
        <v>plot</v>
      </c>
    </row>
    <row r="331" spans="1:29" x14ac:dyDescent="0.35">
      <c r="A331" t="s">
        <v>49</v>
      </c>
      <c r="B331">
        <v>52046</v>
      </c>
      <c r="C331" t="s">
        <v>51</v>
      </c>
      <c r="D331">
        <v>55250</v>
      </c>
      <c r="E331" t="s">
        <v>383</v>
      </c>
      <c r="F331">
        <v>12027</v>
      </c>
      <c r="G331">
        <v>0.73636656076683948</v>
      </c>
      <c r="H331">
        <v>0</v>
      </c>
      <c r="I331">
        <v>0</v>
      </c>
      <c r="J331">
        <v>0.65634968157138829</v>
      </c>
      <c r="K331">
        <v>0</v>
      </c>
      <c r="L331">
        <v>0</v>
      </c>
      <c r="M331">
        <v>0.47474428399747909</v>
      </c>
      <c r="N331">
        <v>0</v>
      </c>
      <c r="O331">
        <v>0</v>
      </c>
      <c r="P331">
        <v>0.5422357118155835</v>
      </c>
      <c r="Q331">
        <v>1.212044383902755</v>
      </c>
      <c r="R331">
        <v>6.0078747658335399</v>
      </c>
      <c r="S331">
        <v>0.23401250743493701</v>
      </c>
      <c r="T331">
        <v>0.18034306828852431</v>
      </c>
      <c r="U331">
        <v>4.418010118566559</v>
      </c>
      <c r="V331">
        <v>0.21014144114715341</v>
      </c>
      <c r="W331">
        <v>11.362699118067679</v>
      </c>
      <c r="X331">
        <v>0.34588853858653978</v>
      </c>
      <c r="Z331" t="s">
        <v>392</v>
      </c>
      <c r="AA331">
        <v>114</v>
      </c>
      <c r="AB331" t="s">
        <v>3764</v>
      </c>
      <c r="AC331" t="str">
        <f>HYPERLINK("plots/3FT6Y578R04_015_S21P_20251218081014_M5358ACSC201811_RBGEUFRF04/dpll_52046/txpa_55250.png","plot")</f>
        <v>plot</v>
      </c>
    </row>
    <row r="332" spans="1:29" x14ac:dyDescent="0.35">
      <c r="A332" t="s">
        <v>49</v>
      </c>
      <c r="B332">
        <v>52046</v>
      </c>
      <c r="C332" t="s">
        <v>51</v>
      </c>
      <c r="D332">
        <v>55251</v>
      </c>
      <c r="E332" t="s">
        <v>384</v>
      </c>
      <c r="F332">
        <v>12028</v>
      </c>
      <c r="G332">
        <v>0.72079088684842851</v>
      </c>
      <c r="H332">
        <v>0</v>
      </c>
      <c r="I332">
        <v>0</v>
      </c>
      <c r="J332">
        <v>0.65368034317461199</v>
      </c>
      <c r="K332">
        <v>0</v>
      </c>
      <c r="L332">
        <v>0</v>
      </c>
      <c r="M332">
        <v>0.47062680947913921</v>
      </c>
      <c r="N332">
        <v>0</v>
      </c>
      <c r="O332">
        <v>0</v>
      </c>
      <c r="P332">
        <v>0.51953950256374404</v>
      </c>
      <c r="Q332">
        <v>1.205465475789864</v>
      </c>
      <c r="R332">
        <v>6.6016254780527426</v>
      </c>
      <c r="S332">
        <v>0.24360283660079779</v>
      </c>
      <c r="T332">
        <v>0.1841752563621617</v>
      </c>
      <c r="U332">
        <v>4.4179867093448619</v>
      </c>
      <c r="V332">
        <v>0.2101483876699779</v>
      </c>
      <c r="W332">
        <v>11.92735592866644</v>
      </c>
      <c r="X332">
        <v>0.3514564775322051</v>
      </c>
      <c r="Z332" t="s">
        <v>392</v>
      </c>
      <c r="AA332">
        <v>114</v>
      </c>
      <c r="AB332" t="s">
        <v>3765</v>
      </c>
      <c r="AC332" t="str">
        <f>HYPERLINK("plots/3FT6Y578R04_015_S21P_20251218081014_M5358ACSC201811_RBGEUFRF04/dpll_52046/txpa_55251.png","plot")</f>
        <v>plot</v>
      </c>
    </row>
    <row r="333" spans="1:29" x14ac:dyDescent="0.35">
      <c r="A333" t="s">
        <v>49</v>
      </c>
      <c r="B333">
        <v>52046</v>
      </c>
      <c r="C333" t="s">
        <v>51</v>
      </c>
      <c r="D333">
        <v>55252</v>
      </c>
      <c r="E333" t="s">
        <v>385</v>
      </c>
      <c r="F333">
        <v>12028</v>
      </c>
      <c r="G333">
        <v>0.73926773739430029</v>
      </c>
      <c r="H333">
        <v>0</v>
      </c>
      <c r="I333">
        <v>0</v>
      </c>
      <c r="J333">
        <v>0.66554859376081121</v>
      </c>
      <c r="K333">
        <v>0</v>
      </c>
      <c r="L333">
        <v>0</v>
      </c>
      <c r="M333">
        <v>0.48295673076030182</v>
      </c>
      <c r="N333">
        <v>0</v>
      </c>
      <c r="O333">
        <v>0</v>
      </c>
      <c r="P333">
        <v>0.5465167875520881</v>
      </c>
      <c r="Q333">
        <v>1.237300132261554</v>
      </c>
      <c r="R333">
        <v>6.4849901078532861</v>
      </c>
      <c r="S333">
        <v>0.2368437459015662</v>
      </c>
      <c r="T333">
        <v>0.18211331054442531</v>
      </c>
      <c r="U333">
        <v>4.4179867093448619</v>
      </c>
      <c r="V333">
        <v>0.2101483876699779</v>
      </c>
      <c r="W333">
        <v>11.95136564765547</v>
      </c>
      <c r="X333">
        <v>0.35172186571416952</v>
      </c>
      <c r="Z333" t="s">
        <v>392</v>
      </c>
      <c r="AA333">
        <v>114</v>
      </c>
      <c r="AB333" t="s">
        <v>3766</v>
      </c>
      <c r="AC333" t="str">
        <f>HYPERLINK("plots/3FT6Y578R04_015_S21P_20251218081014_M5358ACSC201811_RBGEUFRF04/dpll_52046/txpa_55252.png","plot")</f>
        <v>plot</v>
      </c>
    </row>
    <row r="334" spans="1:29" x14ac:dyDescent="0.35">
      <c r="A334" t="s">
        <v>49</v>
      </c>
      <c r="B334">
        <v>52046</v>
      </c>
      <c r="C334" t="s">
        <v>51</v>
      </c>
      <c r="D334">
        <v>55253</v>
      </c>
      <c r="E334" t="s">
        <v>386</v>
      </c>
      <c r="F334">
        <v>12028</v>
      </c>
      <c r="G334">
        <v>0.7297594827110403</v>
      </c>
      <c r="H334">
        <v>0</v>
      </c>
      <c r="I334">
        <v>0</v>
      </c>
      <c r="J334">
        <v>0.65482836529279409</v>
      </c>
      <c r="K334">
        <v>0</v>
      </c>
      <c r="L334">
        <v>0</v>
      </c>
      <c r="M334">
        <v>0.47287735522981661</v>
      </c>
      <c r="N334">
        <v>0</v>
      </c>
      <c r="O334">
        <v>0</v>
      </c>
      <c r="P334">
        <v>0.53254890260668508</v>
      </c>
      <c r="Q334">
        <v>1.2040447942518331</v>
      </c>
      <c r="R334">
        <v>6.6484710075920761</v>
      </c>
      <c r="S334">
        <v>0.237049474666259</v>
      </c>
      <c r="T334">
        <v>0.18096603319424531</v>
      </c>
      <c r="U334">
        <v>4.4179867093448619</v>
      </c>
      <c r="V334">
        <v>0.2101483876699779</v>
      </c>
      <c r="W334">
        <v>11.96792490605254</v>
      </c>
      <c r="X334">
        <v>0.34672803600229962</v>
      </c>
      <c r="Z334" t="s">
        <v>392</v>
      </c>
      <c r="AA334">
        <v>114</v>
      </c>
      <c r="AB334" t="s">
        <v>3767</v>
      </c>
      <c r="AC334" t="str">
        <f>HYPERLINK("plots/3FT6Y578R04_015_S21P_20251218081014_M5358ACSC201811_RBGEUFRF04/dpll_52046/txpa_55253.png","plot")</f>
        <v>plot</v>
      </c>
    </row>
    <row r="335" spans="1:29" x14ac:dyDescent="0.35">
      <c r="A335" t="s">
        <v>49</v>
      </c>
      <c r="B335">
        <v>52046</v>
      </c>
      <c r="C335" t="s">
        <v>51</v>
      </c>
      <c r="D335">
        <v>55254</v>
      </c>
      <c r="E335" t="s">
        <v>387</v>
      </c>
      <c r="F335">
        <v>12027</v>
      </c>
      <c r="G335">
        <v>0.7437586508954489</v>
      </c>
      <c r="H335">
        <v>0</v>
      </c>
      <c r="I335">
        <v>0</v>
      </c>
      <c r="J335">
        <v>0.66608507346660673</v>
      </c>
      <c r="K335">
        <v>0</v>
      </c>
      <c r="L335">
        <v>0</v>
      </c>
      <c r="M335">
        <v>0.4832049347406121</v>
      </c>
      <c r="N335">
        <v>0</v>
      </c>
      <c r="O335">
        <v>0</v>
      </c>
      <c r="P335">
        <v>0.55317693078181829</v>
      </c>
      <c r="Q335">
        <v>1.2353644059203319</v>
      </c>
      <c r="R335">
        <v>6.5063010283144713</v>
      </c>
      <c r="S335">
        <v>0.23332042841746961</v>
      </c>
      <c r="T335">
        <v>0.18008587600732409</v>
      </c>
      <c r="U335">
        <v>4.417995080651866</v>
      </c>
      <c r="V335">
        <v>0.21015511914181201</v>
      </c>
      <c r="W335">
        <v>11.964134896482911</v>
      </c>
      <c r="X335">
        <v>0.34906236532129542</v>
      </c>
      <c r="Z335" t="s">
        <v>392</v>
      </c>
      <c r="AA335">
        <v>114</v>
      </c>
      <c r="AB335" t="s">
        <v>3768</v>
      </c>
      <c r="AC335" t="str">
        <f>HYPERLINK("plots/3FT6Y578R04_015_S21P_20251218081014_M5358ACSC201811_RBGEUFRF04/dpll_52046/txpa_55254.png","plot")</f>
        <v>plot</v>
      </c>
    </row>
    <row r="336" spans="1:29" x14ac:dyDescent="0.35">
      <c r="A336" t="s">
        <v>49</v>
      </c>
      <c r="B336">
        <v>52046</v>
      </c>
      <c r="C336" t="s">
        <v>51</v>
      </c>
      <c r="D336">
        <v>55255</v>
      </c>
      <c r="E336" t="s">
        <v>388</v>
      </c>
      <c r="F336">
        <v>12027</v>
      </c>
      <c r="G336">
        <v>0.74374725945974951</v>
      </c>
      <c r="H336">
        <v>0</v>
      </c>
      <c r="I336">
        <v>0</v>
      </c>
      <c r="J336">
        <v>0.65910874879625736</v>
      </c>
      <c r="K336">
        <v>0</v>
      </c>
      <c r="L336">
        <v>0</v>
      </c>
      <c r="M336">
        <v>0.47528057585553019</v>
      </c>
      <c r="N336">
        <v>0</v>
      </c>
      <c r="O336">
        <v>0</v>
      </c>
      <c r="P336">
        <v>0.55315998595388793</v>
      </c>
      <c r="Q336">
        <v>1.231208962567659</v>
      </c>
      <c r="R336">
        <v>6.5077031542722246</v>
      </c>
      <c r="S336">
        <v>0.23252100880014581</v>
      </c>
      <c r="T336">
        <v>0.18030560754370489</v>
      </c>
      <c r="U336">
        <v>4.4179587365926656</v>
      </c>
      <c r="V336">
        <v>0.21013472984942591</v>
      </c>
      <c r="W336">
        <v>11.947133547019209</v>
      </c>
      <c r="X336">
        <v>0.34785978630062903</v>
      </c>
      <c r="Z336" t="s">
        <v>392</v>
      </c>
      <c r="AA336">
        <v>114</v>
      </c>
      <c r="AB336" t="s">
        <v>3769</v>
      </c>
      <c r="AC336" t="str">
        <f>HYPERLINK("plots/3FT6Y578R04_015_S21P_20251218081014_M5358ACSC201811_RBGEUFRF04/dpll_52046/txpa_55255.png","plot")</f>
        <v>plot</v>
      </c>
    </row>
    <row r="337" spans="1:29" x14ac:dyDescent="0.35">
      <c r="A337" t="s">
        <v>49</v>
      </c>
      <c r="B337">
        <v>52046</v>
      </c>
      <c r="C337" t="s">
        <v>51</v>
      </c>
      <c r="D337">
        <v>55256</v>
      </c>
      <c r="E337" t="s">
        <v>389</v>
      </c>
      <c r="F337">
        <v>12027</v>
      </c>
      <c r="G337">
        <v>0.74860766641765952</v>
      </c>
      <c r="H337">
        <v>0</v>
      </c>
      <c r="I337">
        <v>0</v>
      </c>
      <c r="J337">
        <v>0.67133312844733328</v>
      </c>
      <c r="K337">
        <v>0</v>
      </c>
      <c r="L337">
        <v>0</v>
      </c>
      <c r="M337">
        <v>0.48769795141506223</v>
      </c>
      <c r="N337">
        <v>0</v>
      </c>
      <c r="O337">
        <v>0</v>
      </c>
      <c r="P337">
        <v>0.56041343821929379</v>
      </c>
      <c r="Q337">
        <v>1.249557243682438</v>
      </c>
      <c r="R337">
        <v>6.4429229460870063</v>
      </c>
      <c r="S337">
        <v>0.2325352698052699</v>
      </c>
      <c r="T337">
        <v>0.18002500910425959</v>
      </c>
      <c r="U337">
        <v>4.417954512264072</v>
      </c>
      <c r="V337">
        <v>0.21012745463637059</v>
      </c>
      <c r="W337">
        <v>11.96341000914609</v>
      </c>
      <c r="X337">
        <v>0.35073950590687669</v>
      </c>
      <c r="Z337" t="s">
        <v>392</v>
      </c>
      <c r="AA337">
        <v>114</v>
      </c>
      <c r="AB337" t="s">
        <v>3770</v>
      </c>
      <c r="AC337" t="str">
        <f>HYPERLINK("plots/3FT6Y578R04_015_S21P_20251218081014_M5358ACSC201811_RBGEUFRF04/dpll_52046/txpa_55256.png","plot")</f>
        <v>plot</v>
      </c>
    </row>
    <row r="338" spans="1:29" x14ac:dyDescent="0.35">
      <c r="A338" t="s">
        <v>49</v>
      </c>
      <c r="B338">
        <v>52046</v>
      </c>
      <c r="C338" t="s">
        <v>51</v>
      </c>
      <c r="D338">
        <v>55257</v>
      </c>
      <c r="E338" t="s">
        <v>390</v>
      </c>
      <c r="F338">
        <v>12028</v>
      </c>
      <c r="G338">
        <v>0.7474131689124508</v>
      </c>
      <c r="H338">
        <v>0</v>
      </c>
      <c r="I338">
        <v>0</v>
      </c>
      <c r="J338">
        <v>0.66499842029505218</v>
      </c>
      <c r="K338">
        <v>0</v>
      </c>
      <c r="L338">
        <v>0</v>
      </c>
      <c r="M338">
        <v>0.4811999336648386</v>
      </c>
      <c r="N338">
        <v>0</v>
      </c>
      <c r="O338">
        <v>0</v>
      </c>
      <c r="P338">
        <v>0.5586264450637517</v>
      </c>
      <c r="Q338">
        <v>1.231005747620376</v>
      </c>
      <c r="R338">
        <v>6.5336533378561148</v>
      </c>
      <c r="S338">
        <v>0.22993786657043169</v>
      </c>
      <c r="T338">
        <v>0.17831891840150391</v>
      </c>
      <c r="U338">
        <v>4.4179867093448619</v>
      </c>
      <c r="V338">
        <v>0.2101483876699779</v>
      </c>
      <c r="W338">
        <v>11.972220369970071</v>
      </c>
      <c r="X338">
        <v>0.3461189658342777</v>
      </c>
      <c r="Z338" t="s">
        <v>392</v>
      </c>
      <c r="AA338">
        <v>114</v>
      </c>
      <c r="AB338" t="s">
        <v>3771</v>
      </c>
      <c r="AC338" t="str">
        <f>HYPERLINK("plots/3FT6Y578R04_015_S21P_20251218081014_M5358ACSC201811_RBGEUFRF04/dpll_52046/txpa_55257.png","plot")</f>
        <v>plot</v>
      </c>
    </row>
    <row r="339" spans="1:29" x14ac:dyDescent="0.35">
      <c r="A339" t="s">
        <v>49</v>
      </c>
      <c r="B339">
        <v>52046</v>
      </c>
      <c r="C339" t="s">
        <v>51</v>
      </c>
      <c r="D339">
        <v>55258</v>
      </c>
      <c r="E339" t="s">
        <v>391</v>
      </c>
      <c r="F339">
        <v>12027</v>
      </c>
      <c r="G339">
        <v>0.73866867743271314</v>
      </c>
      <c r="H339">
        <v>0</v>
      </c>
      <c r="I339">
        <v>0</v>
      </c>
      <c r="J339">
        <v>0.65752275999062348</v>
      </c>
      <c r="K339">
        <v>0</v>
      </c>
      <c r="L339">
        <v>0</v>
      </c>
      <c r="M339">
        <v>0.47589257689372372</v>
      </c>
      <c r="N339">
        <v>0</v>
      </c>
      <c r="O339">
        <v>0</v>
      </c>
      <c r="P339">
        <v>0.54563141502019363</v>
      </c>
      <c r="Q339">
        <v>1.2268566576473929</v>
      </c>
      <c r="R339">
        <v>6.5226599394158038</v>
      </c>
      <c r="S339">
        <v>0.23525666672302009</v>
      </c>
      <c r="T339">
        <v>0.1809807881721103</v>
      </c>
      <c r="U339">
        <v>4.418010118566559</v>
      </c>
      <c r="V339">
        <v>0.21014144114715341</v>
      </c>
      <c r="W339">
        <v>11.942925066932739</v>
      </c>
      <c r="X339">
        <v>0.34902444627143109</v>
      </c>
      <c r="Z339" t="s">
        <v>392</v>
      </c>
      <c r="AA339">
        <v>114</v>
      </c>
      <c r="AB339" t="s">
        <v>3772</v>
      </c>
      <c r="AC339" t="str">
        <f>HYPERLINK("plots/3FT6Y578R04_015_S21P_20251218081014_M5358ACSC201811_RBGEUFRF04/dpll_52046/txpa_55258.png","plot")</f>
        <v>plot</v>
      </c>
    </row>
    <row r="340" spans="1:29" x14ac:dyDescent="0.35">
      <c r="A340" t="s">
        <v>49</v>
      </c>
      <c r="B340">
        <v>52084</v>
      </c>
      <c r="C340" t="s">
        <v>52</v>
      </c>
      <c r="D340">
        <v>53179</v>
      </c>
      <c r="E340" t="s">
        <v>54</v>
      </c>
      <c r="F340">
        <v>12028</v>
      </c>
      <c r="G340">
        <v>0.30249030630452028</v>
      </c>
      <c r="H340">
        <v>6.1306617476254326E-253</v>
      </c>
      <c r="I340">
        <v>6.5230755635804714E-253</v>
      </c>
      <c r="J340">
        <v>0.2821541643102492</v>
      </c>
      <c r="K340">
        <v>5.9046153866735861E-219</v>
      </c>
      <c r="L340">
        <v>6.3223653665121601E-219</v>
      </c>
      <c r="M340">
        <v>0.19065534682202659</v>
      </c>
      <c r="N340">
        <v>1.4184780552161059E-215</v>
      </c>
      <c r="O340">
        <v>1.5188350031564221E-215</v>
      </c>
      <c r="P340">
        <v>9.1500385408202531E-2</v>
      </c>
      <c r="Q340">
        <v>1.691892085635845</v>
      </c>
      <c r="R340">
        <v>-28.04499778795898</v>
      </c>
      <c r="S340">
        <v>1.0951938118077691</v>
      </c>
      <c r="T340">
        <v>0.82744376383140861</v>
      </c>
      <c r="U340">
        <v>4.2558177004489526</v>
      </c>
      <c r="V340">
        <v>0.20544021673558341</v>
      </c>
      <c r="W340">
        <v>-20.844613502660462</v>
      </c>
      <c r="X340">
        <v>1.149070464480707</v>
      </c>
      <c r="Z340" t="s">
        <v>392</v>
      </c>
      <c r="AA340">
        <v>114</v>
      </c>
      <c r="AB340" t="s">
        <v>3773</v>
      </c>
      <c r="AC340" t="str">
        <f>HYPERLINK("plots/3FT6Y578R04_015_S21P_20251218081014_M5358ACSC201811_RBGEUFRF04/dpll_52084/txpa_53179.png","plot")</f>
        <v>plot</v>
      </c>
    </row>
    <row r="341" spans="1:29" x14ac:dyDescent="0.35">
      <c r="A341" t="s">
        <v>49</v>
      </c>
      <c r="B341">
        <v>52084</v>
      </c>
      <c r="C341" t="s">
        <v>52</v>
      </c>
      <c r="D341">
        <v>53180</v>
      </c>
      <c r="E341" t="s">
        <v>55</v>
      </c>
      <c r="F341">
        <v>12028</v>
      </c>
      <c r="G341">
        <v>0.31833078851655677</v>
      </c>
      <c r="H341">
        <v>2.2074428288926781E-281</v>
      </c>
      <c r="I341">
        <v>2.3786897221011429E-281</v>
      </c>
      <c r="J341">
        <v>0.29362960290478601</v>
      </c>
      <c r="K341">
        <v>8.694684291095836E-238</v>
      </c>
      <c r="L341">
        <v>9.3891478926210631E-238</v>
      </c>
      <c r="M341">
        <v>0.19873038030866991</v>
      </c>
      <c r="N341">
        <v>4.5180856308199488E-234</v>
      </c>
      <c r="O341">
        <v>4.8789550901506162E-234</v>
      </c>
      <c r="P341">
        <v>0.10133449091757279</v>
      </c>
      <c r="Q341">
        <v>1.748610119839211</v>
      </c>
      <c r="R341">
        <v>-28.220545361284341</v>
      </c>
      <c r="S341">
        <v>1.0697462916699549</v>
      </c>
      <c r="T341">
        <v>0.81093905658104304</v>
      </c>
      <c r="U341">
        <v>4.2558177004489526</v>
      </c>
      <c r="V341">
        <v>0.20544021673558341</v>
      </c>
      <c r="W341">
        <v>-20.778779462088458</v>
      </c>
      <c r="X341">
        <v>1.128495436083518</v>
      </c>
      <c r="Z341" t="s">
        <v>392</v>
      </c>
      <c r="AA341">
        <v>114</v>
      </c>
      <c r="AB341" t="s">
        <v>3774</v>
      </c>
      <c r="AC341" t="str">
        <f>HYPERLINK("plots/3FT6Y578R04_015_S21P_20251218081014_M5358ACSC201811_RBGEUFRF04/dpll_52084/txpa_53180.png","plot")</f>
        <v>plot</v>
      </c>
    </row>
    <row r="342" spans="1:29" x14ac:dyDescent="0.35">
      <c r="A342" t="s">
        <v>49</v>
      </c>
      <c r="B342">
        <v>52084</v>
      </c>
      <c r="C342" t="s">
        <v>52</v>
      </c>
      <c r="D342">
        <v>53181</v>
      </c>
      <c r="E342" t="s">
        <v>56</v>
      </c>
      <c r="F342">
        <v>12028</v>
      </c>
      <c r="G342">
        <v>0.29668313433468052</v>
      </c>
      <c r="H342">
        <v>6.0030582378110649E-243</v>
      </c>
      <c r="I342">
        <v>6.3672605158372595E-243</v>
      </c>
      <c r="J342">
        <v>0.26969473901396818</v>
      </c>
      <c r="K342">
        <v>1.685324531471378E-199</v>
      </c>
      <c r="L342">
        <v>1.789444057499453E-199</v>
      </c>
      <c r="M342">
        <v>0.18273891023441011</v>
      </c>
      <c r="N342">
        <v>3.067419701546527E-198</v>
      </c>
      <c r="O342">
        <v>3.256925211903852E-198</v>
      </c>
      <c r="P342">
        <v>8.8020882198650049E-2</v>
      </c>
      <c r="Q342">
        <v>1.6170490830542841</v>
      </c>
      <c r="R342">
        <v>-27.599610918105292</v>
      </c>
      <c r="S342">
        <v>1.0692769409676079</v>
      </c>
      <c r="T342">
        <v>0.80555719550988436</v>
      </c>
      <c r="U342">
        <v>4.2558177004489526</v>
      </c>
      <c r="V342">
        <v>0.20544021673558341</v>
      </c>
      <c r="W342">
        <v>-20.717744807948119</v>
      </c>
      <c r="X342">
        <v>1.119736431394158</v>
      </c>
      <c r="Z342" t="s">
        <v>392</v>
      </c>
      <c r="AA342">
        <v>114</v>
      </c>
      <c r="AB342" t="s">
        <v>3775</v>
      </c>
      <c r="AC342" t="str">
        <f>HYPERLINK("plots/3FT6Y578R04_015_S21P_20251218081014_M5358ACSC201811_RBGEUFRF04/dpll_52084/txpa_53181.png","plot")</f>
        <v>plot</v>
      </c>
    </row>
    <row r="343" spans="1:29" x14ac:dyDescent="0.35">
      <c r="A343" t="s">
        <v>49</v>
      </c>
      <c r="B343">
        <v>52084</v>
      </c>
      <c r="C343" t="s">
        <v>52</v>
      </c>
      <c r="D343">
        <v>53182</v>
      </c>
      <c r="E343" t="s">
        <v>57</v>
      </c>
      <c r="F343">
        <v>12028</v>
      </c>
      <c r="G343">
        <v>0.3079120594310516</v>
      </c>
      <c r="H343">
        <v>1.7769427620246979E-262</v>
      </c>
      <c r="I343">
        <v>1.898651170382554E-262</v>
      </c>
      <c r="J343">
        <v>0.28064480613702841</v>
      </c>
      <c r="K343">
        <v>1.522599976464959E-216</v>
      </c>
      <c r="L343">
        <v>1.6251751327741779E-216</v>
      </c>
      <c r="M343">
        <v>0.18985721701328101</v>
      </c>
      <c r="N343">
        <v>7.5485116178151486E-214</v>
      </c>
      <c r="O343">
        <v>8.0570429268048004E-214</v>
      </c>
      <c r="P343">
        <v>9.4809836343071455E-2</v>
      </c>
      <c r="Q343">
        <v>1.674594118068454</v>
      </c>
      <c r="R343">
        <v>-27.730337312022449</v>
      </c>
      <c r="S343">
        <v>1.062967989625599</v>
      </c>
      <c r="T343">
        <v>0.79281892635782691</v>
      </c>
      <c r="U343">
        <v>4.2558177004489526</v>
      </c>
      <c r="V343">
        <v>0.20544021673558341</v>
      </c>
      <c r="W343">
        <v>-20.603570023279019</v>
      </c>
      <c r="X343">
        <v>1.1172962150160679</v>
      </c>
      <c r="Z343" t="s">
        <v>392</v>
      </c>
      <c r="AA343">
        <v>114</v>
      </c>
      <c r="AB343" t="s">
        <v>3776</v>
      </c>
      <c r="AC343" t="str">
        <f>HYPERLINK("plots/3FT6Y578R04_015_S21P_20251218081014_M5358ACSC201811_RBGEUFRF04/dpll_52084/txpa_53182.png","plot")</f>
        <v>plot</v>
      </c>
    </row>
    <row r="344" spans="1:29" x14ac:dyDescent="0.35">
      <c r="A344" t="s">
        <v>49</v>
      </c>
      <c r="B344">
        <v>52084</v>
      </c>
      <c r="C344" t="s">
        <v>52</v>
      </c>
      <c r="D344">
        <v>53183</v>
      </c>
      <c r="E344" t="s">
        <v>58</v>
      </c>
      <c r="F344">
        <v>12028</v>
      </c>
      <c r="G344">
        <v>0.31952643098237898</v>
      </c>
      <c r="H344">
        <v>1.334004427393488E-283</v>
      </c>
      <c r="I344">
        <v>1.440554301785939E-283</v>
      </c>
      <c r="J344">
        <v>0.28823036751819292</v>
      </c>
      <c r="K344">
        <v>8.1280668762180631E-229</v>
      </c>
      <c r="L344">
        <v>8.7586182916951289E-229</v>
      </c>
      <c r="M344">
        <v>0.19525908055013769</v>
      </c>
      <c r="N344">
        <v>4.5945716300865823E-226</v>
      </c>
      <c r="O344">
        <v>4.9510049233876661E-226</v>
      </c>
      <c r="P344">
        <v>0.102097140096337</v>
      </c>
      <c r="Q344">
        <v>1.7332159588858369</v>
      </c>
      <c r="R344">
        <v>-28.01126441309496</v>
      </c>
      <c r="S344">
        <v>1.055912615122705</v>
      </c>
      <c r="T344">
        <v>0.79278529332139325</v>
      </c>
      <c r="U344">
        <v>4.2558177004489526</v>
      </c>
      <c r="V344">
        <v>0.20544021673558341</v>
      </c>
      <c r="W344">
        <v>-20.635013256568008</v>
      </c>
      <c r="X344">
        <v>1.114374986596069</v>
      </c>
      <c r="Z344" t="s">
        <v>392</v>
      </c>
      <c r="AA344">
        <v>114</v>
      </c>
      <c r="AB344" t="s">
        <v>3777</v>
      </c>
      <c r="AC344" t="str">
        <f>HYPERLINK("plots/3FT6Y578R04_015_S21P_20251218081014_M5358ACSC201811_RBGEUFRF04/dpll_52084/txpa_53183.png","plot")</f>
        <v>plot</v>
      </c>
    </row>
    <row r="345" spans="1:29" x14ac:dyDescent="0.35">
      <c r="A345" t="s">
        <v>49</v>
      </c>
      <c r="B345">
        <v>52084</v>
      </c>
      <c r="C345" t="s">
        <v>52</v>
      </c>
      <c r="D345">
        <v>53184</v>
      </c>
      <c r="E345" t="s">
        <v>59</v>
      </c>
      <c r="F345">
        <v>12028</v>
      </c>
      <c r="G345">
        <v>0.31071482084303259</v>
      </c>
      <c r="H345">
        <v>1.733279139054891E-267</v>
      </c>
      <c r="I345">
        <v>1.8598360285731839E-267</v>
      </c>
      <c r="J345">
        <v>0.2855250149709776</v>
      </c>
      <c r="K345">
        <v>2.1431800013420111E-224</v>
      </c>
      <c r="L345">
        <v>2.2996661601701582E-224</v>
      </c>
      <c r="M345">
        <v>0.193097552813142</v>
      </c>
      <c r="N345">
        <v>4.221330296786636E-221</v>
      </c>
      <c r="O345">
        <v>4.5343526704890344E-221</v>
      </c>
      <c r="P345">
        <v>9.6543699891517842E-2</v>
      </c>
      <c r="Q345">
        <v>1.714604486125205</v>
      </c>
      <c r="R345">
        <v>-28.042750911310851</v>
      </c>
      <c r="S345">
        <v>1.0775141253907381</v>
      </c>
      <c r="T345">
        <v>0.81052707340782004</v>
      </c>
      <c r="U345">
        <v>4.2558177004489526</v>
      </c>
      <c r="V345">
        <v>0.20544021673558341</v>
      </c>
      <c r="W345">
        <v>-20.74570678999002</v>
      </c>
      <c r="X345">
        <v>1.1336720800431841</v>
      </c>
      <c r="Z345" t="s">
        <v>392</v>
      </c>
      <c r="AA345">
        <v>114</v>
      </c>
      <c r="AB345" t="s">
        <v>3778</v>
      </c>
      <c r="AC345" t="str">
        <f>HYPERLINK("plots/3FT6Y578R04_015_S21P_20251218081014_M5358ACSC201811_RBGEUFRF04/dpll_52084/txpa_53184.png","plot")</f>
        <v>plot</v>
      </c>
    </row>
    <row r="346" spans="1:29" x14ac:dyDescent="0.35">
      <c r="A346" t="s">
        <v>49</v>
      </c>
      <c r="B346">
        <v>52084</v>
      </c>
      <c r="C346" t="s">
        <v>52</v>
      </c>
      <c r="D346">
        <v>53185</v>
      </c>
      <c r="E346" t="s">
        <v>60</v>
      </c>
      <c r="F346">
        <v>12028</v>
      </c>
      <c r="G346">
        <v>0.30716375407942909</v>
      </c>
      <c r="H346">
        <v>3.7863698426146769E-261</v>
      </c>
      <c r="I346">
        <v>4.041451600432929E-261</v>
      </c>
      <c r="J346">
        <v>0.27821819665186559</v>
      </c>
      <c r="K346">
        <v>1.065973968822125E-212</v>
      </c>
      <c r="L346">
        <v>1.133016356798359E-212</v>
      </c>
      <c r="M346">
        <v>0.18864834008107101</v>
      </c>
      <c r="N346">
        <v>3.8890931192736296E-211</v>
      </c>
      <c r="O346">
        <v>4.133690170800273E-211</v>
      </c>
      <c r="P346">
        <v>9.4349571820168024E-2</v>
      </c>
      <c r="Q346">
        <v>1.6771268071482419</v>
      </c>
      <c r="R346">
        <v>-27.864629220797841</v>
      </c>
      <c r="S346">
        <v>1.067440417017069</v>
      </c>
      <c r="T346">
        <v>0.80052599706716976</v>
      </c>
      <c r="U346">
        <v>4.2558177004489526</v>
      </c>
      <c r="V346">
        <v>0.20544021673558341</v>
      </c>
      <c r="W346">
        <v>-20.727083269038911</v>
      </c>
      <c r="X346">
        <v>1.12171208411685</v>
      </c>
      <c r="Z346" t="s">
        <v>392</v>
      </c>
      <c r="AA346">
        <v>114</v>
      </c>
      <c r="AB346" t="s">
        <v>3779</v>
      </c>
      <c r="AC346" t="str">
        <f>HYPERLINK("plots/3FT6Y578R04_015_S21P_20251218081014_M5358ACSC201811_RBGEUFRF04/dpll_52084/txpa_53185.png","plot")</f>
        <v>plot</v>
      </c>
    </row>
    <row r="347" spans="1:29" x14ac:dyDescent="0.35">
      <c r="A347" t="s">
        <v>49</v>
      </c>
      <c r="B347">
        <v>52084</v>
      </c>
      <c r="C347" t="s">
        <v>52</v>
      </c>
      <c r="D347">
        <v>53186</v>
      </c>
      <c r="E347" t="s">
        <v>61</v>
      </c>
      <c r="F347">
        <v>12028</v>
      </c>
      <c r="G347">
        <v>0.28726448749995692</v>
      </c>
      <c r="H347">
        <v>3.1193071137375992E-227</v>
      </c>
      <c r="I347">
        <v>3.2982037678101422E-227</v>
      </c>
      <c r="J347">
        <v>0.26366747484772279</v>
      </c>
      <c r="K347">
        <v>1.880493733365998E-190</v>
      </c>
      <c r="L347">
        <v>1.9821420432776729E-190</v>
      </c>
      <c r="M347">
        <v>0.17870993320065251</v>
      </c>
      <c r="N347">
        <v>1.2549374170114321E-189</v>
      </c>
      <c r="O347">
        <v>1.3227718719850229E-189</v>
      </c>
      <c r="P347">
        <v>8.2520885778612871E-2</v>
      </c>
      <c r="Q347">
        <v>1.6078725899514741</v>
      </c>
      <c r="R347">
        <v>-27.740247408894319</v>
      </c>
      <c r="S347">
        <v>1.101374950683303</v>
      </c>
      <c r="T347">
        <v>0.83624465053887476</v>
      </c>
      <c r="U347">
        <v>4.2558177004489526</v>
      </c>
      <c r="V347">
        <v>0.20544021673558341</v>
      </c>
      <c r="W347">
        <v>-20.897434780512139</v>
      </c>
      <c r="X347">
        <v>1.14988697780781</v>
      </c>
      <c r="Z347" t="s">
        <v>392</v>
      </c>
      <c r="AA347">
        <v>114</v>
      </c>
      <c r="AB347" t="s">
        <v>3780</v>
      </c>
      <c r="AC347" t="str">
        <f>HYPERLINK("plots/3FT6Y578R04_015_S21P_20251218081014_M5358ACSC201811_RBGEUFRF04/dpll_52084/txpa_53186.png","plot")</f>
        <v>plot</v>
      </c>
    </row>
    <row r="348" spans="1:29" x14ac:dyDescent="0.35">
      <c r="A348" t="s">
        <v>49</v>
      </c>
      <c r="B348">
        <v>52084</v>
      </c>
      <c r="C348" t="s">
        <v>52</v>
      </c>
      <c r="D348">
        <v>53187</v>
      </c>
      <c r="E348" t="s">
        <v>62</v>
      </c>
      <c r="F348">
        <v>12028</v>
      </c>
      <c r="G348">
        <v>0.59365154151430066</v>
      </c>
      <c r="H348">
        <v>0</v>
      </c>
      <c r="I348">
        <v>0</v>
      </c>
      <c r="J348">
        <v>0.50244851615213804</v>
      </c>
      <c r="K348">
        <v>0</v>
      </c>
      <c r="L348">
        <v>0</v>
      </c>
      <c r="M348">
        <v>0.34896698583999058</v>
      </c>
      <c r="N348">
        <v>0</v>
      </c>
      <c r="O348">
        <v>0</v>
      </c>
      <c r="P348">
        <v>0.35242215274230537</v>
      </c>
      <c r="Q348">
        <v>0.91568386000325375</v>
      </c>
      <c r="R348">
        <v>-15.287543373231699</v>
      </c>
      <c r="S348">
        <v>0.25499247343992948</v>
      </c>
      <c r="T348">
        <v>0.19939877601427539</v>
      </c>
      <c r="U348">
        <v>4.2558177004489526</v>
      </c>
      <c r="V348">
        <v>0.20544021673558341</v>
      </c>
      <c r="W348">
        <v>-11.390559793814431</v>
      </c>
      <c r="X348">
        <v>0.31688335244693783</v>
      </c>
      <c r="Z348" t="s">
        <v>392</v>
      </c>
      <c r="AA348">
        <v>114</v>
      </c>
      <c r="AB348" t="s">
        <v>3781</v>
      </c>
      <c r="AC348" t="str">
        <f>HYPERLINK("plots/3FT6Y578R04_015_S21P_20251218081014_M5358ACSC201811_RBGEUFRF04/dpll_52084/txpa_53187.png","plot")</f>
        <v>plot</v>
      </c>
    </row>
    <row r="349" spans="1:29" x14ac:dyDescent="0.35">
      <c r="A349" t="s">
        <v>49</v>
      </c>
      <c r="B349">
        <v>52084</v>
      </c>
      <c r="C349" t="s">
        <v>52</v>
      </c>
      <c r="D349">
        <v>53188</v>
      </c>
      <c r="E349" t="s">
        <v>63</v>
      </c>
      <c r="F349">
        <v>12028</v>
      </c>
      <c r="G349">
        <v>0.61779879901075785</v>
      </c>
      <c r="H349">
        <v>0</v>
      </c>
      <c r="I349">
        <v>0</v>
      </c>
      <c r="J349">
        <v>0.52005455220733388</v>
      </c>
      <c r="K349">
        <v>0</v>
      </c>
      <c r="L349">
        <v>0</v>
      </c>
      <c r="M349">
        <v>0.36445871500425348</v>
      </c>
      <c r="N349">
        <v>0</v>
      </c>
      <c r="O349">
        <v>0</v>
      </c>
      <c r="P349">
        <v>0.38167535605913477</v>
      </c>
      <c r="Q349">
        <v>0.94762551697517527</v>
      </c>
      <c r="R349">
        <v>-15.36030864591284</v>
      </c>
      <c r="S349">
        <v>0.24777950171484739</v>
      </c>
      <c r="T349">
        <v>0.19406820863058361</v>
      </c>
      <c r="U349">
        <v>4.2558177004489526</v>
      </c>
      <c r="V349">
        <v>0.20544021673558341</v>
      </c>
      <c r="W349">
        <v>-11.327387197372801</v>
      </c>
      <c r="X349">
        <v>0.31511940765064428</v>
      </c>
      <c r="Z349" t="s">
        <v>392</v>
      </c>
      <c r="AA349">
        <v>114</v>
      </c>
      <c r="AB349" t="s">
        <v>3782</v>
      </c>
      <c r="AC349" t="str">
        <f>HYPERLINK("plots/3FT6Y578R04_015_S21P_20251218081014_M5358ACSC201811_RBGEUFRF04/dpll_52084/txpa_53188.png","plot")</f>
        <v>plot</v>
      </c>
    </row>
    <row r="350" spans="1:29" x14ac:dyDescent="0.35">
      <c r="A350" t="s">
        <v>49</v>
      </c>
      <c r="B350">
        <v>52084</v>
      </c>
      <c r="C350" t="s">
        <v>52</v>
      </c>
      <c r="D350">
        <v>53189</v>
      </c>
      <c r="E350" t="s">
        <v>64</v>
      </c>
      <c r="F350">
        <v>12028</v>
      </c>
      <c r="G350">
        <v>0.5978253704136598</v>
      </c>
      <c r="H350">
        <v>0</v>
      </c>
      <c r="I350">
        <v>0</v>
      </c>
      <c r="J350">
        <v>0.49829173116481851</v>
      </c>
      <c r="K350">
        <v>0</v>
      </c>
      <c r="L350">
        <v>0</v>
      </c>
      <c r="M350">
        <v>0.34695218105242742</v>
      </c>
      <c r="N350">
        <v>0</v>
      </c>
      <c r="O350">
        <v>0</v>
      </c>
      <c r="P350">
        <v>0.35739517351022948</v>
      </c>
      <c r="Q350">
        <v>0.8987883821055731</v>
      </c>
      <c r="R350">
        <v>-15.127295194747919</v>
      </c>
      <c r="S350">
        <v>0.24758396301817559</v>
      </c>
      <c r="T350">
        <v>0.1943017341831417</v>
      </c>
      <c r="U350">
        <v>4.2558177004489526</v>
      </c>
      <c r="V350">
        <v>0.20544021673558341</v>
      </c>
      <c r="W350">
        <v>-11.30221568922514</v>
      </c>
      <c r="X350">
        <v>0.308864911322563</v>
      </c>
      <c r="Z350" t="s">
        <v>392</v>
      </c>
      <c r="AA350">
        <v>114</v>
      </c>
      <c r="AB350" t="s">
        <v>3783</v>
      </c>
      <c r="AC350" t="str">
        <f>HYPERLINK("plots/3FT6Y578R04_015_S21P_20251218081014_M5358ACSC201811_RBGEUFRF04/dpll_52084/txpa_53189.png","plot")</f>
        <v>plot</v>
      </c>
    </row>
    <row r="351" spans="1:29" x14ac:dyDescent="0.35">
      <c r="A351" t="s">
        <v>49</v>
      </c>
      <c r="B351">
        <v>52084</v>
      </c>
      <c r="C351" t="s">
        <v>52</v>
      </c>
      <c r="D351">
        <v>53190</v>
      </c>
      <c r="E351" t="s">
        <v>65</v>
      </c>
      <c r="F351">
        <v>12028</v>
      </c>
      <c r="G351">
        <v>0.6224695661098758</v>
      </c>
      <c r="H351">
        <v>0</v>
      </c>
      <c r="I351">
        <v>0</v>
      </c>
      <c r="J351">
        <v>0.51816609687121862</v>
      </c>
      <c r="K351">
        <v>0</v>
      </c>
      <c r="L351">
        <v>0</v>
      </c>
      <c r="M351">
        <v>0.36307170260110011</v>
      </c>
      <c r="N351">
        <v>0</v>
      </c>
      <c r="O351">
        <v>0</v>
      </c>
      <c r="P351">
        <v>0.38746836073301699</v>
      </c>
      <c r="Q351">
        <v>0.95052487951599074</v>
      </c>
      <c r="R351">
        <v>-15.30272624048305</v>
      </c>
      <c r="S351">
        <v>0.24551443957774491</v>
      </c>
      <c r="T351">
        <v>0.19241347181762891</v>
      </c>
      <c r="U351">
        <v>4.2558177004489526</v>
      </c>
      <c r="V351">
        <v>0.20544021673558341</v>
      </c>
      <c r="W351">
        <v>-11.257465633521781</v>
      </c>
      <c r="X351">
        <v>0.31371178269920458</v>
      </c>
      <c r="Z351" t="s">
        <v>392</v>
      </c>
      <c r="AA351">
        <v>114</v>
      </c>
      <c r="AB351" t="s">
        <v>3784</v>
      </c>
      <c r="AC351" t="str">
        <f>HYPERLINK("plots/3FT6Y578R04_015_S21P_20251218081014_M5358ACSC201811_RBGEUFRF04/dpll_52084/txpa_53190.png","plot")</f>
        <v>plot</v>
      </c>
    </row>
    <row r="352" spans="1:29" x14ac:dyDescent="0.35">
      <c r="A352" t="s">
        <v>49</v>
      </c>
      <c r="B352">
        <v>52084</v>
      </c>
      <c r="C352" t="s">
        <v>52</v>
      </c>
      <c r="D352">
        <v>53191</v>
      </c>
      <c r="E352" t="s">
        <v>66</v>
      </c>
      <c r="F352">
        <v>12027</v>
      </c>
      <c r="G352">
        <v>0.62878311051746261</v>
      </c>
      <c r="H352">
        <v>0</v>
      </c>
      <c r="I352">
        <v>0</v>
      </c>
      <c r="J352">
        <v>0.5227145770337368</v>
      </c>
      <c r="K352">
        <v>0</v>
      </c>
      <c r="L352">
        <v>0</v>
      </c>
      <c r="M352">
        <v>0.36619686748551111</v>
      </c>
      <c r="N352">
        <v>0</v>
      </c>
      <c r="O352">
        <v>0</v>
      </c>
      <c r="P352">
        <v>0.39536820007201562</v>
      </c>
      <c r="Q352">
        <v>0.9573313848609829</v>
      </c>
      <c r="R352">
        <v>-15.338155004737651</v>
      </c>
      <c r="S352">
        <v>0.24319353616835129</v>
      </c>
      <c r="T352">
        <v>0.1909539174214647</v>
      </c>
      <c r="U352">
        <v>4.2557921641307059</v>
      </c>
      <c r="V352">
        <v>0.20542966688110781</v>
      </c>
      <c r="W352">
        <v>-11.263951598569889</v>
      </c>
      <c r="X352">
        <v>0.31276964059192802</v>
      </c>
      <c r="Z352" t="s">
        <v>392</v>
      </c>
      <c r="AA352">
        <v>114</v>
      </c>
      <c r="AB352" t="s">
        <v>3785</v>
      </c>
      <c r="AC352" t="str">
        <f>HYPERLINK("plots/3FT6Y578R04_015_S21P_20251218081014_M5358ACSC201811_RBGEUFRF04/dpll_52084/txpa_53191.png","plot")</f>
        <v>plot</v>
      </c>
    </row>
    <row r="353" spans="1:29" x14ac:dyDescent="0.35">
      <c r="A353" t="s">
        <v>49</v>
      </c>
      <c r="B353">
        <v>52084</v>
      </c>
      <c r="C353" t="s">
        <v>52</v>
      </c>
      <c r="D353">
        <v>53192</v>
      </c>
      <c r="E353" t="s">
        <v>67</v>
      </c>
      <c r="F353">
        <v>12027</v>
      </c>
      <c r="G353">
        <v>0.62989726453804706</v>
      </c>
      <c r="H353">
        <v>0</v>
      </c>
      <c r="I353">
        <v>0</v>
      </c>
      <c r="J353">
        <v>0.53042757182450873</v>
      </c>
      <c r="K353">
        <v>0</v>
      </c>
      <c r="L353">
        <v>0</v>
      </c>
      <c r="M353">
        <v>0.37236102320927272</v>
      </c>
      <c r="N353">
        <v>0</v>
      </c>
      <c r="O353">
        <v>0</v>
      </c>
      <c r="P353">
        <v>0.39677056387251453</v>
      </c>
      <c r="Q353">
        <v>0.94982770365945257</v>
      </c>
      <c r="R353">
        <v>-15.34945323167015</v>
      </c>
      <c r="S353">
        <v>0.24060290031824369</v>
      </c>
      <c r="T353">
        <v>0.18848169673537521</v>
      </c>
      <c r="U353">
        <v>4.2558216788891663</v>
      </c>
      <c r="V353">
        <v>0.2054482946965896</v>
      </c>
      <c r="W353">
        <v>-11.307155899226739</v>
      </c>
      <c r="X353">
        <v>0.30979731609967232</v>
      </c>
      <c r="Z353" t="s">
        <v>392</v>
      </c>
      <c r="AA353">
        <v>114</v>
      </c>
      <c r="AB353" t="s">
        <v>3786</v>
      </c>
      <c r="AC353" t="str">
        <f>HYPERLINK("plots/3FT6Y578R04_015_S21P_20251218081014_M5358ACSC201811_RBGEUFRF04/dpll_52084/txpa_53192.png","plot")</f>
        <v>plot</v>
      </c>
    </row>
    <row r="354" spans="1:29" x14ac:dyDescent="0.35">
      <c r="A354" t="s">
        <v>49</v>
      </c>
      <c r="B354">
        <v>52084</v>
      </c>
      <c r="C354" t="s">
        <v>52</v>
      </c>
      <c r="D354">
        <v>53193</v>
      </c>
      <c r="E354" t="s">
        <v>68</v>
      </c>
      <c r="F354">
        <v>12028</v>
      </c>
      <c r="G354">
        <v>0.62935669199383804</v>
      </c>
      <c r="H354">
        <v>0</v>
      </c>
      <c r="I354">
        <v>0</v>
      </c>
      <c r="J354">
        <v>0.53098270589555152</v>
      </c>
      <c r="K354">
        <v>0</v>
      </c>
      <c r="L354">
        <v>0</v>
      </c>
      <c r="M354">
        <v>0.37269036264786021</v>
      </c>
      <c r="N354">
        <v>0</v>
      </c>
      <c r="O354">
        <v>0</v>
      </c>
      <c r="P354">
        <v>0.39608984575742667</v>
      </c>
      <c r="Q354">
        <v>0.94418572955844315</v>
      </c>
      <c r="R354">
        <v>-15.31311583554405</v>
      </c>
      <c r="S354">
        <v>0.2395047627188045</v>
      </c>
      <c r="T354">
        <v>0.1875803892196006</v>
      </c>
      <c r="U354">
        <v>4.2558177004489526</v>
      </c>
      <c r="V354">
        <v>0.20544021673558341</v>
      </c>
      <c r="W354">
        <v>-11.294833495177921</v>
      </c>
      <c r="X354">
        <v>0.30820951518702661</v>
      </c>
      <c r="Z354" t="s">
        <v>392</v>
      </c>
      <c r="AA354">
        <v>114</v>
      </c>
      <c r="AB354" t="s">
        <v>3787</v>
      </c>
      <c r="AC354" t="str">
        <f>HYPERLINK("plots/3FT6Y578R04_015_S21P_20251218081014_M5358ACSC201811_RBGEUFRF04/dpll_52084/txpa_53193.png","plot")</f>
        <v>plot</v>
      </c>
    </row>
    <row r="355" spans="1:29" x14ac:dyDescent="0.35">
      <c r="A355" t="s">
        <v>49</v>
      </c>
      <c r="B355">
        <v>52084</v>
      </c>
      <c r="C355" t="s">
        <v>52</v>
      </c>
      <c r="D355">
        <v>53194</v>
      </c>
      <c r="E355" t="s">
        <v>69</v>
      </c>
      <c r="F355">
        <v>12027</v>
      </c>
      <c r="G355">
        <v>0.61226154003373767</v>
      </c>
      <c r="H355">
        <v>0</v>
      </c>
      <c r="I355">
        <v>0</v>
      </c>
      <c r="J355">
        <v>0.51320248906166843</v>
      </c>
      <c r="K355">
        <v>0</v>
      </c>
      <c r="L355">
        <v>0</v>
      </c>
      <c r="M355">
        <v>0.35863593571253599</v>
      </c>
      <c r="N355">
        <v>0</v>
      </c>
      <c r="O355">
        <v>0</v>
      </c>
      <c r="P355">
        <v>0.37486419340448418</v>
      </c>
      <c r="Q355">
        <v>0.92594280645313254</v>
      </c>
      <c r="R355">
        <v>-15.321478436941501</v>
      </c>
      <c r="S355">
        <v>0.2456340430909969</v>
      </c>
      <c r="T355">
        <v>0.19290570689107789</v>
      </c>
      <c r="U355">
        <v>4.2558401814251274</v>
      </c>
      <c r="V355">
        <v>0.20543396214013371</v>
      </c>
      <c r="W355">
        <v>-11.38081383553671</v>
      </c>
      <c r="X355">
        <v>0.31068438405316168</v>
      </c>
      <c r="Z355" t="s">
        <v>392</v>
      </c>
      <c r="AA355">
        <v>114</v>
      </c>
      <c r="AB355" t="s">
        <v>3788</v>
      </c>
      <c r="AC355" t="str">
        <f>HYPERLINK("plots/3FT6Y578R04_015_S21P_20251218081014_M5358ACSC201811_RBGEUFRF04/dpll_52084/txpa_53194.png","plot")</f>
        <v>plot</v>
      </c>
    </row>
    <row r="356" spans="1:29" x14ac:dyDescent="0.35">
      <c r="A356" t="s">
        <v>49</v>
      </c>
      <c r="B356">
        <v>52084</v>
      </c>
      <c r="C356" t="s">
        <v>52</v>
      </c>
      <c r="D356">
        <v>53195</v>
      </c>
      <c r="E356" t="s">
        <v>70</v>
      </c>
      <c r="F356">
        <v>12028</v>
      </c>
      <c r="G356">
        <v>0.6068538244630346</v>
      </c>
      <c r="H356">
        <v>0</v>
      </c>
      <c r="I356">
        <v>0</v>
      </c>
      <c r="J356">
        <v>0.5179645389962646</v>
      </c>
      <c r="K356">
        <v>0</v>
      </c>
      <c r="L356">
        <v>0</v>
      </c>
      <c r="M356">
        <v>0.36096534295193738</v>
      </c>
      <c r="N356">
        <v>0</v>
      </c>
      <c r="O356">
        <v>0</v>
      </c>
      <c r="P356">
        <v>0.36827156426541158</v>
      </c>
      <c r="Q356">
        <v>0.79880135275836595</v>
      </c>
      <c r="R356">
        <v>-8.9308824998963559</v>
      </c>
      <c r="S356">
        <v>0.21492519120348849</v>
      </c>
      <c r="T356">
        <v>0.16924694936188839</v>
      </c>
      <c r="U356">
        <v>4.2558177004489526</v>
      </c>
      <c r="V356">
        <v>0.20544021673558341</v>
      </c>
      <c r="W356">
        <v>-5.5313295636847348</v>
      </c>
      <c r="X356">
        <v>0.27042084341243572</v>
      </c>
      <c r="Z356" t="s">
        <v>392</v>
      </c>
      <c r="AA356">
        <v>114</v>
      </c>
      <c r="AB356" t="s">
        <v>3789</v>
      </c>
      <c r="AC356" t="str">
        <f>HYPERLINK("plots/3FT6Y578R04_015_S21P_20251218081014_M5358ACSC201811_RBGEUFRF04/dpll_52084/txpa_53195.png","plot")</f>
        <v>plot</v>
      </c>
    </row>
    <row r="357" spans="1:29" x14ac:dyDescent="0.35">
      <c r="A357" t="s">
        <v>49</v>
      </c>
      <c r="B357">
        <v>52084</v>
      </c>
      <c r="C357" t="s">
        <v>52</v>
      </c>
      <c r="D357">
        <v>53196</v>
      </c>
      <c r="E357" t="s">
        <v>71</v>
      </c>
      <c r="F357">
        <v>12028</v>
      </c>
      <c r="G357">
        <v>0.62998505684283324</v>
      </c>
      <c r="H357">
        <v>0</v>
      </c>
      <c r="I357">
        <v>0</v>
      </c>
      <c r="J357">
        <v>0.53728593378708733</v>
      </c>
      <c r="K357">
        <v>0</v>
      </c>
      <c r="L357">
        <v>0</v>
      </c>
      <c r="M357">
        <v>0.37785811147329901</v>
      </c>
      <c r="N357">
        <v>0</v>
      </c>
      <c r="O357">
        <v>0</v>
      </c>
      <c r="P357">
        <v>0.39688117184526778</v>
      </c>
      <c r="Q357">
        <v>0.83406010464646174</v>
      </c>
      <c r="R357">
        <v>-9.0346662756316256</v>
      </c>
      <c r="S357">
        <v>0.2112204451711493</v>
      </c>
      <c r="T357">
        <v>0.16678766120549479</v>
      </c>
      <c r="U357">
        <v>4.2558177004489526</v>
      </c>
      <c r="V357">
        <v>0.20544021673558341</v>
      </c>
      <c r="W357">
        <v>-5.4850585190389083</v>
      </c>
      <c r="X357">
        <v>0.27198976675381731</v>
      </c>
      <c r="Z357" t="s">
        <v>392</v>
      </c>
      <c r="AA357">
        <v>114</v>
      </c>
      <c r="AB357" t="s">
        <v>3790</v>
      </c>
      <c r="AC357" t="str">
        <f>HYPERLINK("plots/3FT6Y578R04_015_S21P_20251218081014_M5358ACSC201811_RBGEUFRF04/dpll_52084/txpa_53196.png","plot")</f>
        <v>plot</v>
      </c>
    </row>
    <row r="358" spans="1:29" x14ac:dyDescent="0.35">
      <c r="A358" t="s">
        <v>49</v>
      </c>
      <c r="B358">
        <v>52084</v>
      </c>
      <c r="C358" t="s">
        <v>52</v>
      </c>
      <c r="D358">
        <v>53197</v>
      </c>
      <c r="E358" t="s">
        <v>72</v>
      </c>
      <c r="F358">
        <v>12028</v>
      </c>
      <c r="G358">
        <v>0.61430050337618558</v>
      </c>
      <c r="H358">
        <v>0</v>
      </c>
      <c r="I358">
        <v>0</v>
      </c>
      <c r="J358">
        <v>0.5183536562774933</v>
      </c>
      <c r="K358">
        <v>0</v>
      </c>
      <c r="L358">
        <v>0</v>
      </c>
      <c r="M358">
        <v>0.36212015433039341</v>
      </c>
      <c r="N358">
        <v>0</v>
      </c>
      <c r="O358">
        <v>0</v>
      </c>
      <c r="P358">
        <v>0.37736510844823501</v>
      </c>
      <c r="Q358">
        <v>0.79410822615953136</v>
      </c>
      <c r="R358">
        <v>-8.844494644097205</v>
      </c>
      <c r="S358">
        <v>0.20954773029821011</v>
      </c>
      <c r="T358">
        <v>0.16578414843755859</v>
      </c>
      <c r="U358">
        <v>4.2558177004489526</v>
      </c>
      <c r="V358">
        <v>0.20544021673558341</v>
      </c>
      <c r="W358">
        <v>-5.4649147991353511</v>
      </c>
      <c r="X358">
        <v>0.26557322547694401</v>
      </c>
      <c r="Z358" t="s">
        <v>392</v>
      </c>
      <c r="AA358">
        <v>114</v>
      </c>
      <c r="AB358" t="s">
        <v>3791</v>
      </c>
      <c r="AC358" t="str">
        <f>HYPERLINK("plots/3FT6Y578R04_015_S21P_20251218081014_M5358ACSC201811_RBGEUFRF04/dpll_52084/txpa_53197.png","plot")</f>
        <v>plot</v>
      </c>
    </row>
    <row r="359" spans="1:29" x14ac:dyDescent="0.35">
      <c r="A359" t="s">
        <v>49</v>
      </c>
      <c r="B359">
        <v>52084</v>
      </c>
      <c r="C359" t="s">
        <v>52</v>
      </c>
      <c r="D359">
        <v>53198</v>
      </c>
      <c r="E359" t="s">
        <v>73</v>
      </c>
      <c r="F359">
        <v>12027</v>
      </c>
      <c r="G359">
        <v>0.63547712157295211</v>
      </c>
      <c r="H359">
        <v>0</v>
      </c>
      <c r="I359">
        <v>0</v>
      </c>
      <c r="J359">
        <v>0.53528154659680338</v>
      </c>
      <c r="K359">
        <v>0</v>
      </c>
      <c r="L359">
        <v>0</v>
      </c>
      <c r="M359">
        <v>0.37631411828978217</v>
      </c>
      <c r="N359">
        <v>0</v>
      </c>
      <c r="O359">
        <v>0</v>
      </c>
      <c r="P359">
        <v>0.40383117204264463</v>
      </c>
      <c r="Q359">
        <v>0.83909235975208973</v>
      </c>
      <c r="R359">
        <v>-9.0112166432539063</v>
      </c>
      <c r="S359">
        <v>0.20944829712731489</v>
      </c>
      <c r="T359">
        <v>0.16585446681040519</v>
      </c>
      <c r="U359">
        <v>4.2558247893905383</v>
      </c>
      <c r="V359">
        <v>0.20544728689892131</v>
      </c>
      <c r="W359">
        <v>-5.4401865780327601</v>
      </c>
      <c r="X359">
        <v>0.27127530310135689</v>
      </c>
      <c r="Z359" t="s">
        <v>392</v>
      </c>
      <c r="AA359">
        <v>114</v>
      </c>
      <c r="AB359" t="s">
        <v>3792</v>
      </c>
      <c r="AC359" t="str">
        <f>HYPERLINK("plots/3FT6Y578R04_015_S21P_20251218081014_M5358ACSC201811_RBGEUFRF04/dpll_52084/txpa_53198.png","plot")</f>
        <v>plot</v>
      </c>
    </row>
    <row r="360" spans="1:29" x14ac:dyDescent="0.35">
      <c r="A360" t="s">
        <v>49</v>
      </c>
      <c r="B360">
        <v>52084</v>
      </c>
      <c r="C360" t="s">
        <v>52</v>
      </c>
      <c r="D360">
        <v>53199</v>
      </c>
      <c r="E360" t="s">
        <v>74</v>
      </c>
      <c r="F360">
        <v>12027</v>
      </c>
      <c r="G360">
        <v>0.63784995402573152</v>
      </c>
      <c r="H360">
        <v>0</v>
      </c>
      <c r="I360">
        <v>0</v>
      </c>
      <c r="J360">
        <v>0.53320500717969044</v>
      </c>
      <c r="K360">
        <v>0</v>
      </c>
      <c r="L360">
        <v>0</v>
      </c>
      <c r="M360">
        <v>0.37353916915587509</v>
      </c>
      <c r="N360">
        <v>0</v>
      </c>
      <c r="O360">
        <v>0</v>
      </c>
      <c r="P360">
        <v>0.40685256385062779</v>
      </c>
      <c r="Q360">
        <v>0.84010665965038489</v>
      </c>
      <c r="R360">
        <v>-9.023691196661451</v>
      </c>
      <c r="S360">
        <v>0.2083734267315536</v>
      </c>
      <c r="T360">
        <v>0.1657065297266824</v>
      </c>
      <c r="U360">
        <v>4.2557921641307059</v>
      </c>
      <c r="V360">
        <v>0.20542966688110781</v>
      </c>
      <c r="W360">
        <v>-5.448371857487321</v>
      </c>
      <c r="X360">
        <v>0.27056963812153328</v>
      </c>
      <c r="Z360" t="s">
        <v>392</v>
      </c>
      <c r="AA360">
        <v>114</v>
      </c>
      <c r="AB360" t="s">
        <v>3793</v>
      </c>
      <c r="AC360" t="str">
        <f>HYPERLINK("plots/3FT6Y578R04_015_S21P_20251218081014_M5358ACSC201811_RBGEUFRF04/dpll_52084/txpa_53199.png","plot")</f>
        <v>plot</v>
      </c>
    </row>
    <row r="361" spans="1:29" x14ac:dyDescent="0.35">
      <c r="A361" t="s">
        <v>49</v>
      </c>
      <c r="B361">
        <v>52084</v>
      </c>
      <c r="C361" t="s">
        <v>52</v>
      </c>
      <c r="D361">
        <v>53200</v>
      </c>
      <c r="E361" t="s">
        <v>75</v>
      </c>
      <c r="F361">
        <v>12028</v>
      </c>
      <c r="G361">
        <v>0.64308056054325158</v>
      </c>
      <c r="H361">
        <v>0</v>
      </c>
      <c r="I361">
        <v>0</v>
      </c>
      <c r="J361">
        <v>0.55123363565812611</v>
      </c>
      <c r="K361">
        <v>0</v>
      </c>
      <c r="L361">
        <v>0</v>
      </c>
      <c r="M361">
        <v>0.38837227689489151</v>
      </c>
      <c r="N361">
        <v>0</v>
      </c>
      <c r="O361">
        <v>0</v>
      </c>
      <c r="P361">
        <v>0.41355260734862259</v>
      </c>
      <c r="Q361">
        <v>0.84449198995154173</v>
      </c>
      <c r="R361">
        <v>-9.0590011881877128</v>
      </c>
      <c r="S361">
        <v>0.20659133076832289</v>
      </c>
      <c r="T361">
        <v>0.1633931424362832</v>
      </c>
      <c r="U361">
        <v>4.2558177004489526</v>
      </c>
      <c r="V361">
        <v>0.20544021673558341</v>
      </c>
      <c r="W361">
        <v>-5.4649972294645828</v>
      </c>
      <c r="X361">
        <v>0.26978364468138882</v>
      </c>
      <c r="Z361" t="s">
        <v>392</v>
      </c>
      <c r="AA361">
        <v>114</v>
      </c>
      <c r="AB361" t="s">
        <v>3794</v>
      </c>
      <c r="AC361" t="str">
        <f>HYPERLINK("plots/3FT6Y578R04_015_S21P_20251218081014_M5358ACSC201811_RBGEUFRF04/dpll_52084/txpa_53200.png","plot")</f>
        <v>plot</v>
      </c>
    </row>
    <row r="362" spans="1:29" x14ac:dyDescent="0.35">
      <c r="A362" t="s">
        <v>49</v>
      </c>
      <c r="B362">
        <v>52084</v>
      </c>
      <c r="C362" t="s">
        <v>52</v>
      </c>
      <c r="D362">
        <v>53201</v>
      </c>
      <c r="E362" t="s">
        <v>76</v>
      </c>
      <c r="F362">
        <v>12028</v>
      </c>
      <c r="G362">
        <v>0.63972926977405309</v>
      </c>
      <c r="H362">
        <v>0</v>
      </c>
      <c r="I362">
        <v>0</v>
      </c>
      <c r="J362">
        <v>0.54377626441747384</v>
      </c>
      <c r="K362">
        <v>0</v>
      </c>
      <c r="L362">
        <v>0</v>
      </c>
      <c r="M362">
        <v>0.38205474233570019</v>
      </c>
      <c r="N362">
        <v>0</v>
      </c>
      <c r="O362">
        <v>0</v>
      </c>
      <c r="P362">
        <v>0.40925353860564317</v>
      </c>
      <c r="Q362">
        <v>0.82981770808200006</v>
      </c>
      <c r="R362">
        <v>-8.9881176637297919</v>
      </c>
      <c r="S362">
        <v>0.20481155338349369</v>
      </c>
      <c r="T362">
        <v>0.1627636675027016</v>
      </c>
      <c r="U362">
        <v>4.2558177004489526</v>
      </c>
      <c r="V362">
        <v>0.20544021673558341</v>
      </c>
      <c r="W362">
        <v>-5.4565647735284344</v>
      </c>
      <c r="X362">
        <v>0.2664844925097809</v>
      </c>
      <c r="Z362" t="s">
        <v>392</v>
      </c>
      <c r="AA362">
        <v>114</v>
      </c>
      <c r="AB362" t="s">
        <v>3795</v>
      </c>
      <c r="AC362" t="str">
        <f>HYPERLINK("plots/3FT6Y578R04_015_S21P_20251218081014_M5358ACSC201811_RBGEUFRF04/dpll_52084/txpa_53201.png","plot")</f>
        <v>plot</v>
      </c>
    </row>
    <row r="363" spans="1:29" x14ac:dyDescent="0.35">
      <c r="A363" t="s">
        <v>49</v>
      </c>
      <c r="B363">
        <v>52084</v>
      </c>
      <c r="C363" t="s">
        <v>52</v>
      </c>
      <c r="D363">
        <v>53202</v>
      </c>
      <c r="E363" t="s">
        <v>77</v>
      </c>
      <c r="F363">
        <v>12027</v>
      </c>
      <c r="G363">
        <v>0.62552449811314192</v>
      </c>
      <c r="H363">
        <v>0</v>
      </c>
      <c r="I363">
        <v>0</v>
      </c>
      <c r="J363">
        <v>0.53134442654842262</v>
      </c>
      <c r="K363">
        <v>0</v>
      </c>
      <c r="L363">
        <v>0</v>
      </c>
      <c r="M363">
        <v>0.37281039399978477</v>
      </c>
      <c r="N363">
        <v>0</v>
      </c>
      <c r="O363">
        <v>0</v>
      </c>
      <c r="P363">
        <v>0.3912808977396981</v>
      </c>
      <c r="Q363">
        <v>0.81685546051172142</v>
      </c>
      <c r="R363">
        <v>-8.9942914488244607</v>
      </c>
      <c r="S363">
        <v>0.2092972612045246</v>
      </c>
      <c r="T363">
        <v>0.1657927653477749</v>
      </c>
      <c r="U363">
        <v>4.2558401814251274</v>
      </c>
      <c r="V363">
        <v>0.20543396214013371</v>
      </c>
      <c r="W363">
        <v>-5.5178851575621506</v>
      </c>
      <c r="X363">
        <v>0.26827063409173441</v>
      </c>
      <c r="Z363" t="s">
        <v>392</v>
      </c>
      <c r="AA363">
        <v>114</v>
      </c>
      <c r="AB363" t="s">
        <v>3796</v>
      </c>
      <c r="AC363" t="str">
        <f>HYPERLINK("plots/3FT6Y578R04_015_S21P_20251218081014_M5358ACSC201811_RBGEUFRF04/dpll_52084/txpa_53202.png","plot")</f>
        <v>plot</v>
      </c>
    </row>
    <row r="364" spans="1:29" x14ac:dyDescent="0.35">
      <c r="A364" t="s">
        <v>49</v>
      </c>
      <c r="B364">
        <v>52084</v>
      </c>
      <c r="C364" t="s">
        <v>52</v>
      </c>
      <c r="D364">
        <v>53203</v>
      </c>
      <c r="E364" t="s">
        <v>78</v>
      </c>
      <c r="F364">
        <v>12028</v>
      </c>
      <c r="G364">
        <v>0.62102689360907115</v>
      </c>
      <c r="H364">
        <v>0</v>
      </c>
      <c r="I364">
        <v>0</v>
      </c>
      <c r="J364">
        <v>0.53783399117944619</v>
      </c>
      <c r="K364">
        <v>0</v>
      </c>
      <c r="L364">
        <v>0</v>
      </c>
      <c r="M364">
        <v>0.37619617574111808</v>
      </c>
      <c r="N364">
        <v>0</v>
      </c>
      <c r="O364">
        <v>0</v>
      </c>
      <c r="P364">
        <v>0.3856744025857326</v>
      </c>
      <c r="Q364">
        <v>0.80868311564592954</v>
      </c>
      <c r="R364">
        <v>-5.9036138899347526</v>
      </c>
      <c r="S364">
        <v>0.20966922218158651</v>
      </c>
      <c r="T364">
        <v>0.16531114824842019</v>
      </c>
      <c r="U364">
        <v>4.2558177004489526</v>
      </c>
      <c r="V364">
        <v>0.20544021673558341</v>
      </c>
      <c r="W364">
        <v>-2.4620059723145999</v>
      </c>
      <c r="X364">
        <v>0.26751826089722819</v>
      </c>
      <c r="Z364" t="s">
        <v>392</v>
      </c>
      <c r="AA364">
        <v>114</v>
      </c>
      <c r="AB364" t="s">
        <v>3797</v>
      </c>
      <c r="AC364" t="str">
        <f>HYPERLINK("plots/3FT6Y578R04_015_S21P_20251218081014_M5358ACSC201811_RBGEUFRF04/dpll_52084/txpa_53203.png","plot")</f>
        <v>plot</v>
      </c>
    </row>
    <row r="365" spans="1:29" x14ac:dyDescent="0.35">
      <c r="A365" t="s">
        <v>49</v>
      </c>
      <c r="B365">
        <v>52084</v>
      </c>
      <c r="C365" t="s">
        <v>52</v>
      </c>
      <c r="D365">
        <v>53204</v>
      </c>
      <c r="E365" t="s">
        <v>79</v>
      </c>
      <c r="F365">
        <v>12028</v>
      </c>
      <c r="G365">
        <v>0.64755807099638629</v>
      </c>
      <c r="H365">
        <v>0</v>
      </c>
      <c r="I365">
        <v>0</v>
      </c>
      <c r="J365">
        <v>0.56130141106306197</v>
      </c>
      <c r="K365">
        <v>0</v>
      </c>
      <c r="L365">
        <v>0</v>
      </c>
      <c r="M365">
        <v>0.39647914331622702</v>
      </c>
      <c r="N365">
        <v>0</v>
      </c>
      <c r="O365">
        <v>0</v>
      </c>
      <c r="P365">
        <v>0.41933145531256089</v>
      </c>
      <c r="Q365">
        <v>0.85091965591213881</v>
      </c>
      <c r="R365">
        <v>-6.0426843883955677</v>
      </c>
      <c r="S365">
        <v>0.20570336480070681</v>
      </c>
      <c r="T365">
        <v>0.16249653416589521</v>
      </c>
      <c r="U365">
        <v>4.2558177004489526</v>
      </c>
      <c r="V365">
        <v>0.20544021673558341</v>
      </c>
      <c r="W365">
        <v>-2.4213254551047561</v>
      </c>
      <c r="X365">
        <v>0.26995743913156078</v>
      </c>
      <c r="Z365" t="s">
        <v>392</v>
      </c>
      <c r="AA365">
        <v>114</v>
      </c>
      <c r="AB365" t="s">
        <v>3798</v>
      </c>
      <c r="AC365" t="str">
        <f>HYPERLINK("plots/3FT6Y578R04_015_S21P_20251218081014_M5358ACSC201811_RBGEUFRF04/dpll_52084/txpa_53204.png","plot")</f>
        <v>plot</v>
      </c>
    </row>
    <row r="366" spans="1:29" x14ac:dyDescent="0.35">
      <c r="A366" t="s">
        <v>49</v>
      </c>
      <c r="B366">
        <v>52084</v>
      </c>
      <c r="C366" t="s">
        <v>52</v>
      </c>
      <c r="D366">
        <v>53205</v>
      </c>
      <c r="E366" t="s">
        <v>80</v>
      </c>
      <c r="F366">
        <v>12028</v>
      </c>
      <c r="G366">
        <v>0.63166221357728636</v>
      </c>
      <c r="H366">
        <v>0</v>
      </c>
      <c r="I366">
        <v>0</v>
      </c>
      <c r="J366">
        <v>0.54252630163932125</v>
      </c>
      <c r="K366">
        <v>0</v>
      </c>
      <c r="L366">
        <v>0</v>
      </c>
      <c r="M366">
        <v>0.38098289214694853</v>
      </c>
      <c r="N366">
        <v>0</v>
      </c>
      <c r="O366">
        <v>0</v>
      </c>
      <c r="P366">
        <v>0.39899715206135727</v>
      </c>
      <c r="Q366">
        <v>0.80786280881560535</v>
      </c>
      <c r="R366">
        <v>-5.84016581119542</v>
      </c>
      <c r="S366">
        <v>0.20368469290990121</v>
      </c>
      <c r="T366">
        <v>0.16107419409368581</v>
      </c>
      <c r="U366">
        <v>4.2558177004489526</v>
      </c>
      <c r="V366">
        <v>0.20544021673558341</v>
      </c>
      <c r="W366">
        <v>-2.402048969903559</v>
      </c>
      <c r="X366">
        <v>0.26274725156626522</v>
      </c>
      <c r="Z366" t="s">
        <v>392</v>
      </c>
      <c r="AA366">
        <v>114</v>
      </c>
      <c r="AB366" t="s">
        <v>3799</v>
      </c>
      <c r="AC366" t="str">
        <f>HYPERLINK("plots/3FT6Y578R04_015_S21P_20251218081014_M5358ACSC201811_RBGEUFRF04/dpll_52084/txpa_53205.png","plot")</f>
        <v>plot</v>
      </c>
    </row>
    <row r="367" spans="1:29" x14ac:dyDescent="0.35">
      <c r="A367" t="s">
        <v>49</v>
      </c>
      <c r="B367">
        <v>52084</v>
      </c>
      <c r="C367" t="s">
        <v>52</v>
      </c>
      <c r="D367">
        <v>53206</v>
      </c>
      <c r="E367" t="s">
        <v>81</v>
      </c>
      <c r="F367">
        <v>12027</v>
      </c>
      <c r="G367">
        <v>0.6513337451158826</v>
      </c>
      <c r="H367">
        <v>0</v>
      </c>
      <c r="I367">
        <v>0</v>
      </c>
      <c r="J367">
        <v>0.55753299686464486</v>
      </c>
      <c r="K367">
        <v>0</v>
      </c>
      <c r="L367">
        <v>0</v>
      </c>
      <c r="M367">
        <v>0.39364450885165381</v>
      </c>
      <c r="N367">
        <v>0</v>
      </c>
      <c r="O367">
        <v>0</v>
      </c>
      <c r="P367">
        <v>0.42423564752668153</v>
      </c>
      <c r="Q367">
        <v>0.85137472494397937</v>
      </c>
      <c r="R367">
        <v>-6.0088746500816121</v>
      </c>
      <c r="S367">
        <v>0.20376139948178759</v>
      </c>
      <c r="T367">
        <v>0.1614341250713639</v>
      </c>
      <c r="U367">
        <v>4.2558247893905383</v>
      </c>
      <c r="V367">
        <v>0.20544728689892131</v>
      </c>
      <c r="W367">
        <v>-2.3855729906044729</v>
      </c>
      <c r="X367">
        <v>0.26854531748993937</v>
      </c>
      <c r="Z367" t="s">
        <v>392</v>
      </c>
      <c r="AA367">
        <v>114</v>
      </c>
      <c r="AB367" t="s">
        <v>3800</v>
      </c>
      <c r="AC367" t="str">
        <f>HYPERLINK("plots/3FT6Y578R04_015_S21P_20251218081014_M5358ACSC201811_RBGEUFRF04/dpll_52084/txpa_53206.png","plot")</f>
        <v>plot</v>
      </c>
    </row>
    <row r="368" spans="1:29" x14ac:dyDescent="0.35">
      <c r="A368" t="s">
        <v>49</v>
      </c>
      <c r="B368">
        <v>52084</v>
      </c>
      <c r="C368" t="s">
        <v>52</v>
      </c>
      <c r="D368">
        <v>53207</v>
      </c>
      <c r="E368" t="s">
        <v>82</v>
      </c>
      <c r="F368">
        <v>12027</v>
      </c>
      <c r="G368">
        <v>0.6526765132981609</v>
      </c>
      <c r="H368">
        <v>0</v>
      </c>
      <c r="I368">
        <v>0</v>
      </c>
      <c r="J368">
        <v>0.55457949173131071</v>
      </c>
      <c r="K368">
        <v>0</v>
      </c>
      <c r="L368">
        <v>0</v>
      </c>
      <c r="M368">
        <v>0.38996771001885411</v>
      </c>
      <c r="N368">
        <v>0</v>
      </c>
      <c r="O368">
        <v>0</v>
      </c>
      <c r="P368">
        <v>0.42598663101104439</v>
      </c>
      <c r="Q368">
        <v>0.84932735197263942</v>
      </c>
      <c r="R368">
        <v>-6.0081825926910932</v>
      </c>
      <c r="S368">
        <v>0.20252714265673319</v>
      </c>
      <c r="T368">
        <v>0.16129746692415761</v>
      </c>
      <c r="U368">
        <v>4.2557921641307059</v>
      </c>
      <c r="V368">
        <v>0.20542966688110781</v>
      </c>
      <c r="W368">
        <v>-2.393621903384052</v>
      </c>
      <c r="X368">
        <v>0.26732543830491229</v>
      </c>
      <c r="Z368" t="s">
        <v>392</v>
      </c>
      <c r="AA368">
        <v>114</v>
      </c>
      <c r="AB368" t="s">
        <v>3801</v>
      </c>
      <c r="AC368" t="str">
        <f>HYPERLINK("plots/3FT6Y578R04_015_S21P_20251218081014_M5358ACSC201811_RBGEUFRF04/dpll_52084/txpa_53207.png","plot")</f>
        <v>plot</v>
      </c>
    </row>
    <row r="369" spans="1:29" x14ac:dyDescent="0.35">
      <c r="A369" t="s">
        <v>49</v>
      </c>
      <c r="B369">
        <v>52084</v>
      </c>
      <c r="C369" t="s">
        <v>52</v>
      </c>
      <c r="D369">
        <v>53208</v>
      </c>
      <c r="E369" t="s">
        <v>83</v>
      </c>
      <c r="F369">
        <v>12028</v>
      </c>
      <c r="G369">
        <v>0.65881421738923052</v>
      </c>
      <c r="H369">
        <v>0</v>
      </c>
      <c r="I369">
        <v>0</v>
      </c>
      <c r="J369">
        <v>0.57331008662191019</v>
      </c>
      <c r="K369">
        <v>0</v>
      </c>
      <c r="L369">
        <v>0</v>
      </c>
      <c r="M369">
        <v>0.40564868146873312</v>
      </c>
      <c r="N369">
        <v>0</v>
      </c>
      <c r="O369">
        <v>0</v>
      </c>
      <c r="P369">
        <v>0.43403617303418429</v>
      </c>
      <c r="Q369">
        <v>0.85855682585559201</v>
      </c>
      <c r="R369">
        <v>-6.0554861473417736</v>
      </c>
      <c r="S369">
        <v>0.20140387875553939</v>
      </c>
      <c r="T369">
        <v>0.15943907405931659</v>
      </c>
      <c r="U369">
        <v>4.2558177004489526</v>
      </c>
      <c r="V369">
        <v>0.20544021673558341</v>
      </c>
      <c r="W369">
        <v>-2.4016248110242771</v>
      </c>
      <c r="X369">
        <v>0.26772661507300177</v>
      </c>
      <c r="Z369" t="s">
        <v>392</v>
      </c>
      <c r="AA369">
        <v>114</v>
      </c>
      <c r="AB369" t="s">
        <v>3802</v>
      </c>
      <c r="AC369" t="str">
        <f>HYPERLINK("plots/3FT6Y578R04_015_S21P_20251218081014_M5358ACSC201811_RBGEUFRF04/dpll_52084/txpa_53208.png","plot")</f>
        <v>plot</v>
      </c>
    </row>
    <row r="370" spans="1:29" x14ac:dyDescent="0.35">
      <c r="A370" t="s">
        <v>49</v>
      </c>
      <c r="B370">
        <v>52084</v>
      </c>
      <c r="C370" t="s">
        <v>52</v>
      </c>
      <c r="D370">
        <v>53209</v>
      </c>
      <c r="E370" t="s">
        <v>84</v>
      </c>
      <c r="F370">
        <v>12028</v>
      </c>
      <c r="G370">
        <v>0.65499596891535106</v>
      </c>
      <c r="H370">
        <v>0</v>
      </c>
      <c r="I370">
        <v>0</v>
      </c>
      <c r="J370">
        <v>0.56523026003746157</v>
      </c>
      <c r="K370">
        <v>0</v>
      </c>
      <c r="L370">
        <v>0</v>
      </c>
      <c r="M370">
        <v>0.39885090210284541</v>
      </c>
      <c r="N370">
        <v>0</v>
      </c>
      <c r="O370">
        <v>0</v>
      </c>
      <c r="P370">
        <v>0.42901971929535948</v>
      </c>
      <c r="Q370">
        <v>0.84240528269929293</v>
      </c>
      <c r="R370">
        <v>-5.9792591072103436</v>
      </c>
      <c r="S370">
        <v>0.19964591097073089</v>
      </c>
      <c r="T370">
        <v>0.15893777757587091</v>
      </c>
      <c r="U370">
        <v>4.2558177004489526</v>
      </c>
      <c r="V370">
        <v>0.20544021673558341</v>
      </c>
      <c r="W370">
        <v>-2.3941357941469898</v>
      </c>
      <c r="X370">
        <v>0.26422135718412232</v>
      </c>
      <c r="Z370" t="s">
        <v>392</v>
      </c>
      <c r="AA370">
        <v>114</v>
      </c>
      <c r="AB370" t="s">
        <v>3803</v>
      </c>
      <c r="AC370" t="str">
        <f>HYPERLINK("plots/3FT6Y578R04_015_S21P_20251218081014_M5358ACSC201811_RBGEUFRF04/dpll_52084/txpa_53209.png","plot")</f>
        <v>plot</v>
      </c>
    </row>
    <row r="371" spans="1:29" x14ac:dyDescent="0.35">
      <c r="A371" t="s">
        <v>49</v>
      </c>
      <c r="B371">
        <v>52084</v>
      </c>
      <c r="C371" t="s">
        <v>52</v>
      </c>
      <c r="D371">
        <v>53210</v>
      </c>
      <c r="E371" t="s">
        <v>85</v>
      </c>
      <c r="F371">
        <v>12027</v>
      </c>
      <c r="G371">
        <v>0.64191713599208688</v>
      </c>
      <c r="H371">
        <v>0</v>
      </c>
      <c r="I371">
        <v>0</v>
      </c>
      <c r="J371">
        <v>0.5536548806990168</v>
      </c>
      <c r="K371">
        <v>0</v>
      </c>
      <c r="L371">
        <v>0</v>
      </c>
      <c r="M371">
        <v>0.39037762398501658</v>
      </c>
      <c r="N371">
        <v>0</v>
      </c>
      <c r="O371">
        <v>0</v>
      </c>
      <c r="P371">
        <v>0.41205760948028342</v>
      </c>
      <c r="Q371">
        <v>0.83005062625775516</v>
      </c>
      <c r="R371">
        <v>-5.9804669576743947</v>
      </c>
      <c r="S371">
        <v>0.20367943695624491</v>
      </c>
      <c r="T371">
        <v>0.16111998744322431</v>
      </c>
      <c r="U371">
        <v>4.2558401814251274</v>
      </c>
      <c r="V371">
        <v>0.20543396214013371</v>
      </c>
      <c r="W371">
        <v>-2.44790414982955</v>
      </c>
      <c r="X371">
        <v>0.26564268091315152</v>
      </c>
      <c r="Z371" t="s">
        <v>392</v>
      </c>
      <c r="AA371">
        <v>114</v>
      </c>
      <c r="AB371" t="s">
        <v>3804</v>
      </c>
      <c r="AC371" t="str">
        <f>HYPERLINK("plots/3FT6Y578R04_015_S21P_20251218081014_M5358ACSC201811_RBGEUFRF04/dpll_52084/txpa_53210.png","plot")</f>
        <v>plot</v>
      </c>
    </row>
    <row r="372" spans="1:29" x14ac:dyDescent="0.35">
      <c r="A372" t="s">
        <v>49</v>
      </c>
      <c r="B372">
        <v>52084</v>
      </c>
      <c r="C372" t="s">
        <v>52</v>
      </c>
      <c r="D372">
        <v>53211</v>
      </c>
      <c r="E372" t="s">
        <v>86</v>
      </c>
      <c r="F372">
        <v>12028</v>
      </c>
      <c r="G372">
        <v>0.66794117324373692</v>
      </c>
      <c r="H372">
        <v>0</v>
      </c>
      <c r="I372">
        <v>0</v>
      </c>
      <c r="J372">
        <v>0.59148942488698575</v>
      </c>
      <c r="K372">
        <v>0</v>
      </c>
      <c r="L372">
        <v>0</v>
      </c>
      <c r="M372">
        <v>0.41876033202371848</v>
      </c>
      <c r="N372">
        <v>0</v>
      </c>
      <c r="O372">
        <v>0</v>
      </c>
      <c r="P372">
        <v>0.44614541091421978</v>
      </c>
      <c r="Q372">
        <v>0.87854140561442273</v>
      </c>
      <c r="R372">
        <v>-2.5966927261322339</v>
      </c>
      <c r="S372">
        <v>0.20108946056739921</v>
      </c>
      <c r="T372">
        <v>0.1583511658840239</v>
      </c>
      <c r="U372">
        <v>4.2558177004489526</v>
      </c>
      <c r="V372">
        <v>0.20544021673558341</v>
      </c>
      <c r="W372">
        <v>1.142219338458929</v>
      </c>
      <c r="X372">
        <v>0.27021501894261851</v>
      </c>
      <c r="Z372" t="s">
        <v>392</v>
      </c>
      <c r="AA372">
        <v>114</v>
      </c>
      <c r="AB372" t="s">
        <v>3805</v>
      </c>
      <c r="AC372" t="str">
        <f>HYPERLINK("plots/3FT6Y578R04_015_S21P_20251218081014_M5358ACSC201811_RBGEUFRF04/dpll_52084/txpa_53211.png","plot")</f>
        <v>plot</v>
      </c>
    </row>
    <row r="373" spans="1:29" x14ac:dyDescent="0.35">
      <c r="A373" t="s">
        <v>49</v>
      </c>
      <c r="B373">
        <v>52084</v>
      </c>
      <c r="C373" t="s">
        <v>52</v>
      </c>
      <c r="D373">
        <v>53212</v>
      </c>
      <c r="E373" t="s">
        <v>87</v>
      </c>
      <c r="F373">
        <v>12028</v>
      </c>
      <c r="G373">
        <v>0.69238923550858844</v>
      </c>
      <c r="H373">
        <v>0</v>
      </c>
      <c r="I373">
        <v>0</v>
      </c>
      <c r="J373">
        <v>0.61186526580377365</v>
      </c>
      <c r="K373">
        <v>0</v>
      </c>
      <c r="L373">
        <v>0</v>
      </c>
      <c r="M373">
        <v>0.43735673185436202</v>
      </c>
      <c r="N373">
        <v>0</v>
      </c>
      <c r="O373">
        <v>0</v>
      </c>
      <c r="P373">
        <v>0.47940285344816752</v>
      </c>
      <c r="Q373">
        <v>0.91963974853794472</v>
      </c>
      <c r="R373">
        <v>-2.7349627649074408</v>
      </c>
      <c r="S373">
        <v>0.19687280483322889</v>
      </c>
      <c r="T373">
        <v>0.15576708242874601</v>
      </c>
      <c r="U373">
        <v>4.2558177004489526</v>
      </c>
      <c r="V373">
        <v>0.20544021673558341</v>
      </c>
      <c r="W373">
        <v>1.1788563549567681</v>
      </c>
      <c r="X373">
        <v>0.27286817814190201</v>
      </c>
      <c r="Z373" t="s">
        <v>392</v>
      </c>
      <c r="AA373">
        <v>114</v>
      </c>
      <c r="AB373" t="s">
        <v>3806</v>
      </c>
      <c r="AC373" t="str">
        <f>HYPERLINK("plots/3FT6Y578R04_015_S21P_20251218081014_M5358ACSC201811_RBGEUFRF04/dpll_52084/txpa_53212.png","plot")</f>
        <v>plot</v>
      </c>
    </row>
    <row r="374" spans="1:29" x14ac:dyDescent="0.35">
      <c r="A374" t="s">
        <v>49</v>
      </c>
      <c r="B374">
        <v>52084</v>
      </c>
      <c r="C374" t="s">
        <v>52</v>
      </c>
      <c r="D374">
        <v>53213</v>
      </c>
      <c r="E374" t="s">
        <v>88</v>
      </c>
      <c r="F374">
        <v>12028</v>
      </c>
      <c r="G374">
        <v>0.6781846230359212</v>
      </c>
      <c r="H374">
        <v>0</v>
      </c>
      <c r="I374">
        <v>0</v>
      </c>
      <c r="J374">
        <v>0.59534338985098934</v>
      </c>
      <c r="K374">
        <v>0</v>
      </c>
      <c r="L374">
        <v>0</v>
      </c>
      <c r="M374">
        <v>0.42301657059978809</v>
      </c>
      <c r="N374">
        <v>0</v>
      </c>
      <c r="O374">
        <v>0</v>
      </c>
      <c r="P374">
        <v>0.45993438292237449</v>
      </c>
      <c r="Q374">
        <v>0.87884031430171861</v>
      </c>
      <c r="R374">
        <v>-2.543555350009457</v>
      </c>
      <c r="S374">
        <v>0.1956377714871575</v>
      </c>
      <c r="T374">
        <v>0.15491405612136769</v>
      </c>
      <c r="U374">
        <v>4.2558177004489526</v>
      </c>
      <c r="V374">
        <v>0.20544021673558341</v>
      </c>
      <c r="W374">
        <v>1.196628815463918</v>
      </c>
      <c r="X374">
        <v>0.26622417924764769</v>
      </c>
      <c r="Z374" t="s">
        <v>392</v>
      </c>
      <c r="AA374">
        <v>114</v>
      </c>
      <c r="AB374" t="s">
        <v>3807</v>
      </c>
      <c r="AC374" t="str">
        <f>HYPERLINK("plots/3FT6Y578R04_015_S21P_20251218081014_M5358ACSC201811_RBGEUFRF04/dpll_52084/txpa_53213.png","plot")</f>
        <v>plot</v>
      </c>
    </row>
    <row r="375" spans="1:29" x14ac:dyDescent="0.35">
      <c r="A375" t="s">
        <v>49</v>
      </c>
      <c r="B375">
        <v>52084</v>
      </c>
      <c r="C375" t="s">
        <v>52</v>
      </c>
      <c r="D375">
        <v>53214</v>
      </c>
      <c r="E375" t="s">
        <v>89</v>
      </c>
      <c r="F375">
        <v>12027</v>
      </c>
      <c r="G375">
        <v>0.69630306374123518</v>
      </c>
      <c r="H375">
        <v>0</v>
      </c>
      <c r="I375">
        <v>0</v>
      </c>
      <c r="J375">
        <v>0.61005888643611217</v>
      </c>
      <c r="K375">
        <v>0</v>
      </c>
      <c r="L375">
        <v>0</v>
      </c>
      <c r="M375">
        <v>0.43604998199632539</v>
      </c>
      <c r="N375">
        <v>0</v>
      </c>
      <c r="O375">
        <v>0</v>
      </c>
      <c r="P375">
        <v>0.48483795657543061</v>
      </c>
      <c r="Q375">
        <v>0.9186892640121388</v>
      </c>
      <c r="R375">
        <v>-2.703693591629917</v>
      </c>
      <c r="S375">
        <v>0.19454703591481209</v>
      </c>
      <c r="T375">
        <v>0.15408151918554649</v>
      </c>
      <c r="U375">
        <v>4.2558247893905383</v>
      </c>
      <c r="V375">
        <v>0.20544728689892131</v>
      </c>
      <c r="W375">
        <v>1.206086951899892</v>
      </c>
      <c r="X375">
        <v>0.27106331513227738</v>
      </c>
      <c r="Z375" t="s">
        <v>392</v>
      </c>
      <c r="AA375">
        <v>114</v>
      </c>
      <c r="AB375" t="s">
        <v>3808</v>
      </c>
      <c r="AC375" t="str">
        <f>HYPERLINK("plots/3FT6Y578R04_015_S21P_20251218081014_M5358ACSC201811_RBGEUFRF04/dpll_52084/txpa_53214.png","plot")</f>
        <v>plot</v>
      </c>
    </row>
    <row r="376" spans="1:29" x14ac:dyDescent="0.35">
      <c r="A376" t="s">
        <v>49</v>
      </c>
      <c r="B376">
        <v>52084</v>
      </c>
      <c r="C376" t="s">
        <v>52</v>
      </c>
      <c r="D376">
        <v>53215</v>
      </c>
      <c r="E376" t="s">
        <v>90</v>
      </c>
      <c r="F376">
        <v>12027</v>
      </c>
      <c r="G376">
        <v>0.69634776740432291</v>
      </c>
      <c r="H376">
        <v>0</v>
      </c>
      <c r="I376">
        <v>0</v>
      </c>
      <c r="J376">
        <v>0.60571476435434146</v>
      </c>
      <c r="K376">
        <v>0</v>
      </c>
      <c r="L376">
        <v>0</v>
      </c>
      <c r="M376">
        <v>0.43100459241604838</v>
      </c>
      <c r="N376">
        <v>0</v>
      </c>
      <c r="O376">
        <v>0</v>
      </c>
      <c r="P376">
        <v>0.48490021316898502</v>
      </c>
      <c r="Q376">
        <v>0.91432466710621751</v>
      </c>
      <c r="R376">
        <v>-2.6941626082244712</v>
      </c>
      <c r="S376">
        <v>0.19358203022172049</v>
      </c>
      <c r="T376">
        <v>0.1541673773230352</v>
      </c>
      <c r="U376">
        <v>4.2557921641307059</v>
      </c>
      <c r="V376">
        <v>0.20542966688110781</v>
      </c>
      <c r="W376">
        <v>1.197013145517585</v>
      </c>
      <c r="X376">
        <v>0.26973506712738549</v>
      </c>
      <c r="Z376" t="s">
        <v>392</v>
      </c>
      <c r="AA376">
        <v>114</v>
      </c>
      <c r="AB376" t="s">
        <v>3809</v>
      </c>
      <c r="AC376" t="str">
        <f>HYPERLINK("plots/3FT6Y578R04_015_S21P_20251218081014_M5358ACSC201811_RBGEUFRF04/dpll_52084/txpa_53215.png","plot")</f>
        <v>plot</v>
      </c>
    </row>
    <row r="377" spans="1:29" x14ac:dyDescent="0.35">
      <c r="A377" t="s">
        <v>49</v>
      </c>
      <c r="B377">
        <v>52084</v>
      </c>
      <c r="C377" t="s">
        <v>52</v>
      </c>
      <c r="D377">
        <v>53216</v>
      </c>
      <c r="E377" t="s">
        <v>91</v>
      </c>
      <c r="F377">
        <v>12028</v>
      </c>
      <c r="G377">
        <v>0.70240295938762698</v>
      </c>
      <c r="H377">
        <v>0</v>
      </c>
      <c r="I377">
        <v>0</v>
      </c>
      <c r="J377">
        <v>0.62420900785950018</v>
      </c>
      <c r="K377">
        <v>0</v>
      </c>
      <c r="L377">
        <v>0</v>
      </c>
      <c r="M377">
        <v>0.44702961809242692</v>
      </c>
      <c r="N377">
        <v>0</v>
      </c>
      <c r="O377">
        <v>0</v>
      </c>
      <c r="P377">
        <v>0.49336991735649638</v>
      </c>
      <c r="Q377">
        <v>0.92723396121049617</v>
      </c>
      <c r="R377">
        <v>-2.749764624042442</v>
      </c>
      <c r="S377">
        <v>0.19302603703460849</v>
      </c>
      <c r="T377">
        <v>0.15286997452727791</v>
      </c>
      <c r="U377">
        <v>4.2558177004489526</v>
      </c>
      <c r="V377">
        <v>0.20544021673558341</v>
      </c>
      <c r="W377">
        <v>1.1963740805345859</v>
      </c>
      <c r="X377">
        <v>0.27119923600799328</v>
      </c>
      <c r="Z377" t="s">
        <v>392</v>
      </c>
      <c r="AA377">
        <v>114</v>
      </c>
      <c r="AB377" t="s">
        <v>3810</v>
      </c>
      <c r="AC377" t="str">
        <f>HYPERLINK("plots/3FT6Y578R04_015_S21P_20251218081014_M5358ACSC201811_RBGEUFRF04/dpll_52084/txpa_53216.png","plot")</f>
        <v>plot</v>
      </c>
    </row>
    <row r="378" spans="1:29" x14ac:dyDescent="0.35">
      <c r="A378" t="s">
        <v>49</v>
      </c>
      <c r="B378">
        <v>52084</v>
      </c>
      <c r="C378" t="s">
        <v>52</v>
      </c>
      <c r="D378">
        <v>53217</v>
      </c>
      <c r="E378" t="s">
        <v>92</v>
      </c>
      <c r="F378">
        <v>12028</v>
      </c>
      <c r="G378">
        <v>0.69874577449757336</v>
      </c>
      <c r="H378">
        <v>0</v>
      </c>
      <c r="I378">
        <v>0</v>
      </c>
      <c r="J378">
        <v>0.61553515541878623</v>
      </c>
      <c r="K378">
        <v>0</v>
      </c>
      <c r="L378">
        <v>0</v>
      </c>
      <c r="M378">
        <v>0.43990707398440232</v>
      </c>
      <c r="N378">
        <v>0</v>
      </c>
      <c r="O378">
        <v>0</v>
      </c>
      <c r="P378">
        <v>0.48824565737821363</v>
      </c>
      <c r="Q378">
        <v>0.90957118353854949</v>
      </c>
      <c r="R378">
        <v>-2.666646307395756</v>
      </c>
      <c r="S378">
        <v>0.19130031137176859</v>
      </c>
      <c r="T378">
        <v>0.15223461954643411</v>
      </c>
      <c r="U378">
        <v>4.2558177004489526</v>
      </c>
      <c r="V378">
        <v>0.20544021673558341</v>
      </c>
      <c r="W378">
        <v>1.2043228353259059</v>
      </c>
      <c r="X378">
        <v>0.2674255901110279</v>
      </c>
      <c r="Z378" t="s">
        <v>392</v>
      </c>
      <c r="AA378">
        <v>114</v>
      </c>
      <c r="AB378" t="s">
        <v>3811</v>
      </c>
      <c r="AC378" t="str">
        <f>HYPERLINK("plots/3FT6Y578R04_015_S21P_20251218081014_M5358ACSC201811_RBGEUFRF04/dpll_52084/txpa_53217.png","plot")</f>
        <v>plot</v>
      </c>
    </row>
    <row r="379" spans="1:29" x14ac:dyDescent="0.35">
      <c r="A379" t="s">
        <v>49</v>
      </c>
      <c r="B379">
        <v>52084</v>
      </c>
      <c r="C379" t="s">
        <v>52</v>
      </c>
      <c r="D379">
        <v>53218</v>
      </c>
      <c r="E379" t="s">
        <v>93</v>
      </c>
      <c r="F379">
        <v>12027</v>
      </c>
      <c r="G379">
        <v>0.68910545337611773</v>
      </c>
      <c r="H379">
        <v>0</v>
      </c>
      <c r="I379">
        <v>0</v>
      </c>
      <c r="J379">
        <v>0.60621119779499621</v>
      </c>
      <c r="K379">
        <v>0</v>
      </c>
      <c r="L379">
        <v>0</v>
      </c>
      <c r="M379">
        <v>0.43272806745775938</v>
      </c>
      <c r="N379">
        <v>0</v>
      </c>
      <c r="O379">
        <v>0</v>
      </c>
      <c r="P379">
        <v>0.47486632587270478</v>
      </c>
      <c r="Q379">
        <v>0.9013688670359612</v>
      </c>
      <c r="R379">
        <v>-2.6797471648788642</v>
      </c>
      <c r="S379">
        <v>0.19471794950791921</v>
      </c>
      <c r="T379">
        <v>0.15407204531078911</v>
      </c>
      <c r="U379">
        <v>4.2558401814251274</v>
      </c>
      <c r="V379">
        <v>0.20543396214013371</v>
      </c>
      <c r="W379">
        <v>1.156334677738422</v>
      </c>
      <c r="X379">
        <v>0.26871326703010878</v>
      </c>
      <c r="Z379" t="s">
        <v>392</v>
      </c>
      <c r="AA379">
        <v>114</v>
      </c>
      <c r="AB379" t="s">
        <v>3812</v>
      </c>
      <c r="AC379" t="str">
        <f>HYPERLINK("plots/3FT6Y578R04_015_S21P_20251218081014_M5358ACSC201811_RBGEUFRF04/dpll_52084/txpa_53218.png","plot")</f>
        <v>plot</v>
      </c>
    </row>
    <row r="380" spans="1:29" x14ac:dyDescent="0.35">
      <c r="A380" t="s">
        <v>49</v>
      </c>
      <c r="B380">
        <v>52084</v>
      </c>
      <c r="C380" t="s">
        <v>52</v>
      </c>
      <c r="D380">
        <v>53219</v>
      </c>
      <c r="E380" t="s">
        <v>94</v>
      </c>
      <c r="F380">
        <v>12028</v>
      </c>
      <c r="G380">
        <v>0.69934182181047688</v>
      </c>
      <c r="H380">
        <v>0</v>
      </c>
      <c r="I380">
        <v>0</v>
      </c>
      <c r="J380">
        <v>0.62347024488200598</v>
      </c>
      <c r="K380">
        <v>0</v>
      </c>
      <c r="L380">
        <v>0</v>
      </c>
      <c r="M380">
        <v>0.44504956463653</v>
      </c>
      <c r="N380">
        <v>0</v>
      </c>
      <c r="O380">
        <v>0</v>
      </c>
      <c r="P380">
        <v>0.4890789837331968</v>
      </c>
      <c r="Q380">
        <v>0.9399133076780638</v>
      </c>
      <c r="R380">
        <v>-0.83072606973841223</v>
      </c>
      <c r="S380">
        <v>0.19735248170824679</v>
      </c>
      <c r="T380">
        <v>0.1554407636669155</v>
      </c>
      <c r="U380">
        <v>4.2558177004489526</v>
      </c>
      <c r="V380">
        <v>0.20544021673558341</v>
      </c>
      <c r="W380">
        <v>3.1693736219654141</v>
      </c>
      <c r="X380">
        <v>0.27611103414657512</v>
      </c>
      <c r="Z380" t="s">
        <v>392</v>
      </c>
      <c r="AA380">
        <v>114</v>
      </c>
      <c r="AB380" t="s">
        <v>3813</v>
      </c>
      <c r="AC380" t="str">
        <f>HYPERLINK("plots/3FT6Y578R04_015_S21P_20251218081014_M5358ACSC201811_RBGEUFRF04/dpll_52084/txpa_53219.png","plot")</f>
        <v>plot</v>
      </c>
    </row>
    <row r="381" spans="1:29" x14ac:dyDescent="0.35">
      <c r="A381" t="s">
        <v>49</v>
      </c>
      <c r="B381">
        <v>52084</v>
      </c>
      <c r="C381" t="s">
        <v>52</v>
      </c>
      <c r="D381">
        <v>53220</v>
      </c>
      <c r="E381" t="s">
        <v>95</v>
      </c>
      <c r="F381">
        <v>12028</v>
      </c>
      <c r="G381">
        <v>0.72235921778224066</v>
      </c>
      <c r="H381">
        <v>0</v>
      </c>
      <c r="I381">
        <v>0</v>
      </c>
      <c r="J381">
        <v>0.64261104898759369</v>
      </c>
      <c r="K381">
        <v>0</v>
      </c>
      <c r="L381">
        <v>0</v>
      </c>
      <c r="M381">
        <v>0.46318898096910482</v>
      </c>
      <c r="N381">
        <v>0</v>
      </c>
      <c r="O381">
        <v>0</v>
      </c>
      <c r="P381">
        <v>0.52180283951497064</v>
      </c>
      <c r="Q381">
        <v>0.98027079025343367</v>
      </c>
      <c r="R381">
        <v>-0.9674971100411347</v>
      </c>
      <c r="S381">
        <v>0.19278078734234999</v>
      </c>
      <c r="T381">
        <v>0.15277663481783771</v>
      </c>
      <c r="U381">
        <v>4.2558177004489526</v>
      </c>
      <c r="V381">
        <v>0.20544021673558341</v>
      </c>
      <c r="W381">
        <v>3.204356670352511</v>
      </c>
      <c r="X381">
        <v>0.27879071610315692</v>
      </c>
      <c r="Z381" t="s">
        <v>392</v>
      </c>
      <c r="AA381">
        <v>114</v>
      </c>
      <c r="AB381" t="s">
        <v>3814</v>
      </c>
      <c r="AC381" t="str">
        <f>HYPERLINK("plots/3FT6Y578R04_015_S21P_20251218081014_M5358ACSC201811_RBGEUFRF04/dpll_52084/txpa_53220.png","plot")</f>
        <v>plot</v>
      </c>
    </row>
    <row r="382" spans="1:29" x14ac:dyDescent="0.35">
      <c r="A382" t="s">
        <v>49</v>
      </c>
      <c r="B382">
        <v>52084</v>
      </c>
      <c r="C382" t="s">
        <v>52</v>
      </c>
      <c r="D382">
        <v>53221</v>
      </c>
      <c r="E382" t="s">
        <v>96</v>
      </c>
      <c r="F382">
        <v>12028</v>
      </c>
      <c r="G382">
        <v>0.70961035551451646</v>
      </c>
      <c r="H382">
        <v>0</v>
      </c>
      <c r="I382">
        <v>0</v>
      </c>
      <c r="J382">
        <v>0.62832842923623144</v>
      </c>
      <c r="K382">
        <v>0</v>
      </c>
      <c r="L382">
        <v>0</v>
      </c>
      <c r="M382">
        <v>0.45030348977994911</v>
      </c>
      <c r="N382">
        <v>0</v>
      </c>
      <c r="O382">
        <v>0</v>
      </c>
      <c r="P382">
        <v>0.50354685665343846</v>
      </c>
      <c r="Q382">
        <v>0.940569703603232</v>
      </c>
      <c r="R382">
        <v>-0.78065364030717754</v>
      </c>
      <c r="S382">
        <v>0.19185697108352889</v>
      </c>
      <c r="T382">
        <v>0.15186190999334959</v>
      </c>
      <c r="U382">
        <v>4.2558177004489526</v>
      </c>
      <c r="V382">
        <v>0.20544021673558341</v>
      </c>
      <c r="W382">
        <v>3.2222395527934822</v>
      </c>
      <c r="X382">
        <v>0.27230555791856498</v>
      </c>
      <c r="Z382" t="s">
        <v>392</v>
      </c>
      <c r="AA382">
        <v>114</v>
      </c>
      <c r="AB382" t="s">
        <v>3815</v>
      </c>
      <c r="AC382" t="str">
        <f>HYPERLINK("plots/3FT6Y578R04_015_S21P_20251218081014_M5358ACSC201811_RBGEUFRF04/dpll_52084/txpa_53221.png","plot")</f>
        <v>plot</v>
      </c>
    </row>
    <row r="383" spans="1:29" x14ac:dyDescent="0.35">
      <c r="A383" t="s">
        <v>49</v>
      </c>
      <c r="B383">
        <v>52084</v>
      </c>
      <c r="C383" t="s">
        <v>52</v>
      </c>
      <c r="D383">
        <v>53222</v>
      </c>
      <c r="E383" t="s">
        <v>97</v>
      </c>
      <c r="F383">
        <v>12027</v>
      </c>
      <c r="G383">
        <v>0.72589081384192211</v>
      </c>
      <c r="H383">
        <v>0</v>
      </c>
      <c r="I383">
        <v>0</v>
      </c>
      <c r="J383">
        <v>0.64180240046827852</v>
      </c>
      <c r="K383">
        <v>0</v>
      </c>
      <c r="L383">
        <v>0</v>
      </c>
      <c r="M383">
        <v>0.46262944032835063</v>
      </c>
      <c r="N383">
        <v>0</v>
      </c>
      <c r="O383">
        <v>0</v>
      </c>
      <c r="P383">
        <v>0.52691747362008801</v>
      </c>
      <c r="Q383">
        <v>0.9772683487752345</v>
      </c>
      <c r="R383">
        <v>-0.93091920392426486</v>
      </c>
      <c r="S383">
        <v>0.19023627840807261</v>
      </c>
      <c r="T383">
        <v>0.15073059492222179</v>
      </c>
      <c r="U383">
        <v>4.2558247893905383</v>
      </c>
      <c r="V383">
        <v>0.20544728689892131</v>
      </c>
      <c r="W383">
        <v>3.2281636606801358</v>
      </c>
      <c r="X383">
        <v>0.27659411994127281</v>
      </c>
      <c r="Z383" t="s">
        <v>392</v>
      </c>
      <c r="AA383">
        <v>114</v>
      </c>
      <c r="AB383" t="s">
        <v>3816</v>
      </c>
      <c r="AC383" t="str">
        <f>HYPERLINK("plots/3FT6Y578R04_015_S21P_20251218081014_M5358ACSC201811_RBGEUFRF04/dpll_52084/txpa_53222.png","plot")</f>
        <v>plot</v>
      </c>
    </row>
    <row r="384" spans="1:29" x14ac:dyDescent="0.35">
      <c r="A384" t="s">
        <v>49</v>
      </c>
      <c r="B384">
        <v>52084</v>
      </c>
      <c r="C384" t="s">
        <v>52</v>
      </c>
      <c r="D384">
        <v>53223</v>
      </c>
      <c r="E384" t="s">
        <v>98</v>
      </c>
      <c r="F384">
        <v>12027</v>
      </c>
      <c r="G384">
        <v>0.72653955712153451</v>
      </c>
      <c r="H384">
        <v>0</v>
      </c>
      <c r="I384">
        <v>0</v>
      </c>
      <c r="J384">
        <v>0.63768052314822443</v>
      </c>
      <c r="K384">
        <v>0</v>
      </c>
      <c r="L384">
        <v>0</v>
      </c>
      <c r="M384">
        <v>0.45758444681126359</v>
      </c>
      <c r="N384">
        <v>0</v>
      </c>
      <c r="O384">
        <v>0</v>
      </c>
      <c r="P384">
        <v>0.52785972806235548</v>
      </c>
      <c r="Q384">
        <v>0.97309730116322213</v>
      </c>
      <c r="R384">
        <v>-0.92425596509480901</v>
      </c>
      <c r="S384">
        <v>0.18905041380855661</v>
      </c>
      <c r="T384">
        <v>0.15049534153736169</v>
      </c>
      <c r="U384">
        <v>4.2557921641307059</v>
      </c>
      <c r="V384">
        <v>0.20542966688110781</v>
      </c>
      <c r="W384">
        <v>3.2170439041323688</v>
      </c>
      <c r="X384">
        <v>0.27514407503544408</v>
      </c>
      <c r="Z384" t="s">
        <v>392</v>
      </c>
      <c r="AA384">
        <v>114</v>
      </c>
      <c r="AB384" t="s">
        <v>3817</v>
      </c>
      <c r="AC384" t="str">
        <f>HYPERLINK("plots/3FT6Y578R04_015_S21P_20251218081014_M5358ACSC201811_RBGEUFRF04/dpll_52084/txpa_53223.png","plot")</f>
        <v>plot</v>
      </c>
    </row>
    <row r="385" spans="1:29" x14ac:dyDescent="0.35">
      <c r="A385" t="s">
        <v>49</v>
      </c>
      <c r="B385">
        <v>52084</v>
      </c>
      <c r="C385" t="s">
        <v>52</v>
      </c>
      <c r="D385">
        <v>53224</v>
      </c>
      <c r="E385" t="s">
        <v>99</v>
      </c>
      <c r="F385">
        <v>12028</v>
      </c>
      <c r="G385">
        <v>0.73128448438817528</v>
      </c>
      <c r="H385">
        <v>0</v>
      </c>
      <c r="I385">
        <v>0</v>
      </c>
      <c r="J385">
        <v>0.65553901007158188</v>
      </c>
      <c r="K385">
        <v>0</v>
      </c>
      <c r="L385">
        <v>0</v>
      </c>
      <c r="M385">
        <v>0.47356675637164841</v>
      </c>
      <c r="N385">
        <v>0</v>
      </c>
      <c r="O385">
        <v>0</v>
      </c>
      <c r="P385">
        <v>0.53477699710687943</v>
      </c>
      <c r="Q385">
        <v>0.98801815324743603</v>
      </c>
      <c r="R385">
        <v>-0.98400947343886225</v>
      </c>
      <c r="S385">
        <v>0.18931131205195101</v>
      </c>
      <c r="T385">
        <v>0.1499409633896843</v>
      </c>
      <c r="U385">
        <v>4.2558177004489526</v>
      </c>
      <c r="V385">
        <v>0.20544021673558341</v>
      </c>
      <c r="W385">
        <v>3.220815671516462</v>
      </c>
      <c r="X385">
        <v>0.27756457011619101</v>
      </c>
      <c r="Z385" t="s">
        <v>392</v>
      </c>
      <c r="AA385">
        <v>114</v>
      </c>
      <c r="AB385" t="s">
        <v>3818</v>
      </c>
      <c r="AC385" t="str">
        <f>HYPERLINK("plots/3FT6Y578R04_015_S21P_20251218081014_M5358ACSC201811_RBGEUFRF04/dpll_52084/txpa_53224.png","plot")</f>
        <v>plot</v>
      </c>
    </row>
    <row r="386" spans="1:29" x14ac:dyDescent="0.35">
      <c r="A386" t="s">
        <v>49</v>
      </c>
      <c r="B386">
        <v>52084</v>
      </c>
      <c r="C386" t="s">
        <v>52</v>
      </c>
      <c r="D386">
        <v>53225</v>
      </c>
      <c r="E386" t="s">
        <v>100</v>
      </c>
      <c r="F386">
        <v>12028</v>
      </c>
      <c r="G386">
        <v>0.72828460130797723</v>
      </c>
      <c r="H386">
        <v>0</v>
      </c>
      <c r="I386">
        <v>0</v>
      </c>
      <c r="J386">
        <v>0.64675149653794761</v>
      </c>
      <c r="K386">
        <v>0</v>
      </c>
      <c r="L386">
        <v>0</v>
      </c>
      <c r="M386">
        <v>0.46617266879124408</v>
      </c>
      <c r="N386">
        <v>0</v>
      </c>
      <c r="O386">
        <v>0</v>
      </c>
      <c r="P386">
        <v>0.53039846050231931</v>
      </c>
      <c r="Q386">
        <v>0.9708209714907915</v>
      </c>
      <c r="R386">
        <v>-0.9034926317205656</v>
      </c>
      <c r="S386">
        <v>0.18765934157295719</v>
      </c>
      <c r="T386">
        <v>0.14943767317332021</v>
      </c>
      <c r="U386">
        <v>4.2558177004489526</v>
      </c>
      <c r="V386">
        <v>0.20544021673558341</v>
      </c>
      <c r="W386">
        <v>3.2281444427169932</v>
      </c>
      <c r="X386">
        <v>0.27385677307514072</v>
      </c>
      <c r="Z386" t="s">
        <v>392</v>
      </c>
      <c r="AA386">
        <v>114</v>
      </c>
      <c r="AB386" t="s">
        <v>3819</v>
      </c>
      <c r="AC386" t="str">
        <f>HYPERLINK("plots/3FT6Y578R04_015_S21P_20251218081014_M5358ACSC201811_RBGEUFRF04/dpll_52084/txpa_53225.png","plot")</f>
        <v>plot</v>
      </c>
    </row>
    <row r="387" spans="1:29" x14ac:dyDescent="0.35">
      <c r="A387" t="s">
        <v>49</v>
      </c>
      <c r="B387">
        <v>52084</v>
      </c>
      <c r="C387" t="s">
        <v>52</v>
      </c>
      <c r="D387">
        <v>53226</v>
      </c>
      <c r="E387" t="s">
        <v>101</v>
      </c>
      <c r="F387">
        <v>12027</v>
      </c>
      <c r="G387">
        <v>0.72065544062333475</v>
      </c>
      <c r="H387">
        <v>0</v>
      </c>
      <c r="I387">
        <v>0</v>
      </c>
      <c r="J387">
        <v>0.63926513009195862</v>
      </c>
      <c r="K387">
        <v>0</v>
      </c>
      <c r="L387">
        <v>0</v>
      </c>
      <c r="M387">
        <v>0.46041662537660238</v>
      </c>
      <c r="N387">
        <v>0</v>
      </c>
      <c r="O387">
        <v>0</v>
      </c>
      <c r="P387">
        <v>0.51934426410001278</v>
      </c>
      <c r="Q387">
        <v>0.96316426043750469</v>
      </c>
      <c r="R387">
        <v>-0.91597652697550513</v>
      </c>
      <c r="S387">
        <v>0.19034608145122189</v>
      </c>
      <c r="T387">
        <v>0.15044837766485289</v>
      </c>
      <c r="U387">
        <v>4.2558401814251274</v>
      </c>
      <c r="V387">
        <v>0.20543396214013371</v>
      </c>
      <c r="W387">
        <v>3.1830966339070428</v>
      </c>
      <c r="X387">
        <v>0.27456484619376842</v>
      </c>
      <c r="Z387" t="s">
        <v>392</v>
      </c>
      <c r="AA387">
        <v>114</v>
      </c>
      <c r="AB387" t="s">
        <v>3820</v>
      </c>
      <c r="AC387" t="str">
        <f>HYPERLINK("plots/3FT6Y578R04_015_S21P_20251218081014_M5358ACSC201811_RBGEUFRF04/dpll_52084/txpa_53226.png","plot")</f>
        <v>plot</v>
      </c>
    </row>
    <row r="388" spans="1:29" x14ac:dyDescent="0.35">
      <c r="A388" t="s">
        <v>49</v>
      </c>
      <c r="B388">
        <v>52084</v>
      </c>
      <c r="C388" t="s">
        <v>52</v>
      </c>
      <c r="D388">
        <v>53227</v>
      </c>
      <c r="E388" t="s">
        <v>102</v>
      </c>
      <c r="F388">
        <v>12028</v>
      </c>
      <c r="G388">
        <v>0.73600603433666745</v>
      </c>
      <c r="H388">
        <v>0</v>
      </c>
      <c r="I388">
        <v>0</v>
      </c>
      <c r="J388">
        <v>0.65593637873850608</v>
      </c>
      <c r="K388">
        <v>0</v>
      </c>
      <c r="L388">
        <v>0</v>
      </c>
      <c r="M388">
        <v>0.47251645008935789</v>
      </c>
      <c r="N388">
        <v>0</v>
      </c>
      <c r="O388">
        <v>0</v>
      </c>
      <c r="P388">
        <v>0.54170488257998772</v>
      </c>
      <c r="Q388">
        <v>1.031554912849816</v>
      </c>
      <c r="R388">
        <v>1.237324750707145</v>
      </c>
      <c r="S388">
        <v>0.19491757618476779</v>
      </c>
      <c r="T388">
        <v>0.15333020319447899</v>
      </c>
      <c r="U388">
        <v>4.2558177004489526</v>
      </c>
      <c r="V388">
        <v>0.20544021673558341</v>
      </c>
      <c r="W388">
        <v>5.6274344077984706</v>
      </c>
      <c r="X388">
        <v>0.28793631435579159</v>
      </c>
      <c r="Z388" t="s">
        <v>392</v>
      </c>
      <c r="AA388">
        <v>114</v>
      </c>
      <c r="AB388" t="s">
        <v>3821</v>
      </c>
      <c r="AC388" t="str">
        <f>HYPERLINK("plots/3FT6Y578R04_015_S21P_20251218081014_M5358ACSC201811_RBGEUFRF04/dpll_52084/txpa_53227.png","plot")</f>
        <v>plot</v>
      </c>
    </row>
    <row r="389" spans="1:29" x14ac:dyDescent="0.35">
      <c r="A389" t="s">
        <v>49</v>
      </c>
      <c r="B389">
        <v>52084</v>
      </c>
      <c r="C389" t="s">
        <v>52</v>
      </c>
      <c r="D389">
        <v>53228</v>
      </c>
      <c r="E389" t="s">
        <v>103</v>
      </c>
      <c r="F389">
        <v>12028</v>
      </c>
      <c r="G389">
        <v>0.75620748052698816</v>
      </c>
      <c r="H389">
        <v>0</v>
      </c>
      <c r="I389">
        <v>0</v>
      </c>
      <c r="J389">
        <v>0.67295413637540269</v>
      </c>
      <c r="K389">
        <v>0</v>
      </c>
      <c r="L389">
        <v>0</v>
      </c>
      <c r="M389">
        <v>0.48946109394458631</v>
      </c>
      <c r="N389">
        <v>0</v>
      </c>
      <c r="O389">
        <v>0</v>
      </c>
      <c r="P389">
        <v>0.57184975360497514</v>
      </c>
      <c r="Q389">
        <v>1.070367393296797</v>
      </c>
      <c r="R389">
        <v>1.106413448581187</v>
      </c>
      <c r="S389">
        <v>0.19026434527797609</v>
      </c>
      <c r="T389">
        <v>0.15073478922557079</v>
      </c>
      <c r="U389">
        <v>4.2558177004489526</v>
      </c>
      <c r="V389">
        <v>0.20544021673558341</v>
      </c>
      <c r="W389">
        <v>5.6617019469570993</v>
      </c>
      <c r="X389">
        <v>0.29078859298291171</v>
      </c>
      <c r="Z389" t="s">
        <v>392</v>
      </c>
      <c r="AA389">
        <v>114</v>
      </c>
      <c r="AB389" t="s">
        <v>3822</v>
      </c>
      <c r="AC389" t="str">
        <f>HYPERLINK("plots/3FT6Y578R04_015_S21P_20251218081014_M5358ACSC201811_RBGEUFRF04/dpll_52084/txpa_53228.png","plot")</f>
        <v>plot</v>
      </c>
    </row>
    <row r="390" spans="1:29" x14ac:dyDescent="0.35">
      <c r="A390" t="s">
        <v>49</v>
      </c>
      <c r="B390">
        <v>52084</v>
      </c>
      <c r="C390" t="s">
        <v>52</v>
      </c>
      <c r="D390">
        <v>53229</v>
      </c>
      <c r="E390" t="s">
        <v>104</v>
      </c>
      <c r="F390">
        <v>12028</v>
      </c>
      <c r="G390">
        <v>0.74526955422937169</v>
      </c>
      <c r="H390">
        <v>0</v>
      </c>
      <c r="I390">
        <v>0</v>
      </c>
      <c r="J390">
        <v>0.65998978744250958</v>
      </c>
      <c r="K390">
        <v>0</v>
      </c>
      <c r="L390">
        <v>0</v>
      </c>
      <c r="M390">
        <v>0.47734895422560802</v>
      </c>
      <c r="N390">
        <v>0</v>
      </c>
      <c r="O390">
        <v>0</v>
      </c>
      <c r="P390">
        <v>0.55542670846124642</v>
      </c>
      <c r="Q390">
        <v>1.0314795733411011</v>
      </c>
      <c r="R390">
        <v>1.289725199597302</v>
      </c>
      <c r="S390">
        <v>0.18957730564659361</v>
      </c>
      <c r="T390">
        <v>0.14987523675444109</v>
      </c>
      <c r="U390">
        <v>4.2558177004489526</v>
      </c>
      <c r="V390">
        <v>0.20544021673558341</v>
      </c>
      <c r="W390">
        <v>5.679514225473894</v>
      </c>
      <c r="X390">
        <v>0.28433656775989041</v>
      </c>
      <c r="Z390" t="s">
        <v>392</v>
      </c>
      <c r="AA390">
        <v>114</v>
      </c>
      <c r="AB390" t="s">
        <v>3823</v>
      </c>
      <c r="AC390" t="str">
        <f>HYPERLINK("plots/3FT6Y578R04_015_S21P_20251218081014_M5358ACSC201811_RBGEUFRF04/dpll_52084/txpa_53229.png","plot")</f>
        <v>plot</v>
      </c>
    </row>
    <row r="391" spans="1:29" x14ac:dyDescent="0.35">
      <c r="A391" t="s">
        <v>49</v>
      </c>
      <c r="B391">
        <v>52084</v>
      </c>
      <c r="C391" t="s">
        <v>52</v>
      </c>
      <c r="D391">
        <v>53230</v>
      </c>
      <c r="E391" t="s">
        <v>105</v>
      </c>
      <c r="F391">
        <v>12027</v>
      </c>
      <c r="G391">
        <v>0.76038886568791064</v>
      </c>
      <c r="H391">
        <v>0</v>
      </c>
      <c r="I391">
        <v>0</v>
      </c>
      <c r="J391">
        <v>0.673366682906541</v>
      </c>
      <c r="K391">
        <v>0</v>
      </c>
      <c r="L391">
        <v>0</v>
      </c>
      <c r="M391">
        <v>0.48998437735834888</v>
      </c>
      <c r="N391">
        <v>0</v>
      </c>
      <c r="O391">
        <v>0</v>
      </c>
      <c r="P391">
        <v>0.57819122706214743</v>
      </c>
      <c r="Q391">
        <v>1.067866340805685</v>
      </c>
      <c r="R391">
        <v>1.138083371522987</v>
      </c>
      <c r="S391">
        <v>0.18737916857186321</v>
      </c>
      <c r="T391">
        <v>0.14842335338489579</v>
      </c>
      <c r="U391">
        <v>4.2558247893905383</v>
      </c>
      <c r="V391">
        <v>0.20544728689892131</v>
      </c>
      <c r="W391">
        <v>5.6827354164795878</v>
      </c>
      <c r="X391">
        <v>0.28852374408550591</v>
      </c>
      <c r="Z391" t="s">
        <v>392</v>
      </c>
      <c r="AA391">
        <v>114</v>
      </c>
      <c r="AB391" t="s">
        <v>3824</v>
      </c>
      <c r="AC391" t="str">
        <f>HYPERLINK("plots/3FT6Y578R04_015_S21P_20251218081014_M5358ACSC201811_RBGEUFRF04/dpll_52084/txpa_53230.png","plot")</f>
        <v>plot</v>
      </c>
    </row>
    <row r="392" spans="1:29" x14ac:dyDescent="0.35">
      <c r="A392" t="s">
        <v>49</v>
      </c>
      <c r="B392">
        <v>52084</v>
      </c>
      <c r="C392" t="s">
        <v>52</v>
      </c>
      <c r="D392">
        <v>53231</v>
      </c>
      <c r="E392" t="s">
        <v>106</v>
      </c>
      <c r="F392">
        <v>12027</v>
      </c>
      <c r="G392">
        <v>0.76112161926699851</v>
      </c>
      <c r="H392">
        <v>0</v>
      </c>
      <c r="I392">
        <v>0</v>
      </c>
      <c r="J392">
        <v>0.67007878276588939</v>
      </c>
      <c r="K392">
        <v>0</v>
      </c>
      <c r="L392">
        <v>0</v>
      </c>
      <c r="M392">
        <v>0.48554249810517919</v>
      </c>
      <c r="N392">
        <v>0</v>
      </c>
      <c r="O392">
        <v>0</v>
      </c>
      <c r="P392">
        <v>0.57930611931561782</v>
      </c>
      <c r="Q392">
        <v>1.0638672734922741</v>
      </c>
      <c r="R392">
        <v>1.1423394274041969</v>
      </c>
      <c r="S392">
        <v>0.18623512510382639</v>
      </c>
      <c r="T392">
        <v>0.14803552947096049</v>
      </c>
      <c r="U392">
        <v>4.2557921641307059</v>
      </c>
      <c r="V392">
        <v>0.20542966688110781</v>
      </c>
      <c r="W392">
        <v>5.669937433607716</v>
      </c>
      <c r="X392">
        <v>0.28714188911058097</v>
      </c>
      <c r="Z392" t="s">
        <v>392</v>
      </c>
      <c r="AA392">
        <v>114</v>
      </c>
      <c r="AB392" t="s">
        <v>3825</v>
      </c>
      <c r="AC392" t="str">
        <f>HYPERLINK("plots/3FT6Y578R04_015_S21P_20251218081014_M5358ACSC201811_RBGEUFRF04/dpll_52084/txpa_53231.png","plot")</f>
        <v>plot</v>
      </c>
    </row>
    <row r="393" spans="1:29" x14ac:dyDescent="0.35">
      <c r="A393" t="s">
        <v>49</v>
      </c>
      <c r="B393">
        <v>52084</v>
      </c>
      <c r="C393" t="s">
        <v>52</v>
      </c>
      <c r="D393">
        <v>53232</v>
      </c>
      <c r="E393" t="s">
        <v>107</v>
      </c>
      <c r="F393">
        <v>12027</v>
      </c>
      <c r="G393">
        <v>0.76611837557781093</v>
      </c>
      <c r="H393">
        <v>0</v>
      </c>
      <c r="I393">
        <v>0</v>
      </c>
      <c r="J393">
        <v>0.68583301532209895</v>
      </c>
      <c r="K393">
        <v>0</v>
      </c>
      <c r="L393">
        <v>0</v>
      </c>
      <c r="M393">
        <v>0.50012767315851214</v>
      </c>
      <c r="N393">
        <v>0</v>
      </c>
      <c r="O393">
        <v>0</v>
      </c>
      <c r="P393">
        <v>0.5869373653979838</v>
      </c>
      <c r="Q393">
        <v>1.079890785052303</v>
      </c>
      <c r="R393">
        <v>1.081676082674663</v>
      </c>
      <c r="S393">
        <v>0.18609017668963371</v>
      </c>
      <c r="T393">
        <v>0.14778517429895799</v>
      </c>
      <c r="U393">
        <v>4.2557881821734433</v>
      </c>
      <c r="V393">
        <v>0.20542324838451659</v>
      </c>
      <c r="W393">
        <v>5.6774625237382548</v>
      </c>
      <c r="X393">
        <v>0.28955665343314713</v>
      </c>
      <c r="Z393" t="s">
        <v>392</v>
      </c>
      <c r="AA393">
        <v>114</v>
      </c>
      <c r="AB393" t="s">
        <v>3826</v>
      </c>
      <c r="AC393" t="str">
        <f>HYPERLINK("plots/3FT6Y578R04_015_S21P_20251218081014_M5358ACSC201811_RBGEUFRF04/dpll_52084/txpa_53232.png","plot")</f>
        <v>plot</v>
      </c>
    </row>
    <row r="394" spans="1:29" x14ac:dyDescent="0.35">
      <c r="A394" t="s">
        <v>49</v>
      </c>
      <c r="B394">
        <v>52084</v>
      </c>
      <c r="C394" t="s">
        <v>52</v>
      </c>
      <c r="D394">
        <v>53233</v>
      </c>
      <c r="E394" t="s">
        <v>108</v>
      </c>
      <c r="F394">
        <v>12028</v>
      </c>
      <c r="G394">
        <v>0.76232677792237935</v>
      </c>
      <c r="H394">
        <v>0</v>
      </c>
      <c r="I394">
        <v>0</v>
      </c>
      <c r="J394">
        <v>0.67722687148921756</v>
      </c>
      <c r="K394">
        <v>0</v>
      </c>
      <c r="L394">
        <v>0</v>
      </c>
      <c r="M394">
        <v>0.49288158433745238</v>
      </c>
      <c r="N394">
        <v>0</v>
      </c>
      <c r="O394">
        <v>0</v>
      </c>
      <c r="P394">
        <v>0.58114211633751667</v>
      </c>
      <c r="Q394">
        <v>1.0618230052641431</v>
      </c>
      <c r="R394">
        <v>1.165669121508164</v>
      </c>
      <c r="S394">
        <v>0.1851875186255178</v>
      </c>
      <c r="T394">
        <v>0.14727698543833051</v>
      </c>
      <c r="U394">
        <v>4.2558177004489526</v>
      </c>
      <c r="V394">
        <v>0.20544021673558341</v>
      </c>
      <c r="W394">
        <v>5.6845942620552048</v>
      </c>
      <c r="X394">
        <v>0.28615175887013827</v>
      </c>
      <c r="Z394" t="s">
        <v>392</v>
      </c>
      <c r="AA394">
        <v>114</v>
      </c>
      <c r="AB394" t="s">
        <v>3827</v>
      </c>
      <c r="AC394" t="str">
        <f>HYPERLINK("plots/3FT6Y578R04_015_S21P_20251218081014_M5358ACSC201811_RBGEUFRF04/dpll_52084/txpa_53233.png","plot")</f>
        <v>plot</v>
      </c>
    </row>
    <row r="395" spans="1:29" x14ac:dyDescent="0.35">
      <c r="A395" t="s">
        <v>49</v>
      </c>
      <c r="B395">
        <v>52084</v>
      </c>
      <c r="C395" t="s">
        <v>52</v>
      </c>
      <c r="D395">
        <v>53234</v>
      </c>
      <c r="E395" t="s">
        <v>109</v>
      </c>
      <c r="F395">
        <v>12027</v>
      </c>
      <c r="G395">
        <v>0.75619990688419225</v>
      </c>
      <c r="H395">
        <v>0</v>
      </c>
      <c r="I395">
        <v>0</v>
      </c>
      <c r="J395">
        <v>0.67100138152732691</v>
      </c>
      <c r="K395">
        <v>0</v>
      </c>
      <c r="L395">
        <v>0</v>
      </c>
      <c r="M395">
        <v>0.48792506898778942</v>
      </c>
      <c r="N395">
        <v>0</v>
      </c>
      <c r="O395">
        <v>0</v>
      </c>
      <c r="P395">
        <v>0.57183829917166107</v>
      </c>
      <c r="Q395">
        <v>1.055284064556113</v>
      </c>
      <c r="R395">
        <v>1.1509570231283941</v>
      </c>
      <c r="S395">
        <v>0.18758186765913851</v>
      </c>
      <c r="T395">
        <v>0.1481806249628638</v>
      </c>
      <c r="U395">
        <v>4.2558401814251274</v>
      </c>
      <c r="V395">
        <v>0.20543396214013371</v>
      </c>
      <c r="W395">
        <v>5.6420773478839266</v>
      </c>
      <c r="X395">
        <v>0.28668502150226721</v>
      </c>
      <c r="Z395" t="s">
        <v>392</v>
      </c>
      <c r="AA395">
        <v>114</v>
      </c>
      <c r="AB395" t="s">
        <v>3828</v>
      </c>
      <c r="AC395" t="str">
        <f>HYPERLINK("plots/3FT6Y578R04_015_S21P_20251218081014_M5358ACSC201811_RBGEUFRF04/dpll_52084/txpa_53234.png","plot")</f>
        <v>plot</v>
      </c>
    </row>
    <row r="396" spans="1:29" x14ac:dyDescent="0.35">
      <c r="A396" t="s">
        <v>49</v>
      </c>
      <c r="B396">
        <v>52084</v>
      </c>
      <c r="C396" t="s">
        <v>52</v>
      </c>
      <c r="D396">
        <v>53235</v>
      </c>
      <c r="E396" t="s">
        <v>110</v>
      </c>
      <c r="F396">
        <v>12028</v>
      </c>
      <c r="G396">
        <v>0.74947784898736802</v>
      </c>
      <c r="H396">
        <v>0</v>
      </c>
      <c r="I396">
        <v>0</v>
      </c>
      <c r="J396">
        <v>0.66626795222739266</v>
      </c>
      <c r="K396">
        <v>0</v>
      </c>
      <c r="L396">
        <v>0</v>
      </c>
      <c r="M396">
        <v>0.48142094577335087</v>
      </c>
      <c r="N396">
        <v>0</v>
      </c>
      <c r="O396">
        <v>0</v>
      </c>
      <c r="P396">
        <v>0.56171704612273199</v>
      </c>
      <c r="Q396">
        <v>1.0781557048710619</v>
      </c>
      <c r="R396">
        <v>2.130576082700613</v>
      </c>
      <c r="S396">
        <v>0.19564438307109519</v>
      </c>
      <c r="T396">
        <v>0.1535621691138882</v>
      </c>
      <c r="U396">
        <v>4.2558177004489526</v>
      </c>
      <c r="V396">
        <v>0.20544021673558341</v>
      </c>
      <c r="W396">
        <v>6.7190102153308953</v>
      </c>
      <c r="X396">
        <v>0.29553447374419989</v>
      </c>
      <c r="Z396" t="s">
        <v>392</v>
      </c>
      <c r="AA396">
        <v>114</v>
      </c>
      <c r="AB396" t="s">
        <v>3829</v>
      </c>
      <c r="AC396" t="str">
        <f>HYPERLINK("plots/3FT6Y578R04_015_S21P_20251218081014_M5358ACSC201811_RBGEUFRF04/dpll_52084/txpa_53235.png","plot")</f>
        <v>plot</v>
      </c>
    </row>
    <row r="397" spans="1:29" x14ac:dyDescent="0.35">
      <c r="A397" t="s">
        <v>49</v>
      </c>
      <c r="B397">
        <v>52084</v>
      </c>
      <c r="C397" t="s">
        <v>52</v>
      </c>
      <c r="D397">
        <v>53236</v>
      </c>
      <c r="E397" t="s">
        <v>111</v>
      </c>
      <c r="F397">
        <v>12028</v>
      </c>
      <c r="G397">
        <v>0.76879301814698098</v>
      </c>
      <c r="H397">
        <v>0</v>
      </c>
      <c r="I397">
        <v>0</v>
      </c>
      <c r="J397">
        <v>0.68271715949755174</v>
      </c>
      <c r="K397">
        <v>0</v>
      </c>
      <c r="L397">
        <v>0</v>
      </c>
      <c r="M397">
        <v>0.49805815899054978</v>
      </c>
      <c r="N397">
        <v>0</v>
      </c>
      <c r="O397">
        <v>0</v>
      </c>
      <c r="P397">
        <v>0.59104270475154419</v>
      </c>
      <c r="Q397">
        <v>1.117124414377908</v>
      </c>
      <c r="R397">
        <v>1.9985558044783149</v>
      </c>
      <c r="S397">
        <v>0.1908967360613866</v>
      </c>
      <c r="T397">
        <v>0.15102840483341759</v>
      </c>
      <c r="U397">
        <v>4.2558177004489526</v>
      </c>
      <c r="V397">
        <v>0.20544021673558341</v>
      </c>
      <c r="W397">
        <v>6.7528336607914872</v>
      </c>
      <c r="X397">
        <v>0.29852284866423168</v>
      </c>
      <c r="Z397" t="s">
        <v>392</v>
      </c>
      <c r="AA397">
        <v>114</v>
      </c>
      <c r="AB397" t="s">
        <v>3830</v>
      </c>
      <c r="AC397" t="str">
        <f>HYPERLINK("plots/3FT6Y578R04_015_S21P_20251218081014_M5358ACSC201811_RBGEUFRF04/dpll_52084/txpa_53236.png","plot")</f>
        <v>plot</v>
      </c>
    </row>
    <row r="398" spans="1:29" x14ac:dyDescent="0.35">
      <c r="A398" t="s">
        <v>49</v>
      </c>
      <c r="B398">
        <v>52084</v>
      </c>
      <c r="C398" t="s">
        <v>52</v>
      </c>
      <c r="D398">
        <v>53237</v>
      </c>
      <c r="E398" t="s">
        <v>112</v>
      </c>
      <c r="F398">
        <v>12028</v>
      </c>
      <c r="G398">
        <v>0.75878423093222491</v>
      </c>
      <c r="H398">
        <v>0</v>
      </c>
      <c r="I398">
        <v>0</v>
      </c>
      <c r="J398">
        <v>0.67010778045565034</v>
      </c>
      <c r="K398">
        <v>0</v>
      </c>
      <c r="L398">
        <v>0</v>
      </c>
      <c r="M398">
        <v>0.48614274976461491</v>
      </c>
      <c r="N398">
        <v>0</v>
      </c>
      <c r="O398">
        <v>0</v>
      </c>
      <c r="P398">
        <v>0.57575350911140799</v>
      </c>
      <c r="Q398">
        <v>1.0784344614721151</v>
      </c>
      <c r="R398">
        <v>2.181256876368197</v>
      </c>
      <c r="S398">
        <v>0.19017437614855609</v>
      </c>
      <c r="T398">
        <v>0.15017855729088139</v>
      </c>
      <c r="U398">
        <v>4.2558177004489526</v>
      </c>
      <c r="V398">
        <v>0.20544021673558341</v>
      </c>
      <c r="W398">
        <v>6.7708773462753573</v>
      </c>
      <c r="X398">
        <v>0.2919852580855003</v>
      </c>
      <c r="Z398" t="s">
        <v>392</v>
      </c>
      <c r="AA398">
        <v>114</v>
      </c>
      <c r="AB398" t="s">
        <v>3831</v>
      </c>
      <c r="AC398" t="str">
        <f>HYPERLINK("plots/3FT6Y578R04_015_S21P_20251218081014_M5358ACSC201811_RBGEUFRF04/dpll_52084/txpa_53237.png","plot")</f>
        <v>plot</v>
      </c>
    </row>
    <row r="399" spans="1:29" x14ac:dyDescent="0.35">
      <c r="A399" t="s">
        <v>49</v>
      </c>
      <c r="B399">
        <v>52084</v>
      </c>
      <c r="C399" t="s">
        <v>52</v>
      </c>
      <c r="D399">
        <v>53238</v>
      </c>
      <c r="E399" t="s">
        <v>113</v>
      </c>
      <c r="F399">
        <v>12027</v>
      </c>
      <c r="G399">
        <v>0.77303923464266056</v>
      </c>
      <c r="H399">
        <v>0</v>
      </c>
      <c r="I399">
        <v>0</v>
      </c>
      <c r="J399">
        <v>0.68337717216323235</v>
      </c>
      <c r="K399">
        <v>0</v>
      </c>
      <c r="L399">
        <v>0</v>
      </c>
      <c r="M399">
        <v>0.49881668079397912</v>
      </c>
      <c r="N399">
        <v>0</v>
      </c>
      <c r="O399">
        <v>0</v>
      </c>
      <c r="P399">
        <v>0.59758965829691035</v>
      </c>
      <c r="Q399">
        <v>1.115137864547566</v>
      </c>
      <c r="R399">
        <v>2.0275346669761358</v>
      </c>
      <c r="S399">
        <v>0.18799398214613569</v>
      </c>
      <c r="T399">
        <v>0.14880740994669309</v>
      </c>
      <c r="U399">
        <v>4.2558247893905383</v>
      </c>
      <c r="V399">
        <v>0.20544728689892131</v>
      </c>
      <c r="W399">
        <v>6.7733660345056963</v>
      </c>
      <c r="X399">
        <v>0.29636535705132389</v>
      </c>
      <c r="Z399" t="s">
        <v>392</v>
      </c>
      <c r="AA399">
        <v>114</v>
      </c>
      <c r="AB399" t="s">
        <v>3832</v>
      </c>
      <c r="AC399" t="str">
        <f>HYPERLINK("plots/3FT6Y578R04_015_S21P_20251218081014_M5358ACSC201811_RBGEUFRF04/dpll_52084/txpa_53238.png","plot")</f>
        <v>plot</v>
      </c>
    </row>
    <row r="400" spans="1:29" x14ac:dyDescent="0.35">
      <c r="A400" t="s">
        <v>49</v>
      </c>
      <c r="B400">
        <v>52084</v>
      </c>
      <c r="C400" t="s">
        <v>52</v>
      </c>
      <c r="D400">
        <v>53239</v>
      </c>
      <c r="E400" t="s">
        <v>114</v>
      </c>
      <c r="F400">
        <v>12027</v>
      </c>
      <c r="G400">
        <v>0.77395185766897667</v>
      </c>
      <c r="H400">
        <v>0</v>
      </c>
      <c r="I400">
        <v>0</v>
      </c>
      <c r="J400">
        <v>0.68011336013883494</v>
      </c>
      <c r="K400">
        <v>0</v>
      </c>
      <c r="L400">
        <v>0</v>
      </c>
      <c r="M400">
        <v>0.49435599245331141</v>
      </c>
      <c r="N400">
        <v>0</v>
      </c>
      <c r="O400">
        <v>0</v>
      </c>
      <c r="P400">
        <v>0.59900147798925996</v>
      </c>
      <c r="Q400">
        <v>1.1107191022288609</v>
      </c>
      <c r="R400">
        <v>2.0326853382897152</v>
      </c>
      <c r="S400">
        <v>0.18668386603533429</v>
      </c>
      <c r="T400">
        <v>0.14826929908553729</v>
      </c>
      <c r="U400">
        <v>4.2557921641307059</v>
      </c>
      <c r="V400">
        <v>0.20542966688110781</v>
      </c>
      <c r="W400">
        <v>6.7596749901055952</v>
      </c>
      <c r="X400">
        <v>0.29481763356261581</v>
      </c>
      <c r="Z400" t="s">
        <v>392</v>
      </c>
      <c r="AA400">
        <v>114</v>
      </c>
      <c r="AB400" t="s">
        <v>3833</v>
      </c>
      <c r="AC400" t="str">
        <f>HYPERLINK("plots/3FT6Y578R04_015_S21P_20251218081014_M5358ACSC201811_RBGEUFRF04/dpll_52084/txpa_53239.png","plot")</f>
        <v>plot</v>
      </c>
    </row>
    <row r="401" spans="1:29" x14ac:dyDescent="0.35">
      <c r="A401" t="s">
        <v>49</v>
      </c>
      <c r="B401">
        <v>52084</v>
      </c>
      <c r="C401" t="s">
        <v>52</v>
      </c>
      <c r="D401">
        <v>53240</v>
      </c>
      <c r="E401" t="s">
        <v>115</v>
      </c>
      <c r="F401">
        <v>12027</v>
      </c>
      <c r="G401">
        <v>0.77862282249555947</v>
      </c>
      <c r="H401">
        <v>0</v>
      </c>
      <c r="I401">
        <v>0</v>
      </c>
      <c r="J401">
        <v>0.695446569829683</v>
      </c>
      <c r="K401">
        <v>0</v>
      </c>
      <c r="L401">
        <v>0</v>
      </c>
      <c r="M401">
        <v>0.50879000751106762</v>
      </c>
      <c r="N401">
        <v>0</v>
      </c>
      <c r="O401">
        <v>0</v>
      </c>
      <c r="P401">
        <v>0.60625349971095155</v>
      </c>
      <c r="Q401">
        <v>1.126873667748779</v>
      </c>
      <c r="R401">
        <v>1.9723847963483341</v>
      </c>
      <c r="S401">
        <v>0.18654688066522659</v>
      </c>
      <c r="T401">
        <v>0.1479560103975496</v>
      </c>
      <c r="U401">
        <v>4.2557881821734433</v>
      </c>
      <c r="V401">
        <v>0.20542324838451659</v>
      </c>
      <c r="W401">
        <v>6.7681204343560326</v>
      </c>
      <c r="X401">
        <v>0.29730190621178337</v>
      </c>
      <c r="Z401" t="s">
        <v>392</v>
      </c>
      <c r="AA401">
        <v>114</v>
      </c>
      <c r="AB401" t="s">
        <v>3834</v>
      </c>
      <c r="AC401" t="str">
        <f>HYPERLINK("plots/3FT6Y578R04_015_S21P_20251218081014_M5358ACSC201811_RBGEUFRF04/dpll_52084/txpa_53240.png","plot")</f>
        <v>plot</v>
      </c>
    </row>
    <row r="402" spans="1:29" x14ac:dyDescent="0.35">
      <c r="A402" t="s">
        <v>49</v>
      </c>
      <c r="B402">
        <v>52084</v>
      </c>
      <c r="C402" t="s">
        <v>52</v>
      </c>
      <c r="D402">
        <v>53241</v>
      </c>
      <c r="E402" t="s">
        <v>116</v>
      </c>
      <c r="F402">
        <v>12028</v>
      </c>
      <c r="G402">
        <v>0.77487019094703602</v>
      </c>
      <c r="H402">
        <v>0</v>
      </c>
      <c r="I402">
        <v>0</v>
      </c>
      <c r="J402">
        <v>0.68671924708670706</v>
      </c>
      <c r="K402">
        <v>0</v>
      </c>
      <c r="L402">
        <v>0</v>
      </c>
      <c r="M402">
        <v>0.50130368248709845</v>
      </c>
      <c r="N402">
        <v>0</v>
      </c>
      <c r="O402">
        <v>0</v>
      </c>
      <c r="P402">
        <v>0.60042381281829604</v>
      </c>
      <c r="Q402">
        <v>1.108724803143309</v>
      </c>
      <c r="R402">
        <v>2.0565479158871871</v>
      </c>
      <c r="S402">
        <v>0.18580697748308581</v>
      </c>
      <c r="T402">
        <v>0.14762868942357529</v>
      </c>
      <c r="U402">
        <v>4.2558177004489526</v>
      </c>
      <c r="V402">
        <v>0.20544021673558341</v>
      </c>
      <c r="W402">
        <v>6.77507855803126</v>
      </c>
      <c r="X402">
        <v>0.29395460880937091</v>
      </c>
      <c r="Z402" t="s">
        <v>392</v>
      </c>
      <c r="AA402">
        <v>114</v>
      </c>
      <c r="AB402" t="s">
        <v>3835</v>
      </c>
      <c r="AC402" t="str">
        <f>HYPERLINK("plots/3FT6Y578R04_015_S21P_20251218081014_M5358ACSC201811_RBGEUFRF04/dpll_52084/txpa_53241.png","plot")</f>
        <v>plot</v>
      </c>
    </row>
    <row r="403" spans="1:29" x14ac:dyDescent="0.35">
      <c r="A403" t="s">
        <v>49</v>
      </c>
      <c r="B403">
        <v>52084</v>
      </c>
      <c r="C403" t="s">
        <v>52</v>
      </c>
      <c r="D403">
        <v>53242</v>
      </c>
      <c r="E403" t="s">
        <v>117</v>
      </c>
      <c r="F403">
        <v>12027</v>
      </c>
      <c r="G403">
        <v>0.76928089077028239</v>
      </c>
      <c r="H403">
        <v>0</v>
      </c>
      <c r="I403">
        <v>0</v>
      </c>
      <c r="J403">
        <v>0.68095903153644499</v>
      </c>
      <c r="K403">
        <v>0</v>
      </c>
      <c r="L403">
        <v>0</v>
      </c>
      <c r="M403">
        <v>0.49667740219532358</v>
      </c>
      <c r="N403">
        <v>0</v>
      </c>
      <c r="O403">
        <v>0</v>
      </c>
      <c r="P403">
        <v>0.59179308890431914</v>
      </c>
      <c r="Q403">
        <v>1.1018487626798179</v>
      </c>
      <c r="R403">
        <v>2.0443307453875672</v>
      </c>
      <c r="S403">
        <v>0.18798855385553301</v>
      </c>
      <c r="T403">
        <v>0.14835179939712989</v>
      </c>
      <c r="U403">
        <v>4.2558401814251274</v>
      </c>
      <c r="V403">
        <v>0.20543396214013371</v>
      </c>
      <c r="W403">
        <v>6.7336229834538948</v>
      </c>
      <c r="X403">
        <v>0.29424513167078298</v>
      </c>
      <c r="Z403" t="s">
        <v>392</v>
      </c>
      <c r="AA403">
        <v>114</v>
      </c>
      <c r="AB403" t="s">
        <v>3836</v>
      </c>
      <c r="AC403" t="str">
        <f>HYPERLINK("plots/3FT6Y578R04_015_S21P_20251218081014_M5358ACSC201811_RBGEUFRF04/dpll_52084/txpa_53242.png","plot")</f>
        <v>plot</v>
      </c>
    </row>
    <row r="404" spans="1:29" x14ac:dyDescent="0.35">
      <c r="A404" t="s">
        <v>49</v>
      </c>
      <c r="B404">
        <v>52084</v>
      </c>
      <c r="C404" t="s">
        <v>52</v>
      </c>
      <c r="D404">
        <v>53243</v>
      </c>
      <c r="E404" t="s">
        <v>118</v>
      </c>
      <c r="F404">
        <v>12028</v>
      </c>
      <c r="G404">
        <v>0.76231979498811953</v>
      </c>
      <c r="H404">
        <v>0</v>
      </c>
      <c r="I404">
        <v>0</v>
      </c>
      <c r="J404">
        <v>0.67572360315961788</v>
      </c>
      <c r="K404">
        <v>0</v>
      </c>
      <c r="L404">
        <v>0</v>
      </c>
      <c r="M404">
        <v>0.48951664392967598</v>
      </c>
      <c r="N404">
        <v>0</v>
      </c>
      <c r="O404">
        <v>0</v>
      </c>
      <c r="P404">
        <v>0.58113146983072861</v>
      </c>
      <c r="Q404">
        <v>1.1328128517024889</v>
      </c>
      <c r="R404">
        <v>2.9688939611361751</v>
      </c>
      <c r="S404">
        <v>0.19757284198875491</v>
      </c>
      <c r="T404">
        <v>0.15474988377478879</v>
      </c>
      <c r="U404">
        <v>4.2558177004489526</v>
      </c>
      <c r="V404">
        <v>0.20544021673558341</v>
      </c>
      <c r="W404">
        <v>7.7899389467076823</v>
      </c>
      <c r="X404">
        <v>0.30528568102870901</v>
      </c>
      <c r="Z404" t="s">
        <v>392</v>
      </c>
      <c r="AA404">
        <v>114</v>
      </c>
      <c r="AB404" t="s">
        <v>3837</v>
      </c>
      <c r="AC404" t="str">
        <f>HYPERLINK("plots/3FT6Y578R04_015_S21P_20251218081014_M5358ACSC201811_RBGEUFRF04/dpll_52084/txpa_53243.png","plot")</f>
        <v>plot</v>
      </c>
    </row>
    <row r="405" spans="1:29" x14ac:dyDescent="0.35">
      <c r="A405" t="s">
        <v>49</v>
      </c>
      <c r="B405">
        <v>52084</v>
      </c>
      <c r="C405" t="s">
        <v>52</v>
      </c>
      <c r="D405">
        <v>53244</v>
      </c>
      <c r="E405" t="s">
        <v>119</v>
      </c>
      <c r="F405">
        <v>12028</v>
      </c>
      <c r="G405">
        <v>0.78054509659688009</v>
      </c>
      <c r="H405">
        <v>0</v>
      </c>
      <c r="I405">
        <v>0</v>
      </c>
      <c r="J405">
        <v>0.69155356895180353</v>
      </c>
      <c r="K405">
        <v>0</v>
      </c>
      <c r="L405">
        <v>0</v>
      </c>
      <c r="M405">
        <v>0.50585793507254451</v>
      </c>
      <c r="N405">
        <v>0</v>
      </c>
      <c r="O405">
        <v>0</v>
      </c>
      <c r="P405">
        <v>0.6092506478214329</v>
      </c>
      <c r="Q405">
        <v>1.17199251923729</v>
      </c>
      <c r="R405">
        <v>2.8355696675096089</v>
      </c>
      <c r="S405">
        <v>0.19281613956553981</v>
      </c>
      <c r="T405">
        <v>0.15235264378658581</v>
      </c>
      <c r="U405">
        <v>4.2558177004489526</v>
      </c>
      <c r="V405">
        <v>0.20544021673558341</v>
      </c>
      <c r="W405">
        <v>7.8233561756734282</v>
      </c>
      <c r="X405">
        <v>0.30846955315503272</v>
      </c>
      <c r="Z405" t="s">
        <v>392</v>
      </c>
      <c r="AA405">
        <v>114</v>
      </c>
      <c r="AB405" t="s">
        <v>3838</v>
      </c>
      <c r="AC405" t="str">
        <f>HYPERLINK("plots/3FT6Y578R04_015_S21P_20251218081014_M5358ACSC201811_RBGEUFRF04/dpll_52084/txpa_53244.png","plot")</f>
        <v>plot</v>
      </c>
    </row>
    <row r="406" spans="1:29" x14ac:dyDescent="0.35">
      <c r="A406" t="s">
        <v>49</v>
      </c>
      <c r="B406">
        <v>52084</v>
      </c>
      <c r="C406" t="s">
        <v>52</v>
      </c>
      <c r="D406">
        <v>53245</v>
      </c>
      <c r="E406" t="s">
        <v>120</v>
      </c>
      <c r="F406">
        <v>12028</v>
      </c>
      <c r="G406">
        <v>0.77144268461859966</v>
      </c>
      <c r="H406">
        <v>0</v>
      </c>
      <c r="I406">
        <v>0</v>
      </c>
      <c r="J406">
        <v>0.6796434884771253</v>
      </c>
      <c r="K406">
        <v>0</v>
      </c>
      <c r="L406">
        <v>0</v>
      </c>
      <c r="M406">
        <v>0.494431072254992</v>
      </c>
      <c r="N406">
        <v>0</v>
      </c>
      <c r="O406">
        <v>0</v>
      </c>
      <c r="P406">
        <v>0.59512381565155226</v>
      </c>
      <c r="Q406">
        <v>1.133281201952286</v>
      </c>
      <c r="R406">
        <v>3.0186196652125741</v>
      </c>
      <c r="S406">
        <v>0.1920271100701364</v>
      </c>
      <c r="T406">
        <v>0.15137654658304109</v>
      </c>
      <c r="U406">
        <v>4.2558177004489526</v>
      </c>
      <c r="V406">
        <v>0.20544021673558341</v>
      </c>
      <c r="W406">
        <v>7.8416578640671766</v>
      </c>
      <c r="X406">
        <v>0.30180017309587542</v>
      </c>
      <c r="Z406" t="s">
        <v>392</v>
      </c>
      <c r="AA406">
        <v>114</v>
      </c>
      <c r="AB406" t="s">
        <v>3839</v>
      </c>
      <c r="AC406" t="str">
        <f>HYPERLINK("plots/3FT6Y578R04_015_S21P_20251218081014_M5358ACSC201811_RBGEUFRF04/dpll_52084/txpa_53245.png","plot")</f>
        <v>plot</v>
      </c>
    </row>
    <row r="407" spans="1:29" x14ac:dyDescent="0.35">
      <c r="A407" t="s">
        <v>49</v>
      </c>
      <c r="B407">
        <v>52084</v>
      </c>
      <c r="C407" t="s">
        <v>52</v>
      </c>
      <c r="D407">
        <v>53246</v>
      </c>
      <c r="E407" t="s">
        <v>121</v>
      </c>
      <c r="F407">
        <v>12027</v>
      </c>
      <c r="G407">
        <v>0.78482256316947108</v>
      </c>
      <c r="H407">
        <v>0</v>
      </c>
      <c r="I407">
        <v>0</v>
      </c>
      <c r="J407">
        <v>0.69232514787837907</v>
      </c>
      <c r="K407">
        <v>0</v>
      </c>
      <c r="L407">
        <v>0</v>
      </c>
      <c r="M407">
        <v>0.50668166292632411</v>
      </c>
      <c r="N407">
        <v>0</v>
      </c>
      <c r="O407">
        <v>0</v>
      </c>
      <c r="P407">
        <v>0.61594645565989847</v>
      </c>
      <c r="Q407">
        <v>1.16988766508757</v>
      </c>
      <c r="R407">
        <v>2.8645836971329861</v>
      </c>
      <c r="S407">
        <v>0.1897802109800216</v>
      </c>
      <c r="T407">
        <v>0.15010992625039549</v>
      </c>
      <c r="U407">
        <v>4.2558247893905383</v>
      </c>
      <c r="V407">
        <v>0.20544728689892131</v>
      </c>
      <c r="W407">
        <v>7.8434206230148833</v>
      </c>
      <c r="X407">
        <v>0.30624788079245768</v>
      </c>
      <c r="Z407" t="s">
        <v>392</v>
      </c>
      <c r="AA407">
        <v>114</v>
      </c>
      <c r="AB407" t="s">
        <v>3840</v>
      </c>
      <c r="AC407" t="str">
        <f>HYPERLINK("plots/3FT6Y578R04_015_S21P_20251218081014_M5358ACSC201811_RBGEUFRF04/dpll_52084/txpa_53246.png","plot")</f>
        <v>plot</v>
      </c>
    </row>
    <row r="408" spans="1:29" x14ac:dyDescent="0.35">
      <c r="A408" t="s">
        <v>49</v>
      </c>
      <c r="B408">
        <v>52084</v>
      </c>
      <c r="C408" t="s">
        <v>52</v>
      </c>
      <c r="D408">
        <v>53247</v>
      </c>
      <c r="E408" t="s">
        <v>122</v>
      </c>
      <c r="F408">
        <v>12027</v>
      </c>
      <c r="G408">
        <v>0.78574278606202241</v>
      </c>
      <c r="H408">
        <v>0</v>
      </c>
      <c r="I408">
        <v>0</v>
      </c>
      <c r="J408">
        <v>0.68884663814120384</v>
      </c>
      <c r="K408">
        <v>0</v>
      </c>
      <c r="L408">
        <v>0</v>
      </c>
      <c r="M408">
        <v>0.50203034313418216</v>
      </c>
      <c r="N408">
        <v>0</v>
      </c>
      <c r="O408">
        <v>0</v>
      </c>
      <c r="P408">
        <v>0.6173917258485091</v>
      </c>
      <c r="Q408">
        <v>1.166326971096409</v>
      </c>
      <c r="R408">
        <v>2.8655036107212308</v>
      </c>
      <c r="S408">
        <v>0.1886089083041555</v>
      </c>
      <c r="T408">
        <v>0.14962123645967279</v>
      </c>
      <c r="U408">
        <v>4.2557921641307059</v>
      </c>
      <c r="V408">
        <v>0.20542966688110781</v>
      </c>
      <c r="W408">
        <v>7.8291487951276304</v>
      </c>
      <c r="X408">
        <v>0.30493205333465739</v>
      </c>
      <c r="Z408" t="s">
        <v>392</v>
      </c>
      <c r="AA408">
        <v>114</v>
      </c>
      <c r="AB408" t="s">
        <v>3841</v>
      </c>
      <c r="AC408" t="str">
        <f>HYPERLINK("plots/3FT6Y578R04_015_S21P_20251218081014_M5358ACSC201811_RBGEUFRF04/dpll_52084/txpa_53247.png","plot")</f>
        <v>plot</v>
      </c>
    </row>
    <row r="409" spans="1:29" x14ac:dyDescent="0.35">
      <c r="A409" t="s">
        <v>49</v>
      </c>
      <c r="B409">
        <v>52084</v>
      </c>
      <c r="C409" t="s">
        <v>52</v>
      </c>
      <c r="D409">
        <v>53248</v>
      </c>
      <c r="E409" t="s">
        <v>123</v>
      </c>
      <c r="F409">
        <v>12027</v>
      </c>
      <c r="G409">
        <v>0.789990056794725</v>
      </c>
      <c r="H409">
        <v>0</v>
      </c>
      <c r="I409">
        <v>0</v>
      </c>
      <c r="J409">
        <v>0.70361490746799549</v>
      </c>
      <c r="K409">
        <v>0</v>
      </c>
      <c r="L409">
        <v>0</v>
      </c>
      <c r="M409">
        <v>0.51617243979813199</v>
      </c>
      <c r="N409">
        <v>0</v>
      </c>
      <c r="O409">
        <v>0</v>
      </c>
      <c r="P409">
        <v>0.62408428983453279</v>
      </c>
      <c r="Q409">
        <v>1.1815615195158991</v>
      </c>
      <c r="R409">
        <v>2.8097982145934899</v>
      </c>
      <c r="S409">
        <v>0.18836989181053429</v>
      </c>
      <c r="T409">
        <v>0.14922748646394959</v>
      </c>
      <c r="U409">
        <v>4.2557881821734433</v>
      </c>
      <c r="V409">
        <v>0.20542324838451659</v>
      </c>
      <c r="W409">
        <v>7.8382737658601487</v>
      </c>
      <c r="X409">
        <v>0.3072446335462814</v>
      </c>
      <c r="Z409" t="s">
        <v>392</v>
      </c>
      <c r="AA409">
        <v>114</v>
      </c>
      <c r="AB409" t="s">
        <v>3842</v>
      </c>
      <c r="AC409" t="str">
        <f>HYPERLINK("plots/3FT6Y578R04_015_S21P_20251218081014_M5358ACSC201811_RBGEUFRF04/dpll_52084/txpa_53248.png","plot")</f>
        <v>plot</v>
      </c>
    </row>
    <row r="410" spans="1:29" x14ac:dyDescent="0.35">
      <c r="A410" t="s">
        <v>49</v>
      </c>
      <c r="B410">
        <v>52084</v>
      </c>
      <c r="C410" t="s">
        <v>52</v>
      </c>
      <c r="D410">
        <v>53249</v>
      </c>
      <c r="E410" t="s">
        <v>124</v>
      </c>
      <c r="F410">
        <v>12028</v>
      </c>
      <c r="G410">
        <v>0.78691903528856166</v>
      </c>
      <c r="H410">
        <v>0</v>
      </c>
      <c r="I410">
        <v>0</v>
      </c>
      <c r="J410">
        <v>0.6952440764761646</v>
      </c>
      <c r="K410">
        <v>0</v>
      </c>
      <c r="L410">
        <v>0</v>
      </c>
      <c r="M410">
        <v>0.50893448662070728</v>
      </c>
      <c r="N410">
        <v>0</v>
      </c>
      <c r="O410">
        <v>0</v>
      </c>
      <c r="P410">
        <v>0.61924156809948061</v>
      </c>
      <c r="Q410">
        <v>1.164291034918036</v>
      </c>
      <c r="R410">
        <v>2.8905583823083569</v>
      </c>
      <c r="S410">
        <v>0.18755285418496839</v>
      </c>
      <c r="T410">
        <v>0.14881402211488809</v>
      </c>
      <c r="U410">
        <v>4.2558177004489526</v>
      </c>
      <c r="V410">
        <v>0.20544021673558341</v>
      </c>
      <c r="W410">
        <v>7.8455687771865632</v>
      </c>
      <c r="X410">
        <v>0.30396037181785401</v>
      </c>
      <c r="Z410" t="s">
        <v>392</v>
      </c>
      <c r="AA410">
        <v>114</v>
      </c>
      <c r="AB410" t="s">
        <v>3843</v>
      </c>
      <c r="AC410" t="str">
        <f>HYPERLINK("plots/3FT6Y578R04_015_S21P_20251218081014_M5358ACSC201811_RBGEUFRF04/dpll_52084/txpa_53249.png","plot")</f>
        <v>plot</v>
      </c>
    </row>
    <row r="411" spans="1:29" x14ac:dyDescent="0.35">
      <c r="A411" t="s">
        <v>49</v>
      </c>
      <c r="B411">
        <v>52084</v>
      </c>
      <c r="C411" t="s">
        <v>52</v>
      </c>
      <c r="D411">
        <v>53250</v>
      </c>
      <c r="E411" t="s">
        <v>125</v>
      </c>
      <c r="F411">
        <v>12027</v>
      </c>
      <c r="G411">
        <v>0.78110876860541656</v>
      </c>
      <c r="H411">
        <v>0</v>
      </c>
      <c r="I411">
        <v>0</v>
      </c>
      <c r="J411">
        <v>0.68951556495094535</v>
      </c>
      <c r="K411">
        <v>0</v>
      </c>
      <c r="L411">
        <v>0</v>
      </c>
      <c r="M411">
        <v>0.50421410753794926</v>
      </c>
      <c r="N411">
        <v>0</v>
      </c>
      <c r="O411">
        <v>0</v>
      </c>
      <c r="P411">
        <v>0.61013090839227024</v>
      </c>
      <c r="Q411">
        <v>1.15551660241709</v>
      </c>
      <c r="R411">
        <v>2.8866367919604681</v>
      </c>
      <c r="S411">
        <v>0.1897484628270478</v>
      </c>
      <c r="T411">
        <v>0.14956877157936349</v>
      </c>
      <c r="U411">
        <v>4.2558401814251274</v>
      </c>
      <c r="V411">
        <v>0.20543396214013371</v>
      </c>
      <c r="W411">
        <v>7.8043307788309626</v>
      </c>
      <c r="X411">
        <v>0.30390435172948888</v>
      </c>
      <c r="Z411" t="s">
        <v>392</v>
      </c>
      <c r="AA411">
        <v>114</v>
      </c>
      <c r="AB411" t="s">
        <v>3844</v>
      </c>
      <c r="AC411" t="str">
        <f>HYPERLINK("plots/3FT6Y578R04_015_S21P_20251218081014_M5358ACSC201811_RBGEUFRF04/dpll_52084/txpa_53250.png","plot")</f>
        <v>plot</v>
      </c>
    </row>
    <row r="412" spans="1:29" x14ac:dyDescent="0.35">
      <c r="A412" t="s">
        <v>49</v>
      </c>
      <c r="B412">
        <v>52084</v>
      </c>
      <c r="C412" t="s">
        <v>52</v>
      </c>
      <c r="D412">
        <v>53251</v>
      </c>
      <c r="E412" t="s">
        <v>126</v>
      </c>
      <c r="F412">
        <v>12028</v>
      </c>
      <c r="G412">
        <v>0.77676370644543857</v>
      </c>
      <c r="H412">
        <v>0</v>
      </c>
      <c r="I412">
        <v>0</v>
      </c>
      <c r="J412">
        <v>0.68573384737834597</v>
      </c>
      <c r="K412">
        <v>0</v>
      </c>
      <c r="L412">
        <v>0</v>
      </c>
      <c r="M412">
        <v>0.4982212348235896</v>
      </c>
      <c r="N412">
        <v>0</v>
      </c>
      <c r="O412">
        <v>0</v>
      </c>
      <c r="P412">
        <v>0.60336185565085543</v>
      </c>
      <c r="Q412">
        <v>1.200478523098391</v>
      </c>
      <c r="R412">
        <v>3.749901715142625</v>
      </c>
      <c r="S412">
        <v>0.19995401018844849</v>
      </c>
      <c r="T412">
        <v>0.15619075736432361</v>
      </c>
      <c r="U412">
        <v>4.2558177004489526</v>
      </c>
      <c r="V412">
        <v>0.20544021673558341</v>
      </c>
      <c r="W412">
        <v>8.8589194627535743</v>
      </c>
      <c r="X412">
        <v>0.31750526694963471</v>
      </c>
      <c r="Z412" t="s">
        <v>392</v>
      </c>
      <c r="AA412">
        <v>114</v>
      </c>
      <c r="AB412" t="s">
        <v>3845</v>
      </c>
      <c r="AC412" t="str">
        <f>HYPERLINK("plots/3FT6Y578R04_015_S21P_20251218081014_M5358ACSC201811_RBGEUFRF04/dpll_52084/txpa_53251.png","plot")</f>
        <v>plot</v>
      </c>
    </row>
    <row r="413" spans="1:29" x14ac:dyDescent="0.35">
      <c r="A413" t="s">
        <v>49</v>
      </c>
      <c r="B413">
        <v>52084</v>
      </c>
      <c r="C413" t="s">
        <v>52</v>
      </c>
      <c r="D413">
        <v>53252</v>
      </c>
      <c r="E413" t="s">
        <v>127</v>
      </c>
      <c r="F413">
        <v>12028</v>
      </c>
      <c r="G413">
        <v>0.79373335535274214</v>
      </c>
      <c r="H413">
        <v>0</v>
      </c>
      <c r="I413">
        <v>0</v>
      </c>
      <c r="J413">
        <v>0.70074864436234174</v>
      </c>
      <c r="K413">
        <v>0</v>
      </c>
      <c r="L413">
        <v>0</v>
      </c>
      <c r="M413">
        <v>0.51407556461549742</v>
      </c>
      <c r="N413">
        <v>0</v>
      </c>
      <c r="O413">
        <v>0</v>
      </c>
      <c r="P413">
        <v>0.63001263939952246</v>
      </c>
      <c r="Q413">
        <v>1.239918894747718</v>
      </c>
      <c r="R413">
        <v>3.6142937248516658</v>
      </c>
      <c r="S413">
        <v>0.19519985975235449</v>
      </c>
      <c r="T413">
        <v>0.15398862585821729</v>
      </c>
      <c r="U413">
        <v>4.2558177004489526</v>
      </c>
      <c r="V413">
        <v>0.20544021673558341</v>
      </c>
      <c r="W413">
        <v>8.891162504240107</v>
      </c>
      <c r="X413">
        <v>0.32092541500704919</v>
      </c>
      <c r="Z413" t="s">
        <v>392</v>
      </c>
      <c r="AA413">
        <v>114</v>
      </c>
      <c r="AB413" t="s">
        <v>3846</v>
      </c>
      <c r="AC413" t="str">
        <f>HYPERLINK("plots/3FT6Y578R04_015_S21P_20251218081014_M5358ACSC201811_RBGEUFRF04/dpll_52084/txpa_53252.png","plot")</f>
        <v>plot</v>
      </c>
    </row>
    <row r="414" spans="1:29" x14ac:dyDescent="0.35">
      <c r="A414" t="s">
        <v>49</v>
      </c>
      <c r="B414">
        <v>52084</v>
      </c>
      <c r="C414" t="s">
        <v>52</v>
      </c>
      <c r="D414">
        <v>53253</v>
      </c>
      <c r="E414" t="s">
        <v>128</v>
      </c>
      <c r="F414">
        <v>12028</v>
      </c>
      <c r="G414">
        <v>0.7859060297766195</v>
      </c>
      <c r="H414">
        <v>0</v>
      </c>
      <c r="I414">
        <v>0</v>
      </c>
      <c r="J414">
        <v>0.6898953214398662</v>
      </c>
      <c r="K414">
        <v>0</v>
      </c>
      <c r="L414">
        <v>0</v>
      </c>
      <c r="M414">
        <v>0.50344226282955129</v>
      </c>
      <c r="N414">
        <v>0</v>
      </c>
      <c r="O414">
        <v>0</v>
      </c>
      <c r="P414">
        <v>0.61764828763924873</v>
      </c>
      <c r="Q414">
        <v>1.2016784151813391</v>
      </c>
      <c r="R414">
        <v>3.7953403614514141</v>
      </c>
      <c r="S414">
        <v>0.19423011601564449</v>
      </c>
      <c r="T414">
        <v>0.1527231664915881</v>
      </c>
      <c r="U414">
        <v>4.2558177004489526</v>
      </c>
      <c r="V414">
        <v>0.20544021673558341</v>
      </c>
      <c r="W414">
        <v>8.9094646310276016</v>
      </c>
      <c r="X414">
        <v>0.314125435748974</v>
      </c>
      <c r="Z414" t="s">
        <v>392</v>
      </c>
      <c r="AA414">
        <v>114</v>
      </c>
      <c r="AB414" t="s">
        <v>3847</v>
      </c>
      <c r="AC414" t="str">
        <f>HYPERLINK("plots/3FT6Y578R04_015_S21P_20251218081014_M5358ACSC201811_RBGEUFRF04/dpll_52084/txpa_53253.png","plot")</f>
        <v>plot</v>
      </c>
    </row>
    <row r="415" spans="1:29" x14ac:dyDescent="0.35">
      <c r="A415" t="s">
        <v>49</v>
      </c>
      <c r="B415">
        <v>52084</v>
      </c>
      <c r="C415" t="s">
        <v>52</v>
      </c>
      <c r="D415">
        <v>53254</v>
      </c>
      <c r="E415" t="s">
        <v>129</v>
      </c>
      <c r="F415">
        <v>12027</v>
      </c>
      <c r="G415">
        <v>0.79816515123468756</v>
      </c>
      <c r="H415">
        <v>0</v>
      </c>
      <c r="I415">
        <v>0</v>
      </c>
      <c r="J415">
        <v>0.70183743650588493</v>
      </c>
      <c r="K415">
        <v>0</v>
      </c>
      <c r="L415">
        <v>0</v>
      </c>
      <c r="M415">
        <v>0.51511370468758055</v>
      </c>
      <c r="N415">
        <v>0</v>
      </c>
      <c r="O415">
        <v>0</v>
      </c>
      <c r="P415">
        <v>0.63706760864549172</v>
      </c>
      <c r="Q415">
        <v>1.238644478402902</v>
      </c>
      <c r="R415">
        <v>3.6398999026516168</v>
      </c>
      <c r="S415">
        <v>0.19206539720161711</v>
      </c>
      <c r="T415">
        <v>0.1517449296560564</v>
      </c>
      <c r="U415">
        <v>4.2558247893905383</v>
      </c>
      <c r="V415">
        <v>0.20544728689892131</v>
      </c>
      <c r="W415">
        <v>8.911353779080402</v>
      </c>
      <c r="X415">
        <v>0.31882643225722718</v>
      </c>
      <c r="Z415" t="s">
        <v>392</v>
      </c>
      <c r="AA415">
        <v>114</v>
      </c>
      <c r="AB415" t="s">
        <v>3848</v>
      </c>
      <c r="AC415" t="str">
        <f>HYPERLINK("plots/3FT6Y578R04_015_S21P_20251218081014_M5358ACSC201811_RBGEUFRF04/dpll_52084/txpa_53254.png","plot")</f>
        <v>plot</v>
      </c>
    </row>
    <row r="416" spans="1:29" x14ac:dyDescent="0.35">
      <c r="A416" t="s">
        <v>49</v>
      </c>
      <c r="B416">
        <v>52084</v>
      </c>
      <c r="C416" t="s">
        <v>52</v>
      </c>
      <c r="D416">
        <v>53255</v>
      </c>
      <c r="E416" t="s">
        <v>130</v>
      </c>
      <c r="F416">
        <v>12027</v>
      </c>
      <c r="G416">
        <v>0.79892984769348263</v>
      </c>
      <c r="H416">
        <v>0</v>
      </c>
      <c r="I416">
        <v>0</v>
      </c>
      <c r="J416">
        <v>0.69814338852730506</v>
      </c>
      <c r="K416">
        <v>0</v>
      </c>
      <c r="L416">
        <v>0</v>
      </c>
      <c r="M416">
        <v>0.51026383290475474</v>
      </c>
      <c r="N416">
        <v>0</v>
      </c>
      <c r="O416">
        <v>0</v>
      </c>
      <c r="P416">
        <v>0.63828890153553131</v>
      </c>
      <c r="Q416">
        <v>1.2348630743385809</v>
      </c>
      <c r="R416">
        <v>3.6408804516825879</v>
      </c>
      <c r="S416">
        <v>0.19095726295979609</v>
      </c>
      <c r="T416">
        <v>0.15121115430034629</v>
      </c>
      <c r="U416">
        <v>4.2557921641307059</v>
      </c>
      <c r="V416">
        <v>0.20542966688110781</v>
      </c>
      <c r="W416">
        <v>8.8962010472270734</v>
      </c>
      <c r="X416">
        <v>0.31752163314153869</v>
      </c>
      <c r="Z416" t="s">
        <v>392</v>
      </c>
      <c r="AA416">
        <v>114</v>
      </c>
      <c r="AB416" t="s">
        <v>3849</v>
      </c>
      <c r="AC416" t="str">
        <f>HYPERLINK("plots/3FT6Y578R04_015_S21P_20251218081014_M5358ACSC201811_RBGEUFRF04/dpll_52084/txpa_53255.png","plot")</f>
        <v>plot</v>
      </c>
    </row>
    <row r="417" spans="1:29" x14ac:dyDescent="0.35">
      <c r="A417" t="s">
        <v>49</v>
      </c>
      <c r="B417">
        <v>52084</v>
      </c>
      <c r="C417" t="s">
        <v>52</v>
      </c>
      <c r="D417">
        <v>53256</v>
      </c>
      <c r="E417" t="s">
        <v>131</v>
      </c>
      <c r="F417">
        <v>12027</v>
      </c>
      <c r="G417">
        <v>0.80292961290400722</v>
      </c>
      <c r="H417">
        <v>0</v>
      </c>
      <c r="I417">
        <v>0</v>
      </c>
      <c r="J417">
        <v>0.71262840706417618</v>
      </c>
      <c r="K417">
        <v>0</v>
      </c>
      <c r="L417">
        <v>0</v>
      </c>
      <c r="M417">
        <v>0.52428757152859617</v>
      </c>
      <c r="N417">
        <v>0</v>
      </c>
      <c r="O417">
        <v>0</v>
      </c>
      <c r="P417">
        <v>0.64469596327817891</v>
      </c>
      <c r="Q417">
        <v>1.249563886665747</v>
      </c>
      <c r="R417">
        <v>3.5881589969318481</v>
      </c>
      <c r="S417">
        <v>0.1905515989767681</v>
      </c>
      <c r="T417">
        <v>0.15072186398339019</v>
      </c>
      <c r="U417">
        <v>4.2557881821734433</v>
      </c>
      <c r="V417">
        <v>0.20542324838451659</v>
      </c>
      <c r="W417">
        <v>8.9060382186746487</v>
      </c>
      <c r="X417">
        <v>0.31969112676573769</v>
      </c>
      <c r="Z417" t="s">
        <v>392</v>
      </c>
      <c r="AA417">
        <v>114</v>
      </c>
      <c r="AB417" t="s">
        <v>3850</v>
      </c>
      <c r="AC417" t="str">
        <f>HYPERLINK("plots/3FT6Y578R04_015_S21P_20251218081014_M5358ACSC201811_RBGEUFRF04/dpll_52084/txpa_53256.png","plot")</f>
        <v>plot</v>
      </c>
    </row>
    <row r="418" spans="1:29" x14ac:dyDescent="0.35">
      <c r="A418" t="s">
        <v>49</v>
      </c>
      <c r="B418">
        <v>52084</v>
      </c>
      <c r="C418" t="s">
        <v>52</v>
      </c>
      <c r="D418">
        <v>53257</v>
      </c>
      <c r="E418" t="s">
        <v>132</v>
      </c>
      <c r="F418">
        <v>12028</v>
      </c>
      <c r="G418">
        <v>0.80025867449539112</v>
      </c>
      <c r="H418">
        <v>0</v>
      </c>
      <c r="I418">
        <v>0</v>
      </c>
      <c r="J418">
        <v>0.70440284034242739</v>
      </c>
      <c r="K418">
        <v>0</v>
      </c>
      <c r="L418">
        <v>0</v>
      </c>
      <c r="M418">
        <v>0.51716316273842333</v>
      </c>
      <c r="N418">
        <v>0</v>
      </c>
      <c r="O418">
        <v>0</v>
      </c>
      <c r="P418">
        <v>0.64041394610512037</v>
      </c>
      <c r="Q418">
        <v>1.2321027786575001</v>
      </c>
      <c r="R418">
        <v>3.6698356428340362</v>
      </c>
      <c r="S418">
        <v>0.18966420580459181</v>
      </c>
      <c r="T418">
        <v>0.15019857880783291</v>
      </c>
      <c r="U418">
        <v>4.2558177004489526</v>
      </c>
      <c r="V418">
        <v>0.20544021673558341</v>
      </c>
      <c r="W418">
        <v>8.9134404570169607</v>
      </c>
      <c r="X418">
        <v>0.31630205326736421</v>
      </c>
      <c r="Z418" t="s">
        <v>392</v>
      </c>
      <c r="AA418">
        <v>114</v>
      </c>
      <c r="AB418" t="s">
        <v>3851</v>
      </c>
      <c r="AC418" t="str">
        <f>HYPERLINK("plots/3FT6Y578R04_015_S21P_20251218081014_M5358ACSC201811_RBGEUFRF04/dpll_52084/txpa_53257.png","plot")</f>
        <v>plot</v>
      </c>
    </row>
    <row r="419" spans="1:29" x14ac:dyDescent="0.35">
      <c r="A419" t="s">
        <v>49</v>
      </c>
      <c r="B419">
        <v>52084</v>
      </c>
      <c r="C419" t="s">
        <v>52</v>
      </c>
      <c r="D419">
        <v>53258</v>
      </c>
      <c r="E419" t="s">
        <v>133</v>
      </c>
      <c r="F419">
        <v>12027</v>
      </c>
      <c r="G419">
        <v>0.79477179958401079</v>
      </c>
      <c r="H419">
        <v>0</v>
      </c>
      <c r="I419">
        <v>0</v>
      </c>
      <c r="J419">
        <v>0.69909734496521481</v>
      </c>
      <c r="K419">
        <v>0</v>
      </c>
      <c r="L419">
        <v>0</v>
      </c>
      <c r="M419">
        <v>0.51264322196793455</v>
      </c>
      <c r="N419">
        <v>0</v>
      </c>
      <c r="O419">
        <v>0</v>
      </c>
      <c r="P419">
        <v>0.63166221341400697</v>
      </c>
      <c r="Q419">
        <v>1.2232311760074019</v>
      </c>
      <c r="R419">
        <v>3.6675287638795049</v>
      </c>
      <c r="S419">
        <v>0.19188605574808071</v>
      </c>
      <c r="T419">
        <v>0.1509859294991063</v>
      </c>
      <c r="U419">
        <v>4.2558401814251274</v>
      </c>
      <c r="V419">
        <v>0.20543396214013371</v>
      </c>
      <c r="W419">
        <v>8.8734051539037164</v>
      </c>
      <c r="X419">
        <v>0.31618286812902069</v>
      </c>
      <c r="Z419" t="s">
        <v>392</v>
      </c>
      <c r="AA419">
        <v>114</v>
      </c>
      <c r="AB419" t="s">
        <v>3852</v>
      </c>
      <c r="AC419" t="str">
        <f>HYPERLINK("plots/3FT6Y578R04_015_S21P_20251218081014_M5358ACSC201811_RBGEUFRF04/dpll_52084/txpa_53258.png","plot")</f>
        <v>plot</v>
      </c>
    </row>
    <row r="420" spans="1:29" x14ac:dyDescent="0.35">
      <c r="A420" t="s">
        <v>49</v>
      </c>
      <c r="B420">
        <v>52084</v>
      </c>
      <c r="C420" t="s">
        <v>52</v>
      </c>
      <c r="D420">
        <v>53259</v>
      </c>
      <c r="E420" t="s">
        <v>134</v>
      </c>
      <c r="F420">
        <v>12028</v>
      </c>
      <c r="G420">
        <v>0.78188442392473889</v>
      </c>
      <c r="H420">
        <v>0</v>
      </c>
      <c r="I420">
        <v>0</v>
      </c>
      <c r="J420">
        <v>0.68902267566588604</v>
      </c>
      <c r="K420">
        <v>0</v>
      </c>
      <c r="L420">
        <v>0</v>
      </c>
      <c r="M420">
        <v>0.50100385453006879</v>
      </c>
      <c r="N420">
        <v>0</v>
      </c>
      <c r="O420">
        <v>0</v>
      </c>
      <c r="P420">
        <v>0.61134325237612075</v>
      </c>
      <c r="Q420">
        <v>1.2310498327155781</v>
      </c>
      <c r="R420">
        <v>4.1488071074843793</v>
      </c>
      <c r="S420">
        <v>0.20164320342308981</v>
      </c>
      <c r="T420">
        <v>0.15727625196195119</v>
      </c>
      <c r="U420">
        <v>4.2558177004489526</v>
      </c>
      <c r="V420">
        <v>0.20544021673558341</v>
      </c>
      <c r="W420">
        <v>9.387930775690057</v>
      </c>
      <c r="X420">
        <v>0.32345847635114922</v>
      </c>
      <c r="Z420" t="s">
        <v>392</v>
      </c>
      <c r="AA420">
        <v>114</v>
      </c>
      <c r="AB420" t="s">
        <v>3853</v>
      </c>
      <c r="AC420" t="str">
        <f>HYPERLINK("plots/3FT6Y578R04_015_S21P_20251218081014_M5358ACSC201811_RBGEUFRF04/dpll_52084/txpa_53259.png","plot")</f>
        <v>plot</v>
      </c>
    </row>
    <row r="421" spans="1:29" x14ac:dyDescent="0.35">
      <c r="A421" t="s">
        <v>49</v>
      </c>
      <c r="B421">
        <v>52084</v>
      </c>
      <c r="C421" t="s">
        <v>52</v>
      </c>
      <c r="D421">
        <v>53260</v>
      </c>
      <c r="E421" t="s">
        <v>135</v>
      </c>
      <c r="F421">
        <v>12028</v>
      </c>
      <c r="G421">
        <v>0.79840958506303861</v>
      </c>
      <c r="H421">
        <v>0</v>
      </c>
      <c r="I421">
        <v>0</v>
      </c>
      <c r="J421">
        <v>0.70372653925621453</v>
      </c>
      <c r="K421">
        <v>0</v>
      </c>
      <c r="L421">
        <v>0</v>
      </c>
      <c r="M421">
        <v>0.51671966944115288</v>
      </c>
      <c r="N421">
        <v>0</v>
      </c>
      <c r="O421">
        <v>0</v>
      </c>
      <c r="P421">
        <v>0.63745786552053352</v>
      </c>
      <c r="Q421">
        <v>1.270273430108986</v>
      </c>
      <c r="R421">
        <v>4.013864065982256</v>
      </c>
      <c r="S421">
        <v>0.1967968424837945</v>
      </c>
      <c r="T421">
        <v>0.15507041081687559</v>
      </c>
      <c r="U421">
        <v>4.2558177004489526</v>
      </c>
      <c r="V421">
        <v>0.20544021673558341</v>
      </c>
      <c r="W421">
        <v>9.4199162142500832</v>
      </c>
      <c r="X421">
        <v>0.32685635753538528</v>
      </c>
      <c r="Z421" t="s">
        <v>392</v>
      </c>
      <c r="AA421">
        <v>114</v>
      </c>
      <c r="AB421" t="s">
        <v>3854</v>
      </c>
      <c r="AC421" t="str">
        <f>HYPERLINK("plots/3FT6Y578R04_015_S21P_20251218081014_M5358ACSC201811_RBGEUFRF04/dpll_52084/txpa_53260.png","plot")</f>
        <v>plot</v>
      </c>
    </row>
    <row r="422" spans="1:29" x14ac:dyDescent="0.35">
      <c r="A422" t="s">
        <v>49</v>
      </c>
      <c r="B422">
        <v>52084</v>
      </c>
      <c r="C422" t="s">
        <v>52</v>
      </c>
      <c r="D422">
        <v>53261</v>
      </c>
      <c r="E422" t="s">
        <v>136</v>
      </c>
      <c r="F422">
        <v>12028</v>
      </c>
      <c r="G422">
        <v>0.79095397007734791</v>
      </c>
      <c r="H422">
        <v>0</v>
      </c>
      <c r="I422">
        <v>0</v>
      </c>
      <c r="J422">
        <v>0.69320732967201071</v>
      </c>
      <c r="K422">
        <v>0</v>
      </c>
      <c r="L422">
        <v>0</v>
      </c>
      <c r="M422">
        <v>0.50627793774332719</v>
      </c>
      <c r="N422">
        <v>0</v>
      </c>
      <c r="O422">
        <v>0</v>
      </c>
      <c r="P422">
        <v>0.62560818278111818</v>
      </c>
      <c r="Q422">
        <v>1.232043696813369</v>
      </c>
      <c r="R422">
        <v>4.1949375828955544</v>
      </c>
      <c r="S422">
        <v>0.19579675297110641</v>
      </c>
      <c r="T422">
        <v>0.15373290728734779</v>
      </c>
      <c r="U422">
        <v>4.2558177004489526</v>
      </c>
      <c r="V422">
        <v>0.20544021673558341</v>
      </c>
      <c r="W422">
        <v>9.4382909555204524</v>
      </c>
      <c r="X422">
        <v>0.32000765363918232</v>
      </c>
      <c r="Z422" t="s">
        <v>392</v>
      </c>
      <c r="AA422">
        <v>114</v>
      </c>
      <c r="AB422" t="s">
        <v>3855</v>
      </c>
      <c r="AC422" t="str">
        <f>HYPERLINK("plots/3FT6Y578R04_015_S21P_20251218081014_M5358ACSC201811_RBGEUFRF04/dpll_52084/txpa_53261.png","plot")</f>
        <v>plot</v>
      </c>
    </row>
    <row r="423" spans="1:29" x14ac:dyDescent="0.35">
      <c r="A423" t="s">
        <v>49</v>
      </c>
      <c r="B423">
        <v>52084</v>
      </c>
      <c r="C423" t="s">
        <v>52</v>
      </c>
      <c r="D423">
        <v>53262</v>
      </c>
      <c r="E423" t="s">
        <v>137</v>
      </c>
      <c r="F423">
        <v>12027</v>
      </c>
      <c r="G423">
        <v>0.80278661738635138</v>
      </c>
      <c r="H423">
        <v>0</v>
      </c>
      <c r="I423">
        <v>0</v>
      </c>
      <c r="J423">
        <v>0.70484077254136102</v>
      </c>
      <c r="K423">
        <v>0</v>
      </c>
      <c r="L423">
        <v>0</v>
      </c>
      <c r="M423">
        <v>0.51779231453817565</v>
      </c>
      <c r="N423">
        <v>0</v>
      </c>
      <c r="O423">
        <v>0</v>
      </c>
      <c r="P423">
        <v>0.64446635305462008</v>
      </c>
      <c r="Q423">
        <v>1.269136443428599</v>
      </c>
      <c r="R423">
        <v>4.0389484690405606</v>
      </c>
      <c r="S423">
        <v>0.19365597430752171</v>
      </c>
      <c r="T423">
        <v>0.1528842084786452</v>
      </c>
      <c r="U423">
        <v>4.2558247893905383</v>
      </c>
      <c r="V423">
        <v>0.20544728689892131</v>
      </c>
      <c r="W423">
        <v>9.4401708061029339</v>
      </c>
      <c r="X423">
        <v>0.32479445142701863</v>
      </c>
      <c r="Z423" t="s">
        <v>392</v>
      </c>
      <c r="AA423">
        <v>114</v>
      </c>
      <c r="AB423" t="s">
        <v>3856</v>
      </c>
      <c r="AC423" t="str">
        <f>HYPERLINK("plots/3FT6Y578R04_015_S21P_20251218081014_M5358ACSC201811_RBGEUFRF04/dpll_52084/txpa_53262.png","plot")</f>
        <v>plot</v>
      </c>
    </row>
    <row r="424" spans="1:29" x14ac:dyDescent="0.35">
      <c r="A424" t="s">
        <v>49</v>
      </c>
      <c r="B424">
        <v>52084</v>
      </c>
      <c r="C424" t="s">
        <v>52</v>
      </c>
      <c r="D424">
        <v>53263</v>
      </c>
      <c r="E424" t="s">
        <v>138</v>
      </c>
      <c r="F424">
        <v>12027</v>
      </c>
      <c r="G424">
        <v>0.8034931579742226</v>
      </c>
      <c r="H424">
        <v>0</v>
      </c>
      <c r="I424">
        <v>0</v>
      </c>
      <c r="J424">
        <v>0.70108540792412388</v>
      </c>
      <c r="K424">
        <v>0</v>
      </c>
      <c r="L424">
        <v>0</v>
      </c>
      <c r="M424">
        <v>0.5127906658785627</v>
      </c>
      <c r="N424">
        <v>0</v>
      </c>
      <c r="O424">
        <v>0</v>
      </c>
      <c r="P424">
        <v>0.64560125491138909</v>
      </c>
      <c r="Q424">
        <v>1.2653887347991419</v>
      </c>
      <c r="R424">
        <v>4.0394081220481244</v>
      </c>
      <c r="S424">
        <v>0.192589663674265</v>
      </c>
      <c r="T424">
        <v>0.1523563446358363</v>
      </c>
      <c r="U424">
        <v>4.2557921641307059</v>
      </c>
      <c r="V424">
        <v>0.20542966688110781</v>
      </c>
      <c r="W424">
        <v>9.4246395841855826</v>
      </c>
      <c r="X424">
        <v>0.32352283735717108</v>
      </c>
      <c r="Z424" t="s">
        <v>392</v>
      </c>
      <c r="AA424">
        <v>114</v>
      </c>
      <c r="AB424" t="s">
        <v>3857</v>
      </c>
      <c r="AC424" t="str">
        <f>HYPERLINK("plots/3FT6Y578R04_015_S21P_20251218081014_M5358ACSC201811_RBGEUFRF04/dpll_52084/txpa_53263.png","plot")</f>
        <v>plot</v>
      </c>
    </row>
    <row r="425" spans="1:29" x14ac:dyDescent="0.35">
      <c r="A425" t="s">
        <v>49</v>
      </c>
      <c r="B425">
        <v>52084</v>
      </c>
      <c r="C425" t="s">
        <v>52</v>
      </c>
      <c r="D425">
        <v>53264</v>
      </c>
      <c r="E425" t="s">
        <v>139</v>
      </c>
      <c r="F425">
        <v>12027</v>
      </c>
      <c r="G425">
        <v>0.80745907367640246</v>
      </c>
      <c r="H425">
        <v>0</v>
      </c>
      <c r="I425">
        <v>0</v>
      </c>
      <c r="J425">
        <v>0.71521196909043794</v>
      </c>
      <c r="K425">
        <v>0</v>
      </c>
      <c r="L425">
        <v>0</v>
      </c>
      <c r="M425">
        <v>0.52668583003120617</v>
      </c>
      <c r="N425">
        <v>0</v>
      </c>
      <c r="O425">
        <v>0</v>
      </c>
      <c r="P425">
        <v>0.65199015566235397</v>
      </c>
      <c r="Q425">
        <v>1.2799501537264231</v>
      </c>
      <c r="R425">
        <v>3.9873526017356</v>
      </c>
      <c r="S425">
        <v>0.19208782497591501</v>
      </c>
      <c r="T425">
        <v>0.15178871906229591</v>
      </c>
      <c r="U425">
        <v>4.2557881821734433</v>
      </c>
      <c r="V425">
        <v>0.20542324838451659</v>
      </c>
      <c r="W425">
        <v>9.4345493397355948</v>
      </c>
      <c r="X425">
        <v>0.32562829116725722</v>
      </c>
      <c r="Z425" t="s">
        <v>392</v>
      </c>
      <c r="AA425">
        <v>114</v>
      </c>
      <c r="AB425" t="s">
        <v>3858</v>
      </c>
      <c r="AC425" t="str">
        <f>HYPERLINK("plots/3FT6Y578R04_015_S21P_20251218081014_M5358ACSC201811_RBGEUFRF04/dpll_52084/txpa_53264.png","plot")</f>
        <v>plot</v>
      </c>
    </row>
    <row r="426" spans="1:29" x14ac:dyDescent="0.35">
      <c r="A426" t="s">
        <v>49</v>
      </c>
      <c r="B426">
        <v>52084</v>
      </c>
      <c r="C426" t="s">
        <v>52</v>
      </c>
      <c r="D426">
        <v>53265</v>
      </c>
      <c r="E426" t="s">
        <v>140</v>
      </c>
      <c r="F426">
        <v>12028</v>
      </c>
      <c r="G426">
        <v>0.80488670210843283</v>
      </c>
      <c r="H426">
        <v>0</v>
      </c>
      <c r="I426">
        <v>0</v>
      </c>
      <c r="J426">
        <v>0.70718103479813432</v>
      </c>
      <c r="K426">
        <v>0</v>
      </c>
      <c r="L426">
        <v>0</v>
      </c>
      <c r="M426">
        <v>0.51963707048315921</v>
      </c>
      <c r="N426">
        <v>0</v>
      </c>
      <c r="O426">
        <v>0</v>
      </c>
      <c r="P426">
        <v>0.64784260323098908</v>
      </c>
      <c r="Q426">
        <v>1.262241514443416</v>
      </c>
      <c r="R426">
        <v>4.0701689774907814</v>
      </c>
      <c r="S426">
        <v>0.19118047013196071</v>
      </c>
      <c r="T426">
        <v>0.15121363950059191</v>
      </c>
      <c r="U426">
        <v>4.2558177004489526</v>
      </c>
      <c r="V426">
        <v>0.20544021673558341</v>
      </c>
      <c r="W426">
        <v>9.4420387569005655</v>
      </c>
      <c r="X426">
        <v>0.32217599026126331</v>
      </c>
      <c r="Z426" t="s">
        <v>392</v>
      </c>
      <c r="AA426">
        <v>114</v>
      </c>
      <c r="AB426" t="s">
        <v>3859</v>
      </c>
      <c r="AC426" t="str">
        <f>HYPERLINK("plots/3FT6Y578R04_015_S21P_20251218081014_M5358ACSC201811_RBGEUFRF04/dpll_52084/txpa_53265.png","plot")</f>
        <v>plot</v>
      </c>
    </row>
    <row r="427" spans="1:29" x14ac:dyDescent="0.35">
      <c r="A427" t="s">
        <v>49</v>
      </c>
      <c r="B427">
        <v>52084</v>
      </c>
      <c r="C427" t="s">
        <v>52</v>
      </c>
      <c r="D427">
        <v>53266</v>
      </c>
      <c r="E427" t="s">
        <v>141</v>
      </c>
      <c r="F427">
        <v>12027</v>
      </c>
      <c r="G427">
        <v>0.7992465720290961</v>
      </c>
      <c r="H427">
        <v>0</v>
      </c>
      <c r="I427">
        <v>0</v>
      </c>
      <c r="J427">
        <v>0.70154867135673304</v>
      </c>
      <c r="K427">
        <v>0</v>
      </c>
      <c r="L427">
        <v>0</v>
      </c>
      <c r="M427">
        <v>0.51478420743935216</v>
      </c>
      <c r="N427">
        <v>0</v>
      </c>
      <c r="O427">
        <v>0</v>
      </c>
      <c r="P427">
        <v>0.6387950829002611</v>
      </c>
      <c r="Q427">
        <v>1.252605597138678</v>
      </c>
      <c r="R427">
        <v>4.0714542365820501</v>
      </c>
      <c r="S427">
        <v>0.19349269749663009</v>
      </c>
      <c r="T427">
        <v>0.15204312453079519</v>
      </c>
      <c r="U427">
        <v>4.2558401814251274</v>
      </c>
      <c r="V427">
        <v>0.20543396214013371</v>
      </c>
      <c r="W427">
        <v>9.4023434683628491</v>
      </c>
      <c r="X427">
        <v>0.32196288332624712</v>
      </c>
      <c r="Z427" t="s">
        <v>392</v>
      </c>
      <c r="AA427">
        <v>114</v>
      </c>
      <c r="AB427" t="s">
        <v>3860</v>
      </c>
      <c r="AC427" t="str">
        <f>HYPERLINK("plots/3FT6Y578R04_015_S21P_20251218081014_M5358ACSC201811_RBGEUFRF04/dpll_52084/txpa_53266.png","plot")</f>
        <v>plot</v>
      </c>
    </row>
    <row r="428" spans="1:29" x14ac:dyDescent="0.35">
      <c r="A428" t="s">
        <v>49</v>
      </c>
      <c r="B428">
        <v>52084</v>
      </c>
      <c r="C428" t="s">
        <v>52</v>
      </c>
      <c r="D428">
        <v>53267</v>
      </c>
      <c r="E428" t="s">
        <v>142</v>
      </c>
      <c r="F428">
        <v>12028</v>
      </c>
      <c r="G428">
        <v>0.78640715538462858</v>
      </c>
      <c r="H428">
        <v>0</v>
      </c>
      <c r="I428">
        <v>0</v>
      </c>
      <c r="J428">
        <v>0.69181622379288987</v>
      </c>
      <c r="K428">
        <v>0</v>
      </c>
      <c r="L428">
        <v>0</v>
      </c>
      <c r="M428">
        <v>0.50344116655735971</v>
      </c>
      <c r="N428">
        <v>0</v>
      </c>
      <c r="O428">
        <v>0</v>
      </c>
      <c r="P428">
        <v>0.61843621404014337</v>
      </c>
      <c r="Q428">
        <v>1.259426685072021</v>
      </c>
      <c r="R428">
        <v>4.5227462645018282</v>
      </c>
      <c r="S428">
        <v>0.20322466652405169</v>
      </c>
      <c r="T428">
        <v>0.1583074170170688</v>
      </c>
      <c r="U428">
        <v>4.2558177004489526</v>
      </c>
      <c r="V428">
        <v>0.20544021673558341</v>
      </c>
      <c r="W428">
        <v>9.882636643249084</v>
      </c>
      <c r="X428">
        <v>0.32901136437044037</v>
      </c>
      <c r="Z428" t="s">
        <v>392</v>
      </c>
      <c r="AA428">
        <v>114</v>
      </c>
      <c r="AB428" t="s">
        <v>3861</v>
      </c>
      <c r="AC428" t="str">
        <f>HYPERLINK("plots/3FT6Y578R04_015_S21P_20251218081014_M5358ACSC201811_RBGEUFRF04/dpll_52084/txpa_53267.png","plot")</f>
        <v>plot</v>
      </c>
    </row>
    <row r="429" spans="1:29" x14ac:dyDescent="0.35">
      <c r="A429" t="s">
        <v>49</v>
      </c>
      <c r="B429">
        <v>52084</v>
      </c>
      <c r="C429" t="s">
        <v>52</v>
      </c>
      <c r="D429">
        <v>53268</v>
      </c>
      <c r="E429" t="s">
        <v>143</v>
      </c>
      <c r="F429">
        <v>12028</v>
      </c>
      <c r="G429">
        <v>0.80250919784218755</v>
      </c>
      <c r="H429">
        <v>0</v>
      </c>
      <c r="I429">
        <v>0</v>
      </c>
      <c r="J429">
        <v>0.70633343796532166</v>
      </c>
      <c r="K429">
        <v>0</v>
      </c>
      <c r="L429">
        <v>0</v>
      </c>
      <c r="M429">
        <v>0.51907212874898712</v>
      </c>
      <c r="N429">
        <v>0</v>
      </c>
      <c r="O429">
        <v>0</v>
      </c>
      <c r="P429">
        <v>0.64402101262131128</v>
      </c>
      <c r="Q429">
        <v>1.299323019588899</v>
      </c>
      <c r="R429">
        <v>4.3852209363354762</v>
      </c>
      <c r="S429">
        <v>0.19844799071075789</v>
      </c>
      <c r="T429">
        <v>0.15616105785849829</v>
      </c>
      <c r="U429">
        <v>4.2558177004489526</v>
      </c>
      <c r="V429">
        <v>0.20544021673558341</v>
      </c>
      <c r="W429">
        <v>9.9149028417026948</v>
      </c>
      <c r="X429">
        <v>0.33262323157368762</v>
      </c>
      <c r="Z429" t="s">
        <v>392</v>
      </c>
      <c r="AA429">
        <v>114</v>
      </c>
      <c r="AB429" t="s">
        <v>3862</v>
      </c>
      <c r="AC429" t="str">
        <f>HYPERLINK("plots/3FT6Y578R04_015_S21P_20251218081014_M5358ACSC201811_RBGEUFRF04/dpll_52084/txpa_53268.png","plot")</f>
        <v>plot</v>
      </c>
    </row>
    <row r="430" spans="1:29" x14ac:dyDescent="0.35">
      <c r="A430" t="s">
        <v>49</v>
      </c>
      <c r="B430">
        <v>52084</v>
      </c>
      <c r="C430" t="s">
        <v>52</v>
      </c>
      <c r="D430">
        <v>53269</v>
      </c>
      <c r="E430" t="s">
        <v>144</v>
      </c>
      <c r="F430">
        <v>12028</v>
      </c>
      <c r="G430">
        <v>0.79550076418053672</v>
      </c>
      <c r="H430">
        <v>0</v>
      </c>
      <c r="I430">
        <v>0</v>
      </c>
      <c r="J430">
        <v>0.69595715339544895</v>
      </c>
      <c r="K430">
        <v>0</v>
      </c>
      <c r="L430">
        <v>0</v>
      </c>
      <c r="M430">
        <v>0.50864197967836877</v>
      </c>
      <c r="N430">
        <v>0</v>
      </c>
      <c r="O430">
        <v>0</v>
      </c>
      <c r="P430">
        <v>0.63282146581181786</v>
      </c>
      <c r="Q430">
        <v>1.2610522314611281</v>
      </c>
      <c r="R430">
        <v>4.5667996630749386</v>
      </c>
      <c r="S430">
        <v>0.19733245820482581</v>
      </c>
      <c r="T430">
        <v>0.15476032589305599</v>
      </c>
      <c r="U430">
        <v>4.2558177004489526</v>
      </c>
      <c r="V430">
        <v>0.20544021673558341</v>
      </c>
      <c r="W430">
        <v>9.9336080709178578</v>
      </c>
      <c r="X430">
        <v>0.32567013812128781</v>
      </c>
      <c r="Z430" t="s">
        <v>392</v>
      </c>
      <c r="AA430">
        <v>114</v>
      </c>
      <c r="AB430" t="s">
        <v>3863</v>
      </c>
      <c r="AC430" t="str">
        <f>HYPERLINK("plots/3FT6Y578R04_015_S21P_20251218081014_M5358ACSC201811_RBGEUFRF04/dpll_52084/txpa_53269.png","plot")</f>
        <v>plot</v>
      </c>
    </row>
    <row r="431" spans="1:29" x14ac:dyDescent="0.35">
      <c r="A431" t="s">
        <v>49</v>
      </c>
      <c r="B431">
        <v>52084</v>
      </c>
      <c r="C431" t="s">
        <v>52</v>
      </c>
      <c r="D431">
        <v>53270</v>
      </c>
      <c r="E431" t="s">
        <v>145</v>
      </c>
      <c r="F431">
        <v>12027</v>
      </c>
      <c r="G431">
        <v>0.80699123009666218</v>
      </c>
      <c r="H431">
        <v>0</v>
      </c>
      <c r="I431">
        <v>0</v>
      </c>
      <c r="J431">
        <v>0.70738904655025825</v>
      </c>
      <c r="K431">
        <v>0</v>
      </c>
      <c r="L431">
        <v>0</v>
      </c>
      <c r="M431">
        <v>0.52004689782760305</v>
      </c>
      <c r="N431">
        <v>0</v>
      </c>
      <c r="O431">
        <v>0</v>
      </c>
      <c r="P431">
        <v>0.65123484545292398</v>
      </c>
      <c r="Q431">
        <v>1.2984672704147451</v>
      </c>
      <c r="R431">
        <v>4.4092337041609353</v>
      </c>
      <c r="S431">
        <v>0.19521405851494381</v>
      </c>
      <c r="T431">
        <v>0.1539819461203365</v>
      </c>
      <c r="U431">
        <v>4.2558247893905383</v>
      </c>
      <c r="V431">
        <v>0.20544728689892131</v>
      </c>
      <c r="W431">
        <v>9.9352829018042748</v>
      </c>
      <c r="X431">
        <v>0.33056936418231442</v>
      </c>
      <c r="Z431" t="s">
        <v>392</v>
      </c>
      <c r="AA431">
        <v>114</v>
      </c>
      <c r="AB431" t="s">
        <v>3864</v>
      </c>
      <c r="AC431" t="str">
        <f>HYPERLINK("plots/3FT6Y578R04_015_S21P_20251218081014_M5358ACSC201811_RBGEUFRF04/dpll_52084/txpa_53270.png","plot")</f>
        <v>plot</v>
      </c>
    </row>
    <row r="432" spans="1:29" x14ac:dyDescent="0.35">
      <c r="A432" t="s">
        <v>49</v>
      </c>
      <c r="B432">
        <v>52084</v>
      </c>
      <c r="C432" t="s">
        <v>52</v>
      </c>
      <c r="D432">
        <v>53271</v>
      </c>
      <c r="E432" t="s">
        <v>146</v>
      </c>
      <c r="F432">
        <v>12027</v>
      </c>
      <c r="G432">
        <v>0.80754277070864777</v>
      </c>
      <c r="H432">
        <v>0</v>
      </c>
      <c r="I432">
        <v>0</v>
      </c>
      <c r="J432">
        <v>0.70347561687926141</v>
      </c>
      <c r="K432">
        <v>0</v>
      </c>
      <c r="L432">
        <v>0</v>
      </c>
      <c r="M432">
        <v>0.51489486459070388</v>
      </c>
      <c r="N432">
        <v>0</v>
      </c>
      <c r="O432">
        <v>0</v>
      </c>
      <c r="P432">
        <v>0.65212532652379962</v>
      </c>
      <c r="Q432">
        <v>1.2945478681224669</v>
      </c>
      <c r="R432">
        <v>4.4099934416604203</v>
      </c>
      <c r="S432">
        <v>0.19422677196787769</v>
      </c>
      <c r="T432">
        <v>0.15350327330825289</v>
      </c>
      <c r="U432">
        <v>4.2557921641307059</v>
      </c>
      <c r="V432">
        <v>0.20542966688110781</v>
      </c>
      <c r="W432">
        <v>9.9193201149081247</v>
      </c>
      <c r="X432">
        <v>0.32931820698075981</v>
      </c>
      <c r="Z432" t="s">
        <v>392</v>
      </c>
      <c r="AA432">
        <v>114</v>
      </c>
      <c r="AB432" t="s">
        <v>3865</v>
      </c>
      <c r="AC432" t="str">
        <f>HYPERLINK("plots/3FT6Y578R04_015_S21P_20251218081014_M5358ACSC201811_RBGEUFRF04/dpll_52084/txpa_53271.png","plot")</f>
        <v>plot</v>
      </c>
    </row>
    <row r="433" spans="1:29" x14ac:dyDescent="0.35">
      <c r="A433" t="s">
        <v>49</v>
      </c>
      <c r="B433">
        <v>52084</v>
      </c>
      <c r="C433" t="s">
        <v>52</v>
      </c>
      <c r="D433">
        <v>53272</v>
      </c>
      <c r="E433" t="s">
        <v>147</v>
      </c>
      <c r="F433">
        <v>12027</v>
      </c>
      <c r="G433">
        <v>0.81133937361277964</v>
      </c>
      <c r="H433">
        <v>0</v>
      </c>
      <c r="I433">
        <v>0</v>
      </c>
      <c r="J433">
        <v>0.71742446004727678</v>
      </c>
      <c r="K433">
        <v>0</v>
      </c>
      <c r="L433">
        <v>0</v>
      </c>
      <c r="M433">
        <v>0.52868132278652025</v>
      </c>
      <c r="N433">
        <v>0</v>
      </c>
      <c r="O433">
        <v>0</v>
      </c>
      <c r="P433">
        <v>0.65827157917437762</v>
      </c>
      <c r="Q433">
        <v>1.3086288114972979</v>
      </c>
      <c r="R433">
        <v>4.3604209535466261</v>
      </c>
      <c r="S433">
        <v>0.19368055097055281</v>
      </c>
      <c r="T433">
        <v>0.1529086370303458</v>
      </c>
      <c r="U433">
        <v>4.2557881821734433</v>
      </c>
      <c r="V433">
        <v>0.20542324838451659</v>
      </c>
      <c r="W433">
        <v>9.9296679843685052</v>
      </c>
      <c r="X433">
        <v>0.33133210359348692</v>
      </c>
      <c r="Z433" t="s">
        <v>392</v>
      </c>
      <c r="AA433">
        <v>114</v>
      </c>
      <c r="AB433" t="s">
        <v>3866</v>
      </c>
      <c r="AC433" t="str">
        <f>HYPERLINK("plots/3FT6Y578R04_015_S21P_20251218081014_M5358ACSC201811_RBGEUFRF04/dpll_52084/txpa_53272.png","plot")</f>
        <v>plot</v>
      </c>
    </row>
    <row r="434" spans="1:29" x14ac:dyDescent="0.35">
      <c r="A434" t="s">
        <v>49</v>
      </c>
      <c r="B434">
        <v>52084</v>
      </c>
      <c r="C434" t="s">
        <v>52</v>
      </c>
      <c r="D434">
        <v>53273</v>
      </c>
      <c r="E434" t="s">
        <v>148</v>
      </c>
      <c r="F434">
        <v>12028</v>
      </c>
      <c r="G434">
        <v>0.80900144054312306</v>
      </c>
      <c r="H434">
        <v>0</v>
      </c>
      <c r="I434">
        <v>0</v>
      </c>
      <c r="J434">
        <v>0.70942979969283915</v>
      </c>
      <c r="K434">
        <v>0</v>
      </c>
      <c r="L434">
        <v>0</v>
      </c>
      <c r="M434">
        <v>0.52165778489094916</v>
      </c>
      <c r="N434">
        <v>0</v>
      </c>
      <c r="O434">
        <v>0</v>
      </c>
      <c r="P434">
        <v>0.65448333080084831</v>
      </c>
      <c r="Q434">
        <v>1.291238057411731</v>
      </c>
      <c r="R434">
        <v>4.4418833090654886</v>
      </c>
      <c r="S434">
        <v>0.1927342665174093</v>
      </c>
      <c r="T434">
        <v>0.15226555904175099</v>
      </c>
      <c r="U434">
        <v>4.2558177004489526</v>
      </c>
      <c r="V434">
        <v>0.20544021673558341</v>
      </c>
      <c r="W434">
        <v>9.9371570892916523</v>
      </c>
      <c r="X434">
        <v>0.32790080842601382</v>
      </c>
      <c r="Z434" t="s">
        <v>392</v>
      </c>
      <c r="AA434">
        <v>114</v>
      </c>
      <c r="AB434" t="s">
        <v>3867</v>
      </c>
      <c r="AC434" t="str">
        <f>HYPERLINK("plots/3FT6Y578R04_015_S21P_20251218081014_M5358ACSC201811_RBGEUFRF04/dpll_52084/txpa_53273.png","plot")</f>
        <v>plot</v>
      </c>
    </row>
    <row r="435" spans="1:29" x14ac:dyDescent="0.35">
      <c r="A435" t="s">
        <v>49</v>
      </c>
      <c r="B435">
        <v>52084</v>
      </c>
      <c r="C435" t="s">
        <v>52</v>
      </c>
      <c r="D435">
        <v>53274</v>
      </c>
      <c r="E435" t="s">
        <v>149</v>
      </c>
      <c r="F435">
        <v>12027</v>
      </c>
      <c r="G435">
        <v>0.80331494666274716</v>
      </c>
      <c r="H435">
        <v>0</v>
      </c>
      <c r="I435">
        <v>0</v>
      </c>
      <c r="J435">
        <v>0.70403118855045299</v>
      </c>
      <c r="K435">
        <v>0</v>
      </c>
      <c r="L435">
        <v>0</v>
      </c>
      <c r="M435">
        <v>0.51696438987411963</v>
      </c>
      <c r="N435">
        <v>0</v>
      </c>
      <c r="O435">
        <v>0</v>
      </c>
      <c r="P435">
        <v>0.64531490353177234</v>
      </c>
      <c r="Q435">
        <v>1.280956186860549</v>
      </c>
      <c r="R435">
        <v>4.4457589298974494</v>
      </c>
      <c r="S435">
        <v>0.19508509286905129</v>
      </c>
      <c r="T435">
        <v>0.15314435870286969</v>
      </c>
      <c r="U435">
        <v>4.2558401814251274</v>
      </c>
      <c r="V435">
        <v>0.20543396214013371</v>
      </c>
      <c r="W435">
        <v>9.8973037405836877</v>
      </c>
      <c r="X435">
        <v>0.32758248292018688</v>
      </c>
      <c r="Z435" t="s">
        <v>392</v>
      </c>
      <c r="AA435">
        <v>114</v>
      </c>
      <c r="AB435" t="s">
        <v>3868</v>
      </c>
      <c r="AC435" t="str">
        <f>HYPERLINK("plots/3FT6Y578R04_015_S21P_20251218081014_M5358ACSC201811_RBGEUFRF04/dpll_52084/txpa_53274.png","plot")</f>
        <v>plot</v>
      </c>
    </row>
    <row r="436" spans="1:29" x14ac:dyDescent="0.35">
      <c r="A436" t="s">
        <v>49</v>
      </c>
      <c r="B436">
        <v>52084</v>
      </c>
      <c r="C436" t="s">
        <v>52</v>
      </c>
      <c r="D436">
        <v>53275</v>
      </c>
      <c r="E436" t="s">
        <v>150</v>
      </c>
      <c r="F436">
        <v>12028</v>
      </c>
      <c r="G436">
        <v>0.79815995795216532</v>
      </c>
      <c r="H436">
        <v>0</v>
      </c>
      <c r="I436">
        <v>0</v>
      </c>
      <c r="J436">
        <v>0.69969320665453816</v>
      </c>
      <c r="K436">
        <v>0</v>
      </c>
      <c r="L436">
        <v>0</v>
      </c>
      <c r="M436">
        <v>0.51025054620247789</v>
      </c>
      <c r="N436">
        <v>0</v>
      </c>
      <c r="O436">
        <v>0</v>
      </c>
      <c r="P436">
        <v>0.6370593184782023</v>
      </c>
      <c r="Q436">
        <v>1.341244709915135</v>
      </c>
      <c r="R436">
        <v>5.8069940564979436</v>
      </c>
      <c r="S436">
        <v>0.20797125915696929</v>
      </c>
      <c r="T436">
        <v>0.16143372651810289</v>
      </c>
      <c r="U436">
        <v>4.2558177004489526</v>
      </c>
      <c r="V436">
        <v>0.20544021673558341</v>
      </c>
      <c r="W436">
        <v>11.515087033588291</v>
      </c>
      <c r="X436">
        <v>0.34522604291924891</v>
      </c>
      <c r="Z436" t="s">
        <v>392</v>
      </c>
      <c r="AA436">
        <v>114</v>
      </c>
      <c r="AB436" t="s">
        <v>3869</v>
      </c>
      <c r="AC436" t="str">
        <f>HYPERLINK("plots/3FT6Y578R04_015_S21P_20251218081014_M5358ACSC201811_RBGEUFRF04/dpll_52084/txpa_53275.png","plot")</f>
        <v>plot</v>
      </c>
    </row>
    <row r="437" spans="1:29" x14ac:dyDescent="0.35">
      <c r="A437" t="s">
        <v>49</v>
      </c>
      <c r="B437">
        <v>52084</v>
      </c>
      <c r="C437" t="s">
        <v>52</v>
      </c>
      <c r="D437">
        <v>53276</v>
      </c>
      <c r="E437" t="s">
        <v>151</v>
      </c>
      <c r="F437">
        <v>12028</v>
      </c>
      <c r="G437">
        <v>0.81325060617288181</v>
      </c>
      <c r="H437">
        <v>0</v>
      </c>
      <c r="I437">
        <v>0</v>
      </c>
      <c r="J437">
        <v>0.71344512802126758</v>
      </c>
      <c r="K437">
        <v>0</v>
      </c>
      <c r="L437">
        <v>0</v>
      </c>
      <c r="M437">
        <v>0.52547294076635764</v>
      </c>
      <c r="N437">
        <v>0</v>
      </c>
      <c r="O437">
        <v>0</v>
      </c>
      <c r="P437">
        <v>0.66137654844055971</v>
      </c>
      <c r="Q437">
        <v>1.3817487303518989</v>
      </c>
      <c r="R437">
        <v>5.6670422854862412</v>
      </c>
      <c r="S437">
        <v>0.20310967204706279</v>
      </c>
      <c r="T437">
        <v>0.15927352427208691</v>
      </c>
      <c r="U437">
        <v>4.2558177004489526</v>
      </c>
      <c r="V437">
        <v>0.20544021673558341</v>
      </c>
      <c r="W437">
        <v>11.54751298969072</v>
      </c>
      <c r="X437">
        <v>0.34905200990070551</v>
      </c>
      <c r="Z437" t="s">
        <v>392</v>
      </c>
      <c r="AA437">
        <v>114</v>
      </c>
      <c r="AB437" t="s">
        <v>3870</v>
      </c>
      <c r="AC437" t="str">
        <f>HYPERLINK("plots/3FT6Y578R04_015_S21P_20251218081014_M5358ACSC201811_RBGEUFRF04/dpll_52084/txpa_53276.png","plot")</f>
        <v>plot</v>
      </c>
    </row>
    <row r="438" spans="1:29" x14ac:dyDescent="0.35">
      <c r="A438" t="s">
        <v>49</v>
      </c>
      <c r="B438">
        <v>52084</v>
      </c>
      <c r="C438" t="s">
        <v>52</v>
      </c>
      <c r="D438">
        <v>53277</v>
      </c>
      <c r="E438" t="s">
        <v>152</v>
      </c>
      <c r="F438">
        <v>12028</v>
      </c>
      <c r="G438">
        <v>0.8073963628983718</v>
      </c>
      <c r="H438">
        <v>0</v>
      </c>
      <c r="I438">
        <v>0</v>
      </c>
      <c r="J438">
        <v>0.70407668002819301</v>
      </c>
      <c r="K438">
        <v>0</v>
      </c>
      <c r="L438">
        <v>0</v>
      </c>
      <c r="M438">
        <v>0.51580117428677763</v>
      </c>
      <c r="N438">
        <v>0</v>
      </c>
      <c r="O438">
        <v>0</v>
      </c>
      <c r="P438">
        <v>0.65188888682151924</v>
      </c>
      <c r="Q438">
        <v>1.344007342572221</v>
      </c>
      <c r="R438">
        <v>5.8466253148244034</v>
      </c>
      <c r="S438">
        <v>0.20176285144289971</v>
      </c>
      <c r="T438">
        <v>0.15767966487317381</v>
      </c>
      <c r="U438">
        <v>4.2558177004489526</v>
      </c>
      <c r="V438">
        <v>0.20544021673558341</v>
      </c>
      <c r="W438">
        <v>11.56647555287662</v>
      </c>
      <c r="X438">
        <v>0.34197969230511299</v>
      </c>
      <c r="Z438" t="s">
        <v>392</v>
      </c>
      <c r="AA438">
        <v>114</v>
      </c>
      <c r="AB438" t="s">
        <v>3871</v>
      </c>
      <c r="AC438" t="str">
        <f>HYPERLINK("plots/3FT6Y578R04_015_S21P_20251218081014_M5358ACSC201811_RBGEUFRF04/dpll_52084/txpa_53277.png","plot")</f>
        <v>plot</v>
      </c>
    </row>
    <row r="439" spans="1:29" x14ac:dyDescent="0.35">
      <c r="A439" t="s">
        <v>49</v>
      </c>
      <c r="B439">
        <v>52084</v>
      </c>
      <c r="C439" t="s">
        <v>52</v>
      </c>
      <c r="D439">
        <v>53278</v>
      </c>
      <c r="E439" t="s">
        <v>153</v>
      </c>
      <c r="F439">
        <v>12027</v>
      </c>
      <c r="G439">
        <v>0.81785233903717314</v>
      </c>
      <c r="H439">
        <v>0</v>
      </c>
      <c r="I439">
        <v>0</v>
      </c>
      <c r="J439">
        <v>0.71462128419222026</v>
      </c>
      <c r="K439">
        <v>0</v>
      </c>
      <c r="L439">
        <v>0</v>
      </c>
      <c r="M439">
        <v>0.52651555076921863</v>
      </c>
      <c r="N439">
        <v>0</v>
      </c>
      <c r="O439">
        <v>0</v>
      </c>
      <c r="P439">
        <v>0.66888244846857514</v>
      </c>
      <c r="Q439">
        <v>1.3821899526941279</v>
      </c>
      <c r="R439">
        <v>5.6861828930736538</v>
      </c>
      <c r="S439">
        <v>0.19978656836961711</v>
      </c>
      <c r="T439">
        <v>0.1572081872347191</v>
      </c>
      <c r="U439">
        <v>4.2558247893905383</v>
      </c>
      <c r="V439">
        <v>0.20544728689892131</v>
      </c>
      <c r="W439">
        <v>11.56854115739586</v>
      </c>
      <c r="X439">
        <v>0.3472108132554354</v>
      </c>
      <c r="Z439" t="s">
        <v>392</v>
      </c>
      <c r="AA439">
        <v>114</v>
      </c>
      <c r="AB439" t="s">
        <v>3872</v>
      </c>
      <c r="AC439" t="str">
        <f>HYPERLINK("plots/3FT6Y578R04_015_S21P_20251218081014_M5358ACSC201811_RBGEUFRF04/dpll_52084/txpa_53278.png","plot")</f>
        <v>plot</v>
      </c>
    </row>
    <row r="440" spans="1:29" x14ac:dyDescent="0.35">
      <c r="A440" t="s">
        <v>49</v>
      </c>
      <c r="B440">
        <v>52084</v>
      </c>
      <c r="C440" t="s">
        <v>52</v>
      </c>
      <c r="D440">
        <v>53279</v>
      </c>
      <c r="E440" t="s">
        <v>154</v>
      </c>
      <c r="F440">
        <v>12027</v>
      </c>
      <c r="G440">
        <v>0.81800243522548777</v>
      </c>
      <c r="H440">
        <v>0</v>
      </c>
      <c r="I440">
        <v>0</v>
      </c>
      <c r="J440">
        <v>0.7105056794099982</v>
      </c>
      <c r="K440">
        <v>0</v>
      </c>
      <c r="L440">
        <v>0</v>
      </c>
      <c r="M440">
        <v>0.5210729669490588</v>
      </c>
      <c r="N440">
        <v>0</v>
      </c>
      <c r="O440">
        <v>0</v>
      </c>
      <c r="P440">
        <v>0.66912798403482832</v>
      </c>
      <c r="Q440">
        <v>1.378392820552597</v>
      </c>
      <c r="R440">
        <v>5.6847797806210369</v>
      </c>
      <c r="S440">
        <v>0.19911021016532479</v>
      </c>
      <c r="T440">
        <v>0.1569821671070232</v>
      </c>
      <c r="U440">
        <v>4.2557921641307059</v>
      </c>
      <c r="V440">
        <v>0.20542966688110781</v>
      </c>
      <c r="W440">
        <v>11.5509331454228</v>
      </c>
      <c r="X440">
        <v>0.34616373468298423</v>
      </c>
      <c r="Z440" t="s">
        <v>392</v>
      </c>
      <c r="AA440">
        <v>114</v>
      </c>
      <c r="AB440" t="s">
        <v>3873</v>
      </c>
      <c r="AC440" t="str">
        <f>HYPERLINK("plots/3FT6Y578R04_015_S21P_20251218081014_M5358ACSC201811_RBGEUFRF04/dpll_52084/txpa_53279.png","plot")</f>
        <v>plot</v>
      </c>
    </row>
    <row r="441" spans="1:29" x14ac:dyDescent="0.35">
      <c r="A441" t="s">
        <v>49</v>
      </c>
      <c r="B441">
        <v>52084</v>
      </c>
      <c r="C441" t="s">
        <v>52</v>
      </c>
      <c r="D441">
        <v>53280</v>
      </c>
      <c r="E441" t="s">
        <v>155</v>
      </c>
      <c r="F441">
        <v>12027</v>
      </c>
      <c r="G441">
        <v>0.82172529746373335</v>
      </c>
      <c r="H441">
        <v>0</v>
      </c>
      <c r="I441">
        <v>0</v>
      </c>
      <c r="J441">
        <v>0.72374516612008499</v>
      </c>
      <c r="K441">
        <v>0</v>
      </c>
      <c r="L441">
        <v>0</v>
      </c>
      <c r="M441">
        <v>0.53449765579180053</v>
      </c>
      <c r="N441">
        <v>0</v>
      </c>
      <c r="O441">
        <v>0</v>
      </c>
      <c r="P441">
        <v>0.67523246449186103</v>
      </c>
      <c r="Q441">
        <v>1.391168307512278</v>
      </c>
      <c r="R441">
        <v>5.641944585794632</v>
      </c>
      <c r="S441">
        <v>0.1981850359026972</v>
      </c>
      <c r="T441">
        <v>0.1560335110918197</v>
      </c>
      <c r="U441">
        <v>4.2557881821734433</v>
      </c>
      <c r="V441">
        <v>0.20542324838451659</v>
      </c>
      <c r="W441">
        <v>11.562462228319619</v>
      </c>
      <c r="X441">
        <v>0.34777840436557222</v>
      </c>
      <c r="Z441" t="s">
        <v>392</v>
      </c>
      <c r="AA441">
        <v>114</v>
      </c>
      <c r="AB441" t="s">
        <v>3874</v>
      </c>
      <c r="AC441" t="str">
        <f>HYPERLINK("plots/3FT6Y578R04_015_S21P_20251218081014_M5358ACSC201811_RBGEUFRF04/dpll_52084/txpa_53280.png","plot")</f>
        <v>plot</v>
      </c>
    </row>
    <row r="442" spans="1:29" x14ac:dyDescent="0.35">
      <c r="A442" t="s">
        <v>49</v>
      </c>
      <c r="B442">
        <v>52084</v>
      </c>
      <c r="C442" t="s">
        <v>52</v>
      </c>
      <c r="D442">
        <v>53281</v>
      </c>
      <c r="E442" t="s">
        <v>156</v>
      </c>
      <c r="F442">
        <v>12028</v>
      </c>
      <c r="G442">
        <v>0.81983844491135216</v>
      </c>
      <c r="H442">
        <v>0</v>
      </c>
      <c r="I442">
        <v>0</v>
      </c>
      <c r="J442">
        <v>0.71635171777584283</v>
      </c>
      <c r="K442">
        <v>0</v>
      </c>
      <c r="L442">
        <v>0</v>
      </c>
      <c r="M442">
        <v>0.52784895924030228</v>
      </c>
      <c r="N442">
        <v>0</v>
      </c>
      <c r="O442">
        <v>0</v>
      </c>
      <c r="P442">
        <v>0.67213507575466425</v>
      </c>
      <c r="Q442">
        <v>1.3737517349168991</v>
      </c>
      <c r="R442">
        <v>5.7241883897267192</v>
      </c>
      <c r="S442">
        <v>0.19710373906789519</v>
      </c>
      <c r="T442">
        <v>0.15514268124394989</v>
      </c>
      <c r="U442">
        <v>4.2558177004489526</v>
      </c>
      <c r="V442">
        <v>0.20544021673558341</v>
      </c>
      <c r="W442">
        <v>11.57062533920851</v>
      </c>
      <c r="X442">
        <v>0.34424325416055362</v>
      </c>
      <c r="Z442" t="s">
        <v>392</v>
      </c>
      <c r="AA442">
        <v>114</v>
      </c>
      <c r="AB442" t="s">
        <v>3875</v>
      </c>
      <c r="AC442" t="str">
        <f>HYPERLINK("plots/3FT6Y578R04_015_S21P_20251218081014_M5358ACSC201811_RBGEUFRF04/dpll_52084/txpa_53281.png","plot")</f>
        <v>plot</v>
      </c>
    </row>
    <row r="443" spans="1:29" x14ac:dyDescent="0.35">
      <c r="A443" t="s">
        <v>49</v>
      </c>
      <c r="B443">
        <v>52084</v>
      </c>
      <c r="C443" t="s">
        <v>52</v>
      </c>
      <c r="D443">
        <v>53282</v>
      </c>
      <c r="E443" t="s">
        <v>157</v>
      </c>
      <c r="F443">
        <v>12027</v>
      </c>
      <c r="G443">
        <v>0.81376755440463411</v>
      </c>
      <c r="H443">
        <v>0</v>
      </c>
      <c r="I443">
        <v>0</v>
      </c>
      <c r="J443">
        <v>0.71025299595702618</v>
      </c>
      <c r="K443">
        <v>0</v>
      </c>
      <c r="L443">
        <v>0</v>
      </c>
      <c r="M443">
        <v>0.52248342284407323</v>
      </c>
      <c r="N443">
        <v>0</v>
      </c>
      <c r="O443">
        <v>0</v>
      </c>
      <c r="P443">
        <v>0.66221763260169908</v>
      </c>
      <c r="Q443">
        <v>1.361097784865249</v>
      </c>
      <c r="R443">
        <v>5.7387570093524189</v>
      </c>
      <c r="S443">
        <v>0.19969244351363791</v>
      </c>
      <c r="T443">
        <v>0.15623427253905031</v>
      </c>
      <c r="U443">
        <v>4.2558401814251274</v>
      </c>
      <c r="V443">
        <v>0.20543396214013371</v>
      </c>
      <c r="W443">
        <v>11.53137165303068</v>
      </c>
      <c r="X443">
        <v>0.34360636436236258</v>
      </c>
      <c r="Z443" t="s">
        <v>392</v>
      </c>
      <c r="AA443">
        <v>114</v>
      </c>
      <c r="AB443" t="s">
        <v>3876</v>
      </c>
      <c r="AC443" t="str">
        <f>HYPERLINK("plots/3FT6Y578R04_015_S21P_20251218081014_M5358ACSC201811_RBGEUFRF04/dpll_52084/txpa_53282.png","plot")</f>
        <v>plot</v>
      </c>
    </row>
    <row r="444" spans="1:29" x14ac:dyDescent="0.35">
      <c r="A444" t="s">
        <v>49</v>
      </c>
      <c r="B444">
        <v>52084</v>
      </c>
      <c r="C444" t="s">
        <v>52</v>
      </c>
      <c r="D444">
        <v>53283</v>
      </c>
      <c r="E444" t="s">
        <v>158</v>
      </c>
      <c r="F444">
        <v>12028</v>
      </c>
      <c r="G444">
        <v>0.80096941944766031</v>
      </c>
      <c r="H444">
        <v>0</v>
      </c>
      <c r="I444">
        <v>0</v>
      </c>
      <c r="J444">
        <v>0.70123892472534211</v>
      </c>
      <c r="K444">
        <v>0</v>
      </c>
      <c r="L444">
        <v>0</v>
      </c>
      <c r="M444">
        <v>0.5116294535136392</v>
      </c>
      <c r="N444">
        <v>0</v>
      </c>
      <c r="O444">
        <v>0</v>
      </c>
      <c r="P444">
        <v>0.64155201089032199</v>
      </c>
      <c r="Q444">
        <v>1.361573928183208</v>
      </c>
      <c r="R444">
        <v>6.296242422659148</v>
      </c>
      <c r="S444">
        <v>0.2090767670727508</v>
      </c>
      <c r="T444">
        <v>0.1621346366847852</v>
      </c>
      <c r="U444">
        <v>4.2558177004489526</v>
      </c>
      <c r="V444">
        <v>0.20544021673558341</v>
      </c>
      <c r="W444">
        <v>12.09085284669105</v>
      </c>
      <c r="X444">
        <v>0.34922936645992209</v>
      </c>
      <c r="Z444" t="s">
        <v>392</v>
      </c>
      <c r="AA444">
        <v>114</v>
      </c>
      <c r="AB444" t="s">
        <v>3877</v>
      </c>
      <c r="AC444" t="str">
        <f>HYPERLINK("plots/3FT6Y578R04_015_S21P_20251218081014_M5358ACSC201811_RBGEUFRF04/dpll_52084/txpa_53283.png","plot")</f>
        <v>plot</v>
      </c>
    </row>
    <row r="445" spans="1:29" x14ac:dyDescent="0.35">
      <c r="A445" t="s">
        <v>49</v>
      </c>
      <c r="B445">
        <v>52084</v>
      </c>
      <c r="C445" t="s">
        <v>52</v>
      </c>
      <c r="D445">
        <v>53284</v>
      </c>
      <c r="E445" t="s">
        <v>159</v>
      </c>
      <c r="F445">
        <v>12028</v>
      </c>
      <c r="G445">
        <v>0.81582522056127249</v>
      </c>
      <c r="H445">
        <v>0</v>
      </c>
      <c r="I445">
        <v>0</v>
      </c>
      <c r="J445">
        <v>0.71502563160675237</v>
      </c>
      <c r="K445">
        <v>0</v>
      </c>
      <c r="L445">
        <v>0</v>
      </c>
      <c r="M445">
        <v>0.52698971857936072</v>
      </c>
      <c r="N445">
        <v>0</v>
      </c>
      <c r="O445">
        <v>0</v>
      </c>
      <c r="P445">
        <v>0.66557079050384893</v>
      </c>
      <c r="Q445">
        <v>1.4031611740283789</v>
      </c>
      <c r="R445">
        <v>6.1520839000115703</v>
      </c>
      <c r="S445">
        <v>0.20432896894637839</v>
      </c>
      <c r="T445">
        <v>0.1600566643211315</v>
      </c>
      <c r="U445">
        <v>4.2558177004489526</v>
      </c>
      <c r="V445">
        <v>0.20544021673558341</v>
      </c>
      <c r="W445">
        <v>12.123682061024279</v>
      </c>
      <c r="X445">
        <v>0.35334251558075702</v>
      </c>
      <c r="Z445" t="s">
        <v>392</v>
      </c>
      <c r="AA445">
        <v>114</v>
      </c>
      <c r="AB445" t="s">
        <v>3878</v>
      </c>
      <c r="AC445" t="str">
        <f>HYPERLINK("plots/3FT6Y578R04_015_S21P_20251218081014_M5358ACSC201811_RBGEUFRF04/dpll_52084/txpa_53284.png","plot")</f>
        <v>plot</v>
      </c>
    </row>
    <row r="446" spans="1:29" x14ac:dyDescent="0.35">
      <c r="A446" t="s">
        <v>49</v>
      </c>
      <c r="B446">
        <v>52084</v>
      </c>
      <c r="C446" t="s">
        <v>52</v>
      </c>
      <c r="D446">
        <v>53285</v>
      </c>
      <c r="E446" t="s">
        <v>160</v>
      </c>
      <c r="F446">
        <v>12028</v>
      </c>
      <c r="G446">
        <v>0.81003754403625294</v>
      </c>
      <c r="H446">
        <v>0</v>
      </c>
      <c r="I446">
        <v>0</v>
      </c>
      <c r="J446">
        <v>0.70553567539626305</v>
      </c>
      <c r="K446">
        <v>0</v>
      </c>
      <c r="L446">
        <v>0</v>
      </c>
      <c r="M446">
        <v>0.51712750840633959</v>
      </c>
      <c r="N446">
        <v>0</v>
      </c>
      <c r="O446">
        <v>0</v>
      </c>
      <c r="P446">
        <v>0.65616082274828447</v>
      </c>
      <c r="Q446">
        <v>1.364870035045221</v>
      </c>
      <c r="R446">
        <v>6.334311374043498</v>
      </c>
      <c r="S446">
        <v>0.2029697144556489</v>
      </c>
      <c r="T446">
        <v>0.15846366920896959</v>
      </c>
      <c r="U446">
        <v>4.2558177004489526</v>
      </c>
      <c r="V446">
        <v>0.20544021673558341</v>
      </c>
      <c r="W446">
        <v>12.14294942800133</v>
      </c>
      <c r="X446">
        <v>0.34615580213531999</v>
      </c>
      <c r="Z446" t="s">
        <v>392</v>
      </c>
      <c r="AA446">
        <v>114</v>
      </c>
      <c r="AB446" t="s">
        <v>3879</v>
      </c>
      <c r="AC446" t="str">
        <f>HYPERLINK("plots/3FT6Y578R04_015_S21P_20251218081014_M5358ACSC201811_RBGEUFRF04/dpll_52084/txpa_53285.png","plot")</f>
        <v>plot</v>
      </c>
    </row>
    <row r="447" spans="1:29" x14ac:dyDescent="0.35">
      <c r="A447" t="s">
        <v>49</v>
      </c>
      <c r="B447">
        <v>52084</v>
      </c>
      <c r="C447" t="s">
        <v>52</v>
      </c>
      <c r="D447">
        <v>53286</v>
      </c>
      <c r="E447" t="s">
        <v>161</v>
      </c>
      <c r="F447">
        <v>12027</v>
      </c>
      <c r="G447">
        <v>0.82027605121118652</v>
      </c>
      <c r="H447">
        <v>0</v>
      </c>
      <c r="I447">
        <v>0</v>
      </c>
      <c r="J447">
        <v>0.71597818311947681</v>
      </c>
      <c r="K447">
        <v>0</v>
      </c>
      <c r="L447">
        <v>0</v>
      </c>
      <c r="M447">
        <v>0.52774783885239651</v>
      </c>
      <c r="N447">
        <v>0</v>
      </c>
      <c r="O447">
        <v>0</v>
      </c>
      <c r="P447">
        <v>0.67285280019061711</v>
      </c>
      <c r="Q447">
        <v>1.4033814537613241</v>
      </c>
      <c r="R447">
        <v>6.1724015623748683</v>
      </c>
      <c r="S447">
        <v>0.20103406720867251</v>
      </c>
      <c r="T447">
        <v>0.1580681387555174</v>
      </c>
      <c r="U447">
        <v>4.2558247893905383</v>
      </c>
      <c r="V447">
        <v>0.20544728689892131</v>
      </c>
      <c r="W447">
        <v>12.14494714226324</v>
      </c>
      <c r="X447">
        <v>0.35149253929065088</v>
      </c>
      <c r="Z447" t="s">
        <v>392</v>
      </c>
      <c r="AA447">
        <v>114</v>
      </c>
      <c r="AB447" t="s">
        <v>3880</v>
      </c>
      <c r="AC447" t="str">
        <f>HYPERLINK("plots/3FT6Y578R04_015_S21P_20251218081014_M5358ACSC201811_RBGEUFRF04/dpll_52084/txpa_53286.png","plot")</f>
        <v>plot</v>
      </c>
    </row>
    <row r="448" spans="1:29" x14ac:dyDescent="0.35">
      <c r="A448" t="s">
        <v>49</v>
      </c>
      <c r="B448">
        <v>52084</v>
      </c>
      <c r="C448" t="s">
        <v>52</v>
      </c>
      <c r="D448">
        <v>53287</v>
      </c>
      <c r="E448" t="s">
        <v>162</v>
      </c>
      <c r="F448">
        <v>12027</v>
      </c>
      <c r="G448">
        <v>0.82039432689806191</v>
      </c>
      <c r="H448">
        <v>0</v>
      </c>
      <c r="I448">
        <v>0</v>
      </c>
      <c r="J448">
        <v>0.71190335254848791</v>
      </c>
      <c r="K448">
        <v>0</v>
      </c>
      <c r="L448">
        <v>0</v>
      </c>
      <c r="M448">
        <v>0.52233259891554795</v>
      </c>
      <c r="N448">
        <v>0</v>
      </c>
      <c r="O448">
        <v>0</v>
      </c>
      <c r="P448">
        <v>0.67304685160652411</v>
      </c>
      <c r="Q448">
        <v>1.4000361194615289</v>
      </c>
      <c r="R448">
        <v>6.1683962887991157</v>
      </c>
      <c r="S448">
        <v>0.20044926110828179</v>
      </c>
      <c r="T448">
        <v>0.15796024701366901</v>
      </c>
      <c r="U448">
        <v>4.2557921641307059</v>
      </c>
      <c r="V448">
        <v>0.20542966688110781</v>
      </c>
      <c r="W448">
        <v>12.126659035503449</v>
      </c>
      <c r="X448">
        <v>0.35057404008382143</v>
      </c>
      <c r="Z448" t="s">
        <v>392</v>
      </c>
      <c r="AA448">
        <v>114</v>
      </c>
      <c r="AB448" t="s">
        <v>3881</v>
      </c>
      <c r="AC448" t="str">
        <f>HYPERLINK("plots/3FT6Y578R04_015_S21P_20251218081014_M5358ACSC201811_RBGEUFRF04/dpll_52084/txpa_53287.png","plot")</f>
        <v>plot</v>
      </c>
    </row>
    <row r="449" spans="1:29" x14ac:dyDescent="0.35">
      <c r="A449" t="s">
        <v>49</v>
      </c>
      <c r="B449">
        <v>52084</v>
      </c>
      <c r="C449" t="s">
        <v>52</v>
      </c>
      <c r="D449">
        <v>53288</v>
      </c>
      <c r="E449" t="s">
        <v>163</v>
      </c>
      <c r="F449">
        <v>12027</v>
      </c>
      <c r="G449">
        <v>0.82405408435230876</v>
      </c>
      <c r="H449">
        <v>0</v>
      </c>
      <c r="I449">
        <v>0</v>
      </c>
      <c r="J449">
        <v>0.72486282969680182</v>
      </c>
      <c r="K449">
        <v>0</v>
      </c>
      <c r="L449">
        <v>0</v>
      </c>
      <c r="M449">
        <v>0.53556891675903706</v>
      </c>
      <c r="N449">
        <v>0</v>
      </c>
      <c r="O449">
        <v>0</v>
      </c>
      <c r="P449">
        <v>0.67906513393772194</v>
      </c>
      <c r="Q449">
        <v>1.412132942875036</v>
      </c>
      <c r="R449">
        <v>6.1288486161159756</v>
      </c>
      <c r="S449">
        <v>0.1994159333646861</v>
      </c>
      <c r="T449">
        <v>0.15687945339262821</v>
      </c>
      <c r="U449">
        <v>4.2557881821734433</v>
      </c>
      <c r="V449">
        <v>0.20542324838451659</v>
      </c>
      <c r="W449">
        <v>12.13858730606136</v>
      </c>
      <c r="X449">
        <v>0.35202172015709188</v>
      </c>
      <c r="Z449" t="s">
        <v>392</v>
      </c>
      <c r="AA449">
        <v>114</v>
      </c>
      <c r="AB449" t="s">
        <v>3882</v>
      </c>
      <c r="AC449" t="str">
        <f>HYPERLINK("plots/3FT6Y578R04_015_S21P_20251218081014_M5358ACSC201811_RBGEUFRF04/dpll_52084/txpa_53288.png","plot")</f>
        <v>plot</v>
      </c>
    </row>
    <row r="450" spans="1:29" x14ac:dyDescent="0.35">
      <c r="A450" t="s">
        <v>49</v>
      </c>
      <c r="B450">
        <v>52084</v>
      </c>
      <c r="C450" t="s">
        <v>52</v>
      </c>
      <c r="D450">
        <v>53289</v>
      </c>
      <c r="E450" t="s">
        <v>164</v>
      </c>
      <c r="F450">
        <v>12028</v>
      </c>
      <c r="G450">
        <v>0.82232614185889907</v>
      </c>
      <c r="H450">
        <v>0</v>
      </c>
      <c r="I450">
        <v>0</v>
      </c>
      <c r="J450">
        <v>0.71771888693723263</v>
      </c>
      <c r="K450">
        <v>0</v>
      </c>
      <c r="L450">
        <v>0</v>
      </c>
      <c r="M450">
        <v>0.52909772894225682</v>
      </c>
      <c r="N450">
        <v>0</v>
      </c>
      <c r="O450">
        <v>0</v>
      </c>
      <c r="P450">
        <v>0.67622028358454223</v>
      </c>
      <c r="Q450">
        <v>1.3947215680091021</v>
      </c>
      <c r="R450">
        <v>6.211376018740447</v>
      </c>
      <c r="S450">
        <v>0.1982602500773045</v>
      </c>
      <c r="T450">
        <v>0.15590517698060541</v>
      </c>
      <c r="U450">
        <v>4.2558177004489526</v>
      </c>
      <c r="V450">
        <v>0.20544021673558341</v>
      </c>
      <c r="W450">
        <v>12.1470567550715</v>
      </c>
      <c r="X450">
        <v>0.34844070573977698</v>
      </c>
      <c r="Z450" t="s">
        <v>392</v>
      </c>
      <c r="AA450">
        <v>114</v>
      </c>
      <c r="AB450" t="s">
        <v>3883</v>
      </c>
      <c r="AC450" t="str">
        <f>HYPERLINK("plots/3FT6Y578R04_015_S21P_20251218081014_M5358ACSC201811_RBGEUFRF04/dpll_52084/txpa_53289.png","plot")</f>
        <v>plot</v>
      </c>
    </row>
    <row r="451" spans="1:29" x14ac:dyDescent="0.35">
      <c r="A451" t="s">
        <v>49</v>
      </c>
      <c r="B451">
        <v>52084</v>
      </c>
      <c r="C451" t="s">
        <v>52</v>
      </c>
      <c r="D451">
        <v>53290</v>
      </c>
      <c r="E451" t="s">
        <v>165</v>
      </c>
      <c r="F451">
        <v>12027</v>
      </c>
      <c r="G451">
        <v>0.81597376391899523</v>
      </c>
      <c r="H451">
        <v>0</v>
      </c>
      <c r="I451">
        <v>0</v>
      </c>
      <c r="J451">
        <v>0.71112858527813161</v>
      </c>
      <c r="K451">
        <v>0</v>
      </c>
      <c r="L451">
        <v>0</v>
      </c>
      <c r="M451">
        <v>0.52330777389132421</v>
      </c>
      <c r="N451">
        <v>0</v>
      </c>
      <c r="O451">
        <v>0</v>
      </c>
      <c r="P451">
        <v>0.6658131834041322</v>
      </c>
      <c r="Q451">
        <v>1.381086629472686</v>
      </c>
      <c r="R451">
        <v>6.2299626367254382</v>
      </c>
      <c r="S451">
        <v>0.20099884831669471</v>
      </c>
      <c r="T451">
        <v>0.15708342621617091</v>
      </c>
      <c r="U451">
        <v>4.2558401814251274</v>
      </c>
      <c r="V451">
        <v>0.20543396214013371</v>
      </c>
      <c r="W451">
        <v>12.10764660846429</v>
      </c>
      <c r="X451">
        <v>0.3477098295276842</v>
      </c>
      <c r="Z451" t="s">
        <v>392</v>
      </c>
      <c r="AA451">
        <v>114</v>
      </c>
      <c r="AB451" t="s">
        <v>3884</v>
      </c>
      <c r="AC451" t="str">
        <f>HYPERLINK("plots/3FT6Y578R04_015_S21P_20251218081014_M5358ACSC201811_RBGEUFRF04/dpll_52084/txpa_53290.png","plot")</f>
        <v>plot</v>
      </c>
    </row>
    <row r="452" spans="1:29" x14ac:dyDescent="0.35">
      <c r="A452" t="s">
        <v>49</v>
      </c>
      <c r="B452">
        <v>52084</v>
      </c>
      <c r="C452" t="s">
        <v>52</v>
      </c>
      <c r="D452">
        <v>54146</v>
      </c>
      <c r="E452" t="s">
        <v>166</v>
      </c>
      <c r="F452">
        <v>12028</v>
      </c>
      <c r="G452">
        <v>-6.4991075819399134E-3</v>
      </c>
      <c r="H452">
        <v>0.47602824257400478</v>
      </c>
      <c r="I452">
        <v>0.47696900985181911</v>
      </c>
      <c r="J452">
        <v>-1.045105109166693E-2</v>
      </c>
      <c r="K452">
        <v>0.25175280659475879</v>
      </c>
      <c r="L452">
        <v>0.25300034280186862</v>
      </c>
      <c r="M452">
        <v>-6.8979242333460826E-3</v>
      </c>
      <c r="N452">
        <v>0.2565505548019652</v>
      </c>
      <c r="O452">
        <v>0.25782186577719801</v>
      </c>
      <c r="P452">
        <v>4.2238399361628868E-5</v>
      </c>
      <c r="Q452">
        <v>-0.13855235410607861</v>
      </c>
      <c r="R452">
        <v>-11.295711490918571</v>
      </c>
      <c r="S452">
        <v>4.3794383923977431</v>
      </c>
      <c r="T452">
        <v>3.375967609581255</v>
      </c>
      <c r="U452">
        <v>4.2558177004489526</v>
      </c>
      <c r="V452">
        <v>0.20544021673558341</v>
      </c>
      <c r="W452">
        <v>-11.88536505196209</v>
      </c>
      <c r="X452">
        <v>4.3797129525715333</v>
      </c>
      <c r="Z452" t="s">
        <v>392</v>
      </c>
      <c r="AA452">
        <v>114</v>
      </c>
      <c r="AB452" t="s">
        <v>3885</v>
      </c>
      <c r="AC452" t="str">
        <f>HYPERLINK("plots/3FT6Y578R04_015_S21P_20251218081014_M5358ACSC201811_RBGEUFRF04/dpll_52084/txpa_54146.png","plot")</f>
        <v>plot</v>
      </c>
    </row>
    <row r="453" spans="1:29" x14ac:dyDescent="0.35">
      <c r="A453" t="s">
        <v>49</v>
      </c>
      <c r="B453">
        <v>52084</v>
      </c>
      <c r="C453" t="s">
        <v>52</v>
      </c>
      <c r="D453">
        <v>54147</v>
      </c>
      <c r="E453" t="s">
        <v>167</v>
      </c>
      <c r="F453">
        <v>12028</v>
      </c>
      <c r="G453">
        <v>0.25705150220198558</v>
      </c>
      <c r="H453">
        <v>8.6313022755622847E-181</v>
      </c>
      <c r="I453">
        <v>8.8138373690031784E-181</v>
      </c>
      <c r="J453">
        <v>0.2431648164958948</v>
      </c>
      <c r="K453">
        <v>2.048467493613025E-161</v>
      </c>
      <c r="L453">
        <v>2.093897216253637E-161</v>
      </c>
      <c r="M453">
        <v>0.16445431806109451</v>
      </c>
      <c r="N453">
        <v>9.7538730228104227E-161</v>
      </c>
      <c r="O453">
        <v>9.9701887551711375E-161</v>
      </c>
      <c r="P453">
        <v>6.6075474784297428E-2</v>
      </c>
      <c r="Q453">
        <v>1.4788430835169051</v>
      </c>
      <c r="R453">
        <v>-27.556654601446748</v>
      </c>
      <c r="S453">
        <v>1.142155535062666</v>
      </c>
      <c r="T453">
        <v>0.88161360417296242</v>
      </c>
      <c r="U453">
        <v>4.2558177004489526</v>
      </c>
      <c r="V453">
        <v>0.20544021673558341</v>
      </c>
      <c r="W453">
        <v>-21.262968030429001</v>
      </c>
      <c r="X453">
        <v>1.1819181797930169</v>
      </c>
      <c r="Z453" t="s">
        <v>392</v>
      </c>
      <c r="AA453">
        <v>114</v>
      </c>
      <c r="AB453" t="s">
        <v>3886</v>
      </c>
      <c r="AC453" t="str">
        <f>HYPERLINK("plots/3FT6Y578R04_015_S21P_20251218081014_M5358ACSC201811_RBGEUFRF04/dpll_52084/txpa_54147.png","plot")</f>
        <v>plot</v>
      </c>
    </row>
    <row r="454" spans="1:29" x14ac:dyDescent="0.35">
      <c r="A454" t="s">
        <v>49</v>
      </c>
      <c r="B454">
        <v>52084</v>
      </c>
      <c r="C454" t="s">
        <v>52</v>
      </c>
      <c r="D454">
        <v>54148</v>
      </c>
      <c r="E454" t="s">
        <v>168</v>
      </c>
      <c r="F454">
        <v>12028</v>
      </c>
      <c r="G454">
        <v>0.2836610281022206</v>
      </c>
      <c r="H454">
        <v>2.2318672593125928E-221</v>
      </c>
      <c r="I454">
        <v>2.3500658369085871E-221</v>
      </c>
      <c r="J454">
        <v>0.2611474365676385</v>
      </c>
      <c r="K454">
        <v>9.7179699480787849E-187</v>
      </c>
      <c r="L454">
        <v>1.013788222978589E-186</v>
      </c>
      <c r="M454">
        <v>0.17625899479871099</v>
      </c>
      <c r="N454">
        <v>2.016720555132006E-184</v>
      </c>
      <c r="O454">
        <v>2.09954275452141E-184</v>
      </c>
      <c r="P454">
        <v>8.0463578864008789E-2</v>
      </c>
      <c r="Q454">
        <v>1.610181659253221</v>
      </c>
      <c r="R454">
        <v>-28.01488749049188</v>
      </c>
      <c r="S454">
        <v>1.1182195504001811</v>
      </c>
      <c r="T454">
        <v>0.86258814018261998</v>
      </c>
      <c r="U454">
        <v>4.2558177004489526</v>
      </c>
      <c r="V454">
        <v>0.20544021673558341</v>
      </c>
      <c r="W454">
        <v>-21.16224788410376</v>
      </c>
      <c r="X454">
        <v>1.1661667846082711</v>
      </c>
      <c r="Z454" t="s">
        <v>392</v>
      </c>
      <c r="AA454">
        <v>114</v>
      </c>
      <c r="AB454" t="s">
        <v>3887</v>
      </c>
      <c r="AC454" t="str">
        <f>HYPERLINK("plots/3FT6Y578R04_015_S21P_20251218081014_M5358ACSC201811_RBGEUFRF04/dpll_52084/txpa_54148.png","plot")</f>
        <v>plot</v>
      </c>
    </row>
    <row r="455" spans="1:29" x14ac:dyDescent="0.35">
      <c r="A455" t="s">
        <v>49</v>
      </c>
      <c r="B455">
        <v>52084</v>
      </c>
      <c r="C455" t="s">
        <v>52</v>
      </c>
      <c r="D455">
        <v>54149</v>
      </c>
      <c r="E455" t="s">
        <v>169</v>
      </c>
      <c r="F455">
        <v>12028</v>
      </c>
      <c r="G455">
        <v>0.26448147340820738</v>
      </c>
      <c r="H455">
        <v>1.16438860955334E-191</v>
      </c>
      <c r="I455">
        <v>1.204785765394986E-191</v>
      </c>
      <c r="J455">
        <v>0.24905439227924581</v>
      </c>
      <c r="K455">
        <v>1.7478086429903531E-169</v>
      </c>
      <c r="L455">
        <v>1.7974421541503229E-169</v>
      </c>
      <c r="M455">
        <v>0.16811150615347359</v>
      </c>
      <c r="N455">
        <v>7.0371248287201228E-168</v>
      </c>
      <c r="O455">
        <v>7.2443092145403093E-168</v>
      </c>
      <c r="P455">
        <v>6.9950449776176302E-2</v>
      </c>
      <c r="Q455">
        <v>1.525078486416259</v>
      </c>
      <c r="R455">
        <v>-27.686077930931859</v>
      </c>
      <c r="S455">
        <v>1.1423978916766691</v>
      </c>
      <c r="T455">
        <v>0.87912321995120812</v>
      </c>
      <c r="U455">
        <v>4.2558177004489526</v>
      </c>
      <c r="V455">
        <v>0.20544021673558341</v>
      </c>
      <c r="W455">
        <v>-21.19562191386764</v>
      </c>
      <c r="X455">
        <v>1.1846291188213309</v>
      </c>
      <c r="Z455" t="s">
        <v>392</v>
      </c>
      <c r="AA455">
        <v>114</v>
      </c>
      <c r="AB455" t="s">
        <v>3888</v>
      </c>
      <c r="AC455" t="str">
        <f>HYPERLINK("plots/3FT6Y578R04_015_S21P_20251218081014_M5358ACSC201811_RBGEUFRF04/dpll_52084/txpa_54149.png","plot")</f>
        <v>plot</v>
      </c>
    </row>
    <row r="456" spans="1:29" x14ac:dyDescent="0.35">
      <c r="A456" t="s">
        <v>49</v>
      </c>
      <c r="B456">
        <v>52084</v>
      </c>
      <c r="C456" t="s">
        <v>52</v>
      </c>
      <c r="D456">
        <v>54150</v>
      </c>
      <c r="E456" t="s">
        <v>170</v>
      </c>
      <c r="F456">
        <v>12028</v>
      </c>
      <c r="G456">
        <v>0.27777375127039122</v>
      </c>
      <c r="H456">
        <v>5.3430278445309129E-212</v>
      </c>
      <c r="I456">
        <v>5.5911560726051049E-212</v>
      </c>
      <c r="J456">
        <v>0.26127416416579158</v>
      </c>
      <c r="K456">
        <v>6.3360111242588836E-187</v>
      </c>
      <c r="L456">
        <v>6.6234178144314518E-187</v>
      </c>
      <c r="M456">
        <v>0.17660824010231951</v>
      </c>
      <c r="N456">
        <v>3.3389726562254168E-185</v>
      </c>
      <c r="O456">
        <v>3.4868365328656777E-185</v>
      </c>
      <c r="P456">
        <v>7.7158256894825167E-2</v>
      </c>
      <c r="Q456">
        <v>1.5802811332220701</v>
      </c>
      <c r="R456">
        <v>-27.788874131787569</v>
      </c>
      <c r="S456">
        <v>1.122727025987126</v>
      </c>
      <c r="T456">
        <v>0.85459766726587338</v>
      </c>
      <c r="U456">
        <v>4.2558177004489526</v>
      </c>
      <c r="V456">
        <v>0.20544021673558341</v>
      </c>
      <c r="W456">
        <v>-21.063485713335549</v>
      </c>
      <c r="X456">
        <v>1.168768816446845</v>
      </c>
      <c r="Z456" t="s">
        <v>392</v>
      </c>
      <c r="AA456">
        <v>114</v>
      </c>
      <c r="AB456" t="s">
        <v>3889</v>
      </c>
      <c r="AC456" t="str">
        <f>HYPERLINK("plots/3FT6Y578R04_015_S21P_20251218081014_M5358ACSC201811_RBGEUFRF04/dpll_52084/txpa_54150.png","plot")</f>
        <v>plot</v>
      </c>
    </row>
    <row r="457" spans="1:29" x14ac:dyDescent="0.35">
      <c r="A457" t="s">
        <v>49</v>
      </c>
      <c r="B457">
        <v>52084</v>
      </c>
      <c r="C457" t="s">
        <v>52</v>
      </c>
      <c r="D457">
        <v>54151</v>
      </c>
      <c r="E457" t="s">
        <v>171</v>
      </c>
      <c r="F457">
        <v>12028</v>
      </c>
      <c r="G457">
        <v>0.26798435446304958</v>
      </c>
      <c r="H457">
        <v>6.5779518807531306E-197</v>
      </c>
      <c r="I457">
        <v>6.8270657186117441E-197</v>
      </c>
      <c r="J457">
        <v>0.26055781016068541</v>
      </c>
      <c r="K457">
        <v>7.0877000941682128E-186</v>
      </c>
      <c r="L457">
        <v>7.3863596048166153E-186</v>
      </c>
      <c r="M457">
        <v>0.1766437134352041</v>
      </c>
      <c r="N457">
        <v>3.0821164610431248E-185</v>
      </c>
      <c r="O457">
        <v>3.2219238056677618E-185</v>
      </c>
      <c r="P457">
        <v>7.1815614236977396E-2</v>
      </c>
      <c r="Q457">
        <v>1.513994297895696</v>
      </c>
      <c r="R457">
        <v>-27.556992150884401</v>
      </c>
      <c r="S457">
        <v>1.1181481235497941</v>
      </c>
      <c r="T457">
        <v>0.85724619684860692</v>
      </c>
      <c r="U457">
        <v>4.2558177004489526</v>
      </c>
      <c r="V457">
        <v>0.20544021673558341</v>
      </c>
      <c r="W457">
        <v>-21.113708419521121</v>
      </c>
      <c r="X457">
        <v>1.1606472971877011</v>
      </c>
      <c r="Z457" t="s">
        <v>392</v>
      </c>
      <c r="AA457">
        <v>114</v>
      </c>
      <c r="AB457" t="s">
        <v>3890</v>
      </c>
      <c r="AC457" t="str">
        <f>HYPERLINK("plots/3FT6Y578R04_015_S21P_20251218081014_M5358ACSC201811_RBGEUFRF04/dpll_52084/txpa_54151.png","plot")</f>
        <v>plot</v>
      </c>
    </row>
    <row r="458" spans="1:29" x14ac:dyDescent="0.35">
      <c r="A458" t="s">
        <v>49</v>
      </c>
      <c r="B458">
        <v>52084</v>
      </c>
      <c r="C458" t="s">
        <v>52</v>
      </c>
      <c r="D458">
        <v>54152</v>
      </c>
      <c r="E458" t="s">
        <v>172</v>
      </c>
      <c r="F458">
        <v>12028</v>
      </c>
      <c r="G458">
        <v>0.27886649280138892</v>
      </c>
      <c r="H458">
        <v>1.009910266577065E-213</v>
      </c>
      <c r="I458">
        <v>1.0589958741563011E-213</v>
      </c>
      <c r="J458">
        <v>0.26463851978294128</v>
      </c>
      <c r="K458">
        <v>6.8000260052736777E-192</v>
      </c>
      <c r="L458">
        <v>7.1900170691840563E-192</v>
      </c>
      <c r="M458">
        <v>0.17938797355778349</v>
      </c>
      <c r="N458">
        <v>5.9418221111647555E-191</v>
      </c>
      <c r="O458">
        <v>6.2760496049177723E-191</v>
      </c>
      <c r="P458">
        <v>7.776652080734707E-2</v>
      </c>
      <c r="Q458">
        <v>1.5804982813130799</v>
      </c>
      <c r="R458">
        <v>-27.87545471777587</v>
      </c>
      <c r="S458">
        <v>1.118112610179282</v>
      </c>
      <c r="T458">
        <v>0.86025434426562908</v>
      </c>
      <c r="U458">
        <v>4.2558177004489526</v>
      </c>
      <c r="V458">
        <v>0.20544021673558341</v>
      </c>
      <c r="W458">
        <v>-21.149142156634522</v>
      </c>
      <c r="X458">
        <v>1.164348954947517</v>
      </c>
      <c r="Z458" t="s">
        <v>392</v>
      </c>
      <c r="AA458">
        <v>114</v>
      </c>
      <c r="AB458" t="s">
        <v>3891</v>
      </c>
      <c r="AC458" t="str">
        <f>HYPERLINK("plots/3FT6Y578R04_015_S21P_20251218081014_M5358ACSC201811_RBGEUFRF04/dpll_52084/txpa_54152.png","plot")</f>
        <v>plot</v>
      </c>
    </row>
    <row r="459" spans="1:29" x14ac:dyDescent="0.35">
      <c r="A459" t="s">
        <v>49</v>
      </c>
      <c r="B459">
        <v>52084</v>
      </c>
      <c r="C459" t="s">
        <v>52</v>
      </c>
      <c r="D459">
        <v>54153</v>
      </c>
      <c r="E459" t="s">
        <v>173</v>
      </c>
      <c r="F459">
        <v>12028</v>
      </c>
      <c r="G459">
        <v>0.26061639512015972</v>
      </c>
      <c r="H459">
        <v>5.8192215566999694E-186</v>
      </c>
      <c r="I459">
        <v>5.9663201804790383E-186</v>
      </c>
      <c r="J459">
        <v>0.24957204191576321</v>
      </c>
      <c r="K459">
        <v>3.3333401950627311E-170</v>
      </c>
      <c r="L459">
        <v>3.4349664205219613E-170</v>
      </c>
      <c r="M459">
        <v>0.16805228384971199</v>
      </c>
      <c r="N459">
        <v>7.6368573225582688E-168</v>
      </c>
      <c r="O459">
        <v>7.8537254818195587E-168</v>
      </c>
      <c r="P459">
        <v>6.7920905405427182E-2</v>
      </c>
      <c r="Q459">
        <v>1.4835388278454531</v>
      </c>
      <c r="R459">
        <v>-27.484058960480159</v>
      </c>
      <c r="S459">
        <v>1.12899229522138</v>
      </c>
      <c r="T459">
        <v>0.86773453452866478</v>
      </c>
      <c r="U459">
        <v>4.2558177004489526</v>
      </c>
      <c r="V459">
        <v>0.20544021673558341</v>
      </c>
      <c r="W459">
        <v>-21.170388157632189</v>
      </c>
      <c r="X459">
        <v>1.16945266696557</v>
      </c>
      <c r="Z459" t="s">
        <v>392</v>
      </c>
      <c r="AA459">
        <v>114</v>
      </c>
      <c r="AB459" t="s">
        <v>3892</v>
      </c>
      <c r="AC459" t="str">
        <f>HYPERLINK("plots/3FT6Y578R04_015_S21P_20251218081014_M5358ACSC201811_RBGEUFRF04/dpll_52084/txpa_54153.png","plot")</f>
        <v>plot</v>
      </c>
    </row>
    <row r="460" spans="1:29" x14ac:dyDescent="0.35">
      <c r="A460" t="s">
        <v>49</v>
      </c>
      <c r="B460">
        <v>52084</v>
      </c>
      <c r="C460" t="s">
        <v>52</v>
      </c>
      <c r="D460">
        <v>54154</v>
      </c>
      <c r="E460" t="s">
        <v>174</v>
      </c>
      <c r="F460">
        <v>12028</v>
      </c>
      <c r="G460">
        <v>0.2317323750215784</v>
      </c>
      <c r="H460">
        <v>2.280125519006733E-146</v>
      </c>
      <c r="I460">
        <v>2.2936976947151061E-146</v>
      </c>
      <c r="J460">
        <v>0.21641123093076159</v>
      </c>
      <c r="K460">
        <v>1.848396437403381E-127</v>
      </c>
      <c r="L460">
        <v>1.8612452706326E-127</v>
      </c>
      <c r="M460">
        <v>0.1462023695622951</v>
      </c>
      <c r="N460">
        <v>1.9010868846255668E-127</v>
      </c>
      <c r="O460">
        <v>1.9143019871006211E-127</v>
      </c>
      <c r="P460">
        <v>5.3699893633141448E-2</v>
      </c>
      <c r="Q460">
        <v>1.340992457540648</v>
      </c>
      <c r="R460">
        <v>-27.00654374109374</v>
      </c>
      <c r="S460">
        <v>1.156435665435074</v>
      </c>
      <c r="T460">
        <v>0.89674340660056273</v>
      </c>
      <c r="U460">
        <v>4.2558177004489526</v>
      </c>
      <c r="V460">
        <v>0.20544021673558341</v>
      </c>
      <c r="W460">
        <v>-21.299524304123711</v>
      </c>
      <c r="X460">
        <v>1.1888445932178451</v>
      </c>
      <c r="Z460" t="s">
        <v>392</v>
      </c>
      <c r="AA460">
        <v>114</v>
      </c>
      <c r="AB460" t="s">
        <v>3893</v>
      </c>
      <c r="AC460" t="str">
        <f>HYPERLINK("plots/3FT6Y578R04_015_S21P_20251218081014_M5358ACSC201811_RBGEUFRF04/dpll_52084/txpa_54154.png","plot")</f>
        <v>plot</v>
      </c>
    </row>
    <row r="461" spans="1:29" x14ac:dyDescent="0.35">
      <c r="A461" t="s">
        <v>49</v>
      </c>
      <c r="B461">
        <v>52084</v>
      </c>
      <c r="C461" t="s">
        <v>52</v>
      </c>
      <c r="D461">
        <v>54155</v>
      </c>
      <c r="E461" t="s">
        <v>175</v>
      </c>
      <c r="F461">
        <v>12028</v>
      </c>
      <c r="G461">
        <v>0.52460228094251693</v>
      </c>
      <c r="H461">
        <v>0</v>
      </c>
      <c r="I461">
        <v>0</v>
      </c>
      <c r="J461">
        <v>0.46265889516331982</v>
      </c>
      <c r="K461">
        <v>0</v>
      </c>
      <c r="L461">
        <v>0</v>
      </c>
      <c r="M461">
        <v>0.31964002287596482</v>
      </c>
      <c r="N461">
        <v>0</v>
      </c>
      <c r="O461">
        <v>0</v>
      </c>
      <c r="P461">
        <v>0.27520755317009138</v>
      </c>
      <c r="Q461">
        <v>0.83649529456494809</v>
      </c>
      <c r="R461">
        <v>-15.1415078776927</v>
      </c>
      <c r="S461">
        <v>0.27887370561413971</v>
      </c>
      <c r="T461">
        <v>0.21663360045152971</v>
      </c>
      <c r="U461">
        <v>4.2558177004489526</v>
      </c>
      <c r="V461">
        <v>0.20544021673558341</v>
      </c>
      <c r="W461">
        <v>-11.58153639674094</v>
      </c>
      <c r="X461">
        <v>0.32758106637464079</v>
      </c>
      <c r="Z461" t="s">
        <v>392</v>
      </c>
      <c r="AA461">
        <v>114</v>
      </c>
      <c r="AB461" t="s">
        <v>3894</v>
      </c>
      <c r="AC461" t="str">
        <f>HYPERLINK("plots/3FT6Y578R04_015_S21P_20251218081014_M5358ACSC201811_RBGEUFRF04/dpll_52084/txpa_54155.png","plot")</f>
        <v>plot</v>
      </c>
    </row>
    <row r="462" spans="1:29" x14ac:dyDescent="0.35">
      <c r="A462" t="s">
        <v>49</v>
      </c>
      <c r="B462">
        <v>52084</v>
      </c>
      <c r="C462" t="s">
        <v>52</v>
      </c>
      <c r="D462">
        <v>54156</v>
      </c>
      <c r="E462" t="s">
        <v>176</v>
      </c>
      <c r="F462">
        <v>12028</v>
      </c>
      <c r="G462">
        <v>0.55395476649895403</v>
      </c>
      <c r="H462">
        <v>0</v>
      </c>
      <c r="I462">
        <v>0</v>
      </c>
      <c r="J462">
        <v>0.48256579449281978</v>
      </c>
      <c r="K462">
        <v>0</v>
      </c>
      <c r="L462">
        <v>0</v>
      </c>
      <c r="M462">
        <v>0.33573904947370692</v>
      </c>
      <c r="N462">
        <v>0</v>
      </c>
      <c r="O462">
        <v>0</v>
      </c>
      <c r="P462">
        <v>0.30686588332691073</v>
      </c>
      <c r="Q462">
        <v>0.88486636758787285</v>
      </c>
      <c r="R462">
        <v>-15.2848033010593</v>
      </c>
      <c r="S462">
        <v>0.27319920620264498</v>
      </c>
      <c r="T462">
        <v>0.21337955668858369</v>
      </c>
      <c r="U462">
        <v>4.2558177004489526</v>
      </c>
      <c r="V462">
        <v>0.20544021673558341</v>
      </c>
      <c r="W462">
        <v>-11.51897335134686</v>
      </c>
      <c r="X462">
        <v>0.32816242287830261</v>
      </c>
      <c r="Z462" t="s">
        <v>392</v>
      </c>
      <c r="AA462">
        <v>114</v>
      </c>
      <c r="AB462" t="s">
        <v>3895</v>
      </c>
      <c r="AC462" t="str">
        <f>HYPERLINK("plots/3FT6Y578R04_015_S21P_20251218081014_M5358ACSC201811_RBGEUFRF04/dpll_52084/txpa_54156.png","plot")</f>
        <v>plot</v>
      </c>
    </row>
    <row r="463" spans="1:29" x14ac:dyDescent="0.35">
      <c r="A463" t="s">
        <v>49</v>
      </c>
      <c r="B463">
        <v>52084</v>
      </c>
      <c r="C463" t="s">
        <v>52</v>
      </c>
      <c r="D463">
        <v>54157</v>
      </c>
      <c r="E463" t="s">
        <v>177</v>
      </c>
      <c r="F463">
        <v>12028</v>
      </c>
      <c r="G463">
        <v>0.54660108965078058</v>
      </c>
      <c r="H463">
        <v>0</v>
      </c>
      <c r="I463">
        <v>0</v>
      </c>
      <c r="J463">
        <v>0.47827937194117631</v>
      </c>
      <c r="K463">
        <v>0</v>
      </c>
      <c r="L463">
        <v>0</v>
      </c>
      <c r="M463">
        <v>0.33212039040755698</v>
      </c>
      <c r="N463">
        <v>0</v>
      </c>
      <c r="O463">
        <v>0</v>
      </c>
      <c r="P463">
        <v>0.29877275120742069</v>
      </c>
      <c r="Q463">
        <v>0.85440380738171162</v>
      </c>
      <c r="R463">
        <v>-15.149824171362051</v>
      </c>
      <c r="S463">
        <v>0.26889918388480288</v>
      </c>
      <c r="T463">
        <v>0.21015017464010341</v>
      </c>
      <c r="U463">
        <v>4.2558177004489526</v>
      </c>
      <c r="V463">
        <v>0.20544021673558341</v>
      </c>
      <c r="W463">
        <v>-11.51363732457599</v>
      </c>
      <c r="X463">
        <v>0.32112797923683389</v>
      </c>
      <c r="Z463" t="s">
        <v>392</v>
      </c>
      <c r="AA463">
        <v>114</v>
      </c>
      <c r="AB463" t="s">
        <v>3896</v>
      </c>
      <c r="AC463" t="str">
        <f>HYPERLINK("plots/3FT6Y578R04_015_S21P_20251218081014_M5358ACSC201811_RBGEUFRF04/dpll_52084/txpa_54157.png","plot")</f>
        <v>plot</v>
      </c>
    </row>
    <row r="464" spans="1:29" x14ac:dyDescent="0.35">
      <c r="A464" t="s">
        <v>49</v>
      </c>
      <c r="B464">
        <v>52084</v>
      </c>
      <c r="C464" t="s">
        <v>52</v>
      </c>
      <c r="D464">
        <v>54158</v>
      </c>
      <c r="E464" t="s">
        <v>178</v>
      </c>
      <c r="F464">
        <v>12028</v>
      </c>
      <c r="G464">
        <v>0.57371374228613981</v>
      </c>
      <c r="H464">
        <v>0</v>
      </c>
      <c r="I464">
        <v>0</v>
      </c>
      <c r="J464">
        <v>0.49753809227746698</v>
      </c>
      <c r="K464">
        <v>0</v>
      </c>
      <c r="L464">
        <v>0</v>
      </c>
      <c r="M464">
        <v>0.34651057809601798</v>
      </c>
      <c r="N464">
        <v>0</v>
      </c>
      <c r="O464">
        <v>0</v>
      </c>
      <c r="P464">
        <v>0.32914745808796719</v>
      </c>
      <c r="Q464">
        <v>0.92114770158476877</v>
      </c>
      <c r="R464">
        <v>-15.38375573453572</v>
      </c>
      <c r="S464">
        <v>0.27015621636899129</v>
      </c>
      <c r="T464">
        <v>0.2112852274632985</v>
      </c>
      <c r="U464">
        <v>4.2558177004489526</v>
      </c>
      <c r="V464">
        <v>0.20544021673558341</v>
      </c>
      <c r="W464">
        <v>-11.463519041403391</v>
      </c>
      <c r="X464">
        <v>0.3298522756400627</v>
      </c>
      <c r="Z464" t="s">
        <v>392</v>
      </c>
      <c r="AA464">
        <v>114</v>
      </c>
      <c r="AB464" t="s">
        <v>3897</v>
      </c>
      <c r="AC464" t="str">
        <f>HYPERLINK("plots/3FT6Y578R04_015_S21P_20251218081014_M5358ACSC201811_RBGEUFRF04/dpll_52084/txpa_54158.png","plot")</f>
        <v>plot</v>
      </c>
    </row>
    <row r="465" spans="1:29" x14ac:dyDescent="0.35">
      <c r="A465" t="s">
        <v>49</v>
      </c>
      <c r="B465">
        <v>52084</v>
      </c>
      <c r="C465" t="s">
        <v>52</v>
      </c>
      <c r="D465">
        <v>54159</v>
      </c>
      <c r="E465" t="s">
        <v>179</v>
      </c>
      <c r="F465">
        <v>12027</v>
      </c>
      <c r="G465">
        <v>0.5616755446564301</v>
      </c>
      <c r="H465">
        <v>0</v>
      </c>
      <c r="I465">
        <v>0</v>
      </c>
      <c r="J465">
        <v>0.48309877739341578</v>
      </c>
      <c r="K465">
        <v>0</v>
      </c>
      <c r="L465">
        <v>0</v>
      </c>
      <c r="M465">
        <v>0.33539676486406372</v>
      </c>
      <c r="N465">
        <v>0</v>
      </c>
      <c r="O465">
        <v>0</v>
      </c>
      <c r="P465">
        <v>0.31547941746509739</v>
      </c>
      <c r="Q465">
        <v>0.890339378672377</v>
      </c>
      <c r="R465">
        <v>-15.2705273623125</v>
      </c>
      <c r="S465">
        <v>0.26940672273459582</v>
      </c>
      <c r="T465">
        <v>0.21192219713549909</v>
      </c>
      <c r="U465">
        <v>4.2557921641307059</v>
      </c>
      <c r="V465">
        <v>0.20542966688110781</v>
      </c>
      <c r="W465">
        <v>-11.481428011141601</v>
      </c>
      <c r="X465">
        <v>0.32563661300881058</v>
      </c>
      <c r="Z465" t="s">
        <v>392</v>
      </c>
      <c r="AA465">
        <v>114</v>
      </c>
      <c r="AB465" t="s">
        <v>3898</v>
      </c>
      <c r="AC465" t="str">
        <f>HYPERLINK("plots/3FT6Y578R04_015_S21P_20251218081014_M5358ACSC201811_RBGEUFRF04/dpll_52084/txpa_54159.png","plot")</f>
        <v>plot</v>
      </c>
    </row>
    <row r="466" spans="1:29" x14ac:dyDescent="0.35">
      <c r="A466" t="s">
        <v>49</v>
      </c>
      <c r="B466">
        <v>52084</v>
      </c>
      <c r="C466" t="s">
        <v>52</v>
      </c>
      <c r="D466">
        <v>54160</v>
      </c>
      <c r="E466" t="s">
        <v>180</v>
      </c>
      <c r="F466">
        <v>12028</v>
      </c>
      <c r="G466">
        <v>0.56496739123044204</v>
      </c>
      <c r="H466">
        <v>0</v>
      </c>
      <c r="I466">
        <v>0</v>
      </c>
      <c r="J466">
        <v>0.49435483706059008</v>
      </c>
      <c r="K466">
        <v>0</v>
      </c>
      <c r="L466">
        <v>0</v>
      </c>
      <c r="M466">
        <v>0.34484185863019262</v>
      </c>
      <c r="N466">
        <v>0</v>
      </c>
      <c r="O466">
        <v>0</v>
      </c>
      <c r="P466">
        <v>0.31918815315373128</v>
      </c>
      <c r="Q466">
        <v>0.89243544343237002</v>
      </c>
      <c r="R466">
        <v>-15.29526646671072</v>
      </c>
      <c r="S466">
        <v>0.26775302784236982</v>
      </c>
      <c r="T466">
        <v>0.20965384752966371</v>
      </c>
      <c r="U466">
        <v>4.2558177004489526</v>
      </c>
      <c r="V466">
        <v>0.20544021673558341</v>
      </c>
      <c r="W466">
        <v>-11.49722391004323</v>
      </c>
      <c r="X466">
        <v>0.3245180762060656</v>
      </c>
      <c r="Z466" t="s">
        <v>392</v>
      </c>
      <c r="AA466">
        <v>114</v>
      </c>
      <c r="AB466" t="s">
        <v>3899</v>
      </c>
      <c r="AC466" t="str">
        <f>HYPERLINK("plots/3FT6Y578R04_015_S21P_20251218081014_M5358ACSC201811_RBGEUFRF04/dpll_52084/txpa_54160.png","plot")</f>
        <v>plot</v>
      </c>
    </row>
    <row r="467" spans="1:29" x14ac:dyDescent="0.35">
      <c r="A467" t="s">
        <v>49</v>
      </c>
      <c r="B467">
        <v>52084</v>
      </c>
      <c r="C467" t="s">
        <v>52</v>
      </c>
      <c r="D467">
        <v>54161</v>
      </c>
      <c r="E467" t="s">
        <v>181</v>
      </c>
      <c r="F467">
        <v>12028</v>
      </c>
      <c r="G467">
        <v>0.55315842968079221</v>
      </c>
      <c r="H467">
        <v>0</v>
      </c>
      <c r="I467">
        <v>0</v>
      </c>
      <c r="J467">
        <v>0.48092395453255621</v>
      </c>
      <c r="K467">
        <v>0</v>
      </c>
      <c r="L467">
        <v>0</v>
      </c>
      <c r="M467">
        <v>0.33424005163805642</v>
      </c>
      <c r="N467">
        <v>0</v>
      </c>
      <c r="O467">
        <v>0</v>
      </c>
      <c r="P467">
        <v>0.30598424832691989</v>
      </c>
      <c r="Q467">
        <v>0.86722807309255823</v>
      </c>
      <c r="R467">
        <v>-15.189914773351241</v>
      </c>
      <c r="S467">
        <v>0.26830938697434459</v>
      </c>
      <c r="T467">
        <v>0.2102393604363923</v>
      </c>
      <c r="U467">
        <v>4.2558177004489526</v>
      </c>
      <c r="V467">
        <v>0.20544021673558341</v>
      </c>
      <c r="W467">
        <v>-11.4991501895577</v>
      </c>
      <c r="X467">
        <v>0.32208407887434592</v>
      </c>
      <c r="Z467" t="s">
        <v>392</v>
      </c>
      <c r="AA467">
        <v>114</v>
      </c>
      <c r="AB467" t="s">
        <v>3900</v>
      </c>
      <c r="AC467" t="str">
        <f>HYPERLINK("plots/3FT6Y578R04_015_S21P_20251218081014_M5358ACSC201811_RBGEUFRF04/dpll_52084/txpa_54161.png","plot")</f>
        <v>plot</v>
      </c>
    </row>
    <row r="468" spans="1:29" x14ac:dyDescent="0.35">
      <c r="A468" t="s">
        <v>49</v>
      </c>
      <c r="B468">
        <v>52084</v>
      </c>
      <c r="C468" t="s">
        <v>52</v>
      </c>
      <c r="D468">
        <v>54162</v>
      </c>
      <c r="E468" t="s">
        <v>182</v>
      </c>
      <c r="F468">
        <v>12028</v>
      </c>
      <c r="G468">
        <v>0.54104047426525548</v>
      </c>
      <c r="H468">
        <v>0</v>
      </c>
      <c r="I468">
        <v>0</v>
      </c>
      <c r="J468">
        <v>0.46821423287470709</v>
      </c>
      <c r="K468">
        <v>0</v>
      </c>
      <c r="L468">
        <v>0</v>
      </c>
      <c r="M468">
        <v>0.32527405531371151</v>
      </c>
      <c r="N468">
        <v>0</v>
      </c>
      <c r="O468">
        <v>0</v>
      </c>
      <c r="P468">
        <v>0.29272479479317259</v>
      </c>
      <c r="Q468">
        <v>0.84903965757901734</v>
      </c>
      <c r="R468">
        <v>-15.189412441917341</v>
      </c>
      <c r="S468">
        <v>0.2711189338319811</v>
      </c>
      <c r="T468">
        <v>0.21204320098718629</v>
      </c>
      <c r="U468">
        <v>4.2558177004489526</v>
      </c>
      <c r="V468">
        <v>0.20544021673558341</v>
      </c>
      <c r="W468">
        <v>-11.57605443880944</v>
      </c>
      <c r="X468">
        <v>0.32239157616999792</v>
      </c>
      <c r="Z468" t="s">
        <v>392</v>
      </c>
      <c r="AA468">
        <v>114</v>
      </c>
      <c r="AB468" t="s">
        <v>3901</v>
      </c>
      <c r="AC468" t="str">
        <f>HYPERLINK("plots/3FT6Y578R04_015_S21P_20251218081014_M5358ACSC201811_RBGEUFRF04/dpll_52084/txpa_54162.png","plot")</f>
        <v>plot</v>
      </c>
    </row>
    <row r="469" spans="1:29" x14ac:dyDescent="0.35">
      <c r="A469" t="s">
        <v>49</v>
      </c>
      <c r="B469">
        <v>52084</v>
      </c>
      <c r="C469" t="s">
        <v>52</v>
      </c>
      <c r="D469">
        <v>54163</v>
      </c>
      <c r="E469" t="s">
        <v>183</v>
      </c>
      <c r="F469">
        <v>12028</v>
      </c>
      <c r="G469">
        <v>0.51924508745048059</v>
      </c>
      <c r="H469">
        <v>0</v>
      </c>
      <c r="I469">
        <v>0</v>
      </c>
      <c r="J469">
        <v>0.45907923864738892</v>
      </c>
      <c r="K469">
        <v>0</v>
      </c>
      <c r="L469">
        <v>0</v>
      </c>
      <c r="M469">
        <v>0.31637571624077609</v>
      </c>
      <c r="N469">
        <v>0</v>
      </c>
      <c r="O469">
        <v>0</v>
      </c>
      <c r="P469">
        <v>0.26961546084145721</v>
      </c>
      <c r="Q469">
        <v>0.72871953852580751</v>
      </c>
      <c r="R469">
        <v>-8.8283557931454659</v>
      </c>
      <c r="S469">
        <v>0.2463946159622056</v>
      </c>
      <c r="T469">
        <v>0.19174874229090361</v>
      </c>
      <c r="U469">
        <v>4.2558177004489526</v>
      </c>
      <c r="V469">
        <v>0.20544021673558341</v>
      </c>
      <c r="W469">
        <v>-5.727058282424343</v>
      </c>
      <c r="X469">
        <v>0.28831914552966043</v>
      </c>
      <c r="Z469" t="s">
        <v>392</v>
      </c>
      <c r="AA469">
        <v>114</v>
      </c>
      <c r="AB469" t="s">
        <v>3902</v>
      </c>
      <c r="AC469" t="str">
        <f>HYPERLINK("plots/3FT6Y578R04_015_S21P_20251218081014_M5358ACSC201811_RBGEUFRF04/dpll_52084/txpa_54163.png","plot")</f>
        <v>plot</v>
      </c>
    </row>
    <row r="470" spans="1:29" x14ac:dyDescent="0.35">
      <c r="A470" t="s">
        <v>49</v>
      </c>
      <c r="B470">
        <v>52084</v>
      </c>
      <c r="C470" t="s">
        <v>52</v>
      </c>
      <c r="D470">
        <v>54164</v>
      </c>
      <c r="E470" t="s">
        <v>184</v>
      </c>
      <c r="F470">
        <v>12028</v>
      </c>
      <c r="G470">
        <v>0.54713252789880606</v>
      </c>
      <c r="H470">
        <v>0</v>
      </c>
      <c r="I470">
        <v>0</v>
      </c>
      <c r="J470">
        <v>0.48028678156806209</v>
      </c>
      <c r="K470">
        <v>0</v>
      </c>
      <c r="L470">
        <v>0</v>
      </c>
      <c r="M470">
        <v>0.33351674866125619</v>
      </c>
      <c r="N470">
        <v>0</v>
      </c>
      <c r="O470">
        <v>0</v>
      </c>
      <c r="P470">
        <v>0.29935400308493781</v>
      </c>
      <c r="Q470">
        <v>0.7709746958721474</v>
      </c>
      <c r="R470">
        <v>-8.9648421587708125</v>
      </c>
      <c r="S470">
        <v>0.2423060858272057</v>
      </c>
      <c r="T470">
        <v>0.1901087744115014</v>
      </c>
      <c r="U470">
        <v>4.2558177004489526</v>
      </c>
      <c r="V470">
        <v>0.20544021673558341</v>
      </c>
      <c r="W470">
        <v>-5.6837144014798797</v>
      </c>
      <c r="X470">
        <v>0.28948965843046931</v>
      </c>
      <c r="Z470" t="s">
        <v>392</v>
      </c>
      <c r="AA470">
        <v>114</v>
      </c>
      <c r="AB470" t="s">
        <v>3903</v>
      </c>
      <c r="AC470" t="str">
        <f>HYPERLINK("plots/3FT6Y578R04_015_S21P_20251218081014_M5358ACSC201811_RBGEUFRF04/dpll_52084/txpa_54164.png","plot")</f>
        <v>plot</v>
      </c>
    </row>
    <row r="471" spans="1:29" x14ac:dyDescent="0.35">
      <c r="A471" t="s">
        <v>49</v>
      </c>
      <c r="B471">
        <v>52084</v>
      </c>
      <c r="C471" t="s">
        <v>52</v>
      </c>
      <c r="D471">
        <v>54165</v>
      </c>
      <c r="E471" t="s">
        <v>185</v>
      </c>
      <c r="F471">
        <v>12028</v>
      </c>
      <c r="G471">
        <v>0.53288252578541662</v>
      </c>
      <c r="H471">
        <v>0</v>
      </c>
      <c r="I471">
        <v>0</v>
      </c>
      <c r="J471">
        <v>0.46429610486556611</v>
      </c>
      <c r="K471">
        <v>0</v>
      </c>
      <c r="L471">
        <v>0</v>
      </c>
      <c r="M471">
        <v>0.32138155566087551</v>
      </c>
      <c r="N471">
        <v>0</v>
      </c>
      <c r="O471">
        <v>0</v>
      </c>
      <c r="P471">
        <v>0.28396378628744517</v>
      </c>
      <c r="Q471">
        <v>0.73426081973343837</v>
      </c>
      <c r="R471">
        <v>-8.7992551416550526</v>
      </c>
      <c r="S471">
        <v>0.23952661645547069</v>
      </c>
      <c r="T471">
        <v>0.18817765329352679</v>
      </c>
      <c r="U471">
        <v>4.2558177004489526</v>
      </c>
      <c r="V471">
        <v>0.20544021673558341</v>
      </c>
      <c r="W471">
        <v>-5.674374948287328</v>
      </c>
      <c r="X471">
        <v>0.28307684085559298</v>
      </c>
      <c r="Z471" t="s">
        <v>392</v>
      </c>
      <c r="AA471">
        <v>114</v>
      </c>
      <c r="AB471" t="s">
        <v>3904</v>
      </c>
      <c r="AC471" t="str">
        <f>HYPERLINK("plots/3FT6Y578R04_015_S21P_20251218081014_M5358ACSC201811_RBGEUFRF04/dpll_52084/txpa_54165.png","plot")</f>
        <v>plot</v>
      </c>
    </row>
    <row r="472" spans="1:29" x14ac:dyDescent="0.35">
      <c r="A472" t="s">
        <v>49</v>
      </c>
      <c r="B472">
        <v>52084</v>
      </c>
      <c r="C472" t="s">
        <v>52</v>
      </c>
      <c r="D472">
        <v>54166</v>
      </c>
      <c r="E472" t="s">
        <v>186</v>
      </c>
      <c r="F472">
        <v>12028</v>
      </c>
      <c r="G472">
        <v>0.56386131905027082</v>
      </c>
      <c r="H472">
        <v>0</v>
      </c>
      <c r="I472">
        <v>0</v>
      </c>
      <c r="J472">
        <v>0.48942489300988951</v>
      </c>
      <c r="K472">
        <v>0</v>
      </c>
      <c r="L472">
        <v>0</v>
      </c>
      <c r="M472">
        <v>0.34103137912141052</v>
      </c>
      <c r="N472">
        <v>0</v>
      </c>
      <c r="O472">
        <v>0</v>
      </c>
      <c r="P472">
        <v>0.31793958712111131</v>
      </c>
      <c r="Q472">
        <v>0.79667343302759153</v>
      </c>
      <c r="R472">
        <v>-9.0383042493525316</v>
      </c>
      <c r="S472">
        <v>0.2397103930391041</v>
      </c>
      <c r="T472">
        <v>0.1880774313288755</v>
      </c>
      <c r="U472">
        <v>4.2558177004489526</v>
      </c>
      <c r="V472">
        <v>0.20544021673558341</v>
      </c>
      <c r="W472">
        <v>-5.647807351596275</v>
      </c>
      <c r="X472">
        <v>0.29026421430067628</v>
      </c>
      <c r="Z472" t="s">
        <v>392</v>
      </c>
      <c r="AA472">
        <v>114</v>
      </c>
      <c r="AB472" t="s">
        <v>3905</v>
      </c>
      <c r="AC472" t="str">
        <f>HYPERLINK("plots/3FT6Y578R04_015_S21P_20251218081014_M5358ACSC201811_RBGEUFRF04/dpll_52084/txpa_54166.png","plot")</f>
        <v>plot</v>
      </c>
    </row>
    <row r="473" spans="1:29" x14ac:dyDescent="0.35">
      <c r="A473" t="s">
        <v>49</v>
      </c>
      <c r="B473">
        <v>52084</v>
      </c>
      <c r="C473" t="s">
        <v>52</v>
      </c>
      <c r="D473">
        <v>54167</v>
      </c>
      <c r="E473" t="s">
        <v>187</v>
      </c>
      <c r="F473">
        <v>12027</v>
      </c>
      <c r="G473">
        <v>0.55405381287191824</v>
      </c>
      <c r="H473">
        <v>0</v>
      </c>
      <c r="I473">
        <v>0</v>
      </c>
      <c r="J473">
        <v>0.47678011263362391</v>
      </c>
      <c r="K473">
        <v>0</v>
      </c>
      <c r="L473">
        <v>0</v>
      </c>
      <c r="M473">
        <v>0.32986399010086942</v>
      </c>
      <c r="N473">
        <v>0</v>
      </c>
      <c r="O473">
        <v>0</v>
      </c>
      <c r="P473">
        <v>0.30697562755791058</v>
      </c>
      <c r="Q473">
        <v>0.77312979373043067</v>
      </c>
      <c r="R473">
        <v>-8.9531128988570607</v>
      </c>
      <c r="S473">
        <v>0.23862713230798199</v>
      </c>
      <c r="T473">
        <v>0.1889668460264611</v>
      </c>
      <c r="U473">
        <v>4.2557921641307059</v>
      </c>
      <c r="V473">
        <v>0.20542966688110781</v>
      </c>
      <c r="W473">
        <v>-5.6628331808431041</v>
      </c>
      <c r="X473">
        <v>0.2866577077750706</v>
      </c>
      <c r="Z473" t="s">
        <v>392</v>
      </c>
      <c r="AA473">
        <v>114</v>
      </c>
      <c r="AB473" t="s">
        <v>3906</v>
      </c>
      <c r="AC473" t="str">
        <f>HYPERLINK("plots/3FT6Y578R04_015_S21P_20251218081014_M5358ACSC201811_RBGEUFRF04/dpll_52084/txpa_54167.png","plot")</f>
        <v>plot</v>
      </c>
    </row>
    <row r="474" spans="1:29" x14ac:dyDescent="0.35">
      <c r="A474" t="s">
        <v>49</v>
      </c>
      <c r="B474">
        <v>52084</v>
      </c>
      <c r="C474" t="s">
        <v>52</v>
      </c>
      <c r="D474">
        <v>54168</v>
      </c>
      <c r="E474" t="s">
        <v>188</v>
      </c>
      <c r="F474">
        <v>12028</v>
      </c>
      <c r="G474">
        <v>0.56361452432363102</v>
      </c>
      <c r="H474">
        <v>0</v>
      </c>
      <c r="I474">
        <v>0</v>
      </c>
      <c r="J474">
        <v>0.4938687013280455</v>
      </c>
      <c r="K474">
        <v>0</v>
      </c>
      <c r="L474">
        <v>0</v>
      </c>
      <c r="M474">
        <v>0.3441283823914234</v>
      </c>
      <c r="N474">
        <v>0</v>
      </c>
      <c r="O474">
        <v>0</v>
      </c>
      <c r="P474">
        <v>0.31766133202855279</v>
      </c>
      <c r="Q474">
        <v>0.78895019942600375</v>
      </c>
      <c r="R474">
        <v>-9.0201949709125966</v>
      </c>
      <c r="S474">
        <v>0.2375389409973277</v>
      </c>
      <c r="T474">
        <v>0.18712206458785879</v>
      </c>
      <c r="U474">
        <v>4.2558177004489526</v>
      </c>
      <c r="V474">
        <v>0.20544021673558341</v>
      </c>
      <c r="W474">
        <v>-5.6625667474226793</v>
      </c>
      <c r="X474">
        <v>0.28757615882622539</v>
      </c>
      <c r="Z474" t="s">
        <v>392</v>
      </c>
      <c r="AA474">
        <v>114</v>
      </c>
      <c r="AB474" t="s">
        <v>3907</v>
      </c>
      <c r="AC474" t="str">
        <f>HYPERLINK("plots/3FT6Y578R04_015_S21P_20251218081014_M5358ACSC201811_RBGEUFRF04/dpll_52084/txpa_54168.png","plot")</f>
        <v>plot</v>
      </c>
    </row>
    <row r="475" spans="1:29" x14ac:dyDescent="0.35">
      <c r="A475" t="s">
        <v>49</v>
      </c>
      <c r="B475">
        <v>52084</v>
      </c>
      <c r="C475" t="s">
        <v>52</v>
      </c>
      <c r="D475">
        <v>54169</v>
      </c>
      <c r="E475" t="s">
        <v>189</v>
      </c>
      <c r="F475">
        <v>12028</v>
      </c>
      <c r="G475">
        <v>0.55197204655473442</v>
      </c>
      <c r="H475">
        <v>0</v>
      </c>
      <c r="I475">
        <v>0</v>
      </c>
      <c r="J475">
        <v>0.47822725993598408</v>
      </c>
      <c r="K475">
        <v>0</v>
      </c>
      <c r="L475">
        <v>0</v>
      </c>
      <c r="M475">
        <v>0.33128894674603449</v>
      </c>
      <c r="N475">
        <v>0</v>
      </c>
      <c r="O475">
        <v>0</v>
      </c>
      <c r="P475">
        <v>0.30467314017782188</v>
      </c>
      <c r="Q475">
        <v>0.75977925474901586</v>
      </c>
      <c r="R475">
        <v>-8.8958383308579609</v>
      </c>
      <c r="S475">
        <v>0.23579373418458249</v>
      </c>
      <c r="T475">
        <v>0.18679723494530509</v>
      </c>
      <c r="U475">
        <v>4.2558177004489526</v>
      </c>
      <c r="V475">
        <v>0.20544021673558341</v>
      </c>
      <c r="W475">
        <v>-5.6623563300631856</v>
      </c>
      <c r="X475">
        <v>0.28278463690526751</v>
      </c>
      <c r="Z475" t="s">
        <v>392</v>
      </c>
      <c r="AA475">
        <v>114</v>
      </c>
      <c r="AB475" t="s">
        <v>3908</v>
      </c>
      <c r="AC475" t="str">
        <f>HYPERLINK("plots/3FT6Y578R04_015_S21P_20251218081014_M5358ACSC201811_RBGEUFRF04/dpll_52084/txpa_54169.png","plot")</f>
        <v>plot</v>
      </c>
    </row>
    <row r="476" spans="1:29" x14ac:dyDescent="0.35">
      <c r="A476" t="s">
        <v>49</v>
      </c>
      <c r="B476">
        <v>52084</v>
      </c>
      <c r="C476" t="s">
        <v>52</v>
      </c>
      <c r="D476">
        <v>54170</v>
      </c>
      <c r="E476" t="s">
        <v>190</v>
      </c>
      <c r="F476">
        <v>12028</v>
      </c>
      <c r="G476">
        <v>0.54281337578483857</v>
      </c>
      <c r="H476">
        <v>0</v>
      </c>
      <c r="I476">
        <v>0</v>
      </c>
      <c r="J476">
        <v>0.47134984211608733</v>
      </c>
      <c r="K476">
        <v>0</v>
      </c>
      <c r="L476">
        <v>0</v>
      </c>
      <c r="M476">
        <v>0.32741731684981562</v>
      </c>
      <c r="N476">
        <v>0</v>
      </c>
      <c r="O476">
        <v>0</v>
      </c>
      <c r="P476">
        <v>0.29464636093093238</v>
      </c>
      <c r="Q476">
        <v>0.75492436625412163</v>
      </c>
      <c r="R476">
        <v>-8.9310342578404818</v>
      </c>
      <c r="S476">
        <v>0.2399516652327757</v>
      </c>
      <c r="T476">
        <v>0.18861025245947211</v>
      </c>
      <c r="U476">
        <v>4.2558177004489526</v>
      </c>
      <c r="V476">
        <v>0.20544021673558341</v>
      </c>
      <c r="W476">
        <v>-5.7182137774359827</v>
      </c>
      <c r="X476">
        <v>0.285718503524304</v>
      </c>
      <c r="Z476" t="s">
        <v>392</v>
      </c>
      <c r="AA476">
        <v>114</v>
      </c>
      <c r="AB476" t="s">
        <v>3909</v>
      </c>
      <c r="AC476" t="str">
        <f>HYPERLINK("plots/3FT6Y578R04_015_S21P_20251218081014_M5358ACSC201811_RBGEUFRF04/dpll_52084/txpa_54170.png","plot")</f>
        <v>plot</v>
      </c>
    </row>
    <row r="477" spans="1:29" x14ac:dyDescent="0.35">
      <c r="A477" t="s">
        <v>49</v>
      </c>
      <c r="B477">
        <v>52084</v>
      </c>
      <c r="C477" t="s">
        <v>52</v>
      </c>
      <c r="D477">
        <v>54171</v>
      </c>
      <c r="E477" t="s">
        <v>191</v>
      </c>
      <c r="F477">
        <v>12028</v>
      </c>
      <c r="G477">
        <v>0.52830848950401077</v>
      </c>
      <c r="H477">
        <v>0</v>
      </c>
      <c r="I477">
        <v>0</v>
      </c>
      <c r="J477">
        <v>0.47205108973772919</v>
      </c>
      <c r="K477">
        <v>0</v>
      </c>
      <c r="L477">
        <v>0</v>
      </c>
      <c r="M477">
        <v>0.3258296883326216</v>
      </c>
      <c r="N477">
        <v>0</v>
      </c>
      <c r="O477">
        <v>0</v>
      </c>
      <c r="P477">
        <v>0.27910986008200939</v>
      </c>
      <c r="Q477">
        <v>0.73727715043750652</v>
      </c>
      <c r="R477">
        <v>-5.7861349488474536</v>
      </c>
      <c r="S477">
        <v>0.24341376736215131</v>
      </c>
      <c r="T477">
        <v>0.18930531572836909</v>
      </c>
      <c r="U477">
        <v>4.2558177004489526</v>
      </c>
      <c r="V477">
        <v>0.20544021673558341</v>
      </c>
      <c r="W477">
        <v>-2.6484178018789488</v>
      </c>
      <c r="X477">
        <v>0.28670063152359182</v>
      </c>
      <c r="Z477" t="s">
        <v>392</v>
      </c>
      <c r="AA477">
        <v>114</v>
      </c>
      <c r="AB477" t="s">
        <v>3910</v>
      </c>
      <c r="AC477" t="str">
        <f>HYPERLINK("plots/3FT6Y578R04_015_S21P_20251218081014_M5358ACSC201811_RBGEUFRF04/dpll_52084/txpa_54171.png","plot")</f>
        <v>plot</v>
      </c>
    </row>
    <row r="478" spans="1:29" x14ac:dyDescent="0.35">
      <c r="A478" t="s">
        <v>49</v>
      </c>
      <c r="B478">
        <v>52084</v>
      </c>
      <c r="C478" t="s">
        <v>52</v>
      </c>
      <c r="D478">
        <v>54172</v>
      </c>
      <c r="E478" t="s">
        <v>192</v>
      </c>
      <c r="F478">
        <v>12028</v>
      </c>
      <c r="G478">
        <v>0.55696542766771884</v>
      </c>
      <c r="H478">
        <v>0</v>
      </c>
      <c r="I478">
        <v>0</v>
      </c>
      <c r="J478">
        <v>0.49386054995799772</v>
      </c>
      <c r="K478">
        <v>0</v>
      </c>
      <c r="L478">
        <v>0</v>
      </c>
      <c r="M478">
        <v>0.34355719436250298</v>
      </c>
      <c r="N478">
        <v>0</v>
      </c>
      <c r="O478">
        <v>0</v>
      </c>
      <c r="P478">
        <v>0.31021048761708492</v>
      </c>
      <c r="Q478">
        <v>0.77912538963530653</v>
      </c>
      <c r="R478">
        <v>-5.9280499409231551</v>
      </c>
      <c r="S478">
        <v>0.23867384123987559</v>
      </c>
      <c r="T478">
        <v>0.18731975053002281</v>
      </c>
      <c r="U478">
        <v>4.2558177004489526</v>
      </c>
      <c r="V478">
        <v>0.20544021673558341</v>
      </c>
      <c r="W478">
        <v>-2.612234316844031</v>
      </c>
      <c r="X478">
        <v>0.2873853222472656</v>
      </c>
      <c r="Z478" t="s">
        <v>392</v>
      </c>
      <c r="AA478">
        <v>114</v>
      </c>
      <c r="AB478" t="s">
        <v>3911</v>
      </c>
      <c r="AC478" t="str">
        <f>HYPERLINK("plots/3FT6Y578R04_015_S21P_20251218081014_M5358ACSC201811_RBGEUFRF04/dpll_52084/txpa_54172.png","plot")</f>
        <v>plot</v>
      </c>
    </row>
    <row r="479" spans="1:29" x14ac:dyDescent="0.35">
      <c r="A479" t="s">
        <v>49</v>
      </c>
      <c r="B479">
        <v>52084</v>
      </c>
      <c r="C479" t="s">
        <v>52</v>
      </c>
      <c r="D479">
        <v>54173</v>
      </c>
      <c r="E479" t="s">
        <v>193</v>
      </c>
      <c r="F479">
        <v>12028</v>
      </c>
      <c r="G479">
        <v>0.54182047634950947</v>
      </c>
      <c r="H479">
        <v>0</v>
      </c>
      <c r="I479">
        <v>0</v>
      </c>
      <c r="J479">
        <v>0.47757720677240068</v>
      </c>
      <c r="K479">
        <v>0</v>
      </c>
      <c r="L479">
        <v>0</v>
      </c>
      <c r="M479">
        <v>0.33110627479800919</v>
      </c>
      <c r="N479">
        <v>0</v>
      </c>
      <c r="O479">
        <v>0</v>
      </c>
      <c r="P479">
        <v>0.29356942859160928</v>
      </c>
      <c r="Q479">
        <v>0.74340073616635616</v>
      </c>
      <c r="R479">
        <v>-5.7650878393219838</v>
      </c>
      <c r="S479">
        <v>0.23690254490986631</v>
      </c>
      <c r="T479">
        <v>0.1860220383981436</v>
      </c>
      <c r="U479">
        <v>4.2558177004489526</v>
      </c>
      <c r="V479">
        <v>0.20544021673558341</v>
      </c>
      <c r="W479">
        <v>-2.6013098278184241</v>
      </c>
      <c r="X479">
        <v>0.28187271435066868</v>
      </c>
      <c r="Z479" t="s">
        <v>392</v>
      </c>
      <c r="AA479">
        <v>114</v>
      </c>
      <c r="AB479" t="s">
        <v>3912</v>
      </c>
      <c r="AC479" t="str">
        <f>HYPERLINK("plots/3FT6Y578R04_015_S21P_20251218081014_M5358ACSC201811_RBGEUFRF04/dpll_52084/txpa_54173.png","plot")</f>
        <v>plot</v>
      </c>
    </row>
    <row r="480" spans="1:29" x14ac:dyDescent="0.35">
      <c r="A480" t="s">
        <v>49</v>
      </c>
      <c r="B480">
        <v>52084</v>
      </c>
      <c r="C480" t="s">
        <v>52</v>
      </c>
      <c r="D480">
        <v>54174</v>
      </c>
      <c r="E480" t="s">
        <v>194</v>
      </c>
      <c r="F480">
        <v>12028</v>
      </c>
      <c r="G480">
        <v>0.56752545866448467</v>
      </c>
      <c r="H480">
        <v>0</v>
      </c>
      <c r="I480">
        <v>0</v>
      </c>
      <c r="J480">
        <v>0.49775709755946268</v>
      </c>
      <c r="K480">
        <v>0</v>
      </c>
      <c r="L480">
        <v>0</v>
      </c>
      <c r="M480">
        <v>0.3469386426847631</v>
      </c>
      <c r="N480">
        <v>0</v>
      </c>
      <c r="O480">
        <v>0</v>
      </c>
      <c r="P480">
        <v>0.3220851462323337</v>
      </c>
      <c r="Q480">
        <v>0.7936933817963997</v>
      </c>
      <c r="R480">
        <v>-5.9608495523231682</v>
      </c>
      <c r="S480">
        <v>0.2365496968724797</v>
      </c>
      <c r="T480">
        <v>0.18584772079582709</v>
      </c>
      <c r="U480">
        <v>4.2558177004489526</v>
      </c>
      <c r="V480">
        <v>0.20544021673558341</v>
      </c>
      <c r="W480">
        <v>-2.5830352093448621</v>
      </c>
      <c r="X480">
        <v>0.28731141112428582</v>
      </c>
      <c r="Z480" t="s">
        <v>392</v>
      </c>
      <c r="AA480">
        <v>114</v>
      </c>
      <c r="AB480" t="s">
        <v>3913</v>
      </c>
      <c r="AC480" t="str">
        <f>HYPERLINK("plots/3FT6Y578R04_015_S21P_20251218081014_M5358ACSC201811_RBGEUFRF04/dpll_52084/txpa_54174.png","plot")</f>
        <v>plot</v>
      </c>
    </row>
    <row r="481" spans="1:29" x14ac:dyDescent="0.35">
      <c r="A481" t="s">
        <v>49</v>
      </c>
      <c r="B481">
        <v>52084</v>
      </c>
      <c r="C481" t="s">
        <v>52</v>
      </c>
      <c r="D481">
        <v>54175</v>
      </c>
      <c r="E481" t="s">
        <v>195</v>
      </c>
      <c r="F481">
        <v>12027</v>
      </c>
      <c r="G481">
        <v>0.56057846354800744</v>
      </c>
      <c r="H481">
        <v>0</v>
      </c>
      <c r="I481">
        <v>0</v>
      </c>
      <c r="J481">
        <v>0.48701048257678398</v>
      </c>
      <c r="K481">
        <v>0</v>
      </c>
      <c r="L481">
        <v>0</v>
      </c>
      <c r="M481">
        <v>0.33739396503116609</v>
      </c>
      <c r="N481">
        <v>0</v>
      </c>
      <c r="O481">
        <v>0</v>
      </c>
      <c r="P481">
        <v>0.31424821379384471</v>
      </c>
      <c r="Q481">
        <v>0.77541848481480691</v>
      </c>
      <c r="R481">
        <v>-5.8975639050284059</v>
      </c>
      <c r="S481">
        <v>0.23530346405435729</v>
      </c>
      <c r="T481">
        <v>0.18611947190350339</v>
      </c>
      <c r="U481">
        <v>4.2557921641307059</v>
      </c>
      <c r="V481">
        <v>0.20542966688110781</v>
      </c>
      <c r="W481">
        <v>-2.5975439934314459</v>
      </c>
      <c r="X481">
        <v>0.2841599729335969</v>
      </c>
      <c r="Z481" t="s">
        <v>392</v>
      </c>
      <c r="AA481">
        <v>114</v>
      </c>
      <c r="AB481" t="s">
        <v>3914</v>
      </c>
      <c r="AC481" t="str">
        <f>HYPERLINK("plots/3FT6Y578R04_015_S21P_20251218081014_M5358ACSC201811_RBGEUFRF04/dpll_52084/txpa_54175.png","plot")</f>
        <v>plot</v>
      </c>
    </row>
    <row r="482" spans="1:29" x14ac:dyDescent="0.35">
      <c r="A482" t="s">
        <v>49</v>
      </c>
      <c r="B482">
        <v>52084</v>
      </c>
      <c r="C482" t="s">
        <v>52</v>
      </c>
      <c r="D482">
        <v>54176</v>
      </c>
      <c r="E482" t="s">
        <v>196</v>
      </c>
      <c r="F482">
        <v>12028</v>
      </c>
      <c r="G482">
        <v>0.57154061031429426</v>
      </c>
      <c r="H482">
        <v>0</v>
      </c>
      <c r="I482">
        <v>0</v>
      </c>
      <c r="J482">
        <v>0.50561009564885295</v>
      </c>
      <c r="K482">
        <v>0</v>
      </c>
      <c r="L482">
        <v>0</v>
      </c>
      <c r="M482">
        <v>0.3526217632341021</v>
      </c>
      <c r="N482">
        <v>0</v>
      </c>
      <c r="O482">
        <v>0</v>
      </c>
      <c r="P482">
        <v>0.32665866923843601</v>
      </c>
      <c r="Q482">
        <v>0.7950111268977762</v>
      </c>
      <c r="R482">
        <v>-5.9757453223969446</v>
      </c>
      <c r="S482">
        <v>0.23448289079975829</v>
      </c>
      <c r="T482">
        <v>0.18489044925169981</v>
      </c>
      <c r="U482">
        <v>4.2558177004489526</v>
      </c>
      <c r="V482">
        <v>0.20544021673558341</v>
      </c>
      <c r="W482">
        <v>-2.5923228964915199</v>
      </c>
      <c r="X482">
        <v>0.28576667216571872</v>
      </c>
      <c r="Z482" t="s">
        <v>392</v>
      </c>
      <c r="AA482">
        <v>114</v>
      </c>
      <c r="AB482" t="s">
        <v>3915</v>
      </c>
      <c r="AC482" t="str">
        <f>HYPERLINK("plots/3FT6Y578R04_015_S21P_20251218081014_M5358ACSC201811_RBGEUFRF04/dpll_52084/txpa_54176.png","plot")</f>
        <v>plot</v>
      </c>
    </row>
    <row r="483" spans="1:29" x14ac:dyDescent="0.35">
      <c r="A483" t="s">
        <v>49</v>
      </c>
      <c r="B483">
        <v>52084</v>
      </c>
      <c r="C483" t="s">
        <v>52</v>
      </c>
      <c r="D483">
        <v>54177</v>
      </c>
      <c r="E483" t="s">
        <v>197</v>
      </c>
      <c r="F483">
        <v>12028</v>
      </c>
      <c r="G483">
        <v>0.56148424067516145</v>
      </c>
      <c r="H483">
        <v>0</v>
      </c>
      <c r="I483">
        <v>0</v>
      </c>
      <c r="J483">
        <v>0.49194996185627532</v>
      </c>
      <c r="K483">
        <v>0</v>
      </c>
      <c r="L483">
        <v>0</v>
      </c>
      <c r="M483">
        <v>0.34127229922402402</v>
      </c>
      <c r="N483">
        <v>0</v>
      </c>
      <c r="O483">
        <v>0</v>
      </c>
      <c r="P483">
        <v>0.3152645525265626</v>
      </c>
      <c r="Q483">
        <v>0.76764813869252191</v>
      </c>
      <c r="R483">
        <v>-5.8574184457424447</v>
      </c>
      <c r="S483">
        <v>0.23240926958026681</v>
      </c>
      <c r="T483">
        <v>0.18401243377592949</v>
      </c>
      <c r="U483">
        <v>4.2558177004489526</v>
      </c>
      <c r="V483">
        <v>0.20544021673558341</v>
      </c>
      <c r="W483">
        <v>-2.5904479093781179</v>
      </c>
      <c r="X483">
        <v>0.28087306564477099</v>
      </c>
      <c r="Z483" t="s">
        <v>392</v>
      </c>
      <c r="AA483">
        <v>114</v>
      </c>
      <c r="AB483" t="s">
        <v>3916</v>
      </c>
      <c r="AC483" t="str">
        <f>HYPERLINK("plots/3FT6Y578R04_015_S21P_20251218081014_M5358ACSC201811_RBGEUFRF04/dpll_52084/txpa_54177.png","plot")</f>
        <v>plot</v>
      </c>
    </row>
    <row r="484" spans="1:29" x14ac:dyDescent="0.35">
      <c r="A484" t="s">
        <v>49</v>
      </c>
      <c r="B484">
        <v>52084</v>
      </c>
      <c r="C484" t="s">
        <v>52</v>
      </c>
      <c r="D484">
        <v>54178</v>
      </c>
      <c r="E484" t="s">
        <v>198</v>
      </c>
      <c r="F484">
        <v>12027</v>
      </c>
      <c r="G484">
        <v>0.55169180363728643</v>
      </c>
      <c r="H484">
        <v>0</v>
      </c>
      <c r="I484">
        <v>0</v>
      </c>
      <c r="J484">
        <v>0.48381312557969369</v>
      </c>
      <c r="K484">
        <v>0</v>
      </c>
      <c r="L484">
        <v>0</v>
      </c>
      <c r="M484">
        <v>0.33657745435341918</v>
      </c>
      <c r="N484">
        <v>0</v>
      </c>
      <c r="O484">
        <v>0</v>
      </c>
      <c r="P484">
        <v>0.30436384620056223</v>
      </c>
      <c r="Q484">
        <v>0.76330176824072293</v>
      </c>
      <c r="R484">
        <v>-5.8874075737131513</v>
      </c>
      <c r="S484">
        <v>0.23705274891950001</v>
      </c>
      <c r="T484">
        <v>0.1866206983520515</v>
      </c>
      <c r="U484">
        <v>4.2558401814251274</v>
      </c>
      <c r="V484">
        <v>0.20543396214013371</v>
      </c>
      <c r="W484">
        <v>-2.638917237881433</v>
      </c>
      <c r="X484">
        <v>0.28423135077307837</v>
      </c>
      <c r="Z484" t="s">
        <v>392</v>
      </c>
      <c r="AA484">
        <v>114</v>
      </c>
      <c r="AB484" t="s">
        <v>3917</v>
      </c>
      <c r="AC484" t="str">
        <f>HYPERLINK("plots/3FT6Y578R04_015_S21P_20251218081014_M5358ACSC201811_RBGEUFRF04/dpll_52084/txpa_54178.png","plot")</f>
        <v>plot</v>
      </c>
    </row>
    <row r="485" spans="1:29" x14ac:dyDescent="0.35">
      <c r="A485" t="s">
        <v>49</v>
      </c>
      <c r="B485">
        <v>52084</v>
      </c>
      <c r="C485" t="s">
        <v>52</v>
      </c>
      <c r="D485">
        <v>54179</v>
      </c>
      <c r="E485" t="s">
        <v>199</v>
      </c>
      <c r="F485">
        <v>12028</v>
      </c>
      <c r="G485">
        <v>0.57349614681490046</v>
      </c>
      <c r="H485">
        <v>0</v>
      </c>
      <c r="I485">
        <v>0</v>
      </c>
      <c r="J485">
        <v>0.52247601158433266</v>
      </c>
      <c r="K485">
        <v>0</v>
      </c>
      <c r="L485">
        <v>0</v>
      </c>
      <c r="M485">
        <v>0.36366118710694317</v>
      </c>
      <c r="N485">
        <v>0</v>
      </c>
      <c r="O485">
        <v>0</v>
      </c>
      <c r="P485">
        <v>0.32889783041153792</v>
      </c>
      <c r="Q485">
        <v>0.80413466401585099</v>
      </c>
      <c r="R485">
        <v>-2.445323656666639</v>
      </c>
      <c r="S485">
        <v>0.23597174882641761</v>
      </c>
      <c r="T485">
        <v>0.18306735628793569</v>
      </c>
      <c r="U485">
        <v>4.2558177004489526</v>
      </c>
      <c r="V485">
        <v>0.20544021673558341</v>
      </c>
      <c r="W485">
        <v>0.97692687999659122</v>
      </c>
      <c r="X485">
        <v>0.28806052242462921</v>
      </c>
      <c r="Z485" t="s">
        <v>392</v>
      </c>
      <c r="AA485">
        <v>114</v>
      </c>
      <c r="AB485" t="s">
        <v>3918</v>
      </c>
      <c r="AC485" t="str">
        <f>HYPERLINK("plots/3FT6Y578R04_015_S21P_20251218081014_M5358ACSC201811_RBGEUFRF04/dpll_52084/txpa_54179.png","plot")</f>
        <v>plot</v>
      </c>
    </row>
    <row r="486" spans="1:29" x14ac:dyDescent="0.35">
      <c r="A486" t="s">
        <v>49</v>
      </c>
      <c r="B486">
        <v>52084</v>
      </c>
      <c r="C486" t="s">
        <v>52</v>
      </c>
      <c r="D486">
        <v>54180</v>
      </c>
      <c r="E486" t="s">
        <v>200</v>
      </c>
      <c r="F486">
        <v>12028</v>
      </c>
      <c r="G486">
        <v>0.60060679104480752</v>
      </c>
      <c r="H486">
        <v>0</v>
      </c>
      <c r="I486">
        <v>0</v>
      </c>
      <c r="J486">
        <v>0.54222311329674333</v>
      </c>
      <c r="K486">
        <v>0</v>
      </c>
      <c r="L486">
        <v>0</v>
      </c>
      <c r="M486">
        <v>0.38049449883524122</v>
      </c>
      <c r="N486">
        <v>0</v>
      </c>
      <c r="O486">
        <v>0</v>
      </c>
      <c r="P486">
        <v>0.36072851744914108</v>
      </c>
      <c r="Q486">
        <v>0.84292199373102372</v>
      </c>
      <c r="R486">
        <v>-2.578669717207104</v>
      </c>
      <c r="S486">
        <v>0.2305192634365972</v>
      </c>
      <c r="T486">
        <v>0.18086488150764629</v>
      </c>
      <c r="U486">
        <v>4.2558177004489526</v>
      </c>
      <c r="V486">
        <v>0.20544021673558341</v>
      </c>
      <c r="W486">
        <v>1.008652623811108</v>
      </c>
      <c r="X486">
        <v>0.28832520654994159</v>
      </c>
      <c r="Z486" t="s">
        <v>392</v>
      </c>
      <c r="AA486">
        <v>114</v>
      </c>
      <c r="AB486" t="s">
        <v>3919</v>
      </c>
      <c r="AC486" t="str">
        <f>HYPERLINK("plots/3FT6Y578R04_015_S21P_20251218081014_M5358ACSC201811_RBGEUFRF04/dpll_52084/txpa_54180.png","plot")</f>
        <v>plot</v>
      </c>
    </row>
    <row r="487" spans="1:29" x14ac:dyDescent="0.35">
      <c r="A487" t="s">
        <v>49</v>
      </c>
      <c r="B487">
        <v>52084</v>
      </c>
      <c r="C487" t="s">
        <v>52</v>
      </c>
      <c r="D487">
        <v>54181</v>
      </c>
      <c r="E487" t="s">
        <v>201</v>
      </c>
      <c r="F487">
        <v>12028</v>
      </c>
      <c r="G487">
        <v>0.58544400866870661</v>
      </c>
      <c r="H487">
        <v>0</v>
      </c>
      <c r="I487">
        <v>0</v>
      </c>
      <c r="J487">
        <v>0.52640729302358102</v>
      </c>
      <c r="K487">
        <v>0</v>
      </c>
      <c r="L487">
        <v>0</v>
      </c>
      <c r="M487">
        <v>0.36775245030866371</v>
      </c>
      <c r="N487">
        <v>0</v>
      </c>
      <c r="O487">
        <v>0</v>
      </c>
      <c r="P487">
        <v>0.34274468728608459</v>
      </c>
      <c r="Q487">
        <v>0.80696777677634657</v>
      </c>
      <c r="R487">
        <v>-2.4141025578441369</v>
      </c>
      <c r="S487">
        <v>0.22956479649290851</v>
      </c>
      <c r="T487">
        <v>0.1800917275883151</v>
      </c>
      <c r="U487">
        <v>4.2558177004489526</v>
      </c>
      <c r="V487">
        <v>0.20544021673558341</v>
      </c>
      <c r="W487">
        <v>1.0202051902525771</v>
      </c>
      <c r="X487">
        <v>0.28317590154616989</v>
      </c>
      <c r="Z487" t="s">
        <v>392</v>
      </c>
      <c r="AA487">
        <v>114</v>
      </c>
      <c r="AB487" t="s">
        <v>3920</v>
      </c>
      <c r="AC487" t="str">
        <f>HYPERLINK("plots/3FT6Y578R04_015_S21P_20251218081014_M5358ACSC201811_RBGEUFRF04/dpll_52084/txpa_54181.png","plot")</f>
        <v>plot</v>
      </c>
    </row>
    <row r="488" spans="1:29" x14ac:dyDescent="0.35">
      <c r="A488" t="s">
        <v>49</v>
      </c>
      <c r="B488">
        <v>52084</v>
      </c>
      <c r="C488" t="s">
        <v>52</v>
      </c>
      <c r="D488">
        <v>54182</v>
      </c>
      <c r="E488" t="s">
        <v>202</v>
      </c>
      <c r="F488">
        <v>12028</v>
      </c>
      <c r="G488">
        <v>0.60797378925605583</v>
      </c>
      <c r="H488">
        <v>0</v>
      </c>
      <c r="I488">
        <v>0</v>
      </c>
      <c r="J488">
        <v>0.54391129831436191</v>
      </c>
      <c r="K488">
        <v>0</v>
      </c>
      <c r="L488">
        <v>0</v>
      </c>
      <c r="M488">
        <v>0.38219815910977939</v>
      </c>
      <c r="N488">
        <v>0</v>
      </c>
      <c r="O488">
        <v>0</v>
      </c>
      <c r="P488">
        <v>0.36963212842236698</v>
      </c>
      <c r="Q488">
        <v>0.85081042266787477</v>
      </c>
      <c r="R488">
        <v>-2.5898816281814279</v>
      </c>
      <c r="S488">
        <v>0.22825084306463431</v>
      </c>
      <c r="T488">
        <v>0.1790723797328479</v>
      </c>
      <c r="U488">
        <v>4.2558177004489526</v>
      </c>
      <c r="V488">
        <v>0.20544021673558341</v>
      </c>
      <c r="W488">
        <v>1.031012428334968</v>
      </c>
      <c r="X488">
        <v>0.28749706109479389</v>
      </c>
      <c r="Z488" t="s">
        <v>392</v>
      </c>
      <c r="AA488">
        <v>114</v>
      </c>
      <c r="AB488" t="s">
        <v>3921</v>
      </c>
      <c r="AC488" t="str">
        <f>HYPERLINK("plots/3FT6Y578R04_015_S21P_20251218081014_M5358ACSC201811_RBGEUFRF04/dpll_52084/txpa_54182.png","plot")</f>
        <v>plot</v>
      </c>
    </row>
    <row r="489" spans="1:29" x14ac:dyDescent="0.35">
      <c r="A489" t="s">
        <v>49</v>
      </c>
      <c r="B489">
        <v>52084</v>
      </c>
      <c r="C489" t="s">
        <v>52</v>
      </c>
      <c r="D489">
        <v>54183</v>
      </c>
      <c r="E489" t="s">
        <v>203</v>
      </c>
      <c r="F489">
        <v>12027</v>
      </c>
      <c r="G489">
        <v>0.6029077877176714</v>
      </c>
      <c r="H489">
        <v>0</v>
      </c>
      <c r="I489">
        <v>0</v>
      </c>
      <c r="J489">
        <v>0.53380585063111652</v>
      </c>
      <c r="K489">
        <v>0</v>
      </c>
      <c r="L489">
        <v>0</v>
      </c>
      <c r="M489">
        <v>0.37282099429332699</v>
      </c>
      <c r="N489">
        <v>0</v>
      </c>
      <c r="O489">
        <v>0</v>
      </c>
      <c r="P489">
        <v>0.3634978004906167</v>
      </c>
      <c r="Q489">
        <v>0.83591574670846425</v>
      </c>
      <c r="R489">
        <v>-2.540633865898438</v>
      </c>
      <c r="S489">
        <v>0.22722529362991919</v>
      </c>
      <c r="T489">
        <v>0.1796084940431398</v>
      </c>
      <c r="U489">
        <v>4.2557921641307059</v>
      </c>
      <c r="V489">
        <v>0.20542966688110781</v>
      </c>
      <c r="W489">
        <v>1.0168498188169119</v>
      </c>
      <c r="X489">
        <v>0.28482281517220343</v>
      </c>
      <c r="Z489" t="s">
        <v>392</v>
      </c>
      <c r="AA489">
        <v>114</v>
      </c>
      <c r="AB489" t="s">
        <v>3922</v>
      </c>
      <c r="AC489" t="str">
        <f>HYPERLINK("plots/3FT6Y578R04_015_S21P_20251218081014_M5358ACSC201811_RBGEUFRF04/dpll_52084/txpa_54183.png","plot")</f>
        <v>plot</v>
      </c>
    </row>
    <row r="490" spans="1:29" x14ac:dyDescent="0.35">
      <c r="A490" t="s">
        <v>49</v>
      </c>
      <c r="B490">
        <v>52084</v>
      </c>
      <c r="C490" t="s">
        <v>52</v>
      </c>
      <c r="D490">
        <v>54184</v>
      </c>
      <c r="E490" t="s">
        <v>204</v>
      </c>
      <c r="F490">
        <v>12028</v>
      </c>
      <c r="G490">
        <v>0.61276291704730712</v>
      </c>
      <c r="H490">
        <v>0</v>
      </c>
      <c r="I490">
        <v>0</v>
      </c>
      <c r="J490">
        <v>0.55199133396292011</v>
      </c>
      <c r="K490">
        <v>0</v>
      </c>
      <c r="L490">
        <v>0</v>
      </c>
      <c r="M490">
        <v>0.38807918132076402</v>
      </c>
      <c r="N490">
        <v>0</v>
      </c>
      <c r="O490">
        <v>0</v>
      </c>
      <c r="P490">
        <v>0.37547839250832499</v>
      </c>
      <c r="Q490">
        <v>0.85646262704120779</v>
      </c>
      <c r="R490">
        <v>-2.6191465850449749</v>
      </c>
      <c r="S490">
        <v>0.22691180291590671</v>
      </c>
      <c r="T490">
        <v>0.17862939450682661</v>
      </c>
      <c r="U490">
        <v>4.2558177004489526</v>
      </c>
      <c r="V490">
        <v>0.20544021673558341</v>
      </c>
      <c r="W490">
        <v>1.025802222890007</v>
      </c>
      <c r="X490">
        <v>0.28714509776982627</v>
      </c>
      <c r="Z490" t="s">
        <v>392</v>
      </c>
      <c r="AA490">
        <v>114</v>
      </c>
      <c r="AB490" t="s">
        <v>3923</v>
      </c>
      <c r="AC490" t="str">
        <f>HYPERLINK("plots/3FT6Y578R04_015_S21P_20251218081014_M5358ACSC201811_RBGEUFRF04/dpll_52084/txpa_54184.png","plot")</f>
        <v>plot</v>
      </c>
    </row>
    <row r="491" spans="1:29" x14ac:dyDescent="0.35">
      <c r="A491" t="s">
        <v>49</v>
      </c>
      <c r="B491">
        <v>52084</v>
      </c>
      <c r="C491" t="s">
        <v>52</v>
      </c>
      <c r="D491">
        <v>54185</v>
      </c>
      <c r="E491" t="s">
        <v>205</v>
      </c>
      <c r="F491">
        <v>12028</v>
      </c>
      <c r="G491">
        <v>0.60563357669793327</v>
      </c>
      <c r="H491">
        <v>0</v>
      </c>
      <c r="I491">
        <v>0</v>
      </c>
      <c r="J491">
        <v>0.54090373990763785</v>
      </c>
      <c r="K491">
        <v>0</v>
      </c>
      <c r="L491">
        <v>0</v>
      </c>
      <c r="M491">
        <v>0.37874512685646539</v>
      </c>
      <c r="N491">
        <v>0</v>
      </c>
      <c r="O491">
        <v>0</v>
      </c>
      <c r="P491">
        <v>0.36679202922393139</v>
      </c>
      <c r="Q491">
        <v>0.83267220226910099</v>
      </c>
      <c r="R491">
        <v>-2.5138348303323319</v>
      </c>
      <c r="S491">
        <v>0.22475259700353389</v>
      </c>
      <c r="T491">
        <v>0.17785597710133161</v>
      </c>
      <c r="U491">
        <v>4.2558177004489526</v>
      </c>
      <c r="V491">
        <v>0.20544021673558341</v>
      </c>
      <c r="W491">
        <v>1.029866266756319</v>
      </c>
      <c r="X491">
        <v>0.28245520771246829</v>
      </c>
      <c r="Z491" t="s">
        <v>392</v>
      </c>
      <c r="AA491">
        <v>114</v>
      </c>
      <c r="AB491" t="s">
        <v>3924</v>
      </c>
      <c r="AC491" t="str">
        <f>HYPERLINK("plots/3FT6Y578R04_015_S21P_20251218081014_M5358ACSC201811_RBGEUFRF04/dpll_52084/txpa_54185.png","plot")</f>
        <v>plot</v>
      </c>
    </row>
    <row r="492" spans="1:29" x14ac:dyDescent="0.35">
      <c r="A492" t="s">
        <v>49</v>
      </c>
      <c r="B492">
        <v>52084</v>
      </c>
      <c r="C492" t="s">
        <v>52</v>
      </c>
      <c r="D492">
        <v>54186</v>
      </c>
      <c r="E492" t="s">
        <v>206</v>
      </c>
      <c r="F492">
        <v>12027</v>
      </c>
      <c r="G492">
        <v>0.59645664134965903</v>
      </c>
      <c r="H492">
        <v>0</v>
      </c>
      <c r="I492">
        <v>0</v>
      </c>
      <c r="J492">
        <v>0.53304752552300561</v>
      </c>
      <c r="K492">
        <v>0</v>
      </c>
      <c r="L492">
        <v>0</v>
      </c>
      <c r="M492">
        <v>0.37390906890096159</v>
      </c>
      <c r="N492">
        <v>0</v>
      </c>
      <c r="O492">
        <v>0</v>
      </c>
      <c r="P492">
        <v>0.35576052501011579</v>
      </c>
      <c r="Q492">
        <v>0.8297439877000965</v>
      </c>
      <c r="R492">
        <v>-2.5445223359609952</v>
      </c>
      <c r="S492">
        <v>0.22937341903651329</v>
      </c>
      <c r="T492">
        <v>0.18030778154113861</v>
      </c>
      <c r="U492">
        <v>4.2558401814251274</v>
      </c>
      <c r="V492">
        <v>0.20543396214013371</v>
      </c>
      <c r="W492">
        <v>0.98673546718899141</v>
      </c>
      <c r="X492">
        <v>0.28578371525795188</v>
      </c>
      <c r="Z492" t="s">
        <v>392</v>
      </c>
      <c r="AA492">
        <v>114</v>
      </c>
      <c r="AB492" t="s">
        <v>3925</v>
      </c>
      <c r="AC492" t="str">
        <f>HYPERLINK("plots/3FT6Y578R04_015_S21P_20251218081014_M5358ACSC201811_RBGEUFRF04/dpll_52084/txpa_54186.png","plot")</f>
        <v>plot</v>
      </c>
    </row>
    <row r="493" spans="1:29" x14ac:dyDescent="0.35">
      <c r="A493" t="s">
        <v>49</v>
      </c>
      <c r="B493">
        <v>52084</v>
      </c>
      <c r="C493" t="s">
        <v>52</v>
      </c>
      <c r="D493">
        <v>54187</v>
      </c>
      <c r="E493" t="s">
        <v>207</v>
      </c>
      <c r="F493">
        <v>12028</v>
      </c>
      <c r="G493">
        <v>0.61150268735669766</v>
      </c>
      <c r="H493">
        <v>0</v>
      </c>
      <c r="I493">
        <v>0</v>
      </c>
      <c r="J493">
        <v>0.56110944514603889</v>
      </c>
      <c r="K493">
        <v>0</v>
      </c>
      <c r="L493">
        <v>0</v>
      </c>
      <c r="M493">
        <v>0.39375251083091728</v>
      </c>
      <c r="N493">
        <v>0</v>
      </c>
      <c r="O493">
        <v>0</v>
      </c>
      <c r="P493">
        <v>0.37393553664446311</v>
      </c>
      <c r="Q493">
        <v>0.86817929562548035</v>
      </c>
      <c r="R493">
        <v>-0.68069451119157742</v>
      </c>
      <c r="S493">
        <v>0.23077459180918</v>
      </c>
      <c r="T493">
        <v>0.17899763732667431</v>
      </c>
      <c r="U493">
        <v>4.2558177004489526</v>
      </c>
      <c r="V493">
        <v>0.20544021673558341</v>
      </c>
      <c r="W493">
        <v>3.0141183022946461</v>
      </c>
      <c r="X493">
        <v>0.2916731951410147</v>
      </c>
      <c r="Z493" t="s">
        <v>392</v>
      </c>
      <c r="AA493">
        <v>114</v>
      </c>
      <c r="AB493" t="s">
        <v>3926</v>
      </c>
      <c r="AC493" t="str">
        <f>HYPERLINK("plots/3FT6Y578R04_015_S21P_20251218081014_M5358ACSC201811_RBGEUFRF04/dpll_52084/txpa_54187.png","plot")</f>
        <v>plot</v>
      </c>
    </row>
    <row r="494" spans="1:29" x14ac:dyDescent="0.35">
      <c r="A494" t="s">
        <v>49</v>
      </c>
      <c r="B494">
        <v>52084</v>
      </c>
      <c r="C494" t="s">
        <v>52</v>
      </c>
      <c r="D494">
        <v>54188</v>
      </c>
      <c r="E494" t="s">
        <v>208</v>
      </c>
      <c r="F494">
        <v>12028</v>
      </c>
      <c r="G494">
        <v>0.63622163371535112</v>
      </c>
      <c r="H494">
        <v>0</v>
      </c>
      <c r="I494">
        <v>0</v>
      </c>
      <c r="J494">
        <v>0.57852068862259076</v>
      </c>
      <c r="K494">
        <v>0</v>
      </c>
      <c r="L494">
        <v>0</v>
      </c>
      <c r="M494">
        <v>0.40928815409428959</v>
      </c>
      <c r="N494">
        <v>0</v>
      </c>
      <c r="O494">
        <v>0</v>
      </c>
      <c r="P494">
        <v>0.40477796720743042</v>
      </c>
      <c r="Q494">
        <v>0.90510315378288653</v>
      </c>
      <c r="R494">
        <v>-0.80756942108824292</v>
      </c>
      <c r="S494">
        <v>0.2254740445865572</v>
      </c>
      <c r="T494">
        <v>0.17709660145288891</v>
      </c>
      <c r="U494">
        <v>4.2558177004489526</v>
      </c>
      <c r="V494">
        <v>0.20544021673558341</v>
      </c>
      <c r="W494">
        <v>3.0443846015131362</v>
      </c>
      <c r="X494">
        <v>0.29226385622153961</v>
      </c>
      <c r="Z494" t="s">
        <v>392</v>
      </c>
      <c r="AA494">
        <v>114</v>
      </c>
      <c r="AB494" t="s">
        <v>3927</v>
      </c>
      <c r="AC494" t="str">
        <f>HYPERLINK("plots/3FT6Y578R04_015_S21P_20251218081014_M5358ACSC201811_RBGEUFRF04/dpll_52084/txpa_54188.png","plot")</f>
        <v>plot</v>
      </c>
    </row>
    <row r="495" spans="1:29" x14ac:dyDescent="0.35">
      <c r="A495" t="s">
        <v>49</v>
      </c>
      <c r="B495">
        <v>52084</v>
      </c>
      <c r="C495" t="s">
        <v>52</v>
      </c>
      <c r="D495">
        <v>54189</v>
      </c>
      <c r="E495" t="s">
        <v>209</v>
      </c>
      <c r="F495">
        <v>12028</v>
      </c>
      <c r="G495">
        <v>0.62231137098595857</v>
      </c>
      <c r="H495">
        <v>0</v>
      </c>
      <c r="I495">
        <v>0</v>
      </c>
      <c r="J495">
        <v>0.56437578978839686</v>
      </c>
      <c r="K495">
        <v>0</v>
      </c>
      <c r="L495">
        <v>0</v>
      </c>
      <c r="M495">
        <v>0.3973872368608376</v>
      </c>
      <c r="N495">
        <v>0</v>
      </c>
      <c r="O495">
        <v>0</v>
      </c>
      <c r="P495">
        <v>0.38727144245842338</v>
      </c>
      <c r="Q495">
        <v>0.87002292327978992</v>
      </c>
      <c r="R495">
        <v>-0.64579957973669666</v>
      </c>
      <c r="S495">
        <v>0.22481455774193149</v>
      </c>
      <c r="T495">
        <v>0.176187513508402</v>
      </c>
      <c r="U495">
        <v>4.2558177004489526</v>
      </c>
      <c r="V495">
        <v>0.20544021673558341</v>
      </c>
      <c r="W495">
        <v>3.0568593769537742</v>
      </c>
      <c r="X495">
        <v>0.2872158637248472</v>
      </c>
      <c r="Z495" t="s">
        <v>392</v>
      </c>
      <c r="AA495">
        <v>114</v>
      </c>
      <c r="AB495" t="s">
        <v>3928</v>
      </c>
      <c r="AC495" t="str">
        <f>HYPERLINK("plots/3FT6Y578R04_015_S21P_20251218081014_M5358ACSC201811_RBGEUFRF04/dpll_52084/txpa_54189.png","plot")</f>
        <v>plot</v>
      </c>
    </row>
    <row r="496" spans="1:29" x14ac:dyDescent="0.35">
      <c r="A496" t="s">
        <v>49</v>
      </c>
      <c r="B496">
        <v>52084</v>
      </c>
      <c r="C496" t="s">
        <v>52</v>
      </c>
      <c r="D496">
        <v>54190</v>
      </c>
      <c r="E496" t="s">
        <v>210</v>
      </c>
      <c r="F496">
        <v>12028</v>
      </c>
      <c r="G496">
        <v>0.64306186318169389</v>
      </c>
      <c r="H496">
        <v>0</v>
      </c>
      <c r="I496">
        <v>0</v>
      </c>
      <c r="J496">
        <v>0.58013661033179964</v>
      </c>
      <c r="K496">
        <v>0</v>
      </c>
      <c r="L496">
        <v>0</v>
      </c>
      <c r="M496">
        <v>0.41086989864727658</v>
      </c>
      <c r="N496">
        <v>0</v>
      </c>
      <c r="O496">
        <v>0</v>
      </c>
      <c r="P496">
        <v>0.41352855987871162</v>
      </c>
      <c r="Q496">
        <v>0.91086453166019077</v>
      </c>
      <c r="R496">
        <v>-0.8125625529356868</v>
      </c>
      <c r="S496">
        <v>0.2228393490031618</v>
      </c>
      <c r="T496">
        <v>0.17491615502090491</v>
      </c>
      <c r="U496">
        <v>4.2558177004489526</v>
      </c>
      <c r="V496">
        <v>0.20544021673558341</v>
      </c>
      <c r="W496">
        <v>3.0639108436148978</v>
      </c>
      <c r="X496">
        <v>0.29099565300788699</v>
      </c>
      <c r="Z496" t="s">
        <v>392</v>
      </c>
      <c r="AA496">
        <v>114</v>
      </c>
      <c r="AB496" t="s">
        <v>3929</v>
      </c>
      <c r="AC496" t="str">
        <f>HYPERLINK("plots/3FT6Y578R04_015_S21P_20251218081014_M5358ACSC201811_RBGEUFRF04/dpll_52084/txpa_54190.png","plot")</f>
        <v>plot</v>
      </c>
    </row>
    <row r="497" spans="1:29" x14ac:dyDescent="0.35">
      <c r="A497" t="s">
        <v>49</v>
      </c>
      <c r="B497">
        <v>52084</v>
      </c>
      <c r="C497" t="s">
        <v>52</v>
      </c>
      <c r="D497">
        <v>54191</v>
      </c>
      <c r="E497" t="s">
        <v>211</v>
      </c>
      <c r="F497">
        <v>12027</v>
      </c>
      <c r="G497">
        <v>0.63907531852847255</v>
      </c>
      <c r="H497">
        <v>0</v>
      </c>
      <c r="I497">
        <v>0</v>
      </c>
      <c r="J497">
        <v>0.57133038573324124</v>
      </c>
      <c r="K497">
        <v>0</v>
      </c>
      <c r="L497">
        <v>0</v>
      </c>
      <c r="M497">
        <v>0.40220320722193542</v>
      </c>
      <c r="N497">
        <v>0</v>
      </c>
      <c r="O497">
        <v>0</v>
      </c>
      <c r="P497">
        <v>0.40841726275226858</v>
      </c>
      <c r="Q497">
        <v>0.89654341356544454</v>
      </c>
      <c r="R497">
        <v>-0.76724971562173794</v>
      </c>
      <c r="S497">
        <v>0.22165224359767099</v>
      </c>
      <c r="T497">
        <v>0.17516971243981949</v>
      </c>
      <c r="U497">
        <v>4.2557921641307059</v>
      </c>
      <c r="V497">
        <v>0.20542966688110781</v>
      </c>
      <c r="W497">
        <v>3.0482527186330759</v>
      </c>
      <c r="X497">
        <v>0.28819234517972547</v>
      </c>
      <c r="Z497" t="s">
        <v>392</v>
      </c>
      <c r="AA497">
        <v>114</v>
      </c>
      <c r="AB497" t="s">
        <v>3930</v>
      </c>
      <c r="AC497" t="str">
        <f>HYPERLINK("plots/3FT6Y578R04_015_S21P_20251218081014_M5358ACSC201811_RBGEUFRF04/dpll_52084/txpa_54191.png","plot")</f>
        <v>plot</v>
      </c>
    </row>
    <row r="498" spans="1:29" x14ac:dyDescent="0.35">
      <c r="A498" t="s">
        <v>49</v>
      </c>
      <c r="B498">
        <v>52084</v>
      </c>
      <c r="C498" t="s">
        <v>52</v>
      </c>
      <c r="D498">
        <v>54192</v>
      </c>
      <c r="E498" t="s">
        <v>212</v>
      </c>
      <c r="F498">
        <v>12028</v>
      </c>
      <c r="G498">
        <v>0.6476810797689373</v>
      </c>
      <c r="H498">
        <v>0</v>
      </c>
      <c r="I498">
        <v>0</v>
      </c>
      <c r="J498">
        <v>0.58816000308723837</v>
      </c>
      <c r="K498">
        <v>0</v>
      </c>
      <c r="L498">
        <v>0</v>
      </c>
      <c r="M498">
        <v>0.41673660091957321</v>
      </c>
      <c r="N498">
        <v>0</v>
      </c>
      <c r="O498">
        <v>0</v>
      </c>
      <c r="P498">
        <v>0.41949078109065652</v>
      </c>
      <c r="Q498">
        <v>0.91780542352920425</v>
      </c>
      <c r="R498">
        <v>-0.84584295536749954</v>
      </c>
      <c r="S498">
        <v>0.22179991738775001</v>
      </c>
      <c r="T498">
        <v>0.17479843934022299</v>
      </c>
      <c r="U498">
        <v>4.2558177004489526</v>
      </c>
      <c r="V498">
        <v>0.20544021673558341</v>
      </c>
      <c r="W498">
        <v>3.0601696116561361</v>
      </c>
      <c r="X498">
        <v>0.29112189783002651</v>
      </c>
      <c r="Z498" t="s">
        <v>392</v>
      </c>
      <c r="AA498">
        <v>114</v>
      </c>
      <c r="AB498" t="s">
        <v>3931</v>
      </c>
      <c r="AC498" t="str">
        <f>HYPERLINK("plots/3FT6Y578R04_015_S21P_20251218081014_M5358ACSC201811_RBGEUFRF04/dpll_52084/txpa_54192.png","plot")</f>
        <v>plot</v>
      </c>
    </row>
    <row r="499" spans="1:29" x14ac:dyDescent="0.35">
      <c r="A499" t="s">
        <v>49</v>
      </c>
      <c r="B499">
        <v>52084</v>
      </c>
      <c r="C499" t="s">
        <v>52</v>
      </c>
      <c r="D499">
        <v>54193</v>
      </c>
      <c r="E499" t="s">
        <v>213</v>
      </c>
      <c r="F499">
        <v>12028</v>
      </c>
      <c r="G499">
        <v>0.6420195422770133</v>
      </c>
      <c r="H499">
        <v>0</v>
      </c>
      <c r="I499">
        <v>0</v>
      </c>
      <c r="J499">
        <v>0.5783947626009911</v>
      </c>
      <c r="K499">
        <v>0</v>
      </c>
      <c r="L499">
        <v>0</v>
      </c>
      <c r="M499">
        <v>0.40829164930565759</v>
      </c>
      <c r="N499">
        <v>0</v>
      </c>
      <c r="O499">
        <v>0</v>
      </c>
      <c r="P499">
        <v>0.41218909266558568</v>
      </c>
      <c r="Q499">
        <v>0.89530483505842406</v>
      </c>
      <c r="R499">
        <v>-0.74595585373059103</v>
      </c>
      <c r="S499">
        <v>0.21963872442109689</v>
      </c>
      <c r="T499">
        <v>0.1739979646959777</v>
      </c>
      <c r="U499">
        <v>4.2558177004489526</v>
      </c>
      <c r="V499">
        <v>0.20544021673558341</v>
      </c>
      <c r="W499">
        <v>3.0642983106085802</v>
      </c>
      <c r="X499">
        <v>0.28648912883006472</v>
      </c>
      <c r="Z499" t="s">
        <v>392</v>
      </c>
      <c r="AA499">
        <v>114</v>
      </c>
      <c r="AB499" t="s">
        <v>3932</v>
      </c>
      <c r="AC499" t="str">
        <f>HYPERLINK("plots/3FT6Y578R04_015_S21P_20251218081014_M5358ACSC201811_RBGEUFRF04/dpll_52084/txpa_54193.png","plot")</f>
        <v>plot</v>
      </c>
    </row>
    <row r="500" spans="1:29" x14ac:dyDescent="0.35">
      <c r="A500" t="s">
        <v>49</v>
      </c>
      <c r="B500">
        <v>52084</v>
      </c>
      <c r="C500" t="s">
        <v>52</v>
      </c>
      <c r="D500">
        <v>54194</v>
      </c>
      <c r="E500" t="s">
        <v>214</v>
      </c>
      <c r="F500">
        <v>12027</v>
      </c>
      <c r="G500">
        <v>0.6341143763632886</v>
      </c>
      <c r="H500">
        <v>0</v>
      </c>
      <c r="I500">
        <v>0</v>
      </c>
      <c r="J500">
        <v>0.57153743010715596</v>
      </c>
      <c r="K500">
        <v>0</v>
      </c>
      <c r="L500">
        <v>0</v>
      </c>
      <c r="M500">
        <v>0.40411157113415519</v>
      </c>
      <c r="N500">
        <v>0</v>
      </c>
      <c r="O500">
        <v>0</v>
      </c>
      <c r="P500">
        <v>0.40210104231060251</v>
      </c>
      <c r="Q500">
        <v>0.89352126580655278</v>
      </c>
      <c r="R500">
        <v>-0.77897087800696818</v>
      </c>
      <c r="S500">
        <v>0.22382334324604539</v>
      </c>
      <c r="T500">
        <v>0.17577452472401189</v>
      </c>
      <c r="U500">
        <v>4.2558401814251274</v>
      </c>
      <c r="V500">
        <v>0.20543396214013371</v>
      </c>
      <c r="W500">
        <v>3.0237128279704</v>
      </c>
      <c r="X500">
        <v>0.28947398250744782</v>
      </c>
      <c r="Z500" t="s">
        <v>392</v>
      </c>
      <c r="AA500">
        <v>114</v>
      </c>
      <c r="AB500" t="s">
        <v>3933</v>
      </c>
      <c r="AC500" t="str">
        <f>HYPERLINK("plots/3FT6Y578R04_015_S21P_20251218081014_M5358ACSC201811_RBGEUFRF04/dpll_52084/txpa_54194.png","plot")</f>
        <v>plot</v>
      </c>
    </row>
    <row r="501" spans="1:29" x14ac:dyDescent="0.35">
      <c r="A501" t="s">
        <v>49</v>
      </c>
      <c r="B501">
        <v>52084</v>
      </c>
      <c r="C501" t="s">
        <v>52</v>
      </c>
      <c r="D501">
        <v>54195</v>
      </c>
      <c r="E501" t="s">
        <v>215</v>
      </c>
      <c r="F501">
        <v>12028</v>
      </c>
      <c r="G501">
        <v>0.65756850130965816</v>
      </c>
      <c r="H501">
        <v>0</v>
      </c>
      <c r="I501">
        <v>0</v>
      </c>
      <c r="J501">
        <v>0.60360387819797834</v>
      </c>
      <c r="K501">
        <v>0</v>
      </c>
      <c r="L501">
        <v>0</v>
      </c>
      <c r="M501">
        <v>0.42812556903347448</v>
      </c>
      <c r="N501">
        <v>0</v>
      </c>
      <c r="O501">
        <v>0</v>
      </c>
      <c r="P501">
        <v>0.43239633391462989</v>
      </c>
      <c r="Q501">
        <v>0.96164930879298638</v>
      </c>
      <c r="R501">
        <v>1.384346711836723</v>
      </c>
      <c r="S501">
        <v>0.22634230196940591</v>
      </c>
      <c r="T501">
        <v>0.1751632030672384</v>
      </c>
      <c r="U501">
        <v>4.2558177004489526</v>
      </c>
      <c r="V501">
        <v>0.20544021673558341</v>
      </c>
      <c r="W501">
        <v>5.4769508618224148</v>
      </c>
      <c r="X501">
        <v>0.30044237524847739</v>
      </c>
      <c r="Z501" t="s">
        <v>392</v>
      </c>
      <c r="AA501">
        <v>114</v>
      </c>
      <c r="AB501" t="s">
        <v>3934</v>
      </c>
      <c r="AC501" t="str">
        <f>HYPERLINK("plots/3FT6Y578R04_015_S21P_20251218081014_M5358ACSC201811_RBGEUFRF04/dpll_52084/txpa_54195.png","plot")</f>
        <v>plot</v>
      </c>
    </row>
    <row r="502" spans="1:29" x14ac:dyDescent="0.35">
      <c r="A502" t="s">
        <v>49</v>
      </c>
      <c r="B502">
        <v>52084</v>
      </c>
      <c r="C502" t="s">
        <v>52</v>
      </c>
      <c r="D502">
        <v>54196</v>
      </c>
      <c r="E502" t="s">
        <v>216</v>
      </c>
      <c r="F502">
        <v>12028</v>
      </c>
      <c r="G502">
        <v>0.6798863927652713</v>
      </c>
      <c r="H502">
        <v>0</v>
      </c>
      <c r="I502">
        <v>0</v>
      </c>
      <c r="J502">
        <v>0.61823145054866235</v>
      </c>
      <c r="K502">
        <v>0</v>
      </c>
      <c r="L502">
        <v>0</v>
      </c>
      <c r="M502">
        <v>0.44197800168561818</v>
      </c>
      <c r="N502">
        <v>0</v>
      </c>
      <c r="O502">
        <v>0</v>
      </c>
      <c r="P502">
        <v>0.46224550706737277</v>
      </c>
      <c r="Q502">
        <v>0.99649470499764814</v>
      </c>
      <c r="R502">
        <v>1.265903115588469</v>
      </c>
      <c r="S502">
        <v>0.22079949725338849</v>
      </c>
      <c r="T502">
        <v>0.17328632826156959</v>
      </c>
      <c r="U502">
        <v>4.2558177004489526</v>
      </c>
      <c r="V502">
        <v>0.20544021673558341</v>
      </c>
      <c r="W502">
        <v>5.5068029195211166</v>
      </c>
      <c r="X502">
        <v>0.30110925935424221</v>
      </c>
      <c r="Z502" t="s">
        <v>392</v>
      </c>
      <c r="AA502">
        <v>114</v>
      </c>
      <c r="AB502" t="s">
        <v>3935</v>
      </c>
      <c r="AC502" t="str">
        <f>HYPERLINK("plots/3FT6Y578R04_015_S21P_20251218081014_M5358ACSC201811_RBGEUFRF04/dpll_52084/txpa_54196.png","plot")</f>
        <v>plot</v>
      </c>
    </row>
    <row r="503" spans="1:29" x14ac:dyDescent="0.35">
      <c r="A503" t="s">
        <v>49</v>
      </c>
      <c r="B503">
        <v>52084</v>
      </c>
      <c r="C503" t="s">
        <v>52</v>
      </c>
      <c r="D503">
        <v>54197</v>
      </c>
      <c r="E503" t="s">
        <v>217</v>
      </c>
      <c r="F503">
        <v>12028</v>
      </c>
      <c r="G503">
        <v>0.66707262981230619</v>
      </c>
      <c r="H503">
        <v>0</v>
      </c>
      <c r="I503">
        <v>0</v>
      </c>
      <c r="J503">
        <v>0.60561229682885309</v>
      </c>
      <c r="K503">
        <v>0</v>
      </c>
      <c r="L503">
        <v>0</v>
      </c>
      <c r="M503">
        <v>0.43091495637702543</v>
      </c>
      <c r="N503">
        <v>0</v>
      </c>
      <c r="O503">
        <v>0</v>
      </c>
      <c r="P503">
        <v>0.44498589344470613</v>
      </c>
      <c r="Q503">
        <v>0.96120744618910658</v>
      </c>
      <c r="R503">
        <v>1.429017842109124</v>
      </c>
      <c r="S503">
        <v>0.2205278410647504</v>
      </c>
      <c r="T503">
        <v>0.17229361718545741</v>
      </c>
      <c r="U503">
        <v>4.2558177004489526</v>
      </c>
      <c r="V503">
        <v>0.20544021673558341</v>
      </c>
      <c r="W503">
        <v>5.5197415054040579</v>
      </c>
      <c r="X503">
        <v>0.296025735801076</v>
      </c>
      <c r="Z503" t="s">
        <v>392</v>
      </c>
      <c r="AA503">
        <v>114</v>
      </c>
      <c r="AB503" t="s">
        <v>3936</v>
      </c>
      <c r="AC503" t="str">
        <f>HYPERLINK("plots/3FT6Y578R04_015_S21P_20251218081014_M5358ACSC201811_RBGEUFRF04/dpll_52084/txpa_54197.png","plot")</f>
        <v>plot</v>
      </c>
    </row>
    <row r="504" spans="1:29" x14ac:dyDescent="0.35">
      <c r="A504" t="s">
        <v>49</v>
      </c>
      <c r="B504">
        <v>52084</v>
      </c>
      <c r="C504" t="s">
        <v>52</v>
      </c>
      <c r="D504">
        <v>54198</v>
      </c>
      <c r="E504" t="s">
        <v>218</v>
      </c>
      <c r="F504">
        <v>12028</v>
      </c>
      <c r="G504">
        <v>0.68569965340912176</v>
      </c>
      <c r="H504">
        <v>0</v>
      </c>
      <c r="I504">
        <v>0</v>
      </c>
      <c r="J504">
        <v>0.62031878514654071</v>
      </c>
      <c r="K504">
        <v>0</v>
      </c>
      <c r="L504">
        <v>0</v>
      </c>
      <c r="M504">
        <v>0.4439320976787115</v>
      </c>
      <c r="N504">
        <v>0</v>
      </c>
      <c r="O504">
        <v>0</v>
      </c>
      <c r="P504">
        <v>0.47018401468538967</v>
      </c>
      <c r="Q504">
        <v>0.99976404069015512</v>
      </c>
      <c r="R504">
        <v>1.2685252291556111</v>
      </c>
      <c r="S504">
        <v>0.21801858729120729</v>
      </c>
      <c r="T504">
        <v>0.17087767257916561</v>
      </c>
      <c r="U504">
        <v>4.2558177004489526</v>
      </c>
      <c r="V504">
        <v>0.20544021673558341</v>
      </c>
      <c r="W504">
        <v>5.5233387297971399</v>
      </c>
      <c r="X504">
        <v>0.29953601432153781</v>
      </c>
      <c r="Z504" t="s">
        <v>392</v>
      </c>
      <c r="AA504">
        <v>114</v>
      </c>
      <c r="AB504" t="s">
        <v>3937</v>
      </c>
      <c r="AC504" t="str">
        <f>HYPERLINK("plots/3FT6Y578R04_015_S21P_20251218081014_M5358ACSC201811_RBGEUFRF04/dpll_52084/txpa_54198.png","plot")</f>
        <v>plot</v>
      </c>
    </row>
    <row r="505" spans="1:29" x14ac:dyDescent="0.35">
      <c r="A505" t="s">
        <v>49</v>
      </c>
      <c r="B505">
        <v>52084</v>
      </c>
      <c r="C505" t="s">
        <v>52</v>
      </c>
      <c r="D505">
        <v>54199</v>
      </c>
      <c r="E505" t="s">
        <v>219</v>
      </c>
      <c r="F505">
        <v>12027</v>
      </c>
      <c r="G505">
        <v>0.68365338758549843</v>
      </c>
      <c r="H505">
        <v>0</v>
      </c>
      <c r="I505">
        <v>0</v>
      </c>
      <c r="J505">
        <v>0.61288907517206792</v>
      </c>
      <c r="K505">
        <v>0</v>
      </c>
      <c r="L505">
        <v>0</v>
      </c>
      <c r="M505">
        <v>0.43610789379716569</v>
      </c>
      <c r="N505">
        <v>0</v>
      </c>
      <c r="O505">
        <v>0</v>
      </c>
      <c r="P505">
        <v>0.46738195435712782</v>
      </c>
      <c r="Q505">
        <v>0.98742972179505328</v>
      </c>
      <c r="R505">
        <v>1.3046007670322419</v>
      </c>
      <c r="S505">
        <v>0.21653258959607219</v>
      </c>
      <c r="T505">
        <v>0.17089421513635811</v>
      </c>
      <c r="U505">
        <v>4.2557921641307059</v>
      </c>
      <c r="V505">
        <v>0.20542966688110781</v>
      </c>
      <c r="W505">
        <v>5.5068964396773934</v>
      </c>
      <c r="X505">
        <v>0.29671082232660562</v>
      </c>
      <c r="Z505" t="s">
        <v>392</v>
      </c>
      <c r="AA505">
        <v>114</v>
      </c>
      <c r="AB505" t="s">
        <v>3938</v>
      </c>
      <c r="AC505" t="str">
        <f>HYPERLINK("plots/3FT6Y578R04_015_S21P_20251218081014_M5358ACSC201811_RBGEUFRF04/dpll_52084/txpa_54199.png","plot")</f>
        <v>plot</v>
      </c>
    </row>
    <row r="506" spans="1:29" x14ac:dyDescent="0.35">
      <c r="A506" t="s">
        <v>49</v>
      </c>
      <c r="B506">
        <v>52084</v>
      </c>
      <c r="C506" t="s">
        <v>52</v>
      </c>
      <c r="D506">
        <v>54200</v>
      </c>
      <c r="E506" t="s">
        <v>220</v>
      </c>
      <c r="F506">
        <v>12028</v>
      </c>
      <c r="G506">
        <v>0.69011018508969624</v>
      </c>
      <c r="H506">
        <v>0</v>
      </c>
      <c r="I506">
        <v>0</v>
      </c>
      <c r="J506">
        <v>0.62807224833916708</v>
      </c>
      <c r="K506">
        <v>0</v>
      </c>
      <c r="L506">
        <v>0</v>
      </c>
      <c r="M506">
        <v>0.44984356238102291</v>
      </c>
      <c r="N506">
        <v>0</v>
      </c>
      <c r="O506">
        <v>0</v>
      </c>
      <c r="P506">
        <v>0.47625206756453481</v>
      </c>
      <c r="Q506">
        <v>1.008477862044187</v>
      </c>
      <c r="R506">
        <v>1.229255963436549</v>
      </c>
      <c r="S506">
        <v>0.2172583631257507</v>
      </c>
      <c r="T506">
        <v>0.17087165048324091</v>
      </c>
      <c r="U506">
        <v>4.2558177004489526</v>
      </c>
      <c r="V506">
        <v>0.20544021673558341</v>
      </c>
      <c r="W506">
        <v>5.5211538992351183</v>
      </c>
      <c r="X506">
        <v>0.30021569747513221</v>
      </c>
      <c r="Z506" t="s">
        <v>392</v>
      </c>
      <c r="AA506">
        <v>114</v>
      </c>
      <c r="AB506" t="s">
        <v>3939</v>
      </c>
      <c r="AC506" t="str">
        <f>HYPERLINK("plots/3FT6Y578R04_015_S21P_20251218081014_M5358ACSC201811_RBGEUFRF04/dpll_52084/txpa_54200.png","plot")</f>
        <v>plot</v>
      </c>
    </row>
    <row r="507" spans="1:29" x14ac:dyDescent="0.35">
      <c r="A507" t="s">
        <v>49</v>
      </c>
      <c r="B507">
        <v>52084</v>
      </c>
      <c r="C507" t="s">
        <v>52</v>
      </c>
      <c r="D507">
        <v>54201</v>
      </c>
      <c r="E507" t="s">
        <v>221</v>
      </c>
      <c r="F507">
        <v>12028</v>
      </c>
      <c r="G507">
        <v>0.68634556639106692</v>
      </c>
      <c r="H507">
        <v>0</v>
      </c>
      <c r="I507">
        <v>0</v>
      </c>
      <c r="J507">
        <v>0.61960619413804896</v>
      </c>
      <c r="K507">
        <v>0</v>
      </c>
      <c r="L507">
        <v>0</v>
      </c>
      <c r="M507">
        <v>0.44223633615403041</v>
      </c>
      <c r="N507">
        <v>0</v>
      </c>
      <c r="O507">
        <v>0</v>
      </c>
      <c r="P507">
        <v>0.47107023650467439</v>
      </c>
      <c r="Q507">
        <v>0.98703774228343055</v>
      </c>
      <c r="R507">
        <v>1.3253632771947681</v>
      </c>
      <c r="S507">
        <v>0.2148608751004783</v>
      </c>
      <c r="T507">
        <v>0.1699211336520389</v>
      </c>
      <c r="U507">
        <v>4.2558177004489526</v>
      </c>
      <c r="V507">
        <v>0.20544021673558341</v>
      </c>
      <c r="W507">
        <v>5.5260159718157631</v>
      </c>
      <c r="X507">
        <v>0.2954448278396401</v>
      </c>
      <c r="Z507" t="s">
        <v>392</v>
      </c>
      <c r="AA507">
        <v>114</v>
      </c>
      <c r="AB507" t="s">
        <v>3940</v>
      </c>
      <c r="AC507" t="str">
        <f>HYPERLINK("plots/3FT6Y578R04_015_S21P_20251218081014_M5358ACSC201811_RBGEUFRF04/dpll_52084/txpa_54201.png","plot")</f>
        <v>plot</v>
      </c>
    </row>
    <row r="508" spans="1:29" x14ac:dyDescent="0.35">
      <c r="A508" t="s">
        <v>49</v>
      </c>
      <c r="B508">
        <v>52084</v>
      </c>
      <c r="C508" t="s">
        <v>52</v>
      </c>
      <c r="D508">
        <v>54202</v>
      </c>
      <c r="E508" t="s">
        <v>222</v>
      </c>
      <c r="F508">
        <v>12027</v>
      </c>
      <c r="G508">
        <v>0.67967210383642407</v>
      </c>
      <c r="H508">
        <v>0</v>
      </c>
      <c r="I508">
        <v>0</v>
      </c>
      <c r="J508">
        <v>0.61332583597679535</v>
      </c>
      <c r="K508">
        <v>0</v>
      </c>
      <c r="L508">
        <v>0</v>
      </c>
      <c r="M508">
        <v>0.43833554979969919</v>
      </c>
      <c r="N508">
        <v>0</v>
      </c>
      <c r="O508">
        <v>0</v>
      </c>
      <c r="P508">
        <v>0.46195416873343081</v>
      </c>
      <c r="Q508">
        <v>0.9872903021167051</v>
      </c>
      <c r="R508">
        <v>1.2860492119652061</v>
      </c>
      <c r="S508">
        <v>0.21888159653407921</v>
      </c>
      <c r="T508">
        <v>0.17161326901699511</v>
      </c>
      <c r="U508">
        <v>4.2558401814251274</v>
      </c>
      <c r="V508">
        <v>0.20543396214013371</v>
      </c>
      <c r="W508">
        <v>5.4877989504448328</v>
      </c>
      <c r="X508">
        <v>0.29841295148281921</v>
      </c>
      <c r="Z508" t="s">
        <v>392</v>
      </c>
      <c r="AA508">
        <v>114</v>
      </c>
      <c r="AB508" t="s">
        <v>3941</v>
      </c>
      <c r="AC508" t="str">
        <f>HYPERLINK("plots/3FT6Y578R04_015_S21P_20251218081014_M5358ACSC201811_RBGEUFRF04/dpll_52084/txpa_54202.png","plot")</f>
        <v>plot</v>
      </c>
    </row>
    <row r="509" spans="1:29" x14ac:dyDescent="0.35">
      <c r="A509" t="s">
        <v>49</v>
      </c>
      <c r="B509">
        <v>52084</v>
      </c>
      <c r="C509" t="s">
        <v>52</v>
      </c>
      <c r="D509">
        <v>54203</v>
      </c>
      <c r="E509" t="s">
        <v>223</v>
      </c>
      <c r="F509">
        <v>12028</v>
      </c>
      <c r="G509">
        <v>0.67406827699758998</v>
      </c>
      <c r="H509">
        <v>0</v>
      </c>
      <c r="I509">
        <v>0</v>
      </c>
      <c r="J509">
        <v>0.61727866354793004</v>
      </c>
      <c r="K509">
        <v>0</v>
      </c>
      <c r="L509">
        <v>0</v>
      </c>
      <c r="M509">
        <v>0.43945649910972068</v>
      </c>
      <c r="N509">
        <v>0</v>
      </c>
      <c r="O509">
        <v>0</v>
      </c>
      <c r="P509">
        <v>0.45436804205449971</v>
      </c>
      <c r="Q509">
        <v>1.005570519739607</v>
      </c>
      <c r="R509">
        <v>2.288869595829357</v>
      </c>
      <c r="S509">
        <v>0.22637369190972009</v>
      </c>
      <c r="T509">
        <v>0.1748312640937818</v>
      </c>
      <c r="U509">
        <v>4.2558177004489526</v>
      </c>
      <c r="V509">
        <v>0.20544021673558341</v>
      </c>
      <c r="W509">
        <v>6.568394412786831</v>
      </c>
      <c r="X509">
        <v>0.30647433289455472</v>
      </c>
      <c r="Z509" t="s">
        <v>392</v>
      </c>
      <c r="AA509">
        <v>114</v>
      </c>
      <c r="AB509" t="s">
        <v>3942</v>
      </c>
      <c r="AC509" t="str">
        <f>HYPERLINK("plots/3FT6Y578R04_015_S21P_20251218081014_M5358ACSC201811_RBGEUFRF04/dpll_52084/txpa_54203.png","plot")</f>
        <v>plot</v>
      </c>
    </row>
    <row r="510" spans="1:29" x14ac:dyDescent="0.35">
      <c r="A510" t="s">
        <v>49</v>
      </c>
      <c r="B510">
        <v>52084</v>
      </c>
      <c r="C510" t="s">
        <v>52</v>
      </c>
      <c r="D510">
        <v>54204</v>
      </c>
      <c r="E510" t="s">
        <v>224</v>
      </c>
      <c r="F510">
        <v>12028</v>
      </c>
      <c r="G510">
        <v>0.69531342499410864</v>
      </c>
      <c r="H510">
        <v>0</v>
      </c>
      <c r="I510">
        <v>0</v>
      </c>
      <c r="J510">
        <v>0.63116355525863976</v>
      </c>
      <c r="K510">
        <v>0</v>
      </c>
      <c r="L510">
        <v>0</v>
      </c>
      <c r="M510">
        <v>0.45293446320511987</v>
      </c>
      <c r="N510">
        <v>0</v>
      </c>
      <c r="O510">
        <v>0</v>
      </c>
      <c r="P510">
        <v>0.48346075897703789</v>
      </c>
      <c r="Q510">
        <v>1.0391024101978521</v>
      </c>
      <c r="R510">
        <v>2.175549187161006</v>
      </c>
      <c r="S510">
        <v>0.22064638057336819</v>
      </c>
      <c r="T510">
        <v>0.17290448002935099</v>
      </c>
      <c r="U510">
        <v>4.2558177004489526</v>
      </c>
      <c r="V510">
        <v>0.20544021673558341</v>
      </c>
      <c r="W510">
        <v>6.5977796170601932</v>
      </c>
      <c r="X510">
        <v>0.3070175501980601</v>
      </c>
      <c r="Z510" t="s">
        <v>392</v>
      </c>
      <c r="AA510">
        <v>114</v>
      </c>
      <c r="AB510" t="s">
        <v>3943</v>
      </c>
      <c r="AC510" t="str">
        <f>HYPERLINK("plots/3FT6Y578R04_015_S21P_20251218081014_M5358ACSC201811_RBGEUFRF04/dpll_52084/txpa_54204.png","plot")</f>
        <v>plot</v>
      </c>
    </row>
    <row r="511" spans="1:29" x14ac:dyDescent="0.35">
      <c r="A511" t="s">
        <v>49</v>
      </c>
      <c r="B511">
        <v>52084</v>
      </c>
      <c r="C511" t="s">
        <v>52</v>
      </c>
      <c r="D511">
        <v>54205</v>
      </c>
      <c r="E511" t="s">
        <v>225</v>
      </c>
      <c r="F511">
        <v>12028</v>
      </c>
      <c r="G511">
        <v>0.68348281698811619</v>
      </c>
      <c r="H511">
        <v>0</v>
      </c>
      <c r="I511">
        <v>0</v>
      </c>
      <c r="J511">
        <v>0.6191611761478294</v>
      </c>
      <c r="K511">
        <v>0</v>
      </c>
      <c r="L511">
        <v>0</v>
      </c>
      <c r="M511">
        <v>0.44220305442037039</v>
      </c>
      <c r="N511">
        <v>0</v>
      </c>
      <c r="O511">
        <v>0</v>
      </c>
      <c r="P511">
        <v>0.46714876111801068</v>
      </c>
      <c r="Q511">
        <v>1.004913943323883</v>
      </c>
      <c r="R511">
        <v>2.334300831357103</v>
      </c>
      <c r="S511">
        <v>0.22048125470905819</v>
      </c>
      <c r="T511">
        <v>0.17189007065565479</v>
      </c>
      <c r="U511">
        <v>4.2558177004489526</v>
      </c>
      <c r="V511">
        <v>0.20544021673558341</v>
      </c>
      <c r="W511">
        <v>6.6110313787828412</v>
      </c>
      <c r="X511">
        <v>0.30205549164619028</v>
      </c>
      <c r="Z511" t="s">
        <v>392</v>
      </c>
      <c r="AA511">
        <v>114</v>
      </c>
      <c r="AB511" t="s">
        <v>3944</v>
      </c>
      <c r="AC511" t="str">
        <f>HYPERLINK("plots/3FT6Y578R04_015_S21P_20251218081014_M5358ACSC201811_RBGEUFRF04/dpll_52084/txpa_54205.png","plot")</f>
        <v>plot</v>
      </c>
    </row>
    <row r="512" spans="1:29" x14ac:dyDescent="0.35">
      <c r="A512" t="s">
        <v>49</v>
      </c>
      <c r="B512">
        <v>52084</v>
      </c>
      <c r="C512" t="s">
        <v>52</v>
      </c>
      <c r="D512">
        <v>54206</v>
      </c>
      <c r="E512" t="s">
        <v>226</v>
      </c>
      <c r="F512">
        <v>12028</v>
      </c>
      <c r="G512">
        <v>0.7012244889833088</v>
      </c>
      <c r="H512">
        <v>0</v>
      </c>
      <c r="I512">
        <v>0</v>
      </c>
      <c r="J512">
        <v>0.63352872818392758</v>
      </c>
      <c r="K512">
        <v>0</v>
      </c>
      <c r="L512">
        <v>0</v>
      </c>
      <c r="M512">
        <v>0.45506934000324861</v>
      </c>
      <c r="N512">
        <v>0</v>
      </c>
      <c r="O512">
        <v>0</v>
      </c>
      <c r="P512">
        <v>0.49171578394990262</v>
      </c>
      <c r="Q512">
        <v>1.0428806047745529</v>
      </c>
      <c r="R512">
        <v>2.1750853768127261</v>
      </c>
      <c r="S512">
        <v>0.2178202429663543</v>
      </c>
      <c r="T512">
        <v>0.17049066251701009</v>
      </c>
      <c r="U512">
        <v>4.2558177004489526</v>
      </c>
      <c r="V512">
        <v>0.20544021673558341</v>
      </c>
      <c r="W512">
        <v>6.6133951140671767</v>
      </c>
      <c r="X512">
        <v>0.30553641642615298</v>
      </c>
      <c r="Z512" t="s">
        <v>392</v>
      </c>
      <c r="AA512">
        <v>114</v>
      </c>
      <c r="AB512" t="s">
        <v>3945</v>
      </c>
      <c r="AC512" t="str">
        <f>HYPERLINK("plots/3FT6Y578R04_015_S21P_20251218081014_M5358ACSC201811_RBGEUFRF04/dpll_52084/txpa_54206.png","plot")</f>
        <v>plot</v>
      </c>
    </row>
    <row r="513" spans="1:29" x14ac:dyDescent="0.35">
      <c r="A513" t="s">
        <v>49</v>
      </c>
      <c r="B513">
        <v>52084</v>
      </c>
      <c r="C513" t="s">
        <v>52</v>
      </c>
      <c r="D513">
        <v>54207</v>
      </c>
      <c r="E513" t="s">
        <v>227</v>
      </c>
      <c r="F513">
        <v>12027</v>
      </c>
      <c r="G513">
        <v>0.69991695129688158</v>
      </c>
      <c r="H513">
        <v>0</v>
      </c>
      <c r="I513">
        <v>0</v>
      </c>
      <c r="J513">
        <v>0.62659244525118352</v>
      </c>
      <c r="K513">
        <v>0</v>
      </c>
      <c r="L513">
        <v>0</v>
      </c>
      <c r="M513">
        <v>0.44750822533822721</v>
      </c>
      <c r="N513">
        <v>0</v>
      </c>
      <c r="O513">
        <v>0</v>
      </c>
      <c r="P513">
        <v>0.48988373871272128</v>
      </c>
      <c r="Q513">
        <v>1.03131542175088</v>
      </c>
      <c r="R513">
        <v>2.2073007751674001</v>
      </c>
      <c r="S513">
        <v>0.2161845685440755</v>
      </c>
      <c r="T513">
        <v>0.17040707754426801</v>
      </c>
      <c r="U513">
        <v>4.2557921641307059</v>
      </c>
      <c r="V513">
        <v>0.20542966688110781</v>
      </c>
      <c r="W513">
        <v>6.5963648658019469</v>
      </c>
      <c r="X513">
        <v>0.3026970316222094</v>
      </c>
      <c r="Z513" t="s">
        <v>392</v>
      </c>
      <c r="AA513">
        <v>114</v>
      </c>
      <c r="AB513" t="s">
        <v>3946</v>
      </c>
      <c r="AC513" t="str">
        <f>HYPERLINK("plots/3FT6Y578R04_015_S21P_20251218081014_M5358ACSC201811_RBGEUFRF04/dpll_52084/txpa_54207.png","plot")</f>
        <v>plot</v>
      </c>
    </row>
    <row r="514" spans="1:29" x14ac:dyDescent="0.35">
      <c r="A514" t="s">
        <v>49</v>
      </c>
      <c r="B514">
        <v>52084</v>
      </c>
      <c r="C514" t="s">
        <v>52</v>
      </c>
      <c r="D514">
        <v>54208</v>
      </c>
      <c r="E514" t="s">
        <v>228</v>
      </c>
      <c r="F514">
        <v>12028</v>
      </c>
      <c r="G514">
        <v>0.70543514521818462</v>
      </c>
      <c r="H514">
        <v>0</v>
      </c>
      <c r="I514">
        <v>0</v>
      </c>
      <c r="J514">
        <v>0.64130633224776934</v>
      </c>
      <c r="K514">
        <v>0</v>
      </c>
      <c r="L514">
        <v>0</v>
      </c>
      <c r="M514">
        <v>0.4611298341643274</v>
      </c>
      <c r="N514">
        <v>0</v>
      </c>
      <c r="O514">
        <v>0</v>
      </c>
      <c r="P514">
        <v>0.49763874410900122</v>
      </c>
      <c r="Q514">
        <v>1.0519531054583999</v>
      </c>
      <c r="R514">
        <v>2.1343102100831151</v>
      </c>
      <c r="S514">
        <v>0.2171274672432961</v>
      </c>
      <c r="T514">
        <v>0.17044360871652339</v>
      </c>
      <c r="U514">
        <v>4.2558177004489526</v>
      </c>
      <c r="V514">
        <v>0.20544021673558341</v>
      </c>
      <c r="W514">
        <v>6.6112308563352187</v>
      </c>
      <c r="X514">
        <v>0.3063548441638842</v>
      </c>
      <c r="Z514" t="s">
        <v>392</v>
      </c>
      <c r="AA514">
        <v>114</v>
      </c>
      <c r="AB514" t="s">
        <v>3947</v>
      </c>
      <c r="AC514" t="str">
        <f>HYPERLINK("plots/3FT6Y578R04_015_S21P_20251218081014_M5358ACSC201811_RBGEUFRF04/dpll_52084/txpa_54208.png","plot")</f>
        <v>plot</v>
      </c>
    </row>
    <row r="515" spans="1:29" x14ac:dyDescent="0.35">
      <c r="A515" t="s">
        <v>49</v>
      </c>
      <c r="B515">
        <v>52084</v>
      </c>
      <c r="C515" t="s">
        <v>52</v>
      </c>
      <c r="D515">
        <v>54209</v>
      </c>
      <c r="E515" t="s">
        <v>229</v>
      </c>
      <c r="F515">
        <v>12028</v>
      </c>
      <c r="G515">
        <v>0.70238345536195779</v>
      </c>
      <c r="H515">
        <v>0</v>
      </c>
      <c r="I515">
        <v>0</v>
      </c>
      <c r="J515">
        <v>0.63274941251057926</v>
      </c>
      <c r="K515">
        <v>0</v>
      </c>
      <c r="L515">
        <v>0</v>
      </c>
      <c r="M515">
        <v>0.45334446165797709</v>
      </c>
      <c r="N515">
        <v>0</v>
      </c>
      <c r="O515">
        <v>0</v>
      </c>
      <c r="P515">
        <v>0.49334251836620341</v>
      </c>
      <c r="Q515">
        <v>1.0309767514542729</v>
      </c>
      <c r="R515">
        <v>2.2286069979133689</v>
      </c>
      <c r="S515">
        <v>0.21463435578278989</v>
      </c>
      <c r="T515">
        <v>0.1694872256534718</v>
      </c>
      <c r="U515">
        <v>4.2558177004489526</v>
      </c>
      <c r="V515">
        <v>0.20544021673558341</v>
      </c>
      <c r="W515">
        <v>6.6162561055038234</v>
      </c>
      <c r="X515">
        <v>0.30155050727805821</v>
      </c>
      <c r="Z515" t="s">
        <v>392</v>
      </c>
      <c r="AA515">
        <v>114</v>
      </c>
      <c r="AB515" t="s">
        <v>3948</v>
      </c>
      <c r="AC515" t="str">
        <f>HYPERLINK("plots/3FT6Y578R04_015_S21P_20251218081014_M5358ACSC201811_RBGEUFRF04/dpll_52084/txpa_54209.png","plot")</f>
        <v>plot</v>
      </c>
    </row>
    <row r="516" spans="1:29" x14ac:dyDescent="0.35">
      <c r="A516" t="s">
        <v>49</v>
      </c>
      <c r="B516">
        <v>52084</v>
      </c>
      <c r="C516" t="s">
        <v>52</v>
      </c>
      <c r="D516">
        <v>54210</v>
      </c>
      <c r="E516" t="s">
        <v>230</v>
      </c>
      <c r="F516">
        <v>12027</v>
      </c>
      <c r="G516">
        <v>0.69589735682233445</v>
      </c>
      <c r="H516">
        <v>0</v>
      </c>
      <c r="I516">
        <v>0</v>
      </c>
      <c r="J516">
        <v>0.62684281600987413</v>
      </c>
      <c r="K516">
        <v>0</v>
      </c>
      <c r="L516">
        <v>0</v>
      </c>
      <c r="M516">
        <v>0.44969064597965058</v>
      </c>
      <c r="N516">
        <v>0</v>
      </c>
      <c r="O516">
        <v>0</v>
      </c>
      <c r="P516">
        <v>0.48427313123231153</v>
      </c>
      <c r="Q516">
        <v>1.030929494161527</v>
      </c>
      <c r="R516">
        <v>2.1918458345310952</v>
      </c>
      <c r="S516">
        <v>0.2185485067220603</v>
      </c>
      <c r="T516">
        <v>0.17105762667089469</v>
      </c>
      <c r="U516">
        <v>4.2558401814251274</v>
      </c>
      <c r="V516">
        <v>0.20543396214013371</v>
      </c>
      <c r="W516">
        <v>6.5793169999999996</v>
      </c>
      <c r="X516">
        <v>0.30433788632250358</v>
      </c>
      <c r="Z516" t="s">
        <v>392</v>
      </c>
      <c r="AA516">
        <v>114</v>
      </c>
      <c r="AB516" t="s">
        <v>3949</v>
      </c>
      <c r="AC516" t="str">
        <f>HYPERLINK("plots/3FT6Y578R04_015_S21P_20251218081014_M5358ACSC201811_RBGEUFRF04/dpll_52084/txpa_54210.png","plot")</f>
        <v>plot</v>
      </c>
    </row>
    <row r="517" spans="1:29" x14ac:dyDescent="0.35">
      <c r="A517" t="s">
        <v>49</v>
      </c>
      <c r="B517">
        <v>52084</v>
      </c>
      <c r="C517" t="s">
        <v>52</v>
      </c>
      <c r="D517">
        <v>54211</v>
      </c>
      <c r="E517" t="s">
        <v>231</v>
      </c>
      <c r="F517">
        <v>12028</v>
      </c>
      <c r="G517">
        <v>0.68922723559079091</v>
      </c>
      <c r="H517">
        <v>0</v>
      </c>
      <c r="I517">
        <v>0</v>
      </c>
      <c r="J517">
        <v>0.62965435229198619</v>
      </c>
      <c r="K517">
        <v>0</v>
      </c>
      <c r="L517">
        <v>0</v>
      </c>
      <c r="M517">
        <v>0.4497746203812118</v>
      </c>
      <c r="N517">
        <v>0</v>
      </c>
      <c r="O517">
        <v>0</v>
      </c>
      <c r="P517">
        <v>0.47503418228012362</v>
      </c>
      <c r="Q517">
        <v>1.054390386070361</v>
      </c>
      <c r="R517">
        <v>3.151435727289027</v>
      </c>
      <c r="S517">
        <v>0.22770466594813901</v>
      </c>
      <c r="T517">
        <v>0.175507840364548</v>
      </c>
      <c r="U517">
        <v>4.2558177004489526</v>
      </c>
      <c r="V517">
        <v>0.20544021673558341</v>
      </c>
      <c r="W517">
        <v>7.6387289955104754</v>
      </c>
      <c r="X517">
        <v>0.31428559153286162</v>
      </c>
      <c r="Z517" t="s">
        <v>392</v>
      </c>
      <c r="AA517">
        <v>114</v>
      </c>
      <c r="AB517" t="s">
        <v>3950</v>
      </c>
      <c r="AC517" t="str">
        <f>HYPERLINK("plots/3FT6Y578R04_015_S21P_20251218081014_M5358ACSC201811_RBGEUFRF04/dpll_52084/txpa_54211.png","plot")</f>
        <v>plot</v>
      </c>
    </row>
    <row r="518" spans="1:29" x14ac:dyDescent="0.35">
      <c r="A518" t="s">
        <v>49</v>
      </c>
      <c r="B518">
        <v>52084</v>
      </c>
      <c r="C518" t="s">
        <v>52</v>
      </c>
      <c r="D518">
        <v>54212</v>
      </c>
      <c r="E518" t="s">
        <v>232</v>
      </c>
      <c r="F518">
        <v>12028</v>
      </c>
      <c r="G518">
        <v>0.7095167439071538</v>
      </c>
      <c r="H518">
        <v>0</v>
      </c>
      <c r="I518">
        <v>0</v>
      </c>
      <c r="J518">
        <v>0.64272216435134333</v>
      </c>
      <c r="K518">
        <v>0</v>
      </c>
      <c r="L518">
        <v>0</v>
      </c>
      <c r="M518">
        <v>0.46270813219976592</v>
      </c>
      <c r="N518">
        <v>0</v>
      </c>
      <c r="O518">
        <v>0</v>
      </c>
      <c r="P518">
        <v>0.50341400988460971</v>
      </c>
      <c r="Q518">
        <v>1.0872032785486541</v>
      </c>
      <c r="R518">
        <v>3.0404828324082751</v>
      </c>
      <c r="S518">
        <v>0.2218261523658599</v>
      </c>
      <c r="T518">
        <v>0.17358072344176839</v>
      </c>
      <c r="U518">
        <v>4.2558177004489526</v>
      </c>
      <c r="V518">
        <v>0.20544021673558341</v>
      </c>
      <c r="W518">
        <v>7.6674217892417689</v>
      </c>
      <c r="X518">
        <v>0.31479916309050521</v>
      </c>
      <c r="Z518" t="s">
        <v>392</v>
      </c>
      <c r="AA518">
        <v>114</v>
      </c>
      <c r="AB518" t="s">
        <v>3951</v>
      </c>
      <c r="AC518" t="str">
        <f>HYPERLINK("plots/3FT6Y578R04_015_S21P_20251218081014_M5358ACSC201811_RBGEUFRF04/dpll_52084/txpa_54212.png","plot")</f>
        <v>plot</v>
      </c>
    </row>
    <row r="519" spans="1:29" x14ac:dyDescent="0.35">
      <c r="A519" t="s">
        <v>49</v>
      </c>
      <c r="B519">
        <v>52084</v>
      </c>
      <c r="C519" t="s">
        <v>52</v>
      </c>
      <c r="D519">
        <v>54213</v>
      </c>
      <c r="E519" t="s">
        <v>233</v>
      </c>
      <c r="F519">
        <v>12028</v>
      </c>
      <c r="G519">
        <v>0.69849170869719501</v>
      </c>
      <c r="H519">
        <v>0</v>
      </c>
      <c r="I519">
        <v>0</v>
      </c>
      <c r="J519">
        <v>0.63160813170691288</v>
      </c>
      <c r="K519">
        <v>0</v>
      </c>
      <c r="L519">
        <v>0</v>
      </c>
      <c r="M519">
        <v>0.45260456549172451</v>
      </c>
      <c r="N519">
        <v>0</v>
      </c>
      <c r="O519">
        <v>0</v>
      </c>
      <c r="P519">
        <v>0.48789066711872708</v>
      </c>
      <c r="Q519">
        <v>1.0534593615496091</v>
      </c>
      <c r="R519">
        <v>3.1977826171458141</v>
      </c>
      <c r="S519">
        <v>0.22172021304629219</v>
      </c>
      <c r="T519">
        <v>0.17245520769784661</v>
      </c>
      <c r="U519">
        <v>4.2558177004489526</v>
      </c>
      <c r="V519">
        <v>0.20544021673558341</v>
      </c>
      <c r="W519">
        <v>7.6811136147322916</v>
      </c>
      <c r="X519">
        <v>0.30984321913075591</v>
      </c>
      <c r="Z519" t="s">
        <v>392</v>
      </c>
      <c r="AA519">
        <v>114</v>
      </c>
      <c r="AB519" t="s">
        <v>3952</v>
      </c>
      <c r="AC519" t="str">
        <f>HYPERLINK("plots/3FT6Y578R04_015_S21P_20251218081014_M5358ACSC201811_RBGEUFRF04/dpll_52084/txpa_54213.png","plot")</f>
        <v>plot</v>
      </c>
    </row>
    <row r="520" spans="1:29" x14ac:dyDescent="0.35">
      <c r="A520" t="s">
        <v>49</v>
      </c>
      <c r="B520">
        <v>52084</v>
      </c>
      <c r="C520" t="s">
        <v>52</v>
      </c>
      <c r="D520">
        <v>54214</v>
      </c>
      <c r="E520" t="s">
        <v>234</v>
      </c>
      <c r="F520">
        <v>12027</v>
      </c>
      <c r="G520">
        <v>0.71603491445085266</v>
      </c>
      <c r="H520">
        <v>0</v>
      </c>
      <c r="I520">
        <v>0</v>
      </c>
      <c r="J520">
        <v>0.64498700341673265</v>
      </c>
      <c r="K520">
        <v>0</v>
      </c>
      <c r="L520">
        <v>0</v>
      </c>
      <c r="M520">
        <v>0.46479639625849373</v>
      </c>
      <c r="N520">
        <v>0</v>
      </c>
      <c r="O520">
        <v>0</v>
      </c>
      <c r="P520">
        <v>0.51270599871263989</v>
      </c>
      <c r="Q520">
        <v>1.0901249195737091</v>
      </c>
      <c r="R520">
        <v>3.0429781813612058</v>
      </c>
      <c r="S520">
        <v>0.2183332881190648</v>
      </c>
      <c r="T520">
        <v>0.17102329315416609</v>
      </c>
      <c r="U520">
        <v>4.2558247893905383</v>
      </c>
      <c r="V520">
        <v>0.20544728689892131</v>
      </c>
      <c r="W520">
        <v>7.6823588376153653</v>
      </c>
      <c r="X520">
        <v>0.31278252301298343</v>
      </c>
      <c r="Z520" t="s">
        <v>392</v>
      </c>
      <c r="AA520">
        <v>114</v>
      </c>
      <c r="AB520" t="s">
        <v>3953</v>
      </c>
      <c r="AC520" t="str">
        <f>HYPERLINK("plots/3FT6Y578R04_015_S21P_20251218081014_M5358ACSC201811_RBGEUFRF04/dpll_52084/txpa_54214.png","plot")</f>
        <v>plot</v>
      </c>
    </row>
    <row r="521" spans="1:29" x14ac:dyDescent="0.35">
      <c r="A521" t="s">
        <v>49</v>
      </c>
      <c r="B521">
        <v>52084</v>
      </c>
      <c r="C521" t="s">
        <v>52</v>
      </c>
      <c r="D521">
        <v>54215</v>
      </c>
      <c r="E521" t="s">
        <v>235</v>
      </c>
      <c r="F521">
        <v>12027</v>
      </c>
      <c r="G521">
        <v>0.71442034734553406</v>
      </c>
      <c r="H521">
        <v>0</v>
      </c>
      <c r="I521">
        <v>0</v>
      </c>
      <c r="J521">
        <v>0.63841956043579895</v>
      </c>
      <c r="K521">
        <v>0</v>
      </c>
      <c r="L521">
        <v>0</v>
      </c>
      <c r="M521">
        <v>0.45747395538717422</v>
      </c>
      <c r="N521">
        <v>0</v>
      </c>
      <c r="O521">
        <v>0</v>
      </c>
      <c r="P521">
        <v>0.51039643270131352</v>
      </c>
      <c r="Q521">
        <v>1.0803050648356001</v>
      </c>
      <c r="R521">
        <v>3.0673194515688631</v>
      </c>
      <c r="S521">
        <v>0.21735017288071479</v>
      </c>
      <c r="T521">
        <v>0.17101097354146449</v>
      </c>
      <c r="U521">
        <v>4.2557921641307059</v>
      </c>
      <c r="V521">
        <v>0.20542966688110781</v>
      </c>
      <c r="W521">
        <v>7.6648732813669236</v>
      </c>
      <c r="X521">
        <v>0.31063884227784272</v>
      </c>
      <c r="Z521" t="s">
        <v>392</v>
      </c>
      <c r="AA521">
        <v>114</v>
      </c>
      <c r="AB521" t="s">
        <v>3954</v>
      </c>
      <c r="AC521" t="str">
        <f>HYPERLINK("plots/3FT6Y578R04_015_S21P_20251218081014_M5358ACSC201811_RBGEUFRF04/dpll_52084/txpa_54215.png","plot")</f>
        <v>plot</v>
      </c>
    </row>
    <row r="522" spans="1:29" x14ac:dyDescent="0.35">
      <c r="A522" t="s">
        <v>49</v>
      </c>
      <c r="B522">
        <v>52084</v>
      </c>
      <c r="C522" t="s">
        <v>52</v>
      </c>
      <c r="D522">
        <v>54216</v>
      </c>
      <c r="E522" t="s">
        <v>236</v>
      </c>
      <c r="F522">
        <v>12028</v>
      </c>
      <c r="G522">
        <v>0.71918595760832005</v>
      </c>
      <c r="H522">
        <v>0</v>
      </c>
      <c r="I522">
        <v>0</v>
      </c>
      <c r="J522">
        <v>0.65228383312004801</v>
      </c>
      <c r="K522">
        <v>0</v>
      </c>
      <c r="L522">
        <v>0</v>
      </c>
      <c r="M522">
        <v>0.47058863786278649</v>
      </c>
      <c r="N522">
        <v>0</v>
      </c>
      <c r="O522">
        <v>0</v>
      </c>
      <c r="P522">
        <v>0.51722844162099635</v>
      </c>
      <c r="Q522">
        <v>1.099966363373827</v>
      </c>
      <c r="R522">
        <v>2.9989457634957062</v>
      </c>
      <c r="S522">
        <v>0.2183114199057937</v>
      </c>
      <c r="T522">
        <v>0.17105784155457501</v>
      </c>
      <c r="U522">
        <v>4.2558177004489526</v>
      </c>
      <c r="V522">
        <v>0.20544021673558341</v>
      </c>
      <c r="W522">
        <v>7.6802020826405064</v>
      </c>
      <c r="X522">
        <v>0.31421265349071431</v>
      </c>
      <c r="Z522" t="s">
        <v>392</v>
      </c>
      <c r="AA522">
        <v>114</v>
      </c>
      <c r="AB522" t="s">
        <v>3955</v>
      </c>
      <c r="AC522" t="str">
        <f>HYPERLINK("plots/3FT6Y578R04_015_S21P_20251218081014_M5358ACSC201811_RBGEUFRF04/dpll_52084/txpa_54216.png","plot")</f>
        <v>plot</v>
      </c>
    </row>
    <row r="523" spans="1:29" x14ac:dyDescent="0.35">
      <c r="A523" t="s">
        <v>49</v>
      </c>
      <c r="B523">
        <v>52084</v>
      </c>
      <c r="C523" t="s">
        <v>52</v>
      </c>
      <c r="D523">
        <v>54217</v>
      </c>
      <c r="E523" t="s">
        <v>237</v>
      </c>
      <c r="F523">
        <v>12028</v>
      </c>
      <c r="G523">
        <v>0.71695715656166892</v>
      </c>
      <c r="H523">
        <v>0</v>
      </c>
      <c r="I523">
        <v>0</v>
      </c>
      <c r="J523">
        <v>0.64439891680206296</v>
      </c>
      <c r="K523">
        <v>0</v>
      </c>
      <c r="L523">
        <v>0</v>
      </c>
      <c r="M523">
        <v>0.46325453929779431</v>
      </c>
      <c r="N523">
        <v>0</v>
      </c>
      <c r="O523">
        <v>0</v>
      </c>
      <c r="P523">
        <v>0.51402756434499342</v>
      </c>
      <c r="Q523">
        <v>1.0800273014764961</v>
      </c>
      <c r="R523">
        <v>3.0894535651242059</v>
      </c>
      <c r="S523">
        <v>0.21573209376821131</v>
      </c>
      <c r="T523">
        <v>0.1700432584845839</v>
      </c>
      <c r="U523">
        <v>4.2558177004489526</v>
      </c>
      <c r="V523">
        <v>0.20544021673558341</v>
      </c>
      <c r="W523">
        <v>7.685852871715996</v>
      </c>
      <c r="X523">
        <v>0.30947601382453582</v>
      </c>
      <c r="Z523" t="s">
        <v>392</v>
      </c>
      <c r="AA523">
        <v>114</v>
      </c>
      <c r="AB523" t="s">
        <v>3956</v>
      </c>
      <c r="AC523" t="str">
        <f>HYPERLINK("plots/3FT6Y578R04_015_S21P_20251218081014_M5358ACSC201811_RBGEUFRF04/dpll_52084/txpa_54217.png","plot")</f>
        <v>plot</v>
      </c>
    </row>
    <row r="524" spans="1:29" x14ac:dyDescent="0.35">
      <c r="A524" t="s">
        <v>49</v>
      </c>
      <c r="B524">
        <v>52084</v>
      </c>
      <c r="C524" t="s">
        <v>52</v>
      </c>
      <c r="D524">
        <v>54218</v>
      </c>
      <c r="E524" t="s">
        <v>238</v>
      </c>
      <c r="F524">
        <v>12027</v>
      </c>
      <c r="G524">
        <v>0.71036124761690045</v>
      </c>
      <c r="H524">
        <v>0</v>
      </c>
      <c r="I524">
        <v>0</v>
      </c>
      <c r="J524">
        <v>0.63848432527899268</v>
      </c>
      <c r="K524">
        <v>0</v>
      </c>
      <c r="L524">
        <v>0</v>
      </c>
      <c r="M524">
        <v>0.45947546879457057</v>
      </c>
      <c r="N524">
        <v>0</v>
      </c>
      <c r="O524">
        <v>0</v>
      </c>
      <c r="P524">
        <v>0.50461310211583932</v>
      </c>
      <c r="Q524">
        <v>1.078980346408007</v>
      </c>
      <c r="R524">
        <v>3.0576459603233501</v>
      </c>
      <c r="S524">
        <v>0.21961435157641779</v>
      </c>
      <c r="T524">
        <v>0.1715819402330602</v>
      </c>
      <c r="U524">
        <v>4.2558401814251274</v>
      </c>
      <c r="V524">
        <v>0.20543396214013371</v>
      </c>
      <c r="W524">
        <v>7.6496138735345474</v>
      </c>
      <c r="X524">
        <v>0.31203730267880858</v>
      </c>
      <c r="Z524" t="s">
        <v>392</v>
      </c>
      <c r="AA524">
        <v>114</v>
      </c>
      <c r="AB524" t="s">
        <v>3957</v>
      </c>
      <c r="AC524" t="str">
        <f>HYPERLINK("plots/3FT6Y578R04_015_S21P_20251218081014_M5358ACSC201811_RBGEUFRF04/dpll_52084/txpa_54218.png","plot")</f>
        <v>plot</v>
      </c>
    </row>
    <row r="525" spans="1:29" x14ac:dyDescent="0.35">
      <c r="A525" t="s">
        <v>49</v>
      </c>
      <c r="B525">
        <v>52084</v>
      </c>
      <c r="C525" t="s">
        <v>52</v>
      </c>
      <c r="D525">
        <v>54219</v>
      </c>
      <c r="E525" t="s">
        <v>239</v>
      </c>
      <c r="F525">
        <v>12028</v>
      </c>
      <c r="G525">
        <v>0.70624886935587883</v>
      </c>
      <c r="H525">
        <v>0</v>
      </c>
      <c r="I525">
        <v>0</v>
      </c>
      <c r="J525">
        <v>0.64270655611106275</v>
      </c>
      <c r="K525">
        <v>0</v>
      </c>
      <c r="L525">
        <v>0</v>
      </c>
      <c r="M525">
        <v>0.46079261808954669</v>
      </c>
      <c r="N525">
        <v>0</v>
      </c>
      <c r="O525">
        <v>0</v>
      </c>
      <c r="P525">
        <v>0.49878746546645719</v>
      </c>
      <c r="Q525">
        <v>1.113509095353387</v>
      </c>
      <c r="R525">
        <v>3.9694427969335422</v>
      </c>
      <c r="S525">
        <v>0.2293054491453401</v>
      </c>
      <c r="T525">
        <v>0.17617687622991851</v>
      </c>
      <c r="U525">
        <v>4.2558177004489526</v>
      </c>
      <c r="V525">
        <v>0.20544021673558341</v>
      </c>
      <c r="W525">
        <v>8.7083345145493851</v>
      </c>
      <c r="X525">
        <v>0.32390784582080678</v>
      </c>
      <c r="Z525" t="s">
        <v>392</v>
      </c>
      <c r="AA525">
        <v>114</v>
      </c>
      <c r="AB525" t="s">
        <v>3958</v>
      </c>
      <c r="AC525" t="str">
        <f>HYPERLINK("plots/3FT6Y578R04_015_S21P_20251218081014_M5358ACSC201811_RBGEUFRF04/dpll_52084/txpa_54219.png","plot")</f>
        <v>plot</v>
      </c>
    </row>
    <row r="526" spans="1:29" x14ac:dyDescent="0.35">
      <c r="A526" t="s">
        <v>49</v>
      </c>
      <c r="B526">
        <v>52084</v>
      </c>
      <c r="C526" t="s">
        <v>52</v>
      </c>
      <c r="D526">
        <v>54220</v>
      </c>
      <c r="E526" t="s">
        <v>240</v>
      </c>
      <c r="F526">
        <v>12028</v>
      </c>
      <c r="G526">
        <v>0.72593293346384002</v>
      </c>
      <c r="H526">
        <v>0</v>
      </c>
      <c r="I526">
        <v>0</v>
      </c>
      <c r="J526">
        <v>0.65546896955419676</v>
      </c>
      <c r="K526">
        <v>0</v>
      </c>
      <c r="L526">
        <v>0</v>
      </c>
      <c r="M526">
        <v>0.47370859158033102</v>
      </c>
      <c r="N526">
        <v>0</v>
      </c>
      <c r="O526">
        <v>0</v>
      </c>
      <c r="P526">
        <v>0.52697862388741601</v>
      </c>
      <c r="Q526">
        <v>1.1467814837476991</v>
      </c>
      <c r="R526">
        <v>3.8548882533916609</v>
      </c>
      <c r="S526">
        <v>0.22319885712705309</v>
      </c>
      <c r="T526">
        <v>0.17421659093743291</v>
      </c>
      <c r="U526">
        <v>4.2558177004489526</v>
      </c>
      <c r="V526">
        <v>0.20544021673558341</v>
      </c>
      <c r="W526">
        <v>8.735381190472232</v>
      </c>
      <c r="X526">
        <v>0.32454105015641471</v>
      </c>
      <c r="Z526" t="s">
        <v>392</v>
      </c>
      <c r="AA526">
        <v>114</v>
      </c>
      <c r="AB526" t="s">
        <v>3959</v>
      </c>
      <c r="AC526" t="str">
        <f>HYPERLINK("plots/3FT6Y578R04_015_S21P_20251218081014_M5358ACSC201811_RBGEUFRF04/dpll_52084/txpa_54220.png","plot")</f>
        <v>plot</v>
      </c>
    </row>
    <row r="527" spans="1:29" x14ac:dyDescent="0.35">
      <c r="A527" t="s">
        <v>49</v>
      </c>
      <c r="B527">
        <v>52084</v>
      </c>
      <c r="C527" t="s">
        <v>52</v>
      </c>
      <c r="D527">
        <v>54221</v>
      </c>
      <c r="E527" t="s">
        <v>241</v>
      </c>
      <c r="F527">
        <v>12028</v>
      </c>
      <c r="G527">
        <v>0.71562010126025566</v>
      </c>
      <c r="H527">
        <v>0</v>
      </c>
      <c r="I527">
        <v>0</v>
      </c>
      <c r="J527">
        <v>0.64480395904215304</v>
      </c>
      <c r="K527">
        <v>0</v>
      </c>
      <c r="L527">
        <v>0</v>
      </c>
      <c r="M527">
        <v>0.46382964580132879</v>
      </c>
      <c r="N527">
        <v>0</v>
      </c>
      <c r="O527">
        <v>0</v>
      </c>
      <c r="P527">
        <v>0.51211212932773853</v>
      </c>
      <c r="Q527">
        <v>1.112745785164446</v>
      </c>
      <c r="R527">
        <v>4.0135177785105833</v>
      </c>
      <c r="S527">
        <v>0.22312120556493961</v>
      </c>
      <c r="T527">
        <v>0.17293386063631599</v>
      </c>
      <c r="U527">
        <v>4.2558177004489526</v>
      </c>
      <c r="V527">
        <v>0.20544021673558341</v>
      </c>
      <c r="W527">
        <v>8.7491609871134024</v>
      </c>
      <c r="X527">
        <v>0.31944705699742931</v>
      </c>
      <c r="Z527" t="s">
        <v>392</v>
      </c>
      <c r="AA527">
        <v>114</v>
      </c>
      <c r="AB527" t="s">
        <v>3960</v>
      </c>
      <c r="AC527" t="str">
        <f>HYPERLINK("plots/3FT6Y578R04_015_S21P_20251218081014_M5358ACSC201811_RBGEUFRF04/dpll_52084/txpa_54221.png","plot")</f>
        <v>plot</v>
      </c>
    </row>
    <row r="528" spans="1:29" x14ac:dyDescent="0.35">
      <c r="A528" t="s">
        <v>49</v>
      </c>
      <c r="B528">
        <v>52084</v>
      </c>
      <c r="C528" t="s">
        <v>52</v>
      </c>
      <c r="D528">
        <v>54222</v>
      </c>
      <c r="E528" t="s">
        <v>242</v>
      </c>
      <c r="F528">
        <v>12027</v>
      </c>
      <c r="G528">
        <v>0.73206384202964125</v>
      </c>
      <c r="H528">
        <v>0</v>
      </c>
      <c r="I528">
        <v>0</v>
      </c>
      <c r="J528">
        <v>0.65747173695095384</v>
      </c>
      <c r="K528">
        <v>0</v>
      </c>
      <c r="L528">
        <v>0</v>
      </c>
      <c r="M528">
        <v>0.47551672466027839</v>
      </c>
      <c r="N528">
        <v>0</v>
      </c>
      <c r="O528">
        <v>0</v>
      </c>
      <c r="P528">
        <v>0.53591746880719959</v>
      </c>
      <c r="Q528">
        <v>1.148663159558946</v>
      </c>
      <c r="R528">
        <v>3.8612324169490799</v>
      </c>
      <c r="S528">
        <v>0.21959563383742819</v>
      </c>
      <c r="T528">
        <v>0.17163013455925419</v>
      </c>
      <c r="U528">
        <v>4.2558247893905383</v>
      </c>
      <c r="V528">
        <v>0.20544728689892131</v>
      </c>
      <c r="W528">
        <v>8.7497415660597007</v>
      </c>
      <c r="X528">
        <v>0.32236222600183118</v>
      </c>
      <c r="Z528" t="s">
        <v>392</v>
      </c>
      <c r="AA528">
        <v>114</v>
      </c>
      <c r="AB528" t="s">
        <v>3961</v>
      </c>
      <c r="AC528" t="str">
        <f>HYPERLINK("plots/3FT6Y578R04_015_S21P_20251218081014_M5358ACSC201811_RBGEUFRF04/dpll_52084/txpa_54222.png","plot")</f>
        <v>plot</v>
      </c>
    </row>
    <row r="529" spans="1:29" x14ac:dyDescent="0.35">
      <c r="A529" t="s">
        <v>49</v>
      </c>
      <c r="B529">
        <v>52084</v>
      </c>
      <c r="C529" t="s">
        <v>52</v>
      </c>
      <c r="D529">
        <v>54223</v>
      </c>
      <c r="E529" t="s">
        <v>243</v>
      </c>
      <c r="F529">
        <v>12027</v>
      </c>
      <c r="G529">
        <v>0.73079180995471404</v>
      </c>
      <c r="H529">
        <v>0</v>
      </c>
      <c r="I529">
        <v>0</v>
      </c>
      <c r="J529">
        <v>0.6509140708710599</v>
      </c>
      <c r="K529">
        <v>0</v>
      </c>
      <c r="L529">
        <v>0</v>
      </c>
      <c r="M529">
        <v>0.46808098302594547</v>
      </c>
      <c r="N529">
        <v>0</v>
      </c>
      <c r="O529">
        <v>0</v>
      </c>
      <c r="P529">
        <v>0.5340566694968869</v>
      </c>
      <c r="Q529">
        <v>1.13937082029435</v>
      </c>
      <c r="R529">
        <v>3.882830747932259</v>
      </c>
      <c r="S529">
        <v>0.2186165705852631</v>
      </c>
      <c r="T529">
        <v>0.1715383243269131</v>
      </c>
      <c r="U529">
        <v>4.2557921641307059</v>
      </c>
      <c r="V529">
        <v>0.20542966688110781</v>
      </c>
      <c r="W529">
        <v>8.7317561569801292</v>
      </c>
      <c r="X529">
        <v>0.32028351286753942</v>
      </c>
      <c r="Z529" t="s">
        <v>392</v>
      </c>
      <c r="AA529">
        <v>114</v>
      </c>
      <c r="AB529" t="s">
        <v>3962</v>
      </c>
      <c r="AC529" t="str">
        <f>HYPERLINK("plots/3FT6Y578R04_015_S21P_20251218081014_M5358ACSC201811_RBGEUFRF04/dpll_52084/txpa_54223.png","plot")</f>
        <v>plot</v>
      </c>
    </row>
    <row r="530" spans="1:29" x14ac:dyDescent="0.35">
      <c r="A530" t="s">
        <v>49</v>
      </c>
      <c r="B530">
        <v>52084</v>
      </c>
      <c r="C530" t="s">
        <v>52</v>
      </c>
      <c r="D530">
        <v>54224</v>
      </c>
      <c r="E530" t="s">
        <v>244</v>
      </c>
      <c r="F530">
        <v>12028</v>
      </c>
      <c r="G530">
        <v>0.73495721014194737</v>
      </c>
      <c r="H530">
        <v>0</v>
      </c>
      <c r="I530">
        <v>0</v>
      </c>
      <c r="J530">
        <v>0.66457770089681933</v>
      </c>
      <c r="K530">
        <v>0</v>
      </c>
      <c r="L530">
        <v>0</v>
      </c>
      <c r="M530">
        <v>0.48121911650375637</v>
      </c>
      <c r="N530">
        <v>0</v>
      </c>
      <c r="O530">
        <v>0</v>
      </c>
      <c r="P530">
        <v>0.54016210073963455</v>
      </c>
      <c r="Q530">
        <v>1.1589845163777821</v>
      </c>
      <c r="R530">
        <v>3.815410233612925</v>
      </c>
      <c r="S530">
        <v>0.2196773953940471</v>
      </c>
      <c r="T530">
        <v>0.1716746120687411</v>
      </c>
      <c r="U530">
        <v>4.2558177004489526</v>
      </c>
      <c r="V530">
        <v>0.20544021673558341</v>
      </c>
      <c r="W530">
        <v>8.7478370529597598</v>
      </c>
      <c r="X530">
        <v>0.32396720101820742</v>
      </c>
      <c r="Z530" t="s">
        <v>392</v>
      </c>
      <c r="AA530">
        <v>114</v>
      </c>
      <c r="AB530" t="s">
        <v>3963</v>
      </c>
      <c r="AC530" t="str">
        <f>HYPERLINK("plots/3FT6Y578R04_015_S21P_20251218081014_M5358ACSC201811_RBGEUFRF04/dpll_52084/txpa_54224.png","plot")</f>
        <v>plot</v>
      </c>
    </row>
    <row r="531" spans="1:29" x14ac:dyDescent="0.35">
      <c r="A531" t="s">
        <v>49</v>
      </c>
      <c r="B531">
        <v>52084</v>
      </c>
      <c r="C531" t="s">
        <v>52</v>
      </c>
      <c r="D531">
        <v>54225</v>
      </c>
      <c r="E531" t="s">
        <v>245</v>
      </c>
      <c r="F531">
        <v>12028</v>
      </c>
      <c r="G531">
        <v>0.73348125206742665</v>
      </c>
      <c r="H531">
        <v>0</v>
      </c>
      <c r="I531">
        <v>0</v>
      </c>
      <c r="J531">
        <v>0.65698086560510427</v>
      </c>
      <c r="K531">
        <v>0</v>
      </c>
      <c r="L531">
        <v>0</v>
      </c>
      <c r="M531">
        <v>0.47411492324041421</v>
      </c>
      <c r="N531">
        <v>0</v>
      </c>
      <c r="O531">
        <v>0</v>
      </c>
      <c r="P531">
        <v>0.53799474713439988</v>
      </c>
      <c r="Q531">
        <v>1.139559349804063</v>
      </c>
      <c r="R531">
        <v>3.904184335954124</v>
      </c>
      <c r="S531">
        <v>0.21693958154735199</v>
      </c>
      <c r="T531">
        <v>0.1705741534052673</v>
      </c>
      <c r="U531">
        <v>4.2558177004489526</v>
      </c>
      <c r="V531">
        <v>0.20544021673558341</v>
      </c>
      <c r="W531">
        <v>8.7539411875623561</v>
      </c>
      <c r="X531">
        <v>0.31917832820802122</v>
      </c>
      <c r="Z531" t="s">
        <v>392</v>
      </c>
      <c r="AA531">
        <v>114</v>
      </c>
      <c r="AB531" t="s">
        <v>3964</v>
      </c>
      <c r="AC531" t="str">
        <f>HYPERLINK("plots/3FT6Y578R04_015_S21P_20251218081014_M5358ACSC201811_RBGEUFRF04/dpll_52084/txpa_54225.png","plot")</f>
        <v>plot</v>
      </c>
    </row>
    <row r="532" spans="1:29" x14ac:dyDescent="0.35">
      <c r="A532" t="s">
        <v>49</v>
      </c>
      <c r="B532">
        <v>52084</v>
      </c>
      <c r="C532" t="s">
        <v>52</v>
      </c>
      <c r="D532">
        <v>54226</v>
      </c>
      <c r="E532" t="s">
        <v>246</v>
      </c>
      <c r="F532">
        <v>12027</v>
      </c>
      <c r="G532">
        <v>0.72659326788750889</v>
      </c>
      <c r="H532">
        <v>0</v>
      </c>
      <c r="I532">
        <v>0</v>
      </c>
      <c r="J532">
        <v>0.65057964555855241</v>
      </c>
      <c r="K532">
        <v>0</v>
      </c>
      <c r="L532">
        <v>0</v>
      </c>
      <c r="M532">
        <v>0.46970182957039042</v>
      </c>
      <c r="N532">
        <v>0</v>
      </c>
      <c r="O532">
        <v>0</v>
      </c>
      <c r="P532">
        <v>0.52793777693944921</v>
      </c>
      <c r="Q532">
        <v>1.1369148242675711</v>
      </c>
      <c r="R532">
        <v>3.8808974971237111</v>
      </c>
      <c r="S532">
        <v>0.2208464231922124</v>
      </c>
      <c r="T532">
        <v>0.17210998511430209</v>
      </c>
      <c r="U532">
        <v>4.2558401814251274</v>
      </c>
      <c r="V532">
        <v>0.20543396214013371</v>
      </c>
      <c r="W532">
        <v>8.7194252890995259</v>
      </c>
      <c r="X532">
        <v>0.32144657442835101</v>
      </c>
      <c r="Z532" t="s">
        <v>392</v>
      </c>
      <c r="AA532">
        <v>114</v>
      </c>
      <c r="AB532" t="s">
        <v>3965</v>
      </c>
      <c r="AC532" t="str">
        <f>HYPERLINK("plots/3FT6Y578R04_015_S21P_20251218081014_M5358ACSC201811_RBGEUFRF04/dpll_52084/txpa_54226.png","plot")</f>
        <v>plot</v>
      </c>
    </row>
    <row r="533" spans="1:29" x14ac:dyDescent="0.35">
      <c r="A533" t="s">
        <v>49</v>
      </c>
      <c r="B533">
        <v>52084</v>
      </c>
      <c r="C533" t="s">
        <v>52</v>
      </c>
      <c r="D533">
        <v>54227</v>
      </c>
      <c r="E533" t="s">
        <v>247</v>
      </c>
      <c r="F533">
        <v>12028</v>
      </c>
      <c r="G533">
        <v>0.71201835074855702</v>
      </c>
      <c r="H533">
        <v>0</v>
      </c>
      <c r="I533">
        <v>0</v>
      </c>
      <c r="J533">
        <v>0.64679716716650015</v>
      </c>
      <c r="K533">
        <v>0</v>
      </c>
      <c r="L533">
        <v>0</v>
      </c>
      <c r="M533">
        <v>0.46427686221156589</v>
      </c>
      <c r="N533">
        <v>0</v>
      </c>
      <c r="O533">
        <v>0</v>
      </c>
      <c r="P533">
        <v>0.50697013180269512</v>
      </c>
      <c r="Q533">
        <v>1.139158220308313</v>
      </c>
      <c r="R533">
        <v>4.3898823689480064</v>
      </c>
      <c r="S533">
        <v>0.2307793187414996</v>
      </c>
      <c r="T533">
        <v>0.1769995034757931</v>
      </c>
      <c r="U533">
        <v>4.2558177004489526</v>
      </c>
      <c r="V533">
        <v>0.20544021673558341</v>
      </c>
      <c r="W533">
        <v>9.2379320865480548</v>
      </c>
      <c r="X533">
        <v>0.32868382034005578</v>
      </c>
      <c r="Z533" t="s">
        <v>392</v>
      </c>
      <c r="AA533">
        <v>114</v>
      </c>
      <c r="AB533" t="s">
        <v>3966</v>
      </c>
      <c r="AC533" t="str">
        <f>HYPERLINK("plots/3FT6Y578R04_015_S21P_20251218081014_M5358ACSC201811_RBGEUFRF04/dpll_52084/txpa_54227.png","plot")</f>
        <v>plot</v>
      </c>
    </row>
    <row r="534" spans="1:29" x14ac:dyDescent="0.35">
      <c r="A534" t="s">
        <v>49</v>
      </c>
      <c r="B534">
        <v>52084</v>
      </c>
      <c r="C534" t="s">
        <v>52</v>
      </c>
      <c r="D534">
        <v>54228</v>
      </c>
      <c r="E534" t="s">
        <v>248</v>
      </c>
      <c r="F534">
        <v>12028</v>
      </c>
      <c r="G534">
        <v>0.73112652791299715</v>
      </c>
      <c r="H534">
        <v>0</v>
      </c>
      <c r="I534">
        <v>0</v>
      </c>
      <c r="J534">
        <v>0.65928586818434343</v>
      </c>
      <c r="K534">
        <v>0</v>
      </c>
      <c r="L534">
        <v>0</v>
      </c>
      <c r="M534">
        <v>0.47703253944379981</v>
      </c>
      <c r="N534">
        <v>0</v>
      </c>
      <c r="O534">
        <v>0</v>
      </c>
      <c r="P534">
        <v>0.53454599981811457</v>
      </c>
      <c r="Q534">
        <v>1.172185593911435</v>
      </c>
      <c r="R534">
        <v>4.2758277624775154</v>
      </c>
      <c r="S534">
        <v>0.22470339364388781</v>
      </c>
      <c r="T534">
        <v>0.17508785402287089</v>
      </c>
      <c r="U534">
        <v>4.2558177004489526</v>
      </c>
      <c r="V534">
        <v>0.20544021673558341</v>
      </c>
      <c r="W534">
        <v>9.2644359612570675</v>
      </c>
      <c r="X534">
        <v>0.32937399105856319</v>
      </c>
      <c r="Z534" t="s">
        <v>392</v>
      </c>
      <c r="AA534">
        <v>114</v>
      </c>
      <c r="AB534" t="s">
        <v>3967</v>
      </c>
      <c r="AC534" t="str">
        <f>HYPERLINK("plots/3FT6Y578R04_015_S21P_20251218081014_M5358ACSC201811_RBGEUFRF04/dpll_52084/txpa_54228.png","plot")</f>
        <v>plot</v>
      </c>
    </row>
    <row r="535" spans="1:29" x14ac:dyDescent="0.35">
      <c r="A535" t="s">
        <v>49</v>
      </c>
      <c r="B535">
        <v>52084</v>
      </c>
      <c r="C535" t="s">
        <v>52</v>
      </c>
      <c r="D535">
        <v>54229</v>
      </c>
      <c r="E535" t="s">
        <v>249</v>
      </c>
      <c r="F535">
        <v>12028</v>
      </c>
      <c r="G535">
        <v>0.72124375394873297</v>
      </c>
      <c r="H535">
        <v>0</v>
      </c>
      <c r="I535">
        <v>0</v>
      </c>
      <c r="J535">
        <v>0.64872798136892662</v>
      </c>
      <c r="K535">
        <v>0</v>
      </c>
      <c r="L535">
        <v>0</v>
      </c>
      <c r="M535">
        <v>0.46719430012262347</v>
      </c>
      <c r="N535">
        <v>0</v>
      </c>
      <c r="O535">
        <v>0</v>
      </c>
      <c r="P535">
        <v>0.52019255261006048</v>
      </c>
      <c r="Q535">
        <v>1.1382512063307459</v>
      </c>
      <c r="R535">
        <v>4.4339999134354846</v>
      </c>
      <c r="S535">
        <v>0.22457269807987951</v>
      </c>
      <c r="T535">
        <v>0.17374455790537491</v>
      </c>
      <c r="U535">
        <v>4.2558177004489526</v>
      </c>
      <c r="V535">
        <v>0.20544021673558341</v>
      </c>
      <c r="W535">
        <v>9.2781895448952447</v>
      </c>
      <c r="X535">
        <v>0.32422128198388472</v>
      </c>
      <c r="Z535" t="s">
        <v>392</v>
      </c>
      <c r="AA535">
        <v>114</v>
      </c>
      <c r="AB535" t="s">
        <v>3968</v>
      </c>
      <c r="AC535" t="str">
        <f>HYPERLINK("plots/3FT6Y578R04_015_S21P_20251218081014_M5358ACSC201811_RBGEUFRF04/dpll_52084/txpa_54229.png","plot")</f>
        <v>plot</v>
      </c>
    </row>
    <row r="536" spans="1:29" x14ac:dyDescent="0.35">
      <c r="A536" t="s">
        <v>49</v>
      </c>
      <c r="B536">
        <v>52084</v>
      </c>
      <c r="C536" t="s">
        <v>52</v>
      </c>
      <c r="D536">
        <v>54230</v>
      </c>
      <c r="E536" t="s">
        <v>250</v>
      </c>
      <c r="F536">
        <v>12027</v>
      </c>
      <c r="G536">
        <v>0.737307851917129</v>
      </c>
      <c r="H536">
        <v>0</v>
      </c>
      <c r="I536">
        <v>0</v>
      </c>
      <c r="J536">
        <v>0.6612809634879111</v>
      </c>
      <c r="K536">
        <v>0</v>
      </c>
      <c r="L536">
        <v>0</v>
      </c>
      <c r="M536">
        <v>0.47881442831056642</v>
      </c>
      <c r="N536">
        <v>0</v>
      </c>
      <c r="O536">
        <v>0</v>
      </c>
      <c r="P536">
        <v>0.54362286849865105</v>
      </c>
      <c r="Q536">
        <v>1.17426485417116</v>
      </c>
      <c r="R536">
        <v>4.2809821288647232</v>
      </c>
      <c r="S536">
        <v>0.2210352278241513</v>
      </c>
      <c r="T536">
        <v>0.17251422562806709</v>
      </c>
      <c r="U536">
        <v>4.2558247893905383</v>
      </c>
      <c r="V536">
        <v>0.20544728689892131</v>
      </c>
      <c r="W536">
        <v>9.2784476045564137</v>
      </c>
      <c r="X536">
        <v>0.32720325405857459</v>
      </c>
      <c r="Z536" t="s">
        <v>392</v>
      </c>
      <c r="AA536">
        <v>114</v>
      </c>
      <c r="AB536" t="s">
        <v>3969</v>
      </c>
      <c r="AC536" t="str">
        <f>HYPERLINK("plots/3FT6Y578R04_015_S21P_20251218081014_M5358ACSC201811_RBGEUFRF04/dpll_52084/txpa_54230.png","plot")</f>
        <v>plot</v>
      </c>
    </row>
    <row r="537" spans="1:29" x14ac:dyDescent="0.35">
      <c r="A537" t="s">
        <v>49</v>
      </c>
      <c r="B537">
        <v>52084</v>
      </c>
      <c r="C537" t="s">
        <v>52</v>
      </c>
      <c r="D537">
        <v>54231</v>
      </c>
      <c r="E537" t="s">
        <v>251</v>
      </c>
      <c r="F537">
        <v>12027</v>
      </c>
      <c r="G537">
        <v>0.73616712688107311</v>
      </c>
      <c r="H537">
        <v>0</v>
      </c>
      <c r="I537">
        <v>0</v>
      </c>
      <c r="J537">
        <v>0.65479392591976149</v>
      </c>
      <c r="K537">
        <v>0</v>
      </c>
      <c r="L537">
        <v>0</v>
      </c>
      <c r="M537">
        <v>0.47136853266128131</v>
      </c>
      <c r="N537">
        <v>0</v>
      </c>
      <c r="O537">
        <v>0</v>
      </c>
      <c r="P537">
        <v>0.54194203870033397</v>
      </c>
      <c r="Q537">
        <v>1.165075543237015</v>
      </c>
      <c r="R537">
        <v>4.3018818767552833</v>
      </c>
      <c r="S537">
        <v>0.22003055263615401</v>
      </c>
      <c r="T537">
        <v>0.17240115456592189</v>
      </c>
      <c r="U537">
        <v>4.2557921641307059</v>
      </c>
      <c r="V537">
        <v>0.20542966688110781</v>
      </c>
      <c r="W537">
        <v>9.2602012442836958</v>
      </c>
      <c r="X537">
        <v>0.3251178597888833</v>
      </c>
      <c r="Z537" t="s">
        <v>392</v>
      </c>
      <c r="AA537">
        <v>114</v>
      </c>
      <c r="AB537" t="s">
        <v>3970</v>
      </c>
      <c r="AC537" t="str">
        <f>HYPERLINK("plots/3FT6Y578R04_015_S21P_20251218081014_M5358ACSC201811_RBGEUFRF04/dpll_52084/txpa_54231.png","plot")</f>
        <v>plot</v>
      </c>
    </row>
    <row r="538" spans="1:29" x14ac:dyDescent="0.35">
      <c r="A538" t="s">
        <v>49</v>
      </c>
      <c r="B538">
        <v>52084</v>
      </c>
      <c r="C538" t="s">
        <v>52</v>
      </c>
      <c r="D538">
        <v>54232</v>
      </c>
      <c r="E538" t="s">
        <v>252</v>
      </c>
      <c r="F538">
        <v>12027</v>
      </c>
      <c r="G538">
        <v>0.74206551782916663</v>
      </c>
      <c r="H538">
        <v>0</v>
      </c>
      <c r="I538">
        <v>0</v>
      </c>
      <c r="J538">
        <v>0.66835277270036697</v>
      </c>
      <c r="K538">
        <v>0</v>
      </c>
      <c r="L538">
        <v>0</v>
      </c>
      <c r="M538">
        <v>0.48448727263590352</v>
      </c>
      <c r="N538">
        <v>0</v>
      </c>
      <c r="O538">
        <v>0</v>
      </c>
      <c r="P538">
        <v>0.55066123275106926</v>
      </c>
      <c r="Q538">
        <v>1.185907585158015</v>
      </c>
      <c r="R538">
        <v>4.2296567933892364</v>
      </c>
      <c r="S538">
        <v>0.22005289020754629</v>
      </c>
      <c r="T538">
        <v>0.17232209686361</v>
      </c>
      <c r="U538">
        <v>4.2557881821734433</v>
      </c>
      <c r="V538">
        <v>0.20542324838451659</v>
      </c>
      <c r="W538">
        <v>9.2766282794545614</v>
      </c>
      <c r="X538">
        <v>0.32829040370944729</v>
      </c>
      <c r="Z538" t="s">
        <v>392</v>
      </c>
      <c r="AA538">
        <v>114</v>
      </c>
      <c r="AB538" t="s">
        <v>3971</v>
      </c>
      <c r="AC538" t="str">
        <f>HYPERLINK("plots/3FT6Y578R04_015_S21P_20251218081014_M5358ACSC201811_RBGEUFRF04/dpll_52084/txpa_54232.png","plot")</f>
        <v>plot</v>
      </c>
    </row>
    <row r="539" spans="1:29" x14ac:dyDescent="0.35">
      <c r="A539" t="s">
        <v>49</v>
      </c>
      <c r="B539">
        <v>52084</v>
      </c>
      <c r="C539" t="s">
        <v>52</v>
      </c>
      <c r="D539">
        <v>54233</v>
      </c>
      <c r="E539" t="s">
        <v>253</v>
      </c>
      <c r="F539">
        <v>12028</v>
      </c>
      <c r="G539">
        <v>0.7389256714400092</v>
      </c>
      <c r="H539">
        <v>0</v>
      </c>
      <c r="I539">
        <v>0</v>
      </c>
      <c r="J539">
        <v>0.66092238751652199</v>
      </c>
      <c r="K539">
        <v>0</v>
      </c>
      <c r="L539">
        <v>0</v>
      </c>
      <c r="M539">
        <v>0.47752293554849468</v>
      </c>
      <c r="N539">
        <v>0</v>
      </c>
      <c r="O539">
        <v>0</v>
      </c>
      <c r="P539">
        <v>0.54601114791306848</v>
      </c>
      <c r="Q539">
        <v>1.165097415815848</v>
      </c>
      <c r="R539">
        <v>4.324324471528401</v>
      </c>
      <c r="S539">
        <v>0.21824861118483599</v>
      </c>
      <c r="T539">
        <v>0.1713294048286105</v>
      </c>
      <c r="U539">
        <v>4.2558177004489526</v>
      </c>
      <c r="V539">
        <v>0.20544021673558341</v>
      </c>
      <c r="W539">
        <v>9.2827666765048225</v>
      </c>
      <c r="X539">
        <v>0.32392685066255522</v>
      </c>
      <c r="Z539" t="s">
        <v>392</v>
      </c>
      <c r="AA539">
        <v>114</v>
      </c>
      <c r="AB539" t="s">
        <v>3972</v>
      </c>
      <c r="AC539" t="str">
        <f>HYPERLINK("plots/3FT6Y578R04_015_S21P_20251218081014_M5358ACSC201811_RBGEUFRF04/dpll_52084/txpa_54233.png","plot")</f>
        <v>plot</v>
      </c>
    </row>
    <row r="540" spans="1:29" x14ac:dyDescent="0.35">
      <c r="A540" t="s">
        <v>49</v>
      </c>
      <c r="B540">
        <v>52084</v>
      </c>
      <c r="C540" t="s">
        <v>52</v>
      </c>
      <c r="D540">
        <v>54234</v>
      </c>
      <c r="E540" t="s">
        <v>254</v>
      </c>
      <c r="F540">
        <v>12027</v>
      </c>
      <c r="G540">
        <v>0.73182710187808853</v>
      </c>
      <c r="H540">
        <v>0</v>
      </c>
      <c r="I540">
        <v>0</v>
      </c>
      <c r="J540">
        <v>0.65414049656002649</v>
      </c>
      <c r="K540">
        <v>0</v>
      </c>
      <c r="L540">
        <v>0</v>
      </c>
      <c r="M540">
        <v>0.47276568128098823</v>
      </c>
      <c r="N540">
        <v>0</v>
      </c>
      <c r="O540">
        <v>0</v>
      </c>
      <c r="P540">
        <v>0.53557090704328214</v>
      </c>
      <c r="Q540">
        <v>1.162132134611138</v>
      </c>
      <c r="R540">
        <v>4.3031344235989462</v>
      </c>
      <c r="S540">
        <v>0.22231098179153189</v>
      </c>
      <c r="T540">
        <v>0.1729905616692077</v>
      </c>
      <c r="U540">
        <v>4.2558401814251274</v>
      </c>
      <c r="V540">
        <v>0.20543396214013371</v>
      </c>
      <c r="W540">
        <v>9.2489830582023789</v>
      </c>
      <c r="X540">
        <v>0.32622652035003241</v>
      </c>
      <c r="Z540" t="s">
        <v>392</v>
      </c>
      <c r="AA540">
        <v>114</v>
      </c>
      <c r="AB540" t="s">
        <v>3973</v>
      </c>
      <c r="AC540" t="str">
        <f>HYPERLINK("plots/3FT6Y578R04_015_S21P_20251218081014_M5358ACSC201811_RBGEUFRF04/dpll_52084/txpa_54234.png","plot")</f>
        <v>plot</v>
      </c>
    </row>
    <row r="541" spans="1:29" x14ac:dyDescent="0.35">
      <c r="A541" t="s">
        <v>49</v>
      </c>
      <c r="B541">
        <v>52084</v>
      </c>
      <c r="C541" t="s">
        <v>52</v>
      </c>
      <c r="D541">
        <v>54235</v>
      </c>
      <c r="E541" t="s">
        <v>255</v>
      </c>
      <c r="F541">
        <v>12028</v>
      </c>
      <c r="G541">
        <v>0.71708089919321627</v>
      </c>
      <c r="H541">
        <v>0</v>
      </c>
      <c r="I541">
        <v>0</v>
      </c>
      <c r="J541">
        <v>0.65025043922194115</v>
      </c>
      <c r="K541">
        <v>0</v>
      </c>
      <c r="L541">
        <v>0</v>
      </c>
      <c r="M541">
        <v>0.46719601013851358</v>
      </c>
      <c r="N541">
        <v>0</v>
      </c>
      <c r="O541">
        <v>0</v>
      </c>
      <c r="P541">
        <v>0.51420501598775159</v>
      </c>
      <c r="Q541">
        <v>1.163091772983373</v>
      </c>
      <c r="R541">
        <v>4.783061241433141</v>
      </c>
      <c r="S541">
        <v>0.23224145989891859</v>
      </c>
      <c r="T541">
        <v>0.17779656904283439</v>
      </c>
      <c r="U541">
        <v>4.2558177004489526</v>
      </c>
      <c r="V541">
        <v>0.20544021673558341</v>
      </c>
      <c r="W541">
        <v>9.7329677961423346</v>
      </c>
      <c r="X541">
        <v>0.3332201794719602</v>
      </c>
      <c r="Z541" t="s">
        <v>392</v>
      </c>
      <c r="AA541">
        <v>114</v>
      </c>
      <c r="AB541" t="s">
        <v>3974</v>
      </c>
      <c r="AC541" t="str">
        <f>HYPERLINK("plots/3FT6Y578R04_015_S21P_20251218081014_M5358ACSC201811_RBGEUFRF04/dpll_52084/txpa_54235.png","plot")</f>
        <v>plot</v>
      </c>
    </row>
    <row r="542" spans="1:29" x14ac:dyDescent="0.35">
      <c r="A542" t="s">
        <v>49</v>
      </c>
      <c r="B542">
        <v>52084</v>
      </c>
      <c r="C542" t="s">
        <v>52</v>
      </c>
      <c r="D542">
        <v>54236</v>
      </c>
      <c r="E542" t="s">
        <v>256</v>
      </c>
      <c r="F542">
        <v>12028</v>
      </c>
      <c r="G542">
        <v>0.73591034017332702</v>
      </c>
      <c r="H542">
        <v>0</v>
      </c>
      <c r="I542">
        <v>0</v>
      </c>
      <c r="J542">
        <v>0.66261207486959051</v>
      </c>
      <c r="K542">
        <v>0</v>
      </c>
      <c r="L542">
        <v>0</v>
      </c>
      <c r="M542">
        <v>0.47993120559458602</v>
      </c>
      <c r="N542">
        <v>0</v>
      </c>
      <c r="O542">
        <v>0</v>
      </c>
      <c r="P542">
        <v>0.54156402877402188</v>
      </c>
      <c r="Q542">
        <v>1.1965962198683091</v>
      </c>
      <c r="R542">
        <v>4.6670435186141637</v>
      </c>
      <c r="S542">
        <v>0.22616712392570029</v>
      </c>
      <c r="T542">
        <v>0.17591506145611929</v>
      </c>
      <c r="U542">
        <v>4.2558177004489526</v>
      </c>
      <c r="V542">
        <v>0.20544021673558341</v>
      </c>
      <c r="W542">
        <v>9.7595388914200196</v>
      </c>
      <c r="X542">
        <v>0.33404746928386131</v>
      </c>
      <c r="Z542" t="s">
        <v>392</v>
      </c>
      <c r="AA542">
        <v>114</v>
      </c>
      <c r="AB542" t="s">
        <v>3975</v>
      </c>
      <c r="AC542" t="str">
        <f>HYPERLINK("plots/3FT6Y578R04_015_S21P_20251218081014_M5358ACSC201811_RBGEUFRF04/dpll_52084/txpa_54236.png","plot")</f>
        <v>plot</v>
      </c>
    </row>
    <row r="543" spans="1:29" x14ac:dyDescent="0.35">
      <c r="A543" t="s">
        <v>49</v>
      </c>
      <c r="B543">
        <v>52084</v>
      </c>
      <c r="C543" t="s">
        <v>52</v>
      </c>
      <c r="D543">
        <v>54237</v>
      </c>
      <c r="E543" t="s">
        <v>257</v>
      </c>
      <c r="F543">
        <v>12028</v>
      </c>
      <c r="G543">
        <v>0.72645491295546949</v>
      </c>
      <c r="H543">
        <v>0</v>
      </c>
      <c r="I543">
        <v>0</v>
      </c>
      <c r="J543">
        <v>0.65214812454795212</v>
      </c>
      <c r="K543">
        <v>0</v>
      </c>
      <c r="L543">
        <v>0</v>
      </c>
      <c r="M543">
        <v>0.47011918712429551</v>
      </c>
      <c r="N543">
        <v>0</v>
      </c>
      <c r="O543">
        <v>0</v>
      </c>
      <c r="P543">
        <v>0.52773674055713871</v>
      </c>
      <c r="Q543">
        <v>1.162741018490471</v>
      </c>
      <c r="R543">
        <v>4.8252024020644892</v>
      </c>
      <c r="S543">
        <v>0.22596117204883731</v>
      </c>
      <c r="T543">
        <v>0.17449606839055701</v>
      </c>
      <c r="U543">
        <v>4.2558177004489526</v>
      </c>
      <c r="V543">
        <v>0.20544021673558341</v>
      </c>
      <c r="W543">
        <v>9.7736162095942802</v>
      </c>
      <c r="X543">
        <v>0.3288211870909023</v>
      </c>
      <c r="Z543" t="s">
        <v>392</v>
      </c>
      <c r="AA543">
        <v>114</v>
      </c>
      <c r="AB543" t="s">
        <v>3976</v>
      </c>
      <c r="AC543" t="str">
        <f>HYPERLINK("plots/3FT6Y578R04_015_S21P_20251218081014_M5358ACSC201811_RBGEUFRF04/dpll_52084/txpa_54237.png","plot")</f>
        <v>plot</v>
      </c>
    </row>
    <row r="544" spans="1:29" x14ac:dyDescent="0.35">
      <c r="A544" t="s">
        <v>49</v>
      </c>
      <c r="B544">
        <v>52084</v>
      </c>
      <c r="C544" t="s">
        <v>52</v>
      </c>
      <c r="D544">
        <v>54238</v>
      </c>
      <c r="E544" t="s">
        <v>258</v>
      </c>
      <c r="F544">
        <v>12027</v>
      </c>
      <c r="G544">
        <v>0.74208585021749307</v>
      </c>
      <c r="H544">
        <v>0</v>
      </c>
      <c r="I544">
        <v>0</v>
      </c>
      <c r="J544">
        <v>0.6645759868280291</v>
      </c>
      <c r="K544">
        <v>0</v>
      </c>
      <c r="L544">
        <v>0</v>
      </c>
      <c r="M544">
        <v>0.48166468084592817</v>
      </c>
      <c r="N544">
        <v>0</v>
      </c>
      <c r="O544">
        <v>0</v>
      </c>
      <c r="P544">
        <v>0.55069140909301961</v>
      </c>
      <c r="Q544">
        <v>1.198494277994242</v>
      </c>
      <c r="R544">
        <v>4.6726697330556624</v>
      </c>
      <c r="S544">
        <v>0.22240089474346941</v>
      </c>
      <c r="T544">
        <v>0.17330396506170631</v>
      </c>
      <c r="U544">
        <v>4.2558247893905383</v>
      </c>
      <c r="V544">
        <v>0.20544728689892131</v>
      </c>
      <c r="W544">
        <v>9.7732513912862728</v>
      </c>
      <c r="X544">
        <v>0.331804464005928</v>
      </c>
      <c r="Z544" t="s">
        <v>392</v>
      </c>
      <c r="AA544">
        <v>114</v>
      </c>
      <c r="AB544" t="s">
        <v>3977</v>
      </c>
      <c r="AC544" t="str">
        <f>HYPERLINK("plots/3FT6Y578R04_015_S21P_20251218081014_M5358ACSC201811_RBGEUFRF04/dpll_52084/txpa_54238.png","plot")</f>
        <v>plot</v>
      </c>
    </row>
    <row r="545" spans="1:29" x14ac:dyDescent="0.35">
      <c r="A545" t="s">
        <v>49</v>
      </c>
      <c r="B545">
        <v>52084</v>
      </c>
      <c r="C545" t="s">
        <v>52</v>
      </c>
      <c r="D545">
        <v>54239</v>
      </c>
      <c r="E545" t="s">
        <v>259</v>
      </c>
      <c r="F545">
        <v>12027</v>
      </c>
      <c r="G545">
        <v>0.74114939228354926</v>
      </c>
      <c r="H545">
        <v>0</v>
      </c>
      <c r="I545">
        <v>0</v>
      </c>
      <c r="J545">
        <v>0.6582170124778004</v>
      </c>
      <c r="K545">
        <v>0</v>
      </c>
      <c r="L545">
        <v>0</v>
      </c>
      <c r="M545">
        <v>0.47427430202165688</v>
      </c>
      <c r="N545">
        <v>0</v>
      </c>
      <c r="O545">
        <v>0</v>
      </c>
      <c r="P545">
        <v>0.54930242168227439</v>
      </c>
      <c r="Q545">
        <v>1.1898257957737359</v>
      </c>
      <c r="R545">
        <v>4.69111507482594</v>
      </c>
      <c r="S545">
        <v>0.22139374258567071</v>
      </c>
      <c r="T545">
        <v>0.1732644727322038</v>
      </c>
      <c r="U545">
        <v>4.2557921641307059</v>
      </c>
      <c r="V545">
        <v>0.20542966688110781</v>
      </c>
      <c r="W545">
        <v>9.754766373160388</v>
      </c>
      <c r="X545">
        <v>0.32979250798445681</v>
      </c>
      <c r="Z545" t="s">
        <v>392</v>
      </c>
      <c r="AA545">
        <v>114</v>
      </c>
      <c r="AB545" t="s">
        <v>3978</v>
      </c>
      <c r="AC545" t="str">
        <f>HYPERLINK("plots/3FT6Y578R04_015_S21P_20251218081014_M5358ACSC201811_RBGEUFRF04/dpll_52084/txpa_54239.png","plot")</f>
        <v>plot</v>
      </c>
    </row>
    <row r="546" spans="1:29" x14ac:dyDescent="0.35">
      <c r="A546" t="s">
        <v>49</v>
      </c>
      <c r="B546">
        <v>52084</v>
      </c>
      <c r="C546" t="s">
        <v>52</v>
      </c>
      <c r="D546">
        <v>54240</v>
      </c>
      <c r="E546" t="s">
        <v>260</v>
      </c>
      <c r="F546">
        <v>12027</v>
      </c>
      <c r="G546">
        <v>0.74658548894889942</v>
      </c>
      <c r="H546">
        <v>0</v>
      </c>
      <c r="I546">
        <v>0</v>
      </c>
      <c r="J546">
        <v>0.6711256509356468</v>
      </c>
      <c r="K546">
        <v>0</v>
      </c>
      <c r="L546">
        <v>0</v>
      </c>
      <c r="M546">
        <v>0.48691072899452048</v>
      </c>
      <c r="N546">
        <v>0</v>
      </c>
      <c r="O546">
        <v>0</v>
      </c>
      <c r="P546">
        <v>0.55738989230906721</v>
      </c>
      <c r="Q546">
        <v>1.209944044918017</v>
      </c>
      <c r="R546">
        <v>4.6224102780610279</v>
      </c>
      <c r="S546">
        <v>0.22147664824623631</v>
      </c>
      <c r="T546">
        <v>0.1732155966353634</v>
      </c>
      <c r="U546">
        <v>4.2557881821734433</v>
      </c>
      <c r="V546">
        <v>0.20542324838451659</v>
      </c>
      <c r="W546">
        <v>9.7716758455142596</v>
      </c>
      <c r="X546">
        <v>0.33291651090150359</v>
      </c>
      <c r="Z546" t="s">
        <v>392</v>
      </c>
      <c r="AA546">
        <v>114</v>
      </c>
      <c r="AB546" t="s">
        <v>3979</v>
      </c>
      <c r="AC546" t="str">
        <f>HYPERLINK("plots/3FT6Y578R04_015_S21P_20251218081014_M5358ACSC201811_RBGEUFRF04/dpll_52084/txpa_54240.png","plot")</f>
        <v>plot</v>
      </c>
    </row>
    <row r="547" spans="1:29" x14ac:dyDescent="0.35">
      <c r="A547" t="s">
        <v>49</v>
      </c>
      <c r="B547">
        <v>52084</v>
      </c>
      <c r="C547" t="s">
        <v>52</v>
      </c>
      <c r="D547">
        <v>54241</v>
      </c>
      <c r="E547" t="s">
        <v>261</v>
      </c>
      <c r="F547">
        <v>12028</v>
      </c>
      <c r="G547">
        <v>0.74373613796480964</v>
      </c>
      <c r="H547">
        <v>0</v>
      </c>
      <c r="I547">
        <v>0</v>
      </c>
      <c r="J547">
        <v>0.66396222848315078</v>
      </c>
      <c r="K547">
        <v>0</v>
      </c>
      <c r="L547">
        <v>0</v>
      </c>
      <c r="M547">
        <v>0.48017596475576191</v>
      </c>
      <c r="N547">
        <v>0</v>
      </c>
      <c r="O547">
        <v>0</v>
      </c>
      <c r="P547">
        <v>0.55314344291481032</v>
      </c>
      <c r="Q547">
        <v>1.189522499873481</v>
      </c>
      <c r="R547">
        <v>4.715475653890306</v>
      </c>
      <c r="S547">
        <v>0.2196368744055183</v>
      </c>
      <c r="T547">
        <v>0.17213047816267391</v>
      </c>
      <c r="U547">
        <v>4.2558177004489526</v>
      </c>
      <c r="V547">
        <v>0.20544021673558341</v>
      </c>
      <c r="W547">
        <v>9.777866563934154</v>
      </c>
      <c r="X547">
        <v>0.32857857472756541</v>
      </c>
      <c r="Z547" t="s">
        <v>392</v>
      </c>
      <c r="AA547">
        <v>114</v>
      </c>
      <c r="AB547" t="s">
        <v>3980</v>
      </c>
      <c r="AC547" t="str">
        <f>HYPERLINK("plots/3FT6Y578R04_015_S21P_20251218081014_M5358ACSC201811_RBGEUFRF04/dpll_52084/txpa_54241.png","plot")</f>
        <v>plot</v>
      </c>
    </row>
    <row r="548" spans="1:29" x14ac:dyDescent="0.35">
      <c r="A548" t="s">
        <v>49</v>
      </c>
      <c r="B548">
        <v>52084</v>
      </c>
      <c r="C548" t="s">
        <v>52</v>
      </c>
      <c r="D548">
        <v>54242</v>
      </c>
      <c r="E548" t="s">
        <v>262</v>
      </c>
      <c r="F548">
        <v>12027</v>
      </c>
      <c r="G548">
        <v>0.73661955659753287</v>
      </c>
      <c r="H548">
        <v>0</v>
      </c>
      <c r="I548">
        <v>0</v>
      </c>
      <c r="J548">
        <v>0.65732593155829544</v>
      </c>
      <c r="K548">
        <v>0</v>
      </c>
      <c r="L548">
        <v>0</v>
      </c>
      <c r="M548">
        <v>0.47550943031358378</v>
      </c>
      <c r="N548">
        <v>0</v>
      </c>
      <c r="O548">
        <v>0</v>
      </c>
      <c r="P548">
        <v>0.54260837116194593</v>
      </c>
      <c r="Q548">
        <v>1.1859660626180339</v>
      </c>
      <c r="R548">
        <v>4.697150175373733</v>
      </c>
      <c r="S548">
        <v>0.2236800799341481</v>
      </c>
      <c r="T548">
        <v>0.17375166095795119</v>
      </c>
      <c r="U548">
        <v>4.2558401814251274</v>
      </c>
      <c r="V548">
        <v>0.20543396214013371</v>
      </c>
      <c r="W548">
        <v>9.7444321984701077</v>
      </c>
      <c r="X548">
        <v>0.33075107092286049</v>
      </c>
      <c r="Z548" t="s">
        <v>392</v>
      </c>
      <c r="AA548">
        <v>114</v>
      </c>
      <c r="AB548" t="s">
        <v>3981</v>
      </c>
      <c r="AC548" t="str">
        <f>HYPERLINK("plots/3FT6Y578R04_015_S21P_20251218081014_M5358ACSC201811_RBGEUFRF04/dpll_52084/txpa_54242.png","plot")</f>
        <v>plot</v>
      </c>
    </row>
    <row r="549" spans="1:29" x14ac:dyDescent="0.35">
      <c r="A549" t="s">
        <v>49</v>
      </c>
      <c r="B549">
        <v>52084</v>
      </c>
      <c r="C549" t="s">
        <v>52</v>
      </c>
      <c r="D549">
        <v>54243</v>
      </c>
      <c r="E549" t="s">
        <v>263</v>
      </c>
      <c r="F549">
        <v>12028</v>
      </c>
      <c r="G549">
        <v>0.7301296039892109</v>
      </c>
      <c r="H549">
        <v>0</v>
      </c>
      <c r="I549">
        <v>0</v>
      </c>
      <c r="J549">
        <v>0.65925087461280807</v>
      </c>
      <c r="K549">
        <v>0</v>
      </c>
      <c r="L549">
        <v>0</v>
      </c>
      <c r="M549">
        <v>0.47502192962856449</v>
      </c>
      <c r="N549">
        <v>0</v>
      </c>
      <c r="O549">
        <v>0</v>
      </c>
      <c r="P549">
        <v>0.53308923862144197</v>
      </c>
      <c r="Q549">
        <v>1.2325626276197841</v>
      </c>
      <c r="R549">
        <v>6.124915693534688</v>
      </c>
      <c r="S549">
        <v>0.2369700115892785</v>
      </c>
      <c r="T549">
        <v>0.18046687577623141</v>
      </c>
      <c r="U549">
        <v>4.2558177004489526</v>
      </c>
      <c r="V549">
        <v>0.20544021673558341</v>
      </c>
      <c r="W549">
        <v>11.370477541070841</v>
      </c>
      <c r="X549">
        <v>0.34681230835577842</v>
      </c>
      <c r="Z549" t="s">
        <v>392</v>
      </c>
      <c r="AA549">
        <v>114</v>
      </c>
      <c r="AB549" t="s">
        <v>3982</v>
      </c>
      <c r="AC549" t="str">
        <f>HYPERLINK("plots/3FT6Y578R04_015_S21P_20251218081014_M5358ACSC201811_RBGEUFRF04/dpll_52084/txpa_54243.png","plot")</f>
        <v>plot</v>
      </c>
    </row>
    <row r="550" spans="1:29" x14ac:dyDescent="0.35">
      <c r="A550" t="s">
        <v>49</v>
      </c>
      <c r="B550">
        <v>52084</v>
      </c>
      <c r="C550" t="s">
        <v>52</v>
      </c>
      <c r="D550">
        <v>54244</v>
      </c>
      <c r="E550" t="s">
        <v>264</v>
      </c>
      <c r="F550">
        <v>12028</v>
      </c>
      <c r="G550">
        <v>0.74842594690461506</v>
      </c>
      <c r="H550">
        <v>0</v>
      </c>
      <c r="I550">
        <v>0</v>
      </c>
      <c r="J550">
        <v>0.67131110090816404</v>
      </c>
      <c r="K550">
        <v>0</v>
      </c>
      <c r="L550">
        <v>0</v>
      </c>
      <c r="M550">
        <v>0.48769158413578612</v>
      </c>
      <c r="N550">
        <v>0</v>
      </c>
      <c r="O550">
        <v>0</v>
      </c>
      <c r="P550">
        <v>0.56014139800006968</v>
      </c>
      <c r="Q550">
        <v>1.2666299035571931</v>
      </c>
      <c r="R550">
        <v>6.0054578287581339</v>
      </c>
      <c r="S550">
        <v>0.23058171053166501</v>
      </c>
      <c r="T550">
        <v>0.17839067554704471</v>
      </c>
      <c r="U550">
        <v>4.2558177004489526</v>
      </c>
      <c r="V550">
        <v>0.20544021673558341</v>
      </c>
      <c r="W550">
        <v>11.39600379223479</v>
      </c>
      <c r="X550">
        <v>0.34768532943944669</v>
      </c>
      <c r="Z550" t="s">
        <v>392</v>
      </c>
      <c r="AA550">
        <v>114</v>
      </c>
      <c r="AB550" t="s">
        <v>3983</v>
      </c>
      <c r="AC550" t="str">
        <f>HYPERLINK("plots/3FT6Y578R04_015_S21P_20251218081014_M5358ACSC201811_RBGEUFRF04/dpll_52084/txpa_54244.png","plot")</f>
        <v>plot</v>
      </c>
    </row>
    <row r="551" spans="1:29" x14ac:dyDescent="0.35">
      <c r="A551" t="s">
        <v>49</v>
      </c>
      <c r="B551">
        <v>52084</v>
      </c>
      <c r="C551" t="s">
        <v>52</v>
      </c>
      <c r="D551">
        <v>54245</v>
      </c>
      <c r="E551" t="s">
        <v>265</v>
      </c>
      <c r="F551">
        <v>12028</v>
      </c>
      <c r="G551">
        <v>0.73962903491365695</v>
      </c>
      <c r="H551">
        <v>0</v>
      </c>
      <c r="I551">
        <v>0</v>
      </c>
      <c r="J551">
        <v>0.66138035872600354</v>
      </c>
      <c r="K551">
        <v>0</v>
      </c>
      <c r="L551">
        <v>0</v>
      </c>
      <c r="M551">
        <v>0.47823001474521798</v>
      </c>
      <c r="N551">
        <v>0</v>
      </c>
      <c r="O551">
        <v>0</v>
      </c>
      <c r="P551">
        <v>0.5470511092873076</v>
      </c>
      <c r="Q551">
        <v>1.232733436060482</v>
      </c>
      <c r="R551">
        <v>6.1639725506138277</v>
      </c>
      <c r="S551">
        <v>0.2304343587541505</v>
      </c>
      <c r="T551">
        <v>0.1770275610433763</v>
      </c>
      <c r="U551">
        <v>4.2558177004489526</v>
      </c>
      <c r="V551">
        <v>0.20544021673558341</v>
      </c>
      <c r="W551">
        <v>11.410261327735279</v>
      </c>
      <c r="X551">
        <v>0.34240546588470561</v>
      </c>
      <c r="Z551" t="s">
        <v>392</v>
      </c>
      <c r="AA551">
        <v>114</v>
      </c>
      <c r="AB551" t="s">
        <v>3984</v>
      </c>
      <c r="AC551" t="str">
        <f>HYPERLINK("plots/3FT6Y578R04_015_S21P_20251218081014_M5358ACSC201811_RBGEUFRF04/dpll_52084/txpa_54245.png","plot")</f>
        <v>plot</v>
      </c>
    </row>
    <row r="552" spans="1:29" x14ac:dyDescent="0.35">
      <c r="A552" t="s">
        <v>49</v>
      </c>
      <c r="B552">
        <v>52084</v>
      </c>
      <c r="C552" t="s">
        <v>52</v>
      </c>
      <c r="D552">
        <v>54246</v>
      </c>
      <c r="E552" t="s">
        <v>266</v>
      </c>
      <c r="F552">
        <v>12027</v>
      </c>
      <c r="G552">
        <v>0.7541981806417698</v>
      </c>
      <c r="H552">
        <v>0</v>
      </c>
      <c r="I552">
        <v>0</v>
      </c>
      <c r="J552">
        <v>0.67302018433798971</v>
      </c>
      <c r="K552">
        <v>0</v>
      </c>
      <c r="L552">
        <v>0</v>
      </c>
      <c r="M552">
        <v>0.48918562219157358</v>
      </c>
      <c r="N552">
        <v>0</v>
      </c>
      <c r="O552">
        <v>0</v>
      </c>
      <c r="P552">
        <v>0.56881489568335564</v>
      </c>
      <c r="Q552">
        <v>1.267495822090289</v>
      </c>
      <c r="R552">
        <v>6.0146294725208076</v>
      </c>
      <c r="S552">
        <v>0.2267124057327409</v>
      </c>
      <c r="T552">
        <v>0.1758739944865452</v>
      </c>
      <c r="U552">
        <v>4.2558247893905383</v>
      </c>
      <c r="V552">
        <v>0.20544728689892131</v>
      </c>
      <c r="W552">
        <v>11.408869612621601</v>
      </c>
      <c r="X552">
        <v>0.34527208429829748</v>
      </c>
      <c r="Z552" t="s">
        <v>392</v>
      </c>
      <c r="AA552">
        <v>114</v>
      </c>
      <c r="AB552" t="s">
        <v>3985</v>
      </c>
      <c r="AC552" t="str">
        <f>HYPERLINK("plots/3FT6Y578R04_015_S21P_20251218081014_M5358ACSC201811_RBGEUFRF04/dpll_52084/txpa_54246.png","plot")</f>
        <v>plot</v>
      </c>
    </row>
    <row r="553" spans="1:29" x14ac:dyDescent="0.35">
      <c r="A553" t="s">
        <v>49</v>
      </c>
      <c r="B553">
        <v>52084</v>
      </c>
      <c r="C553" t="s">
        <v>52</v>
      </c>
      <c r="D553">
        <v>54247</v>
      </c>
      <c r="E553" t="s">
        <v>267</v>
      </c>
      <c r="F553">
        <v>12027</v>
      </c>
      <c r="G553">
        <v>0.75343046129195235</v>
      </c>
      <c r="H553">
        <v>0</v>
      </c>
      <c r="I553">
        <v>0</v>
      </c>
      <c r="J553">
        <v>0.66633278431148224</v>
      </c>
      <c r="K553">
        <v>0</v>
      </c>
      <c r="L553">
        <v>0</v>
      </c>
      <c r="M553">
        <v>0.48134446991673863</v>
      </c>
      <c r="N553">
        <v>0</v>
      </c>
      <c r="O553">
        <v>0</v>
      </c>
      <c r="P553">
        <v>0.56765746000260409</v>
      </c>
      <c r="Q553">
        <v>1.2601600638932631</v>
      </c>
      <c r="R553">
        <v>6.026609915324153</v>
      </c>
      <c r="S553">
        <v>0.22591321096795411</v>
      </c>
      <c r="T553">
        <v>0.1760512170808127</v>
      </c>
      <c r="U553">
        <v>4.2557921641307059</v>
      </c>
      <c r="V553">
        <v>0.20542966688110781</v>
      </c>
      <c r="W553">
        <v>11.389589240791549</v>
      </c>
      <c r="X553">
        <v>0.34359410117101119</v>
      </c>
      <c r="Z553" t="s">
        <v>392</v>
      </c>
      <c r="AA553">
        <v>114</v>
      </c>
      <c r="AB553" t="s">
        <v>3986</v>
      </c>
      <c r="AC553" t="str">
        <f>HYPERLINK("plots/3FT6Y578R04_015_S21P_20251218081014_M5358ACSC201811_RBGEUFRF04/dpll_52084/txpa_54247.png","plot")</f>
        <v>plot</v>
      </c>
    </row>
    <row r="554" spans="1:29" x14ac:dyDescent="0.35">
      <c r="A554" t="s">
        <v>49</v>
      </c>
      <c r="B554">
        <v>52084</v>
      </c>
      <c r="C554" t="s">
        <v>52</v>
      </c>
      <c r="D554">
        <v>54248</v>
      </c>
      <c r="E554" t="s">
        <v>268</v>
      </c>
      <c r="F554">
        <v>12027</v>
      </c>
      <c r="G554">
        <v>0.75852840119817622</v>
      </c>
      <c r="H554">
        <v>0</v>
      </c>
      <c r="I554">
        <v>0</v>
      </c>
      <c r="J554">
        <v>0.67896625293299795</v>
      </c>
      <c r="K554">
        <v>0</v>
      </c>
      <c r="L554">
        <v>0</v>
      </c>
      <c r="M554">
        <v>0.49407862948171732</v>
      </c>
      <c r="N554">
        <v>0</v>
      </c>
      <c r="O554">
        <v>0</v>
      </c>
      <c r="P554">
        <v>0.57536533542426138</v>
      </c>
      <c r="Q554">
        <v>1.2793805892291961</v>
      </c>
      <c r="R554">
        <v>5.9633109659838359</v>
      </c>
      <c r="S554">
        <v>0.22577048700317781</v>
      </c>
      <c r="T554">
        <v>0.17575764015009679</v>
      </c>
      <c r="U554">
        <v>4.2557881821734433</v>
      </c>
      <c r="V554">
        <v>0.20542324838451659</v>
      </c>
      <c r="W554">
        <v>11.408083758127541</v>
      </c>
      <c r="X554">
        <v>0.34647946753795261</v>
      </c>
      <c r="Z554" t="s">
        <v>392</v>
      </c>
      <c r="AA554">
        <v>114</v>
      </c>
      <c r="AB554" t="s">
        <v>3987</v>
      </c>
      <c r="AC554" t="str">
        <f>HYPERLINK("plots/3FT6Y578R04_015_S21P_20251218081014_M5358ACSC201811_RBGEUFRF04/dpll_52084/txpa_54248.png","plot")</f>
        <v>plot</v>
      </c>
    </row>
    <row r="555" spans="1:29" x14ac:dyDescent="0.35">
      <c r="A555" t="s">
        <v>49</v>
      </c>
      <c r="B555">
        <v>52084</v>
      </c>
      <c r="C555" t="s">
        <v>52</v>
      </c>
      <c r="D555">
        <v>54249</v>
      </c>
      <c r="E555" t="s">
        <v>269</v>
      </c>
      <c r="F555">
        <v>12028</v>
      </c>
      <c r="G555">
        <v>0.75609204602773972</v>
      </c>
      <c r="H555">
        <v>0</v>
      </c>
      <c r="I555">
        <v>0</v>
      </c>
      <c r="J555">
        <v>0.67206610600162675</v>
      </c>
      <c r="K555">
        <v>0</v>
      </c>
      <c r="L555">
        <v>0</v>
      </c>
      <c r="M555">
        <v>0.48736342727105703</v>
      </c>
      <c r="N555">
        <v>0</v>
      </c>
      <c r="O555">
        <v>0</v>
      </c>
      <c r="P555">
        <v>0.57167518206641366</v>
      </c>
      <c r="Q555">
        <v>1.259126997300942</v>
      </c>
      <c r="R555">
        <v>6.0565266905836186</v>
      </c>
      <c r="S555">
        <v>0.223897320563262</v>
      </c>
      <c r="T555">
        <v>0.1745201548740255</v>
      </c>
      <c r="U555">
        <v>4.2558177004489526</v>
      </c>
      <c r="V555">
        <v>0.20544021673558341</v>
      </c>
      <c r="W555">
        <v>11.41514165281011</v>
      </c>
      <c r="X555">
        <v>0.34212147129721249</v>
      </c>
      <c r="Z555" t="s">
        <v>392</v>
      </c>
      <c r="AA555">
        <v>114</v>
      </c>
      <c r="AB555" t="s">
        <v>3988</v>
      </c>
      <c r="AC555" t="str">
        <f>HYPERLINK("plots/3FT6Y578R04_015_S21P_20251218081014_M5358ACSC201811_RBGEUFRF04/dpll_52084/txpa_54249.png","plot")</f>
        <v>plot</v>
      </c>
    </row>
    <row r="556" spans="1:29" x14ac:dyDescent="0.35">
      <c r="A556" t="s">
        <v>49</v>
      </c>
      <c r="B556">
        <v>52084</v>
      </c>
      <c r="C556" t="s">
        <v>52</v>
      </c>
      <c r="D556">
        <v>54250</v>
      </c>
      <c r="E556" t="s">
        <v>270</v>
      </c>
      <c r="F556">
        <v>12027</v>
      </c>
      <c r="G556">
        <v>0.74858455316930861</v>
      </c>
      <c r="H556">
        <v>0</v>
      </c>
      <c r="I556">
        <v>0</v>
      </c>
      <c r="J556">
        <v>0.66507705461668787</v>
      </c>
      <c r="K556">
        <v>0</v>
      </c>
      <c r="L556">
        <v>0</v>
      </c>
      <c r="M556">
        <v>0.48231047459564691</v>
      </c>
      <c r="N556">
        <v>0</v>
      </c>
      <c r="O556">
        <v>0</v>
      </c>
      <c r="P556">
        <v>0.56037883324369342</v>
      </c>
      <c r="Q556">
        <v>1.25403947731263</v>
      </c>
      <c r="R556">
        <v>6.0466555189328393</v>
      </c>
      <c r="S556">
        <v>0.22817277849255371</v>
      </c>
      <c r="T556">
        <v>0.17637673270784091</v>
      </c>
      <c r="U556">
        <v>4.2558401814251274</v>
      </c>
      <c r="V556">
        <v>0.20543396214013371</v>
      </c>
      <c r="W556">
        <v>11.383647115573289</v>
      </c>
      <c r="X556">
        <v>0.34414589162142267</v>
      </c>
      <c r="Z556" t="s">
        <v>392</v>
      </c>
      <c r="AA556">
        <v>114</v>
      </c>
      <c r="AB556" t="s">
        <v>3989</v>
      </c>
      <c r="AC556" t="str">
        <f>HYPERLINK("plots/3FT6Y578R04_015_S21P_20251218081014_M5358ACSC201811_RBGEUFRF04/dpll_52084/txpa_54250.png","plot")</f>
        <v>plot</v>
      </c>
    </row>
    <row r="557" spans="1:29" x14ac:dyDescent="0.35">
      <c r="A557" t="s">
        <v>49</v>
      </c>
      <c r="B557">
        <v>52084</v>
      </c>
      <c r="C557" t="s">
        <v>52</v>
      </c>
      <c r="D557">
        <v>54251</v>
      </c>
      <c r="E557" t="s">
        <v>271</v>
      </c>
      <c r="F557">
        <v>12028</v>
      </c>
      <c r="G557">
        <v>0.73318157261103234</v>
      </c>
      <c r="H557">
        <v>0</v>
      </c>
      <c r="I557">
        <v>0</v>
      </c>
      <c r="J557">
        <v>0.66098878154267948</v>
      </c>
      <c r="K557">
        <v>0</v>
      </c>
      <c r="L557">
        <v>0</v>
      </c>
      <c r="M557">
        <v>0.47660507524564483</v>
      </c>
      <c r="N557">
        <v>0</v>
      </c>
      <c r="O557">
        <v>0</v>
      </c>
      <c r="P557">
        <v>0.53755521841638654</v>
      </c>
      <c r="Q557">
        <v>1.24968830052411</v>
      </c>
      <c r="R557">
        <v>6.6307724551482128</v>
      </c>
      <c r="S557">
        <v>0.2381154168135311</v>
      </c>
      <c r="T557">
        <v>0.1810284984791716</v>
      </c>
      <c r="U557">
        <v>4.2558177004489526</v>
      </c>
      <c r="V557">
        <v>0.20544021673558341</v>
      </c>
      <c r="W557">
        <v>11.94921804456269</v>
      </c>
      <c r="X557">
        <v>0.3501673322166266</v>
      </c>
      <c r="Z557" t="s">
        <v>392</v>
      </c>
      <c r="AA557">
        <v>114</v>
      </c>
      <c r="AB557" t="s">
        <v>3990</v>
      </c>
      <c r="AC557" t="str">
        <f>HYPERLINK("plots/3FT6Y578R04_015_S21P_20251218081014_M5358ACSC201811_RBGEUFRF04/dpll_52084/txpa_54251.png","plot")</f>
        <v>plot</v>
      </c>
    </row>
    <row r="558" spans="1:29" x14ac:dyDescent="0.35">
      <c r="A558" t="s">
        <v>49</v>
      </c>
      <c r="B558">
        <v>52084</v>
      </c>
      <c r="C558" t="s">
        <v>52</v>
      </c>
      <c r="D558">
        <v>54252</v>
      </c>
      <c r="E558" t="s">
        <v>272</v>
      </c>
      <c r="F558">
        <v>12028</v>
      </c>
      <c r="G558">
        <v>0.75133877415658779</v>
      </c>
      <c r="H558">
        <v>0</v>
      </c>
      <c r="I558">
        <v>0</v>
      </c>
      <c r="J558">
        <v>0.67305709606504049</v>
      </c>
      <c r="K558">
        <v>0</v>
      </c>
      <c r="L558">
        <v>0</v>
      </c>
      <c r="M558">
        <v>0.48935171563776703</v>
      </c>
      <c r="N558">
        <v>0</v>
      </c>
      <c r="O558">
        <v>0</v>
      </c>
      <c r="P558">
        <v>0.56450995355112399</v>
      </c>
      <c r="Q558">
        <v>1.2840495930340821</v>
      </c>
      <c r="R558">
        <v>6.5099584724741657</v>
      </c>
      <c r="S558">
        <v>0.23168745687600559</v>
      </c>
      <c r="T558">
        <v>0.1789394970224884</v>
      </c>
      <c r="U558">
        <v>4.2558177004489526</v>
      </c>
      <c r="V558">
        <v>0.20544021673558341</v>
      </c>
      <c r="W558">
        <v>11.974639458762891</v>
      </c>
      <c r="X558">
        <v>0.35110050987090607</v>
      </c>
      <c r="Z558" t="s">
        <v>392</v>
      </c>
      <c r="AA558">
        <v>114</v>
      </c>
      <c r="AB558" t="s">
        <v>3991</v>
      </c>
      <c r="AC558" t="str">
        <f>HYPERLINK("plots/3FT6Y578R04_015_S21P_20251218081014_M5358ACSC201811_RBGEUFRF04/dpll_52084/txpa_54252.png","plot")</f>
        <v>plot</v>
      </c>
    </row>
    <row r="559" spans="1:29" x14ac:dyDescent="0.35">
      <c r="A559" t="s">
        <v>49</v>
      </c>
      <c r="B559">
        <v>52084</v>
      </c>
      <c r="C559" t="s">
        <v>52</v>
      </c>
      <c r="D559">
        <v>54253</v>
      </c>
      <c r="E559" t="s">
        <v>273</v>
      </c>
      <c r="F559">
        <v>12028</v>
      </c>
      <c r="G559">
        <v>0.74263653050127232</v>
      </c>
      <c r="H559">
        <v>0</v>
      </c>
      <c r="I559">
        <v>0</v>
      </c>
      <c r="J559">
        <v>0.66299907950234238</v>
      </c>
      <c r="K559">
        <v>0</v>
      </c>
      <c r="L559">
        <v>0</v>
      </c>
      <c r="M559">
        <v>0.47971358634691058</v>
      </c>
      <c r="N559">
        <v>0</v>
      </c>
      <c r="O559">
        <v>0</v>
      </c>
      <c r="P559">
        <v>0.55150901643496719</v>
      </c>
      <c r="Q559">
        <v>1.2496916734615751</v>
      </c>
      <c r="R559">
        <v>6.6707665300390859</v>
      </c>
      <c r="S559">
        <v>0.23151057640063261</v>
      </c>
      <c r="T559">
        <v>0.17755395476364799</v>
      </c>
      <c r="U559">
        <v>4.2558177004489526</v>
      </c>
      <c r="V559">
        <v>0.20544021673558341</v>
      </c>
      <c r="W559">
        <v>11.98922647406053</v>
      </c>
      <c r="X559">
        <v>0.34571007175650942</v>
      </c>
      <c r="Z559" t="s">
        <v>392</v>
      </c>
      <c r="AA559">
        <v>114</v>
      </c>
      <c r="AB559" t="s">
        <v>3992</v>
      </c>
      <c r="AC559" t="str">
        <f>HYPERLINK("plots/3FT6Y578R04_015_S21P_20251218081014_M5358ACSC201811_RBGEUFRF04/dpll_52084/txpa_54253.png","plot")</f>
        <v>plot</v>
      </c>
    </row>
    <row r="560" spans="1:29" x14ac:dyDescent="0.35">
      <c r="A560" t="s">
        <v>49</v>
      </c>
      <c r="B560">
        <v>52084</v>
      </c>
      <c r="C560" t="s">
        <v>52</v>
      </c>
      <c r="D560">
        <v>54254</v>
      </c>
      <c r="E560" t="s">
        <v>274</v>
      </c>
      <c r="F560">
        <v>12027</v>
      </c>
      <c r="G560">
        <v>0.75697295864913383</v>
      </c>
      <c r="H560">
        <v>0</v>
      </c>
      <c r="I560">
        <v>0</v>
      </c>
      <c r="J560">
        <v>0.67464259478450583</v>
      </c>
      <c r="K560">
        <v>0</v>
      </c>
      <c r="L560">
        <v>0</v>
      </c>
      <c r="M560">
        <v>0.49067022773480762</v>
      </c>
      <c r="N560">
        <v>0</v>
      </c>
      <c r="O560">
        <v>0</v>
      </c>
      <c r="P560">
        <v>0.57300806012602323</v>
      </c>
      <c r="Q560">
        <v>1.284404745166817</v>
      </c>
      <c r="R560">
        <v>6.5210887801561661</v>
      </c>
      <c r="S560">
        <v>0.2277790247481698</v>
      </c>
      <c r="T560">
        <v>0.17645088528422881</v>
      </c>
      <c r="U560">
        <v>4.2558247893905383</v>
      </c>
      <c r="V560">
        <v>0.20544728689892131</v>
      </c>
      <c r="W560">
        <v>11.987290334247939</v>
      </c>
      <c r="X560">
        <v>0.3485956362900054</v>
      </c>
      <c r="Z560" t="s">
        <v>392</v>
      </c>
      <c r="AA560">
        <v>114</v>
      </c>
      <c r="AB560" t="s">
        <v>3993</v>
      </c>
      <c r="AC560" t="str">
        <f>HYPERLINK("plots/3FT6Y578R04_015_S21P_20251218081014_M5358ACSC201811_RBGEUFRF04/dpll_52084/txpa_54254.png","plot")</f>
        <v>plot</v>
      </c>
    </row>
    <row r="561" spans="1:29" x14ac:dyDescent="0.35">
      <c r="A561" t="s">
        <v>49</v>
      </c>
      <c r="B561">
        <v>52084</v>
      </c>
      <c r="C561" t="s">
        <v>52</v>
      </c>
      <c r="D561">
        <v>54255</v>
      </c>
      <c r="E561" t="s">
        <v>275</v>
      </c>
      <c r="F561">
        <v>12027</v>
      </c>
      <c r="G561">
        <v>0.75614008886404804</v>
      </c>
      <c r="H561">
        <v>0</v>
      </c>
      <c r="I561">
        <v>0</v>
      </c>
      <c r="J561">
        <v>0.66777569285164273</v>
      </c>
      <c r="K561">
        <v>0</v>
      </c>
      <c r="L561">
        <v>0</v>
      </c>
      <c r="M561">
        <v>0.48270529131598983</v>
      </c>
      <c r="N561">
        <v>0</v>
      </c>
      <c r="O561">
        <v>0</v>
      </c>
      <c r="P561">
        <v>0.57174783398733042</v>
      </c>
      <c r="Q561">
        <v>1.277270046367917</v>
      </c>
      <c r="R561">
        <v>6.5316398664823128</v>
      </c>
      <c r="S561">
        <v>0.22707815336598011</v>
      </c>
      <c r="T561">
        <v>0.17669472524924421</v>
      </c>
      <c r="U561">
        <v>4.2557921641307059</v>
      </c>
      <c r="V561">
        <v>0.20542966688110781</v>
      </c>
      <c r="W561">
        <v>11.967435721293761</v>
      </c>
      <c r="X561">
        <v>0.34701130651168949</v>
      </c>
      <c r="Z561" t="s">
        <v>392</v>
      </c>
      <c r="AA561">
        <v>114</v>
      </c>
      <c r="AB561" t="s">
        <v>3994</v>
      </c>
      <c r="AC561" t="str">
        <f>HYPERLINK("plots/3FT6Y578R04_015_S21P_20251218081014_M5358ACSC201811_RBGEUFRF04/dpll_52084/txpa_54255.png","plot")</f>
        <v>plot</v>
      </c>
    </row>
    <row r="562" spans="1:29" x14ac:dyDescent="0.35">
      <c r="A562" t="s">
        <v>49</v>
      </c>
      <c r="B562">
        <v>52084</v>
      </c>
      <c r="C562" t="s">
        <v>52</v>
      </c>
      <c r="D562">
        <v>54256</v>
      </c>
      <c r="E562" t="s">
        <v>276</v>
      </c>
      <c r="F562">
        <v>12027</v>
      </c>
      <c r="G562">
        <v>0.76115110568235522</v>
      </c>
      <c r="H562">
        <v>0</v>
      </c>
      <c r="I562">
        <v>0</v>
      </c>
      <c r="J562">
        <v>0.68036621217799875</v>
      </c>
      <c r="K562">
        <v>0</v>
      </c>
      <c r="L562">
        <v>0</v>
      </c>
      <c r="M562">
        <v>0.49549588049627041</v>
      </c>
      <c r="N562">
        <v>0</v>
      </c>
      <c r="O562">
        <v>0</v>
      </c>
      <c r="P562">
        <v>0.57935100568147191</v>
      </c>
      <c r="Q562">
        <v>1.2965580384094939</v>
      </c>
      <c r="R562">
        <v>6.4685745114683506</v>
      </c>
      <c r="S562">
        <v>0.22694078025929951</v>
      </c>
      <c r="T562">
        <v>0.17639057397750371</v>
      </c>
      <c r="U562">
        <v>4.2557881821734433</v>
      </c>
      <c r="V562">
        <v>0.20542324838451659</v>
      </c>
      <c r="W562">
        <v>11.98645088883346</v>
      </c>
      <c r="X562">
        <v>0.34992153592204839</v>
      </c>
      <c r="Z562" t="s">
        <v>392</v>
      </c>
      <c r="AA562">
        <v>114</v>
      </c>
      <c r="AB562" t="s">
        <v>3995</v>
      </c>
      <c r="AC562" t="str">
        <f>HYPERLINK("plots/3FT6Y578R04_015_S21P_20251218081014_M5358ACSC201811_RBGEUFRF04/dpll_52084/txpa_54256.png","plot")</f>
        <v>plot</v>
      </c>
    </row>
    <row r="563" spans="1:29" x14ac:dyDescent="0.35">
      <c r="A563" t="s">
        <v>49</v>
      </c>
      <c r="B563">
        <v>52084</v>
      </c>
      <c r="C563" t="s">
        <v>52</v>
      </c>
      <c r="D563">
        <v>54257</v>
      </c>
      <c r="E563" t="s">
        <v>277</v>
      </c>
      <c r="F563">
        <v>12028</v>
      </c>
      <c r="G563">
        <v>0.75891827093055819</v>
      </c>
      <c r="H563">
        <v>0</v>
      </c>
      <c r="I563">
        <v>0</v>
      </c>
      <c r="J563">
        <v>0.6735799650471066</v>
      </c>
      <c r="K563">
        <v>0</v>
      </c>
      <c r="L563">
        <v>0</v>
      </c>
      <c r="M563">
        <v>0.48879516063001399</v>
      </c>
      <c r="N563">
        <v>0</v>
      </c>
      <c r="O563">
        <v>0</v>
      </c>
      <c r="P563">
        <v>0.57595694195222813</v>
      </c>
      <c r="Q563">
        <v>1.2762252076357881</v>
      </c>
      <c r="R563">
        <v>6.5625781374973444</v>
      </c>
      <c r="S563">
        <v>0.22495968701071589</v>
      </c>
      <c r="T563">
        <v>0.17500610060333041</v>
      </c>
      <c r="U563">
        <v>4.2558177004489526</v>
      </c>
      <c r="V563">
        <v>0.20544021673558341</v>
      </c>
      <c r="W563">
        <v>11.99395996591287</v>
      </c>
      <c r="X563">
        <v>0.34547591394607752</v>
      </c>
      <c r="Z563" t="s">
        <v>392</v>
      </c>
      <c r="AA563">
        <v>114</v>
      </c>
      <c r="AB563" t="s">
        <v>3996</v>
      </c>
      <c r="AC563" t="str">
        <f>HYPERLINK("plots/3FT6Y578R04_015_S21P_20251218081014_M5358ACSC201811_RBGEUFRF04/dpll_52084/txpa_54257.png","plot")</f>
        <v>plot</v>
      </c>
    </row>
    <row r="564" spans="1:29" x14ac:dyDescent="0.35">
      <c r="A564" t="s">
        <v>49</v>
      </c>
      <c r="B564">
        <v>52084</v>
      </c>
      <c r="C564" t="s">
        <v>52</v>
      </c>
      <c r="D564">
        <v>54258</v>
      </c>
      <c r="E564" t="s">
        <v>278</v>
      </c>
      <c r="F564">
        <v>12027</v>
      </c>
      <c r="G564">
        <v>0.75118141772963298</v>
      </c>
      <c r="H564">
        <v>0</v>
      </c>
      <c r="I564">
        <v>0</v>
      </c>
      <c r="J564">
        <v>0.66622410190819914</v>
      </c>
      <c r="K564">
        <v>0</v>
      </c>
      <c r="L564">
        <v>0</v>
      </c>
      <c r="M564">
        <v>0.48342441682765303</v>
      </c>
      <c r="N564">
        <v>0</v>
      </c>
      <c r="O564">
        <v>0</v>
      </c>
      <c r="P564">
        <v>0.56427352234230133</v>
      </c>
      <c r="Q564">
        <v>1.270685328571622</v>
      </c>
      <c r="R564">
        <v>6.5549521434496896</v>
      </c>
      <c r="S564">
        <v>0.2293793626960913</v>
      </c>
      <c r="T564">
        <v>0.17702589939637881</v>
      </c>
      <c r="U564">
        <v>4.2558401814251274</v>
      </c>
      <c r="V564">
        <v>0.20543396214013371</v>
      </c>
      <c r="W564">
        <v>11.96278582273219</v>
      </c>
      <c r="X564">
        <v>0.34750849198423722</v>
      </c>
      <c r="Z564" t="s">
        <v>392</v>
      </c>
      <c r="AA564">
        <v>114</v>
      </c>
      <c r="AB564" t="s">
        <v>3997</v>
      </c>
      <c r="AC564" t="str">
        <f>HYPERLINK("plots/3FT6Y578R04_015_S21P_20251218081014_M5358ACSC201811_RBGEUFRF04/dpll_52084/txpa_54258.png","plot")</f>
        <v>plot</v>
      </c>
    </row>
    <row r="565" spans="1:29" x14ac:dyDescent="0.35">
      <c r="A565" t="s">
        <v>49</v>
      </c>
      <c r="B565">
        <v>52084</v>
      </c>
      <c r="C565" t="s">
        <v>52</v>
      </c>
      <c r="D565">
        <v>55146</v>
      </c>
      <c r="E565" t="s">
        <v>279</v>
      </c>
      <c r="F565">
        <v>12027</v>
      </c>
      <c r="G565">
        <v>-9.1655697317588377E-3</v>
      </c>
      <c r="H565">
        <v>0.31485669197204552</v>
      </c>
      <c r="I565">
        <v>0.31641693326031128</v>
      </c>
      <c r="J565">
        <v>-1.036983645684748E-2</v>
      </c>
      <c r="K565">
        <v>0.25547630617921252</v>
      </c>
      <c r="L565">
        <v>0.25648809353041729</v>
      </c>
      <c r="M565">
        <v>-6.8355189065153633E-3</v>
      </c>
      <c r="N565">
        <v>0.26089831773996353</v>
      </c>
      <c r="O565">
        <v>0.26193157840428022</v>
      </c>
      <c r="P565">
        <v>8.4007668507733773E-5</v>
      </c>
      <c r="Q565">
        <v>-0.19423923218758229</v>
      </c>
      <c r="R565">
        <v>-11.049291817940681</v>
      </c>
      <c r="S565">
        <v>4.3535463584745813</v>
      </c>
      <c r="T565">
        <v>3.3642898207777838</v>
      </c>
      <c r="U565">
        <v>4.2558226811341147</v>
      </c>
      <c r="V565">
        <v>0.2054480318291696</v>
      </c>
      <c r="W565">
        <v>-11.87593954785067</v>
      </c>
      <c r="X565">
        <v>4.3539102450634077</v>
      </c>
      <c r="Z565" t="s">
        <v>392</v>
      </c>
      <c r="AA565">
        <v>114</v>
      </c>
      <c r="AB565" t="s">
        <v>3998</v>
      </c>
      <c r="AC565" t="str">
        <f>HYPERLINK("plots/3FT6Y578R04_015_S21P_20251218081014_M5358ACSC201811_RBGEUFRF04/dpll_52084/txpa_55146.png","plot")</f>
        <v>plot</v>
      </c>
    </row>
    <row r="566" spans="1:29" x14ac:dyDescent="0.35">
      <c r="A566" t="s">
        <v>49</v>
      </c>
      <c r="B566">
        <v>52084</v>
      </c>
      <c r="C566" t="s">
        <v>52</v>
      </c>
      <c r="D566">
        <v>55147</v>
      </c>
      <c r="E566" t="s">
        <v>280</v>
      </c>
      <c r="F566">
        <v>12028</v>
      </c>
      <c r="G566">
        <v>0.23403926435392261</v>
      </c>
      <c r="H566">
        <v>2.436894924114809E-149</v>
      </c>
      <c r="I566">
        <v>2.4562738101912692E-149</v>
      </c>
      <c r="J566">
        <v>0.22188891033647989</v>
      </c>
      <c r="K566">
        <v>4.6769494591277073E-134</v>
      </c>
      <c r="L566">
        <v>4.7235326210712104E-134</v>
      </c>
      <c r="M566">
        <v>0.14928327361653279</v>
      </c>
      <c r="N566">
        <v>1.07150027375623E-132</v>
      </c>
      <c r="O566">
        <v>1.082172587239858E-132</v>
      </c>
      <c r="P566">
        <v>5.4774377259325269E-2</v>
      </c>
      <c r="Q566">
        <v>1.3625107053570651</v>
      </c>
      <c r="R566">
        <v>-27.189093474714909</v>
      </c>
      <c r="S566">
        <v>1.1627500105607429</v>
      </c>
      <c r="T566">
        <v>0.90569797805338736</v>
      </c>
      <c r="U566">
        <v>4.2558177004489526</v>
      </c>
      <c r="V566">
        <v>0.20544021673558341</v>
      </c>
      <c r="W566">
        <v>-21.390496297805122</v>
      </c>
      <c r="X566">
        <v>1.1960151019352521</v>
      </c>
      <c r="Z566" t="s">
        <v>392</v>
      </c>
      <c r="AA566">
        <v>114</v>
      </c>
      <c r="AB566" t="s">
        <v>3999</v>
      </c>
      <c r="AC566" t="str">
        <f>HYPERLINK("plots/3FT6Y578R04_015_S21P_20251218081014_M5358ACSC201811_RBGEUFRF04/dpll_52084/txpa_55147.png","plot")</f>
        <v>plot</v>
      </c>
    </row>
    <row r="567" spans="1:29" x14ac:dyDescent="0.35">
      <c r="A567" t="s">
        <v>49</v>
      </c>
      <c r="B567">
        <v>52084</v>
      </c>
      <c r="C567" t="s">
        <v>52</v>
      </c>
      <c r="D567">
        <v>55148</v>
      </c>
      <c r="E567" t="s">
        <v>281</v>
      </c>
      <c r="F567">
        <v>12028</v>
      </c>
      <c r="G567">
        <v>0.27435373869904278</v>
      </c>
      <c r="H567">
        <v>1.177790846192814E-206</v>
      </c>
      <c r="I567">
        <v>1.2299484222858021E-206</v>
      </c>
      <c r="J567">
        <v>0.26318771930211349</v>
      </c>
      <c r="K567">
        <v>9.6459794328261883E-190</v>
      </c>
      <c r="L567">
        <v>1.012528275868091E-189</v>
      </c>
      <c r="M567">
        <v>0.17746434164515809</v>
      </c>
      <c r="N567">
        <v>7.7123308116134231E-187</v>
      </c>
      <c r="O567">
        <v>8.0955522184016688E-187</v>
      </c>
      <c r="P567">
        <v>7.5269973938142679E-2</v>
      </c>
      <c r="Q567">
        <v>1.5687787089686249</v>
      </c>
      <c r="R567">
        <v>-27.96451206236528</v>
      </c>
      <c r="S567">
        <v>1.1296026272387309</v>
      </c>
      <c r="T567">
        <v>0.87301873769927052</v>
      </c>
      <c r="U567">
        <v>4.2558177004489526</v>
      </c>
      <c r="V567">
        <v>0.20544021673558341</v>
      </c>
      <c r="W567">
        <v>-21.288075864649151</v>
      </c>
      <c r="X567">
        <v>1.1747251541347681</v>
      </c>
      <c r="Z567" t="s">
        <v>392</v>
      </c>
      <c r="AA567">
        <v>114</v>
      </c>
      <c r="AB567" t="s">
        <v>4000</v>
      </c>
      <c r="AC567" t="str">
        <f>HYPERLINK("plots/3FT6Y578R04_015_S21P_20251218081014_M5358ACSC201811_RBGEUFRF04/dpll_52084/txpa_55148.png","plot")</f>
        <v>plot</v>
      </c>
    </row>
    <row r="568" spans="1:29" x14ac:dyDescent="0.35">
      <c r="A568" t="s">
        <v>49</v>
      </c>
      <c r="B568">
        <v>52084</v>
      </c>
      <c r="C568" t="s">
        <v>52</v>
      </c>
      <c r="D568">
        <v>55149</v>
      </c>
      <c r="E568" t="s">
        <v>282</v>
      </c>
      <c r="F568">
        <v>12028</v>
      </c>
      <c r="G568">
        <v>0.24522769511397521</v>
      </c>
      <c r="H568">
        <v>3.2355185558658762E-164</v>
      </c>
      <c r="I568">
        <v>3.2840999155635621E-164</v>
      </c>
      <c r="J568">
        <v>0.229373230968553</v>
      </c>
      <c r="K568">
        <v>2.304630153920137E-143</v>
      </c>
      <c r="L568">
        <v>2.341578132339699E-143</v>
      </c>
      <c r="M568">
        <v>0.15451713647385171</v>
      </c>
      <c r="N568">
        <v>4.0590911455474164E-142</v>
      </c>
      <c r="O568">
        <v>4.1241667550952709E-142</v>
      </c>
      <c r="P568">
        <v>6.0136622450912787E-2</v>
      </c>
      <c r="Q568">
        <v>1.4037016649274661</v>
      </c>
      <c r="R568">
        <v>-27.255774302123761</v>
      </c>
      <c r="S568">
        <v>1.140000581303982</v>
      </c>
      <c r="T568">
        <v>0.88415914264746109</v>
      </c>
      <c r="U568">
        <v>4.2558177004489526</v>
      </c>
      <c r="V568">
        <v>0.20544021673558341</v>
      </c>
      <c r="W568">
        <v>-21.281875910375788</v>
      </c>
      <c r="X568">
        <v>1.175955163387105</v>
      </c>
      <c r="Z568" t="s">
        <v>392</v>
      </c>
      <c r="AA568">
        <v>114</v>
      </c>
      <c r="AB568" t="s">
        <v>4001</v>
      </c>
      <c r="AC568" t="str">
        <f>HYPERLINK("plots/3FT6Y578R04_015_S21P_20251218081014_M5358ACSC201811_RBGEUFRF04/dpll_52084/txpa_55149.png","plot")</f>
        <v>plot</v>
      </c>
    </row>
    <row r="569" spans="1:29" x14ac:dyDescent="0.35">
      <c r="A569" t="s">
        <v>49</v>
      </c>
      <c r="B569">
        <v>52084</v>
      </c>
      <c r="C569" t="s">
        <v>52</v>
      </c>
      <c r="D569">
        <v>55150</v>
      </c>
      <c r="E569" t="s">
        <v>283</v>
      </c>
      <c r="F569">
        <v>12028</v>
      </c>
      <c r="G569">
        <v>0.26789479730477378</v>
      </c>
      <c r="H569">
        <v>8.9795637004211776E-197</v>
      </c>
      <c r="I569">
        <v>9.3100997875532457E-197</v>
      </c>
      <c r="J569">
        <v>0.25380224209206748</v>
      </c>
      <c r="K569">
        <v>3.7915986351245392E-176</v>
      </c>
      <c r="L569">
        <v>3.9392223524756988E-176</v>
      </c>
      <c r="M569">
        <v>0.17134148093113971</v>
      </c>
      <c r="N569">
        <v>2.4359656341781439E-174</v>
      </c>
      <c r="O569">
        <v>2.53080855845967E-174</v>
      </c>
      <c r="P569">
        <v>7.1767622422965832E-2</v>
      </c>
      <c r="Q569">
        <v>1.530892694346585</v>
      </c>
      <c r="R569">
        <v>-27.722398313883321</v>
      </c>
      <c r="S569">
        <v>1.1310355039549751</v>
      </c>
      <c r="T569">
        <v>0.87228687094095558</v>
      </c>
      <c r="U569">
        <v>4.2558177004489526</v>
      </c>
      <c r="V569">
        <v>0.20544021673558341</v>
      </c>
      <c r="W569">
        <v>-21.207198087795138</v>
      </c>
      <c r="X569">
        <v>1.173994157742754</v>
      </c>
      <c r="Z569" t="s">
        <v>392</v>
      </c>
      <c r="AA569">
        <v>114</v>
      </c>
      <c r="AB569" t="s">
        <v>4002</v>
      </c>
      <c r="AC569" t="str">
        <f>HYPERLINK("plots/3FT6Y578R04_015_S21P_20251218081014_M5358ACSC201811_RBGEUFRF04/dpll_52084/txpa_55150.png","plot")</f>
        <v>plot</v>
      </c>
    </row>
    <row r="570" spans="1:29" x14ac:dyDescent="0.35">
      <c r="A570" t="s">
        <v>49</v>
      </c>
      <c r="B570">
        <v>52084</v>
      </c>
      <c r="C570" t="s">
        <v>52</v>
      </c>
      <c r="D570">
        <v>55151</v>
      </c>
      <c r="E570" t="s">
        <v>284</v>
      </c>
      <c r="F570">
        <v>12028</v>
      </c>
      <c r="G570">
        <v>0.25959026556272952</v>
      </c>
      <c r="H570">
        <v>1.8268196049787539E-184</v>
      </c>
      <c r="I570">
        <v>1.871106140857027E-184</v>
      </c>
      <c r="J570">
        <v>0.24839505848425891</v>
      </c>
      <c r="K570">
        <v>1.434260140501952E-168</v>
      </c>
      <c r="L570">
        <v>1.4690300833019989E-168</v>
      </c>
      <c r="M570">
        <v>0.16749814624120499</v>
      </c>
      <c r="N570">
        <v>1.170585632420142E-166</v>
      </c>
      <c r="O570">
        <v>1.1989634659333569E-166</v>
      </c>
      <c r="P570">
        <v>6.7387105974928432E-2</v>
      </c>
      <c r="Q570">
        <v>1.4856333698199491</v>
      </c>
      <c r="R570">
        <v>-27.57772579514921</v>
      </c>
      <c r="S570">
        <v>1.135380317576131</v>
      </c>
      <c r="T570">
        <v>0.87884295048089911</v>
      </c>
      <c r="U570">
        <v>4.2558177004489526</v>
      </c>
      <c r="V570">
        <v>0.20544021673558341</v>
      </c>
      <c r="W570">
        <v>-21.25514100349185</v>
      </c>
      <c r="X570">
        <v>1.1757329991700809</v>
      </c>
      <c r="Z570" t="s">
        <v>392</v>
      </c>
      <c r="AA570">
        <v>114</v>
      </c>
      <c r="AB570" t="s">
        <v>4003</v>
      </c>
      <c r="AC570" t="str">
        <f>HYPERLINK("plots/3FT6Y578R04_015_S21P_20251218081014_M5358ACSC201811_RBGEUFRF04/dpll_52084/txpa_55151.png","plot")</f>
        <v>plot</v>
      </c>
    </row>
    <row r="571" spans="1:29" x14ac:dyDescent="0.35">
      <c r="A571" t="s">
        <v>49</v>
      </c>
      <c r="B571">
        <v>52084</v>
      </c>
      <c r="C571" t="s">
        <v>52</v>
      </c>
      <c r="D571">
        <v>55152</v>
      </c>
      <c r="E571" t="s">
        <v>285</v>
      </c>
      <c r="F571">
        <v>12028</v>
      </c>
      <c r="G571">
        <v>0.26132878045273739</v>
      </c>
      <c r="H571">
        <v>5.2689804718240442E-187</v>
      </c>
      <c r="I571">
        <v>5.4241078156645496E-187</v>
      </c>
      <c r="J571">
        <v>0.25308090788324988</v>
      </c>
      <c r="K571">
        <v>3.9848507459488518E-175</v>
      </c>
      <c r="L571">
        <v>4.1231006697878942E-175</v>
      </c>
      <c r="M571">
        <v>0.1710068378874231</v>
      </c>
      <c r="N571">
        <v>1.423567788349668E-173</v>
      </c>
      <c r="O571">
        <v>1.474461427361147E-173</v>
      </c>
      <c r="P571">
        <v>6.8292731492915024E-2</v>
      </c>
      <c r="Q571">
        <v>1.5051099089090241</v>
      </c>
      <c r="R571">
        <v>-27.71023777456222</v>
      </c>
      <c r="S571">
        <v>1.1420579079006601</v>
      </c>
      <c r="T571">
        <v>0.88713489373438281</v>
      </c>
      <c r="U571">
        <v>4.2558177004489526</v>
      </c>
      <c r="V571">
        <v>0.20544021673558341</v>
      </c>
      <c r="W571">
        <v>-21.304764383106079</v>
      </c>
      <c r="X571">
        <v>1.1832225496229509</v>
      </c>
      <c r="Z571" t="s">
        <v>392</v>
      </c>
      <c r="AA571">
        <v>114</v>
      </c>
      <c r="AB571" t="s">
        <v>4004</v>
      </c>
      <c r="AC571" t="str">
        <f>HYPERLINK("plots/3FT6Y578R04_015_S21P_20251218081014_M5358ACSC201811_RBGEUFRF04/dpll_52084/txpa_55152.png","plot")</f>
        <v>plot</v>
      </c>
    </row>
    <row r="572" spans="1:29" x14ac:dyDescent="0.35">
      <c r="A572" t="s">
        <v>49</v>
      </c>
      <c r="B572">
        <v>52084</v>
      </c>
      <c r="C572" t="s">
        <v>52</v>
      </c>
      <c r="D572">
        <v>55153</v>
      </c>
      <c r="E572" t="s">
        <v>286</v>
      </c>
      <c r="F572">
        <v>12028</v>
      </c>
      <c r="G572">
        <v>0.2393497333165997</v>
      </c>
      <c r="H572">
        <v>2.6458680343986497E-156</v>
      </c>
      <c r="I572">
        <v>2.6775550767267781E-156</v>
      </c>
      <c r="J572">
        <v>0.22617282248972109</v>
      </c>
      <c r="K572">
        <v>2.4226637767034039E-139</v>
      </c>
      <c r="L572">
        <v>2.451677714148954E-139</v>
      </c>
      <c r="M572">
        <v>0.1530390073244417</v>
      </c>
      <c r="N572">
        <v>2.0492967414043591E-139</v>
      </c>
      <c r="O572">
        <v>2.073839217349321E-139</v>
      </c>
      <c r="P572">
        <v>5.728829483872741E-2</v>
      </c>
      <c r="Q572">
        <v>1.3888597941990111</v>
      </c>
      <c r="R572">
        <v>-27.206574532906981</v>
      </c>
      <c r="S572">
        <v>1.1573969084174951</v>
      </c>
      <c r="T572">
        <v>0.89958917350904222</v>
      </c>
      <c r="U572">
        <v>4.2558177004489526</v>
      </c>
      <c r="V572">
        <v>0.20544021673558341</v>
      </c>
      <c r="W572">
        <v>-21.29584043731294</v>
      </c>
      <c r="X572">
        <v>1.1920951537395941</v>
      </c>
      <c r="Z572" t="s">
        <v>392</v>
      </c>
      <c r="AA572">
        <v>114</v>
      </c>
      <c r="AB572" t="s">
        <v>4005</v>
      </c>
      <c r="AC572" t="str">
        <f>HYPERLINK("plots/3FT6Y578R04_015_S21P_20251218081014_M5358ACSC201811_RBGEUFRF04/dpll_52084/txpa_55153.png","plot")</f>
        <v>plot</v>
      </c>
    </row>
    <row r="573" spans="1:29" x14ac:dyDescent="0.35">
      <c r="A573" t="s">
        <v>49</v>
      </c>
      <c r="B573">
        <v>52084</v>
      </c>
      <c r="C573" t="s">
        <v>52</v>
      </c>
      <c r="D573">
        <v>55154</v>
      </c>
      <c r="E573" t="s">
        <v>287</v>
      </c>
      <c r="F573">
        <v>12028</v>
      </c>
      <c r="G573">
        <v>0.25501694320599427</v>
      </c>
      <c r="H573">
        <v>7.0964253209094355E-178</v>
      </c>
      <c r="I573">
        <v>7.2246739712873171E-178</v>
      </c>
      <c r="J573">
        <v>0.23837640588768361</v>
      </c>
      <c r="K573">
        <v>5.1531252628997818E-155</v>
      </c>
      <c r="L573">
        <v>5.2462540327112239E-155</v>
      </c>
      <c r="M573">
        <v>0.1608643912350978</v>
      </c>
      <c r="N573">
        <v>8.4339053086063207E-154</v>
      </c>
      <c r="O573">
        <v>8.5863252840630611E-154</v>
      </c>
      <c r="P573">
        <v>6.503364132212934E-2</v>
      </c>
      <c r="Q573">
        <v>1.4796964060244551</v>
      </c>
      <c r="R573">
        <v>-27.678696803372489</v>
      </c>
      <c r="S573">
        <v>1.152574444438363</v>
      </c>
      <c r="T573">
        <v>0.89989838278407464</v>
      </c>
      <c r="U573">
        <v>4.2558177004489526</v>
      </c>
      <c r="V573">
        <v>0.20544021673558341</v>
      </c>
      <c r="W573">
        <v>-21.381378647322911</v>
      </c>
      <c r="X573">
        <v>1.192035111608156</v>
      </c>
      <c r="Z573" t="s">
        <v>392</v>
      </c>
      <c r="AA573">
        <v>114</v>
      </c>
      <c r="AB573" t="s">
        <v>4006</v>
      </c>
      <c r="AC573" t="str">
        <f>HYPERLINK("plots/3FT6Y578R04_015_S21P_20251218081014_M5358ACSC201811_RBGEUFRF04/dpll_52084/txpa_55154.png","plot")</f>
        <v>plot</v>
      </c>
    </row>
    <row r="574" spans="1:29" x14ac:dyDescent="0.35">
      <c r="A574" t="s">
        <v>49</v>
      </c>
      <c r="B574">
        <v>52084</v>
      </c>
      <c r="C574" t="s">
        <v>52</v>
      </c>
      <c r="D574">
        <v>55155</v>
      </c>
      <c r="E574" t="s">
        <v>288</v>
      </c>
      <c r="F574">
        <v>12028</v>
      </c>
      <c r="G574">
        <v>0.50737551274844672</v>
      </c>
      <c r="H574">
        <v>0</v>
      </c>
      <c r="I574">
        <v>0</v>
      </c>
      <c r="J574">
        <v>0.44979201262570179</v>
      </c>
      <c r="K574">
        <v>0</v>
      </c>
      <c r="L574">
        <v>0</v>
      </c>
      <c r="M574">
        <v>0.31030649782047098</v>
      </c>
      <c r="N574">
        <v>0</v>
      </c>
      <c r="O574">
        <v>0</v>
      </c>
      <c r="P574">
        <v>0.25742991093674922</v>
      </c>
      <c r="Q574">
        <v>0.81293503154837421</v>
      </c>
      <c r="R574">
        <v>-15.065933044666391</v>
      </c>
      <c r="S574">
        <v>0.28363673132362111</v>
      </c>
      <c r="T574">
        <v>0.219911321128755</v>
      </c>
      <c r="U574">
        <v>4.2558177004489526</v>
      </c>
      <c r="V574">
        <v>0.20544021673558341</v>
      </c>
      <c r="W574">
        <v>-11.60622974808779</v>
      </c>
      <c r="X574">
        <v>0.32916359752672691</v>
      </c>
      <c r="Z574" t="s">
        <v>392</v>
      </c>
      <c r="AA574">
        <v>114</v>
      </c>
      <c r="AB574" t="s">
        <v>4007</v>
      </c>
      <c r="AC574" t="str">
        <f>HYPERLINK("plots/3FT6Y578R04_015_S21P_20251218081014_M5358ACSC201811_RBGEUFRF04/dpll_52084/txpa_55155.png","plot")</f>
        <v>plot</v>
      </c>
    </row>
    <row r="575" spans="1:29" x14ac:dyDescent="0.35">
      <c r="A575" t="s">
        <v>49</v>
      </c>
      <c r="B575">
        <v>52084</v>
      </c>
      <c r="C575" t="s">
        <v>52</v>
      </c>
      <c r="D575">
        <v>55156</v>
      </c>
      <c r="E575" t="s">
        <v>289</v>
      </c>
      <c r="F575">
        <v>12028</v>
      </c>
      <c r="G575">
        <v>0.54596159237984321</v>
      </c>
      <c r="H575">
        <v>0</v>
      </c>
      <c r="I575">
        <v>0</v>
      </c>
      <c r="J575">
        <v>0.48064249144851762</v>
      </c>
      <c r="K575">
        <v>0</v>
      </c>
      <c r="L575">
        <v>0</v>
      </c>
      <c r="M575">
        <v>0.33423376784454928</v>
      </c>
      <c r="N575">
        <v>0</v>
      </c>
      <c r="O575">
        <v>0</v>
      </c>
      <c r="P575">
        <v>0.29807406035393408</v>
      </c>
      <c r="Q575">
        <v>0.87445474534245438</v>
      </c>
      <c r="R575">
        <v>-15.264477341301721</v>
      </c>
      <c r="S575">
        <v>0.27566923650513392</v>
      </c>
      <c r="T575">
        <v>0.2157334946336297</v>
      </c>
      <c r="U575">
        <v>4.2558177004489526</v>
      </c>
      <c r="V575">
        <v>0.20544021673558341</v>
      </c>
      <c r="W575">
        <v>-11.54295735783173</v>
      </c>
      <c r="X575">
        <v>0.32904910329960768</v>
      </c>
      <c r="Z575" t="s">
        <v>392</v>
      </c>
      <c r="AA575">
        <v>114</v>
      </c>
      <c r="AB575" t="s">
        <v>4008</v>
      </c>
      <c r="AC575" t="str">
        <f>HYPERLINK("plots/3FT6Y578R04_015_S21P_20251218081014_M5358ACSC201811_RBGEUFRF04/dpll_52084/txpa_55156.png","plot")</f>
        <v>plot</v>
      </c>
    </row>
    <row r="576" spans="1:29" x14ac:dyDescent="0.35">
      <c r="A576" t="s">
        <v>49</v>
      </c>
      <c r="B576">
        <v>52084</v>
      </c>
      <c r="C576" t="s">
        <v>52</v>
      </c>
      <c r="D576">
        <v>55157</v>
      </c>
      <c r="E576" t="s">
        <v>290</v>
      </c>
      <c r="F576">
        <v>12028</v>
      </c>
      <c r="G576">
        <v>0.53524169750804185</v>
      </c>
      <c r="H576">
        <v>0</v>
      </c>
      <c r="I576">
        <v>0</v>
      </c>
      <c r="J576">
        <v>0.46600108024414771</v>
      </c>
      <c r="K576">
        <v>0</v>
      </c>
      <c r="L576">
        <v>0</v>
      </c>
      <c r="M576">
        <v>0.32360798481083769</v>
      </c>
      <c r="N576">
        <v>0</v>
      </c>
      <c r="O576">
        <v>0</v>
      </c>
      <c r="P576">
        <v>0.28648367475129022</v>
      </c>
      <c r="Q576">
        <v>0.84121935055921881</v>
      </c>
      <c r="R576">
        <v>-15.10009108234944</v>
      </c>
      <c r="S576">
        <v>0.27272734349676342</v>
      </c>
      <c r="T576">
        <v>0.21384399015561659</v>
      </c>
      <c r="U576">
        <v>4.2558177004489526</v>
      </c>
      <c r="V576">
        <v>0.20544021673558341</v>
      </c>
      <c r="W576">
        <v>-11.52001488027935</v>
      </c>
      <c r="X576">
        <v>0.32288270234860789</v>
      </c>
      <c r="Z576" t="s">
        <v>392</v>
      </c>
      <c r="AA576">
        <v>114</v>
      </c>
      <c r="AB576" t="s">
        <v>4009</v>
      </c>
      <c r="AC576" t="str">
        <f>HYPERLINK("plots/3FT6Y578R04_015_S21P_20251218081014_M5358ACSC201811_RBGEUFRF04/dpll_52084/txpa_55157.png","plot")</f>
        <v>plot</v>
      </c>
    </row>
    <row r="577" spans="1:29" x14ac:dyDescent="0.35">
      <c r="A577" t="s">
        <v>49</v>
      </c>
      <c r="B577">
        <v>52084</v>
      </c>
      <c r="C577" t="s">
        <v>52</v>
      </c>
      <c r="D577">
        <v>55158</v>
      </c>
      <c r="E577" t="s">
        <v>291</v>
      </c>
      <c r="F577">
        <v>12028</v>
      </c>
      <c r="G577">
        <v>0.5574374186173483</v>
      </c>
      <c r="H577">
        <v>0</v>
      </c>
      <c r="I577">
        <v>0</v>
      </c>
      <c r="J577">
        <v>0.48862223375032759</v>
      </c>
      <c r="K577">
        <v>0</v>
      </c>
      <c r="L577">
        <v>0</v>
      </c>
      <c r="M577">
        <v>0.34017271013906641</v>
      </c>
      <c r="N577">
        <v>0</v>
      </c>
      <c r="O577">
        <v>0</v>
      </c>
      <c r="P577">
        <v>0.31073647567477281</v>
      </c>
      <c r="Q577">
        <v>0.89656663531649861</v>
      </c>
      <c r="R577">
        <v>-15.308763994921589</v>
      </c>
      <c r="S577">
        <v>0.27431307826403861</v>
      </c>
      <c r="T577">
        <v>0.2140153544410057</v>
      </c>
      <c r="U577">
        <v>4.2558177004489526</v>
      </c>
      <c r="V577">
        <v>0.20544021673558341</v>
      </c>
      <c r="W577">
        <v>-11.493139838709681</v>
      </c>
      <c r="X577">
        <v>0.33042425521805852</v>
      </c>
      <c r="Z577" t="s">
        <v>392</v>
      </c>
      <c r="AA577">
        <v>114</v>
      </c>
      <c r="AB577" t="s">
        <v>4010</v>
      </c>
      <c r="AC577" t="str">
        <f>HYPERLINK("plots/3FT6Y578R04_015_S21P_20251218081014_M5358ACSC201811_RBGEUFRF04/dpll_52084/txpa_55158.png","plot")</f>
        <v>plot</v>
      </c>
    </row>
    <row r="578" spans="1:29" x14ac:dyDescent="0.35">
      <c r="A578" t="s">
        <v>49</v>
      </c>
      <c r="B578">
        <v>52084</v>
      </c>
      <c r="C578" t="s">
        <v>52</v>
      </c>
      <c r="D578">
        <v>55159</v>
      </c>
      <c r="E578" t="s">
        <v>292</v>
      </c>
      <c r="F578">
        <v>12027</v>
      </c>
      <c r="G578">
        <v>0.54511394786148981</v>
      </c>
      <c r="H578">
        <v>0</v>
      </c>
      <c r="I578">
        <v>0</v>
      </c>
      <c r="J578">
        <v>0.47432917094645088</v>
      </c>
      <c r="K578">
        <v>0</v>
      </c>
      <c r="L578">
        <v>0</v>
      </c>
      <c r="M578">
        <v>0.32911210143801378</v>
      </c>
      <c r="N578">
        <v>0</v>
      </c>
      <c r="O578">
        <v>0</v>
      </c>
      <c r="P578">
        <v>0.29714921615313911</v>
      </c>
      <c r="Q578">
        <v>0.8807561020044834</v>
      </c>
      <c r="R578">
        <v>-15.2577080403943</v>
      </c>
      <c r="S578">
        <v>0.278256321264927</v>
      </c>
      <c r="T578">
        <v>0.217414820431721</v>
      </c>
      <c r="U578">
        <v>4.2557921641307059</v>
      </c>
      <c r="V578">
        <v>0.20542966688110781</v>
      </c>
      <c r="W578">
        <v>-11.509393122973311</v>
      </c>
      <c r="X578">
        <v>0.3319185527137864</v>
      </c>
      <c r="Z578" t="s">
        <v>392</v>
      </c>
      <c r="AA578">
        <v>114</v>
      </c>
      <c r="AB578" t="s">
        <v>4011</v>
      </c>
      <c r="AC578" t="str">
        <f>HYPERLINK("plots/3FT6Y578R04_015_S21P_20251218081014_M5358ACSC201811_RBGEUFRF04/dpll_52084/txpa_55159.png","plot")</f>
        <v>plot</v>
      </c>
    </row>
    <row r="579" spans="1:29" x14ac:dyDescent="0.35">
      <c r="A579" t="s">
        <v>49</v>
      </c>
      <c r="B579">
        <v>52084</v>
      </c>
      <c r="C579" t="s">
        <v>52</v>
      </c>
      <c r="D579">
        <v>55160</v>
      </c>
      <c r="E579" t="s">
        <v>293</v>
      </c>
      <c r="F579">
        <v>12028</v>
      </c>
      <c r="G579">
        <v>0.55450296345793026</v>
      </c>
      <c r="H579">
        <v>0</v>
      </c>
      <c r="I579">
        <v>0</v>
      </c>
      <c r="J579">
        <v>0.48888153515611749</v>
      </c>
      <c r="K579">
        <v>0</v>
      </c>
      <c r="L579">
        <v>0</v>
      </c>
      <c r="M579">
        <v>0.34054736148621773</v>
      </c>
      <c r="N579">
        <v>0</v>
      </c>
      <c r="O579">
        <v>0</v>
      </c>
      <c r="P579">
        <v>0.30747353648362669</v>
      </c>
      <c r="Q579">
        <v>0.8819158319522159</v>
      </c>
      <c r="R579">
        <v>-15.27214663097463</v>
      </c>
      <c r="S579">
        <v>0.27189978534199538</v>
      </c>
      <c r="T579">
        <v>0.21341757266031139</v>
      </c>
      <c r="U579">
        <v>4.2558177004489526</v>
      </c>
      <c r="V579">
        <v>0.20544021673558341</v>
      </c>
      <c r="W579">
        <v>-11.518873623046231</v>
      </c>
      <c r="X579">
        <v>0.32674483564333878</v>
      </c>
      <c r="Z579" t="s">
        <v>392</v>
      </c>
      <c r="AA579">
        <v>114</v>
      </c>
      <c r="AB579" t="s">
        <v>4012</v>
      </c>
      <c r="AC579" t="str">
        <f>HYPERLINK("plots/3FT6Y578R04_015_S21P_20251218081014_M5358ACSC201811_RBGEUFRF04/dpll_52084/txpa_55160.png","plot")</f>
        <v>plot</v>
      </c>
    </row>
    <row r="580" spans="1:29" x14ac:dyDescent="0.35">
      <c r="A580" t="s">
        <v>49</v>
      </c>
      <c r="B580">
        <v>52084</v>
      </c>
      <c r="C580" t="s">
        <v>52</v>
      </c>
      <c r="D580">
        <v>55161</v>
      </c>
      <c r="E580" t="s">
        <v>294</v>
      </c>
      <c r="F580">
        <v>12028</v>
      </c>
      <c r="G580">
        <v>0.54596678369418661</v>
      </c>
      <c r="H580">
        <v>0</v>
      </c>
      <c r="I580">
        <v>0</v>
      </c>
      <c r="J580">
        <v>0.47629410498846142</v>
      </c>
      <c r="K580">
        <v>0</v>
      </c>
      <c r="L580">
        <v>0</v>
      </c>
      <c r="M580">
        <v>0.33055005241700491</v>
      </c>
      <c r="N580">
        <v>0</v>
      </c>
      <c r="O580">
        <v>0</v>
      </c>
      <c r="P580">
        <v>0.29807972889737477</v>
      </c>
      <c r="Q580">
        <v>0.85871226514564802</v>
      </c>
      <c r="R580">
        <v>-15.170647498437511</v>
      </c>
      <c r="S580">
        <v>0.270702799754304</v>
      </c>
      <c r="T580">
        <v>0.21302603790396271</v>
      </c>
      <c r="U580">
        <v>4.2558177004489526</v>
      </c>
      <c r="V580">
        <v>0.20544021673558341</v>
      </c>
      <c r="W580">
        <v>-11.516124640838051</v>
      </c>
      <c r="X580">
        <v>0.32312228350477989</v>
      </c>
      <c r="Z580" t="s">
        <v>392</v>
      </c>
      <c r="AA580">
        <v>114</v>
      </c>
      <c r="AB580" t="s">
        <v>4013</v>
      </c>
      <c r="AC580" t="str">
        <f>HYPERLINK("plots/3FT6Y578R04_015_S21P_20251218081014_M5358ACSC201811_RBGEUFRF04/dpll_52084/txpa_55161.png","plot")</f>
        <v>plot</v>
      </c>
    </row>
    <row r="581" spans="1:29" x14ac:dyDescent="0.35">
      <c r="A581" t="s">
        <v>49</v>
      </c>
      <c r="B581">
        <v>52084</v>
      </c>
      <c r="C581" t="s">
        <v>52</v>
      </c>
      <c r="D581">
        <v>55162</v>
      </c>
      <c r="E581" t="s">
        <v>295</v>
      </c>
      <c r="F581">
        <v>12028</v>
      </c>
      <c r="G581">
        <v>0.52834783770038252</v>
      </c>
      <c r="H581">
        <v>0</v>
      </c>
      <c r="I581">
        <v>0</v>
      </c>
      <c r="J581">
        <v>0.46246098510628991</v>
      </c>
      <c r="K581">
        <v>0</v>
      </c>
      <c r="L581">
        <v>0</v>
      </c>
      <c r="M581">
        <v>0.32066724470115282</v>
      </c>
      <c r="N581">
        <v>0</v>
      </c>
      <c r="O581">
        <v>0</v>
      </c>
      <c r="P581">
        <v>0.27915143760266969</v>
      </c>
      <c r="Q581">
        <v>0.83939635383990552</v>
      </c>
      <c r="R581">
        <v>-15.16142461044732</v>
      </c>
      <c r="S581">
        <v>0.27710002992347349</v>
      </c>
      <c r="T581">
        <v>0.21623307519022369</v>
      </c>
      <c r="U581">
        <v>4.2558177004489526</v>
      </c>
      <c r="V581">
        <v>0.20544021673558341</v>
      </c>
      <c r="W581">
        <v>-11.58910675008314</v>
      </c>
      <c r="X581">
        <v>0.32638681670486919</v>
      </c>
      <c r="Z581" t="s">
        <v>392</v>
      </c>
      <c r="AA581">
        <v>114</v>
      </c>
      <c r="AB581" t="s">
        <v>4014</v>
      </c>
      <c r="AC581" t="str">
        <f>HYPERLINK("plots/3FT6Y578R04_015_S21P_20251218081014_M5358ACSC201811_RBGEUFRF04/dpll_52084/txpa_55162.png","plot")</f>
        <v>plot</v>
      </c>
    </row>
    <row r="582" spans="1:29" x14ac:dyDescent="0.35">
      <c r="A582" t="s">
        <v>49</v>
      </c>
      <c r="B582">
        <v>52084</v>
      </c>
      <c r="C582" t="s">
        <v>52</v>
      </c>
      <c r="D582">
        <v>55163</v>
      </c>
      <c r="E582" t="s">
        <v>296</v>
      </c>
      <c r="F582">
        <v>12028</v>
      </c>
      <c r="G582">
        <v>0.50520688942349123</v>
      </c>
      <c r="H582">
        <v>0</v>
      </c>
      <c r="I582">
        <v>0</v>
      </c>
      <c r="J582">
        <v>0.44927851758818932</v>
      </c>
      <c r="K582">
        <v>0</v>
      </c>
      <c r="L582">
        <v>0</v>
      </c>
      <c r="M582">
        <v>0.30924001387743549</v>
      </c>
      <c r="N582">
        <v>0</v>
      </c>
      <c r="O582">
        <v>0</v>
      </c>
      <c r="P582">
        <v>0.25523400112095967</v>
      </c>
      <c r="Q582">
        <v>0.72093806384798875</v>
      </c>
      <c r="R582">
        <v>-8.8192426041624099</v>
      </c>
      <c r="S582">
        <v>0.25299155391831712</v>
      </c>
      <c r="T582">
        <v>0.19628251365077709</v>
      </c>
      <c r="U582">
        <v>4.2558177004489526</v>
      </c>
      <c r="V582">
        <v>0.20544021673558341</v>
      </c>
      <c r="W582">
        <v>-5.7510616311107423</v>
      </c>
      <c r="X582">
        <v>0.29316637439144139</v>
      </c>
      <c r="Z582" t="s">
        <v>392</v>
      </c>
      <c r="AA582">
        <v>114</v>
      </c>
      <c r="AB582" t="s">
        <v>4015</v>
      </c>
      <c r="AC582" t="str">
        <f>HYPERLINK("plots/3FT6Y578R04_015_S21P_20251218081014_M5358ACSC201811_RBGEUFRF04/dpll_52084/txpa_55163.png","plot")</f>
        <v>plot</v>
      </c>
    </row>
    <row r="583" spans="1:29" x14ac:dyDescent="0.35">
      <c r="A583" t="s">
        <v>49</v>
      </c>
      <c r="B583">
        <v>52084</v>
      </c>
      <c r="C583" t="s">
        <v>52</v>
      </c>
      <c r="D583">
        <v>55164</v>
      </c>
      <c r="E583" t="s">
        <v>297</v>
      </c>
      <c r="F583">
        <v>12028</v>
      </c>
      <c r="G583">
        <v>0.53621272630698147</v>
      </c>
      <c r="H583">
        <v>0</v>
      </c>
      <c r="I583">
        <v>0</v>
      </c>
      <c r="J583">
        <v>0.47380781456604931</v>
      </c>
      <c r="K583">
        <v>0</v>
      </c>
      <c r="L583">
        <v>0</v>
      </c>
      <c r="M583">
        <v>0.32910700878135768</v>
      </c>
      <c r="N583">
        <v>0</v>
      </c>
      <c r="O583">
        <v>0</v>
      </c>
      <c r="P583">
        <v>0.28752408785356581</v>
      </c>
      <c r="Q583">
        <v>0.76568177131464177</v>
      </c>
      <c r="R583">
        <v>-8.9670949995220415</v>
      </c>
      <c r="S583">
        <v>0.2476074423018581</v>
      </c>
      <c r="T583">
        <v>0.19376467669540601</v>
      </c>
      <c r="U583">
        <v>4.2558177004489526</v>
      </c>
      <c r="V583">
        <v>0.20544021673558341</v>
      </c>
      <c r="W583">
        <v>-5.7084929642500821</v>
      </c>
      <c r="X583">
        <v>0.29335713483105641</v>
      </c>
      <c r="Z583" t="s">
        <v>392</v>
      </c>
      <c r="AA583">
        <v>114</v>
      </c>
      <c r="AB583" t="s">
        <v>4016</v>
      </c>
      <c r="AC583" t="str">
        <f>HYPERLINK("plots/3FT6Y578R04_015_S21P_20251218081014_M5358ACSC201811_RBGEUFRF04/dpll_52084/txpa_55164.png","plot")</f>
        <v>plot</v>
      </c>
    </row>
    <row r="584" spans="1:29" x14ac:dyDescent="0.35">
      <c r="A584" t="s">
        <v>49</v>
      </c>
      <c r="B584">
        <v>52084</v>
      </c>
      <c r="C584" t="s">
        <v>52</v>
      </c>
      <c r="D584">
        <v>55165</v>
      </c>
      <c r="E584" t="s">
        <v>298</v>
      </c>
      <c r="F584">
        <v>12028</v>
      </c>
      <c r="G584">
        <v>0.52226404211876687</v>
      </c>
      <c r="H584">
        <v>0</v>
      </c>
      <c r="I584">
        <v>0</v>
      </c>
      <c r="J584">
        <v>0.45753187138693918</v>
      </c>
      <c r="K584">
        <v>0</v>
      </c>
      <c r="L584">
        <v>0</v>
      </c>
      <c r="M584">
        <v>0.31665540103009648</v>
      </c>
      <c r="N584">
        <v>0</v>
      </c>
      <c r="O584">
        <v>0</v>
      </c>
      <c r="P584">
        <v>0.2727597296902331</v>
      </c>
      <c r="Q584">
        <v>0.73222346717182663</v>
      </c>
      <c r="R584">
        <v>-8.8040717538137017</v>
      </c>
      <c r="S584">
        <v>0.2456178287946241</v>
      </c>
      <c r="T584">
        <v>0.19271304813563689</v>
      </c>
      <c r="U584">
        <v>4.2558177004489526</v>
      </c>
      <c r="V584">
        <v>0.20544021673558341</v>
      </c>
      <c r="W584">
        <v>-5.6878621615397398</v>
      </c>
      <c r="X584">
        <v>0.28803083433504312</v>
      </c>
      <c r="Z584" t="s">
        <v>392</v>
      </c>
      <c r="AA584">
        <v>114</v>
      </c>
      <c r="AB584" t="s">
        <v>4017</v>
      </c>
      <c r="AC584" t="str">
        <f>HYPERLINK("plots/3FT6Y578R04_015_S21P_20251218081014_M5358ACSC201811_RBGEUFRF04/dpll_52084/txpa_55165.png","plot")</f>
        <v>plot</v>
      </c>
    </row>
    <row r="585" spans="1:29" x14ac:dyDescent="0.35">
      <c r="A585" t="s">
        <v>49</v>
      </c>
      <c r="B585">
        <v>52084</v>
      </c>
      <c r="C585" t="s">
        <v>52</v>
      </c>
      <c r="D585">
        <v>55166</v>
      </c>
      <c r="E585" t="s">
        <v>299</v>
      </c>
      <c r="F585">
        <v>12028</v>
      </c>
      <c r="G585">
        <v>0.54881729118552514</v>
      </c>
      <c r="H585">
        <v>0</v>
      </c>
      <c r="I585">
        <v>0</v>
      </c>
      <c r="J585">
        <v>0.48026515407860632</v>
      </c>
      <c r="K585">
        <v>0</v>
      </c>
      <c r="L585">
        <v>0</v>
      </c>
      <c r="M585">
        <v>0.33402619286946278</v>
      </c>
      <c r="N585">
        <v>0</v>
      </c>
      <c r="O585">
        <v>0</v>
      </c>
      <c r="P585">
        <v>0.30120041910421752</v>
      </c>
      <c r="Q585">
        <v>0.78408790361229952</v>
      </c>
      <c r="R585">
        <v>-9.0113680719008027</v>
      </c>
      <c r="S585">
        <v>0.24534696851222559</v>
      </c>
      <c r="T585">
        <v>0.19235785971982039</v>
      </c>
      <c r="U585">
        <v>4.2558177004489526</v>
      </c>
      <c r="V585">
        <v>0.20544021673558341</v>
      </c>
      <c r="W585">
        <v>-5.6744328929996666</v>
      </c>
      <c r="X585">
        <v>0.29350968244804559</v>
      </c>
      <c r="Z585" t="s">
        <v>392</v>
      </c>
      <c r="AA585">
        <v>114</v>
      </c>
      <c r="AB585" t="s">
        <v>4018</v>
      </c>
      <c r="AC585" t="str">
        <f>HYPERLINK("plots/3FT6Y578R04_015_S21P_20251218081014_M5358ACSC201811_RBGEUFRF04/dpll_52084/txpa_55166.png","plot")</f>
        <v>plot</v>
      </c>
    </row>
    <row r="586" spans="1:29" x14ac:dyDescent="0.35">
      <c r="A586" t="s">
        <v>49</v>
      </c>
      <c r="B586">
        <v>52084</v>
      </c>
      <c r="C586" t="s">
        <v>52</v>
      </c>
      <c r="D586">
        <v>55167</v>
      </c>
      <c r="E586" t="s">
        <v>300</v>
      </c>
      <c r="F586">
        <v>12027</v>
      </c>
      <c r="G586">
        <v>0.54234124077312384</v>
      </c>
      <c r="H586">
        <v>0</v>
      </c>
      <c r="I586">
        <v>0</v>
      </c>
      <c r="J586">
        <v>0.46856262296128892</v>
      </c>
      <c r="K586">
        <v>0</v>
      </c>
      <c r="L586">
        <v>0</v>
      </c>
      <c r="M586">
        <v>0.32402537703268858</v>
      </c>
      <c r="N586">
        <v>0</v>
      </c>
      <c r="O586">
        <v>0</v>
      </c>
      <c r="P586">
        <v>0.29413402144333151</v>
      </c>
      <c r="Q586">
        <v>0.7731175319234328</v>
      </c>
      <c r="R586">
        <v>-8.9757981279760717</v>
      </c>
      <c r="S586">
        <v>0.24602493331616651</v>
      </c>
      <c r="T586">
        <v>0.19422000076850771</v>
      </c>
      <c r="U586">
        <v>4.2557921641307059</v>
      </c>
      <c r="V586">
        <v>0.20542966688110781</v>
      </c>
      <c r="W586">
        <v>-5.6855705936642549</v>
      </c>
      <c r="X586">
        <v>0.29284381327256348</v>
      </c>
      <c r="Z586" t="s">
        <v>392</v>
      </c>
      <c r="AA586">
        <v>114</v>
      </c>
      <c r="AB586" t="s">
        <v>4019</v>
      </c>
      <c r="AC586" t="str">
        <f>HYPERLINK("plots/3FT6Y578R04_015_S21P_20251218081014_M5358ACSC201811_RBGEUFRF04/dpll_52084/txpa_55167.png","plot")</f>
        <v>plot</v>
      </c>
    </row>
    <row r="587" spans="1:29" x14ac:dyDescent="0.35">
      <c r="A587" t="s">
        <v>49</v>
      </c>
      <c r="B587">
        <v>52084</v>
      </c>
      <c r="C587" t="s">
        <v>52</v>
      </c>
      <c r="D587">
        <v>55168</v>
      </c>
      <c r="E587" t="s">
        <v>301</v>
      </c>
      <c r="F587">
        <v>12028</v>
      </c>
      <c r="G587">
        <v>0.5500969478668557</v>
      </c>
      <c r="H587">
        <v>0</v>
      </c>
      <c r="I587">
        <v>0</v>
      </c>
      <c r="J587">
        <v>0.48334954977879241</v>
      </c>
      <c r="K587">
        <v>0</v>
      </c>
      <c r="L587">
        <v>0</v>
      </c>
      <c r="M587">
        <v>0.33597359256568449</v>
      </c>
      <c r="N587">
        <v>0</v>
      </c>
      <c r="O587">
        <v>0</v>
      </c>
      <c r="P587">
        <v>0.30260665205243009</v>
      </c>
      <c r="Q587">
        <v>0.78050550784072736</v>
      </c>
      <c r="R587">
        <v>-9.0071631960553269</v>
      </c>
      <c r="S587">
        <v>0.24341259558399889</v>
      </c>
      <c r="T587">
        <v>0.191934516370871</v>
      </c>
      <c r="U587">
        <v>4.2558177004489526</v>
      </c>
      <c r="V587">
        <v>0.20544021673558341</v>
      </c>
      <c r="W587">
        <v>-5.6854740404888604</v>
      </c>
      <c r="X587">
        <v>0.29148902082788108</v>
      </c>
      <c r="Z587" t="s">
        <v>392</v>
      </c>
      <c r="AA587">
        <v>114</v>
      </c>
      <c r="AB587" t="s">
        <v>4020</v>
      </c>
      <c r="AC587" t="str">
        <f>HYPERLINK("plots/3FT6Y578R04_015_S21P_20251218081014_M5358ACSC201811_RBGEUFRF04/dpll_52084/txpa_55168.png","plot")</f>
        <v>plot</v>
      </c>
    </row>
    <row r="588" spans="1:29" x14ac:dyDescent="0.35">
      <c r="A588" t="s">
        <v>49</v>
      </c>
      <c r="B588">
        <v>52084</v>
      </c>
      <c r="C588" t="s">
        <v>52</v>
      </c>
      <c r="D588">
        <v>55169</v>
      </c>
      <c r="E588" t="s">
        <v>302</v>
      </c>
      <c r="F588">
        <v>12028</v>
      </c>
      <c r="G588">
        <v>0.54365783715603788</v>
      </c>
      <c r="H588">
        <v>0</v>
      </c>
      <c r="I588">
        <v>0</v>
      </c>
      <c r="J588">
        <v>0.47265377614236842</v>
      </c>
      <c r="K588">
        <v>0</v>
      </c>
      <c r="L588">
        <v>0</v>
      </c>
      <c r="M588">
        <v>0.32706717358460791</v>
      </c>
      <c r="N588">
        <v>0</v>
      </c>
      <c r="O588">
        <v>0</v>
      </c>
      <c r="P588">
        <v>0.29556384390118101</v>
      </c>
      <c r="Q588">
        <v>0.75844819279848996</v>
      </c>
      <c r="R588">
        <v>-8.9094482892625528</v>
      </c>
      <c r="S588">
        <v>0.24054065955093759</v>
      </c>
      <c r="T588">
        <v>0.19002759154796009</v>
      </c>
      <c r="U588">
        <v>4.2558177004489526</v>
      </c>
      <c r="V588">
        <v>0.20544021673558341</v>
      </c>
      <c r="W588">
        <v>-5.6816310454772196</v>
      </c>
      <c r="X588">
        <v>0.28660629988584529</v>
      </c>
      <c r="Z588" t="s">
        <v>392</v>
      </c>
      <c r="AA588">
        <v>114</v>
      </c>
      <c r="AB588" t="s">
        <v>4021</v>
      </c>
      <c r="AC588" t="str">
        <f>HYPERLINK("plots/3FT6Y578R04_015_S21P_20251218081014_M5358ACSC201811_RBGEUFRF04/dpll_52084/txpa_55169.png","plot")</f>
        <v>plot</v>
      </c>
    </row>
    <row r="589" spans="1:29" x14ac:dyDescent="0.35">
      <c r="A589" t="s">
        <v>49</v>
      </c>
      <c r="B589">
        <v>52084</v>
      </c>
      <c r="C589" t="s">
        <v>52</v>
      </c>
      <c r="D589">
        <v>55170</v>
      </c>
      <c r="E589" t="s">
        <v>303</v>
      </c>
      <c r="F589">
        <v>12028</v>
      </c>
      <c r="G589">
        <v>0.52918601873531013</v>
      </c>
      <c r="H589">
        <v>0</v>
      </c>
      <c r="I589">
        <v>0</v>
      </c>
      <c r="J589">
        <v>0.4614789248864048</v>
      </c>
      <c r="K589">
        <v>0</v>
      </c>
      <c r="L589">
        <v>0</v>
      </c>
      <c r="M589">
        <v>0.31964682020804258</v>
      </c>
      <c r="N589">
        <v>0</v>
      </c>
      <c r="O589">
        <v>0</v>
      </c>
      <c r="P589">
        <v>0.28003784242492802</v>
      </c>
      <c r="Q589">
        <v>0.74836058061266097</v>
      </c>
      <c r="R589">
        <v>-8.9188695696062119</v>
      </c>
      <c r="S589">
        <v>0.24650446320850311</v>
      </c>
      <c r="T589">
        <v>0.19363708156306961</v>
      </c>
      <c r="U589">
        <v>4.2558177004489526</v>
      </c>
      <c r="V589">
        <v>0.20544021673558341</v>
      </c>
      <c r="W589">
        <v>-5.7339833643165941</v>
      </c>
      <c r="X589">
        <v>0.29052800798641659</v>
      </c>
      <c r="Z589" t="s">
        <v>392</v>
      </c>
      <c r="AA589">
        <v>114</v>
      </c>
      <c r="AB589" t="s">
        <v>4022</v>
      </c>
      <c r="AC589" t="str">
        <f>HYPERLINK("plots/3FT6Y578R04_015_S21P_20251218081014_M5358ACSC201811_RBGEUFRF04/dpll_52084/txpa_55170.png","plot")</f>
        <v>plot</v>
      </c>
    </row>
    <row r="590" spans="1:29" x14ac:dyDescent="0.35">
      <c r="A590" t="s">
        <v>49</v>
      </c>
      <c r="B590">
        <v>52084</v>
      </c>
      <c r="C590" t="s">
        <v>52</v>
      </c>
      <c r="D590">
        <v>55171</v>
      </c>
      <c r="E590" t="s">
        <v>304</v>
      </c>
      <c r="F590">
        <v>12028</v>
      </c>
      <c r="G590">
        <v>0.51442107686738148</v>
      </c>
      <c r="H590">
        <v>0</v>
      </c>
      <c r="I590">
        <v>0</v>
      </c>
      <c r="J590">
        <v>0.46215971734146821</v>
      </c>
      <c r="K590">
        <v>0</v>
      </c>
      <c r="L590">
        <v>0</v>
      </c>
      <c r="M590">
        <v>0.31836586205143691</v>
      </c>
      <c r="N590">
        <v>0</v>
      </c>
      <c r="O590">
        <v>0</v>
      </c>
      <c r="P590">
        <v>0.26462904432539641</v>
      </c>
      <c r="Q590">
        <v>0.73059954481337086</v>
      </c>
      <c r="R590">
        <v>-5.7824018500476786</v>
      </c>
      <c r="S590">
        <v>0.25019653446875412</v>
      </c>
      <c r="T590">
        <v>0.19405537128560479</v>
      </c>
      <c r="U590">
        <v>4.2558177004489526</v>
      </c>
      <c r="V590">
        <v>0.20544021673558341</v>
      </c>
      <c r="W590">
        <v>-2.6731033752909878</v>
      </c>
      <c r="X590">
        <v>0.29177367643525248</v>
      </c>
      <c r="Z590" t="s">
        <v>392</v>
      </c>
      <c r="AA590">
        <v>114</v>
      </c>
      <c r="AB590" t="s">
        <v>4023</v>
      </c>
      <c r="AC590" t="str">
        <f>HYPERLINK("plots/3FT6Y578R04_015_S21P_20251218081014_M5358ACSC201811_RBGEUFRF04/dpll_52084/txpa_55171.png","plot")</f>
        <v>plot</v>
      </c>
    </row>
    <row r="591" spans="1:29" x14ac:dyDescent="0.35">
      <c r="A591" t="s">
        <v>49</v>
      </c>
      <c r="B591">
        <v>52084</v>
      </c>
      <c r="C591" t="s">
        <v>52</v>
      </c>
      <c r="D591">
        <v>55172</v>
      </c>
      <c r="E591" t="s">
        <v>305</v>
      </c>
      <c r="F591">
        <v>12028</v>
      </c>
      <c r="G591">
        <v>0.5441284066685933</v>
      </c>
      <c r="H591">
        <v>0</v>
      </c>
      <c r="I591">
        <v>0</v>
      </c>
      <c r="J591">
        <v>0.48494743224084591</v>
      </c>
      <c r="K591">
        <v>0</v>
      </c>
      <c r="L591">
        <v>0</v>
      </c>
      <c r="M591">
        <v>0.33708581169492879</v>
      </c>
      <c r="N591">
        <v>0</v>
      </c>
      <c r="O591">
        <v>0</v>
      </c>
      <c r="P591">
        <v>0.29607572294370199</v>
      </c>
      <c r="Q591">
        <v>0.77268951643863248</v>
      </c>
      <c r="R591">
        <v>-5.9251000179014621</v>
      </c>
      <c r="S591">
        <v>0.24475636960464081</v>
      </c>
      <c r="T591">
        <v>0.19161531338824589</v>
      </c>
      <c r="U591">
        <v>4.2558177004489526</v>
      </c>
      <c r="V591">
        <v>0.20544021673558341</v>
      </c>
      <c r="W591">
        <v>-2.6366742968905879</v>
      </c>
      <c r="X591">
        <v>0.29173536941097239</v>
      </c>
      <c r="Z591" t="s">
        <v>392</v>
      </c>
      <c r="AA591">
        <v>114</v>
      </c>
      <c r="AB591" t="s">
        <v>4024</v>
      </c>
      <c r="AC591" t="str">
        <f>HYPERLINK("plots/3FT6Y578R04_015_S21P_20251218081014_M5358ACSC201811_RBGEUFRF04/dpll_52084/txpa_55172.png","plot")</f>
        <v>plot</v>
      </c>
    </row>
    <row r="592" spans="1:29" x14ac:dyDescent="0.35">
      <c r="A592" t="s">
        <v>49</v>
      </c>
      <c r="B592">
        <v>52084</v>
      </c>
      <c r="C592" t="s">
        <v>52</v>
      </c>
      <c r="D592">
        <v>55173</v>
      </c>
      <c r="E592" t="s">
        <v>306</v>
      </c>
      <c r="F592">
        <v>12028</v>
      </c>
      <c r="G592">
        <v>0.52921841076121645</v>
      </c>
      <c r="H592">
        <v>0</v>
      </c>
      <c r="I592">
        <v>0</v>
      </c>
      <c r="J592">
        <v>0.46869545733197421</v>
      </c>
      <c r="K592">
        <v>0</v>
      </c>
      <c r="L592">
        <v>0</v>
      </c>
      <c r="M592">
        <v>0.3245362712919625</v>
      </c>
      <c r="N592">
        <v>0</v>
      </c>
      <c r="O592">
        <v>0</v>
      </c>
      <c r="P592">
        <v>0.2800721262886276</v>
      </c>
      <c r="Q592">
        <v>0.7380877996155879</v>
      </c>
      <c r="R592">
        <v>-5.7586760092693527</v>
      </c>
      <c r="S592">
        <v>0.24310001575923809</v>
      </c>
      <c r="T592">
        <v>0.190629586135484</v>
      </c>
      <c r="U592">
        <v>4.2558177004489526</v>
      </c>
      <c r="V592">
        <v>0.20544021673558341</v>
      </c>
      <c r="W592">
        <v>-2.617508887179913</v>
      </c>
      <c r="X592">
        <v>0.28652237798154218</v>
      </c>
      <c r="Z592" t="s">
        <v>392</v>
      </c>
      <c r="AA592">
        <v>114</v>
      </c>
      <c r="AB592" t="s">
        <v>4025</v>
      </c>
      <c r="AC592" t="str">
        <f>HYPERLINK("plots/3FT6Y578R04_015_S21P_20251218081014_M5358ACSC201811_RBGEUFRF04/dpll_52084/txpa_55173.png","plot")</f>
        <v>plot</v>
      </c>
    </row>
    <row r="593" spans="1:29" x14ac:dyDescent="0.35">
      <c r="A593" t="s">
        <v>49</v>
      </c>
      <c r="B593">
        <v>52084</v>
      </c>
      <c r="C593" t="s">
        <v>52</v>
      </c>
      <c r="D593">
        <v>55174</v>
      </c>
      <c r="E593" t="s">
        <v>307</v>
      </c>
      <c r="F593">
        <v>12028</v>
      </c>
      <c r="G593">
        <v>0.5529027820394008</v>
      </c>
      <c r="H593">
        <v>0</v>
      </c>
      <c r="I593">
        <v>0</v>
      </c>
      <c r="J593">
        <v>0.48743035412136432</v>
      </c>
      <c r="K593">
        <v>0</v>
      </c>
      <c r="L593">
        <v>0</v>
      </c>
      <c r="M593">
        <v>0.33927647065073158</v>
      </c>
      <c r="N593">
        <v>0</v>
      </c>
      <c r="O593">
        <v>0</v>
      </c>
      <c r="P593">
        <v>0.30570148638690908</v>
      </c>
      <c r="Q593">
        <v>0.78286538820198626</v>
      </c>
      <c r="R593">
        <v>-5.9408389926570706</v>
      </c>
      <c r="S593">
        <v>0.24236999031569079</v>
      </c>
      <c r="T593">
        <v>0.19011649459158539</v>
      </c>
      <c r="U593">
        <v>4.2558177004489526</v>
      </c>
      <c r="V593">
        <v>0.20544021673558341</v>
      </c>
      <c r="W593">
        <v>-2.609106616478218</v>
      </c>
      <c r="X593">
        <v>0.29088664454493829</v>
      </c>
      <c r="Z593" t="s">
        <v>392</v>
      </c>
      <c r="AA593">
        <v>114</v>
      </c>
      <c r="AB593" t="s">
        <v>4026</v>
      </c>
      <c r="AC593" t="str">
        <f>HYPERLINK("plots/3FT6Y578R04_015_S21P_20251218081014_M5358ACSC201811_RBGEUFRF04/dpll_52084/txpa_55174.png","plot")</f>
        <v>plot</v>
      </c>
    </row>
    <row r="594" spans="1:29" x14ac:dyDescent="0.35">
      <c r="A594" t="s">
        <v>49</v>
      </c>
      <c r="B594">
        <v>52084</v>
      </c>
      <c r="C594" t="s">
        <v>52</v>
      </c>
      <c r="D594">
        <v>55175</v>
      </c>
      <c r="E594" t="s">
        <v>308</v>
      </c>
      <c r="F594">
        <v>12027</v>
      </c>
      <c r="G594">
        <v>0.54698216959813351</v>
      </c>
      <c r="H594">
        <v>0</v>
      </c>
      <c r="I594">
        <v>0</v>
      </c>
      <c r="J594">
        <v>0.47622659173729343</v>
      </c>
      <c r="K594">
        <v>0</v>
      </c>
      <c r="L594">
        <v>0</v>
      </c>
      <c r="M594">
        <v>0.32948074166383912</v>
      </c>
      <c r="N594">
        <v>0</v>
      </c>
      <c r="O594">
        <v>0</v>
      </c>
      <c r="P594">
        <v>0.29918949385828131</v>
      </c>
      <c r="Q594">
        <v>0.77165119501677526</v>
      </c>
      <c r="R594">
        <v>-5.9037097825960014</v>
      </c>
      <c r="S594">
        <v>0.2426013826472892</v>
      </c>
      <c r="T594">
        <v>0.1915065627156787</v>
      </c>
      <c r="U594">
        <v>4.2557921641307059</v>
      </c>
      <c r="V594">
        <v>0.20542966688110781</v>
      </c>
      <c r="W594">
        <v>-2.6197226734015131</v>
      </c>
      <c r="X594">
        <v>0.28980843755321889</v>
      </c>
      <c r="Z594" t="s">
        <v>392</v>
      </c>
      <c r="AA594">
        <v>114</v>
      </c>
      <c r="AB594" t="s">
        <v>4027</v>
      </c>
      <c r="AC594" t="str">
        <f>HYPERLINK("plots/3FT6Y578R04_015_S21P_20251218081014_M5358ACSC201811_RBGEUFRF04/dpll_52084/txpa_55175.png","plot")</f>
        <v>plot</v>
      </c>
    </row>
    <row r="595" spans="1:29" x14ac:dyDescent="0.35">
      <c r="A595" t="s">
        <v>49</v>
      </c>
      <c r="B595">
        <v>52084</v>
      </c>
      <c r="C595" t="s">
        <v>52</v>
      </c>
      <c r="D595">
        <v>55176</v>
      </c>
      <c r="E595" t="s">
        <v>309</v>
      </c>
      <c r="F595">
        <v>12028</v>
      </c>
      <c r="G595">
        <v>0.55770958762619838</v>
      </c>
      <c r="H595">
        <v>0</v>
      </c>
      <c r="I595">
        <v>0</v>
      </c>
      <c r="J595">
        <v>0.49479347124108058</v>
      </c>
      <c r="K595">
        <v>0</v>
      </c>
      <c r="L595">
        <v>0</v>
      </c>
      <c r="M595">
        <v>0.3444600535443243</v>
      </c>
      <c r="N595">
        <v>0</v>
      </c>
      <c r="O595">
        <v>0</v>
      </c>
      <c r="P595">
        <v>0.31103998413018419</v>
      </c>
      <c r="Q595">
        <v>0.78774287105213048</v>
      </c>
      <c r="R595">
        <v>-5.9684617045914816</v>
      </c>
      <c r="S595">
        <v>0.24084675007473649</v>
      </c>
      <c r="T595">
        <v>0.18970359447751689</v>
      </c>
      <c r="U595">
        <v>4.2558177004489526</v>
      </c>
      <c r="V595">
        <v>0.20544021673558341</v>
      </c>
      <c r="W595">
        <v>-2.615971650565347</v>
      </c>
      <c r="X595">
        <v>0.29017623105545198</v>
      </c>
      <c r="Z595" t="s">
        <v>392</v>
      </c>
      <c r="AA595">
        <v>114</v>
      </c>
      <c r="AB595" t="s">
        <v>4028</v>
      </c>
      <c r="AC595" t="str">
        <f>HYPERLINK("plots/3FT6Y578R04_015_S21P_20251218081014_M5358ACSC201811_RBGEUFRF04/dpll_52084/txpa_55176.png","plot")</f>
        <v>plot</v>
      </c>
    </row>
    <row r="596" spans="1:29" x14ac:dyDescent="0.35">
      <c r="A596" t="s">
        <v>49</v>
      </c>
      <c r="B596">
        <v>52084</v>
      </c>
      <c r="C596" t="s">
        <v>52</v>
      </c>
      <c r="D596">
        <v>55177</v>
      </c>
      <c r="E596" t="s">
        <v>310</v>
      </c>
      <c r="F596">
        <v>12028</v>
      </c>
      <c r="G596">
        <v>0.55147780545990366</v>
      </c>
      <c r="H596">
        <v>0</v>
      </c>
      <c r="I596">
        <v>0</v>
      </c>
      <c r="J596">
        <v>0.48423363850664403</v>
      </c>
      <c r="K596">
        <v>0</v>
      </c>
      <c r="L596">
        <v>0</v>
      </c>
      <c r="M596">
        <v>0.33549513958584481</v>
      </c>
      <c r="N596">
        <v>0</v>
      </c>
      <c r="O596">
        <v>0</v>
      </c>
      <c r="P596">
        <v>0.30412776991487128</v>
      </c>
      <c r="Q596">
        <v>0.76616920347711892</v>
      </c>
      <c r="R596">
        <v>-5.8712578806266276</v>
      </c>
      <c r="S596">
        <v>0.2380832354440344</v>
      </c>
      <c r="T596">
        <v>0.18836308380103589</v>
      </c>
      <c r="U596">
        <v>4.2558177004489526</v>
      </c>
      <c r="V596">
        <v>0.20544021673558341</v>
      </c>
      <c r="W596">
        <v>-2.610581422929831</v>
      </c>
      <c r="X596">
        <v>0.28541849855082341</v>
      </c>
      <c r="Z596" t="s">
        <v>392</v>
      </c>
      <c r="AA596">
        <v>114</v>
      </c>
      <c r="AB596" t="s">
        <v>4029</v>
      </c>
      <c r="AC596" t="str">
        <f>HYPERLINK("plots/3FT6Y578R04_015_S21P_20251218081014_M5358ACSC201811_RBGEUFRF04/dpll_52084/txpa_55177.png","plot")</f>
        <v>plot</v>
      </c>
    </row>
    <row r="597" spans="1:29" x14ac:dyDescent="0.35">
      <c r="A597" t="s">
        <v>49</v>
      </c>
      <c r="B597">
        <v>52084</v>
      </c>
      <c r="C597" t="s">
        <v>52</v>
      </c>
      <c r="D597">
        <v>55178</v>
      </c>
      <c r="E597" t="s">
        <v>311</v>
      </c>
      <c r="F597">
        <v>12027</v>
      </c>
      <c r="G597">
        <v>0.53700940600656533</v>
      </c>
      <c r="H597">
        <v>0</v>
      </c>
      <c r="I597">
        <v>0</v>
      </c>
      <c r="J597">
        <v>0.47279239904360182</v>
      </c>
      <c r="K597">
        <v>0</v>
      </c>
      <c r="L597">
        <v>0</v>
      </c>
      <c r="M597">
        <v>0.32805328786683308</v>
      </c>
      <c r="N597">
        <v>0</v>
      </c>
      <c r="O597">
        <v>0</v>
      </c>
      <c r="P597">
        <v>0.28837910213952411</v>
      </c>
      <c r="Q597">
        <v>0.75705741083841738</v>
      </c>
      <c r="R597">
        <v>-5.8785587635084688</v>
      </c>
      <c r="S597">
        <v>0.24430111871796731</v>
      </c>
      <c r="T597">
        <v>0.19194156243922139</v>
      </c>
      <c r="U597">
        <v>4.2558401814251274</v>
      </c>
      <c r="V597">
        <v>0.20543396214013371</v>
      </c>
      <c r="W597">
        <v>-2.6566434148166622</v>
      </c>
      <c r="X597">
        <v>0.28961374183860328</v>
      </c>
      <c r="Z597" t="s">
        <v>392</v>
      </c>
      <c r="AA597">
        <v>114</v>
      </c>
      <c r="AB597" t="s">
        <v>4030</v>
      </c>
      <c r="AC597" t="str">
        <f>HYPERLINK("plots/3FT6Y578R04_015_S21P_20251218081014_M5358ACSC201811_RBGEUFRF04/dpll_52084/txpa_55178.png","plot")</f>
        <v>plot</v>
      </c>
    </row>
    <row r="598" spans="1:29" x14ac:dyDescent="0.35">
      <c r="A598" t="s">
        <v>49</v>
      </c>
      <c r="B598">
        <v>52084</v>
      </c>
      <c r="C598" t="s">
        <v>52</v>
      </c>
      <c r="D598">
        <v>55179</v>
      </c>
      <c r="E598" t="s">
        <v>312</v>
      </c>
      <c r="F598">
        <v>12028</v>
      </c>
      <c r="G598">
        <v>0.55922045699046985</v>
      </c>
      <c r="H598">
        <v>0</v>
      </c>
      <c r="I598">
        <v>0</v>
      </c>
      <c r="J598">
        <v>0.51245278267566152</v>
      </c>
      <c r="K598">
        <v>0</v>
      </c>
      <c r="L598">
        <v>0</v>
      </c>
      <c r="M598">
        <v>0.35603261198113612</v>
      </c>
      <c r="N598">
        <v>0</v>
      </c>
      <c r="O598">
        <v>0</v>
      </c>
      <c r="P598">
        <v>0.31272751951662991</v>
      </c>
      <c r="Q598">
        <v>0.79764290109393876</v>
      </c>
      <c r="R598">
        <v>-2.4409458832594462</v>
      </c>
      <c r="S598">
        <v>0.24291668277743561</v>
      </c>
      <c r="T598">
        <v>0.1878741963310179</v>
      </c>
      <c r="U598">
        <v>4.2558177004489526</v>
      </c>
      <c r="V598">
        <v>0.20544021673558341</v>
      </c>
      <c r="W598">
        <v>0.95367689385359156</v>
      </c>
      <c r="X598">
        <v>0.29302921313039698</v>
      </c>
      <c r="Z598" t="s">
        <v>392</v>
      </c>
      <c r="AA598">
        <v>114</v>
      </c>
      <c r="AB598" t="s">
        <v>4031</v>
      </c>
      <c r="AC598" t="str">
        <f>HYPERLINK("plots/3FT6Y578R04_015_S21P_20251218081014_M5358ACSC201811_RBGEUFRF04/dpll_52084/txpa_55179.png","plot")</f>
        <v>plot</v>
      </c>
    </row>
    <row r="599" spans="1:29" x14ac:dyDescent="0.35">
      <c r="A599" t="s">
        <v>49</v>
      </c>
      <c r="B599">
        <v>52084</v>
      </c>
      <c r="C599" t="s">
        <v>52</v>
      </c>
      <c r="D599">
        <v>55180</v>
      </c>
      <c r="E599" t="s">
        <v>313</v>
      </c>
      <c r="F599">
        <v>12028</v>
      </c>
      <c r="G599">
        <v>0.58712633451792473</v>
      </c>
      <c r="H599">
        <v>0</v>
      </c>
      <c r="I599">
        <v>0</v>
      </c>
      <c r="J599">
        <v>0.53246268298746602</v>
      </c>
      <c r="K599">
        <v>0</v>
      </c>
      <c r="L599">
        <v>0</v>
      </c>
      <c r="M599">
        <v>0.37303803318602019</v>
      </c>
      <c r="N599">
        <v>0</v>
      </c>
      <c r="O599">
        <v>0</v>
      </c>
      <c r="P599">
        <v>0.34471733268445398</v>
      </c>
      <c r="Q599">
        <v>0.83669974368907374</v>
      </c>
      <c r="R599">
        <v>-2.5754916435939501</v>
      </c>
      <c r="S599">
        <v>0.23698443694788721</v>
      </c>
      <c r="T599">
        <v>0.18553426981378751</v>
      </c>
      <c r="U599">
        <v>4.2558177004489526</v>
      </c>
      <c r="V599">
        <v>0.20544021673558341</v>
      </c>
      <c r="W599">
        <v>0.9853499355591121</v>
      </c>
      <c r="X599">
        <v>0.29276795568576691</v>
      </c>
      <c r="Z599" t="s">
        <v>392</v>
      </c>
      <c r="AA599">
        <v>114</v>
      </c>
      <c r="AB599" t="s">
        <v>4032</v>
      </c>
      <c r="AC599" t="str">
        <f>HYPERLINK("plots/3FT6Y578R04_015_S21P_20251218081014_M5358ACSC201811_RBGEUFRF04/dpll_52084/txpa_55180.png","plot")</f>
        <v>plot</v>
      </c>
    </row>
    <row r="600" spans="1:29" x14ac:dyDescent="0.35">
      <c r="A600" t="s">
        <v>49</v>
      </c>
      <c r="B600">
        <v>52084</v>
      </c>
      <c r="C600" t="s">
        <v>52</v>
      </c>
      <c r="D600">
        <v>55181</v>
      </c>
      <c r="E600" t="s">
        <v>314</v>
      </c>
      <c r="F600">
        <v>12028</v>
      </c>
      <c r="G600">
        <v>0.57160305828898306</v>
      </c>
      <c r="H600">
        <v>0</v>
      </c>
      <c r="I600">
        <v>0</v>
      </c>
      <c r="J600">
        <v>0.51606361344339624</v>
      </c>
      <c r="K600">
        <v>0</v>
      </c>
      <c r="L600">
        <v>0</v>
      </c>
      <c r="M600">
        <v>0.35994898092462008</v>
      </c>
      <c r="N600">
        <v>0</v>
      </c>
      <c r="O600">
        <v>0</v>
      </c>
      <c r="P600">
        <v>0.32673005624531859</v>
      </c>
      <c r="Q600">
        <v>0.80249642507821195</v>
      </c>
      <c r="R600">
        <v>-2.4123746810430982</v>
      </c>
      <c r="S600">
        <v>0.23665222197423599</v>
      </c>
      <c r="T600">
        <v>0.18510065127737979</v>
      </c>
      <c r="U600">
        <v>4.2558177004489526</v>
      </c>
      <c r="V600">
        <v>0.20544021673558341</v>
      </c>
      <c r="W600">
        <v>1.002903809351763</v>
      </c>
      <c r="X600">
        <v>0.28842574774022411</v>
      </c>
      <c r="Z600" t="s">
        <v>392</v>
      </c>
      <c r="AA600">
        <v>114</v>
      </c>
      <c r="AB600" t="s">
        <v>4033</v>
      </c>
      <c r="AC600" t="str">
        <f>HYPERLINK("plots/3FT6Y578R04_015_S21P_20251218081014_M5358ACSC201811_RBGEUFRF04/dpll_52084/txpa_55181.png","plot")</f>
        <v>plot</v>
      </c>
    </row>
    <row r="601" spans="1:29" x14ac:dyDescent="0.35">
      <c r="A601" t="s">
        <v>49</v>
      </c>
      <c r="B601">
        <v>52084</v>
      </c>
      <c r="C601" t="s">
        <v>52</v>
      </c>
      <c r="D601">
        <v>55182</v>
      </c>
      <c r="E601" t="s">
        <v>315</v>
      </c>
      <c r="F601">
        <v>12028</v>
      </c>
      <c r="G601">
        <v>0.59264294650820437</v>
      </c>
      <c r="H601">
        <v>0</v>
      </c>
      <c r="I601">
        <v>0</v>
      </c>
      <c r="J601">
        <v>0.53209012378847198</v>
      </c>
      <c r="K601">
        <v>0</v>
      </c>
      <c r="L601">
        <v>0</v>
      </c>
      <c r="M601">
        <v>0.3731196677472568</v>
      </c>
      <c r="N601">
        <v>0</v>
      </c>
      <c r="O601">
        <v>0</v>
      </c>
      <c r="P601">
        <v>0.35122566204592642</v>
      </c>
      <c r="Q601">
        <v>0.84209662748856928</v>
      </c>
      <c r="R601">
        <v>-2.5768468631594419</v>
      </c>
      <c r="S601">
        <v>0.23511646858330831</v>
      </c>
      <c r="T601">
        <v>0.1841431756117487</v>
      </c>
      <c r="U601">
        <v>4.2558177004489526</v>
      </c>
      <c r="V601">
        <v>0.20544021673558341</v>
      </c>
      <c r="W601">
        <v>1.006962869594779</v>
      </c>
      <c r="X601">
        <v>0.29191356226014031</v>
      </c>
      <c r="Z601" t="s">
        <v>392</v>
      </c>
      <c r="AA601">
        <v>114</v>
      </c>
      <c r="AB601" t="s">
        <v>4034</v>
      </c>
      <c r="AC601" t="str">
        <f>HYPERLINK("plots/3FT6Y578R04_015_S21P_20251218081014_M5358ACSC201811_RBGEUFRF04/dpll_52084/txpa_55182.png","plot")</f>
        <v>plot</v>
      </c>
    </row>
    <row r="602" spans="1:29" x14ac:dyDescent="0.35">
      <c r="A602" t="s">
        <v>49</v>
      </c>
      <c r="B602">
        <v>52084</v>
      </c>
      <c r="C602" t="s">
        <v>52</v>
      </c>
      <c r="D602">
        <v>55183</v>
      </c>
      <c r="E602" t="s">
        <v>316</v>
      </c>
      <c r="F602">
        <v>12027</v>
      </c>
      <c r="G602">
        <v>0.58920994720449305</v>
      </c>
      <c r="H602">
        <v>0</v>
      </c>
      <c r="I602">
        <v>0</v>
      </c>
      <c r="J602">
        <v>0.52321750643361942</v>
      </c>
      <c r="K602">
        <v>0</v>
      </c>
      <c r="L602">
        <v>0</v>
      </c>
      <c r="M602">
        <v>0.36474549108803211</v>
      </c>
      <c r="N602">
        <v>0</v>
      </c>
      <c r="O602">
        <v>0</v>
      </c>
      <c r="P602">
        <v>0.3471683618847215</v>
      </c>
      <c r="Q602">
        <v>0.83233022554931069</v>
      </c>
      <c r="R602">
        <v>-2.546072462683219</v>
      </c>
      <c r="S602">
        <v>0.2344613702782343</v>
      </c>
      <c r="T602">
        <v>0.18487245588683629</v>
      </c>
      <c r="U602">
        <v>4.2557921641307059</v>
      </c>
      <c r="V602">
        <v>0.20542966688110781</v>
      </c>
      <c r="W602">
        <v>0.9961519891786812</v>
      </c>
      <c r="X602">
        <v>0.290194219871732</v>
      </c>
      <c r="Z602" t="s">
        <v>392</v>
      </c>
      <c r="AA602">
        <v>114</v>
      </c>
      <c r="AB602" t="s">
        <v>4035</v>
      </c>
      <c r="AC602" t="str">
        <f>HYPERLINK("plots/3FT6Y578R04_015_S21P_20251218081014_M5358ACSC201811_RBGEUFRF04/dpll_52084/txpa_55183.png","plot")</f>
        <v>plot</v>
      </c>
    </row>
    <row r="603" spans="1:29" x14ac:dyDescent="0.35">
      <c r="A603" t="s">
        <v>49</v>
      </c>
      <c r="B603">
        <v>52084</v>
      </c>
      <c r="C603" t="s">
        <v>52</v>
      </c>
      <c r="D603">
        <v>55184</v>
      </c>
      <c r="E603" t="s">
        <v>317</v>
      </c>
      <c r="F603">
        <v>12028</v>
      </c>
      <c r="G603">
        <v>0.59880330963903261</v>
      </c>
      <c r="H603">
        <v>0</v>
      </c>
      <c r="I603">
        <v>0</v>
      </c>
      <c r="J603">
        <v>0.54035626180041296</v>
      </c>
      <c r="K603">
        <v>0</v>
      </c>
      <c r="L603">
        <v>0</v>
      </c>
      <c r="M603">
        <v>0.37904316634029211</v>
      </c>
      <c r="N603">
        <v>0</v>
      </c>
      <c r="O603">
        <v>0</v>
      </c>
      <c r="P603">
        <v>0.35856540363465922</v>
      </c>
      <c r="Q603">
        <v>0.8506143809632698</v>
      </c>
      <c r="R603">
        <v>-2.6168375156264738</v>
      </c>
      <c r="S603">
        <v>0.23371798279416281</v>
      </c>
      <c r="T603">
        <v>0.18391633101646271</v>
      </c>
      <c r="U603">
        <v>4.2558177004489526</v>
      </c>
      <c r="V603">
        <v>0.20544021673558341</v>
      </c>
      <c r="W603">
        <v>1.003222223133438</v>
      </c>
      <c r="X603">
        <v>0.29183272699150659</v>
      </c>
      <c r="Z603" t="s">
        <v>392</v>
      </c>
      <c r="AA603">
        <v>114</v>
      </c>
      <c r="AB603" t="s">
        <v>4036</v>
      </c>
      <c r="AC603" t="str">
        <f>HYPERLINK("plots/3FT6Y578R04_015_S21P_20251218081014_M5358ACSC201811_RBGEUFRF04/dpll_52084/txpa_55184.png","plot")</f>
        <v>plot</v>
      </c>
    </row>
    <row r="604" spans="1:29" x14ac:dyDescent="0.35">
      <c r="A604" t="s">
        <v>49</v>
      </c>
      <c r="B604">
        <v>52084</v>
      </c>
      <c r="C604" t="s">
        <v>52</v>
      </c>
      <c r="D604">
        <v>55185</v>
      </c>
      <c r="E604" t="s">
        <v>318</v>
      </c>
      <c r="F604">
        <v>12028</v>
      </c>
      <c r="G604">
        <v>0.59267653270243925</v>
      </c>
      <c r="H604">
        <v>0</v>
      </c>
      <c r="I604">
        <v>0</v>
      </c>
      <c r="J604">
        <v>0.5305405692227263</v>
      </c>
      <c r="K604">
        <v>0</v>
      </c>
      <c r="L604">
        <v>0</v>
      </c>
      <c r="M604">
        <v>0.37064421898546979</v>
      </c>
      <c r="N604">
        <v>0</v>
      </c>
      <c r="O604">
        <v>0</v>
      </c>
      <c r="P604">
        <v>0.35126547241618561</v>
      </c>
      <c r="Q604">
        <v>0.82780515739545479</v>
      </c>
      <c r="R604">
        <v>-2.5130592027176051</v>
      </c>
      <c r="S604">
        <v>0.23110604913021299</v>
      </c>
      <c r="T604">
        <v>0.18269941502719389</v>
      </c>
      <c r="U604">
        <v>4.2558177004489526</v>
      </c>
      <c r="V604">
        <v>0.20544021673558341</v>
      </c>
      <c r="W604">
        <v>1.009928638648903</v>
      </c>
      <c r="X604">
        <v>0.28694314953674582</v>
      </c>
      <c r="Z604" t="s">
        <v>392</v>
      </c>
      <c r="AA604">
        <v>114</v>
      </c>
      <c r="AB604" t="s">
        <v>4037</v>
      </c>
      <c r="AC604" t="str">
        <f>HYPERLINK("plots/3FT6Y578R04_015_S21P_20251218081014_M5358ACSC201811_RBGEUFRF04/dpll_52084/txpa_55185.png","plot")</f>
        <v>plot</v>
      </c>
    </row>
    <row r="605" spans="1:29" x14ac:dyDescent="0.35">
      <c r="A605" t="s">
        <v>49</v>
      </c>
      <c r="B605">
        <v>52084</v>
      </c>
      <c r="C605" t="s">
        <v>52</v>
      </c>
      <c r="D605">
        <v>55186</v>
      </c>
      <c r="E605" t="s">
        <v>319</v>
      </c>
      <c r="F605">
        <v>12027</v>
      </c>
      <c r="G605">
        <v>0.58135507319402269</v>
      </c>
      <c r="H605">
        <v>0</v>
      </c>
      <c r="I605">
        <v>0</v>
      </c>
      <c r="J605">
        <v>0.52110264606926304</v>
      </c>
      <c r="K605">
        <v>0</v>
      </c>
      <c r="L605">
        <v>0</v>
      </c>
      <c r="M605">
        <v>0.36448990182537538</v>
      </c>
      <c r="N605">
        <v>0</v>
      </c>
      <c r="O605">
        <v>0</v>
      </c>
      <c r="P605">
        <v>0.3379737211284275</v>
      </c>
      <c r="Q605">
        <v>0.82387531201210884</v>
      </c>
      <c r="R605">
        <v>-2.5371577399750449</v>
      </c>
      <c r="S605">
        <v>0.23687096181118239</v>
      </c>
      <c r="T605">
        <v>0.18585360884882651</v>
      </c>
      <c r="U605">
        <v>4.2558401814251274</v>
      </c>
      <c r="V605">
        <v>0.20543396214013371</v>
      </c>
      <c r="W605">
        <v>0.96912391737025039</v>
      </c>
      <c r="X605">
        <v>0.29113355582535688</v>
      </c>
      <c r="Z605" t="s">
        <v>392</v>
      </c>
      <c r="AA605">
        <v>114</v>
      </c>
      <c r="AB605" t="s">
        <v>4038</v>
      </c>
      <c r="AC605" t="str">
        <f>HYPERLINK("plots/3FT6Y578R04_015_S21P_20251218081014_M5358ACSC201811_RBGEUFRF04/dpll_52084/txpa_55186.png","plot")</f>
        <v>plot</v>
      </c>
    </row>
    <row r="606" spans="1:29" x14ac:dyDescent="0.35">
      <c r="A606" t="s">
        <v>49</v>
      </c>
      <c r="B606">
        <v>52084</v>
      </c>
      <c r="C606" t="s">
        <v>52</v>
      </c>
      <c r="D606">
        <v>55187</v>
      </c>
      <c r="E606" t="s">
        <v>320</v>
      </c>
      <c r="F606">
        <v>12028</v>
      </c>
      <c r="G606">
        <v>0.59731931044207875</v>
      </c>
      <c r="H606">
        <v>0</v>
      </c>
      <c r="I606">
        <v>0</v>
      </c>
      <c r="J606">
        <v>0.55127134899876906</v>
      </c>
      <c r="K606">
        <v>0</v>
      </c>
      <c r="L606">
        <v>0</v>
      </c>
      <c r="M606">
        <v>0.38597800736550247</v>
      </c>
      <c r="N606">
        <v>0</v>
      </c>
      <c r="O606">
        <v>0</v>
      </c>
      <c r="P606">
        <v>0.35679035862700048</v>
      </c>
      <c r="Q606">
        <v>0.8616724484706032</v>
      </c>
      <c r="R606">
        <v>-0.67599184073111918</v>
      </c>
      <c r="S606">
        <v>0.23767271918182489</v>
      </c>
      <c r="T606">
        <v>0.18372897308525099</v>
      </c>
      <c r="U606">
        <v>4.2558177004489526</v>
      </c>
      <c r="V606">
        <v>0.20544021673558341</v>
      </c>
      <c r="W606">
        <v>2.991129017459262</v>
      </c>
      <c r="X606">
        <v>0.29636104420911291</v>
      </c>
      <c r="Z606" t="s">
        <v>392</v>
      </c>
      <c r="AA606">
        <v>114</v>
      </c>
      <c r="AB606" t="s">
        <v>4039</v>
      </c>
      <c r="AC606" t="str">
        <f>HYPERLINK("plots/3FT6Y578R04_015_S21P_20251218081014_M5358ACSC201811_RBGEUFRF04/dpll_52084/txpa_55187.png","plot")</f>
        <v>plot</v>
      </c>
    </row>
    <row r="607" spans="1:29" x14ac:dyDescent="0.35">
      <c r="A607" t="s">
        <v>49</v>
      </c>
      <c r="B607">
        <v>52084</v>
      </c>
      <c r="C607" t="s">
        <v>52</v>
      </c>
      <c r="D607">
        <v>55188</v>
      </c>
      <c r="E607" t="s">
        <v>321</v>
      </c>
      <c r="F607">
        <v>12028</v>
      </c>
      <c r="G607">
        <v>0.62370516759602945</v>
      </c>
      <c r="H607">
        <v>0</v>
      </c>
      <c r="I607">
        <v>0</v>
      </c>
      <c r="J607">
        <v>0.56968854123909218</v>
      </c>
      <c r="K607">
        <v>0</v>
      </c>
      <c r="L607">
        <v>0</v>
      </c>
      <c r="M607">
        <v>0.40233811888281579</v>
      </c>
      <c r="N607">
        <v>0</v>
      </c>
      <c r="O607">
        <v>0</v>
      </c>
      <c r="P607">
        <v>0.38900813608599122</v>
      </c>
      <c r="Q607">
        <v>0.90019514494507291</v>
      </c>
      <c r="R607">
        <v>-0.8097454681304832</v>
      </c>
      <c r="S607">
        <v>0.23176211628391821</v>
      </c>
      <c r="T607">
        <v>0.18143365245966789</v>
      </c>
      <c r="U607">
        <v>4.2558177004489526</v>
      </c>
      <c r="V607">
        <v>0.20544021673558341</v>
      </c>
      <c r="W607">
        <v>3.021320963584968</v>
      </c>
      <c r="X607">
        <v>0.29651235117169672</v>
      </c>
      <c r="Z607" t="s">
        <v>392</v>
      </c>
      <c r="AA607">
        <v>114</v>
      </c>
      <c r="AB607" t="s">
        <v>4040</v>
      </c>
      <c r="AC607" t="str">
        <f>HYPERLINK("plots/3FT6Y578R04_015_S21P_20251218081014_M5358ACSC201811_RBGEUFRF04/dpll_52084/txpa_55188.png","plot")</f>
        <v>plot</v>
      </c>
    </row>
    <row r="608" spans="1:29" x14ac:dyDescent="0.35">
      <c r="A608" t="s">
        <v>49</v>
      </c>
      <c r="B608">
        <v>52084</v>
      </c>
      <c r="C608" t="s">
        <v>52</v>
      </c>
      <c r="D608">
        <v>55189</v>
      </c>
      <c r="E608" t="s">
        <v>322</v>
      </c>
      <c r="F608">
        <v>12028</v>
      </c>
      <c r="G608">
        <v>0.60914593392990346</v>
      </c>
      <c r="H608">
        <v>0</v>
      </c>
      <c r="I608">
        <v>0</v>
      </c>
      <c r="J608">
        <v>0.55490855686566021</v>
      </c>
      <c r="K608">
        <v>0</v>
      </c>
      <c r="L608">
        <v>0</v>
      </c>
      <c r="M608">
        <v>0.3899410861043211</v>
      </c>
      <c r="N608">
        <v>0</v>
      </c>
      <c r="O608">
        <v>0</v>
      </c>
      <c r="P608">
        <v>0.37105876882333427</v>
      </c>
      <c r="Q608">
        <v>0.86558472038528378</v>
      </c>
      <c r="R608">
        <v>-0.64523431116771635</v>
      </c>
      <c r="S608">
        <v>0.23150516002049989</v>
      </c>
      <c r="T608">
        <v>0.18097633340189831</v>
      </c>
      <c r="U608">
        <v>4.2558177004489526</v>
      </c>
      <c r="V608">
        <v>0.20544021673558341</v>
      </c>
      <c r="W608">
        <v>3.0385364630861318</v>
      </c>
      <c r="X608">
        <v>0.29192661832562627</v>
      </c>
      <c r="Z608" t="s">
        <v>392</v>
      </c>
      <c r="AA608">
        <v>114</v>
      </c>
      <c r="AB608" t="s">
        <v>4041</v>
      </c>
      <c r="AC608" t="str">
        <f>HYPERLINK("plots/3FT6Y578R04_015_S21P_20251218081014_M5358ACSC201811_RBGEUFRF04/dpll_52084/txpa_55189.png","plot")</f>
        <v>plot</v>
      </c>
    </row>
    <row r="609" spans="1:29" x14ac:dyDescent="0.35">
      <c r="A609" t="s">
        <v>49</v>
      </c>
      <c r="B609">
        <v>52084</v>
      </c>
      <c r="C609" t="s">
        <v>52</v>
      </c>
      <c r="D609">
        <v>55190</v>
      </c>
      <c r="E609" t="s">
        <v>323</v>
      </c>
      <c r="F609">
        <v>12028</v>
      </c>
      <c r="G609">
        <v>0.62818833818423658</v>
      </c>
      <c r="H609">
        <v>0</v>
      </c>
      <c r="I609">
        <v>0</v>
      </c>
      <c r="J609">
        <v>0.56962246423720864</v>
      </c>
      <c r="K609">
        <v>0</v>
      </c>
      <c r="L609">
        <v>0</v>
      </c>
      <c r="M609">
        <v>0.40251934446685611</v>
      </c>
      <c r="N609">
        <v>0</v>
      </c>
      <c r="O609">
        <v>0</v>
      </c>
      <c r="P609">
        <v>0.39462058823067281</v>
      </c>
      <c r="Q609">
        <v>0.90244493611974863</v>
      </c>
      <c r="R609">
        <v>-0.80022387142886098</v>
      </c>
      <c r="S609">
        <v>0.22962124977225429</v>
      </c>
      <c r="T609">
        <v>0.17983266878863641</v>
      </c>
      <c r="U609">
        <v>4.2558177004489526</v>
      </c>
      <c r="V609">
        <v>0.20544021673558341</v>
      </c>
      <c r="W609">
        <v>3.0404172613900902</v>
      </c>
      <c r="X609">
        <v>0.29513200420794328</v>
      </c>
      <c r="Z609" t="s">
        <v>392</v>
      </c>
      <c r="AA609">
        <v>114</v>
      </c>
      <c r="AB609" t="s">
        <v>4042</v>
      </c>
      <c r="AC609" t="str">
        <f>HYPERLINK("plots/3FT6Y578R04_015_S21P_20251218081014_M5358ACSC201811_RBGEUFRF04/dpll_52084/txpa_55190.png","plot")</f>
        <v>plot</v>
      </c>
    </row>
    <row r="610" spans="1:29" x14ac:dyDescent="0.35">
      <c r="A610" t="s">
        <v>49</v>
      </c>
      <c r="B610">
        <v>52084</v>
      </c>
      <c r="C610" t="s">
        <v>52</v>
      </c>
      <c r="D610">
        <v>55191</v>
      </c>
      <c r="E610" t="s">
        <v>324</v>
      </c>
      <c r="F610">
        <v>12027</v>
      </c>
      <c r="G610">
        <v>0.62581240218169454</v>
      </c>
      <c r="H610">
        <v>0</v>
      </c>
      <c r="I610">
        <v>0</v>
      </c>
      <c r="J610">
        <v>0.56084794284324135</v>
      </c>
      <c r="K610">
        <v>0</v>
      </c>
      <c r="L610">
        <v>0</v>
      </c>
      <c r="M610">
        <v>0.39392574344018721</v>
      </c>
      <c r="N610">
        <v>0</v>
      </c>
      <c r="O610">
        <v>0</v>
      </c>
      <c r="P610">
        <v>0.39164116272442301</v>
      </c>
      <c r="Q610">
        <v>0.89324585978760629</v>
      </c>
      <c r="R610">
        <v>-0.77325993285483419</v>
      </c>
      <c r="S610">
        <v>0.2286924689118853</v>
      </c>
      <c r="T610">
        <v>0.18032050127706761</v>
      </c>
      <c r="U610">
        <v>4.2557921641307059</v>
      </c>
      <c r="V610">
        <v>0.20542966688110781</v>
      </c>
      <c r="W610">
        <v>3.0282087978714558</v>
      </c>
      <c r="X610">
        <v>0.29321758210509319</v>
      </c>
      <c r="Z610" t="s">
        <v>392</v>
      </c>
      <c r="AA610">
        <v>114</v>
      </c>
      <c r="AB610" t="s">
        <v>4043</v>
      </c>
      <c r="AC610" t="str">
        <f>HYPERLINK("plots/3FT6Y578R04_015_S21P_20251218081014_M5358ACSC201811_RBGEUFRF04/dpll_52084/txpa_55191.png","plot")</f>
        <v>plot</v>
      </c>
    </row>
    <row r="611" spans="1:29" x14ac:dyDescent="0.35">
      <c r="A611" t="s">
        <v>49</v>
      </c>
      <c r="B611">
        <v>52084</v>
      </c>
      <c r="C611" t="s">
        <v>52</v>
      </c>
      <c r="D611">
        <v>55192</v>
      </c>
      <c r="E611" t="s">
        <v>325</v>
      </c>
      <c r="F611">
        <v>12028</v>
      </c>
      <c r="G611">
        <v>0.63421788738234031</v>
      </c>
      <c r="H611">
        <v>0</v>
      </c>
      <c r="I611">
        <v>0</v>
      </c>
      <c r="J611">
        <v>0.57737103084039643</v>
      </c>
      <c r="K611">
        <v>0</v>
      </c>
      <c r="L611">
        <v>0</v>
      </c>
      <c r="M611">
        <v>0.40819575702203198</v>
      </c>
      <c r="N611">
        <v>0</v>
      </c>
      <c r="O611">
        <v>0</v>
      </c>
      <c r="P611">
        <v>0.4022323286757189</v>
      </c>
      <c r="Q611">
        <v>0.9128728840876762</v>
      </c>
      <c r="R611">
        <v>-0.84724119234425421</v>
      </c>
      <c r="S611">
        <v>0.22861537922887509</v>
      </c>
      <c r="T611">
        <v>0.17992512743986869</v>
      </c>
      <c r="U611">
        <v>4.2558177004489526</v>
      </c>
      <c r="V611">
        <v>0.20544021673558341</v>
      </c>
      <c r="W611">
        <v>3.0377793860159632</v>
      </c>
      <c r="X611">
        <v>0.29570405832144231</v>
      </c>
      <c r="Z611" t="s">
        <v>392</v>
      </c>
      <c r="AA611">
        <v>114</v>
      </c>
      <c r="AB611" t="s">
        <v>4044</v>
      </c>
      <c r="AC611" t="str">
        <f>HYPERLINK("plots/3FT6Y578R04_015_S21P_20251218081014_M5358ACSC201811_RBGEUFRF04/dpll_52084/txpa_55192.png","plot")</f>
        <v>plot</v>
      </c>
    </row>
    <row r="612" spans="1:29" x14ac:dyDescent="0.35">
      <c r="A612" t="s">
        <v>49</v>
      </c>
      <c r="B612">
        <v>52084</v>
      </c>
      <c r="C612" t="s">
        <v>52</v>
      </c>
      <c r="D612">
        <v>55193</v>
      </c>
      <c r="E612" t="s">
        <v>326</v>
      </c>
      <c r="F612">
        <v>12028</v>
      </c>
      <c r="G612">
        <v>0.62934644121955952</v>
      </c>
      <c r="H612">
        <v>0</v>
      </c>
      <c r="I612">
        <v>0</v>
      </c>
      <c r="J612">
        <v>0.56835023874388524</v>
      </c>
      <c r="K612">
        <v>0</v>
      </c>
      <c r="L612">
        <v>0</v>
      </c>
      <c r="M612">
        <v>0.40025359026981239</v>
      </c>
      <c r="N612">
        <v>0</v>
      </c>
      <c r="O612">
        <v>0</v>
      </c>
      <c r="P612">
        <v>0.3960769430757245</v>
      </c>
      <c r="Q612">
        <v>0.89121863747187069</v>
      </c>
      <c r="R612">
        <v>-0.74833273838863157</v>
      </c>
      <c r="S612">
        <v>0.22607508093155609</v>
      </c>
      <c r="T612">
        <v>0.17878674442931569</v>
      </c>
      <c r="U612">
        <v>4.2558177004489526</v>
      </c>
      <c r="V612">
        <v>0.20544021673558341</v>
      </c>
      <c r="W612">
        <v>3.0445313139341539</v>
      </c>
      <c r="X612">
        <v>0.29092426372700719</v>
      </c>
      <c r="Z612" t="s">
        <v>392</v>
      </c>
      <c r="AA612">
        <v>114</v>
      </c>
      <c r="AB612" t="s">
        <v>4045</v>
      </c>
      <c r="AC612" t="str">
        <f>HYPERLINK("plots/3FT6Y578R04_015_S21P_20251218081014_M5358ACSC201811_RBGEUFRF04/dpll_52084/txpa_55193.png","plot")</f>
        <v>plot</v>
      </c>
    </row>
    <row r="613" spans="1:29" x14ac:dyDescent="0.35">
      <c r="A613" t="s">
        <v>49</v>
      </c>
      <c r="B613">
        <v>52084</v>
      </c>
      <c r="C613" t="s">
        <v>52</v>
      </c>
      <c r="D613">
        <v>55194</v>
      </c>
      <c r="E613" t="s">
        <v>327</v>
      </c>
      <c r="F613">
        <v>12027</v>
      </c>
      <c r="G613">
        <v>0.61973002677346634</v>
      </c>
      <c r="H613">
        <v>0</v>
      </c>
      <c r="I613">
        <v>0</v>
      </c>
      <c r="J613">
        <v>0.5600595260897463</v>
      </c>
      <c r="K613">
        <v>0</v>
      </c>
      <c r="L613">
        <v>0</v>
      </c>
      <c r="M613">
        <v>0.39483604766665281</v>
      </c>
      <c r="N613">
        <v>0</v>
      </c>
      <c r="O613">
        <v>0</v>
      </c>
      <c r="P613">
        <v>0.38406530608464129</v>
      </c>
      <c r="Q613">
        <v>0.88870510997619778</v>
      </c>
      <c r="R613">
        <v>-0.77651772016623211</v>
      </c>
      <c r="S613">
        <v>0.23119405313977001</v>
      </c>
      <c r="T613">
        <v>0.18127871084353259</v>
      </c>
      <c r="U613">
        <v>4.2558401814251274</v>
      </c>
      <c r="V613">
        <v>0.20543396214013371</v>
      </c>
      <c r="W613">
        <v>3.0056691963083071</v>
      </c>
      <c r="X613">
        <v>0.29459636297940689</v>
      </c>
      <c r="Z613" t="s">
        <v>392</v>
      </c>
      <c r="AA613">
        <v>114</v>
      </c>
      <c r="AB613" t="s">
        <v>4046</v>
      </c>
      <c r="AC613" t="str">
        <f>HYPERLINK("plots/3FT6Y578R04_015_S21P_20251218081014_M5358ACSC201811_RBGEUFRF04/dpll_52084/txpa_55194.png","plot")</f>
        <v>plot</v>
      </c>
    </row>
    <row r="614" spans="1:29" x14ac:dyDescent="0.35">
      <c r="A614" t="s">
        <v>49</v>
      </c>
      <c r="B614">
        <v>52084</v>
      </c>
      <c r="C614" t="s">
        <v>52</v>
      </c>
      <c r="D614">
        <v>55195</v>
      </c>
      <c r="E614" t="s">
        <v>328</v>
      </c>
      <c r="F614">
        <v>12028</v>
      </c>
      <c r="G614">
        <v>0.64416574687208972</v>
      </c>
      <c r="H614">
        <v>0</v>
      </c>
      <c r="I614">
        <v>0</v>
      </c>
      <c r="J614">
        <v>0.59476129782340093</v>
      </c>
      <c r="K614">
        <v>0</v>
      </c>
      <c r="L614">
        <v>0</v>
      </c>
      <c r="M614">
        <v>0.42096086145911421</v>
      </c>
      <c r="N614">
        <v>0</v>
      </c>
      <c r="O614">
        <v>0</v>
      </c>
      <c r="P614">
        <v>0.41494950944327719</v>
      </c>
      <c r="Q614">
        <v>0.95539103907675837</v>
      </c>
      <c r="R614">
        <v>1.387240017451205</v>
      </c>
      <c r="S614">
        <v>0.23304920194857309</v>
      </c>
      <c r="T614">
        <v>0.1797863875587456</v>
      </c>
      <c r="U614">
        <v>4.2558177004489526</v>
      </c>
      <c r="V614">
        <v>0.20544021673558341</v>
      </c>
      <c r="W614">
        <v>5.4532101124043901</v>
      </c>
      <c r="X614">
        <v>0.30469757680881088</v>
      </c>
      <c r="Z614" t="s">
        <v>392</v>
      </c>
      <c r="AA614">
        <v>114</v>
      </c>
      <c r="AB614" t="s">
        <v>4047</v>
      </c>
      <c r="AC614" t="str">
        <f>HYPERLINK("plots/3FT6Y578R04_015_S21P_20251218081014_M5358ACSC201811_RBGEUFRF04/dpll_52084/txpa_55195.png","plot")</f>
        <v>plot</v>
      </c>
    </row>
    <row r="615" spans="1:29" x14ac:dyDescent="0.35">
      <c r="A615" t="s">
        <v>49</v>
      </c>
      <c r="B615">
        <v>52084</v>
      </c>
      <c r="C615" t="s">
        <v>52</v>
      </c>
      <c r="D615">
        <v>55196</v>
      </c>
      <c r="E615" t="s">
        <v>329</v>
      </c>
      <c r="F615">
        <v>12028</v>
      </c>
      <c r="G615">
        <v>0.6676149500678179</v>
      </c>
      <c r="H615">
        <v>0</v>
      </c>
      <c r="I615">
        <v>0</v>
      </c>
      <c r="J615">
        <v>0.60981749352643766</v>
      </c>
      <c r="K615">
        <v>0</v>
      </c>
      <c r="L615">
        <v>0</v>
      </c>
      <c r="M615">
        <v>0.43519569169506489</v>
      </c>
      <c r="N615">
        <v>0</v>
      </c>
      <c r="O615">
        <v>0</v>
      </c>
      <c r="P615">
        <v>0.44570972155405503</v>
      </c>
      <c r="Q615">
        <v>0.99072643489416956</v>
      </c>
      <c r="R615">
        <v>1.2665797318884739</v>
      </c>
      <c r="S615">
        <v>0.22696753392466951</v>
      </c>
      <c r="T615">
        <v>0.1775414726294213</v>
      </c>
      <c r="U615">
        <v>4.2558177004489526</v>
      </c>
      <c r="V615">
        <v>0.20544021673558341</v>
      </c>
      <c r="W615">
        <v>5.4829308298137676</v>
      </c>
      <c r="X615">
        <v>0.30486892705092139</v>
      </c>
      <c r="Z615" t="s">
        <v>392</v>
      </c>
      <c r="AA615">
        <v>114</v>
      </c>
      <c r="AB615" t="s">
        <v>4048</v>
      </c>
      <c r="AC615" t="str">
        <f>HYPERLINK("plots/3FT6Y578R04_015_S21P_20251218081014_M5358ACSC201811_RBGEUFRF04/dpll_52084/txpa_55196.png","plot")</f>
        <v>plot</v>
      </c>
    </row>
    <row r="616" spans="1:29" x14ac:dyDescent="0.35">
      <c r="A616" t="s">
        <v>49</v>
      </c>
      <c r="B616">
        <v>52084</v>
      </c>
      <c r="C616" t="s">
        <v>52</v>
      </c>
      <c r="D616">
        <v>55197</v>
      </c>
      <c r="E616" t="s">
        <v>330</v>
      </c>
      <c r="F616">
        <v>12028</v>
      </c>
      <c r="G616">
        <v>0.65380286251016451</v>
      </c>
      <c r="H616">
        <v>0</v>
      </c>
      <c r="I616">
        <v>0</v>
      </c>
      <c r="J616">
        <v>0.59649577236844842</v>
      </c>
      <c r="K616">
        <v>0</v>
      </c>
      <c r="L616">
        <v>0</v>
      </c>
      <c r="M616">
        <v>0.4235602064496069</v>
      </c>
      <c r="N616">
        <v>0</v>
      </c>
      <c r="O616">
        <v>0</v>
      </c>
      <c r="P616">
        <v>0.42745818302648508</v>
      </c>
      <c r="Q616">
        <v>0.95565367903055121</v>
      </c>
      <c r="R616">
        <v>1.432534376770479</v>
      </c>
      <c r="S616">
        <v>0.22720858376583539</v>
      </c>
      <c r="T616">
        <v>0.1770144530883071</v>
      </c>
      <c r="U616">
        <v>4.2558177004489526</v>
      </c>
      <c r="V616">
        <v>0.20544021673558341</v>
      </c>
      <c r="W616">
        <v>5.4996222194878612</v>
      </c>
      <c r="X616">
        <v>0.30028883353373498</v>
      </c>
      <c r="Z616" t="s">
        <v>392</v>
      </c>
      <c r="AA616">
        <v>114</v>
      </c>
      <c r="AB616" t="s">
        <v>4049</v>
      </c>
      <c r="AC616" t="str">
        <f>HYPERLINK("plots/3FT6Y578R04_015_S21P_20251218081014_M5358ACSC201811_RBGEUFRF04/dpll_52084/txpa_55197.png","plot")</f>
        <v>plot</v>
      </c>
    </row>
    <row r="617" spans="1:29" x14ac:dyDescent="0.35">
      <c r="A617" t="s">
        <v>49</v>
      </c>
      <c r="B617">
        <v>52084</v>
      </c>
      <c r="C617" t="s">
        <v>52</v>
      </c>
      <c r="D617">
        <v>55198</v>
      </c>
      <c r="E617" t="s">
        <v>331</v>
      </c>
      <c r="F617">
        <v>12028</v>
      </c>
      <c r="G617">
        <v>0.67144001071635495</v>
      </c>
      <c r="H617">
        <v>0</v>
      </c>
      <c r="I617">
        <v>0</v>
      </c>
      <c r="J617">
        <v>0.61022009722318304</v>
      </c>
      <c r="K617">
        <v>0</v>
      </c>
      <c r="L617">
        <v>0</v>
      </c>
      <c r="M617">
        <v>0.43564811763979921</v>
      </c>
      <c r="N617">
        <v>0</v>
      </c>
      <c r="O617">
        <v>0</v>
      </c>
      <c r="P617">
        <v>0.45083168799077877</v>
      </c>
      <c r="Q617">
        <v>0.99103363143794609</v>
      </c>
      <c r="R617">
        <v>1.2816216963637039</v>
      </c>
      <c r="S617">
        <v>0.22469909382695191</v>
      </c>
      <c r="T617">
        <v>0.17566225556258441</v>
      </c>
      <c r="U617">
        <v>4.2558177004489526</v>
      </c>
      <c r="V617">
        <v>0.20544021673558341</v>
      </c>
      <c r="W617">
        <v>5.4992801667775186</v>
      </c>
      <c r="X617">
        <v>0.30322614200134801</v>
      </c>
      <c r="Z617" t="s">
        <v>392</v>
      </c>
      <c r="AA617">
        <v>114</v>
      </c>
      <c r="AB617" t="s">
        <v>4050</v>
      </c>
      <c r="AC617" t="str">
        <f>HYPERLINK("plots/3FT6Y578R04_015_S21P_20251218081014_M5358ACSC201811_RBGEUFRF04/dpll_52084/txpa_55198.png","plot")</f>
        <v>plot</v>
      </c>
    </row>
    <row r="618" spans="1:29" x14ac:dyDescent="0.35">
      <c r="A618" t="s">
        <v>49</v>
      </c>
      <c r="B618">
        <v>52084</v>
      </c>
      <c r="C618" t="s">
        <v>52</v>
      </c>
      <c r="D618">
        <v>55199</v>
      </c>
      <c r="E618" t="s">
        <v>332</v>
      </c>
      <c r="F618">
        <v>12027</v>
      </c>
      <c r="G618">
        <v>0.6707311886642835</v>
      </c>
      <c r="H618">
        <v>0</v>
      </c>
      <c r="I618">
        <v>0</v>
      </c>
      <c r="J618">
        <v>0.603051760135909</v>
      </c>
      <c r="K618">
        <v>0</v>
      </c>
      <c r="L618">
        <v>0</v>
      </c>
      <c r="M618">
        <v>0.42804870349098878</v>
      </c>
      <c r="N618">
        <v>0</v>
      </c>
      <c r="O618">
        <v>0</v>
      </c>
      <c r="P618">
        <v>0.44988032744700268</v>
      </c>
      <c r="Q618">
        <v>0.98343685238330592</v>
      </c>
      <c r="R618">
        <v>1.3008130803657849</v>
      </c>
      <c r="S618">
        <v>0.22339408585608361</v>
      </c>
      <c r="T618">
        <v>0.1758339869920158</v>
      </c>
      <c r="U618">
        <v>4.2557921641307059</v>
      </c>
      <c r="V618">
        <v>0.20542966688110781</v>
      </c>
      <c r="W618">
        <v>5.4861159306560241</v>
      </c>
      <c r="X618">
        <v>0.30120428034072982</v>
      </c>
      <c r="Z618" t="s">
        <v>392</v>
      </c>
      <c r="AA618">
        <v>114</v>
      </c>
      <c r="AB618" t="s">
        <v>4051</v>
      </c>
      <c r="AC618" t="str">
        <f>HYPERLINK("plots/3FT6Y578R04_015_S21P_20251218081014_M5358ACSC201811_RBGEUFRF04/dpll_52084/txpa_55199.png","plot")</f>
        <v>plot</v>
      </c>
    </row>
    <row r="619" spans="1:29" x14ac:dyDescent="0.35">
      <c r="A619" t="s">
        <v>49</v>
      </c>
      <c r="B619">
        <v>52084</v>
      </c>
      <c r="C619" t="s">
        <v>52</v>
      </c>
      <c r="D619">
        <v>55200</v>
      </c>
      <c r="E619" t="s">
        <v>333</v>
      </c>
      <c r="F619">
        <v>12028</v>
      </c>
      <c r="G619">
        <v>0.6769245769672112</v>
      </c>
      <c r="H619">
        <v>0</v>
      </c>
      <c r="I619">
        <v>0</v>
      </c>
      <c r="J619">
        <v>0.61766864247555309</v>
      </c>
      <c r="K619">
        <v>0</v>
      </c>
      <c r="L619">
        <v>0</v>
      </c>
      <c r="M619">
        <v>0.44140038640039131</v>
      </c>
      <c r="N619">
        <v>0</v>
      </c>
      <c r="O619">
        <v>0</v>
      </c>
      <c r="P619">
        <v>0.45822688290223779</v>
      </c>
      <c r="Q619">
        <v>1.002431571935593</v>
      </c>
      <c r="R619">
        <v>1.2315334874664381</v>
      </c>
      <c r="S619">
        <v>0.22391881662399679</v>
      </c>
      <c r="T619">
        <v>0.17576417482042009</v>
      </c>
      <c r="U619">
        <v>4.2558177004489526</v>
      </c>
      <c r="V619">
        <v>0.20544021673558341</v>
      </c>
      <c r="W619">
        <v>5.4976995147988026</v>
      </c>
      <c r="X619">
        <v>0.3042285158616943</v>
      </c>
      <c r="Z619" t="s">
        <v>392</v>
      </c>
      <c r="AA619">
        <v>114</v>
      </c>
      <c r="AB619" t="s">
        <v>4052</v>
      </c>
      <c r="AC619" t="str">
        <f>HYPERLINK("plots/3FT6Y578R04_015_S21P_20251218081014_M5358ACSC201811_RBGEUFRF04/dpll_52084/txpa_55200.png","plot")</f>
        <v>plot</v>
      </c>
    </row>
    <row r="620" spans="1:29" x14ac:dyDescent="0.35">
      <c r="A620" t="s">
        <v>49</v>
      </c>
      <c r="B620">
        <v>52084</v>
      </c>
      <c r="C620" t="s">
        <v>52</v>
      </c>
      <c r="D620">
        <v>55201</v>
      </c>
      <c r="E620" t="s">
        <v>334</v>
      </c>
      <c r="F620">
        <v>12028</v>
      </c>
      <c r="G620">
        <v>0.6736546536568262</v>
      </c>
      <c r="H620">
        <v>0</v>
      </c>
      <c r="I620">
        <v>0</v>
      </c>
      <c r="J620">
        <v>0.60980577434821004</v>
      </c>
      <c r="K620">
        <v>0</v>
      </c>
      <c r="L620">
        <v>0</v>
      </c>
      <c r="M620">
        <v>0.43410712142088742</v>
      </c>
      <c r="N620">
        <v>0</v>
      </c>
      <c r="O620">
        <v>0</v>
      </c>
      <c r="P620">
        <v>0.45381059239349852</v>
      </c>
      <c r="Q620">
        <v>0.98174274236998293</v>
      </c>
      <c r="R620">
        <v>1.326783093023524</v>
      </c>
      <c r="S620">
        <v>0.22125822916516541</v>
      </c>
      <c r="T620">
        <v>0.17464362218972659</v>
      </c>
      <c r="U620">
        <v>4.2558177004489526</v>
      </c>
      <c r="V620">
        <v>0.20544021673558341</v>
      </c>
      <c r="W620">
        <v>5.5049012332889928</v>
      </c>
      <c r="X620">
        <v>0.29939590066844579</v>
      </c>
      <c r="Z620" t="s">
        <v>392</v>
      </c>
      <c r="AA620">
        <v>114</v>
      </c>
      <c r="AB620" t="s">
        <v>4053</v>
      </c>
      <c r="AC620" t="str">
        <f>HYPERLINK("plots/3FT6Y578R04_015_S21P_20251218081014_M5358ACSC201811_RBGEUFRF04/dpll_52084/txpa_55201.png","plot")</f>
        <v>plot</v>
      </c>
    </row>
    <row r="621" spans="1:29" x14ac:dyDescent="0.35">
      <c r="A621" t="s">
        <v>49</v>
      </c>
      <c r="B621">
        <v>52084</v>
      </c>
      <c r="C621" t="s">
        <v>52</v>
      </c>
      <c r="D621">
        <v>55202</v>
      </c>
      <c r="E621" t="s">
        <v>335</v>
      </c>
      <c r="F621">
        <v>12027</v>
      </c>
      <c r="G621">
        <v>0.6656441703300271</v>
      </c>
      <c r="H621">
        <v>0</v>
      </c>
      <c r="I621">
        <v>0</v>
      </c>
      <c r="J621">
        <v>0.60286126018233865</v>
      </c>
      <c r="K621">
        <v>0</v>
      </c>
      <c r="L621">
        <v>0</v>
      </c>
      <c r="M621">
        <v>0.42962967726005358</v>
      </c>
      <c r="N621">
        <v>0</v>
      </c>
      <c r="O621">
        <v>0</v>
      </c>
      <c r="P621">
        <v>0.44308216149435009</v>
      </c>
      <c r="Q621">
        <v>0.98207483138521079</v>
      </c>
      <c r="R621">
        <v>1.2886520766460989</v>
      </c>
      <c r="S621">
        <v>0.22617895818018771</v>
      </c>
      <c r="T621">
        <v>0.1769583712212649</v>
      </c>
      <c r="U621">
        <v>4.2558401814251274</v>
      </c>
      <c r="V621">
        <v>0.20543396214013371</v>
      </c>
      <c r="W621">
        <v>5.4682056052215851</v>
      </c>
      <c r="X621">
        <v>0.30309215151623581</v>
      </c>
      <c r="Z621" t="s">
        <v>392</v>
      </c>
      <c r="AA621">
        <v>114</v>
      </c>
      <c r="AB621" t="s">
        <v>4054</v>
      </c>
      <c r="AC621" t="str">
        <f>HYPERLINK("plots/3FT6Y578R04_015_S21P_20251218081014_M5358ACSC201811_RBGEUFRF04/dpll_52084/txpa_55202.png","plot")</f>
        <v>plot</v>
      </c>
    </row>
    <row r="622" spans="1:29" x14ac:dyDescent="0.35">
      <c r="A622" t="s">
        <v>49</v>
      </c>
      <c r="B622">
        <v>52084</v>
      </c>
      <c r="C622" t="s">
        <v>52</v>
      </c>
      <c r="D622">
        <v>55203</v>
      </c>
      <c r="E622" t="s">
        <v>336</v>
      </c>
      <c r="F622">
        <v>12028</v>
      </c>
      <c r="G622">
        <v>0.66078260018886192</v>
      </c>
      <c r="H622">
        <v>0</v>
      </c>
      <c r="I622">
        <v>0</v>
      </c>
      <c r="J622">
        <v>0.60875940169337661</v>
      </c>
      <c r="K622">
        <v>0</v>
      </c>
      <c r="L622">
        <v>0</v>
      </c>
      <c r="M622">
        <v>0.43250649208967901</v>
      </c>
      <c r="N622">
        <v>0</v>
      </c>
      <c r="O622">
        <v>0</v>
      </c>
      <c r="P622">
        <v>0.43663364471235327</v>
      </c>
      <c r="Q622">
        <v>0.99839576036389932</v>
      </c>
      <c r="R622">
        <v>2.2950182610666152</v>
      </c>
      <c r="S622">
        <v>0.23297375169140819</v>
      </c>
      <c r="T622">
        <v>0.17941075171184931</v>
      </c>
      <c r="U622">
        <v>4.2558177004489526</v>
      </c>
      <c r="V622">
        <v>0.20544021673558341</v>
      </c>
      <c r="W622">
        <v>6.5440086100764887</v>
      </c>
      <c r="X622">
        <v>0.31040563316652597</v>
      </c>
      <c r="Z622" t="s">
        <v>392</v>
      </c>
      <c r="AA622">
        <v>114</v>
      </c>
      <c r="AB622" t="s">
        <v>4055</v>
      </c>
      <c r="AC622" t="str">
        <f>HYPERLINK("plots/3FT6Y578R04_015_S21P_20251218081014_M5358ACSC201811_RBGEUFRF04/dpll_52084/txpa_55203.png","plot")</f>
        <v>plot</v>
      </c>
    </row>
    <row r="623" spans="1:29" x14ac:dyDescent="0.35">
      <c r="A623" t="s">
        <v>49</v>
      </c>
      <c r="B623">
        <v>52084</v>
      </c>
      <c r="C623" t="s">
        <v>52</v>
      </c>
      <c r="D623">
        <v>55204</v>
      </c>
      <c r="E623" t="s">
        <v>337</v>
      </c>
      <c r="F623">
        <v>12028</v>
      </c>
      <c r="G623">
        <v>0.68312997928885066</v>
      </c>
      <c r="H623">
        <v>0</v>
      </c>
      <c r="I623">
        <v>0</v>
      </c>
      <c r="J623">
        <v>0.62294257371996009</v>
      </c>
      <c r="K623">
        <v>0</v>
      </c>
      <c r="L623">
        <v>0</v>
      </c>
      <c r="M623">
        <v>0.44620197146824719</v>
      </c>
      <c r="N623">
        <v>0</v>
      </c>
      <c r="O623">
        <v>0</v>
      </c>
      <c r="P623">
        <v>0.46666656860318562</v>
      </c>
      <c r="Q623">
        <v>1.032215796645966</v>
      </c>
      <c r="R623">
        <v>2.1801194846348189</v>
      </c>
      <c r="S623">
        <v>0.22669083932034989</v>
      </c>
      <c r="T623">
        <v>0.17703672400110709</v>
      </c>
      <c r="U623">
        <v>4.2558177004489526</v>
      </c>
      <c r="V623">
        <v>0.20544021673558341</v>
      </c>
      <c r="W623">
        <v>6.5730417426837384</v>
      </c>
      <c r="X623">
        <v>0.31042209156388773</v>
      </c>
      <c r="Z623" t="s">
        <v>392</v>
      </c>
      <c r="AA623">
        <v>114</v>
      </c>
      <c r="AB623" t="s">
        <v>4056</v>
      </c>
      <c r="AC623" t="str">
        <f>HYPERLINK("plots/3FT6Y578R04_015_S21P_20251218081014_M5358ACSC201811_RBGEUFRF04/dpll_52084/txpa_55204.png","plot")</f>
        <v>plot</v>
      </c>
    </row>
    <row r="624" spans="1:29" x14ac:dyDescent="0.35">
      <c r="A624" t="s">
        <v>49</v>
      </c>
      <c r="B624">
        <v>52084</v>
      </c>
      <c r="C624" t="s">
        <v>52</v>
      </c>
      <c r="D624">
        <v>55205</v>
      </c>
      <c r="E624" t="s">
        <v>338</v>
      </c>
      <c r="F624">
        <v>12028</v>
      </c>
      <c r="G624">
        <v>0.67008761259602145</v>
      </c>
      <c r="H624">
        <v>0</v>
      </c>
      <c r="I624">
        <v>0</v>
      </c>
      <c r="J624">
        <v>0.61019932155070589</v>
      </c>
      <c r="K624">
        <v>0</v>
      </c>
      <c r="L624">
        <v>0</v>
      </c>
      <c r="M624">
        <v>0.43484969410661789</v>
      </c>
      <c r="N624">
        <v>0</v>
      </c>
      <c r="O624">
        <v>0</v>
      </c>
      <c r="P624">
        <v>0.44901740855463568</v>
      </c>
      <c r="Q624">
        <v>0.99773626349579858</v>
      </c>
      <c r="R624">
        <v>2.3435283979050161</v>
      </c>
      <c r="S624">
        <v>0.22704948268719849</v>
      </c>
      <c r="T624">
        <v>0.17650755840717791</v>
      </c>
      <c r="U624">
        <v>4.2558177004489526</v>
      </c>
      <c r="V624">
        <v>0.20544021673558341</v>
      </c>
      <c r="W624">
        <v>6.5897120484702354</v>
      </c>
      <c r="X624">
        <v>0.30589306586854093</v>
      </c>
      <c r="Z624" t="s">
        <v>392</v>
      </c>
      <c r="AA624">
        <v>114</v>
      </c>
      <c r="AB624" t="s">
        <v>4057</v>
      </c>
      <c r="AC624" t="str">
        <f>HYPERLINK("plots/3FT6Y578R04_015_S21P_20251218081014_M5358ACSC201811_RBGEUFRF04/dpll_52084/txpa_55205.png","plot")</f>
        <v>plot</v>
      </c>
    </row>
    <row r="625" spans="1:29" x14ac:dyDescent="0.35">
      <c r="A625" t="s">
        <v>49</v>
      </c>
      <c r="B625">
        <v>52084</v>
      </c>
      <c r="C625" t="s">
        <v>52</v>
      </c>
      <c r="D625">
        <v>55206</v>
      </c>
      <c r="E625" t="s">
        <v>339</v>
      </c>
      <c r="F625">
        <v>12027</v>
      </c>
      <c r="G625">
        <v>0.68799076131331638</v>
      </c>
      <c r="H625">
        <v>0</v>
      </c>
      <c r="I625">
        <v>0</v>
      </c>
      <c r="J625">
        <v>0.62368325458370777</v>
      </c>
      <c r="K625">
        <v>0</v>
      </c>
      <c r="L625">
        <v>0</v>
      </c>
      <c r="M625">
        <v>0.44691457916773619</v>
      </c>
      <c r="N625">
        <v>0</v>
      </c>
      <c r="O625">
        <v>0</v>
      </c>
      <c r="P625">
        <v>0.47333128765247667</v>
      </c>
      <c r="Q625">
        <v>1.0326424685201741</v>
      </c>
      <c r="R625">
        <v>2.193999802901637</v>
      </c>
      <c r="S625">
        <v>0.22377856769511159</v>
      </c>
      <c r="T625">
        <v>0.1750874541512972</v>
      </c>
      <c r="U625">
        <v>4.2558247893905383</v>
      </c>
      <c r="V625">
        <v>0.20544728689892131</v>
      </c>
      <c r="W625">
        <v>6.588745219007234</v>
      </c>
      <c r="X625">
        <v>0.30836692209222583</v>
      </c>
      <c r="Z625" t="s">
        <v>392</v>
      </c>
      <c r="AA625">
        <v>114</v>
      </c>
      <c r="AB625" t="s">
        <v>4058</v>
      </c>
      <c r="AC625" t="str">
        <f>HYPERLINK("plots/3FT6Y578R04_015_S21P_20251218081014_M5358ACSC201811_RBGEUFRF04/dpll_52084/txpa_55206.png","plot")</f>
        <v>plot</v>
      </c>
    </row>
    <row r="626" spans="1:29" x14ac:dyDescent="0.35">
      <c r="A626" t="s">
        <v>49</v>
      </c>
      <c r="B626">
        <v>52084</v>
      </c>
      <c r="C626" t="s">
        <v>52</v>
      </c>
      <c r="D626">
        <v>55207</v>
      </c>
      <c r="E626" t="s">
        <v>340</v>
      </c>
      <c r="F626">
        <v>12027</v>
      </c>
      <c r="G626">
        <v>0.68692754398653244</v>
      </c>
      <c r="H626">
        <v>0</v>
      </c>
      <c r="I626">
        <v>0</v>
      </c>
      <c r="J626">
        <v>0.61700821636637104</v>
      </c>
      <c r="K626">
        <v>0</v>
      </c>
      <c r="L626">
        <v>0</v>
      </c>
      <c r="M626">
        <v>0.43968558891064458</v>
      </c>
      <c r="N626">
        <v>0</v>
      </c>
      <c r="O626">
        <v>0</v>
      </c>
      <c r="P626">
        <v>0.47186945068736952</v>
      </c>
      <c r="Q626">
        <v>1.025241237240647</v>
      </c>
      <c r="R626">
        <v>2.21156959272043</v>
      </c>
      <c r="S626">
        <v>0.22280805437553891</v>
      </c>
      <c r="T626">
        <v>0.17512097121715259</v>
      </c>
      <c r="U626">
        <v>4.2557921641307059</v>
      </c>
      <c r="V626">
        <v>0.20542966688110781</v>
      </c>
      <c r="W626">
        <v>6.5747832165128468</v>
      </c>
      <c r="X626">
        <v>0.30660433939922238</v>
      </c>
      <c r="Z626" t="s">
        <v>392</v>
      </c>
      <c r="AA626">
        <v>114</v>
      </c>
      <c r="AB626" t="s">
        <v>4059</v>
      </c>
      <c r="AC626" t="str">
        <f>HYPERLINK("plots/3FT6Y578R04_015_S21P_20251218081014_M5358ACSC201811_RBGEUFRF04/dpll_52084/txpa_55207.png","plot")</f>
        <v>plot</v>
      </c>
    </row>
    <row r="627" spans="1:29" x14ac:dyDescent="0.35">
      <c r="A627" t="s">
        <v>49</v>
      </c>
      <c r="B627">
        <v>52084</v>
      </c>
      <c r="C627" t="s">
        <v>52</v>
      </c>
      <c r="D627">
        <v>55208</v>
      </c>
      <c r="E627" t="s">
        <v>341</v>
      </c>
      <c r="F627">
        <v>12028</v>
      </c>
      <c r="G627">
        <v>0.69226476039567864</v>
      </c>
      <c r="H627">
        <v>0</v>
      </c>
      <c r="I627">
        <v>0</v>
      </c>
      <c r="J627">
        <v>0.6308866578815514</v>
      </c>
      <c r="K627">
        <v>0</v>
      </c>
      <c r="L627">
        <v>0</v>
      </c>
      <c r="M627">
        <v>0.45258681385213378</v>
      </c>
      <c r="N627">
        <v>0</v>
      </c>
      <c r="O627">
        <v>0</v>
      </c>
      <c r="P627">
        <v>0.47923049848568627</v>
      </c>
      <c r="Q627">
        <v>1.044336111617576</v>
      </c>
      <c r="R627">
        <v>2.1424513761610831</v>
      </c>
      <c r="S627">
        <v>0.22364451557321821</v>
      </c>
      <c r="T627">
        <v>0.17519187123627231</v>
      </c>
      <c r="U627">
        <v>4.2558177004489526</v>
      </c>
      <c r="V627">
        <v>0.20544021673558341</v>
      </c>
      <c r="W627">
        <v>6.5869554852011962</v>
      </c>
      <c r="X627">
        <v>0.30992280611377859</v>
      </c>
      <c r="Z627" t="s">
        <v>392</v>
      </c>
      <c r="AA627">
        <v>114</v>
      </c>
      <c r="AB627" t="s">
        <v>4060</v>
      </c>
      <c r="AC627" t="str">
        <f>HYPERLINK("plots/3FT6Y578R04_015_S21P_20251218081014_M5358ACSC201811_RBGEUFRF04/dpll_52084/txpa_55208.png","plot")</f>
        <v>plot</v>
      </c>
    </row>
    <row r="628" spans="1:29" x14ac:dyDescent="0.35">
      <c r="A628" t="s">
        <v>49</v>
      </c>
      <c r="B628">
        <v>52084</v>
      </c>
      <c r="C628" t="s">
        <v>52</v>
      </c>
      <c r="D628">
        <v>55209</v>
      </c>
      <c r="E628" t="s">
        <v>342</v>
      </c>
      <c r="F628">
        <v>12028</v>
      </c>
      <c r="G628">
        <v>0.6898629707150632</v>
      </c>
      <c r="H628">
        <v>0</v>
      </c>
      <c r="I628">
        <v>0</v>
      </c>
      <c r="J628">
        <v>0.62359878611639652</v>
      </c>
      <c r="K628">
        <v>0</v>
      </c>
      <c r="L628">
        <v>0</v>
      </c>
      <c r="M628">
        <v>0.44567184362261231</v>
      </c>
      <c r="N628">
        <v>0</v>
      </c>
      <c r="O628">
        <v>0</v>
      </c>
      <c r="P628">
        <v>0.47591091836381222</v>
      </c>
      <c r="Q628">
        <v>1.024592148992056</v>
      </c>
      <c r="R628">
        <v>2.2337447449823018</v>
      </c>
      <c r="S628">
        <v>0.22088089627365029</v>
      </c>
      <c r="T628">
        <v>0.1740215034798597</v>
      </c>
      <c r="U628">
        <v>4.2558177004489526</v>
      </c>
      <c r="V628">
        <v>0.20544021673558341</v>
      </c>
      <c r="W628">
        <v>6.5942221484037242</v>
      </c>
      <c r="X628">
        <v>0.30512209248790889</v>
      </c>
      <c r="Z628" t="s">
        <v>392</v>
      </c>
      <c r="AA628">
        <v>114</v>
      </c>
      <c r="AB628" t="s">
        <v>4061</v>
      </c>
      <c r="AC628" t="str">
        <f>HYPERLINK("plots/3FT6Y578R04_015_S21P_20251218081014_M5358ACSC201811_RBGEUFRF04/dpll_52084/txpa_55209.png","plot")</f>
        <v>plot</v>
      </c>
    </row>
    <row r="629" spans="1:29" x14ac:dyDescent="0.35">
      <c r="A629" t="s">
        <v>49</v>
      </c>
      <c r="B629">
        <v>52084</v>
      </c>
      <c r="C629" t="s">
        <v>52</v>
      </c>
      <c r="D629">
        <v>55210</v>
      </c>
      <c r="E629" t="s">
        <v>343</v>
      </c>
      <c r="F629">
        <v>12027</v>
      </c>
      <c r="G629">
        <v>0.68188382768969324</v>
      </c>
      <c r="H629">
        <v>0</v>
      </c>
      <c r="I629">
        <v>0</v>
      </c>
      <c r="J629">
        <v>0.61644484603047467</v>
      </c>
      <c r="K629">
        <v>0</v>
      </c>
      <c r="L629">
        <v>0</v>
      </c>
      <c r="M629">
        <v>0.44097156321236769</v>
      </c>
      <c r="N629">
        <v>0</v>
      </c>
      <c r="O629">
        <v>0</v>
      </c>
      <c r="P629">
        <v>0.46496555446474719</v>
      </c>
      <c r="Q629">
        <v>1.024475208937734</v>
      </c>
      <c r="R629">
        <v>2.1987991228612098</v>
      </c>
      <c r="S629">
        <v>0.22575434674738429</v>
      </c>
      <c r="T629">
        <v>0.1762590266033085</v>
      </c>
      <c r="U629">
        <v>4.2558401814251274</v>
      </c>
      <c r="V629">
        <v>0.20543396214013371</v>
      </c>
      <c r="W629">
        <v>6.5588018819323191</v>
      </c>
      <c r="X629">
        <v>0.30864788507962021</v>
      </c>
      <c r="Z629" t="s">
        <v>392</v>
      </c>
      <c r="AA629">
        <v>114</v>
      </c>
      <c r="AB629" t="s">
        <v>4062</v>
      </c>
      <c r="AC629" t="str">
        <f>HYPERLINK("plots/3FT6Y578R04_015_S21P_20251218081014_M5358ACSC201811_RBGEUFRF04/dpll_52084/txpa_55210.png","plot")</f>
        <v>plot</v>
      </c>
    </row>
    <row r="630" spans="1:29" x14ac:dyDescent="0.35">
      <c r="A630" t="s">
        <v>49</v>
      </c>
      <c r="B630">
        <v>52084</v>
      </c>
      <c r="C630" t="s">
        <v>52</v>
      </c>
      <c r="D630">
        <v>55211</v>
      </c>
      <c r="E630" t="s">
        <v>344</v>
      </c>
      <c r="F630">
        <v>12028</v>
      </c>
      <c r="G630">
        <v>0.67542493132582238</v>
      </c>
      <c r="H630">
        <v>0</v>
      </c>
      <c r="I630">
        <v>0</v>
      </c>
      <c r="J630">
        <v>0.62077982122658848</v>
      </c>
      <c r="K630">
        <v>0</v>
      </c>
      <c r="L630">
        <v>0</v>
      </c>
      <c r="M630">
        <v>0.44250055203871602</v>
      </c>
      <c r="N630">
        <v>0</v>
      </c>
      <c r="O630">
        <v>0</v>
      </c>
      <c r="P630">
        <v>0.45619883785649179</v>
      </c>
      <c r="Q630">
        <v>1.0448941397079869</v>
      </c>
      <c r="R630">
        <v>3.166935210037265</v>
      </c>
      <c r="S630">
        <v>0.23435956442218919</v>
      </c>
      <c r="T630">
        <v>0.1800824520636124</v>
      </c>
      <c r="U630">
        <v>4.2558177004489526</v>
      </c>
      <c r="V630">
        <v>0.20544021673558341</v>
      </c>
      <c r="W630">
        <v>7.6138141849018952</v>
      </c>
      <c r="X630">
        <v>0.31781959559292172</v>
      </c>
      <c r="Z630" t="s">
        <v>392</v>
      </c>
      <c r="AA630">
        <v>114</v>
      </c>
      <c r="AB630" t="s">
        <v>4063</v>
      </c>
      <c r="AC630" t="str">
        <f>HYPERLINK("plots/3FT6Y578R04_015_S21P_20251218081014_M5358ACSC201811_RBGEUFRF04/dpll_52084/txpa_55211.png","plot")</f>
        <v>plot</v>
      </c>
    </row>
    <row r="631" spans="1:29" x14ac:dyDescent="0.35">
      <c r="A631" t="s">
        <v>49</v>
      </c>
      <c r="B631">
        <v>52084</v>
      </c>
      <c r="C631" t="s">
        <v>52</v>
      </c>
      <c r="D631">
        <v>55212</v>
      </c>
      <c r="E631" t="s">
        <v>345</v>
      </c>
      <c r="F631">
        <v>12028</v>
      </c>
      <c r="G631">
        <v>0.69703266935205999</v>
      </c>
      <c r="H631">
        <v>0</v>
      </c>
      <c r="I631">
        <v>0</v>
      </c>
      <c r="J631">
        <v>0.63456408479530158</v>
      </c>
      <c r="K631">
        <v>0</v>
      </c>
      <c r="L631">
        <v>0</v>
      </c>
      <c r="M631">
        <v>0.45602730216956078</v>
      </c>
      <c r="N631">
        <v>0</v>
      </c>
      <c r="O631">
        <v>0</v>
      </c>
      <c r="P631">
        <v>0.48585454214405821</v>
      </c>
      <c r="Q631">
        <v>1.078467601483494</v>
      </c>
      <c r="R631">
        <v>3.052222492079542</v>
      </c>
      <c r="S631">
        <v>0.2279105248946095</v>
      </c>
      <c r="T631">
        <v>0.1777319963622056</v>
      </c>
      <c r="U631">
        <v>4.2558177004489526</v>
      </c>
      <c r="V631">
        <v>0.20544021673558341</v>
      </c>
      <c r="W631">
        <v>7.6419839998337196</v>
      </c>
      <c r="X631">
        <v>0.31786260175872338</v>
      </c>
      <c r="Z631" t="s">
        <v>392</v>
      </c>
      <c r="AA631">
        <v>114</v>
      </c>
      <c r="AB631" t="s">
        <v>4064</v>
      </c>
      <c r="AC631" t="str">
        <f>HYPERLINK("plots/3FT6Y578R04_015_S21P_20251218081014_M5358ACSC201811_RBGEUFRF04/dpll_52084/txpa_55212.png","plot")</f>
        <v>plot</v>
      </c>
    </row>
    <row r="632" spans="1:29" x14ac:dyDescent="0.35">
      <c r="A632" t="s">
        <v>49</v>
      </c>
      <c r="B632">
        <v>52084</v>
      </c>
      <c r="C632" t="s">
        <v>52</v>
      </c>
      <c r="D632">
        <v>55213</v>
      </c>
      <c r="E632" t="s">
        <v>346</v>
      </c>
      <c r="F632">
        <v>12028</v>
      </c>
      <c r="G632">
        <v>0.68478264596440686</v>
      </c>
      <c r="H632">
        <v>0</v>
      </c>
      <c r="I632">
        <v>0</v>
      </c>
      <c r="J632">
        <v>0.62234662995053591</v>
      </c>
      <c r="K632">
        <v>0</v>
      </c>
      <c r="L632">
        <v>0</v>
      </c>
      <c r="M632">
        <v>0.44500417823282262</v>
      </c>
      <c r="N632">
        <v>0</v>
      </c>
      <c r="O632">
        <v>0</v>
      </c>
      <c r="P632">
        <v>0.4689272722140142</v>
      </c>
      <c r="Q632">
        <v>1.043789340857282</v>
      </c>
      <c r="R632">
        <v>3.216372030629326</v>
      </c>
      <c r="S632">
        <v>0.228194158052098</v>
      </c>
      <c r="T632">
        <v>0.17695723953720921</v>
      </c>
      <c r="U632">
        <v>4.2558177004489526</v>
      </c>
      <c r="V632">
        <v>0.20544021673558341</v>
      </c>
      <c r="W632">
        <v>7.6585491829896917</v>
      </c>
      <c r="X632">
        <v>0.31314506825740679</v>
      </c>
      <c r="Z632" t="s">
        <v>392</v>
      </c>
      <c r="AA632">
        <v>114</v>
      </c>
      <c r="AB632" t="s">
        <v>4065</v>
      </c>
      <c r="AC632" t="str">
        <f>HYPERLINK("plots/3FT6Y578R04_015_S21P_20251218081014_M5358ACSC201811_RBGEUFRF04/dpll_52084/txpa_55213.png","plot")</f>
        <v>plot</v>
      </c>
    </row>
    <row r="633" spans="1:29" x14ac:dyDescent="0.35">
      <c r="A633" t="s">
        <v>49</v>
      </c>
      <c r="B633">
        <v>52084</v>
      </c>
      <c r="C633" t="s">
        <v>52</v>
      </c>
      <c r="D633">
        <v>55214</v>
      </c>
      <c r="E633" t="s">
        <v>347</v>
      </c>
      <c r="F633">
        <v>12027</v>
      </c>
      <c r="G633">
        <v>0.70196100039799847</v>
      </c>
      <c r="H633">
        <v>0</v>
      </c>
      <c r="I633">
        <v>0</v>
      </c>
      <c r="J633">
        <v>0.63542392491719557</v>
      </c>
      <c r="K633">
        <v>0</v>
      </c>
      <c r="L633">
        <v>0</v>
      </c>
      <c r="M633">
        <v>0.45676173761829381</v>
      </c>
      <c r="N633">
        <v>0</v>
      </c>
      <c r="O633">
        <v>0</v>
      </c>
      <c r="P633">
        <v>0.49274924607975878</v>
      </c>
      <c r="Q633">
        <v>1.078205577286159</v>
      </c>
      <c r="R633">
        <v>3.0681107008291808</v>
      </c>
      <c r="S633">
        <v>0.2247409928016767</v>
      </c>
      <c r="T633">
        <v>0.17558477385735941</v>
      </c>
      <c r="U633">
        <v>4.2558247893905383</v>
      </c>
      <c r="V633">
        <v>0.20544728689892131</v>
      </c>
      <c r="W633">
        <v>7.6567647247027537</v>
      </c>
      <c r="X633">
        <v>0.31556512462534558</v>
      </c>
      <c r="Z633" t="s">
        <v>392</v>
      </c>
      <c r="AA633">
        <v>114</v>
      </c>
      <c r="AB633" t="s">
        <v>4066</v>
      </c>
      <c r="AC633" t="str">
        <f>HYPERLINK("plots/3FT6Y578R04_015_S21P_20251218081014_M5358ACSC201811_RBGEUFRF04/dpll_52084/txpa_55214.png","plot")</f>
        <v>plot</v>
      </c>
    </row>
    <row r="634" spans="1:29" x14ac:dyDescent="0.35">
      <c r="A634" t="s">
        <v>49</v>
      </c>
      <c r="B634">
        <v>52084</v>
      </c>
      <c r="C634" t="s">
        <v>52</v>
      </c>
      <c r="D634">
        <v>55215</v>
      </c>
      <c r="E634" t="s">
        <v>348</v>
      </c>
      <c r="F634">
        <v>12027</v>
      </c>
      <c r="G634">
        <v>0.70115593554608602</v>
      </c>
      <c r="H634">
        <v>0</v>
      </c>
      <c r="I634">
        <v>0</v>
      </c>
      <c r="J634">
        <v>0.62875265340452458</v>
      </c>
      <c r="K634">
        <v>0</v>
      </c>
      <c r="L634">
        <v>0</v>
      </c>
      <c r="M634">
        <v>0.44946369932889502</v>
      </c>
      <c r="N634">
        <v>0</v>
      </c>
      <c r="O634">
        <v>0</v>
      </c>
      <c r="P634">
        <v>0.49161964595150709</v>
      </c>
      <c r="Q634">
        <v>1.0719368501471209</v>
      </c>
      <c r="R634">
        <v>3.08053521529343</v>
      </c>
      <c r="S634">
        <v>0.22392061174620681</v>
      </c>
      <c r="T634">
        <v>0.17568285400768879</v>
      </c>
      <c r="U634">
        <v>4.2557921641307059</v>
      </c>
      <c r="V634">
        <v>0.20542966688110781</v>
      </c>
      <c r="W634">
        <v>7.6424756625925001</v>
      </c>
      <c r="X634">
        <v>0.31406370377767873</v>
      </c>
      <c r="Z634" t="s">
        <v>392</v>
      </c>
      <c r="AA634">
        <v>114</v>
      </c>
      <c r="AB634" t="s">
        <v>4067</v>
      </c>
      <c r="AC634" t="str">
        <f>HYPERLINK("plots/3FT6Y578R04_015_S21P_20251218081014_M5358ACSC201811_RBGEUFRF04/dpll_52084/txpa_55215.png","plot")</f>
        <v>plot</v>
      </c>
    </row>
    <row r="635" spans="1:29" x14ac:dyDescent="0.35">
      <c r="A635" t="s">
        <v>49</v>
      </c>
      <c r="B635">
        <v>52084</v>
      </c>
      <c r="C635" t="s">
        <v>52</v>
      </c>
      <c r="D635">
        <v>55216</v>
      </c>
      <c r="E635" t="s">
        <v>349</v>
      </c>
      <c r="F635">
        <v>12028</v>
      </c>
      <c r="G635">
        <v>0.70586657315872747</v>
      </c>
      <c r="H635">
        <v>0</v>
      </c>
      <c r="I635">
        <v>0</v>
      </c>
      <c r="J635">
        <v>0.64217033328588136</v>
      </c>
      <c r="K635">
        <v>0</v>
      </c>
      <c r="L635">
        <v>0</v>
      </c>
      <c r="M635">
        <v>0.46219650876790719</v>
      </c>
      <c r="N635">
        <v>0</v>
      </c>
      <c r="O635">
        <v>0</v>
      </c>
      <c r="P635">
        <v>0.49824761910284521</v>
      </c>
      <c r="Q635">
        <v>1.0903122492377939</v>
      </c>
      <c r="R635">
        <v>3.014970312386831</v>
      </c>
      <c r="S635">
        <v>0.22477106664409069</v>
      </c>
      <c r="T635">
        <v>0.1757278809978699</v>
      </c>
      <c r="U635">
        <v>4.2558177004489526</v>
      </c>
      <c r="V635">
        <v>0.20544021673558341</v>
      </c>
      <c r="W635">
        <v>7.6551404817093456</v>
      </c>
      <c r="X635">
        <v>0.31733190564685471</v>
      </c>
      <c r="Z635" t="s">
        <v>392</v>
      </c>
      <c r="AA635">
        <v>114</v>
      </c>
      <c r="AB635" t="s">
        <v>4068</v>
      </c>
      <c r="AC635" t="str">
        <f>HYPERLINK("plots/3FT6Y578R04_015_S21P_20251218081014_M5358ACSC201811_RBGEUFRF04/dpll_52084/txpa_55216.png","plot")</f>
        <v>plot</v>
      </c>
    </row>
    <row r="636" spans="1:29" x14ac:dyDescent="0.35">
      <c r="A636" t="s">
        <v>49</v>
      </c>
      <c r="B636">
        <v>52084</v>
      </c>
      <c r="C636" t="s">
        <v>52</v>
      </c>
      <c r="D636">
        <v>55217</v>
      </c>
      <c r="E636" t="s">
        <v>350</v>
      </c>
      <c r="F636">
        <v>12028</v>
      </c>
      <c r="G636">
        <v>0.70426147585411525</v>
      </c>
      <c r="H636">
        <v>0</v>
      </c>
      <c r="I636">
        <v>0</v>
      </c>
      <c r="J636">
        <v>0.63530025428876424</v>
      </c>
      <c r="K636">
        <v>0</v>
      </c>
      <c r="L636">
        <v>0</v>
      </c>
      <c r="M636">
        <v>0.45551137188694252</v>
      </c>
      <c r="N636">
        <v>0</v>
      </c>
      <c r="O636">
        <v>0</v>
      </c>
      <c r="P636">
        <v>0.49598422637221662</v>
      </c>
      <c r="Q636">
        <v>1.0713892047012681</v>
      </c>
      <c r="R636">
        <v>3.103251676570399</v>
      </c>
      <c r="S636">
        <v>0.22187215831949819</v>
      </c>
      <c r="T636">
        <v>0.17456716395160751</v>
      </c>
      <c r="U636">
        <v>4.2558177004489526</v>
      </c>
      <c r="V636">
        <v>0.20544021673558341</v>
      </c>
      <c r="W636">
        <v>7.6628888180079811</v>
      </c>
      <c r="X636">
        <v>0.31253509948851299</v>
      </c>
      <c r="Z636" t="s">
        <v>392</v>
      </c>
      <c r="AA636">
        <v>114</v>
      </c>
      <c r="AB636" t="s">
        <v>4069</v>
      </c>
      <c r="AC636" t="str">
        <f>HYPERLINK("plots/3FT6Y578R04_015_S21P_20251218081014_M5358ACSC201811_RBGEUFRF04/dpll_52084/txpa_55217.png","plot")</f>
        <v>plot</v>
      </c>
    </row>
    <row r="637" spans="1:29" x14ac:dyDescent="0.35">
      <c r="A637" t="s">
        <v>49</v>
      </c>
      <c r="B637">
        <v>52084</v>
      </c>
      <c r="C637" t="s">
        <v>52</v>
      </c>
      <c r="D637">
        <v>55218</v>
      </c>
      <c r="E637" t="s">
        <v>351</v>
      </c>
      <c r="F637">
        <v>12027</v>
      </c>
      <c r="G637">
        <v>0.6961231354960129</v>
      </c>
      <c r="H637">
        <v>0</v>
      </c>
      <c r="I637">
        <v>0</v>
      </c>
      <c r="J637">
        <v>0.62804958005270362</v>
      </c>
      <c r="K637">
        <v>0</v>
      </c>
      <c r="L637">
        <v>0</v>
      </c>
      <c r="M637">
        <v>0.45061839794969277</v>
      </c>
      <c r="N637">
        <v>0</v>
      </c>
      <c r="O637">
        <v>0</v>
      </c>
      <c r="P637">
        <v>0.48458741977280029</v>
      </c>
      <c r="Q637">
        <v>1.070565348126876</v>
      </c>
      <c r="R637">
        <v>3.0719672839043271</v>
      </c>
      <c r="S637">
        <v>0.22680822945663001</v>
      </c>
      <c r="T637">
        <v>0.1768054062863765</v>
      </c>
      <c r="U637">
        <v>4.2558401814251274</v>
      </c>
      <c r="V637">
        <v>0.20543396214013371</v>
      </c>
      <c r="W637">
        <v>7.6281223093040662</v>
      </c>
      <c r="X637">
        <v>0.31593617562922599</v>
      </c>
      <c r="Z637" t="s">
        <v>392</v>
      </c>
      <c r="AA637">
        <v>114</v>
      </c>
      <c r="AB637" t="s">
        <v>4070</v>
      </c>
      <c r="AC637" t="str">
        <f>HYPERLINK("plots/3FT6Y578R04_015_S21P_20251218081014_M5358ACSC201811_RBGEUFRF04/dpll_52084/txpa_55218.png","plot")</f>
        <v>plot</v>
      </c>
    </row>
    <row r="638" spans="1:29" x14ac:dyDescent="0.35">
      <c r="A638" t="s">
        <v>49</v>
      </c>
      <c r="B638">
        <v>52084</v>
      </c>
      <c r="C638" t="s">
        <v>52</v>
      </c>
      <c r="D638">
        <v>55219</v>
      </c>
      <c r="E638" t="s">
        <v>352</v>
      </c>
      <c r="F638">
        <v>12028</v>
      </c>
      <c r="G638">
        <v>0.69235017593649595</v>
      </c>
      <c r="H638">
        <v>0</v>
      </c>
      <c r="I638">
        <v>0</v>
      </c>
      <c r="J638">
        <v>0.63406149895142916</v>
      </c>
      <c r="K638">
        <v>0</v>
      </c>
      <c r="L638">
        <v>0</v>
      </c>
      <c r="M638">
        <v>0.4536812771382151</v>
      </c>
      <c r="N638">
        <v>0</v>
      </c>
      <c r="O638">
        <v>0</v>
      </c>
      <c r="P638">
        <v>0.47934876611929689</v>
      </c>
      <c r="Q638">
        <v>1.1016089862385849</v>
      </c>
      <c r="R638">
        <v>3.9949693165175768</v>
      </c>
      <c r="S638">
        <v>0.23585360803737629</v>
      </c>
      <c r="T638">
        <v>0.18063921186187321</v>
      </c>
      <c r="U638">
        <v>4.2558177004489526</v>
      </c>
      <c r="V638">
        <v>0.20544021673558341</v>
      </c>
      <c r="W638">
        <v>8.6832163391253747</v>
      </c>
      <c r="X638">
        <v>0.32687908049506942</v>
      </c>
      <c r="Z638" t="s">
        <v>392</v>
      </c>
      <c r="AA638">
        <v>114</v>
      </c>
      <c r="AB638" t="s">
        <v>4071</v>
      </c>
      <c r="AC638" t="str">
        <f>HYPERLINK("plots/3FT6Y578R04_015_S21P_20251218081014_M5358ACSC201811_RBGEUFRF04/dpll_52084/txpa_55219.png","plot")</f>
        <v>plot</v>
      </c>
    </row>
    <row r="639" spans="1:29" x14ac:dyDescent="0.35">
      <c r="A639" t="s">
        <v>49</v>
      </c>
      <c r="B639">
        <v>52084</v>
      </c>
      <c r="C639" t="s">
        <v>52</v>
      </c>
      <c r="D639">
        <v>55220</v>
      </c>
      <c r="E639" t="s">
        <v>353</v>
      </c>
      <c r="F639">
        <v>12028</v>
      </c>
      <c r="G639">
        <v>0.71292883146901087</v>
      </c>
      <c r="H639">
        <v>0</v>
      </c>
      <c r="I639">
        <v>0</v>
      </c>
      <c r="J639">
        <v>0.6469970818584343</v>
      </c>
      <c r="K639">
        <v>0</v>
      </c>
      <c r="L639">
        <v>0</v>
      </c>
      <c r="M639">
        <v>0.46668295319920872</v>
      </c>
      <c r="N639">
        <v>0</v>
      </c>
      <c r="O639">
        <v>0</v>
      </c>
      <c r="P639">
        <v>0.50826751873976928</v>
      </c>
      <c r="Q639">
        <v>1.1345188352243549</v>
      </c>
      <c r="R639">
        <v>3.8811874572814422</v>
      </c>
      <c r="S639">
        <v>0.22924369012088261</v>
      </c>
      <c r="T639">
        <v>0.17834528985564629</v>
      </c>
      <c r="U639">
        <v>4.2558177004489526</v>
      </c>
      <c r="V639">
        <v>0.20544021673558341</v>
      </c>
      <c r="W639">
        <v>8.7094927977219818</v>
      </c>
      <c r="X639">
        <v>0.32692715613539408</v>
      </c>
      <c r="Z639" t="s">
        <v>392</v>
      </c>
      <c r="AA639">
        <v>114</v>
      </c>
      <c r="AB639" t="s">
        <v>4072</v>
      </c>
      <c r="AC639" t="str">
        <f>HYPERLINK("plots/3FT6Y578R04_015_S21P_20251218081014_M5358ACSC201811_RBGEUFRF04/dpll_52084/txpa_55220.png","plot")</f>
        <v>plot</v>
      </c>
    </row>
    <row r="640" spans="1:29" x14ac:dyDescent="0.35">
      <c r="A640" t="s">
        <v>49</v>
      </c>
      <c r="B640">
        <v>52084</v>
      </c>
      <c r="C640" t="s">
        <v>52</v>
      </c>
      <c r="D640">
        <v>55221</v>
      </c>
      <c r="E640" t="s">
        <v>354</v>
      </c>
      <c r="F640">
        <v>12028</v>
      </c>
      <c r="G640">
        <v>0.70167317556966191</v>
      </c>
      <c r="H640">
        <v>0</v>
      </c>
      <c r="I640">
        <v>0</v>
      </c>
      <c r="J640">
        <v>0.63566429642453415</v>
      </c>
      <c r="K640">
        <v>0</v>
      </c>
      <c r="L640">
        <v>0</v>
      </c>
      <c r="M640">
        <v>0.45628146394950919</v>
      </c>
      <c r="N640">
        <v>0</v>
      </c>
      <c r="O640">
        <v>0</v>
      </c>
      <c r="P640">
        <v>0.49234524531401358</v>
      </c>
      <c r="Q640">
        <v>1.100127881804519</v>
      </c>
      <c r="R640">
        <v>4.0439132940943638</v>
      </c>
      <c r="S640">
        <v>0.22948797668226251</v>
      </c>
      <c r="T640">
        <v>0.17731964551626581</v>
      </c>
      <c r="U640">
        <v>4.2558177004489526</v>
      </c>
      <c r="V640">
        <v>0.20544021673558341</v>
      </c>
      <c r="W640">
        <v>8.7258570062354508</v>
      </c>
      <c r="X640">
        <v>0.32210225264958919</v>
      </c>
      <c r="Z640" t="s">
        <v>392</v>
      </c>
      <c r="AA640">
        <v>114</v>
      </c>
      <c r="AB640" t="s">
        <v>4073</v>
      </c>
      <c r="AC640" t="str">
        <f>HYPERLINK("plots/3FT6Y578R04_015_S21P_20251218081014_M5358ACSC201811_RBGEUFRF04/dpll_52084/txpa_55221.png","plot")</f>
        <v>plot</v>
      </c>
    </row>
    <row r="641" spans="1:29" x14ac:dyDescent="0.35">
      <c r="A641" t="s">
        <v>49</v>
      </c>
      <c r="B641">
        <v>52084</v>
      </c>
      <c r="C641" t="s">
        <v>52</v>
      </c>
      <c r="D641">
        <v>55222</v>
      </c>
      <c r="E641" t="s">
        <v>355</v>
      </c>
      <c r="F641">
        <v>12027</v>
      </c>
      <c r="G641">
        <v>0.71789015961861236</v>
      </c>
      <c r="H641">
        <v>0</v>
      </c>
      <c r="I641">
        <v>0</v>
      </c>
      <c r="J641">
        <v>0.64788259115706293</v>
      </c>
      <c r="K641">
        <v>0</v>
      </c>
      <c r="L641">
        <v>0</v>
      </c>
      <c r="M641">
        <v>0.46741985582960888</v>
      </c>
      <c r="N641">
        <v>0</v>
      </c>
      <c r="O641">
        <v>0</v>
      </c>
      <c r="P641">
        <v>0.51536628127723672</v>
      </c>
      <c r="Q641">
        <v>1.134284494645273</v>
      </c>
      <c r="R641">
        <v>3.896529596217142</v>
      </c>
      <c r="S641">
        <v>0.22597123719193291</v>
      </c>
      <c r="T641">
        <v>0.17612061981120941</v>
      </c>
      <c r="U641">
        <v>4.2558247893905383</v>
      </c>
      <c r="V641">
        <v>0.20544728689892131</v>
      </c>
      <c r="W641">
        <v>8.7238456667498134</v>
      </c>
      <c r="X641">
        <v>0.32461187672524761</v>
      </c>
      <c r="Z641" t="s">
        <v>392</v>
      </c>
      <c r="AA641">
        <v>114</v>
      </c>
      <c r="AB641" t="s">
        <v>4074</v>
      </c>
      <c r="AC641" t="str">
        <f>HYPERLINK("plots/3FT6Y578R04_015_S21P_20251218081014_M5358ACSC201811_RBGEUFRF04/dpll_52084/txpa_55222.png","plot")</f>
        <v>plot</v>
      </c>
    </row>
    <row r="642" spans="1:29" x14ac:dyDescent="0.35">
      <c r="A642" t="s">
        <v>49</v>
      </c>
      <c r="B642">
        <v>52084</v>
      </c>
      <c r="C642" t="s">
        <v>52</v>
      </c>
      <c r="D642">
        <v>55223</v>
      </c>
      <c r="E642" t="s">
        <v>356</v>
      </c>
      <c r="F642">
        <v>12027</v>
      </c>
      <c r="G642">
        <v>0.71732562313469628</v>
      </c>
      <c r="H642">
        <v>0</v>
      </c>
      <c r="I642">
        <v>0</v>
      </c>
      <c r="J642">
        <v>0.64138175910612749</v>
      </c>
      <c r="K642">
        <v>0</v>
      </c>
      <c r="L642">
        <v>0</v>
      </c>
      <c r="M642">
        <v>0.46013157378846242</v>
      </c>
      <c r="N642">
        <v>0</v>
      </c>
      <c r="O642">
        <v>0</v>
      </c>
      <c r="P642">
        <v>0.51455604960558032</v>
      </c>
      <c r="Q642">
        <v>1.1282582216221471</v>
      </c>
      <c r="R642">
        <v>3.9073832730679552</v>
      </c>
      <c r="S642">
        <v>0.22511623435139291</v>
      </c>
      <c r="T642">
        <v>0.1761864279146316</v>
      </c>
      <c r="U642">
        <v>4.2557921641307059</v>
      </c>
      <c r="V642">
        <v>0.20542966688110781</v>
      </c>
      <c r="W642">
        <v>8.7090157717635321</v>
      </c>
      <c r="X642">
        <v>0.32311366435071071</v>
      </c>
      <c r="Z642" t="s">
        <v>392</v>
      </c>
      <c r="AA642">
        <v>114</v>
      </c>
      <c r="AB642" t="s">
        <v>4075</v>
      </c>
      <c r="AC642" t="str">
        <f>HYPERLINK("plots/3FT6Y578R04_015_S21P_20251218081014_M5358ACSC201811_RBGEUFRF04/dpll_52084/txpa_55223.png","plot")</f>
        <v>plot</v>
      </c>
    </row>
    <row r="643" spans="1:29" x14ac:dyDescent="0.35">
      <c r="A643" t="s">
        <v>49</v>
      </c>
      <c r="B643">
        <v>52084</v>
      </c>
      <c r="C643" t="s">
        <v>52</v>
      </c>
      <c r="D643">
        <v>55224</v>
      </c>
      <c r="E643" t="s">
        <v>357</v>
      </c>
      <c r="F643">
        <v>12028</v>
      </c>
      <c r="G643">
        <v>0.72147113480018277</v>
      </c>
      <c r="H643">
        <v>0</v>
      </c>
      <c r="I643">
        <v>0</v>
      </c>
      <c r="J643">
        <v>0.65420446468085025</v>
      </c>
      <c r="K643">
        <v>0</v>
      </c>
      <c r="L643">
        <v>0</v>
      </c>
      <c r="M643">
        <v>0.47252322374428618</v>
      </c>
      <c r="N643">
        <v>0</v>
      </c>
      <c r="O643">
        <v>0</v>
      </c>
      <c r="P643">
        <v>0.52052059834986353</v>
      </c>
      <c r="Q643">
        <v>1.1461672366692981</v>
      </c>
      <c r="R643">
        <v>3.8444247402992908</v>
      </c>
      <c r="S643">
        <v>0.2259859387695054</v>
      </c>
      <c r="T643">
        <v>0.17625838086793169</v>
      </c>
      <c r="U643">
        <v>4.2558177004489526</v>
      </c>
      <c r="V643">
        <v>0.20544021673558341</v>
      </c>
      <c r="W643">
        <v>8.7223035537911535</v>
      </c>
      <c r="X643">
        <v>0.32637320352640342</v>
      </c>
      <c r="Z643" t="s">
        <v>392</v>
      </c>
      <c r="AA643">
        <v>114</v>
      </c>
      <c r="AB643" t="s">
        <v>4076</v>
      </c>
      <c r="AC643" t="str">
        <f>HYPERLINK("plots/3FT6Y578R04_015_S21P_20251218081014_M5358ACSC201811_RBGEUFRF04/dpll_52084/txpa_55224.png","plot")</f>
        <v>plot</v>
      </c>
    </row>
    <row r="644" spans="1:29" x14ac:dyDescent="0.35">
      <c r="A644" t="s">
        <v>49</v>
      </c>
      <c r="B644">
        <v>52084</v>
      </c>
      <c r="C644" t="s">
        <v>52</v>
      </c>
      <c r="D644">
        <v>55225</v>
      </c>
      <c r="E644" t="s">
        <v>358</v>
      </c>
      <c r="F644">
        <v>12028</v>
      </c>
      <c r="G644">
        <v>0.72044586747512318</v>
      </c>
      <c r="H644">
        <v>0</v>
      </c>
      <c r="I644">
        <v>0</v>
      </c>
      <c r="J644">
        <v>0.64780387613236745</v>
      </c>
      <c r="K644">
        <v>0</v>
      </c>
      <c r="L644">
        <v>0</v>
      </c>
      <c r="M644">
        <v>0.46623233184764268</v>
      </c>
      <c r="N644">
        <v>0</v>
      </c>
      <c r="O644">
        <v>0</v>
      </c>
      <c r="P644">
        <v>0.51904224796198273</v>
      </c>
      <c r="Q644">
        <v>1.127554500591504</v>
      </c>
      <c r="R644">
        <v>3.9315554229872069</v>
      </c>
      <c r="S644">
        <v>0.22297545718780759</v>
      </c>
      <c r="T644">
        <v>0.1749441618007159</v>
      </c>
      <c r="U644">
        <v>4.2558177004489526</v>
      </c>
      <c r="V644">
        <v>0.20544021673558341</v>
      </c>
      <c r="W644">
        <v>8.7302218248254082</v>
      </c>
      <c r="X644">
        <v>0.32153011272661652</v>
      </c>
      <c r="Z644" t="s">
        <v>392</v>
      </c>
      <c r="AA644">
        <v>114</v>
      </c>
      <c r="AB644" t="s">
        <v>4077</v>
      </c>
      <c r="AC644" t="str">
        <f>HYPERLINK("plots/3FT6Y578R04_015_S21P_20251218081014_M5358ACSC201811_RBGEUFRF04/dpll_52084/txpa_55225.png","plot")</f>
        <v>plot</v>
      </c>
    </row>
    <row r="645" spans="1:29" x14ac:dyDescent="0.35">
      <c r="A645" t="s">
        <v>49</v>
      </c>
      <c r="B645">
        <v>52084</v>
      </c>
      <c r="C645" t="s">
        <v>52</v>
      </c>
      <c r="D645">
        <v>55226</v>
      </c>
      <c r="E645" t="s">
        <v>359</v>
      </c>
      <c r="F645">
        <v>12027</v>
      </c>
      <c r="G645">
        <v>0.71244305662869434</v>
      </c>
      <c r="H645">
        <v>0</v>
      </c>
      <c r="I645">
        <v>0</v>
      </c>
      <c r="J645">
        <v>0.64047014457523532</v>
      </c>
      <c r="K645">
        <v>0</v>
      </c>
      <c r="L645">
        <v>0</v>
      </c>
      <c r="M645">
        <v>0.46112979134632892</v>
      </c>
      <c r="N645">
        <v>0</v>
      </c>
      <c r="O645">
        <v>0</v>
      </c>
      <c r="P645">
        <v>0.50757510893843694</v>
      </c>
      <c r="Q645">
        <v>1.1259470426584861</v>
      </c>
      <c r="R645">
        <v>3.9054503780141778</v>
      </c>
      <c r="S645">
        <v>0.22782007561295109</v>
      </c>
      <c r="T645">
        <v>0.17712757763042211</v>
      </c>
      <c r="U645">
        <v>4.2558401814251274</v>
      </c>
      <c r="V645">
        <v>0.20543396214013371</v>
      </c>
      <c r="W645">
        <v>8.6973010443169532</v>
      </c>
      <c r="X645">
        <v>0.32466842083893038</v>
      </c>
      <c r="Z645" t="s">
        <v>392</v>
      </c>
      <c r="AA645">
        <v>114</v>
      </c>
      <c r="AB645" t="s">
        <v>4078</v>
      </c>
      <c r="AC645" t="str">
        <f>HYPERLINK("plots/3FT6Y578R04_015_S21P_20251218081014_M5358ACSC201811_RBGEUFRF04/dpll_52084/txpa_55226.png","plot")</f>
        <v>plot</v>
      </c>
    </row>
    <row r="646" spans="1:29" x14ac:dyDescent="0.35">
      <c r="A646" t="s">
        <v>49</v>
      </c>
      <c r="B646">
        <v>52084</v>
      </c>
      <c r="C646" t="s">
        <v>52</v>
      </c>
      <c r="D646">
        <v>55227</v>
      </c>
      <c r="E646" t="s">
        <v>360</v>
      </c>
      <c r="F646">
        <v>12028</v>
      </c>
      <c r="G646">
        <v>0.69777581099740438</v>
      </c>
      <c r="H646">
        <v>0</v>
      </c>
      <c r="I646">
        <v>0</v>
      </c>
      <c r="J646">
        <v>0.63814717027924217</v>
      </c>
      <c r="K646">
        <v>0</v>
      </c>
      <c r="L646">
        <v>0</v>
      </c>
      <c r="M646">
        <v>0.45719259486225772</v>
      </c>
      <c r="N646">
        <v>0</v>
      </c>
      <c r="O646">
        <v>0</v>
      </c>
      <c r="P646">
        <v>0.48689108241308537</v>
      </c>
      <c r="Q646">
        <v>1.125427415432932</v>
      </c>
      <c r="R646">
        <v>4.4231932931772011</v>
      </c>
      <c r="S646">
        <v>0.2373415486468981</v>
      </c>
      <c r="T646">
        <v>0.18140472975725849</v>
      </c>
      <c r="U646">
        <v>4.2558177004489526</v>
      </c>
      <c r="V646">
        <v>0.20544021673558341</v>
      </c>
      <c r="W646">
        <v>9.2128072083471899</v>
      </c>
      <c r="X646">
        <v>0.33135005327315531</v>
      </c>
      <c r="Z646" t="s">
        <v>392</v>
      </c>
      <c r="AA646">
        <v>114</v>
      </c>
      <c r="AB646" t="s">
        <v>4079</v>
      </c>
      <c r="AC646" t="str">
        <f>HYPERLINK("plots/3FT6Y578R04_015_S21P_20251218081014_M5358ACSC201811_RBGEUFRF04/dpll_52084/txpa_55227.png","plot")</f>
        <v>plot</v>
      </c>
    </row>
    <row r="647" spans="1:29" x14ac:dyDescent="0.35">
      <c r="A647" t="s">
        <v>49</v>
      </c>
      <c r="B647">
        <v>52084</v>
      </c>
      <c r="C647" t="s">
        <v>52</v>
      </c>
      <c r="D647">
        <v>55228</v>
      </c>
      <c r="E647" t="s">
        <v>361</v>
      </c>
      <c r="F647">
        <v>12028</v>
      </c>
      <c r="G647">
        <v>0.71804045329592669</v>
      </c>
      <c r="H647">
        <v>0</v>
      </c>
      <c r="I647">
        <v>0</v>
      </c>
      <c r="J647">
        <v>0.65082875013694497</v>
      </c>
      <c r="K647">
        <v>0</v>
      </c>
      <c r="L647">
        <v>0</v>
      </c>
      <c r="M647">
        <v>0.47003901992718228</v>
      </c>
      <c r="N647">
        <v>0</v>
      </c>
      <c r="O647">
        <v>0</v>
      </c>
      <c r="P647">
        <v>0.51558209256941989</v>
      </c>
      <c r="Q647">
        <v>1.158562645289869</v>
      </c>
      <c r="R647">
        <v>4.307732874176561</v>
      </c>
      <c r="S647">
        <v>0.23070027611182231</v>
      </c>
      <c r="T647">
        <v>0.17914920595223849</v>
      </c>
      <c r="U647">
        <v>4.2558177004489526</v>
      </c>
      <c r="V647">
        <v>0.20544021673558341</v>
      </c>
      <c r="W647">
        <v>9.238364287080147</v>
      </c>
      <c r="X647">
        <v>0.33147904112863119</v>
      </c>
      <c r="Z647" t="s">
        <v>392</v>
      </c>
      <c r="AA647">
        <v>114</v>
      </c>
      <c r="AB647" t="s">
        <v>4080</v>
      </c>
      <c r="AC647" t="str">
        <f>HYPERLINK("plots/3FT6Y578R04_015_S21P_20251218081014_M5358ACSC201811_RBGEUFRF04/dpll_52084/txpa_55228.png","plot")</f>
        <v>plot</v>
      </c>
    </row>
    <row r="648" spans="1:29" x14ac:dyDescent="0.35">
      <c r="A648" t="s">
        <v>49</v>
      </c>
      <c r="B648">
        <v>52084</v>
      </c>
      <c r="C648" t="s">
        <v>52</v>
      </c>
      <c r="D648">
        <v>55229</v>
      </c>
      <c r="E648" t="s">
        <v>362</v>
      </c>
      <c r="F648">
        <v>12028</v>
      </c>
      <c r="G648">
        <v>0.70710048132053094</v>
      </c>
      <c r="H648">
        <v>0</v>
      </c>
      <c r="I648">
        <v>0</v>
      </c>
      <c r="J648">
        <v>0.63957015007126283</v>
      </c>
      <c r="K648">
        <v>0</v>
      </c>
      <c r="L648">
        <v>0</v>
      </c>
      <c r="M648">
        <v>0.45957996019256908</v>
      </c>
      <c r="N648">
        <v>0</v>
      </c>
      <c r="O648">
        <v>0</v>
      </c>
      <c r="P648">
        <v>0.49999109068372649</v>
      </c>
      <c r="Q648">
        <v>1.124302292825347</v>
      </c>
      <c r="R648">
        <v>4.4699110473649499</v>
      </c>
      <c r="S648">
        <v>0.2309714204390122</v>
      </c>
      <c r="T648">
        <v>0.17817549823303239</v>
      </c>
      <c r="U648">
        <v>4.2558177004489526</v>
      </c>
      <c r="V648">
        <v>0.20544021673558341</v>
      </c>
      <c r="W648">
        <v>9.2547366458264051</v>
      </c>
      <c r="X648">
        <v>0.32665358434348218</v>
      </c>
      <c r="Z648" t="s">
        <v>392</v>
      </c>
      <c r="AA648">
        <v>114</v>
      </c>
      <c r="AB648" t="s">
        <v>4081</v>
      </c>
      <c r="AC648" t="str">
        <f>HYPERLINK("plots/3FT6Y578R04_015_S21P_20251218081014_M5358ACSC201811_RBGEUFRF04/dpll_52084/txpa_55229.png","plot")</f>
        <v>plot</v>
      </c>
    </row>
    <row r="649" spans="1:29" x14ac:dyDescent="0.35">
      <c r="A649" t="s">
        <v>49</v>
      </c>
      <c r="B649">
        <v>52084</v>
      </c>
      <c r="C649" t="s">
        <v>52</v>
      </c>
      <c r="D649">
        <v>55230</v>
      </c>
      <c r="E649" t="s">
        <v>363</v>
      </c>
      <c r="F649">
        <v>12027</v>
      </c>
      <c r="G649">
        <v>0.72300624969102423</v>
      </c>
      <c r="H649">
        <v>0</v>
      </c>
      <c r="I649">
        <v>0</v>
      </c>
      <c r="J649">
        <v>0.65178541397198508</v>
      </c>
      <c r="K649">
        <v>0</v>
      </c>
      <c r="L649">
        <v>0</v>
      </c>
      <c r="M649">
        <v>0.47078918443802098</v>
      </c>
      <c r="N649">
        <v>0</v>
      </c>
      <c r="O649">
        <v>0</v>
      </c>
      <c r="P649">
        <v>0.52273803709227962</v>
      </c>
      <c r="Q649">
        <v>1.158104012745325</v>
      </c>
      <c r="R649">
        <v>4.3237965624597887</v>
      </c>
      <c r="S649">
        <v>0.2273349881609073</v>
      </c>
      <c r="T649">
        <v>0.17690213339027461</v>
      </c>
      <c r="U649">
        <v>4.2558247893905383</v>
      </c>
      <c r="V649">
        <v>0.20544728689892131</v>
      </c>
      <c r="W649">
        <v>9.2524843285939973</v>
      </c>
      <c r="X649">
        <v>0.3290833619584333</v>
      </c>
      <c r="Z649" t="s">
        <v>392</v>
      </c>
      <c r="AA649">
        <v>114</v>
      </c>
      <c r="AB649" t="s">
        <v>4082</v>
      </c>
      <c r="AC649" t="str">
        <f>HYPERLINK("plots/3FT6Y578R04_015_S21P_20251218081014_M5358ACSC201811_RBGEUFRF04/dpll_52084/txpa_55230.png","plot")</f>
        <v>plot</v>
      </c>
    </row>
    <row r="650" spans="1:29" x14ac:dyDescent="0.35">
      <c r="A650" t="s">
        <v>49</v>
      </c>
      <c r="B650">
        <v>52084</v>
      </c>
      <c r="C650" t="s">
        <v>52</v>
      </c>
      <c r="D650">
        <v>55231</v>
      </c>
      <c r="E650" t="s">
        <v>364</v>
      </c>
      <c r="F650">
        <v>12027</v>
      </c>
      <c r="G650">
        <v>0.72252157157885233</v>
      </c>
      <c r="H650">
        <v>0</v>
      </c>
      <c r="I650">
        <v>0</v>
      </c>
      <c r="J650">
        <v>0.64519172018460524</v>
      </c>
      <c r="K650">
        <v>0</v>
      </c>
      <c r="L650">
        <v>0</v>
      </c>
      <c r="M650">
        <v>0.46335011899597328</v>
      </c>
      <c r="N650">
        <v>0</v>
      </c>
      <c r="O650">
        <v>0</v>
      </c>
      <c r="P650">
        <v>0.52203742139677467</v>
      </c>
      <c r="Q650">
        <v>1.152091578878174</v>
      </c>
      <c r="R650">
        <v>4.3342168801463563</v>
      </c>
      <c r="S650">
        <v>0.22645308328065711</v>
      </c>
      <c r="T650">
        <v>0.17700463905960931</v>
      </c>
      <c r="U650">
        <v>4.2557921641307059</v>
      </c>
      <c r="V650">
        <v>0.20542966688110781</v>
      </c>
      <c r="W650">
        <v>9.2372791938970646</v>
      </c>
      <c r="X650">
        <v>0.32756639881117189</v>
      </c>
      <c r="Z650" t="s">
        <v>392</v>
      </c>
      <c r="AA650">
        <v>114</v>
      </c>
      <c r="AB650" t="s">
        <v>4083</v>
      </c>
      <c r="AC650" t="str">
        <f>HYPERLINK("plots/3FT6Y578R04_015_S21P_20251218081014_M5358ACSC201811_RBGEUFRF04/dpll_52084/txpa_55231.png","plot")</f>
        <v>plot</v>
      </c>
    </row>
    <row r="651" spans="1:29" x14ac:dyDescent="0.35">
      <c r="A651" t="s">
        <v>49</v>
      </c>
      <c r="B651">
        <v>52084</v>
      </c>
      <c r="C651" t="s">
        <v>52</v>
      </c>
      <c r="D651">
        <v>55232</v>
      </c>
      <c r="E651" t="s">
        <v>365</v>
      </c>
      <c r="F651">
        <v>12028</v>
      </c>
      <c r="G651">
        <v>0.72626336043587114</v>
      </c>
      <c r="H651">
        <v>0</v>
      </c>
      <c r="I651">
        <v>0</v>
      </c>
      <c r="J651">
        <v>0.65770531977348334</v>
      </c>
      <c r="K651">
        <v>0</v>
      </c>
      <c r="L651">
        <v>0</v>
      </c>
      <c r="M651">
        <v>0.4756382564231918</v>
      </c>
      <c r="N651">
        <v>0</v>
      </c>
      <c r="O651">
        <v>0</v>
      </c>
      <c r="P651">
        <v>0.52745846871160407</v>
      </c>
      <c r="Q651">
        <v>1.1698752510878481</v>
      </c>
      <c r="R651">
        <v>4.2719812431670263</v>
      </c>
      <c r="S651">
        <v>0.22747455346215589</v>
      </c>
      <c r="T651">
        <v>0.1771232382067971</v>
      </c>
      <c r="U651">
        <v>4.2558177004489526</v>
      </c>
      <c r="V651">
        <v>0.20544021673558341</v>
      </c>
      <c r="W651">
        <v>9.2507570440638514</v>
      </c>
      <c r="X651">
        <v>0.33092599493500757</v>
      </c>
      <c r="Z651" t="s">
        <v>392</v>
      </c>
      <c r="AA651">
        <v>114</v>
      </c>
      <c r="AB651" t="s">
        <v>4084</v>
      </c>
      <c r="AC651" t="str">
        <f>HYPERLINK("plots/3FT6Y578R04_015_S21P_20251218081014_M5358ACSC201811_RBGEUFRF04/dpll_52084/txpa_55232.png","plot")</f>
        <v>plot</v>
      </c>
    </row>
    <row r="652" spans="1:29" x14ac:dyDescent="0.35">
      <c r="A652" t="s">
        <v>49</v>
      </c>
      <c r="B652">
        <v>52084</v>
      </c>
      <c r="C652" t="s">
        <v>52</v>
      </c>
      <c r="D652">
        <v>55233</v>
      </c>
      <c r="E652" t="s">
        <v>366</v>
      </c>
      <c r="F652">
        <v>12028</v>
      </c>
      <c r="G652">
        <v>0.72554537659996143</v>
      </c>
      <c r="H652">
        <v>0</v>
      </c>
      <c r="I652">
        <v>0</v>
      </c>
      <c r="J652">
        <v>0.65147676302770985</v>
      </c>
      <c r="K652">
        <v>0</v>
      </c>
      <c r="L652">
        <v>0</v>
      </c>
      <c r="M652">
        <v>0.46941253971111763</v>
      </c>
      <c r="N652">
        <v>0</v>
      </c>
      <c r="O652">
        <v>0</v>
      </c>
      <c r="P652">
        <v>0.52641609350557983</v>
      </c>
      <c r="Q652">
        <v>1.1512383885030499</v>
      </c>
      <c r="R652">
        <v>4.3594296323041526</v>
      </c>
      <c r="S652">
        <v>0.22431925918757711</v>
      </c>
      <c r="T652">
        <v>0.17568501251712321</v>
      </c>
      <c r="U652">
        <v>4.2558177004489526</v>
      </c>
      <c r="V652">
        <v>0.20544021673558341</v>
      </c>
      <c r="W652">
        <v>9.2588903435317604</v>
      </c>
      <c r="X652">
        <v>0.3259763919339172</v>
      </c>
      <c r="Z652" t="s">
        <v>392</v>
      </c>
      <c r="AA652">
        <v>114</v>
      </c>
      <c r="AB652" t="s">
        <v>4085</v>
      </c>
      <c r="AC652" t="str">
        <f>HYPERLINK("plots/3FT6Y578R04_015_S21P_20251218081014_M5358ACSC201811_RBGEUFRF04/dpll_52084/txpa_55233.png","plot")</f>
        <v>plot</v>
      </c>
    </row>
    <row r="653" spans="1:29" x14ac:dyDescent="0.35">
      <c r="A653" t="s">
        <v>49</v>
      </c>
      <c r="B653">
        <v>52084</v>
      </c>
      <c r="C653" t="s">
        <v>52</v>
      </c>
      <c r="D653">
        <v>55234</v>
      </c>
      <c r="E653" t="s">
        <v>367</v>
      </c>
      <c r="F653">
        <v>12027</v>
      </c>
      <c r="G653">
        <v>0.71764628260001762</v>
      </c>
      <c r="H653">
        <v>0</v>
      </c>
      <c r="I653">
        <v>0</v>
      </c>
      <c r="J653">
        <v>0.64415402358806773</v>
      </c>
      <c r="K653">
        <v>0</v>
      </c>
      <c r="L653">
        <v>0</v>
      </c>
      <c r="M653">
        <v>0.4643161358687648</v>
      </c>
      <c r="N653">
        <v>0</v>
      </c>
      <c r="O653">
        <v>0</v>
      </c>
      <c r="P653">
        <v>0.51501618692962436</v>
      </c>
      <c r="Q653">
        <v>1.1494959852743629</v>
      </c>
      <c r="R653">
        <v>4.3346156015067807</v>
      </c>
      <c r="S653">
        <v>0.22914734395582781</v>
      </c>
      <c r="T653">
        <v>0.1778368281291606</v>
      </c>
      <c r="U653">
        <v>4.2558401814251274</v>
      </c>
      <c r="V653">
        <v>0.20543396214013371</v>
      </c>
      <c r="W653">
        <v>9.2266868040242791</v>
      </c>
      <c r="X653">
        <v>0.3290555813422999</v>
      </c>
      <c r="Z653" t="s">
        <v>392</v>
      </c>
      <c r="AA653">
        <v>114</v>
      </c>
      <c r="AB653" t="s">
        <v>4086</v>
      </c>
      <c r="AC653" t="str">
        <f>HYPERLINK("plots/3FT6Y578R04_015_S21P_20251218081014_M5358ACSC201811_RBGEUFRF04/dpll_52084/txpa_55234.png","plot")</f>
        <v>plot</v>
      </c>
    </row>
    <row r="654" spans="1:29" x14ac:dyDescent="0.35">
      <c r="A654" t="s">
        <v>49</v>
      </c>
      <c r="B654">
        <v>52084</v>
      </c>
      <c r="C654" t="s">
        <v>52</v>
      </c>
      <c r="D654">
        <v>55235</v>
      </c>
      <c r="E654" t="s">
        <v>368</v>
      </c>
      <c r="F654">
        <v>12028</v>
      </c>
      <c r="G654">
        <v>0.70269219200382116</v>
      </c>
      <c r="H654">
        <v>0</v>
      </c>
      <c r="I654">
        <v>0</v>
      </c>
      <c r="J654">
        <v>0.64165590579548648</v>
      </c>
      <c r="K654">
        <v>0</v>
      </c>
      <c r="L654">
        <v>0</v>
      </c>
      <c r="M654">
        <v>0.46015797376856671</v>
      </c>
      <c r="N654">
        <v>0</v>
      </c>
      <c r="O654">
        <v>0</v>
      </c>
      <c r="P654">
        <v>0.49377631670313499</v>
      </c>
      <c r="Q654">
        <v>1.1477754103621001</v>
      </c>
      <c r="R654">
        <v>4.8232252415097534</v>
      </c>
      <c r="S654">
        <v>0.2387428799639113</v>
      </c>
      <c r="T654">
        <v>0.1821647514094768</v>
      </c>
      <c r="U654">
        <v>4.2558177004489526</v>
      </c>
      <c r="V654">
        <v>0.20544021673558341</v>
      </c>
      <c r="W654">
        <v>9.7079481490688391</v>
      </c>
      <c r="X654">
        <v>0.33556546059825992</v>
      </c>
      <c r="Z654" t="s">
        <v>392</v>
      </c>
      <c r="AA654">
        <v>114</v>
      </c>
      <c r="AB654" t="s">
        <v>4087</v>
      </c>
      <c r="AC654" t="str">
        <f>HYPERLINK("plots/3FT6Y578R04_015_S21P_20251218081014_M5358ACSC201811_RBGEUFRF04/dpll_52084/txpa_55235.png","plot")</f>
        <v>plot</v>
      </c>
    </row>
    <row r="655" spans="1:29" x14ac:dyDescent="0.35">
      <c r="A655" t="s">
        <v>49</v>
      </c>
      <c r="B655">
        <v>52084</v>
      </c>
      <c r="C655" t="s">
        <v>52</v>
      </c>
      <c r="D655">
        <v>55236</v>
      </c>
      <c r="E655" t="s">
        <v>369</v>
      </c>
      <c r="F655">
        <v>12028</v>
      </c>
      <c r="G655">
        <v>0.72260108673568291</v>
      </c>
      <c r="H655">
        <v>0</v>
      </c>
      <c r="I655">
        <v>0</v>
      </c>
      <c r="J655">
        <v>0.6541067690943313</v>
      </c>
      <c r="K655">
        <v>0</v>
      </c>
      <c r="L655">
        <v>0</v>
      </c>
      <c r="M655">
        <v>0.47286667727115872</v>
      </c>
      <c r="N655">
        <v>0</v>
      </c>
      <c r="O655">
        <v>0</v>
      </c>
      <c r="P655">
        <v>0.52215233055158994</v>
      </c>
      <c r="Q655">
        <v>1.18111528112424</v>
      </c>
      <c r="R655">
        <v>4.706890400307417</v>
      </c>
      <c r="S655">
        <v>0.23211639903020559</v>
      </c>
      <c r="T655">
        <v>0.17992989760593231</v>
      </c>
      <c r="U655">
        <v>4.2558177004489526</v>
      </c>
      <c r="V655">
        <v>0.20544021673558341</v>
      </c>
      <c r="W655">
        <v>9.7335017199866982</v>
      </c>
      <c r="X655">
        <v>0.33579880213026991</v>
      </c>
      <c r="Z655" t="s">
        <v>392</v>
      </c>
      <c r="AA655">
        <v>114</v>
      </c>
      <c r="AB655" t="s">
        <v>4088</v>
      </c>
      <c r="AC655" t="str">
        <f>HYPERLINK("plots/3FT6Y578R04_015_S21P_20251218081014_M5358ACSC201811_RBGEUFRF04/dpll_52084/txpa_55236.png","plot")</f>
        <v>plot</v>
      </c>
    </row>
    <row r="656" spans="1:29" x14ac:dyDescent="0.35">
      <c r="A656" t="s">
        <v>49</v>
      </c>
      <c r="B656">
        <v>52084</v>
      </c>
      <c r="C656" t="s">
        <v>52</v>
      </c>
      <c r="D656">
        <v>55237</v>
      </c>
      <c r="E656" t="s">
        <v>370</v>
      </c>
      <c r="F656">
        <v>12028</v>
      </c>
      <c r="G656">
        <v>0.71206533529603266</v>
      </c>
      <c r="H656">
        <v>0</v>
      </c>
      <c r="I656">
        <v>0</v>
      </c>
      <c r="J656">
        <v>0.64309206596686241</v>
      </c>
      <c r="K656">
        <v>0</v>
      </c>
      <c r="L656">
        <v>0</v>
      </c>
      <c r="M656">
        <v>0.46256200935088981</v>
      </c>
      <c r="N656">
        <v>0</v>
      </c>
      <c r="O656">
        <v>0</v>
      </c>
      <c r="P656">
        <v>0.50703704173025144</v>
      </c>
      <c r="Q656">
        <v>1.1470566205469079</v>
      </c>
      <c r="R656">
        <v>4.8683717886577806</v>
      </c>
      <c r="S656">
        <v>0.23234833560888041</v>
      </c>
      <c r="T656">
        <v>0.17889336863045391</v>
      </c>
      <c r="U656">
        <v>4.2558177004489526</v>
      </c>
      <c r="V656">
        <v>0.20544021673558341</v>
      </c>
      <c r="W656">
        <v>9.7500356577984704</v>
      </c>
      <c r="X656">
        <v>0.330940925013817</v>
      </c>
      <c r="Z656" t="s">
        <v>392</v>
      </c>
      <c r="AA656">
        <v>114</v>
      </c>
      <c r="AB656" t="s">
        <v>4089</v>
      </c>
      <c r="AC656" t="str">
        <f>HYPERLINK("plots/3FT6Y578R04_015_S21P_20251218081014_M5358ACSC201811_RBGEUFRF04/dpll_52084/txpa_55237.png","plot")</f>
        <v>plot</v>
      </c>
    </row>
    <row r="657" spans="1:29" x14ac:dyDescent="0.35">
      <c r="A657" t="s">
        <v>49</v>
      </c>
      <c r="B657">
        <v>52084</v>
      </c>
      <c r="C657" t="s">
        <v>52</v>
      </c>
      <c r="D657">
        <v>55238</v>
      </c>
      <c r="E657" t="s">
        <v>371</v>
      </c>
      <c r="F657">
        <v>12027</v>
      </c>
      <c r="G657">
        <v>0.72763594735779202</v>
      </c>
      <c r="H657">
        <v>0</v>
      </c>
      <c r="I657">
        <v>0</v>
      </c>
      <c r="J657">
        <v>0.65510333937391207</v>
      </c>
      <c r="K657">
        <v>0</v>
      </c>
      <c r="L657">
        <v>0</v>
      </c>
      <c r="M657">
        <v>0.4736266079559272</v>
      </c>
      <c r="N657">
        <v>0</v>
      </c>
      <c r="O657">
        <v>0</v>
      </c>
      <c r="P657">
        <v>0.52945407188727145</v>
      </c>
      <c r="Q657">
        <v>1.1809658451416949</v>
      </c>
      <c r="R657">
        <v>4.7213300820197324</v>
      </c>
      <c r="S657">
        <v>0.22872127095863831</v>
      </c>
      <c r="T657">
        <v>0.17772705432934721</v>
      </c>
      <c r="U657">
        <v>4.2558247893905383</v>
      </c>
      <c r="V657">
        <v>0.20544728689892131</v>
      </c>
      <c r="W657">
        <v>9.7473138011973059</v>
      </c>
      <c r="X657">
        <v>0.33344453319779299</v>
      </c>
      <c r="Z657" t="s">
        <v>392</v>
      </c>
      <c r="AA657">
        <v>114</v>
      </c>
      <c r="AB657" t="s">
        <v>4090</v>
      </c>
      <c r="AC657" t="str">
        <f>HYPERLINK("plots/3FT6Y578R04_015_S21P_20251218081014_M5358ACSC201811_RBGEUFRF04/dpll_52084/txpa_55238.png","plot")</f>
        <v>plot</v>
      </c>
    </row>
    <row r="658" spans="1:29" x14ac:dyDescent="0.35">
      <c r="A658" t="s">
        <v>49</v>
      </c>
      <c r="B658">
        <v>52084</v>
      </c>
      <c r="C658" t="s">
        <v>52</v>
      </c>
      <c r="D658">
        <v>55239</v>
      </c>
      <c r="E658" t="s">
        <v>372</v>
      </c>
      <c r="F658">
        <v>12027</v>
      </c>
      <c r="G658">
        <v>0.72721600164301381</v>
      </c>
      <c r="H658">
        <v>0</v>
      </c>
      <c r="I658">
        <v>0</v>
      </c>
      <c r="J658">
        <v>0.64853128121666381</v>
      </c>
      <c r="K658">
        <v>0</v>
      </c>
      <c r="L658">
        <v>0</v>
      </c>
      <c r="M658">
        <v>0.46615416793948927</v>
      </c>
      <c r="N658">
        <v>0</v>
      </c>
      <c r="O658">
        <v>0</v>
      </c>
      <c r="P658">
        <v>0.5288431130456519</v>
      </c>
      <c r="Q658">
        <v>1.1747612442827231</v>
      </c>
      <c r="R658">
        <v>4.7322145651813363</v>
      </c>
      <c r="S658">
        <v>0.22777919934874991</v>
      </c>
      <c r="T658">
        <v>0.1777733871863412</v>
      </c>
      <c r="U658">
        <v>4.2557921641307059</v>
      </c>
      <c r="V658">
        <v>0.20542966688110781</v>
      </c>
      <c r="W658">
        <v>9.7317542633241878</v>
      </c>
      <c r="X658">
        <v>0.33185574923075389</v>
      </c>
      <c r="Z658" t="s">
        <v>392</v>
      </c>
      <c r="AA658">
        <v>114</v>
      </c>
      <c r="AB658" t="s">
        <v>4091</v>
      </c>
      <c r="AC658" t="str">
        <f>HYPERLINK("plots/3FT6Y578R04_015_S21P_20251218081014_M5358ACSC201811_RBGEUFRF04/dpll_52084/txpa_55239.png","plot")</f>
        <v>plot</v>
      </c>
    </row>
    <row r="659" spans="1:29" x14ac:dyDescent="0.35">
      <c r="A659" t="s">
        <v>49</v>
      </c>
      <c r="B659">
        <v>52084</v>
      </c>
      <c r="C659" t="s">
        <v>52</v>
      </c>
      <c r="D659">
        <v>55240</v>
      </c>
      <c r="E659" t="s">
        <v>373</v>
      </c>
      <c r="F659">
        <v>12028</v>
      </c>
      <c r="G659">
        <v>0.73063529251659853</v>
      </c>
      <c r="H659">
        <v>0</v>
      </c>
      <c r="I659">
        <v>0</v>
      </c>
      <c r="J659">
        <v>0.66090928233792512</v>
      </c>
      <c r="K659">
        <v>0</v>
      </c>
      <c r="L659">
        <v>0</v>
      </c>
      <c r="M659">
        <v>0.4784241920314542</v>
      </c>
      <c r="N659">
        <v>0</v>
      </c>
      <c r="O659">
        <v>0</v>
      </c>
      <c r="P659">
        <v>0.53382793067081546</v>
      </c>
      <c r="Q659">
        <v>1.1924580813893619</v>
      </c>
      <c r="R659">
        <v>4.670890563126215</v>
      </c>
      <c r="S659">
        <v>0.22891961647865569</v>
      </c>
      <c r="T659">
        <v>0.17794981723177961</v>
      </c>
      <c r="U659">
        <v>4.2558177004489526</v>
      </c>
      <c r="V659">
        <v>0.20544021673558341</v>
      </c>
      <c r="W659">
        <v>9.7457747729464579</v>
      </c>
      <c r="X659">
        <v>0.33529566556376439</v>
      </c>
      <c r="Z659" t="s">
        <v>392</v>
      </c>
      <c r="AA659">
        <v>114</v>
      </c>
      <c r="AB659" t="s">
        <v>4092</v>
      </c>
      <c r="AC659" t="str">
        <f>HYPERLINK("plots/3FT6Y578R04_015_S21P_20251218081014_M5358ACSC201811_RBGEUFRF04/dpll_52084/txpa_55240.png","plot")</f>
        <v>plot</v>
      </c>
    </row>
    <row r="660" spans="1:29" x14ac:dyDescent="0.35">
      <c r="A660" t="s">
        <v>49</v>
      </c>
      <c r="B660">
        <v>52084</v>
      </c>
      <c r="C660" t="s">
        <v>52</v>
      </c>
      <c r="D660">
        <v>55241</v>
      </c>
      <c r="E660" t="s">
        <v>374</v>
      </c>
      <c r="F660">
        <v>12028</v>
      </c>
      <c r="G660">
        <v>0.73027984651040601</v>
      </c>
      <c r="H660">
        <v>0</v>
      </c>
      <c r="I660">
        <v>0</v>
      </c>
      <c r="J660">
        <v>0.65461071803318238</v>
      </c>
      <c r="K660">
        <v>0</v>
      </c>
      <c r="L660">
        <v>0</v>
      </c>
      <c r="M660">
        <v>0.47215177321912788</v>
      </c>
      <c r="N660">
        <v>0</v>
      </c>
      <c r="O660">
        <v>0</v>
      </c>
      <c r="P660">
        <v>0.5333086542192621</v>
      </c>
      <c r="Q660">
        <v>1.1743608920026349</v>
      </c>
      <c r="R660">
        <v>4.7560298375304928</v>
      </c>
      <c r="S660">
        <v>0.2256807667286212</v>
      </c>
      <c r="T660">
        <v>0.17645909808229801</v>
      </c>
      <c r="U660">
        <v>4.2558177004489526</v>
      </c>
      <c r="V660">
        <v>0.20544021673558341</v>
      </c>
      <c r="W660">
        <v>9.7538957084303277</v>
      </c>
      <c r="X660">
        <v>0.33036781356032752</v>
      </c>
      <c r="Z660" t="s">
        <v>392</v>
      </c>
      <c r="AA660">
        <v>114</v>
      </c>
      <c r="AB660" t="s">
        <v>4093</v>
      </c>
      <c r="AC660" t="str">
        <f>HYPERLINK("plots/3FT6Y578R04_015_S21P_20251218081014_M5358ACSC201811_RBGEUFRF04/dpll_52084/txpa_55241.png","plot")</f>
        <v>plot</v>
      </c>
    </row>
    <row r="661" spans="1:29" x14ac:dyDescent="0.35">
      <c r="A661" t="s">
        <v>49</v>
      </c>
      <c r="B661">
        <v>52084</v>
      </c>
      <c r="C661" t="s">
        <v>52</v>
      </c>
      <c r="D661">
        <v>55242</v>
      </c>
      <c r="E661" t="s">
        <v>375</v>
      </c>
      <c r="F661">
        <v>12027</v>
      </c>
      <c r="G661">
        <v>0.72218730724955027</v>
      </c>
      <c r="H661">
        <v>0</v>
      </c>
      <c r="I661">
        <v>0</v>
      </c>
      <c r="J661">
        <v>0.64734916744027515</v>
      </c>
      <c r="K661">
        <v>0</v>
      </c>
      <c r="L661">
        <v>0</v>
      </c>
      <c r="M661">
        <v>0.46703392298002888</v>
      </c>
      <c r="N661">
        <v>0</v>
      </c>
      <c r="O661">
        <v>0</v>
      </c>
      <c r="P661">
        <v>0.52155450675235637</v>
      </c>
      <c r="Q661">
        <v>1.171963527515731</v>
      </c>
      <c r="R661">
        <v>4.7344280892553039</v>
      </c>
      <c r="S661">
        <v>0.23058691856152949</v>
      </c>
      <c r="T661">
        <v>0.17870451407016319</v>
      </c>
      <c r="U661">
        <v>4.2558401814251274</v>
      </c>
      <c r="V661">
        <v>0.20543396214013371</v>
      </c>
      <c r="W661">
        <v>9.7221175608214843</v>
      </c>
      <c r="X661">
        <v>0.3333776549718423</v>
      </c>
      <c r="Z661" t="s">
        <v>392</v>
      </c>
      <c r="AA661">
        <v>114</v>
      </c>
      <c r="AB661" t="s">
        <v>4094</v>
      </c>
      <c r="AC661" t="str">
        <f>HYPERLINK("plots/3FT6Y578R04_015_S21P_20251218081014_M5358ACSC201811_RBGEUFRF04/dpll_52084/txpa_55242.png","plot")</f>
        <v>plot</v>
      </c>
    </row>
    <row r="662" spans="1:29" x14ac:dyDescent="0.35">
      <c r="A662" t="s">
        <v>49</v>
      </c>
      <c r="B662">
        <v>52084</v>
      </c>
      <c r="C662" t="s">
        <v>52</v>
      </c>
      <c r="D662">
        <v>55243</v>
      </c>
      <c r="E662" t="s">
        <v>376</v>
      </c>
      <c r="F662">
        <v>12028</v>
      </c>
      <c r="G662">
        <v>0.71506772947049924</v>
      </c>
      <c r="H662">
        <v>0</v>
      </c>
      <c r="I662">
        <v>0</v>
      </c>
      <c r="J662">
        <v>0.65046928507994317</v>
      </c>
      <c r="K662">
        <v>0</v>
      </c>
      <c r="L662">
        <v>0</v>
      </c>
      <c r="M662">
        <v>0.46787629468091341</v>
      </c>
      <c r="N662">
        <v>0</v>
      </c>
      <c r="O662">
        <v>0</v>
      </c>
      <c r="P662">
        <v>0.51132185773009509</v>
      </c>
      <c r="Q662">
        <v>1.2125479093361731</v>
      </c>
      <c r="R662">
        <v>6.1870255391346403</v>
      </c>
      <c r="S662">
        <v>0.24351773492551801</v>
      </c>
      <c r="T662">
        <v>0.18472254544412231</v>
      </c>
      <c r="U662">
        <v>4.2558177004489526</v>
      </c>
      <c r="V662">
        <v>0.20544021673558341</v>
      </c>
      <c r="W662">
        <v>11.3474083943299</v>
      </c>
      <c r="X662">
        <v>0.34836714765573717</v>
      </c>
      <c r="Z662" t="s">
        <v>392</v>
      </c>
      <c r="AA662">
        <v>114</v>
      </c>
      <c r="AB662" t="s">
        <v>4095</v>
      </c>
      <c r="AC662" t="str">
        <f>HYPERLINK("plots/3FT6Y578R04_015_S21P_20251218081014_M5358ACSC201811_RBGEUFRF04/dpll_52084/txpa_55243.png","plot")</f>
        <v>plot</v>
      </c>
    </row>
    <row r="663" spans="1:29" x14ac:dyDescent="0.35">
      <c r="A663" t="s">
        <v>49</v>
      </c>
      <c r="B663">
        <v>52084</v>
      </c>
      <c r="C663" t="s">
        <v>52</v>
      </c>
      <c r="D663">
        <v>55244</v>
      </c>
      <c r="E663" t="s">
        <v>377</v>
      </c>
      <c r="F663">
        <v>12028</v>
      </c>
      <c r="G663">
        <v>0.73440842597210554</v>
      </c>
      <c r="H663">
        <v>0</v>
      </c>
      <c r="I663">
        <v>0</v>
      </c>
      <c r="J663">
        <v>0.66262616582318101</v>
      </c>
      <c r="K663">
        <v>0</v>
      </c>
      <c r="L663">
        <v>0</v>
      </c>
      <c r="M663">
        <v>0.48046906669235362</v>
      </c>
      <c r="N663">
        <v>0</v>
      </c>
      <c r="O663">
        <v>0</v>
      </c>
      <c r="P663">
        <v>0.53935573613882559</v>
      </c>
      <c r="Q663">
        <v>1.2462045179771031</v>
      </c>
      <c r="R663">
        <v>6.0680015540634731</v>
      </c>
      <c r="S663">
        <v>0.23659301274789021</v>
      </c>
      <c r="T663">
        <v>0.18244627204887481</v>
      </c>
      <c r="U663">
        <v>4.2558177004489526</v>
      </c>
      <c r="V663">
        <v>0.20544021673558341</v>
      </c>
      <c r="W663">
        <v>11.371620800049881</v>
      </c>
      <c r="X663">
        <v>0.34860782803682561</v>
      </c>
      <c r="Z663" t="s">
        <v>392</v>
      </c>
      <c r="AA663">
        <v>114</v>
      </c>
      <c r="AB663" t="s">
        <v>4096</v>
      </c>
      <c r="AC663" t="str">
        <f>HYPERLINK("plots/3FT6Y578R04_015_S21P_20251218081014_M5358ACSC201811_RBGEUFRF04/dpll_52084/txpa_55244.png","plot")</f>
        <v>plot</v>
      </c>
    </row>
    <row r="664" spans="1:29" x14ac:dyDescent="0.35">
      <c r="A664" t="s">
        <v>49</v>
      </c>
      <c r="B664">
        <v>52084</v>
      </c>
      <c r="C664" t="s">
        <v>52</v>
      </c>
      <c r="D664">
        <v>55245</v>
      </c>
      <c r="E664" t="s">
        <v>378</v>
      </c>
      <c r="F664">
        <v>12028</v>
      </c>
      <c r="G664">
        <v>0.72459648780884089</v>
      </c>
      <c r="H664">
        <v>0</v>
      </c>
      <c r="I664">
        <v>0</v>
      </c>
      <c r="J664">
        <v>0.65209043111216802</v>
      </c>
      <c r="K664">
        <v>0</v>
      </c>
      <c r="L664">
        <v>0</v>
      </c>
      <c r="M664">
        <v>0.4705131818746936</v>
      </c>
      <c r="N664">
        <v>0</v>
      </c>
      <c r="O664">
        <v>0</v>
      </c>
      <c r="P664">
        <v>0.52504007014490772</v>
      </c>
      <c r="Q664">
        <v>1.2120536864324749</v>
      </c>
      <c r="R664">
        <v>6.2297142626140714</v>
      </c>
      <c r="S664">
        <v>0.23682171857111101</v>
      </c>
      <c r="T664">
        <v>0.1813630506964117</v>
      </c>
      <c r="U664">
        <v>4.2558177004489526</v>
      </c>
      <c r="V664">
        <v>0.20544021673558341</v>
      </c>
      <c r="W664">
        <v>11.3879937952278</v>
      </c>
      <c r="X664">
        <v>0.34364584458425029</v>
      </c>
      <c r="Z664" t="s">
        <v>392</v>
      </c>
      <c r="AA664">
        <v>114</v>
      </c>
      <c r="AB664" t="s">
        <v>4097</v>
      </c>
      <c r="AC664" t="str">
        <f>HYPERLINK("plots/3FT6Y578R04_015_S21P_20251218081014_M5358ACSC201811_RBGEUFRF04/dpll_52084/txpa_55245.png","plot")</f>
        <v>plot</v>
      </c>
    </row>
    <row r="665" spans="1:29" x14ac:dyDescent="0.35">
      <c r="A665" t="s">
        <v>49</v>
      </c>
      <c r="B665">
        <v>52084</v>
      </c>
      <c r="C665" t="s">
        <v>52</v>
      </c>
      <c r="D665">
        <v>55246</v>
      </c>
      <c r="E665" t="s">
        <v>379</v>
      </c>
      <c r="F665">
        <v>12027</v>
      </c>
      <c r="G665">
        <v>0.73932375328898892</v>
      </c>
      <c r="H665">
        <v>0</v>
      </c>
      <c r="I665">
        <v>0</v>
      </c>
      <c r="J665">
        <v>0.66341191888418449</v>
      </c>
      <c r="K665">
        <v>0</v>
      </c>
      <c r="L665">
        <v>0</v>
      </c>
      <c r="M665">
        <v>0.48101208848391891</v>
      </c>
      <c r="N665">
        <v>0</v>
      </c>
      <c r="O665">
        <v>0</v>
      </c>
      <c r="P665">
        <v>0.54659961217731778</v>
      </c>
      <c r="Q665">
        <v>1.2448499709158409</v>
      </c>
      <c r="R665">
        <v>6.0866969909028246</v>
      </c>
      <c r="S665">
        <v>0.23291939437727799</v>
      </c>
      <c r="T665">
        <v>0.18014453468311331</v>
      </c>
      <c r="U665">
        <v>4.2558247893905383</v>
      </c>
      <c r="V665">
        <v>0.20544728689892131</v>
      </c>
      <c r="W665">
        <v>11.38456035619855</v>
      </c>
      <c r="X665">
        <v>0.34592564892324251</v>
      </c>
      <c r="Z665" t="s">
        <v>392</v>
      </c>
      <c r="AA665">
        <v>114</v>
      </c>
      <c r="AB665" t="s">
        <v>4098</v>
      </c>
      <c r="AC665" t="str">
        <f>HYPERLINK("plots/3FT6Y578R04_015_S21P_20251218081014_M5358ACSC201811_RBGEUFRF04/dpll_52084/txpa_55246.png","plot")</f>
        <v>plot</v>
      </c>
    </row>
    <row r="666" spans="1:29" x14ac:dyDescent="0.35">
      <c r="A666" t="s">
        <v>49</v>
      </c>
      <c r="B666">
        <v>52084</v>
      </c>
      <c r="C666" t="s">
        <v>52</v>
      </c>
      <c r="D666">
        <v>55247</v>
      </c>
      <c r="E666" t="s">
        <v>380</v>
      </c>
      <c r="F666">
        <v>12027</v>
      </c>
      <c r="G666">
        <v>0.73883269371656768</v>
      </c>
      <c r="H666">
        <v>0</v>
      </c>
      <c r="I666">
        <v>0</v>
      </c>
      <c r="J666">
        <v>0.65650730486748154</v>
      </c>
      <c r="K666">
        <v>0</v>
      </c>
      <c r="L666">
        <v>0</v>
      </c>
      <c r="M666">
        <v>0.47315335349061838</v>
      </c>
      <c r="N666">
        <v>0</v>
      </c>
      <c r="O666">
        <v>0</v>
      </c>
      <c r="P666">
        <v>0.54587374930447952</v>
      </c>
      <c r="Q666">
        <v>1.2396562715582951</v>
      </c>
      <c r="R666">
        <v>6.0924269587910036</v>
      </c>
      <c r="S666">
        <v>0.23226757548982491</v>
      </c>
      <c r="T666">
        <v>0.1804346302759694</v>
      </c>
      <c r="U666">
        <v>4.2557921641307059</v>
      </c>
      <c r="V666">
        <v>0.20542966688110781</v>
      </c>
      <c r="W666">
        <v>11.36814640550428</v>
      </c>
      <c r="X666">
        <v>0.3446817893673107</v>
      </c>
      <c r="Z666" t="s">
        <v>392</v>
      </c>
      <c r="AA666">
        <v>114</v>
      </c>
      <c r="AB666" t="s">
        <v>4099</v>
      </c>
      <c r="AC666" t="str">
        <f>HYPERLINK("plots/3FT6Y578R04_015_S21P_20251218081014_M5358ACSC201811_RBGEUFRF04/dpll_52084/txpa_55247.png","plot")</f>
        <v>plot</v>
      </c>
    </row>
    <row r="667" spans="1:29" x14ac:dyDescent="0.35">
      <c r="A667" t="s">
        <v>49</v>
      </c>
      <c r="B667">
        <v>52084</v>
      </c>
      <c r="C667" t="s">
        <v>52</v>
      </c>
      <c r="D667">
        <v>55248</v>
      </c>
      <c r="E667" t="s">
        <v>381</v>
      </c>
      <c r="F667">
        <v>12027</v>
      </c>
      <c r="G667">
        <v>0.74384224745979466</v>
      </c>
      <c r="H667">
        <v>0</v>
      </c>
      <c r="I667">
        <v>0</v>
      </c>
      <c r="J667">
        <v>0.66880860690937904</v>
      </c>
      <c r="K667">
        <v>0</v>
      </c>
      <c r="L667">
        <v>0</v>
      </c>
      <c r="M667">
        <v>0.48554465071398378</v>
      </c>
      <c r="N667">
        <v>0</v>
      </c>
      <c r="O667">
        <v>0</v>
      </c>
      <c r="P667">
        <v>0.55330128910603837</v>
      </c>
      <c r="Q667">
        <v>1.258549423594483</v>
      </c>
      <c r="R667">
        <v>6.0277662251606587</v>
      </c>
      <c r="S667">
        <v>0.23228882672925799</v>
      </c>
      <c r="T667">
        <v>0.18029521112013419</v>
      </c>
      <c r="U667">
        <v>4.2557881821734433</v>
      </c>
      <c r="V667">
        <v>0.20542324838451659</v>
      </c>
      <c r="W667">
        <v>11.38388598877526</v>
      </c>
      <c r="X667">
        <v>0.34756739312687901</v>
      </c>
      <c r="Z667" t="s">
        <v>392</v>
      </c>
      <c r="AA667">
        <v>114</v>
      </c>
      <c r="AB667" t="s">
        <v>4100</v>
      </c>
      <c r="AC667" t="str">
        <f>HYPERLINK("plots/3FT6Y578R04_015_S21P_20251218081014_M5358ACSC201811_RBGEUFRF04/dpll_52084/txpa_55248.png","plot")</f>
        <v>plot</v>
      </c>
    </row>
    <row r="668" spans="1:29" x14ac:dyDescent="0.35">
      <c r="A668" t="s">
        <v>49</v>
      </c>
      <c r="B668">
        <v>52084</v>
      </c>
      <c r="C668" t="s">
        <v>52</v>
      </c>
      <c r="D668">
        <v>55249</v>
      </c>
      <c r="E668" t="s">
        <v>382</v>
      </c>
      <c r="F668">
        <v>12028</v>
      </c>
      <c r="G668">
        <v>0.74194513079689961</v>
      </c>
      <c r="H668">
        <v>0</v>
      </c>
      <c r="I668">
        <v>0</v>
      </c>
      <c r="J668">
        <v>0.66257964884128373</v>
      </c>
      <c r="K668">
        <v>0</v>
      </c>
      <c r="L668">
        <v>0</v>
      </c>
      <c r="M668">
        <v>0.47920691899830559</v>
      </c>
      <c r="N668">
        <v>0</v>
      </c>
      <c r="O668">
        <v>0</v>
      </c>
      <c r="P668">
        <v>0.55048257711322846</v>
      </c>
      <c r="Q668">
        <v>1.2386267471474339</v>
      </c>
      <c r="R668">
        <v>6.1210404196135686</v>
      </c>
      <c r="S668">
        <v>0.22993725369510221</v>
      </c>
      <c r="T668">
        <v>0.17878561806413079</v>
      </c>
      <c r="U668">
        <v>4.2558177004489526</v>
      </c>
      <c r="V668">
        <v>0.20544021673558341</v>
      </c>
      <c r="W668">
        <v>11.39241005437313</v>
      </c>
      <c r="X668">
        <v>0.34296841750972668</v>
      </c>
      <c r="Z668" t="s">
        <v>392</v>
      </c>
      <c r="AA668">
        <v>114</v>
      </c>
      <c r="AB668" t="s">
        <v>4101</v>
      </c>
      <c r="AC668" t="str">
        <f>HYPERLINK("plots/3FT6Y578R04_015_S21P_20251218081014_M5358ACSC201811_RBGEUFRF04/dpll_52084/txpa_55249.png","plot")</f>
        <v>plot</v>
      </c>
    </row>
    <row r="669" spans="1:29" x14ac:dyDescent="0.35">
      <c r="A669" t="s">
        <v>49</v>
      </c>
      <c r="B669">
        <v>52084</v>
      </c>
      <c r="C669" t="s">
        <v>52</v>
      </c>
      <c r="D669">
        <v>55250</v>
      </c>
      <c r="E669" t="s">
        <v>383</v>
      </c>
      <c r="F669">
        <v>12027</v>
      </c>
      <c r="G669">
        <v>0.73373745822239544</v>
      </c>
      <c r="H669">
        <v>0</v>
      </c>
      <c r="I669">
        <v>0</v>
      </c>
      <c r="J669">
        <v>0.65501508923961915</v>
      </c>
      <c r="K669">
        <v>0</v>
      </c>
      <c r="L669">
        <v>0</v>
      </c>
      <c r="M669">
        <v>0.47383230540603721</v>
      </c>
      <c r="N669">
        <v>0</v>
      </c>
      <c r="O669">
        <v>0</v>
      </c>
      <c r="P669">
        <v>0.53837065759866154</v>
      </c>
      <c r="Q669">
        <v>1.235391531598979</v>
      </c>
      <c r="R669">
        <v>6.1050701980964188</v>
      </c>
      <c r="S669">
        <v>0.23499835307990091</v>
      </c>
      <c r="T669">
        <v>0.18118808241389109</v>
      </c>
      <c r="U669">
        <v>4.2558401814251274</v>
      </c>
      <c r="V669">
        <v>0.20543396214013371</v>
      </c>
      <c r="W669">
        <v>11.362699118067679</v>
      </c>
      <c r="X669">
        <v>0.34588853858653978</v>
      </c>
      <c r="Z669" t="s">
        <v>392</v>
      </c>
      <c r="AA669">
        <v>114</v>
      </c>
      <c r="AB669" t="s">
        <v>4102</v>
      </c>
      <c r="AC669" t="str">
        <f>HYPERLINK("plots/3FT6Y578R04_015_S21P_20251218081014_M5358ACSC201811_RBGEUFRF04/dpll_52084/txpa_55250.png","plot")</f>
        <v>plot</v>
      </c>
    </row>
    <row r="670" spans="1:29" x14ac:dyDescent="0.35">
      <c r="A670" t="s">
        <v>49</v>
      </c>
      <c r="B670">
        <v>52084</v>
      </c>
      <c r="C670" t="s">
        <v>52</v>
      </c>
      <c r="D670">
        <v>55251</v>
      </c>
      <c r="E670" t="s">
        <v>384</v>
      </c>
      <c r="F670">
        <v>12028</v>
      </c>
      <c r="G670">
        <v>0.71789982592792634</v>
      </c>
      <c r="H670">
        <v>0</v>
      </c>
      <c r="I670">
        <v>0</v>
      </c>
      <c r="J670">
        <v>0.65205863494376759</v>
      </c>
      <c r="K670">
        <v>0</v>
      </c>
      <c r="L670">
        <v>0</v>
      </c>
      <c r="M670">
        <v>0.46936953608604881</v>
      </c>
      <c r="N670">
        <v>0</v>
      </c>
      <c r="O670">
        <v>0</v>
      </c>
      <c r="P670">
        <v>0.51538016006734699</v>
      </c>
      <c r="Q670">
        <v>1.2281458229103901</v>
      </c>
      <c r="R670">
        <v>6.7005911967919598</v>
      </c>
      <c r="S670">
        <v>0.24465499822588749</v>
      </c>
      <c r="T670">
        <v>0.1852406685238378</v>
      </c>
      <c r="U670">
        <v>4.2558177004489526</v>
      </c>
      <c r="V670">
        <v>0.20544021673558341</v>
      </c>
      <c r="W670">
        <v>11.92735592866644</v>
      </c>
      <c r="X670">
        <v>0.3514564775322051</v>
      </c>
      <c r="Z670" t="s">
        <v>392</v>
      </c>
      <c r="AA670">
        <v>114</v>
      </c>
      <c r="AB670" t="s">
        <v>4103</v>
      </c>
      <c r="AC670" t="str">
        <f>HYPERLINK("plots/3FT6Y578R04_015_S21P_20251218081014_M5358ACSC201811_RBGEUFRF04/dpll_52084/txpa_55251.png","plot")</f>
        <v>plot</v>
      </c>
    </row>
    <row r="671" spans="1:29" x14ac:dyDescent="0.35">
      <c r="A671" t="s">
        <v>49</v>
      </c>
      <c r="B671">
        <v>52084</v>
      </c>
      <c r="C671" t="s">
        <v>52</v>
      </c>
      <c r="D671">
        <v>55252</v>
      </c>
      <c r="E671" t="s">
        <v>385</v>
      </c>
      <c r="F671">
        <v>12028</v>
      </c>
      <c r="G671">
        <v>0.7370059277190435</v>
      </c>
      <c r="H671">
        <v>0</v>
      </c>
      <c r="I671">
        <v>0</v>
      </c>
      <c r="J671">
        <v>0.66415802243545485</v>
      </c>
      <c r="K671">
        <v>0</v>
      </c>
      <c r="L671">
        <v>0</v>
      </c>
      <c r="M671">
        <v>0.48196748271371009</v>
      </c>
      <c r="N671">
        <v>0</v>
      </c>
      <c r="O671">
        <v>0</v>
      </c>
      <c r="P671">
        <v>0.54317773749300802</v>
      </c>
      <c r="Q671">
        <v>1.261783617924142</v>
      </c>
      <c r="R671">
        <v>6.5814445923573919</v>
      </c>
      <c r="S671">
        <v>0.23771410084273531</v>
      </c>
      <c r="T671">
        <v>0.1829666951499429</v>
      </c>
      <c r="U671">
        <v>4.2558177004489526</v>
      </c>
      <c r="V671">
        <v>0.20544021673558341</v>
      </c>
      <c r="W671">
        <v>11.95136564765547</v>
      </c>
      <c r="X671">
        <v>0.35172186571416952</v>
      </c>
      <c r="Z671" t="s">
        <v>392</v>
      </c>
      <c r="AA671">
        <v>114</v>
      </c>
      <c r="AB671" t="s">
        <v>4104</v>
      </c>
      <c r="AC671" t="str">
        <f>HYPERLINK("plots/3FT6Y578R04_015_S21P_20251218081014_M5358ACSC201811_RBGEUFRF04/dpll_52084/txpa_55252.png","plot")</f>
        <v>plot</v>
      </c>
    </row>
    <row r="672" spans="1:29" x14ac:dyDescent="0.35">
      <c r="A672" t="s">
        <v>49</v>
      </c>
      <c r="B672">
        <v>52084</v>
      </c>
      <c r="C672" t="s">
        <v>52</v>
      </c>
      <c r="D672">
        <v>55253</v>
      </c>
      <c r="E672" t="s">
        <v>386</v>
      </c>
      <c r="F672">
        <v>12028</v>
      </c>
      <c r="G672">
        <v>0.72725579303341625</v>
      </c>
      <c r="H672">
        <v>0</v>
      </c>
      <c r="I672">
        <v>0</v>
      </c>
      <c r="J672">
        <v>0.65352389324352778</v>
      </c>
      <c r="K672">
        <v>0</v>
      </c>
      <c r="L672">
        <v>0</v>
      </c>
      <c r="M672">
        <v>0.47185514462032901</v>
      </c>
      <c r="N672">
        <v>0</v>
      </c>
      <c r="O672">
        <v>0</v>
      </c>
      <c r="P672">
        <v>0.52890098850066314</v>
      </c>
      <c r="Q672">
        <v>1.2274129028705201</v>
      </c>
      <c r="R672">
        <v>6.7442793482567538</v>
      </c>
      <c r="S672">
        <v>0.23797262535764099</v>
      </c>
      <c r="T672">
        <v>0.18192015277019499</v>
      </c>
      <c r="U672">
        <v>4.2558177004489526</v>
      </c>
      <c r="V672">
        <v>0.20544021673558341</v>
      </c>
      <c r="W672">
        <v>11.96792490605254</v>
      </c>
      <c r="X672">
        <v>0.34672803600229962</v>
      </c>
      <c r="Z672" t="s">
        <v>392</v>
      </c>
      <c r="AA672">
        <v>114</v>
      </c>
      <c r="AB672" t="s">
        <v>4105</v>
      </c>
      <c r="AC672" t="str">
        <f>HYPERLINK("plots/3FT6Y578R04_015_S21P_20251218081014_M5358ACSC201811_RBGEUFRF04/dpll_52084/txpa_55253.png","plot")</f>
        <v>plot</v>
      </c>
    </row>
    <row r="673" spans="1:29" x14ac:dyDescent="0.35">
      <c r="A673" t="s">
        <v>49</v>
      </c>
      <c r="B673">
        <v>52084</v>
      </c>
      <c r="C673" t="s">
        <v>52</v>
      </c>
      <c r="D673">
        <v>55254</v>
      </c>
      <c r="E673" t="s">
        <v>387</v>
      </c>
      <c r="F673">
        <v>12027</v>
      </c>
      <c r="G673">
        <v>0.74178925571725707</v>
      </c>
      <c r="H673">
        <v>0</v>
      </c>
      <c r="I673">
        <v>0</v>
      </c>
      <c r="J673">
        <v>0.66479659626740228</v>
      </c>
      <c r="K673">
        <v>0</v>
      </c>
      <c r="L673">
        <v>0</v>
      </c>
      <c r="M673">
        <v>0.48233040391613108</v>
      </c>
      <c r="N673">
        <v>0</v>
      </c>
      <c r="O673">
        <v>0</v>
      </c>
      <c r="P673">
        <v>0.55025129989756216</v>
      </c>
      <c r="Q673">
        <v>1.260326753781768</v>
      </c>
      <c r="R673">
        <v>6.6004050550063571</v>
      </c>
      <c r="S673">
        <v>0.23408302973928369</v>
      </c>
      <c r="T673">
        <v>0.180764794798211</v>
      </c>
      <c r="U673">
        <v>4.2558247893905383</v>
      </c>
      <c r="V673">
        <v>0.20544728689892131</v>
      </c>
      <c r="W673">
        <v>11.964134896482911</v>
      </c>
      <c r="X673">
        <v>0.34906236532129542</v>
      </c>
      <c r="Z673" t="s">
        <v>392</v>
      </c>
      <c r="AA673">
        <v>114</v>
      </c>
      <c r="AB673" t="s">
        <v>4106</v>
      </c>
      <c r="AC673" t="str">
        <f>HYPERLINK("plots/3FT6Y578R04_015_S21P_20251218081014_M5358ACSC201811_RBGEUFRF04/dpll_52084/txpa_55254.png","plot")</f>
        <v>plot</v>
      </c>
    </row>
    <row r="674" spans="1:29" x14ac:dyDescent="0.35">
      <c r="A674" t="s">
        <v>49</v>
      </c>
      <c r="B674">
        <v>52084</v>
      </c>
      <c r="C674" t="s">
        <v>52</v>
      </c>
      <c r="D674">
        <v>55255</v>
      </c>
      <c r="E674" t="s">
        <v>388</v>
      </c>
      <c r="F674">
        <v>12027</v>
      </c>
      <c r="G674">
        <v>0.74137135153113642</v>
      </c>
      <c r="H674">
        <v>0</v>
      </c>
      <c r="I674">
        <v>0</v>
      </c>
      <c r="J674">
        <v>0.65790401360770057</v>
      </c>
      <c r="K674">
        <v>0</v>
      </c>
      <c r="L674">
        <v>0</v>
      </c>
      <c r="M674">
        <v>0.47444791442932421</v>
      </c>
      <c r="N674">
        <v>0</v>
      </c>
      <c r="O674">
        <v>0</v>
      </c>
      <c r="P674">
        <v>0.54963148087110381</v>
      </c>
      <c r="Q674">
        <v>1.255384793386658</v>
      </c>
      <c r="R674">
        <v>6.6044767803554221</v>
      </c>
      <c r="S674">
        <v>0.23343726317556909</v>
      </c>
      <c r="T674">
        <v>0.18107101034743661</v>
      </c>
      <c r="U674">
        <v>4.2557921641307059</v>
      </c>
      <c r="V674">
        <v>0.20542966688110781</v>
      </c>
      <c r="W674">
        <v>11.947133547019209</v>
      </c>
      <c r="X674">
        <v>0.34785978630062903</v>
      </c>
      <c r="Z674" t="s">
        <v>392</v>
      </c>
      <c r="AA674">
        <v>114</v>
      </c>
      <c r="AB674" t="s">
        <v>4107</v>
      </c>
      <c r="AC674" t="str">
        <f>HYPERLINK("plots/3FT6Y578R04_015_S21P_20251218081014_M5358ACSC201811_RBGEUFRF04/dpll_52084/txpa_55255.png","plot")</f>
        <v>plot</v>
      </c>
    </row>
    <row r="675" spans="1:29" x14ac:dyDescent="0.35">
      <c r="A675" t="s">
        <v>49</v>
      </c>
      <c r="B675">
        <v>52084</v>
      </c>
      <c r="C675" t="s">
        <v>52</v>
      </c>
      <c r="D675">
        <v>55256</v>
      </c>
      <c r="E675" t="s">
        <v>389</v>
      </c>
      <c r="F675">
        <v>12027</v>
      </c>
      <c r="G675">
        <v>0.7462822896232929</v>
      </c>
      <c r="H675">
        <v>0</v>
      </c>
      <c r="I675">
        <v>0</v>
      </c>
      <c r="J675">
        <v>0.67016032361970235</v>
      </c>
      <c r="K675">
        <v>0</v>
      </c>
      <c r="L675">
        <v>0</v>
      </c>
      <c r="M675">
        <v>0.48689842405803019</v>
      </c>
      <c r="N675">
        <v>0</v>
      </c>
      <c r="O675">
        <v>0</v>
      </c>
      <c r="P675">
        <v>0.55693725580538445</v>
      </c>
      <c r="Q675">
        <v>1.274201842235376</v>
      </c>
      <c r="R675">
        <v>6.5406768672571429</v>
      </c>
      <c r="S675">
        <v>0.23345288572683981</v>
      </c>
      <c r="T675">
        <v>0.18091859630899251</v>
      </c>
      <c r="U675">
        <v>4.2557881821734433</v>
      </c>
      <c r="V675">
        <v>0.20542324838451659</v>
      </c>
      <c r="W675">
        <v>11.96341000914609</v>
      </c>
      <c r="X675">
        <v>0.35073950590687669</v>
      </c>
      <c r="Z675" t="s">
        <v>392</v>
      </c>
      <c r="AA675">
        <v>114</v>
      </c>
      <c r="AB675" t="s">
        <v>4108</v>
      </c>
      <c r="AC675" t="str">
        <f>HYPERLINK("plots/3FT6Y578R04_015_S21P_20251218081014_M5358ACSC201811_RBGEUFRF04/dpll_52084/txpa_55256.png","plot")</f>
        <v>plot</v>
      </c>
    </row>
    <row r="676" spans="1:29" x14ac:dyDescent="0.35">
      <c r="A676" t="s">
        <v>49</v>
      </c>
      <c r="B676">
        <v>52084</v>
      </c>
      <c r="C676" t="s">
        <v>52</v>
      </c>
      <c r="D676">
        <v>55257</v>
      </c>
      <c r="E676" t="s">
        <v>390</v>
      </c>
      <c r="F676">
        <v>12028</v>
      </c>
      <c r="G676">
        <v>0.74454134518023707</v>
      </c>
      <c r="H676">
        <v>0</v>
      </c>
      <c r="I676">
        <v>0</v>
      </c>
      <c r="J676">
        <v>0.66396247307657574</v>
      </c>
      <c r="K676">
        <v>0</v>
      </c>
      <c r="L676">
        <v>0</v>
      </c>
      <c r="M676">
        <v>0.48052336434282372</v>
      </c>
      <c r="N676">
        <v>0</v>
      </c>
      <c r="O676">
        <v>0</v>
      </c>
      <c r="P676">
        <v>0.55434181468279697</v>
      </c>
      <c r="Q676">
        <v>1.2543789356799799</v>
      </c>
      <c r="R676">
        <v>6.6338122924328928</v>
      </c>
      <c r="S676">
        <v>0.23105123113501169</v>
      </c>
      <c r="T676">
        <v>0.17930641489126861</v>
      </c>
      <c r="U676">
        <v>4.2558177004489526</v>
      </c>
      <c r="V676">
        <v>0.20544021673558341</v>
      </c>
      <c r="W676">
        <v>11.972220369970071</v>
      </c>
      <c r="X676">
        <v>0.3461189658342777</v>
      </c>
      <c r="Z676" t="s">
        <v>392</v>
      </c>
      <c r="AA676">
        <v>114</v>
      </c>
      <c r="AB676" t="s">
        <v>4109</v>
      </c>
      <c r="AC676" t="str">
        <f>HYPERLINK("plots/3FT6Y578R04_015_S21P_20251218081014_M5358ACSC201811_RBGEUFRF04/dpll_52084/txpa_55257.png","plot")</f>
        <v>plot</v>
      </c>
    </row>
    <row r="677" spans="1:29" x14ac:dyDescent="0.35">
      <c r="A677" t="s">
        <v>49</v>
      </c>
      <c r="B677">
        <v>52084</v>
      </c>
      <c r="C677" t="s">
        <v>52</v>
      </c>
      <c r="D677">
        <v>55258</v>
      </c>
      <c r="E677" t="s">
        <v>391</v>
      </c>
      <c r="F677">
        <v>12027</v>
      </c>
      <c r="G677">
        <v>0.73610991074699561</v>
      </c>
      <c r="H677">
        <v>0</v>
      </c>
      <c r="I677">
        <v>0</v>
      </c>
      <c r="J677">
        <v>0.65619282123753642</v>
      </c>
      <c r="K677">
        <v>0</v>
      </c>
      <c r="L677">
        <v>0</v>
      </c>
      <c r="M677">
        <v>0.47499625212516228</v>
      </c>
      <c r="N677">
        <v>0</v>
      </c>
      <c r="O677">
        <v>0</v>
      </c>
      <c r="P677">
        <v>0.54185780069994982</v>
      </c>
      <c r="Q677">
        <v>1.2506225909138049</v>
      </c>
      <c r="R677">
        <v>6.6204751927237648</v>
      </c>
      <c r="S677">
        <v>0.23623157157097571</v>
      </c>
      <c r="T677">
        <v>0.18181156235195231</v>
      </c>
      <c r="U677">
        <v>4.2558401814251274</v>
      </c>
      <c r="V677">
        <v>0.20543396214013371</v>
      </c>
      <c r="W677">
        <v>11.942925066932739</v>
      </c>
      <c r="X677">
        <v>0.34902444627143109</v>
      </c>
      <c r="Z677" t="s">
        <v>392</v>
      </c>
      <c r="AA677">
        <v>114</v>
      </c>
      <c r="AB677" t="s">
        <v>4110</v>
      </c>
      <c r="AC677" t="str">
        <f>HYPERLINK("plots/3FT6Y578R04_015_S21P_20251218081014_M5358ACSC201811_RBGEUFRF04/dpll_52084/txpa_55258.png","plot")</f>
        <v>plot</v>
      </c>
    </row>
    <row r="678" spans="1:29" x14ac:dyDescent="0.35">
      <c r="A678" t="s">
        <v>49</v>
      </c>
      <c r="B678">
        <v>52094</v>
      </c>
      <c r="C678" t="s">
        <v>53</v>
      </c>
      <c r="D678">
        <v>53179</v>
      </c>
      <c r="E678" t="s">
        <v>54</v>
      </c>
      <c r="F678">
        <v>12028</v>
      </c>
      <c r="G678">
        <v>0.30408323034190582</v>
      </c>
      <c r="H678">
        <v>1.0148712267703021E-255</v>
      </c>
      <c r="I678">
        <v>1.0809657814549229E-255</v>
      </c>
      <c r="J678">
        <v>0.28126085359821679</v>
      </c>
      <c r="K678">
        <v>1.5856162445078589E-217</v>
      </c>
      <c r="L678">
        <v>1.694220096871411E-217</v>
      </c>
      <c r="M678">
        <v>0.19001590833834561</v>
      </c>
      <c r="N678">
        <v>3.8103618457678377E-214</v>
      </c>
      <c r="O678">
        <v>4.0713455338341276E-214</v>
      </c>
      <c r="P678">
        <v>9.246661097516852E-2</v>
      </c>
      <c r="Q678">
        <v>1.467487138717557</v>
      </c>
      <c r="R678">
        <v>-27.072146504087939</v>
      </c>
      <c r="S678">
        <v>1.094611265731207</v>
      </c>
      <c r="T678">
        <v>0.82699772273563177</v>
      </c>
      <c r="U678">
        <v>4.2436712643831056</v>
      </c>
      <c r="V678">
        <v>0.23810297856178911</v>
      </c>
      <c r="W678">
        <v>-20.844613502660462</v>
      </c>
      <c r="X678">
        <v>1.149070464480707</v>
      </c>
      <c r="Z678" t="s">
        <v>392</v>
      </c>
      <c r="AA678">
        <v>114</v>
      </c>
      <c r="AB678" t="s">
        <v>4111</v>
      </c>
      <c r="AC678" t="str">
        <f>HYPERLINK("plots/3FT6Y578R04_015_S21P_20251218081014_M5358ACSC201811_RBGEUFRF04/dpll_52094/txpa_53179.png","plot")</f>
        <v>plot</v>
      </c>
    </row>
    <row r="679" spans="1:29" x14ac:dyDescent="0.35">
      <c r="A679" t="s">
        <v>49</v>
      </c>
      <c r="B679">
        <v>52094</v>
      </c>
      <c r="C679" t="s">
        <v>53</v>
      </c>
      <c r="D679">
        <v>53180</v>
      </c>
      <c r="E679" t="s">
        <v>55</v>
      </c>
      <c r="F679">
        <v>12028</v>
      </c>
      <c r="G679">
        <v>0.32072508576928038</v>
      </c>
      <c r="H679">
        <v>7.7731362578201024E-286</v>
      </c>
      <c r="I679">
        <v>8.4029426070677866E-286</v>
      </c>
      <c r="J679">
        <v>0.29391774195540948</v>
      </c>
      <c r="K679">
        <v>2.8508229764005189E-238</v>
      </c>
      <c r="L679">
        <v>3.0850955155497609E-238</v>
      </c>
      <c r="M679">
        <v>0.1989204388123724</v>
      </c>
      <c r="N679">
        <v>1.6243366526708739E-234</v>
      </c>
      <c r="O679">
        <v>1.7578200275435069E-234</v>
      </c>
      <c r="P679">
        <v>0.10286458064171231</v>
      </c>
      <c r="Q679">
        <v>1.520085123312322</v>
      </c>
      <c r="R679">
        <v>-27.22952101930521</v>
      </c>
      <c r="S679">
        <v>1.068835215689677</v>
      </c>
      <c r="T679">
        <v>0.81023863148560871</v>
      </c>
      <c r="U679">
        <v>4.2436712643831056</v>
      </c>
      <c r="V679">
        <v>0.23810297856178911</v>
      </c>
      <c r="W679">
        <v>-20.778779462088458</v>
      </c>
      <c r="X679">
        <v>1.128495436083518</v>
      </c>
      <c r="Z679" t="s">
        <v>392</v>
      </c>
      <c r="AA679">
        <v>114</v>
      </c>
      <c r="AB679" t="s">
        <v>4112</v>
      </c>
      <c r="AC679" t="str">
        <f>HYPERLINK("plots/3FT6Y578R04_015_S21P_20251218081014_M5358ACSC201811_RBGEUFRF04/dpll_52094/txpa_53180.png","plot")</f>
        <v>plot</v>
      </c>
    </row>
    <row r="680" spans="1:29" x14ac:dyDescent="0.35">
      <c r="A680" t="s">
        <v>49</v>
      </c>
      <c r="B680">
        <v>52094</v>
      </c>
      <c r="C680" t="s">
        <v>53</v>
      </c>
      <c r="D680">
        <v>53181</v>
      </c>
      <c r="E680" t="s">
        <v>56</v>
      </c>
      <c r="F680">
        <v>12028</v>
      </c>
      <c r="G680">
        <v>0.29880910886078049</v>
      </c>
      <c r="H680">
        <v>1.404813996505971E-246</v>
      </c>
      <c r="I680">
        <v>1.491603552311052E-246</v>
      </c>
      <c r="J680">
        <v>0.26879780289610122</v>
      </c>
      <c r="K680">
        <v>3.8726193782951532E-198</v>
      </c>
      <c r="L680">
        <v>4.1032769588205703E-198</v>
      </c>
      <c r="M680">
        <v>0.18206966731779661</v>
      </c>
      <c r="N680">
        <v>8.3281207395228864E-197</v>
      </c>
      <c r="O680">
        <v>8.824153009275033E-197</v>
      </c>
      <c r="P680">
        <v>8.9286883538173767E-2</v>
      </c>
      <c r="Q680">
        <v>1.405221586243246</v>
      </c>
      <c r="R680">
        <v>-26.68104327357943</v>
      </c>
      <c r="S680">
        <v>1.0685345028238999</v>
      </c>
      <c r="T680">
        <v>0.80495541187839514</v>
      </c>
      <c r="U680">
        <v>4.2436712643831056</v>
      </c>
      <c r="V680">
        <v>0.23810297856178911</v>
      </c>
      <c r="W680">
        <v>-20.717744807948119</v>
      </c>
      <c r="X680">
        <v>1.119736431394158</v>
      </c>
      <c r="Z680" t="s">
        <v>392</v>
      </c>
      <c r="AA680">
        <v>114</v>
      </c>
      <c r="AB680" t="s">
        <v>4113</v>
      </c>
      <c r="AC680" t="str">
        <f>HYPERLINK("plots/3FT6Y578R04_015_S21P_20251218081014_M5358ACSC201811_RBGEUFRF04/dpll_52094/txpa_53181.png","plot")</f>
        <v>plot</v>
      </c>
    </row>
    <row r="681" spans="1:29" x14ac:dyDescent="0.35">
      <c r="A681" t="s">
        <v>49</v>
      </c>
      <c r="B681">
        <v>52094</v>
      </c>
      <c r="C681" t="s">
        <v>53</v>
      </c>
      <c r="D681">
        <v>53182</v>
      </c>
      <c r="E681" t="s">
        <v>57</v>
      </c>
      <c r="F681">
        <v>12028</v>
      </c>
      <c r="G681">
        <v>0.31015951690059229</v>
      </c>
      <c r="H681">
        <v>1.7219181570609099E-266</v>
      </c>
      <c r="I681">
        <v>1.8456924009088401E-266</v>
      </c>
      <c r="J681">
        <v>0.28044721101792242</v>
      </c>
      <c r="K681">
        <v>3.1415934049189578E-216</v>
      </c>
      <c r="L681">
        <v>3.3497115800082269E-216</v>
      </c>
      <c r="M681">
        <v>0.18971373640830719</v>
      </c>
      <c r="N681">
        <v>1.575476242313051E-213</v>
      </c>
      <c r="O681">
        <v>1.6798453309205399E-213</v>
      </c>
      <c r="P681">
        <v>9.6198925924008791E-2</v>
      </c>
      <c r="Q681">
        <v>1.4554209123188899</v>
      </c>
      <c r="R681">
        <v>-26.77989792646893</v>
      </c>
      <c r="S681">
        <v>1.062152070093549</v>
      </c>
      <c r="T681">
        <v>0.79191978342082425</v>
      </c>
      <c r="U681">
        <v>4.2436712643831056</v>
      </c>
      <c r="V681">
        <v>0.23810297856178911</v>
      </c>
      <c r="W681">
        <v>-20.603570023279019</v>
      </c>
      <c r="X681">
        <v>1.1172962150160679</v>
      </c>
      <c r="Z681" t="s">
        <v>392</v>
      </c>
      <c r="AA681">
        <v>114</v>
      </c>
      <c r="AB681" t="s">
        <v>4114</v>
      </c>
      <c r="AC681" t="str">
        <f>HYPERLINK("plots/3FT6Y578R04_015_S21P_20251218081014_M5358ACSC201811_RBGEUFRF04/dpll_52094/txpa_53182.png","plot")</f>
        <v>plot</v>
      </c>
    </row>
    <row r="682" spans="1:29" x14ac:dyDescent="0.35">
      <c r="A682" t="s">
        <v>49</v>
      </c>
      <c r="B682">
        <v>52094</v>
      </c>
      <c r="C682" t="s">
        <v>53</v>
      </c>
      <c r="D682">
        <v>53183</v>
      </c>
      <c r="E682" t="s">
        <v>58</v>
      </c>
      <c r="F682">
        <v>12028</v>
      </c>
      <c r="G682">
        <v>0.32201527590048512</v>
      </c>
      <c r="H682">
        <v>2.9778895129932849E-288</v>
      </c>
      <c r="I682">
        <v>3.222604019397216E-288</v>
      </c>
      <c r="J682">
        <v>0.28822039638231223</v>
      </c>
      <c r="K682">
        <v>8.4405789769754536E-229</v>
      </c>
      <c r="L682">
        <v>9.0857187713939587E-229</v>
      </c>
      <c r="M682">
        <v>0.19523991450105091</v>
      </c>
      <c r="N682">
        <v>5.0793859931114492E-226</v>
      </c>
      <c r="O682">
        <v>5.4676193174257E-226</v>
      </c>
      <c r="P682">
        <v>0.1036938379132656</v>
      </c>
      <c r="Q682">
        <v>1.5071032329493099</v>
      </c>
      <c r="R682">
        <v>-27.03066393869387</v>
      </c>
      <c r="S682">
        <v>1.0549733578648119</v>
      </c>
      <c r="T682">
        <v>0.79182548170008882</v>
      </c>
      <c r="U682">
        <v>4.2436712643831056</v>
      </c>
      <c r="V682">
        <v>0.23810297856178911</v>
      </c>
      <c r="W682">
        <v>-20.635013256568008</v>
      </c>
      <c r="X682">
        <v>1.114374986596069</v>
      </c>
      <c r="Z682" t="s">
        <v>392</v>
      </c>
      <c r="AA682">
        <v>114</v>
      </c>
      <c r="AB682" t="s">
        <v>4115</v>
      </c>
      <c r="AC682" t="str">
        <f>HYPERLINK("plots/3FT6Y578R04_015_S21P_20251218081014_M5358ACSC201811_RBGEUFRF04/dpll_52094/txpa_53183.png","plot")</f>
        <v>plot</v>
      </c>
    </row>
    <row r="683" spans="1:29" x14ac:dyDescent="0.35">
      <c r="A683" t="s">
        <v>49</v>
      </c>
      <c r="B683">
        <v>52094</v>
      </c>
      <c r="C683" t="s">
        <v>53</v>
      </c>
      <c r="D683">
        <v>53184</v>
      </c>
      <c r="E683" t="s">
        <v>59</v>
      </c>
      <c r="F683">
        <v>12028</v>
      </c>
      <c r="G683">
        <v>0.31383383240215712</v>
      </c>
      <c r="H683">
        <v>3.961856844443599E-273</v>
      </c>
      <c r="I683">
        <v>4.2601514743009636E-273</v>
      </c>
      <c r="J683">
        <v>0.28553545153644888</v>
      </c>
      <c r="K683">
        <v>2.0610926472508419E-224</v>
      </c>
      <c r="L683">
        <v>2.2139279071105438E-224</v>
      </c>
      <c r="M683">
        <v>0.19307802752842651</v>
      </c>
      <c r="N683">
        <v>4.6703225598108337E-221</v>
      </c>
      <c r="O683">
        <v>5.011330238781148E-221</v>
      </c>
      <c r="P683">
        <v>9.849167436022524E-2</v>
      </c>
      <c r="Q683">
        <v>1.4942469670741629</v>
      </c>
      <c r="R683">
        <v>-27.086799706054261</v>
      </c>
      <c r="S683">
        <v>1.0763518651667729</v>
      </c>
      <c r="T683">
        <v>0.80935673374832684</v>
      </c>
      <c r="U683">
        <v>4.2436712643831056</v>
      </c>
      <c r="V683">
        <v>0.23810297856178911</v>
      </c>
      <c r="W683">
        <v>-20.74570678999002</v>
      </c>
      <c r="X683">
        <v>1.1336720800431841</v>
      </c>
      <c r="Z683" t="s">
        <v>392</v>
      </c>
      <c r="AA683">
        <v>114</v>
      </c>
      <c r="AB683" t="s">
        <v>4116</v>
      </c>
      <c r="AC683" t="str">
        <f>HYPERLINK("plots/3FT6Y578R04_015_S21P_20251218081014_M5358ACSC201811_RBGEUFRF04/dpll_52094/txpa_53184.png","plot")</f>
        <v>plot</v>
      </c>
    </row>
    <row r="684" spans="1:29" x14ac:dyDescent="0.35">
      <c r="A684" t="s">
        <v>49</v>
      </c>
      <c r="B684">
        <v>52094</v>
      </c>
      <c r="C684" t="s">
        <v>53</v>
      </c>
      <c r="D684">
        <v>53185</v>
      </c>
      <c r="E684" t="s">
        <v>60</v>
      </c>
      <c r="F684">
        <v>12028</v>
      </c>
      <c r="G684">
        <v>0.30938903310528992</v>
      </c>
      <c r="H684">
        <v>4.1302091524488428E-265</v>
      </c>
      <c r="I684">
        <v>4.4224203596442737E-265</v>
      </c>
      <c r="J684">
        <v>0.27830479322197899</v>
      </c>
      <c r="K684">
        <v>7.7839042477929057E-213</v>
      </c>
      <c r="L684">
        <v>8.2821394619748232E-213</v>
      </c>
      <c r="M684">
        <v>0.18869014576388721</v>
      </c>
      <c r="N684">
        <v>3.13920979832931E-211</v>
      </c>
      <c r="O684">
        <v>3.3401455776557402E-211</v>
      </c>
      <c r="P684">
        <v>9.5721573805826146E-2</v>
      </c>
      <c r="Q684">
        <v>1.457543367259355</v>
      </c>
      <c r="R684">
        <v>-26.912418173269629</v>
      </c>
      <c r="S684">
        <v>1.066631558867204</v>
      </c>
      <c r="T684">
        <v>0.79969151672275429</v>
      </c>
      <c r="U684">
        <v>4.2436712643831056</v>
      </c>
      <c r="V684">
        <v>0.23810297856178911</v>
      </c>
      <c r="W684">
        <v>-20.727083269038911</v>
      </c>
      <c r="X684">
        <v>1.12171208411685</v>
      </c>
      <c r="Z684" t="s">
        <v>392</v>
      </c>
      <c r="AA684">
        <v>114</v>
      </c>
      <c r="AB684" t="s">
        <v>4117</v>
      </c>
      <c r="AC684" t="str">
        <f>HYPERLINK("plots/3FT6Y578R04_015_S21P_20251218081014_M5358ACSC201811_RBGEUFRF04/dpll_52094/txpa_53185.png","plot")</f>
        <v>plot</v>
      </c>
    </row>
    <row r="685" spans="1:29" x14ac:dyDescent="0.35">
      <c r="A685" t="s">
        <v>49</v>
      </c>
      <c r="B685">
        <v>52094</v>
      </c>
      <c r="C685" t="s">
        <v>53</v>
      </c>
      <c r="D685">
        <v>53186</v>
      </c>
      <c r="E685" t="s">
        <v>61</v>
      </c>
      <c r="F685">
        <v>12028</v>
      </c>
      <c r="G685">
        <v>0.28871996444862891</v>
      </c>
      <c r="H685">
        <v>1.272446640205609E-229</v>
      </c>
      <c r="I685">
        <v>1.3468276546643921E-229</v>
      </c>
      <c r="J685">
        <v>0.26347070621991148</v>
      </c>
      <c r="K685">
        <v>3.6786096814291071E-190</v>
      </c>
      <c r="L685">
        <v>3.873427016582673E-190</v>
      </c>
      <c r="M685">
        <v>0.1786113837788087</v>
      </c>
      <c r="N685">
        <v>2.0187566823680038E-189</v>
      </c>
      <c r="O685">
        <v>2.1256690300323531E-189</v>
      </c>
      <c r="P685">
        <v>8.3359217871217514E-2</v>
      </c>
      <c r="Q685">
        <v>1.394335045105106</v>
      </c>
      <c r="R685">
        <v>-26.814534344346999</v>
      </c>
      <c r="S685">
        <v>1.1008716536784651</v>
      </c>
      <c r="T685">
        <v>0.83546196188574839</v>
      </c>
      <c r="U685">
        <v>4.2436712643831056</v>
      </c>
      <c r="V685">
        <v>0.23810297856178911</v>
      </c>
      <c r="W685">
        <v>-20.897434780512139</v>
      </c>
      <c r="X685">
        <v>1.14988697780781</v>
      </c>
      <c r="Z685" t="s">
        <v>392</v>
      </c>
      <c r="AA685">
        <v>114</v>
      </c>
      <c r="AB685" t="s">
        <v>4118</v>
      </c>
      <c r="AC685" t="str">
        <f>HYPERLINK("plots/3FT6Y578R04_015_S21P_20251218081014_M5358ACSC201811_RBGEUFRF04/dpll_52094/txpa_53186.png","plot")</f>
        <v>plot</v>
      </c>
    </row>
    <row r="686" spans="1:29" x14ac:dyDescent="0.35">
      <c r="A686" t="s">
        <v>49</v>
      </c>
      <c r="B686">
        <v>52094</v>
      </c>
      <c r="C686" t="s">
        <v>53</v>
      </c>
      <c r="D686">
        <v>53187</v>
      </c>
      <c r="E686" t="s">
        <v>62</v>
      </c>
      <c r="F686">
        <v>12028</v>
      </c>
      <c r="G686">
        <v>0.59761709851695577</v>
      </c>
      <c r="H686">
        <v>0</v>
      </c>
      <c r="I686">
        <v>0</v>
      </c>
      <c r="J686">
        <v>0.50223130521118498</v>
      </c>
      <c r="K686">
        <v>0</v>
      </c>
      <c r="L686">
        <v>0</v>
      </c>
      <c r="M686">
        <v>0.34859568989690171</v>
      </c>
      <c r="N686">
        <v>0</v>
      </c>
      <c r="O686">
        <v>0</v>
      </c>
      <c r="P686">
        <v>0.35714619643982481</v>
      </c>
      <c r="Q686">
        <v>0.79534876380608177</v>
      </c>
      <c r="R686">
        <v>-14.76575848794093</v>
      </c>
      <c r="S686">
        <v>0.25406069318676278</v>
      </c>
      <c r="T686">
        <v>0.19867214518731599</v>
      </c>
      <c r="U686">
        <v>4.2436712643831056</v>
      </c>
      <c r="V686">
        <v>0.23810297856178911</v>
      </c>
      <c r="W686">
        <v>-11.390559793814431</v>
      </c>
      <c r="X686">
        <v>0.31688335244693783</v>
      </c>
      <c r="Z686" t="s">
        <v>392</v>
      </c>
      <c r="AA686">
        <v>114</v>
      </c>
      <c r="AB686" t="s">
        <v>4119</v>
      </c>
      <c r="AC686" t="str">
        <f>HYPERLINK("plots/3FT6Y578R04_015_S21P_20251218081014_M5358ACSC201811_RBGEUFRF04/dpll_52094/txpa_53187.png","plot")</f>
        <v>plot</v>
      </c>
    </row>
    <row r="687" spans="1:29" x14ac:dyDescent="0.35">
      <c r="A687" t="s">
        <v>49</v>
      </c>
      <c r="B687">
        <v>52094</v>
      </c>
      <c r="C687" t="s">
        <v>53</v>
      </c>
      <c r="D687">
        <v>53188</v>
      </c>
      <c r="E687" t="s">
        <v>63</v>
      </c>
      <c r="F687">
        <v>12028</v>
      </c>
      <c r="G687">
        <v>0.62182571752084681</v>
      </c>
      <c r="H687">
        <v>0</v>
      </c>
      <c r="I687">
        <v>0</v>
      </c>
      <c r="J687">
        <v>0.52040979783543828</v>
      </c>
      <c r="K687">
        <v>0</v>
      </c>
      <c r="L687">
        <v>0</v>
      </c>
      <c r="M687">
        <v>0.36451901144165533</v>
      </c>
      <c r="N687">
        <v>0</v>
      </c>
      <c r="O687">
        <v>0</v>
      </c>
      <c r="P687">
        <v>0.38666722297031603</v>
      </c>
      <c r="Q687">
        <v>0.82296052300856082</v>
      </c>
      <c r="R687">
        <v>-14.81976112058592</v>
      </c>
      <c r="S687">
        <v>0.2467772864223661</v>
      </c>
      <c r="T687">
        <v>0.19311344084536691</v>
      </c>
      <c r="U687">
        <v>4.2436712643831056</v>
      </c>
      <c r="V687">
        <v>0.23810297856178911</v>
      </c>
      <c r="W687">
        <v>-11.327387197372801</v>
      </c>
      <c r="X687">
        <v>0.31511940765064428</v>
      </c>
      <c r="Z687" t="s">
        <v>392</v>
      </c>
      <c r="AA687">
        <v>114</v>
      </c>
      <c r="AB687" t="s">
        <v>4120</v>
      </c>
      <c r="AC687" t="str">
        <f>HYPERLINK("plots/3FT6Y578R04_015_S21P_20251218081014_M5358ACSC201811_RBGEUFRF04/dpll_52094/txpa_53188.png","plot")</f>
        <v>plot</v>
      </c>
    </row>
    <row r="688" spans="1:29" x14ac:dyDescent="0.35">
      <c r="A688" t="s">
        <v>49</v>
      </c>
      <c r="B688">
        <v>52094</v>
      </c>
      <c r="C688" t="s">
        <v>53</v>
      </c>
      <c r="D688">
        <v>53189</v>
      </c>
      <c r="E688" t="s">
        <v>64</v>
      </c>
      <c r="F688">
        <v>12028</v>
      </c>
      <c r="G688">
        <v>0.60229511543074443</v>
      </c>
      <c r="H688">
        <v>0</v>
      </c>
      <c r="I688">
        <v>0</v>
      </c>
      <c r="J688">
        <v>0.49856423469618921</v>
      </c>
      <c r="K688">
        <v>0</v>
      </c>
      <c r="L688">
        <v>0</v>
      </c>
      <c r="M688">
        <v>0.34699335602753462</v>
      </c>
      <c r="N688">
        <v>0</v>
      </c>
      <c r="O688">
        <v>0</v>
      </c>
      <c r="P688">
        <v>0.36275940607173368</v>
      </c>
      <c r="Q688">
        <v>0.78129147539939137</v>
      </c>
      <c r="R688">
        <v>-14.617759872485021</v>
      </c>
      <c r="S688">
        <v>0.2465484267519456</v>
      </c>
      <c r="T688">
        <v>0.19340208739167769</v>
      </c>
      <c r="U688">
        <v>4.2436712643831056</v>
      </c>
      <c r="V688">
        <v>0.23810297856178911</v>
      </c>
      <c r="W688">
        <v>-11.30221568922514</v>
      </c>
      <c r="X688">
        <v>0.308864911322563</v>
      </c>
      <c r="Z688" t="s">
        <v>392</v>
      </c>
      <c r="AA688">
        <v>114</v>
      </c>
      <c r="AB688" t="s">
        <v>4121</v>
      </c>
      <c r="AC688" t="str">
        <f>HYPERLINK("plots/3FT6Y578R04_015_S21P_20251218081014_M5358ACSC201811_RBGEUFRF04/dpll_52094/txpa_53189.png","plot")</f>
        <v>plot</v>
      </c>
    </row>
    <row r="689" spans="1:29" x14ac:dyDescent="0.35">
      <c r="A689" t="s">
        <v>49</v>
      </c>
      <c r="B689">
        <v>52094</v>
      </c>
      <c r="C689" t="s">
        <v>53</v>
      </c>
      <c r="D689">
        <v>53190</v>
      </c>
      <c r="E689" t="s">
        <v>65</v>
      </c>
      <c r="F689">
        <v>12028</v>
      </c>
      <c r="G689">
        <v>0.62665457717125006</v>
      </c>
      <c r="H689">
        <v>0</v>
      </c>
      <c r="I689">
        <v>0</v>
      </c>
      <c r="J689">
        <v>0.51804805273135313</v>
      </c>
      <c r="K689">
        <v>0</v>
      </c>
      <c r="L689">
        <v>0</v>
      </c>
      <c r="M689">
        <v>0.36276308761397152</v>
      </c>
      <c r="N689">
        <v>0</v>
      </c>
      <c r="O689">
        <v>0</v>
      </c>
      <c r="P689">
        <v>0.39269595908967819</v>
      </c>
      <c r="Q689">
        <v>0.82564664133335608</v>
      </c>
      <c r="R689">
        <v>-14.761238559882569</v>
      </c>
      <c r="S689">
        <v>0.24446453380839181</v>
      </c>
      <c r="T689">
        <v>0.1916726620405704</v>
      </c>
      <c r="U689">
        <v>4.2436712643831056</v>
      </c>
      <c r="V689">
        <v>0.23810297856178911</v>
      </c>
      <c r="W689">
        <v>-11.257465633521781</v>
      </c>
      <c r="X689">
        <v>0.31371178269920458</v>
      </c>
      <c r="Z689" t="s">
        <v>392</v>
      </c>
      <c r="AA689">
        <v>114</v>
      </c>
      <c r="AB689" t="s">
        <v>4122</v>
      </c>
      <c r="AC689" t="str">
        <f>HYPERLINK("plots/3FT6Y578R04_015_S21P_20251218081014_M5358ACSC201811_RBGEUFRF04/dpll_52094/txpa_53190.png","plot")</f>
        <v>plot</v>
      </c>
    </row>
    <row r="690" spans="1:29" x14ac:dyDescent="0.35">
      <c r="A690" t="s">
        <v>49</v>
      </c>
      <c r="B690">
        <v>52094</v>
      </c>
      <c r="C690" t="s">
        <v>53</v>
      </c>
      <c r="D690">
        <v>53191</v>
      </c>
      <c r="E690" t="s">
        <v>66</v>
      </c>
      <c r="F690">
        <v>12027</v>
      </c>
      <c r="G690">
        <v>0.63388135777916466</v>
      </c>
      <c r="H690">
        <v>0</v>
      </c>
      <c r="I690">
        <v>0</v>
      </c>
      <c r="J690">
        <v>0.52297545028567016</v>
      </c>
      <c r="K690">
        <v>0</v>
      </c>
      <c r="L690">
        <v>0</v>
      </c>
      <c r="M690">
        <v>0.36622132606114421</v>
      </c>
      <c r="N690">
        <v>0</v>
      </c>
      <c r="O690">
        <v>0</v>
      </c>
      <c r="P690">
        <v>0.40180557573995729</v>
      </c>
      <c r="Q690">
        <v>0.83270186120565515</v>
      </c>
      <c r="R690">
        <v>-14.797640069928139</v>
      </c>
      <c r="S690">
        <v>0.241895459026154</v>
      </c>
      <c r="T690">
        <v>0.18991660901062979</v>
      </c>
      <c r="U690">
        <v>4.2436418554918101</v>
      </c>
      <c r="V690">
        <v>0.23809103076034549</v>
      </c>
      <c r="W690">
        <v>-11.263951598569889</v>
      </c>
      <c r="X690">
        <v>0.31276964059192802</v>
      </c>
      <c r="Z690" t="s">
        <v>392</v>
      </c>
      <c r="AA690">
        <v>114</v>
      </c>
      <c r="AB690" t="s">
        <v>4123</v>
      </c>
      <c r="AC690" t="str">
        <f>HYPERLINK("plots/3FT6Y578R04_015_S21P_20251218081014_M5358ACSC201811_RBGEUFRF04/dpll_52094/txpa_53191.png","plot")</f>
        <v>plot</v>
      </c>
    </row>
    <row r="691" spans="1:29" x14ac:dyDescent="0.35">
      <c r="A691" t="s">
        <v>49</v>
      </c>
      <c r="B691">
        <v>52094</v>
      </c>
      <c r="C691" t="s">
        <v>53</v>
      </c>
      <c r="D691">
        <v>53192</v>
      </c>
      <c r="E691" t="s">
        <v>67</v>
      </c>
      <c r="F691">
        <v>12027</v>
      </c>
      <c r="G691">
        <v>0.63432689911997719</v>
      </c>
      <c r="H691">
        <v>0</v>
      </c>
      <c r="I691">
        <v>0</v>
      </c>
      <c r="J691">
        <v>0.53080178344196638</v>
      </c>
      <c r="K691">
        <v>0</v>
      </c>
      <c r="L691">
        <v>0</v>
      </c>
      <c r="M691">
        <v>0.37245769501253179</v>
      </c>
      <c r="N691">
        <v>0</v>
      </c>
      <c r="O691">
        <v>0</v>
      </c>
      <c r="P691">
        <v>0.40237061494716581</v>
      </c>
      <c r="Q691">
        <v>0.82529330950609103</v>
      </c>
      <c r="R691">
        <v>-14.80943191997649</v>
      </c>
      <c r="S691">
        <v>0.23948348359760821</v>
      </c>
      <c r="T691">
        <v>0.18747089105056389</v>
      </c>
      <c r="U691">
        <v>4.2436743160389128</v>
      </c>
      <c r="V691">
        <v>0.2381126426370794</v>
      </c>
      <c r="W691">
        <v>-11.307155899226739</v>
      </c>
      <c r="X691">
        <v>0.30979731609967232</v>
      </c>
      <c r="Z691" t="s">
        <v>392</v>
      </c>
      <c r="AA691">
        <v>114</v>
      </c>
      <c r="AB691" t="s">
        <v>4124</v>
      </c>
      <c r="AC691" t="str">
        <f>HYPERLINK("plots/3FT6Y578R04_015_S21P_20251218081014_M5358ACSC201811_RBGEUFRF04/dpll_52094/txpa_53192.png","plot")</f>
        <v>plot</v>
      </c>
    </row>
    <row r="692" spans="1:29" x14ac:dyDescent="0.35">
      <c r="A692" t="s">
        <v>49</v>
      </c>
      <c r="B692">
        <v>52094</v>
      </c>
      <c r="C692" t="s">
        <v>53</v>
      </c>
      <c r="D692">
        <v>53193</v>
      </c>
      <c r="E692" t="s">
        <v>68</v>
      </c>
      <c r="F692">
        <v>12028</v>
      </c>
      <c r="G692">
        <v>0.63366688967010276</v>
      </c>
      <c r="H692">
        <v>0</v>
      </c>
      <c r="I692">
        <v>0</v>
      </c>
      <c r="J692">
        <v>0.53041352661265739</v>
      </c>
      <c r="K692">
        <v>0</v>
      </c>
      <c r="L692">
        <v>0</v>
      </c>
      <c r="M692">
        <v>0.3719685762560595</v>
      </c>
      <c r="N692">
        <v>0</v>
      </c>
      <c r="O692">
        <v>0</v>
      </c>
      <c r="P692">
        <v>0.40153372706418222</v>
      </c>
      <c r="Q692">
        <v>0.82024242634416034</v>
      </c>
      <c r="R692">
        <v>-14.77567270968251</v>
      </c>
      <c r="S692">
        <v>0.23842282434571241</v>
      </c>
      <c r="T692">
        <v>0.1867836055383994</v>
      </c>
      <c r="U692">
        <v>4.2436712643831056</v>
      </c>
      <c r="V692">
        <v>0.23810297856178911</v>
      </c>
      <c r="W692">
        <v>-11.294833495177921</v>
      </c>
      <c r="X692">
        <v>0.30820951518702661</v>
      </c>
      <c r="Z692" t="s">
        <v>392</v>
      </c>
      <c r="AA692">
        <v>114</v>
      </c>
      <c r="AB692" t="s">
        <v>4125</v>
      </c>
      <c r="AC692" t="str">
        <f>HYPERLINK("plots/3FT6Y578R04_015_S21P_20251218081014_M5358ACSC201811_RBGEUFRF04/dpll_52094/txpa_53193.png","plot")</f>
        <v>plot</v>
      </c>
    </row>
    <row r="693" spans="1:29" x14ac:dyDescent="0.35">
      <c r="A693" t="s">
        <v>49</v>
      </c>
      <c r="B693">
        <v>52094</v>
      </c>
      <c r="C693" t="s">
        <v>53</v>
      </c>
      <c r="D693">
        <v>53194</v>
      </c>
      <c r="E693" t="s">
        <v>69</v>
      </c>
      <c r="F693">
        <v>12027</v>
      </c>
      <c r="G693">
        <v>0.61699713846380677</v>
      </c>
      <c r="H693">
        <v>0</v>
      </c>
      <c r="I693">
        <v>0</v>
      </c>
      <c r="J693">
        <v>0.51294908755597435</v>
      </c>
      <c r="K693">
        <v>0</v>
      </c>
      <c r="L693">
        <v>0</v>
      </c>
      <c r="M693">
        <v>0.35827217532998429</v>
      </c>
      <c r="N693">
        <v>0</v>
      </c>
      <c r="O693">
        <v>0</v>
      </c>
      <c r="P693">
        <v>0.38068546887252602</v>
      </c>
      <c r="Q693">
        <v>0.8050928397207906</v>
      </c>
      <c r="R693">
        <v>-14.797382410338139</v>
      </c>
      <c r="S693">
        <v>0.2444876939095568</v>
      </c>
      <c r="T693">
        <v>0.19200303458373871</v>
      </c>
      <c r="U693">
        <v>4.2436951445081901</v>
      </c>
      <c r="V693">
        <v>0.2380984732054881</v>
      </c>
      <c r="W693">
        <v>-11.38081383553671</v>
      </c>
      <c r="X693">
        <v>0.31068438405316168</v>
      </c>
      <c r="Z693" t="s">
        <v>392</v>
      </c>
      <c r="AA693">
        <v>114</v>
      </c>
      <c r="AB693" t="s">
        <v>4126</v>
      </c>
      <c r="AC693" t="str">
        <f>HYPERLINK("plots/3FT6Y578R04_015_S21P_20251218081014_M5358ACSC201811_RBGEUFRF04/dpll_52094/txpa_53194.png","plot")</f>
        <v>plot</v>
      </c>
    </row>
    <row r="694" spans="1:29" x14ac:dyDescent="0.35">
      <c r="A694" t="s">
        <v>49</v>
      </c>
      <c r="B694">
        <v>52094</v>
      </c>
      <c r="C694" t="s">
        <v>53</v>
      </c>
      <c r="D694">
        <v>53195</v>
      </c>
      <c r="E694" t="s">
        <v>70</v>
      </c>
      <c r="F694">
        <v>12028</v>
      </c>
      <c r="G694">
        <v>0.61090229049823586</v>
      </c>
      <c r="H694">
        <v>0</v>
      </c>
      <c r="I694">
        <v>0</v>
      </c>
      <c r="J694">
        <v>0.51797380544623695</v>
      </c>
      <c r="K694">
        <v>0</v>
      </c>
      <c r="L694">
        <v>0</v>
      </c>
      <c r="M694">
        <v>0.36077527374210522</v>
      </c>
      <c r="N694">
        <v>0</v>
      </c>
      <c r="O694">
        <v>0</v>
      </c>
      <c r="P694">
        <v>0.37320160853599088</v>
      </c>
      <c r="Q694">
        <v>0.69382043700999441</v>
      </c>
      <c r="R694">
        <v>-8.4756754148657762</v>
      </c>
      <c r="S694">
        <v>0.21408490443630049</v>
      </c>
      <c r="T694">
        <v>0.16861194632317661</v>
      </c>
      <c r="U694">
        <v>4.2436712643831056</v>
      </c>
      <c r="V694">
        <v>0.23810297856178911</v>
      </c>
      <c r="W694">
        <v>-5.5313295636847348</v>
      </c>
      <c r="X694">
        <v>0.27042084341243572</v>
      </c>
      <c r="Z694" t="s">
        <v>392</v>
      </c>
      <c r="AA694">
        <v>114</v>
      </c>
      <c r="AB694" t="s">
        <v>4127</v>
      </c>
      <c r="AC694" t="str">
        <f>HYPERLINK("plots/3FT6Y578R04_015_S21P_20251218081014_M5358ACSC201811_RBGEUFRF04/dpll_52094/txpa_53195.png","plot")</f>
        <v>plot</v>
      </c>
    </row>
    <row r="695" spans="1:29" x14ac:dyDescent="0.35">
      <c r="A695" t="s">
        <v>49</v>
      </c>
      <c r="B695">
        <v>52094</v>
      </c>
      <c r="C695" t="s">
        <v>53</v>
      </c>
      <c r="D695">
        <v>53196</v>
      </c>
      <c r="E695" t="s">
        <v>71</v>
      </c>
      <c r="F695">
        <v>12028</v>
      </c>
      <c r="G695">
        <v>0.63361011938959322</v>
      </c>
      <c r="H695">
        <v>0</v>
      </c>
      <c r="I695">
        <v>0</v>
      </c>
      <c r="J695">
        <v>0.53766218291818868</v>
      </c>
      <c r="K695">
        <v>0</v>
      </c>
      <c r="L695">
        <v>0</v>
      </c>
      <c r="M695">
        <v>0.37793827296842691</v>
      </c>
      <c r="N695">
        <v>0</v>
      </c>
      <c r="O695">
        <v>0</v>
      </c>
      <c r="P695">
        <v>0.40146178339289462</v>
      </c>
      <c r="Q695">
        <v>0.72378543782438143</v>
      </c>
      <c r="R695">
        <v>-8.5565659831131811</v>
      </c>
      <c r="S695">
        <v>0.21041682006426179</v>
      </c>
      <c r="T695">
        <v>0.1661387001758094</v>
      </c>
      <c r="U695">
        <v>4.2436712643831056</v>
      </c>
      <c r="V695">
        <v>0.23810297856178911</v>
      </c>
      <c r="W695">
        <v>-5.4850585190389083</v>
      </c>
      <c r="X695">
        <v>0.27198976675381731</v>
      </c>
      <c r="Z695" t="s">
        <v>392</v>
      </c>
      <c r="AA695">
        <v>114</v>
      </c>
      <c r="AB695" t="s">
        <v>4128</v>
      </c>
      <c r="AC695" t="str">
        <f>HYPERLINK("plots/3FT6Y578R04_015_S21P_20251218081014_M5358ACSC201811_RBGEUFRF04/dpll_52094/txpa_53196.png","plot")</f>
        <v>plot</v>
      </c>
    </row>
    <row r="696" spans="1:29" x14ac:dyDescent="0.35">
      <c r="A696" t="s">
        <v>49</v>
      </c>
      <c r="B696">
        <v>52094</v>
      </c>
      <c r="C696" t="s">
        <v>53</v>
      </c>
      <c r="D696">
        <v>53197</v>
      </c>
      <c r="E696" t="s">
        <v>72</v>
      </c>
      <c r="F696">
        <v>12028</v>
      </c>
      <c r="G696">
        <v>0.61853624186275857</v>
      </c>
      <c r="H696">
        <v>0</v>
      </c>
      <c r="I696">
        <v>0</v>
      </c>
      <c r="J696">
        <v>0.51881247254310758</v>
      </c>
      <c r="K696">
        <v>0</v>
      </c>
      <c r="L696">
        <v>0</v>
      </c>
      <c r="M696">
        <v>0.36229644915158782</v>
      </c>
      <c r="N696">
        <v>0</v>
      </c>
      <c r="O696">
        <v>0</v>
      </c>
      <c r="P696">
        <v>0.38258708249770501</v>
      </c>
      <c r="Q696">
        <v>0.68989756372683031</v>
      </c>
      <c r="R696">
        <v>-8.3926132656908141</v>
      </c>
      <c r="S696">
        <v>0.20866715257707111</v>
      </c>
      <c r="T696">
        <v>0.16500740064267169</v>
      </c>
      <c r="U696">
        <v>4.2436712643831056</v>
      </c>
      <c r="V696">
        <v>0.23810297856178911</v>
      </c>
      <c r="W696">
        <v>-5.4649147991353511</v>
      </c>
      <c r="X696">
        <v>0.26557322547694401</v>
      </c>
      <c r="Z696" t="s">
        <v>392</v>
      </c>
      <c r="AA696">
        <v>114</v>
      </c>
      <c r="AB696" t="s">
        <v>4129</v>
      </c>
      <c r="AC696" t="str">
        <f>HYPERLINK("plots/3FT6Y578R04_015_S21P_20251218081014_M5358ACSC201811_RBGEUFRF04/dpll_52094/txpa_53197.png","plot")</f>
        <v>plot</v>
      </c>
    </row>
    <row r="697" spans="1:29" x14ac:dyDescent="0.35">
      <c r="A697" t="s">
        <v>49</v>
      </c>
      <c r="B697">
        <v>52094</v>
      </c>
      <c r="C697" t="s">
        <v>53</v>
      </c>
      <c r="D697">
        <v>53198</v>
      </c>
      <c r="E697" t="s">
        <v>73</v>
      </c>
      <c r="F697">
        <v>12027</v>
      </c>
      <c r="G697">
        <v>0.63913615132953572</v>
      </c>
      <c r="H697">
        <v>0</v>
      </c>
      <c r="I697">
        <v>0</v>
      </c>
      <c r="J697">
        <v>0.53520151103628877</v>
      </c>
      <c r="K697">
        <v>0</v>
      </c>
      <c r="L697">
        <v>0</v>
      </c>
      <c r="M697">
        <v>0.37602421768848371</v>
      </c>
      <c r="N697">
        <v>0</v>
      </c>
      <c r="O697">
        <v>0</v>
      </c>
      <c r="P697">
        <v>0.40849501993633119</v>
      </c>
      <c r="Q697">
        <v>0.72815407796187148</v>
      </c>
      <c r="R697">
        <v>-8.5302385102353302</v>
      </c>
      <c r="S697">
        <v>0.2086274281755213</v>
      </c>
      <c r="T697">
        <v>0.16537283829078159</v>
      </c>
      <c r="U697">
        <v>4.2436786742329762</v>
      </c>
      <c r="V697">
        <v>0.2381114909913796</v>
      </c>
      <c r="W697">
        <v>-5.4401865780327601</v>
      </c>
      <c r="X697">
        <v>0.27127530310135689</v>
      </c>
      <c r="Z697" t="s">
        <v>392</v>
      </c>
      <c r="AA697">
        <v>114</v>
      </c>
      <c r="AB697" t="s">
        <v>4130</v>
      </c>
      <c r="AC697" t="str">
        <f>HYPERLINK("plots/3FT6Y578R04_015_S21P_20251218081014_M5358ACSC201811_RBGEUFRF04/dpll_52094/txpa_53198.png","plot")</f>
        <v>plot</v>
      </c>
    </row>
    <row r="698" spans="1:29" x14ac:dyDescent="0.35">
      <c r="A698" t="s">
        <v>49</v>
      </c>
      <c r="B698">
        <v>52094</v>
      </c>
      <c r="C698" t="s">
        <v>53</v>
      </c>
      <c r="D698">
        <v>53199</v>
      </c>
      <c r="E698" t="s">
        <v>74</v>
      </c>
      <c r="F698">
        <v>12027</v>
      </c>
      <c r="G698">
        <v>0.64260171691719237</v>
      </c>
      <c r="H698">
        <v>0</v>
      </c>
      <c r="I698">
        <v>0</v>
      </c>
      <c r="J698">
        <v>0.53335159157081047</v>
      </c>
      <c r="K698">
        <v>0</v>
      </c>
      <c r="L698">
        <v>0</v>
      </c>
      <c r="M698">
        <v>0.37345921444927871</v>
      </c>
      <c r="N698">
        <v>0</v>
      </c>
      <c r="O698">
        <v>0</v>
      </c>
      <c r="P698">
        <v>0.41293696658492351</v>
      </c>
      <c r="Q698">
        <v>0.73026066310566284</v>
      </c>
      <c r="R698">
        <v>-8.5473365728617168</v>
      </c>
      <c r="S698">
        <v>0.2073019427780935</v>
      </c>
      <c r="T698">
        <v>0.16490971687303069</v>
      </c>
      <c r="U698">
        <v>4.2436418554918101</v>
      </c>
      <c r="V698">
        <v>0.23809103076034549</v>
      </c>
      <c r="W698">
        <v>-5.448371857487321</v>
      </c>
      <c r="X698">
        <v>0.27056963812153328</v>
      </c>
      <c r="Z698" t="s">
        <v>392</v>
      </c>
      <c r="AA698">
        <v>114</v>
      </c>
      <c r="AB698" t="s">
        <v>4131</v>
      </c>
      <c r="AC698" t="str">
        <f>HYPERLINK("plots/3FT6Y578R04_015_S21P_20251218081014_M5358ACSC201811_RBGEUFRF04/dpll_52094/txpa_53199.png","plot")</f>
        <v>plot</v>
      </c>
    </row>
    <row r="699" spans="1:29" x14ac:dyDescent="0.35">
      <c r="A699" t="s">
        <v>49</v>
      </c>
      <c r="B699">
        <v>52094</v>
      </c>
      <c r="C699" t="s">
        <v>53</v>
      </c>
      <c r="D699">
        <v>53200</v>
      </c>
      <c r="E699" t="s">
        <v>75</v>
      </c>
      <c r="F699">
        <v>12028</v>
      </c>
      <c r="G699">
        <v>0.64710471292483374</v>
      </c>
      <c r="H699">
        <v>0</v>
      </c>
      <c r="I699">
        <v>0</v>
      </c>
      <c r="J699">
        <v>0.55187466484240899</v>
      </c>
      <c r="K699">
        <v>0</v>
      </c>
      <c r="L699">
        <v>0</v>
      </c>
      <c r="M699">
        <v>0.38864555259013173</v>
      </c>
      <c r="N699">
        <v>0</v>
      </c>
      <c r="O699">
        <v>0</v>
      </c>
      <c r="P699">
        <v>0.41874450948953151</v>
      </c>
      <c r="Q699">
        <v>0.73320488890088142</v>
      </c>
      <c r="R699">
        <v>-8.5764777473984619</v>
      </c>
      <c r="S699">
        <v>0.20567480651781619</v>
      </c>
      <c r="T699">
        <v>0.16267955609759949</v>
      </c>
      <c r="U699">
        <v>4.2436712643831056</v>
      </c>
      <c r="V699">
        <v>0.23810297856178911</v>
      </c>
      <c r="W699">
        <v>-5.4649972294645828</v>
      </c>
      <c r="X699">
        <v>0.26978364468138882</v>
      </c>
      <c r="Z699" t="s">
        <v>392</v>
      </c>
      <c r="AA699">
        <v>114</v>
      </c>
      <c r="AB699" t="s">
        <v>4132</v>
      </c>
      <c r="AC699" t="str">
        <f>HYPERLINK("plots/3FT6Y578R04_015_S21P_20251218081014_M5358ACSC201811_RBGEUFRF04/dpll_52094/txpa_53200.png","plot")</f>
        <v>plot</v>
      </c>
    </row>
    <row r="700" spans="1:29" x14ac:dyDescent="0.35">
      <c r="A700" t="s">
        <v>49</v>
      </c>
      <c r="B700">
        <v>52094</v>
      </c>
      <c r="C700" t="s">
        <v>53</v>
      </c>
      <c r="D700">
        <v>53201</v>
      </c>
      <c r="E700" t="s">
        <v>76</v>
      </c>
      <c r="F700">
        <v>12028</v>
      </c>
      <c r="G700">
        <v>0.64376723471451658</v>
      </c>
      <c r="H700">
        <v>0</v>
      </c>
      <c r="I700">
        <v>0</v>
      </c>
      <c r="J700">
        <v>0.54320630537632753</v>
      </c>
      <c r="K700">
        <v>0</v>
      </c>
      <c r="L700">
        <v>0</v>
      </c>
      <c r="M700">
        <v>0.38136988552532902</v>
      </c>
      <c r="N700">
        <v>0</v>
      </c>
      <c r="O700">
        <v>0</v>
      </c>
      <c r="P700">
        <v>0.41443625249197552</v>
      </c>
      <c r="Q700">
        <v>0.72050331278322877</v>
      </c>
      <c r="R700">
        <v>-8.5141439778794563</v>
      </c>
      <c r="S700">
        <v>0.2039111518125335</v>
      </c>
      <c r="T700">
        <v>0.16209879876195721</v>
      </c>
      <c r="U700">
        <v>4.2436712643831056</v>
      </c>
      <c r="V700">
        <v>0.23810297856178911</v>
      </c>
      <c r="W700">
        <v>-5.4565647735284344</v>
      </c>
      <c r="X700">
        <v>0.2664844925097809</v>
      </c>
      <c r="Z700" t="s">
        <v>392</v>
      </c>
      <c r="AA700">
        <v>114</v>
      </c>
      <c r="AB700" t="s">
        <v>4133</v>
      </c>
      <c r="AC700" t="str">
        <f>HYPERLINK("plots/3FT6Y578R04_015_S21P_20251218081014_M5358ACSC201811_RBGEUFRF04/dpll_52094/txpa_53201.png","plot")</f>
        <v>plot</v>
      </c>
    </row>
    <row r="701" spans="1:29" x14ac:dyDescent="0.35">
      <c r="A701" t="s">
        <v>49</v>
      </c>
      <c r="B701">
        <v>52094</v>
      </c>
      <c r="C701" t="s">
        <v>53</v>
      </c>
      <c r="D701">
        <v>53202</v>
      </c>
      <c r="E701" t="s">
        <v>77</v>
      </c>
      <c r="F701">
        <v>12027</v>
      </c>
      <c r="G701">
        <v>0.62992862844021857</v>
      </c>
      <c r="H701">
        <v>0</v>
      </c>
      <c r="I701">
        <v>0</v>
      </c>
      <c r="J701">
        <v>0.53147571462879706</v>
      </c>
      <c r="K701">
        <v>0</v>
      </c>
      <c r="L701">
        <v>0</v>
      </c>
      <c r="M701">
        <v>0.37272601478944711</v>
      </c>
      <c r="N701">
        <v>0</v>
      </c>
      <c r="O701">
        <v>0</v>
      </c>
      <c r="P701">
        <v>0.39681007692857501</v>
      </c>
      <c r="Q701">
        <v>0.7097540370968608</v>
      </c>
      <c r="R701">
        <v>-8.5298649185851865</v>
      </c>
      <c r="S701">
        <v>0.20834453772791101</v>
      </c>
      <c r="T701">
        <v>0.1649636287613353</v>
      </c>
      <c r="U701">
        <v>4.2436951445081901</v>
      </c>
      <c r="V701">
        <v>0.2380984732054881</v>
      </c>
      <c r="W701">
        <v>-5.5178851575621506</v>
      </c>
      <c r="X701">
        <v>0.26827063409173441</v>
      </c>
      <c r="Z701" t="s">
        <v>392</v>
      </c>
      <c r="AA701">
        <v>114</v>
      </c>
      <c r="AB701" t="s">
        <v>4134</v>
      </c>
      <c r="AC701" t="str">
        <f>HYPERLINK("plots/3FT6Y578R04_015_S21P_20251218081014_M5358ACSC201811_RBGEUFRF04/dpll_52094/txpa_53202.png","plot")</f>
        <v>plot</v>
      </c>
    </row>
    <row r="702" spans="1:29" x14ac:dyDescent="0.35">
      <c r="A702" t="s">
        <v>49</v>
      </c>
      <c r="B702">
        <v>52094</v>
      </c>
      <c r="C702" t="s">
        <v>53</v>
      </c>
      <c r="D702">
        <v>53203</v>
      </c>
      <c r="E702" t="s">
        <v>78</v>
      </c>
      <c r="F702">
        <v>12028</v>
      </c>
      <c r="G702">
        <v>0.62473968980733885</v>
      </c>
      <c r="H702">
        <v>0</v>
      </c>
      <c r="I702">
        <v>0</v>
      </c>
      <c r="J702">
        <v>0.53784016285093428</v>
      </c>
      <c r="K702">
        <v>0</v>
      </c>
      <c r="L702">
        <v>0</v>
      </c>
      <c r="M702">
        <v>0.37604113126278199</v>
      </c>
      <c r="N702">
        <v>0</v>
      </c>
      <c r="O702">
        <v>0</v>
      </c>
      <c r="P702">
        <v>0.39029968002056997</v>
      </c>
      <c r="Q702">
        <v>0.70192013699384348</v>
      </c>
      <c r="R702">
        <v>-5.4407242875672264</v>
      </c>
      <c r="S702">
        <v>0.20887842768797901</v>
      </c>
      <c r="T702">
        <v>0.16472928510960591</v>
      </c>
      <c r="U702">
        <v>4.2436712643831056</v>
      </c>
      <c r="V702">
        <v>0.23810297856178911</v>
      </c>
      <c r="W702">
        <v>-2.4620059723145999</v>
      </c>
      <c r="X702">
        <v>0.26751826089722819</v>
      </c>
      <c r="Z702" t="s">
        <v>392</v>
      </c>
      <c r="AA702">
        <v>114</v>
      </c>
      <c r="AB702" t="s">
        <v>4135</v>
      </c>
      <c r="AC702" t="str">
        <f>HYPERLINK("plots/3FT6Y578R04_015_S21P_20251218081014_M5358ACSC201811_RBGEUFRF04/dpll_52094/txpa_53203.png","plot")</f>
        <v>plot</v>
      </c>
    </row>
    <row r="703" spans="1:29" x14ac:dyDescent="0.35">
      <c r="A703" t="s">
        <v>49</v>
      </c>
      <c r="B703">
        <v>52094</v>
      </c>
      <c r="C703" t="s">
        <v>53</v>
      </c>
      <c r="D703">
        <v>53204</v>
      </c>
      <c r="E703" t="s">
        <v>79</v>
      </c>
      <c r="F703">
        <v>12028</v>
      </c>
      <c r="G703">
        <v>0.65083262085433446</v>
      </c>
      <c r="H703">
        <v>0</v>
      </c>
      <c r="I703">
        <v>0</v>
      </c>
      <c r="J703">
        <v>0.56171960858385028</v>
      </c>
      <c r="K703">
        <v>0</v>
      </c>
      <c r="L703">
        <v>0</v>
      </c>
      <c r="M703">
        <v>0.39661500503975472</v>
      </c>
      <c r="N703">
        <v>0</v>
      </c>
      <c r="O703">
        <v>0</v>
      </c>
      <c r="P703">
        <v>0.42358310036812191</v>
      </c>
      <c r="Q703">
        <v>0.73790386281759135</v>
      </c>
      <c r="R703">
        <v>-5.5527468736210617</v>
      </c>
      <c r="S703">
        <v>0.20494890298212259</v>
      </c>
      <c r="T703">
        <v>0.1618934753651462</v>
      </c>
      <c r="U703">
        <v>4.2436712643831056</v>
      </c>
      <c r="V703">
        <v>0.23810297856178911</v>
      </c>
      <c r="W703">
        <v>-2.4213254551047561</v>
      </c>
      <c r="X703">
        <v>0.26995743913156078</v>
      </c>
      <c r="Z703" t="s">
        <v>392</v>
      </c>
      <c r="AA703">
        <v>114</v>
      </c>
      <c r="AB703" t="s">
        <v>4136</v>
      </c>
      <c r="AC703" t="str">
        <f>HYPERLINK("plots/3FT6Y578R04_015_S21P_20251218081014_M5358ACSC201811_RBGEUFRF04/dpll_52094/txpa_53204.png","plot")</f>
        <v>plot</v>
      </c>
    </row>
    <row r="704" spans="1:29" x14ac:dyDescent="0.35">
      <c r="A704" t="s">
        <v>49</v>
      </c>
      <c r="B704">
        <v>52094</v>
      </c>
      <c r="C704" t="s">
        <v>53</v>
      </c>
      <c r="D704">
        <v>53205</v>
      </c>
      <c r="E704" t="s">
        <v>80</v>
      </c>
      <c r="F704">
        <v>12028</v>
      </c>
      <c r="G704">
        <v>0.63539979417849157</v>
      </c>
      <c r="H704">
        <v>0</v>
      </c>
      <c r="I704">
        <v>0</v>
      </c>
      <c r="J704">
        <v>0.54290911508363282</v>
      </c>
      <c r="K704">
        <v>0</v>
      </c>
      <c r="L704">
        <v>0</v>
      </c>
      <c r="M704">
        <v>0.38110931068645981</v>
      </c>
      <c r="N704">
        <v>0</v>
      </c>
      <c r="O704">
        <v>0</v>
      </c>
      <c r="P704">
        <v>0.40373289844206939</v>
      </c>
      <c r="Q704">
        <v>0.70116531332196252</v>
      </c>
      <c r="R704">
        <v>-5.3775640616301477</v>
      </c>
      <c r="S704">
        <v>0.20288061455013989</v>
      </c>
      <c r="T704">
        <v>0.1604235001733933</v>
      </c>
      <c r="U704">
        <v>4.2436712643831056</v>
      </c>
      <c r="V704">
        <v>0.23810297856178911</v>
      </c>
      <c r="W704">
        <v>-2.402048969903559</v>
      </c>
      <c r="X704">
        <v>0.26274725156626522</v>
      </c>
      <c r="Z704" t="s">
        <v>392</v>
      </c>
      <c r="AA704">
        <v>114</v>
      </c>
      <c r="AB704" t="s">
        <v>4137</v>
      </c>
      <c r="AC704" t="str">
        <f>HYPERLINK("plots/3FT6Y578R04_015_S21P_20251218081014_M5358ACSC201811_RBGEUFRF04/dpll_52094/txpa_53205.png","plot")</f>
        <v>plot</v>
      </c>
    </row>
    <row r="705" spans="1:29" x14ac:dyDescent="0.35">
      <c r="A705" t="s">
        <v>49</v>
      </c>
      <c r="B705">
        <v>52094</v>
      </c>
      <c r="C705" t="s">
        <v>53</v>
      </c>
      <c r="D705">
        <v>53206</v>
      </c>
      <c r="E705" t="s">
        <v>81</v>
      </c>
      <c r="F705">
        <v>12027</v>
      </c>
      <c r="G705">
        <v>0.65466077227751551</v>
      </c>
      <c r="H705">
        <v>0</v>
      </c>
      <c r="I705">
        <v>0</v>
      </c>
      <c r="J705">
        <v>0.55743510275664787</v>
      </c>
      <c r="K705">
        <v>0</v>
      </c>
      <c r="L705">
        <v>0</v>
      </c>
      <c r="M705">
        <v>0.39337393035883989</v>
      </c>
      <c r="N705">
        <v>0</v>
      </c>
      <c r="O705">
        <v>0</v>
      </c>
      <c r="P705">
        <v>0.428580726758993</v>
      </c>
      <c r="Q705">
        <v>0.73833515639041136</v>
      </c>
      <c r="R705">
        <v>-5.5188301482149313</v>
      </c>
      <c r="S705">
        <v>0.20299108770090191</v>
      </c>
      <c r="T705">
        <v>0.1609476895709287</v>
      </c>
      <c r="U705">
        <v>4.2436786742329762</v>
      </c>
      <c r="V705">
        <v>0.2381114909913796</v>
      </c>
      <c r="W705">
        <v>-2.3855729906044729</v>
      </c>
      <c r="X705">
        <v>0.26854531748993937</v>
      </c>
      <c r="Z705" t="s">
        <v>392</v>
      </c>
      <c r="AA705">
        <v>114</v>
      </c>
      <c r="AB705" t="s">
        <v>4138</v>
      </c>
      <c r="AC705" t="str">
        <f>HYPERLINK("plots/3FT6Y578R04_015_S21P_20251218081014_M5358ACSC201811_RBGEUFRF04/dpll_52094/txpa_53206.png","plot")</f>
        <v>plot</v>
      </c>
    </row>
    <row r="706" spans="1:29" x14ac:dyDescent="0.35">
      <c r="A706" t="s">
        <v>49</v>
      </c>
      <c r="B706">
        <v>52094</v>
      </c>
      <c r="C706" t="s">
        <v>53</v>
      </c>
      <c r="D706">
        <v>53207</v>
      </c>
      <c r="E706" t="s">
        <v>82</v>
      </c>
      <c r="F706">
        <v>12027</v>
      </c>
      <c r="G706">
        <v>0.65715186687325244</v>
      </c>
      <c r="H706">
        <v>0</v>
      </c>
      <c r="I706">
        <v>0</v>
      </c>
      <c r="J706">
        <v>0.55479750189241217</v>
      </c>
      <c r="K706">
        <v>0</v>
      </c>
      <c r="L706">
        <v>0</v>
      </c>
      <c r="M706">
        <v>0.38992676536637783</v>
      </c>
      <c r="N706">
        <v>0</v>
      </c>
      <c r="O706">
        <v>0</v>
      </c>
      <c r="P706">
        <v>0.43184857613500088</v>
      </c>
      <c r="Q706">
        <v>0.73784136380009446</v>
      </c>
      <c r="R706">
        <v>-5.524756397519293</v>
      </c>
      <c r="S706">
        <v>0.20149036404814111</v>
      </c>
      <c r="T706">
        <v>0.16050883621437259</v>
      </c>
      <c r="U706">
        <v>4.2436418554918101</v>
      </c>
      <c r="V706">
        <v>0.23809103076034549</v>
      </c>
      <c r="W706">
        <v>-2.393621903384052</v>
      </c>
      <c r="X706">
        <v>0.26732543830491229</v>
      </c>
      <c r="Z706" t="s">
        <v>392</v>
      </c>
      <c r="AA706">
        <v>114</v>
      </c>
      <c r="AB706" t="s">
        <v>4139</v>
      </c>
      <c r="AC706" t="str">
        <f>HYPERLINK("plots/3FT6Y578R04_015_S21P_20251218081014_M5358ACSC201811_RBGEUFRF04/dpll_52094/txpa_53207.png","plot")</f>
        <v>plot</v>
      </c>
    </row>
    <row r="707" spans="1:29" x14ac:dyDescent="0.35">
      <c r="A707" t="s">
        <v>49</v>
      </c>
      <c r="B707">
        <v>52094</v>
      </c>
      <c r="C707" t="s">
        <v>53</v>
      </c>
      <c r="D707">
        <v>53208</v>
      </c>
      <c r="E707" t="s">
        <v>83</v>
      </c>
      <c r="F707">
        <v>12028</v>
      </c>
      <c r="G707">
        <v>0.66241806011331472</v>
      </c>
      <c r="H707">
        <v>0</v>
      </c>
      <c r="I707">
        <v>0</v>
      </c>
      <c r="J707">
        <v>0.57379094431670064</v>
      </c>
      <c r="K707">
        <v>0</v>
      </c>
      <c r="L707">
        <v>0</v>
      </c>
      <c r="M707">
        <v>0.40580673938394202</v>
      </c>
      <c r="N707">
        <v>0</v>
      </c>
      <c r="O707">
        <v>0</v>
      </c>
      <c r="P707">
        <v>0.43879768636428701</v>
      </c>
      <c r="Q707">
        <v>0.74483295449972531</v>
      </c>
      <c r="R707">
        <v>-5.5624510168003312</v>
      </c>
      <c r="S707">
        <v>0.20055487326047899</v>
      </c>
      <c r="T707">
        <v>0.15877841628531811</v>
      </c>
      <c r="U707">
        <v>4.2436712643831056</v>
      </c>
      <c r="V707">
        <v>0.23810297856178911</v>
      </c>
      <c r="W707">
        <v>-2.4016248110242771</v>
      </c>
      <c r="X707">
        <v>0.26772661507300177</v>
      </c>
      <c r="Z707" t="s">
        <v>392</v>
      </c>
      <c r="AA707">
        <v>114</v>
      </c>
      <c r="AB707" t="s">
        <v>4140</v>
      </c>
      <c r="AC707" t="str">
        <f>HYPERLINK("plots/3FT6Y578R04_015_S21P_20251218081014_M5358ACSC201811_RBGEUFRF04/dpll_52094/txpa_53208.png","plot")</f>
        <v>plot</v>
      </c>
    </row>
    <row r="708" spans="1:29" x14ac:dyDescent="0.35">
      <c r="A708" t="s">
        <v>49</v>
      </c>
      <c r="B708">
        <v>52094</v>
      </c>
      <c r="C708" t="s">
        <v>53</v>
      </c>
      <c r="D708">
        <v>53209</v>
      </c>
      <c r="E708" t="s">
        <v>84</v>
      </c>
      <c r="F708">
        <v>12028</v>
      </c>
      <c r="G708">
        <v>0.65867415693147435</v>
      </c>
      <c r="H708">
        <v>0</v>
      </c>
      <c r="I708">
        <v>0</v>
      </c>
      <c r="J708">
        <v>0.56463373641828851</v>
      </c>
      <c r="K708">
        <v>0</v>
      </c>
      <c r="L708">
        <v>0</v>
      </c>
      <c r="M708">
        <v>0.39811940871885509</v>
      </c>
      <c r="N708">
        <v>0</v>
      </c>
      <c r="O708">
        <v>0</v>
      </c>
      <c r="P708">
        <v>0.4338516450093885</v>
      </c>
      <c r="Q708">
        <v>0.73092651229215344</v>
      </c>
      <c r="R708">
        <v>-5.4959476307369677</v>
      </c>
      <c r="S708">
        <v>0.19879936353635241</v>
      </c>
      <c r="T708">
        <v>0.1582936844565048</v>
      </c>
      <c r="U708">
        <v>4.2436712643831056</v>
      </c>
      <c r="V708">
        <v>0.23810297856178911</v>
      </c>
      <c r="W708">
        <v>-2.3941357941469898</v>
      </c>
      <c r="X708">
        <v>0.26422135718412232</v>
      </c>
      <c r="Z708" t="s">
        <v>392</v>
      </c>
      <c r="AA708">
        <v>114</v>
      </c>
      <c r="AB708" t="s">
        <v>4141</v>
      </c>
      <c r="AC708" t="str">
        <f>HYPERLINK("plots/3FT6Y578R04_015_S21P_20251218081014_M5358ACSC201811_RBGEUFRF04/dpll_52094/txpa_53209.png","plot")</f>
        <v>plot</v>
      </c>
    </row>
    <row r="709" spans="1:29" x14ac:dyDescent="0.35">
      <c r="A709" t="s">
        <v>49</v>
      </c>
      <c r="B709">
        <v>52094</v>
      </c>
      <c r="C709" t="s">
        <v>53</v>
      </c>
      <c r="D709">
        <v>53210</v>
      </c>
      <c r="E709" t="s">
        <v>85</v>
      </c>
      <c r="F709">
        <v>12027</v>
      </c>
      <c r="G709">
        <v>0.64612467543037244</v>
      </c>
      <c r="H709">
        <v>0</v>
      </c>
      <c r="I709">
        <v>0</v>
      </c>
      <c r="J709">
        <v>0.55382580738692211</v>
      </c>
      <c r="K709">
        <v>0</v>
      </c>
      <c r="L709">
        <v>0</v>
      </c>
      <c r="M709">
        <v>0.39034912430576341</v>
      </c>
      <c r="N709">
        <v>0</v>
      </c>
      <c r="O709">
        <v>0</v>
      </c>
      <c r="P709">
        <v>0.41747709620000412</v>
      </c>
      <c r="Q709">
        <v>0.72087102733050101</v>
      </c>
      <c r="R709">
        <v>-5.5070610283286294</v>
      </c>
      <c r="S709">
        <v>0.20273853396152239</v>
      </c>
      <c r="T709">
        <v>0.16035503387372879</v>
      </c>
      <c r="U709">
        <v>4.2436951445081901</v>
      </c>
      <c r="V709">
        <v>0.2380984732054881</v>
      </c>
      <c r="W709">
        <v>-2.44790414982955</v>
      </c>
      <c r="X709">
        <v>0.26564268091315152</v>
      </c>
      <c r="Z709" t="s">
        <v>392</v>
      </c>
      <c r="AA709">
        <v>114</v>
      </c>
      <c r="AB709" t="s">
        <v>4142</v>
      </c>
      <c r="AC709" t="str">
        <f>HYPERLINK("plots/3FT6Y578R04_015_S21P_20251218081014_M5358ACSC201811_RBGEUFRF04/dpll_52094/txpa_53210.png","plot")</f>
        <v>plot</v>
      </c>
    </row>
    <row r="710" spans="1:29" x14ac:dyDescent="0.35">
      <c r="A710" t="s">
        <v>49</v>
      </c>
      <c r="B710">
        <v>52094</v>
      </c>
      <c r="C710" t="s">
        <v>53</v>
      </c>
      <c r="D710">
        <v>53211</v>
      </c>
      <c r="E710" t="s">
        <v>86</v>
      </c>
      <c r="F710">
        <v>12028</v>
      </c>
      <c r="G710">
        <v>0.67113383794819148</v>
      </c>
      <c r="H710">
        <v>0</v>
      </c>
      <c r="I710">
        <v>0</v>
      </c>
      <c r="J710">
        <v>0.59153088889555572</v>
      </c>
      <c r="K710">
        <v>0</v>
      </c>
      <c r="L710">
        <v>0</v>
      </c>
      <c r="M710">
        <v>0.41859858780763842</v>
      </c>
      <c r="N710">
        <v>0</v>
      </c>
      <c r="O710">
        <v>0</v>
      </c>
      <c r="P710">
        <v>0.45042062843906933</v>
      </c>
      <c r="Q710">
        <v>0.76164709836732003</v>
      </c>
      <c r="R710">
        <v>-2.0899605664832399</v>
      </c>
      <c r="S710">
        <v>0.20031184975521599</v>
      </c>
      <c r="T710">
        <v>0.15787418965586589</v>
      </c>
      <c r="U710">
        <v>4.2436712643831056</v>
      </c>
      <c r="V710">
        <v>0.23810297856178911</v>
      </c>
      <c r="W710">
        <v>1.142219338458929</v>
      </c>
      <c r="X710">
        <v>0.27021501894261851</v>
      </c>
      <c r="Z710" t="s">
        <v>392</v>
      </c>
      <c r="AA710">
        <v>114</v>
      </c>
      <c r="AB710" t="s">
        <v>4143</v>
      </c>
      <c r="AC710" t="str">
        <f>HYPERLINK("plots/3FT6Y578R04_015_S21P_20251218081014_M5358ACSC201811_RBGEUFRF04/dpll_52094/txpa_53211.png","plot")</f>
        <v>plot</v>
      </c>
    </row>
    <row r="711" spans="1:29" x14ac:dyDescent="0.35">
      <c r="A711" t="s">
        <v>49</v>
      </c>
      <c r="B711">
        <v>52094</v>
      </c>
      <c r="C711" t="s">
        <v>53</v>
      </c>
      <c r="D711">
        <v>53212</v>
      </c>
      <c r="E711" t="s">
        <v>87</v>
      </c>
      <c r="F711">
        <v>12028</v>
      </c>
      <c r="G711">
        <v>0.69506344163156553</v>
      </c>
      <c r="H711">
        <v>0</v>
      </c>
      <c r="I711">
        <v>0</v>
      </c>
      <c r="J711">
        <v>0.61215547201635201</v>
      </c>
      <c r="K711">
        <v>0</v>
      </c>
      <c r="L711">
        <v>0</v>
      </c>
      <c r="M711">
        <v>0.43740517726674438</v>
      </c>
      <c r="N711">
        <v>0</v>
      </c>
      <c r="O711">
        <v>0</v>
      </c>
      <c r="P711">
        <v>0.48311318789271668</v>
      </c>
      <c r="Q711">
        <v>0.79654902326989385</v>
      </c>
      <c r="R711">
        <v>-2.201435845766111</v>
      </c>
      <c r="S711">
        <v>0.19616998679988121</v>
      </c>
      <c r="T711">
        <v>0.1551933643194694</v>
      </c>
      <c r="U711">
        <v>4.2436712643831056</v>
      </c>
      <c r="V711">
        <v>0.23810297856178911</v>
      </c>
      <c r="W711">
        <v>1.1788563549567681</v>
      </c>
      <c r="X711">
        <v>0.27286817814190201</v>
      </c>
      <c r="Z711" t="s">
        <v>392</v>
      </c>
      <c r="AA711">
        <v>114</v>
      </c>
      <c r="AB711" t="s">
        <v>4144</v>
      </c>
      <c r="AC711" t="str">
        <f>HYPERLINK("plots/3FT6Y578R04_015_S21P_20251218081014_M5358ACSC201811_RBGEUFRF04/dpll_52094/txpa_53212.png","plot")</f>
        <v>plot</v>
      </c>
    </row>
    <row r="712" spans="1:29" x14ac:dyDescent="0.35">
      <c r="A712" t="s">
        <v>49</v>
      </c>
      <c r="B712">
        <v>52094</v>
      </c>
      <c r="C712" t="s">
        <v>53</v>
      </c>
      <c r="D712">
        <v>53213</v>
      </c>
      <c r="E712" t="s">
        <v>88</v>
      </c>
      <c r="F712">
        <v>12028</v>
      </c>
      <c r="G712">
        <v>0.68133651762444103</v>
      </c>
      <c r="H712">
        <v>0</v>
      </c>
      <c r="I712">
        <v>0</v>
      </c>
      <c r="J712">
        <v>0.59567633596947078</v>
      </c>
      <c r="K712">
        <v>0</v>
      </c>
      <c r="L712">
        <v>0</v>
      </c>
      <c r="M712">
        <v>0.42313150277803557</v>
      </c>
      <c r="N712">
        <v>0</v>
      </c>
      <c r="O712">
        <v>0</v>
      </c>
      <c r="P712">
        <v>0.46421945024860017</v>
      </c>
      <c r="Q712">
        <v>0.76180590554412575</v>
      </c>
      <c r="R712">
        <v>-2.0362250149310399</v>
      </c>
      <c r="S712">
        <v>0.19486009697145151</v>
      </c>
      <c r="T712">
        <v>0.15427826385212839</v>
      </c>
      <c r="U712">
        <v>4.2436712643831056</v>
      </c>
      <c r="V712">
        <v>0.23810297856178911</v>
      </c>
      <c r="W712">
        <v>1.196628815463918</v>
      </c>
      <c r="X712">
        <v>0.26622417924764769</v>
      </c>
      <c r="Z712" t="s">
        <v>392</v>
      </c>
      <c r="AA712">
        <v>114</v>
      </c>
      <c r="AB712" t="s">
        <v>4145</v>
      </c>
      <c r="AC712" t="str">
        <f>HYPERLINK("plots/3FT6Y578R04_015_S21P_20251218081014_M5358ACSC201811_RBGEUFRF04/dpll_52094/txpa_53213.png","plot")</f>
        <v>plot</v>
      </c>
    </row>
    <row r="713" spans="1:29" x14ac:dyDescent="0.35">
      <c r="A713" t="s">
        <v>49</v>
      </c>
      <c r="B713">
        <v>52094</v>
      </c>
      <c r="C713" t="s">
        <v>53</v>
      </c>
      <c r="D713">
        <v>53214</v>
      </c>
      <c r="E713" t="s">
        <v>89</v>
      </c>
      <c r="F713">
        <v>12027</v>
      </c>
      <c r="G713">
        <v>0.69900819774748768</v>
      </c>
      <c r="H713">
        <v>0</v>
      </c>
      <c r="I713">
        <v>0</v>
      </c>
      <c r="J713">
        <v>0.60992508118051769</v>
      </c>
      <c r="K713">
        <v>0</v>
      </c>
      <c r="L713">
        <v>0</v>
      </c>
      <c r="M713">
        <v>0.43571678366675559</v>
      </c>
      <c r="N713">
        <v>0</v>
      </c>
      <c r="O713">
        <v>0</v>
      </c>
      <c r="P713">
        <v>0.48861246051819079</v>
      </c>
      <c r="Q713">
        <v>0.79574269430336819</v>
      </c>
      <c r="R713">
        <v>-2.1707893500920021</v>
      </c>
      <c r="S713">
        <v>0.19383301925713081</v>
      </c>
      <c r="T713">
        <v>0.15367367854188291</v>
      </c>
      <c r="U713">
        <v>4.2436786742329762</v>
      </c>
      <c r="V713">
        <v>0.2381114909913796</v>
      </c>
      <c r="W713">
        <v>1.206086951899892</v>
      </c>
      <c r="X713">
        <v>0.27106331513227738</v>
      </c>
      <c r="Z713" t="s">
        <v>392</v>
      </c>
      <c r="AA713">
        <v>114</v>
      </c>
      <c r="AB713" t="s">
        <v>4146</v>
      </c>
      <c r="AC713" t="str">
        <f>HYPERLINK("plots/3FT6Y578R04_015_S21P_20251218081014_M5358ACSC201811_RBGEUFRF04/dpll_52094/txpa_53214.png","plot")</f>
        <v>plot</v>
      </c>
    </row>
    <row r="714" spans="1:29" x14ac:dyDescent="0.35">
      <c r="A714" t="s">
        <v>49</v>
      </c>
      <c r="B714">
        <v>52094</v>
      </c>
      <c r="C714" t="s">
        <v>53</v>
      </c>
      <c r="D714">
        <v>53215</v>
      </c>
      <c r="E714" t="s">
        <v>90</v>
      </c>
      <c r="F714">
        <v>12027</v>
      </c>
      <c r="G714">
        <v>0.70015435043863683</v>
      </c>
      <c r="H714">
        <v>0</v>
      </c>
      <c r="I714">
        <v>0</v>
      </c>
      <c r="J714">
        <v>0.6058699661940774</v>
      </c>
      <c r="K714">
        <v>0</v>
      </c>
      <c r="L714">
        <v>0</v>
      </c>
      <c r="M714">
        <v>0.43092920780160537</v>
      </c>
      <c r="N714">
        <v>0</v>
      </c>
      <c r="O714">
        <v>0</v>
      </c>
      <c r="P714">
        <v>0.49021611443814939</v>
      </c>
      <c r="Q714">
        <v>0.79320997566343854</v>
      </c>
      <c r="R714">
        <v>-2.1690859074014219</v>
      </c>
      <c r="S714">
        <v>0.1925805429431966</v>
      </c>
      <c r="T714">
        <v>0.15344455912472971</v>
      </c>
      <c r="U714">
        <v>4.2436418554918101</v>
      </c>
      <c r="V714">
        <v>0.23809103076034549</v>
      </c>
      <c r="W714">
        <v>1.197013145517585</v>
      </c>
      <c r="X714">
        <v>0.26973506712738549</v>
      </c>
      <c r="Z714" t="s">
        <v>392</v>
      </c>
      <c r="AA714">
        <v>114</v>
      </c>
      <c r="AB714" t="s">
        <v>4147</v>
      </c>
      <c r="AC714" t="str">
        <f>HYPERLINK("plots/3FT6Y578R04_015_S21P_20251218081014_M5358ACSC201811_RBGEUFRF04/dpll_52094/txpa_53215.png","plot")</f>
        <v>plot</v>
      </c>
    </row>
    <row r="715" spans="1:29" x14ac:dyDescent="0.35">
      <c r="A715" t="s">
        <v>49</v>
      </c>
      <c r="B715">
        <v>52094</v>
      </c>
      <c r="C715" t="s">
        <v>53</v>
      </c>
      <c r="D715">
        <v>53216</v>
      </c>
      <c r="E715" t="s">
        <v>91</v>
      </c>
      <c r="F715">
        <v>12028</v>
      </c>
      <c r="G715">
        <v>0.70546356650597541</v>
      </c>
      <c r="H715">
        <v>0</v>
      </c>
      <c r="I715">
        <v>0</v>
      </c>
      <c r="J715">
        <v>0.62464643507243334</v>
      </c>
      <c r="K715">
        <v>0</v>
      </c>
      <c r="L715">
        <v>0</v>
      </c>
      <c r="M715">
        <v>0.44715413784101871</v>
      </c>
      <c r="N715">
        <v>0</v>
      </c>
      <c r="O715">
        <v>0</v>
      </c>
      <c r="P715">
        <v>0.49767884366733078</v>
      </c>
      <c r="Q715">
        <v>0.80352283463033591</v>
      </c>
      <c r="R715">
        <v>-2.213512683061829</v>
      </c>
      <c r="S715">
        <v>0.19220343386628519</v>
      </c>
      <c r="T715">
        <v>0.15220708373522909</v>
      </c>
      <c r="U715">
        <v>4.2436712643831056</v>
      </c>
      <c r="V715">
        <v>0.23810297856178911</v>
      </c>
      <c r="W715">
        <v>1.1963740805345859</v>
      </c>
      <c r="X715">
        <v>0.27119923600799328</v>
      </c>
      <c r="Z715" t="s">
        <v>392</v>
      </c>
      <c r="AA715">
        <v>114</v>
      </c>
      <c r="AB715" t="s">
        <v>4148</v>
      </c>
      <c r="AC715" t="str">
        <f>HYPERLINK("plots/3FT6Y578R04_015_S21P_20251218081014_M5358ACSC201811_RBGEUFRF04/dpll_52094/txpa_53216.png","plot")</f>
        <v>plot</v>
      </c>
    </row>
    <row r="716" spans="1:29" x14ac:dyDescent="0.35">
      <c r="A716" t="s">
        <v>49</v>
      </c>
      <c r="B716">
        <v>52094</v>
      </c>
      <c r="C716" t="s">
        <v>53</v>
      </c>
      <c r="D716">
        <v>53217</v>
      </c>
      <c r="E716" t="s">
        <v>92</v>
      </c>
      <c r="F716">
        <v>12028</v>
      </c>
      <c r="G716">
        <v>0.70194479792226372</v>
      </c>
      <c r="H716">
        <v>0</v>
      </c>
      <c r="I716">
        <v>0</v>
      </c>
      <c r="J716">
        <v>0.61492223975922977</v>
      </c>
      <c r="K716">
        <v>0</v>
      </c>
      <c r="L716">
        <v>0</v>
      </c>
      <c r="M716">
        <v>0.43912940298895231</v>
      </c>
      <c r="N716">
        <v>0</v>
      </c>
      <c r="O716">
        <v>0</v>
      </c>
      <c r="P716">
        <v>0.49272649933012758</v>
      </c>
      <c r="Q716">
        <v>0.78838997707462033</v>
      </c>
      <c r="R716">
        <v>-2.141345055513316</v>
      </c>
      <c r="S716">
        <v>0.19046097206690221</v>
      </c>
      <c r="T716">
        <v>0.1516215226876278</v>
      </c>
      <c r="U716">
        <v>4.2436712643831056</v>
      </c>
      <c r="V716">
        <v>0.23810297856178911</v>
      </c>
      <c r="W716">
        <v>1.2043228353259059</v>
      </c>
      <c r="X716">
        <v>0.2674255901110279</v>
      </c>
      <c r="Z716" t="s">
        <v>392</v>
      </c>
      <c r="AA716">
        <v>114</v>
      </c>
      <c r="AB716" t="s">
        <v>4149</v>
      </c>
      <c r="AC716" t="str">
        <f>HYPERLINK("plots/3FT6Y578R04_015_S21P_20251218081014_M5358ACSC201811_RBGEUFRF04/dpll_52094/txpa_53217.png","plot")</f>
        <v>plot</v>
      </c>
    </row>
    <row r="717" spans="1:29" x14ac:dyDescent="0.35">
      <c r="A717" t="s">
        <v>49</v>
      </c>
      <c r="B717">
        <v>52094</v>
      </c>
      <c r="C717" t="s">
        <v>53</v>
      </c>
      <c r="D717">
        <v>53218</v>
      </c>
      <c r="E717" t="s">
        <v>93</v>
      </c>
      <c r="F717">
        <v>12027</v>
      </c>
      <c r="G717">
        <v>0.6927559341176891</v>
      </c>
      <c r="H717">
        <v>0</v>
      </c>
      <c r="I717">
        <v>0</v>
      </c>
      <c r="J717">
        <v>0.6063901807112555</v>
      </c>
      <c r="K717">
        <v>0</v>
      </c>
      <c r="L717">
        <v>0</v>
      </c>
      <c r="M717">
        <v>0.43270132830348251</v>
      </c>
      <c r="N717">
        <v>0</v>
      </c>
      <c r="O717">
        <v>0</v>
      </c>
      <c r="P717">
        <v>0.479910784255272</v>
      </c>
      <c r="Q717">
        <v>0.78183076021072206</v>
      </c>
      <c r="R717">
        <v>-2.1615167231949659</v>
      </c>
      <c r="S717">
        <v>0.1937804578596756</v>
      </c>
      <c r="T717">
        <v>0.1533676114060035</v>
      </c>
      <c r="U717">
        <v>4.2436951445081901</v>
      </c>
      <c r="V717">
        <v>0.2380984732054881</v>
      </c>
      <c r="W717">
        <v>1.156334677738422</v>
      </c>
      <c r="X717">
        <v>0.26871326703010878</v>
      </c>
      <c r="Z717" t="s">
        <v>392</v>
      </c>
      <c r="AA717">
        <v>114</v>
      </c>
      <c r="AB717" t="s">
        <v>4150</v>
      </c>
      <c r="AC717" t="str">
        <f>HYPERLINK("plots/3FT6Y578R04_015_S21P_20251218081014_M5358ACSC201811_RBGEUFRF04/dpll_52094/txpa_53218.png","plot")</f>
        <v>plot</v>
      </c>
    </row>
    <row r="718" spans="1:29" x14ac:dyDescent="0.35">
      <c r="A718" t="s">
        <v>49</v>
      </c>
      <c r="B718">
        <v>52094</v>
      </c>
      <c r="C718" t="s">
        <v>53</v>
      </c>
      <c r="D718">
        <v>53219</v>
      </c>
      <c r="E718" t="s">
        <v>94</v>
      </c>
      <c r="F718">
        <v>12028</v>
      </c>
      <c r="G718">
        <v>0.70220201817997929</v>
      </c>
      <c r="H718">
        <v>0</v>
      </c>
      <c r="I718">
        <v>0</v>
      </c>
      <c r="J718">
        <v>0.62337961274353837</v>
      </c>
      <c r="K718">
        <v>0</v>
      </c>
      <c r="L718">
        <v>0</v>
      </c>
      <c r="M718">
        <v>0.44479693562454181</v>
      </c>
      <c r="N718">
        <v>0</v>
      </c>
      <c r="O718">
        <v>0</v>
      </c>
      <c r="P718">
        <v>0.49308767433603601</v>
      </c>
      <c r="Q718">
        <v>0.81429357411071535</v>
      </c>
      <c r="R718">
        <v>-0.28622061926004427</v>
      </c>
      <c r="S718">
        <v>0.1965767424797018</v>
      </c>
      <c r="T718">
        <v>0.15494489957622021</v>
      </c>
      <c r="U718">
        <v>4.2436712643831056</v>
      </c>
      <c r="V718">
        <v>0.23810297856178911</v>
      </c>
      <c r="W718">
        <v>3.1693736219654141</v>
      </c>
      <c r="X718">
        <v>0.27611103414657512</v>
      </c>
      <c r="Z718" t="s">
        <v>392</v>
      </c>
      <c r="AA718">
        <v>114</v>
      </c>
      <c r="AB718" t="s">
        <v>4151</v>
      </c>
      <c r="AC718" t="str">
        <f>HYPERLINK("plots/3FT6Y578R04_015_S21P_20251218081014_M5358ACSC201811_RBGEUFRF04/dpll_52094/txpa_53219.png","plot")</f>
        <v>plot</v>
      </c>
    </row>
    <row r="719" spans="1:29" x14ac:dyDescent="0.35">
      <c r="A719" t="s">
        <v>49</v>
      </c>
      <c r="B719">
        <v>52094</v>
      </c>
      <c r="C719" t="s">
        <v>53</v>
      </c>
      <c r="D719">
        <v>53220</v>
      </c>
      <c r="E719" t="s">
        <v>95</v>
      </c>
      <c r="F719">
        <v>12028</v>
      </c>
      <c r="G719">
        <v>0.72476316886451919</v>
      </c>
      <c r="H719">
        <v>0</v>
      </c>
      <c r="I719">
        <v>0</v>
      </c>
      <c r="J719">
        <v>0.6428404554491508</v>
      </c>
      <c r="K719">
        <v>0</v>
      </c>
      <c r="L719">
        <v>0</v>
      </c>
      <c r="M719">
        <v>0.46317706817313692</v>
      </c>
      <c r="N719">
        <v>0</v>
      </c>
      <c r="O719">
        <v>0</v>
      </c>
      <c r="P719">
        <v>0.52528165094253954</v>
      </c>
      <c r="Q719">
        <v>0.84861283161351797</v>
      </c>
      <c r="R719">
        <v>-0.39687721775255552</v>
      </c>
      <c r="S719">
        <v>0.1920782819387894</v>
      </c>
      <c r="T719">
        <v>0.15223828525224739</v>
      </c>
      <c r="U719">
        <v>4.2436712643831056</v>
      </c>
      <c r="V719">
        <v>0.23810297856178911</v>
      </c>
      <c r="W719">
        <v>3.204356670352511</v>
      </c>
      <c r="X719">
        <v>0.27879071610315692</v>
      </c>
      <c r="Z719" t="s">
        <v>392</v>
      </c>
      <c r="AA719">
        <v>114</v>
      </c>
      <c r="AB719" t="s">
        <v>4152</v>
      </c>
      <c r="AC719" t="str">
        <f>HYPERLINK("plots/3FT6Y578R04_015_S21P_20251218081014_M5358ACSC201811_RBGEUFRF04/dpll_52094/txpa_53220.png","plot")</f>
        <v>plot</v>
      </c>
    </row>
    <row r="720" spans="1:29" x14ac:dyDescent="0.35">
      <c r="A720" t="s">
        <v>49</v>
      </c>
      <c r="B720">
        <v>52094</v>
      </c>
      <c r="C720" t="s">
        <v>53</v>
      </c>
      <c r="D720">
        <v>53221</v>
      </c>
      <c r="E720" t="s">
        <v>96</v>
      </c>
      <c r="F720">
        <v>12028</v>
      </c>
      <c r="G720">
        <v>0.7124586527291501</v>
      </c>
      <c r="H720">
        <v>0</v>
      </c>
      <c r="I720">
        <v>0</v>
      </c>
      <c r="J720">
        <v>0.62862404486717349</v>
      </c>
      <c r="K720">
        <v>0</v>
      </c>
      <c r="L720">
        <v>0</v>
      </c>
      <c r="M720">
        <v>0.45042033293996198</v>
      </c>
      <c r="N720">
        <v>0</v>
      </c>
      <c r="O720">
        <v>0</v>
      </c>
      <c r="P720">
        <v>0.50759733184863565</v>
      </c>
      <c r="Q720">
        <v>0.81480060475167337</v>
      </c>
      <c r="R720">
        <v>-0.23550635979317169</v>
      </c>
      <c r="S720">
        <v>0.19107270423725761</v>
      </c>
      <c r="T720">
        <v>0.1511853724075414</v>
      </c>
      <c r="U720">
        <v>4.2436712643831056</v>
      </c>
      <c r="V720">
        <v>0.23810297856178911</v>
      </c>
      <c r="W720">
        <v>3.2222395527934822</v>
      </c>
      <c r="X720">
        <v>0.27230555791856498</v>
      </c>
      <c r="Z720" t="s">
        <v>392</v>
      </c>
      <c r="AA720">
        <v>114</v>
      </c>
      <c r="AB720" t="s">
        <v>4153</v>
      </c>
      <c r="AC720" t="str">
        <f>HYPERLINK("plots/3FT6Y578R04_015_S21P_20251218081014_M5358ACSC201811_RBGEUFRF04/dpll_52094/txpa_53221.png","plot")</f>
        <v>plot</v>
      </c>
    </row>
    <row r="721" spans="1:29" x14ac:dyDescent="0.35">
      <c r="A721" t="s">
        <v>49</v>
      </c>
      <c r="B721">
        <v>52094</v>
      </c>
      <c r="C721" t="s">
        <v>53</v>
      </c>
      <c r="D721">
        <v>53222</v>
      </c>
      <c r="E721" t="s">
        <v>97</v>
      </c>
      <c r="F721">
        <v>12027</v>
      </c>
      <c r="G721">
        <v>0.72832160534992074</v>
      </c>
      <c r="H721">
        <v>0</v>
      </c>
      <c r="I721">
        <v>0</v>
      </c>
      <c r="J721">
        <v>0.64159854529391547</v>
      </c>
      <c r="K721">
        <v>0</v>
      </c>
      <c r="L721">
        <v>0</v>
      </c>
      <c r="M721">
        <v>0.46222763301863218</v>
      </c>
      <c r="N721">
        <v>0</v>
      </c>
      <c r="O721">
        <v>0</v>
      </c>
      <c r="P721">
        <v>0.53045236081948566</v>
      </c>
      <c r="Q721">
        <v>0.84603003671615939</v>
      </c>
      <c r="R721">
        <v>-0.36211596389277112</v>
      </c>
      <c r="S721">
        <v>0.18952422011965889</v>
      </c>
      <c r="T721">
        <v>0.1502713574257577</v>
      </c>
      <c r="U721">
        <v>4.2436786742329762</v>
      </c>
      <c r="V721">
        <v>0.2381114909913796</v>
      </c>
      <c r="W721">
        <v>3.2281636606801358</v>
      </c>
      <c r="X721">
        <v>0.27659411994127281</v>
      </c>
      <c r="Z721" t="s">
        <v>392</v>
      </c>
      <c r="AA721">
        <v>114</v>
      </c>
      <c r="AB721" t="s">
        <v>4154</v>
      </c>
      <c r="AC721" t="str">
        <f>HYPERLINK("plots/3FT6Y578R04_015_S21P_20251218081014_M5358ACSC201811_RBGEUFRF04/dpll_52094/txpa_53222.png","plot")</f>
        <v>plot</v>
      </c>
    </row>
    <row r="722" spans="1:29" x14ac:dyDescent="0.35">
      <c r="A722" t="s">
        <v>49</v>
      </c>
      <c r="B722">
        <v>52094</v>
      </c>
      <c r="C722" t="s">
        <v>53</v>
      </c>
      <c r="D722">
        <v>53223</v>
      </c>
      <c r="E722" t="s">
        <v>98</v>
      </c>
      <c r="F722">
        <v>12027</v>
      </c>
      <c r="G722">
        <v>0.73006625898347155</v>
      </c>
      <c r="H722">
        <v>0</v>
      </c>
      <c r="I722">
        <v>0</v>
      </c>
      <c r="J722">
        <v>0.63782402649619041</v>
      </c>
      <c r="K722">
        <v>0</v>
      </c>
      <c r="L722">
        <v>0</v>
      </c>
      <c r="M722">
        <v>0.45750265046857869</v>
      </c>
      <c r="N722">
        <v>0</v>
      </c>
      <c r="O722">
        <v>0</v>
      </c>
      <c r="P722">
        <v>0.53299674250612139</v>
      </c>
      <c r="Q722">
        <v>0.84368321184172035</v>
      </c>
      <c r="R722">
        <v>-0.36324548641491861</v>
      </c>
      <c r="S722">
        <v>0.18801914107018111</v>
      </c>
      <c r="T722">
        <v>0.14976482625935761</v>
      </c>
      <c r="U722">
        <v>4.2436418554918101</v>
      </c>
      <c r="V722">
        <v>0.23809103076034549</v>
      </c>
      <c r="W722">
        <v>3.2170439041323688</v>
      </c>
      <c r="X722">
        <v>0.27514407503544408</v>
      </c>
      <c r="Z722" t="s">
        <v>392</v>
      </c>
      <c r="AA722">
        <v>114</v>
      </c>
      <c r="AB722" t="s">
        <v>4155</v>
      </c>
      <c r="AC722" t="str">
        <f>HYPERLINK("plots/3FT6Y578R04_015_S21P_20251218081014_M5358ACSC201811_RBGEUFRF04/dpll_52094/txpa_53223.png","plot")</f>
        <v>plot</v>
      </c>
    </row>
    <row r="723" spans="1:29" x14ac:dyDescent="0.35">
      <c r="A723" t="s">
        <v>49</v>
      </c>
      <c r="B723">
        <v>52094</v>
      </c>
      <c r="C723" t="s">
        <v>53</v>
      </c>
      <c r="D723">
        <v>53224</v>
      </c>
      <c r="E723" t="s">
        <v>99</v>
      </c>
      <c r="F723">
        <v>12028</v>
      </c>
      <c r="G723">
        <v>0.73410477556555254</v>
      </c>
      <c r="H723">
        <v>0</v>
      </c>
      <c r="I723">
        <v>0</v>
      </c>
      <c r="J723">
        <v>0.65595027191392197</v>
      </c>
      <c r="K723">
        <v>0</v>
      </c>
      <c r="L723">
        <v>0</v>
      </c>
      <c r="M723">
        <v>0.47367857403414548</v>
      </c>
      <c r="N723">
        <v>0</v>
      </c>
      <c r="O723">
        <v>0</v>
      </c>
      <c r="P723">
        <v>0.53890982150815026</v>
      </c>
      <c r="Q723">
        <v>0.85577038002999273</v>
      </c>
      <c r="R723">
        <v>-0.41079249912702931</v>
      </c>
      <c r="S723">
        <v>0.18846855947512031</v>
      </c>
      <c r="T723">
        <v>0.1492683050174492</v>
      </c>
      <c r="U723">
        <v>4.2436712643831056</v>
      </c>
      <c r="V723">
        <v>0.23810297856178911</v>
      </c>
      <c r="W723">
        <v>3.220815671516462</v>
      </c>
      <c r="X723">
        <v>0.27756457011619101</v>
      </c>
      <c r="Z723" t="s">
        <v>392</v>
      </c>
      <c r="AA723">
        <v>114</v>
      </c>
      <c r="AB723" t="s">
        <v>4156</v>
      </c>
      <c r="AC723" t="str">
        <f>HYPERLINK("plots/3FT6Y578R04_015_S21P_20251218081014_M5358ACSC201811_RBGEUFRF04/dpll_52094/txpa_53224.png","plot")</f>
        <v>plot</v>
      </c>
    </row>
    <row r="724" spans="1:29" x14ac:dyDescent="0.35">
      <c r="A724" t="s">
        <v>49</v>
      </c>
      <c r="B724">
        <v>52094</v>
      </c>
      <c r="C724" t="s">
        <v>53</v>
      </c>
      <c r="D724">
        <v>53225</v>
      </c>
      <c r="E724" t="s">
        <v>100</v>
      </c>
      <c r="F724">
        <v>12028</v>
      </c>
      <c r="G724">
        <v>0.73119595233122581</v>
      </c>
      <c r="H724">
        <v>0</v>
      </c>
      <c r="I724">
        <v>0</v>
      </c>
      <c r="J724">
        <v>0.64607015351617902</v>
      </c>
      <c r="K724">
        <v>0</v>
      </c>
      <c r="L724">
        <v>0</v>
      </c>
      <c r="M724">
        <v>0.46531337917545212</v>
      </c>
      <c r="N724">
        <v>0</v>
      </c>
      <c r="O724">
        <v>0</v>
      </c>
      <c r="P724">
        <v>0.5346475207055682</v>
      </c>
      <c r="Q724">
        <v>0.84099310811044592</v>
      </c>
      <c r="R724">
        <v>-0.34075384371554129</v>
      </c>
      <c r="S724">
        <v>0.18680842043197579</v>
      </c>
      <c r="T724">
        <v>0.14881385623404739</v>
      </c>
      <c r="U724">
        <v>4.2436712643831056</v>
      </c>
      <c r="V724">
        <v>0.23810297856178911</v>
      </c>
      <c r="W724">
        <v>3.2281444427169932</v>
      </c>
      <c r="X724">
        <v>0.27385677307514072</v>
      </c>
      <c r="Z724" t="s">
        <v>392</v>
      </c>
      <c r="AA724">
        <v>114</v>
      </c>
      <c r="AB724" t="s">
        <v>4157</v>
      </c>
      <c r="AC724" t="str">
        <f>HYPERLINK("plots/3FT6Y578R04_015_S21P_20251218081014_M5358ACSC201811_RBGEUFRF04/dpll_52094/txpa_53225.png","plot")</f>
        <v>plot</v>
      </c>
    </row>
    <row r="725" spans="1:29" x14ac:dyDescent="0.35">
      <c r="A725" t="s">
        <v>49</v>
      </c>
      <c r="B725">
        <v>52094</v>
      </c>
      <c r="C725" t="s">
        <v>53</v>
      </c>
      <c r="D725">
        <v>53226</v>
      </c>
      <c r="E725" t="s">
        <v>101</v>
      </c>
      <c r="F725">
        <v>12027</v>
      </c>
      <c r="G725">
        <v>0.72405095708752976</v>
      </c>
      <c r="H725">
        <v>0</v>
      </c>
      <c r="I725">
        <v>0</v>
      </c>
      <c r="J725">
        <v>0.63944825370308112</v>
      </c>
      <c r="K725">
        <v>0</v>
      </c>
      <c r="L725">
        <v>0</v>
      </c>
      <c r="M725">
        <v>0.46039594613730528</v>
      </c>
      <c r="N725">
        <v>0</v>
      </c>
      <c r="O725">
        <v>0</v>
      </c>
      <c r="P725">
        <v>0.52424978845936787</v>
      </c>
      <c r="Q725">
        <v>0.83494420183709994</v>
      </c>
      <c r="R725">
        <v>-0.36015202136432428</v>
      </c>
      <c r="S725">
        <v>0.18937226387465439</v>
      </c>
      <c r="T725">
        <v>0.14970643886683471</v>
      </c>
      <c r="U725">
        <v>4.2436951445081901</v>
      </c>
      <c r="V725">
        <v>0.2380984732054881</v>
      </c>
      <c r="W725">
        <v>3.1830966339070428</v>
      </c>
      <c r="X725">
        <v>0.27456484619376842</v>
      </c>
      <c r="Z725" t="s">
        <v>392</v>
      </c>
      <c r="AA725">
        <v>114</v>
      </c>
      <c r="AB725" t="s">
        <v>4158</v>
      </c>
      <c r="AC725" t="str">
        <f>HYPERLINK("plots/3FT6Y578R04_015_S21P_20251218081014_M5358ACSC201811_RBGEUFRF04/dpll_52094/txpa_53226.png","plot")</f>
        <v>plot</v>
      </c>
    </row>
    <row r="726" spans="1:29" x14ac:dyDescent="0.35">
      <c r="A726" t="s">
        <v>49</v>
      </c>
      <c r="B726">
        <v>52094</v>
      </c>
      <c r="C726" t="s">
        <v>53</v>
      </c>
      <c r="D726">
        <v>53227</v>
      </c>
      <c r="E726" t="s">
        <v>102</v>
      </c>
      <c r="F726">
        <v>12028</v>
      </c>
      <c r="G726">
        <v>0.73875131513747527</v>
      </c>
      <c r="H726">
        <v>0</v>
      </c>
      <c r="I726">
        <v>0</v>
      </c>
      <c r="J726">
        <v>0.65583660108878383</v>
      </c>
      <c r="K726">
        <v>0</v>
      </c>
      <c r="L726">
        <v>0</v>
      </c>
      <c r="M726">
        <v>0.47223598043460507</v>
      </c>
      <c r="N726">
        <v>0</v>
      </c>
      <c r="O726">
        <v>0</v>
      </c>
      <c r="P726">
        <v>0.54575350561734925</v>
      </c>
      <c r="Q726">
        <v>0.89336694648268877</v>
      </c>
      <c r="R726">
        <v>1.836278768460204</v>
      </c>
      <c r="S726">
        <v>0.19405470600339769</v>
      </c>
      <c r="T726">
        <v>0.15277075608361071</v>
      </c>
      <c r="U726">
        <v>4.2436712643831056</v>
      </c>
      <c r="V726">
        <v>0.23810297856178911</v>
      </c>
      <c r="W726">
        <v>5.6274344077984706</v>
      </c>
      <c r="X726">
        <v>0.28793631435579159</v>
      </c>
      <c r="Z726" t="s">
        <v>392</v>
      </c>
      <c r="AA726">
        <v>114</v>
      </c>
      <c r="AB726" t="s">
        <v>4159</v>
      </c>
      <c r="AC726" t="str">
        <f>HYPERLINK("plots/3FT6Y578R04_015_S21P_20251218081014_M5358ACSC201811_RBGEUFRF04/dpll_52094/txpa_53227.png","plot")</f>
        <v>plot</v>
      </c>
    </row>
    <row r="727" spans="1:29" x14ac:dyDescent="0.35">
      <c r="A727" t="s">
        <v>49</v>
      </c>
      <c r="B727">
        <v>52094</v>
      </c>
      <c r="C727" t="s">
        <v>53</v>
      </c>
      <c r="D727">
        <v>53228</v>
      </c>
      <c r="E727" t="s">
        <v>103</v>
      </c>
      <c r="F727">
        <v>12028</v>
      </c>
      <c r="G727">
        <v>0.75853756460122201</v>
      </c>
      <c r="H727">
        <v>0</v>
      </c>
      <c r="I727">
        <v>0</v>
      </c>
      <c r="J727">
        <v>0.6731677375703119</v>
      </c>
      <c r="K727">
        <v>0</v>
      </c>
      <c r="L727">
        <v>0</v>
      </c>
      <c r="M727">
        <v>0.48943289902498321</v>
      </c>
      <c r="N727">
        <v>0</v>
      </c>
      <c r="O727">
        <v>0</v>
      </c>
      <c r="P727">
        <v>0.57537923691115311</v>
      </c>
      <c r="Q727">
        <v>0.9263809821590856</v>
      </c>
      <c r="R727">
        <v>1.7304455930975879</v>
      </c>
      <c r="S727">
        <v>0.18947849436482281</v>
      </c>
      <c r="T727">
        <v>0.15014544317822651</v>
      </c>
      <c r="U727">
        <v>4.2436712643831056</v>
      </c>
      <c r="V727">
        <v>0.23810297856178911</v>
      </c>
      <c r="W727">
        <v>5.6617019469570993</v>
      </c>
      <c r="X727">
        <v>0.29078859298291171</v>
      </c>
      <c r="Z727" t="s">
        <v>392</v>
      </c>
      <c r="AA727">
        <v>114</v>
      </c>
      <c r="AB727" t="s">
        <v>4160</v>
      </c>
      <c r="AC727" t="str">
        <f>HYPERLINK("plots/3FT6Y578R04_015_S21P_20251218081014_M5358ACSC201811_RBGEUFRF04/dpll_52094/txpa_53228.png","plot")</f>
        <v>plot</v>
      </c>
    </row>
    <row r="728" spans="1:29" x14ac:dyDescent="0.35">
      <c r="A728" t="s">
        <v>49</v>
      </c>
      <c r="B728">
        <v>52094</v>
      </c>
      <c r="C728" t="s">
        <v>53</v>
      </c>
      <c r="D728">
        <v>53229</v>
      </c>
      <c r="E728" t="s">
        <v>104</v>
      </c>
      <c r="F728">
        <v>12028</v>
      </c>
      <c r="G728">
        <v>0.74806687120903426</v>
      </c>
      <c r="H728">
        <v>0</v>
      </c>
      <c r="I728">
        <v>0</v>
      </c>
      <c r="J728">
        <v>0.66021561429510467</v>
      </c>
      <c r="K728">
        <v>0</v>
      </c>
      <c r="L728">
        <v>0</v>
      </c>
      <c r="M728">
        <v>0.47738409132415971</v>
      </c>
      <c r="N728">
        <v>0</v>
      </c>
      <c r="O728">
        <v>0</v>
      </c>
      <c r="P728">
        <v>0.55960404380047379</v>
      </c>
      <c r="Q728">
        <v>0.89332257789987846</v>
      </c>
      <c r="R728">
        <v>1.88854687181554</v>
      </c>
      <c r="S728">
        <v>0.18868454276649971</v>
      </c>
      <c r="T728">
        <v>0.14905561883724761</v>
      </c>
      <c r="U728">
        <v>4.2436712643831056</v>
      </c>
      <c r="V728">
        <v>0.23810297856178911</v>
      </c>
      <c r="W728">
        <v>5.679514225473894</v>
      </c>
      <c r="X728">
        <v>0.28433656775989041</v>
      </c>
      <c r="Z728" t="s">
        <v>392</v>
      </c>
      <c r="AA728">
        <v>114</v>
      </c>
      <c r="AB728" t="s">
        <v>4161</v>
      </c>
      <c r="AC728" t="str">
        <f>HYPERLINK("plots/3FT6Y578R04_015_S21P_20251218081014_M5358ACSC201811_RBGEUFRF04/dpll_52094/txpa_53229.png","plot")</f>
        <v>plot</v>
      </c>
    </row>
    <row r="729" spans="1:29" x14ac:dyDescent="0.35">
      <c r="A729" t="s">
        <v>49</v>
      </c>
      <c r="B729">
        <v>52094</v>
      </c>
      <c r="C729" t="s">
        <v>53</v>
      </c>
      <c r="D729">
        <v>53230</v>
      </c>
      <c r="E729" t="s">
        <v>105</v>
      </c>
      <c r="F729">
        <v>12027</v>
      </c>
      <c r="G729">
        <v>0.76273626239877834</v>
      </c>
      <c r="H729">
        <v>0</v>
      </c>
      <c r="I729">
        <v>0</v>
      </c>
      <c r="J729">
        <v>0.67315438734334865</v>
      </c>
      <c r="K729">
        <v>0</v>
      </c>
      <c r="L729">
        <v>0</v>
      </c>
      <c r="M729">
        <v>0.48956822159576502</v>
      </c>
      <c r="N729">
        <v>0</v>
      </c>
      <c r="O729">
        <v>0</v>
      </c>
      <c r="P729">
        <v>0.58176660597805807</v>
      </c>
      <c r="Q729">
        <v>0.9242205038523218</v>
      </c>
      <c r="R729">
        <v>1.760640573992633</v>
      </c>
      <c r="S729">
        <v>0.18658333726327031</v>
      </c>
      <c r="T729">
        <v>0.14786826035806289</v>
      </c>
      <c r="U729">
        <v>4.2436786742329762</v>
      </c>
      <c r="V729">
        <v>0.2381114909913796</v>
      </c>
      <c r="W729">
        <v>5.6827354164795878</v>
      </c>
      <c r="X729">
        <v>0.28852374408550591</v>
      </c>
      <c r="Z729" t="s">
        <v>392</v>
      </c>
      <c r="AA729">
        <v>114</v>
      </c>
      <c r="AB729" t="s">
        <v>4162</v>
      </c>
      <c r="AC729" t="str">
        <f>HYPERLINK("plots/3FT6Y578R04_015_S21P_20251218081014_M5358ACSC201811_RBGEUFRF04/dpll_52094/txpa_53230.png","plot")</f>
        <v>plot</v>
      </c>
    </row>
    <row r="730" spans="1:29" x14ac:dyDescent="0.35">
      <c r="A730" t="s">
        <v>49</v>
      </c>
      <c r="B730">
        <v>52094</v>
      </c>
      <c r="C730" t="s">
        <v>53</v>
      </c>
      <c r="D730">
        <v>53231</v>
      </c>
      <c r="E730" t="s">
        <v>106</v>
      </c>
      <c r="F730">
        <v>12027</v>
      </c>
      <c r="G730">
        <v>0.7644638160197611</v>
      </c>
      <c r="H730">
        <v>0</v>
      </c>
      <c r="I730">
        <v>0</v>
      </c>
      <c r="J730">
        <v>0.67016951515171319</v>
      </c>
      <c r="K730">
        <v>0</v>
      </c>
      <c r="L730">
        <v>0</v>
      </c>
      <c r="M730">
        <v>0.48540318090086348</v>
      </c>
      <c r="N730">
        <v>0</v>
      </c>
      <c r="O730">
        <v>0</v>
      </c>
      <c r="P730">
        <v>0.58440492600349514</v>
      </c>
      <c r="Q730">
        <v>0.92195654572787655</v>
      </c>
      <c r="R730">
        <v>1.7574840472122499</v>
      </c>
      <c r="S730">
        <v>0.1851031004530149</v>
      </c>
      <c r="T730">
        <v>0.14726087815308839</v>
      </c>
      <c r="U730">
        <v>4.2436418554918101</v>
      </c>
      <c r="V730">
        <v>0.23809103076034549</v>
      </c>
      <c r="W730">
        <v>5.669937433607716</v>
      </c>
      <c r="X730">
        <v>0.28714188911058097</v>
      </c>
      <c r="Z730" t="s">
        <v>392</v>
      </c>
      <c r="AA730">
        <v>114</v>
      </c>
      <c r="AB730" t="s">
        <v>4163</v>
      </c>
      <c r="AC730" t="str">
        <f>HYPERLINK("plots/3FT6Y578R04_015_S21P_20251218081014_M5358ACSC201811_RBGEUFRF04/dpll_52094/txpa_53231.png","plot")</f>
        <v>plot</v>
      </c>
    </row>
    <row r="731" spans="1:29" x14ac:dyDescent="0.35">
      <c r="A731" t="s">
        <v>49</v>
      </c>
      <c r="B731">
        <v>52094</v>
      </c>
      <c r="C731" t="s">
        <v>53</v>
      </c>
      <c r="D731">
        <v>53232</v>
      </c>
      <c r="E731" t="s">
        <v>107</v>
      </c>
      <c r="F731">
        <v>12027</v>
      </c>
      <c r="G731">
        <v>0.76881319246283275</v>
      </c>
      <c r="H731">
        <v>0</v>
      </c>
      <c r="I731">
        <v>0</v>
      </c>
      <c r="J731">
        <v>0.68618793352933505</v>
      </c>
      <c r="K731">
        <v>0</v>
      </c>
      <c r="L731">
        <v>0</v>
      </c>
      <c r="M731">
        <v>0.50020167999281828</v>
      </c>
      <c r="N731">
        <v>0</v>
      </c>
      <c r="O731">
        <v>0</v>
      </c>
      <c r="P731">
        <v>0.59107372490489274</v>
      </c>
      <c r="Q731">
        <v>0.93502483555474192</v>
      </c>
      <c r="R731">
        <v>1.7095558047896531</v>
      </c>
      <c r="S731">
        <v>0.18515609003220951</v>
      </c>
      <c r="T731">
        <v>0.14707663127012999</v>
      </c>
      <c r="U731">
        <v>4.2436377816579363</v>
      </c>
      <c r="V731">
        <v>0.2380845584627882</v>
      </c>
      <c r="W731">
        <v>5.6774625237382548</v>
      </c>
      <c r="X731">
        <v>0.28955665343314713</v>
      </c>
      <c r="Z731" t="s">
        <v>392</v>
      </c>
      <c r="AA731">
        <v>114</v>
      </c>
      <c r="AB731" t="s">
        <v>4164</v>
      </c>
      <c r="AC731" t="str">
        <f>HYPERLINK("plots/3FT6Y578R04_015_S21P_20251218081014_M5358ACSC201811_RBGEUFRF04/dpll_52094/txpa_53232.png","plot")</f>
        <v>plot</v>
      </c>
    </row>
    <row r="732" spans="1:29" x14ac:dyDescent="0.35">
      <c r="A732" t="s">
        <v>49</v>
      </c>
      <c r="B732">
        <v>52094</v>
      </c>
      <c r="C732" t="s">
        <v>53</v>
      </c>
      <c r="D732">
        <v>53233</v>
      </c>
      <c r="E732" t="s">
        <v>108</v>
      </c>
      <c r="F732">
        <v>12028</v>
      </c>
      <c r="G732">
        <v>0.76516455197814326</v>
      </c>
      <c r="H732">
        <v>0</v>
      </c>
      <c r="I732">
        <v>0</v>
      </c>
      <c r="J732">
        <v>0.67651436424126421</v>
      </c>
      <c r="K732">
        <v>0</v>
      </c>
      <c r="L732">
        <v>0</v>
      </c>
      <c r="M732">
        <v>0.49196669468741261</v>
      </c>
      <c r="N732">
        <v>0</v>
      </c>
      <c r="O732">
        <v>0</v>
      </c>
      <c r="P732">
        <v>0.58547679160391275</v>
      </c>
      <c r="Q732">
        <v>0.91957347067293127</v>
      </c>
      <c r="R732">
        <v>1.782226749071445</v>
      </c>
      <c r="S732">
        <v>0.18422679254038049</v>
      </c>
      <c r="T732">
        <v>0.14660541363870111</v>
      </c>
      <c r="U732">
        <v>4.2436712643831056</v>
      </c>
      <c r="V732">
        <v>0.23810297856178911</v>
      </c>
      <c r="W732">
        <v>5.6845942620552048</v>
      </c>
      <c r="X732">
        <v>0.28615175887013827</v>
      </c>
      <c r="Z732" t="s">
        <v>392</v>
      </c>
      <c r="AA732">
        <v>114</v>
      </c>
      <c r="AB732" t="s">
        <v>4165</v>
      </c>
      <c r="AC732" t="str">
        <f>HYPERLINK("plots/3FT6Y578R04_015_S21P_20251218081014_M5358ACSC201811_RBGEUFRF04/dpll_52094/txpa_53233.png","plot")</f>
        <v>plot</v>
      </c>
    </row>
    <row r="733" spans="1:29" x14ac:dyDescent="0.35">
      <c r="A733" t="s">
        <v>49</v>
      </c>
      <c r="B733">
        <v>52094</v>
      </c>
      <c r="C733" t="s">
        <v>53</v>
      </c>
      <c r="D733">
        <v>53234</v>
      </c>
      <c r="E733" t="s">
        <v>109</v>
      </c>
      <c r="F733">
        <v>12027</v>
      </c>
      <c r="G733">
        <v>0.75950135073466962</v>
      </c>
      <c r="H733">
        <v>0</v>
      </c>
      <c r="I733">
        <v>0</v>
      </c>
      <c r="J733">
        <v>0.67114620504393552</v>
      </c>
      <c r="K733">
        <v>0</v>
      </c>
      <c r="L733">
        <v>0</v>
      </c>
      <c r="M733">
        <v>0.48786589622675303</v>
      </c>
      <c r="N733">
        <v>0</v>
      </c>
      <c r="O733">
        <v>0</v>
      </c>
      <c r="P733">
        <v>0.57684230176778761</v>
      </c>
      <c r="Q733">
        <v>0.91448575093740181</v>
      </c>
      <c r="R733">
        <v>1.7612786069089481</v>
      </c>
      <c r="S733">
        <v>0.18648249460939689</v>
      </c>
      <c r="T733">
        <v>0.14732318644970849</v>
      </c>
      <c r="U733">
        <v>4.2436951445081901</v>
      </c>
      <c r="V733">
        <v>0.2380984732054881</v>
      </c>
      <c r="W733">
        <v>5.6420773478839266</v>
      </c>
      <c r="X733">
        <v>0.28668502150226721</v>
      </c>
      <c r="Z733" t="s">
        <v>392</v>
      </c>
      <c r="AA733">
        <v>114</v>
      </c>
      <c r="AB733" t="s">
        <v>4166</v>
      </c>
      <c r="AC733" t="str">
        <f>HYPERLINK("plots/3FT6Y578R04_015_S21P_20251218081014_M5358ACSC201811_RBGEUFRF04/dpll_52094/txpa_53234.png","plot")</f>
        <v>plot</v>
      </c>
    </row>
    <row r="734" spans="1:29" x14ac:dyDescent="0.35">
      <c r="A734" t="s">
        <v>49</v>
      </c>
      <c r="B734">
        <v>52094</v>
      </c>
      <c r="C734" t="s">
        <v>53</v>
      </c>
      <c r="D734">
        <v>53235</v>
      </c>
      <c r="E734" t="s">
        <v>110</v>
      </c>
      <c r="F734">
        <v>12028</v>
      </c>
      <c r="G734">
        <v>0.75229056207132705</v>
      </c>
      <c r="H734">
        <v>0</v>
      </c>
      <c r="I734">
        <v>0</v>
      </c>
      <c r="J734">
        <v>0.66615494054432667</v>
      </c>
      <c r="K734">
        <v>0</v>
      </c>
      <c r="L734">
        <v>0</v>
      </c>
      <c r="M734">
        <v>0.48111707547747162</v>
      </c>
      <c r="N734">
        <v>0</v>
      </c>
      <c r="O734">
        <v>0</v>
      </c>
      <c r="P734">
        <v>0.56594108978159319</v>
      </c>
      <c r="Q734">
        <v>0.9337463844736521</v>
      </c>
      <c r="R734">
        <v>2.7564975153184381</v>
      </c>
      <c r="S734">
        <v>0.19469931865828949</v>
      </c>
      <c r="T734">
        <v>0.15295031166814371</v>
      </c>
      <c r="U734">
        <v>4.2436712643831056</v>
      </c>
      <c r="V734">
        <v>0.23810297856178911</v>
      </c>
      <c r="W734">
        <v>6.7190102153308953</v>
      </c>
      <c r="X734">
        <v>0.29553447374419989</v>
      </c>
      <c r="Z734" t="s">
        <v>392</v>
      </c>
      <c r="AA734">
        <v>114</v>
      </c>
      <c r="AB734" t="s">
        <v>4167</v>
      </c>
      <c r="AC734" t="str">
        <f>HYPERLINK("plots/3FT6Y578R04_015_S21P_20251218081014_M5358ACSC201811_RBGEUFRF04/dpll_52094/txpa_53235.png","plot")</f>
        <v>plot</v>
      </c>
    </row>
    <row r="735" spans="1:29" x14ac:dyDescent="0.35">
      <c r="A735" t="s">
        <v>49</v>
      </c>
      <c r="B735">
        <v>52094</v>
      </c>
      <c r="C735" t="s">
        <v>53</v>
      </c>
      <c r="D735">
        <v>53236</v>
      </c>
      <c r="E735" t="s">
        <v>111</v>
      </c>
      <c r="F735">
        <v>12028</v>
      </c>
      <c r="G735">
        <v>0.77120439552490638</v>
      </c>
      <c r="H735">
        <v>0</v>
      </c>
      <c r="I735">
        <v>0</v>
      </c>
      <c r="J735">
        <v>0.68292298267997187</v>
      </c>
      <c r="K735">
        <v>0</v>
      </c>
      <c r="L735">
        <v>0</v>
      </c>
      <c r="M735">
        <v>0.49801087717674319</v>
      </c>
      <c r="N735">
        <v>0</v>
      </c>
      <c r="O735">
        <v>0</v>
      </c>
      <c r="P735">
        <v>0.59475621967693626</v>
      </c>
      <c r="Q735">
        <v>0.96690152489935377</v>
      </c>
      <c r="R735">
        <v>2.649621444087892</v>
      </c>
      <c r="S735">
        <v>0.19002804572086679</v>
      </c>
      <c r="T735">
        <v>0.150385721257323</v>
      </c>
      <c r="U735">
        <v>4.2436712643831056</v>
      </c>
      <c r="V735">
        <v>0.23810297856178911</v>
      </c>
      <c r="W735">
        <v>6.7528336607914872</v>
      </c>
      <c r="X735">
        <v>0.29852284866423168</v>
      </c>
      <c r="Z735" t="s">
        <v>392</v>
      </c>
      <c r="AA735">
        <v>114</v>
      </c>
      <c r="AB735" t="s">
        <v>4168</v>
      </c>
      <c r="AC735" t="str">
        <f>HYPERLINK("plots/3FT6Y578R04_015_S21P_20251218081014_M5358ACSC201811_RBGEUFRF04/dpll_52094/txpa_53236.png","plot")</f>
        <v>plot</v>
      </c>
    </row>
    <row r="736" spans="1:29" x14ac:dyDescent="0.35">
      <c r="A736" t="s">
        <v>49</v>
      </c>
      <c r="B736">
        <v>52094</v>
      </c>
      <c r="C736" t="s">
        <v>53</v>
      </c>
      <c r="D736">
        <v>53237</v>
      </c>
      <c r="E736" t="s">
        <v>112</v>
      </c>
      <c r="F736">
        <v>12028</v>
      </c>
      <c r="G736">
        <v>0.76165765806611296</v>
      </c>
      <c r="H736">
        <v>0</v>
      </c>
      <c r="I736">
        <v>0</v>
      </c>
      <c r="J736">
        <v>0.67034782997490172</v>
      </c>
      <c r="K736">
        <v>0</v>
      </c>
      <c r="L736">
        <v>0</v>
      </c>
      <c r="M736">
        <v>0.48618114187744549</v>
      </c>
      <c r="N736">
        <v>0</v>
      </c>
      <c r="O736">
        <v>0</v>
      </c>
      <c r="P736">
        <v>0.58012238809075589</v>
      </c>
      <c r="Q736">
        <v>0.93401942809178107</v>
      </c>
      <c r="R736">
        <v>2.8072059389067232</v>
      </c>
      <c r="S736">
        <v>0.18919263681521209</v>
      </c>
      <c r="T736">
        <v>0.14926509819363151</v>
      </c>
      <c r="U736">
        <v>4.2436712643831056</v>
      </c>
      <c r="V736">
        <v>0.23810297856178911</v>
      </c>
      <c r="W736">
        <v>6.7708773462753573</v>
      </c>
      <c r="X736">
        <v>0.2919852580855003</v>
      </c>
      <c r="Z736" t="s">
        <v>392</v>
      </c>
      <c r="AA736">
        <v>114</v>
      </c>
      <c r="AB736" t="s">
        <v>4169</v>
      </c>
      <c r="AC736" t="str">
        <f>HYPERLINK("plots/3FT6Y578R04_015_S21P_20251218081014_M5358ACSC201811_RBGEUFRF04/dpll_52094/txpa_53237.png","plot")</f>
        <v>plot</v>
      </c>
    </row>
    <row r="737" spans="1:29" x14ac:dyDescent="0.35">
      <c r="A737" t="s">
        <v>49</v>
      </c>
      <c r="B737">
        <v>52094</v>
      </c>
      <c r="C737" t="s">
        <v>53</v>
      </c>
      <c r="D737">
        <v>53238</v>
      </c>
      <c r="E737" t="s">
        <v>113</v>
      </c>
      <c r="F737">
        <v>12027</v>
      </c>
      <c r="G737">
        <v>0.77544487747443114</v>
      </c>
      <c r="H737">
        <v>0</v>
      </c>
      <c r="I737">
        <v>0</v>
      </c>
      <c r="J737">
        <v>0.68314732294363956</v>
      </c>
      <c r="K737">
        <v>0</v>
      </c>
      <c r="L737">
        <v>0</v>
      </c>
      <c r="M737">
        <v>0.49836464814469361</v>
      </c>
      <c r="N737">
        <v>0</v>
      </c>
      <c r="O737">
        <v>0</v>
      </c>
      <c r="P737">
        <v>0.60131475800133549</v>
      </c>
      <c r="Q737">
        <v>0.96515710783000375</v>
      </c>
      <c r="R737">
        <v>2.6775493987231331</v>
      </c>
      <c r="S737">
        <v>0.187121831936963</v>
      </c>
      <c r="T737">
        <v>0.14820866521784229</v>
      </c>
      <c r="U737">
        <v>4.2436786742329762</v>
      </c>
      <c r="V737">
        <v>0.2381114909913796</v>
      </c>
      <c r="W737">
        <v>6.7733660345056963</v>
      </c>
      <c r="X737">
        <v>0.29636535705132389</v>
      </c>
      <c r="Z737" t="s">
        <v>392</v>
      </c>
      <c r="AA737">
        <v>114</v>
      </c>
      <c r="AB737" t="s">
        <v>4170</v>
      </c>
      <c r="AC737" t="str">
        <f>HYPERLINK("plots/3FT6Y578R04_015_S21P_20251218081014_M5358ACSC201811_RBGEUFRF04/dpll_52094/txpa_53238.png","plot")</f>
        <v>plot</v>
      </c>
    </row>
    <row r="738" spans="1:29" x14ac:dyDescent="0.35">
      <c r="A738" t="s">
        <v>49</v>
      </c>
      <c r="B738">
        <v>52094</v>
      </c>
      <c r="C738" t="s">
        <v>53</v>
      </c>
      <c r="D738">
        <v>53239</v>
      </c>
      <c r="E738" t="s">
        <v>114</v>
      </c>
      <c r="F738">
        <v>12027</v>
      </c>
      <c r="G738">
        <v>0.77734113911861635</v>
      </c>
      <c r="H738">
        <v>0</v>
      </c>
      <c r="I738">
        <v>0</v>
      </c>
      <c r="J738">
        <v>0.68019782606541723</v>
      </c>
      <c r="K738">
        <v>0</v>
      </c>
      <c r="L738">
        <v>0</v>
      </c>
      <c r="M738">
        <v>0.49420466500456778</v>
      </c>
      <c r="N738">
        <v>0</v>
      </c>
      <c r="O738">
        <v>0</v>
      </c>
      <c r="P738">
        <v>0.60425924656622809</v>
      </c>
      <c r="Q738">
        <v>0.96254728443129522</v>
      </c>
      <c r="R738">
        <v>2.6749690460029698</v>
      </c>
      <c r="S738">
        <v>0.18545595721273189</v>
      </c>
      <c r="T738">
        <v>0.14741647722812409</v>
      </c>
      <c r="U738">
        <v>4.2436418554918101</v>
      </c>
      <c r="V738">
        <v>0.23809103076034549</v>
      </c>
      <c r="W738">
        <v>6.7596749901055952</v>
      </c>
      <c r="X738">
        <v>0.29481763356261581</v>
      </c>
      <c r="Z738" t="s">
        <v>392</v>
      </c>
      <c r="AA738">
        <v>114</v>
      </c>
      <c r="AB738" t="s">
        <v>4171</v>
      </c>
      <c r="AC738" t="str">
        <f>HYPERLINK("plots/3FT6Y578R04_015_S21P_20251218081014_M5358ACSC201811_RBGEUFRF04/dpll_52094/txpa_53239.png","plot")</f>
        <v>plot</v>
      </c>
    </row>
    <row r="739" spans="1:29" x14ac:dyDescent="0.35">
      <c r="A739" t="s">
        <v>49</v>
      </c>
      <c r="B739">
        <v>52094</v>
      </c>
      <c r="C739" t="s">
        <v>53</v>
      </c>
      <c r="D739">
        <v>53240</v>
      </c>
      <c r="E739" t="s">
        <v>115</v>
      </c>
      <c r="F739">
        <v>12027</v>
      </c>
      <c r="G739">
        <v>0.78141187806222134</v>
      </c>
      <c r="H739">
        <v>0</v>
      </c>
      <c r="I739">
        <v>0</v>
      </c>
      <c r="J739">
        <v>0.69579249227807505</v>
      </c>
      <c r="K739">
        <v>0</v>
      </c>
      <c r="L739">
        <v>0</v>
      </c>
      <c r="M739">
        <v>0.50883654443256376</v>
      </c>
      <c r="N739">
        <v>0</v>
      </c>
      <c r="O739">
        <v>0</v>
      </c>
      <c r="P739">
        <v>0.61060452317672786</v>
      </c>
      <c r="Q739">
        <v>0.97576777924780111</v>
      </c>
      <c r="R739">
        <v>2.627315420215603</v>
      </c>
      <c r="S739">
        <v>0.18551331638953411</v>
      </c>
      <c r="T739">
        <v>0.1471944012547492</v>
      </c>
      <c r="U739">
        <v>4.2436377816579363</v>
      </c>
      <c r="V739">
        <v>0.2380845584627882</v>
      </c>
      <c r="W739">
        <v>6.7681204343560326</v>
      </c>
      <c r="X739">
        <v>0.29730190621178337</v>
      </c>
      <c r="Z739" t="s">
        <v>392</v>
      </c>
      <c r="AA739">
        <v>114</v>
      </c>
      <c r="AB739" t="s">
        <v>4172</v>
      </c>
      <c r="AC739" t="str">
        <f>HYPERLINK("plots/3FT6Y578R04_015_S21P_20251218081014_M5358ACSC201811_RBGEUFRF04/dpll_52094/txpa_53240.png","plot")</f>
        <v>plot</v>
      </c>
    </row>
    <row r="740" spans="1:29" x14ac:dyDescent="0.35">
      <c r="A740" t="s">
        <v>49</v>
      </c>
      <c r="B740">
        <v>52094</v>
      </c>
      <c r="C740" t="s">
        <v>53</v>
      </c>
      <c r="D740">
        <v>53241</v>
      </c>
      <c r="E740" t="s">
        <v>116</v>
      </c>
      <c r="F740">
        <v>12028</v>
      </c>
      <c r="G740">
        <v>0.77778576829333557</v>
      </c>
      <c r="H740">
        <v>0</v>
      </c>
      <c r="I740">
        <v>0</v>
      </c>
      <c r="J740">
        <v>0.68601486666688027</v>
      </c>
      <c r="K740">
        <v>0</v>
      </c>
      <c r="L740">
        <v>0</v>
      </c>
      <c r="M740">
        <v>0.50038477677052284</v>
      </c>
      <c r="N740">
        <v>0</v>
      </c>
      <c r="O740">
        <v>0</v>
      </c>
      <c r="P740">
        <v>0.60495070135965423</v>
      </c>
      <c r="Q740">
        <v>0.96023037022542668</v>
      </c>
      <c r="R740">
        <v>2.7001765287176651</v>
      </c>
      <c r="S740">
        <v>0.18475145487407049</v>
      </c>
      <c r="T740">
        <v>0.1468643977387441</v>
      </c>
      <c r="U740">
        <v>4.2436712643831056</v>
      </c>
      <c r="V740">
        <v>0.23810297856178911</v>
      </c>
      <c r="W740">
        <v>6.77507855803126</v>
      </c>
      <c r="X740">
        <v>0.29395460880937091</v>
      </c>
      <c r="Z740" t="s">
        <v>392</v>
      </c>
      <c r="AA740">
        <v>114</v>
      </c>
      <c r="AB740" t="s">
        <v>4173</v>
      </c>
      <c r="AC740" t="str">
        <f>HYPERLINK("plots/3FT6Y578R04_015_S21P_20251218081014_M5358ACSC201811_RBGEUFRF04/dpll_52094/txpa_53241.png","plot")</f>
        <v>plot</v>
      </c>
    </row>
    <row r="741" spans="1:29" x14ac:dyDescent="0.35">
      <c r="A741" t="s">
        <v>49</v>
      </c>
      <c r="B741">
        <v>52094</v>
      </c>
      <c r="C741" t="s">
        <v>53</v>
      </c>
      <c r="D741">
        <v>53242</v>
      </c>
      <c r="E741" t="s">
        <v>117</v>
      </c>
      <c r="F741">
        <v>12027</v>
      </c>
      <c r="G741">
        <v>0.77264161906383322</v>
      </c>
      <c r="H741">
        <v>0</v>
      </c>
      <c r="I741">
        <v>0</v>
      </c>
      <c r="J741">
        <v>0.6811054565048088</v>
      </c>
      <c r="K741">
        <v>0</v>
      </c>
      <c r="L741">
        <v>0</v>
      </c>
      <c r="M741">
        <v>0.49660776784481658</v>
      </c>
      <c r="N741">
        <v>0</v>
      </c>
      <c r="O741">
        <v>0</v>
      </c>
      <c r="P741">
        <v>0.59697507150958151</v>
      </c>
      <c r="Q741">
        <v>0.95484037287192558</v>
      </c>
      <c r="R741">
        <v>2.6815715293169151</v>
      </c>
      <c r="S741">
        <v>0.1867915324830946</v>
      </c>
      <c r="T741">
        <v>0.1474222366319359</v>
      </c>
      <c r="U741">
        <v>4.2436951445081901</v>
      </c>
      <c r="V741">
        <v>0.2380984732054881</v>
      </c>
      <c r="W741">
        <v>6.7336229834538948</v>
      </c>
      <c r="X741">
        <v>0.29424513167078298</v>
      </c>
      <c r="Z741" t="s">
        <v>392</v>
      </c>
      <c r="AA741">
        <v>114</v>
      </c>
      <c r="AB741" t="s">
        <v>4174</v>
      </c>
      <c r="AC741" t="str">
        <f>HYPERLINK("plots/3FT6Y578R04_015_S21P_20251218081014_M5358ACSC201811_RBGEUFRF04/dpll_52094/txpa_53242.png","plot")</f>
        <v>plot</v>
      </c>
    </row>
    <row r="742" spans="1:29" x14ac:dyDescent="0.35">
      <c r="A742" t="s">
        <v>49</v>
      </c>
      <c r="B742">
        <v>52094</v>
      </c>
      <c r="C742" t="s">
        <v>53</v>
      </c>
      <c r="D742">
        <v>53243</v>
      </c>
      <c r="E742" t="s">
        <v>118</v>
      </c>
      <c r="F742">
        <v>12028</v>
      </c>
      <c r="G742">
        <v>0.76525707977919855</v>
      </c>
      <c r="H742">
        <v>0</v>
      </c>
      <c r="I742">
        <v>0</v>
      </c>
      <c r="J742">
        <v>0.67562321969008621</v>
      </c>
      <c r="K742">
        <v>0</v>
      </c>
      <c r="L742">
        <v>0</v>
      </c>
      <c r="M742">
        <v>0.48921591917479501</v>
      </c>
      <c r="N742">
        <v>0</v>
      </c>
      <c r="O742">
        <v>0</v>
      </c>
      <c r="P742">
        <v>0.58561839815218664</v>
      </c>
      <c r="Q742">
        <v>0.98118062265990258</v>
      </c>
      <c r="R742">
        <v>3.6261309331563298</v>
      </c>
      <c r="S742">
        <v>0.1965117906611262</v>
      </c>
      <c r="T742">
        <v>0.1540353993220879</v>
      </c>
      <c r="U742">
        <v>4.2436712643831056</v>
      </c>
      <c r="V742">
        <v>0.23810297856178911</v>
      </c>
      <c r="W742">
        <v>7.7899389467076823</v>
      </c>
      <c r="X742">
        <v>0.30528568102870901</v>
      </c>
      <c r="Z742" t="s">
        <v>392</v>
      </c>
      <c r="AA742">
        <v>114</v>
      </c>
      <c r="AB742" t="s">
        <v>4175</v>
      </c>
      <c r="AC742" t="str">
        <f>HYPERLINK("plots/3FT6Y578R04_015_S21P_20251218081014_M5358ACSC201811_RBGEUFRF04/dpll_52094/txpa_53243.png","plot")</f>
        <v>plot</v>
      </c>
    </row>
    <row r="743" spans="1:29" x14ac:dyDescent="0.35">
      <c r="A743" t="s">
        <v>49</v>
      </c>
      <c r="B743">
        <v>52094</v>
      </c>
      <c r="C743" t="s">
        <v>53</v>
      </c>
      <c r="D743">
        <v>53244</v>
      </c>
      <c r="E743" t="s">
        <v>119</v>
      </c>
      <c r="F743">
        <v>12028</v>
      </c>
      <c r="G743">
        <v>0.78308515184081218</v>
      </c>
      <c r="H743">
        <v>0</v>
      </c>
      <c r="I743">
        <v>0</v>
      </c>
      <c r="J743">
        <v>0.69172937667342616</v>
      </c>
      <c r="K743">
        <v>0</v>
      </c>
      <c r="L743">
        <v>0</v>
      </c>
      <c r="M743">
        <v>0.50577536351818475</v>
      </c>
      <c r="N743">
        <v>0</v>
      </c>
      <c r="O743">
        <v>0</v>
      </c>
      <c r="P743">
        <v>0.61322235503354783</v>
      </c>
      <c r="Q743">
        <v>1.0145103111676981</v>
      </c>
      <c r="R743">
        <v>3.5181079207507051</v>
      </c>
      <c r="S743">
        <v>0.19183371286880929</v>
      </c>
      <c r="T743">
        <v>0.15159976378972231</v>
      </c>
      <c r="U743">
        <v>4.2436712643831056</v>
      </c>
      <c r="V743">
        <v>0.23810297856178911</v>
      </c>
      <c r="W743">
        <v>7.8233561756734282</v>
      </c>
      <c r="X743">
        <v>0.30846955315503272</v>
      </c>
      <c r="Z743" t="s">
        <v>392</v>
      </c>
      <c r="AA743">
        <v>114</v>
      </c>
      <c r="AB743" t="s">
        <v>4176</v>
      </c>
      <c r="AC743" t="str">
        <f>HYPERLINK("plots/3FT6Y578R04_015_S21P_20251218081014_M5358ACSC201811_RBGEUFRF04/dpll_52094/txpa_53244.png","plot")</f>
        <v>plot</v>
      </c>
    </row>
    <row r="744" spans="1:29" x14ac:dyDescent="0.35">
      <c r="A744" t="s">
        <v>49</v>
      </c>
      <c r="B744">
        <v>52094</v>
      </c>
      <c r="C744" t="s">
        <v>53</v>
      </c>
      <c r="D744">
        <v>53245</v>
      </c>
      <c r="E744" t="s">
        <v>120</v>
      </c>
      <c r="F744">
        <v>12028</v>
      </c>
      <c r="G744">
        <v>0.7744281456938058</v>
      </c>
      <c r="H744">
        <v>0</v>
      </c>
      <c r="I744">
        <v>0</v>
      </c>
      <c r="J744">
        <v>0.67984954515040941</v>
      </c>
      <c r="K744">
        <v>0</v>
      </c>
      <c r="L744">
        <v>0</v>
      </c>
      <c r="M744">
        <v>0.49443154725251792</v>
      </c>
      <c r="N744">
        <v>0</v>
      </c>
      <c r="O744">
        <v>0</v>
      </c>
      <c r="P744">
        <v>0.59973895284274648</v>
      </c>
      <c r="Q744">
        <v>0.98160279149996477</v>
      </c>
      <c r="R744">
        <v>3.676058304740534</v>
      </c>
      <c r="S744">
        <v>0.19092952579396349</v>
      </c>
      <c r="T744">
        <v>0.15037094022666281</v>
      </c>
      <c r="U744">
        <v>4.2436712643831056</v>
      </c>
      <c r="V744">
        <v>0.23810297856178911</v>
      </c>
      <c r="W744">
        <v>7.8416578640671766</v>
      </c>
      <c r="X744">
        <v>0.30180017309587542</v>
      </c>
      <c r="Z744" t="s">
        <v>392</v>
      </c>
      <c r="AA744">
        <v>114</v>
      </c>
      <c r="AB744" t="s">
        <v>4177</v>
      </c>
      <c r="AC744" t="str">
        <f>HYPERLINK("plots/3FT6Y578R04_015_S21P_20251218081014_M5358ACSC201811_RBGEUFRF04/dpll_52094/txpa_53245.png","plot")</f>
        <v>plot</v>
      </c>
    </row>
    <row r="745" spans="1:29" x14ac:dyDescent="0.35">
      <c r="A745" t="s">
        <v>49</v>
      </c>
      <c r="B745">
        <v>52094</v>
      </c>
      <c r="C745" t="s">
        <v>53</v>
      </c>
      <c r="D745">
        <v>53246</v>
      </c>
      <c r="E745" t="s">
        <v>121</v>
      </c>
      <c r="F745">
        <v>12027</v>
      </c>
      <c r="G745">
        <v>0.7873886529293147</v>
      </c>
      <c r="H745">
        <v>0</v>
      </c>
      <c r="I745">
        <v>0</v>
      </c>
      <c r="J745">
        <v>0.69211689794495879</v>
      </c>
      <c r="K745">
        <v>0</v>
      </c>
      <c r="L745">
        <v>0</v>
      </c>
      <c r="M745">
        <v>0.5062472955690257</v>
      </c>
      <c r="N745">
        <v>0</v>
      </c>
      <c r="O745">
        <v>0</v>
      </c>
      <c r="P745">
        <v>0.61998089076184082</v>
      </c>
      <c r="Q745">
        <v>1.0127025172773401</v>
      </c>
      <c r="R745">
        <v>3.5458365471029851</v>
      </c>
      <c r="S745">
        <v>0.18878077044912309</v>
      </c>
      <c r="T745">
        <v>0.14940444792784069</v>
      </c>
      <c r="U745">
        <v>4.2436786742329762</v>
      </c>
      <c r="V745">
        <v>0.2381114909913796</v>
      </c>
      <c r="W745">
        <v>7.8434206230148833</v>
      </c>
      <c r="X745">
        <v>0.30624788079245768</v>
      </c>
      <c r="Z745" t="s">
        <v>392</v>
      </c>
      <c r="AA745">
        <v>114</v>
      </c>
      <c r="AB745" t="s">
        <v>4178</v>
      </c>
      <c r="AC745" t="str">
        <f>HYPERLINK("plots/3FT6Y578R04_015_S21P_20251218081014_M5358ACSC201811_RBGEUFRF04/dpll_52094/txpa_53246.png","plot")</f>
        <v>plot</v>
      </c>
    </row>
    <row r="746" spans="1:29" x14ac:dyDescent="0.35">
      <c r="A746" t="s">
        <v>49</v>
      </c>
      <c r="B746">
        <v>52094</v>
      </c>
      <c r="C746" t="s">
        <v>53</v>
      </c>
      <c r="D746">
        <v>53247</v>
      </c>
      <c r="E746" t="s">
        <v>122</v>
      </c>
      <c r="F746">
        <v>12027</v>
      </c>
      <c r="G746">
        <v>0.78924975455000512</v>
      </c>
      <c r="H746">
        <v>0</v>
      </c>
      <c r="I746">
        <v>0</v>
      </c>
      <c r="J746">
        <v>0.68891632477789899</v>
      </c>
      <c r="K746">
        <v>0</v>
      </c>
      <c r="L746">
        <v>0</v>
      </c>
      <c r="M746">
        <v>0.50185765871865207</v>
      </c>
      <c r="N746">
        <v>0</v>
      </c>
      <c r="O746">
        <v>0</v>
      </c>
      <c r="P746">
        <v>0.62291517505724336</v>
      </c>
      <c r="Q746">
        <v>1.010821564677316</v>
      </c>
      <c r="R746">
        <v>3.5395840948292498</v>
      </c>
      <c r="S746">
        <v>0.18724255135944909</v>
      </c>
      <c r="T746">
        <v>0.14865824272194281</v>
      </c>
      <c r="U746">
        <v>4.2436418554918101</v>
      </c>
      <c r="V746">
        <v>0.23809103076034549</v>
      </c>
      <c r="W746">
        <v>7.8291487951276304</v>
      </c>
      <c r="X746">
        <v>0.30493205333465739</v>
      </c>
      <c r="Z746" t="s">
        <v>392</v>
      </c>
      <c r="AA746">
        <v>114</v>
      </c>
      <c r="AB746" t="s">
        <v>4179</v>
      </c>
      <c r="AC746" t="str">
        <f>HYPERLINK("plots/3FT6Y578R04_015_S21P_20251218081014_M5358ACSC201811_RBGEUFRF04/dpll_52094/txpa_53247.png","plot")</f>
        <v>plot</v>
      </c>
    </row>
    <row r="747" spans="1:29" x14ac:dyDescent="0.35">
      <c r="A747" t="s">
        <v>49</v>
      </c>
      <c r="B747">
        <v>52094</v>
      </c>
      <c r="C747" t="s">
        <v>53</v>
      </c>
      <c r="D747">
        <v>53248</v>
      </c>
      <c r="E747" t="s">
        <v>123</v>
      </c>
      <c r="F747">
        <v>12027</v>
      </c>
      <c r="G747">
        <v>0.7929250312314764</v>
      </c>
      <c r="H747">
        <v>0</v>
      </c>
      <c r="I747">
        <v>0</v>
      </c>
      <c r="J747">
        <v>0.7039426521180886</v>
      </c>
      <c r="K747">
        <v>0</v>
      </c>
      <c r="L747">
        <v>0</v>
      </c>
      <c r="M747">
        <v>0.51619847721322365</v>
      </c>
      <c r="N747">
        <v>0</v>
      </c>
      <c r="O747">
        <v>0</v>
      </c>
      <c r="P747">
        <v>0.62873010515343786</v>
      </c>
      <c r="Q747">
        <v>1.0232581324188059</v>
      </c>
      <c r="R747">
        <v>3.495936894738962</v>
      </c>
      <c r="S747">
        <v>0.1872022731025498</v>
      </c>
      <c r="T747">
        <v>0.14833082460324079</v>
      </c>
      <c r="U747">
        <v>4.2436377816579363</v>
      </c>
      <c r="V747">
        <v>0.2380845584627882</v>
      </c>
      <c r="W747">
        <v>7.8382737658601487</v>
      </c>
      <c r="X747">
        <v>0.3072446335462814</v>
      </c>
      <c r="Z747" t="s">
        <v>392</v>
      </c>
      <c r="AA747">
        <v>114</v>
      </c>
      <c r="AB747" t="s">
        <v>4180</v>
      </c>
      <c r="AC747" t="str">
        <f>HYPERLINK("plots/3FT6Y578R04_015_S21P_20251218081014_M5358ACSC201811_RBGEUFRF04/dpll_52094/txpa_53248.png","plot")</f>
        <v>plot</v>
      </c>
    </row>
    <row r="748" spans="1:29" x14ac:dyDescent="0.35">
      <c r="A748" t="s">
        <v>49</v>
      </c>
      <c r="B748">
        <v>52094</v>
      </c>
      <c r="C748" t="s">
        <v>53</v>
      </c>
      <c r="D748">
        <v>53249</v>
      </c>
      <c r="E748" t="s">
        <v>124</v>
      </c>
      <c r="F748">
        <v>12028</v>
      </c>
      <c r="G748">
        <v>0.78998801872539881</v>
      </c>
      <c r="H748">
        <v>0</v>
      </c>
      <c r="I748">
        <v>0</v>
      </c>
      <c r="J748">
        <v>0.6945446241890525</v>
      </c>
      <c r="K748">
        <v>0</v>
      </c>
      <c r="L748">
        <v>0</v>
      </c>
      <c r="M748">
        <v>0.50800938167753629</v>
      </c>
      <c r="N748">
        <v>0</v>
      </c>
      <c r="O748">
        <v>0</v>
      </c>
      <c r="P748">
        <v>0.62408106972968103</v>
      </c>
      <c r="Q748">
        <v>1.0084924319462401</v>
      </c>
      <c r="R748">
        <v>3.5658584233884678</v>
      </c>
      <c r="S748">
        <v>0.18635712892043391</v>
      </c>
      <c r="T748">
        <v>0.1479283674945876</v>
      </c>
      <c r="U748">
        <v>4.2436712643831056</v>
      </c>
      <c r="V748">
        <v>0.23810297856178911</v>
      </c>
      <c r="W748">
        <v>7.8455687771865632</v>
      </c>
      <c r="X748">
        <v>0.30396037181785401</v>
      </c>
      <c r="Z748" t="s">
        <v>392</v>
      </c>
      <c r="AA748">
        <v>114</v>
      </c>
      <c r="AB748" t="s">
        <v>4181</v>
      </c>
      <c r="AC748" t="str">
        <f>HYPERLINK("plots/3FT6Y578R04_015_S21P_20251218081014_M5358ACSC201811_RBGEUFRF04/dpll_52094/txpa_53249.png","plot")</f>
        <v>plot</v>
      </c>
    </row>
    <row r="749" spans="1:29" x14ac:dyDescent="0.35">
      <c r="A749" t="s">
        <v>49</v>
      </c>
      <c r="B749">
        <v>52094</v>
      </c>
      <c r="C749" t="s">
        <v>53</v>
      </c>
      <c r="D749">
        <v>53250</v>
      </c>
      <c r="E749" t="s">
        <v>125</v>
      </c>
      <c r="F749">
        <v>12027</v>
      </c>
      <c r="G749">
        <v>0.78460598284401117</v>
      </c>
      <c r="H749">
        <v>0</v>
      </c>
      <c r="I749">
        <v>0</v>
      </c>
      <c r="J749">
        <v>0.68967498045058084</v>
      </c>
      <c r="K749">
        <v>0</v>
      </c>
      <c r="L749">
        <v>0</v>
      </c>
      <c r="M749">
        <v>0.50415378656685328</v>
      </c>
      <c r="N749">
        <v>0</v>
      </c>
      <c r="O749">
        <v>0</v>
      </c>
      <c r="P749">
        <v>0.61560654831461681</v>
      </c>
      <c r="Q749">
        <v>1.0014561175850141</v>
      </c>
      <c r="R749">
        <v>3.5544563151974158</v>
      </c>
      <c r="S749">
        <v>0.18841125984355009</v>
      </c>
      <c r="T749">
        <v>0.148528601792322</v>
      </c>
      <c r="U749">
        <v>4.2436951445081901</v>
      </c>
      <c r="V749">
        <v>0.2380984732054881</v>
      </c>
      <c r="W749">
        <v>7.8043307788309626</v>
      </c>
      <c r="X749">
        <v>0.30390435172948888</v>
      </c>
      <c r="Z749" t="s">
        <v>392</v>
      </c>
      <c r="AA749">
        <v>114</v>
      </c>
      <c r="AB749" t="s">
        <v>4182</v>
      </c>
      <c r="AC749" t="str">
        <f>HYPERLINK("plots/3FT6Y578R04_015_S21P_20251218081014_M5358ACSC201811_RBGEUFRF04/dpll_52094/txpa_53250.png","plot")</f>
        <v>plot</v>
      </c>
    </row>
    <row r="750" spans="1:29" x14ac:dyDescent="0.35">
      <c r="A750" t="s">
        <v>49</v>
      </c>
      <c r="B750">
        <v>52094</v>
      </c>
      <c r="C750" t="s">
        <v>53</v>
      </c>
      <c r="D750">
        <v>53251</v>
      </c>
      <c r="E750" t="s">
        <v>126</v>
      </c>
      <c r="F750">
        <v>12028</v>
      </c>
      <c r="G750">
        <v>0.77987865735809458</v>
      </c>
      <c r="H750">
        <v>0</v>
      </c>
      <c r="I750">
        <v>0</v>
      </c>
      <c r="J750">
        <v>0.68562087218141654</v>
      </c>
      <c r="K750">
        <v>0</v>
      </c>
      <c r="L750">
        <v>0</v>
      </c>
      <c r="M750">
        <v>0.49791057578191178</v>
      </c>
      <c r="N750">
        <v>0</v>
      </c>
      <c r="O750">
        <v>0</v>
      </c>
      <c r="P750">
        <v>0.60821072020266431</v>
      </c>
      <c r="Q750">
        <v>1.0399516326443059</v>
      </c>
      <c r="R750">
        <v>4.4457066029526358</v>
      </c>
      <c r="S750">
        <v>0.1987280422097113</v>
      </c>
      <c r="T750">
        <v>0.15530903659886439</v>
      </c>
      <c r="U750">
        <v>4.2436712643831056</v>
      </c>
      <c r="V750">
        <v>0.23810297856178911</v>
      </c>
      <c r="W750">
        <v>8.8589194627535743</v>
      </c>
      <c r="X750">
        <v>0.31750526694963471</v>
      </c>
      <c r="Z750" t="s">
        <v>392</v>
      </c>
      <c r="AA750">
        <v>114</v>
      </c>
      <c r="AB750" t="s">
        <v>4183</v>
      </c>
      <c r="AC750" t="str">
        <f>HYPERLINK("plots/3FT6Y578R04_015_S21P_20251218081014_M5358ACSC201811_RBGEUFRF04/dpll_52094/txpa_53251.png","plot")</f>
        <v>plot</v>
      </c>
    </row>
    <row r="751" spans="1:29" x14ac:dyDescent="0.35">
      <c r="A751" t="s">
        <v>49</v>
      </c>
      <c r="B751">
        <v>52094</v>
      </c>
      <c r="C751" t="s">
        <v>53</v>
      </c>
      <c r="D751">
        <v>53252</v>
      </c>
      <c r="E751" t="s">
        <v>127</v>
      </c>
      <c r="F751">
        <v>12028</v>
      </c>
      <c r="G751">
        <v>0.79645970415761469</v>
      </c>
      <c r="H751">
        <v>0</v>
      </c>
      <c r="I751">
        <v>0</v>
      </c>
      <c r="J751">
        <v>0.70090540163852633</v>
      </c>
      <c r="K751">
        <v>0</v>
      </c>
      <c r="L751">
        <v>0</v>
      </c>
      <c r="M751">
        <v>0.5139652240963819</v>
      </c>
      <c r="N751">
        <v>0</v>
      </c>
      <c r="O751">
        <v>0</v>
      </c>
      <c r="P751">
        <v>0.63434806034683511</v>
      </c>
      <c r="Q751">
        <v>1.0735025770660129</v>
      </c>
      <c r="R751">
        <v>4.3355704657038547</v>
      </c>
      <c r="S751">
        <v>0.19405283773255999</v>
      </c>
      <c r="T751">
        <v>0.15312966398322969</v>
      </c>
      <c r="U751">
        <v>4.2436712643831056</v>
      </c>
      <c r="V751">
        <v>0.23810297856178911</v>
      </c>
      <c r="W751">
        <v>8.891162504240107</v>
      </c>
      <c r="X751">
        <v>0.32092541500704919</v>
      </c>
      <c r="Z751" t="s">
        <v>392</v>
      </c>
      <c r="AA751">
        <v>114</v>
      </c>
      <c r="AB751" t="s">
        <v>4184</v>
      </c>
      <c r="AC751" t="str">
        <f>HYPERLINK("plots/3FT6Y578R04_015_S21P_20251218081014_M5358ACSC201811_RBGEUFRF04/dpll_52094/txpa_53252.png","plot")</f>
        <v>plot</v>
      </c>
    </row>
    <row r="752" spans="1:29" x14ac:dyDescent="0.35">
      <c r="A752" t="s">
        <v>49</v>
      </c>
      <c r="B752">
        <v>52094</v>
      </c>
      <c r="C752" t="s">
        <v>53</v>
      </c>
      <c r="D752">
        <v>53253</v>
      </c>
      <c r="E752" t="s">
        <v>128</v>
      </c>
      <c r="F752">
        <v>12028</v>
      </c>
      <c r="G752">
        <v>0.78910212376032762</v>
      </c>
      <c r="H752">
        <v>0</v>
      </c>
      <c r="I752">
        <v>0</v>
      </c>
      <c r="J752">
        <v>0.69010180781976038</v>
      </c>
      <c r="K752">
        <v>0</v>
      </c>
      <c r="L752">
        <v>0</v>
      </c>
      <c r="M752">
        <v>0.50342707930573316</v>
      </c>
      <c r="N752">
        <v>0</v>
      </c>
      <c r="O752">
        <v>0</v>
      </c>
      <c r="P752">
        <v>0.62268216172305946</v>
      </c>
      <c r="Q752">
        <v>1.0410497591164249</v>
      </c>
      <c r="R752">
        <v>4.491591683472274</v>
      </c>
      <c r="S752">
        <v>0.19294730575761501</v>
      </c>
      <c r="T752">
        <v>0.15156561725245171</v>
      </c>
      <c r="U752">
        <v>4.2436712643831056</v>
      </c>
      <c r="V752">
        <v>0.23810297856178911</v>
      </c>
      <c r="W752">
        <v>8.9094646310276016</v>
      </c>
      <c r="X752">
        <v>0.314125435748974</v>
      </c>
      <c r="Z752" t="s">
        <v>392</v>
      </c>
      <c r="AA752">
        <v>114</v>
      </c>
      <c r="AB752" t="s">
        <v>4185</v>
      </c>
      <c r="AC752" t="str">
        <f>HYPERLINK("plots/3FT6Y578R04_015_S21P_20251218081014_M5358ACSC201811_RBGEUFRF04/dpll_52094/txpa_53253.png","plot")</f>
        <v>plot</v>
      </c>
    </row>
    <row r="753" spans="1:29" x14ac:dyDescent="0.35">
      <c r="A753" t="s">
        <v>49</v>
      </c>
      <c r="B753">
        <v>52094</v>
      </c>
      <c r="C753" t="s">
        <v>53</v>
      </c>
      <c r="D753">
        <v>53254</v>
      </c>
      <c r="E753" t="s">
        <v>129</v>
      </c>
      <c r="F753">
        <v>12027</v>
      </c>
      <c r="G753">
        <v>0.80095155402632567</v>
      </c>
      <c r="H753">
        <v>0</v>
      </c>
      <c r="I753">
        <v>0</v>
      </c>
      <c r="J753">
        <v>0.70164552752416698</v>
      </c>
      <c r="K753">
        <v>0</v>
      </c>
      <c r="L753">
        <v>0</v>
      </c>
      <c r="M753">
        <v>0.514680906572486</v>
      </c>
      <c r="N753">
        <v>0</v>
      </c>
      <c r="O753">
        <v>0</v>
      </c>
      <c r="P753">
        <v>0.6415233918971861</v>
      </c>
      <c r="Q753">
        <v>1.072457802510423</v>
      </c>
      <c r="R753">
        <v>4.36018747355216</v>
      </c>
      <c r="S753">
        <v>0.1908827461680907</v>
      </c>
      <c r="T753">
        <v>0.15086855962581319</v>
      </c>
      <c r="U753">
        <v>4.2436786742329762</v>
      </c>
      <c r="V753">
        <v>0.2381114909913796</v>
      </c>
      <c r="W753">
        <v>8.911353779080402</v>
      </c>
      <c r="X753">
        <v>0.31882643225722718</v>
      </c>
      <c r="Z753" t="s">
        <v>392</v>
      </c>
      <c r="AA753">
        <v>114</v>
      </c>
      <c r="AB753" t="s">
        <v>4186</v>
      </c>
      <c r="AC753" t="str">
        <f>HYPERLINK("plots/3FT6Y578R04_015_S21P_20251218081014_M5358ACSC201811_RBGEUFRF04/dpll_52094/txpa_53254.png","plot")</f>
        <v>plot</v>
      </c>
    </row>
    <row r="754" spans="1:29" x14ac:dyDescent="0.35">
      <c r="A754" t="s">
        <v>49</v>
      </c>
      <c r="B754">
        <v>52094</v>
      </c>
      <c r="C754" t="s">
        <v>53</v>
      </c>
      <c r="D754">
        <v>53255</v>
      </c>
      <c r="E754" t="s">
        <v>130</v>
      </c>
      <c r="F754">
        <v>12027</v>
      </c>
      <c r="G754">
        <v>0.80261087261774255</v>
      </c>
      <c r="H754">
        <v>0</v>
      </c>
      <c r="I754">
        <v>0</v>
      </c>
      <c r="J754">
        <v>0.6982041212265202</v>
      </c>
      <c r="K754">
        <v>0</v>
      </c>
      <c r="L754">
        <v>0</v>
      </c>
      <c r="M754">
        <v>0.51008870766053593</v>
      </c>
      <c r="N754">
        <v>0</v>
      </c>
      <c r="O754">
        <v>0</v>
      </c>
      <c r="P754">
        <v>0.64418421284421412</v>
      </c>
      <c r="Q754">
        <v>1.0703734375750631</v>
      </c>
      <c r="R754">
        <v>4.3539195265268864</v>
      </c>
      <c r="S754">
        <v>0.18939472137261859</v>
      </c>
      <c r="T754">
        <v>0.15011613265259949</v>
      </c>
      <c r="U754">
        <v>4.2436418554918101</v>
      </c>
      <c r="V754">
        <v>0.23809103076034549</v>
      </c>
      <c r="W754">
        <v>8.8962010472270734</v>
      </c>
      <c r="X754">
        <v>0.31752163314153869</v>
      </c>
      <c r="Z754" t="s">
        <v>392</v>
      </c>
      <c r="AA754">
        <v>114</v>
      </c>
      <c r="AB754" t="s">
        <v>4187</v>
      </c>
      <c r="AC754" t="str">
        <f>HYPERLINK("plots/3FT6Y578R04_015_S21P_20251218081014_M5358ACSC201811_RBGEUFRF04/dpll_52094/txpa_53255.png","plot")</f>
        <v>plot</v>
      </c>
    </row>
    <row r="755" spans="1:29" x14ac:dyDescent="0.35">
      <c r="A755" t="s">
        <v>49</v>
      </c>
      <c r="B755">
        <v>52094</v>
      </c>
      <c r="C755" t="s">
        <v>53</v>
      </c>
      <c r="D755">
        <v>53256</v>
      </c>
      <c r="E755" t="s">
        <v>131</v>
      </c>
      <c r="F755">
        <v>12027</v>
      </c>
      <c r="G755">
        <v>0.80607678243603331</v>
      </c>
      <c r="H755">
        <v>0</v>
      </c>
      <c r="I755">
        <v>0</v>
      </c>
      <c r="J755">
        <v>0.71298065533114796</v>
      </c>
      <c r="K755">
        <v>0</v>
      </c>
      <c r="L755">
        <v>0</v>
      </c>
      <c r="M755">
        <v>0.52432950379655063</v>
      </c>
      <c r="N755">
        <v>0</v>
      </c>
      <c r="O755">
        <v>0</v>
      </c>
      <c r="P755">
        <v>0.64975977918242822</v>
      </c>
      <c r="Q755">
        <v>1.0823700474340201</v>
      </c>
      <c r="R755">
        <v>4.3128517916487477</v>
      </c>
      <c r="S755">
        <v>0.18918884925212651</v>
      </c>
      <c r="T755">
        <v>0.1496720718449111</v>
      </c>
      <c r="U755">
        <v>4.2436377816579363</v>
      </c>
      <c r="V755">
        <v>0.2380845584627882</v>
      </c>
      <c r="W755">
        <v>8.9060382186746487</v>
      </c>
      <c r="X755">
        <v>0.31969112676573769</v>
      </c>
      <c r="Z755" t="s">
        <v>392</v>
      </c>
      <c r="AA755">
        <v>114</v>
      </c>
      <c r="AB755" t="s">
        <v>4188</v>
      </c>
      <c r="AC755" t="str">
        <f>HYPERLINK("plots/3FT6Y578R04_015_S21P_20251218081014_M5358ACSC201811_RBGEUFRF04/dpll_52094/txpa_53256.png","plot")</f>
        <v>plot</v>
      </c>
    </row>
    <row r="756" spans="1:29" x14ac:dyDescent="0.35">
      <c r="A756" t="s">
        <v>49</v>
      </c>
      <c r="B756">
        <v>52094</v>
      </c>
      <c r="C756" t="s">
        <v>53</v>
      </c>
      <c r="D756">
        <v>53257</v>
      </c>
      <c r="E756" t="s">
        <v>132</v>
      </c>
      <c r="F756">
        <v>12028</v>
      </c>
      <c r="G756">
        <v>0.80353234711018018</v>
      </c>
      <c r="H756">
        <v>0</v>
      </c>
      <c r="I756">
        <v>0</v>
      </c>
      <c r="J756">
        <v>0.70371948957441288</v>
      </c>
      <c r="K756">
        <v>0</v>
      </c>
      <c r="L756">
        <v>0</v>
      </c>
      <c r="M756">
        <v>0.51624554436393977</v>
      </c>
      <c r="N756">
        <v>0</v>
      </c>
      <c r="O756">
        <v>0</v>
      </c>
      <c r="P756">
        <v>0.64566423285239505</v>
      </c>
      <c r="Q756">
        <v>1.067432809084909</v>
      </c>
      <c r="R756">
        <v>4.3836065184435924</v>
      </c>
      <c r="S756">
        <v>0.1882744785004152</v>
      </c>
      <c r="T756">
        <v>0.14918246844153299</v>
      </c>
      <c r="U756">
        <v>4.2436712643831056</v>
      </c>
      <c r="V756">
        <v>0.23810297856178911</v>
      </c>
      <c r="W756">
        <v>8.9134404570169607</v>
      </c>
      <c r="X756">
        <v>0.31630205326736421</v>
      </c>
      <c r="Z756" t="s">
        <v>392</v>
      </c>
      <c r="AA756">
        <v>114</v>
      </c>
      <c r="AB756" t="s">
        <v>4189</v>
      </c>
      <c r="AC756" t="str">
        <f>HYPERLINK("plots/3FT6Y578R04_015_S21P_20251218081014_M5358ACSC201811_RBGEUFRF04/dpll_52094/txpa_53257.png","plot")</f>
        <v>plot</v>
      </c>
    </row>
    <row r="757" spans="1:29" x14ac:dyDescent="0.35">
      <c r="A757" t="s">
        <v>49</v>
      </c>
      <c r="B757">
        <v>52094</v>
      </c>
      <c r="C757" t="s">
        <v>53</v>
      </c>
      <c r="D757">
        <v>53258</v>
      </c>
      <c r="E757" t="s">
        <v>133</v>
      </c>
      <c r="F757">
        <v>12027</v>
      </c>
      <c r="G757">
        <v>0.79845377925476468</v>
      </c>
      <c r="H757">
        <v>0</v>
      </c>
      <c r="I757">
        <v>0</v>
      </c>
      <c r="J757">
        <v>0.69926780206271677</v>
      </c>
      <c r="K757">
        <v>0</v>
      </c>
      <c r="L757">
        <v>0</v>
      </c>
      <c r="M757">
        <v>0.51258753976520799</v>
      </c>
      <c r="N757">
        <v>0</v>
      </c>
      <c r="O757">
        <v>0</v>
      </c>
      <c r="P757">
        <v>0.63752843760621647</v>
      </c>
      <c r="Q757">
        <v>1.0603066982934699</v>
      </c>
      <c r="R757">
        <v>4.3737867666662069</v>
      </c>
      <c r="S757">
        <v>0.1903519143532191</v>
      </c>
      <c r="T757">
        <v>0.1497824789505357</v>
      </c>
      <c r="U757">
        <v>4.2436951445081901</v>
      </c>
      <c r="V757">
        <v>0.2380984732054881</v>
      </c>
      <c r="W757">
        <v>8.8734051539037164</v>
      </c>
      <c r="X757">
        <v>0.31618286812902069</v>
      </c>
      <c r="Z757" t="s">
        <v>392</v>
      </c>
      <c r="AA757">
        <v>114</v>
      </c>
      <c r="AB757" t="s">
        <v>4190</v>
      </c>
      <c r="AC757" t="str">
        <f>HYPERLINK("plots/3FT6Y578R04_015_S21P_20251218081014_M5358ACSC201811_RBGEUFRF04/dpll_52094/txpa_53258.png","plot")</f>
        <v>plot</v>
      </c>
    </row>
    <row r="758" spans="1:29" x14ac:dyDescent="0.35">
      <c r="A758" t="s">
        <v>49</v>
      </c>
      <c r="B758">
        <v>52094</v>
      </c>
      <c r="C758" t="s">
        <v>53</v>
      </c>
      <c r="D758">
        <v>53259</v>
      </c>
      <c r="E758" t="s">
        <v>134</v>
      </c>
      <c r="F758">
        <v>12028</v>
      </c>
      <c r="G758">
        <v>0.78510759973965349</v>
      </c>
      <c r="H758">
        <v>0</v>
      </c>
      <c r="I758">
        <v>0</v>
      </c>
      <c r="J758">
        <v>0.68891752895412373</v>
      </c>
      <c r="K758">
        <v>0</v>
      </c>
      <c r="L758">
        <v>0</v>
      </c>
      <c r="M758">
        <v>0.50069866808778751</v>
      </c>
      <c r="N758">
        <v>0</v>
      </c>
      <c r="O758">
        <v>0</v>
      </c>
      <c r="P758">
        <v>0.61639394316896001</v>
      </c>
      <c r="Q758">
        <v>1.0665540999000771</v>
      </c>
      <c r="R758">
        <v>4.8618257900341106</v>
      </c>
      <c r="S758">
        <v>0.20032871722922449</v>
      </c>
      <c r="T758">
        <v>0.15630329686403041</v>
      </c>
      <c r="U758">
        <v>4.2436712643831056</v>
      </c>
      <c r="V758">
        <v>0.23810297856178911</v>
      </c>
      <c r="W758">
        <v>9.387930775690057</v>
      </c>
      <c r="X758">
        <v>0.32345847635114922</v>
      </c>
      <c r="Z758" t="s">
        <v>392</v>
      </c>
      <c r="AA758">
        <v>114</v>
      </c>
      <c r="AB758" t="s">
        <v>4191</v>
      </c>
      <c r="AC758" t="str">
        <f>HYPERLINK("plots/3FT6Y578R04_015_S21P_20251218081014_M5358ACSC201811_RBGEUFRF04/dpll_52094/txpa_53259.png","plot")</f>
        <v>plot</v>
      </c>
    </row>
    <row r="759" spans="1:29" x14ac:dyDescent="0.35">
      <c r="A759" t="s">
        <v>49</v>
      </c>
      <c r="B759">
        <v>52094</v>
      </c>
      <c r="C759" t="s">
        <v>53</v>
      </c>
      <c r="D759">
        <v>53260</v>
      </c>
      <c r="E759" t="s">
        <v>135</v>
      </c>
      <c r="F759">
        <v>12028</v>
      </c>
      <c r="G759">
        <v>0.8012399410786647</v>
      </c>
      <c r="H759">
        <v>0</v>
      </c>
      <c r="I759">
        <v>0</v>
      </c>
      <c r="J759">
        <v>0.703884296825806</v>
      </c>
      <c r="K759">
        <v>0</v>
      </c>
      <c r="L759">
        <v>0</v>
      </c>
      <c r="M759">
        <v>0.51659931691887051</v>
      </c>
      <c r="N759">
        <v>0</v>
      </c>
      <c r="O759">
        <v>0</v>
      </c>
      <c r="P759">
        <v>0.64198544317974204</v>
      </c>
      <c r="Q759">
        <v>1.099903790514225</v>
      </c>
      <c r="R759">
        <v>4.7522861048588094</v>
      </c>
      <c r="S759">
        <v>0.1955641411710537</v>
      </c>
      <c r="T759">
        <v>0.15413274682682529</v>
      </c>
      <c r="U759">
        <v>4.2436712643831056</v>
      </c>
      <c r="V759">
        <v>0.23810297856178911</v>
      </c>
      <c r="W759">
        <v>9.4199162142500832</v>
      </c>
      <c r="X759">
        <v>0.32685635753538528</v>
      </c>
      <c r="Z759" t="s">
        <v>392</v>
      </c>
      <c r="AA759">
        <v>114</v>
      </c>
      <c r="AB759" t="s">
        <v>4192</v>
      </c>
      <c r="AC759" t="str">
        <f>HYPERLINK("plots/3FT6Y578R04_015_S21P_20251218081014_M5358ACSC201811_RBGEUFRF04/dpll_52094/txpa_53260.png","plot")</f>
        <v>plot</v>
      </c>
    </row>
    <row r="760" spans="1:29" x14ac:dyDescent="0.35">
      <c r="A760" t="s">
        <v>49</v>
      </c>
      <c r="B760">
        <v>52094</v>
      </c>
      <c r="C760" t="s">
        <v>53</v>
      </c>
      <c r="D760">
        <v>53261</v>
      </c>
      <c r="E760" t="s">
        <v>136</v>
      </c>
      <c r="F760">
        <v>12028</v>
      </c>
      <c r="G760">
        <v>0.79425212803603484</v>
      </c>
      <c r="H760">
        <v>0</v>
      </c>
      <c r="I760">
        <v>0</v>
      </c>
      <c r="J760">
        <v>0.69341725386259589</v>
      </c>
      <c r="K760">
        <v>0</v>
      </c>
      <c r="L760">
        <v>0</v>
      </c>
      <c r="M760">
        <v>0.50625993129591762</v>
      </c>
      <c r="N760">
        <v>0</v>
      </c>
      <c r="O760">
        <v>0</v>
      </c>
      <c r="P760">
        <v>0.63083644288976992</v>
      </c>
      <c r="Q760">
        <v>1.067465688274795</v>
      </c>
      <c r="R760">
        <v>4.9083174884737684</v>
      </c>
      <c r="S760">
        <v>0.194424827482539</v>
      </c>
      <c r="T760">
        <v>0.15249861279164981</v>
      </c>
      <c r="U760">
        <v>4.2436712643831056</v>
      </c>
      <c r="V760">
        <v>0.23810297856178911</v>
      </c>
      <c r="W760">
        <v>9.4382909555204524</v>
      </c>
      <c r="X760">
        <v>0.32000765363918232</v>
      </c>
      <c r="Z760" t="s">
        <v>392</v>
      </c>
      <c r="AA760">
        <v>114</v>
      </c>
      <c r="AB760" t="s">
        <v>4193</v>
      </c>
      <c r="AC760" t="str">
        <f>HYPERLINK("plots/3FT6Y578R04_015_S21P_20251218081014_M5358ACSC201811_RBGEUFRF04/dpll_52094/txpa_53261.png","plot")</f>
        <v>plot</v>
      </c>
    </row>
    <row r="761" spans="1:29" x14ac:dyDescent="0.35">
      <c r="A761" t="s">
        <v>49</v>
      </c>
      <c r="B761">
        <v>52094</v>
      </c>
      <c r="C761" t="s">
        <v>53</v>
      </c>
      <c r="D761">
        <v>53262</v>
      </c>
      <c r="E761" t="s">
        <v>137</v>
      </c>
      <c r="F761">
        <v>12027</v>
      </c>
      <c r="G761">
        <v>0.80567955585771134</v>
      </c>
      <c r="H761">
        <v>0</v>
      </c>
      <c r="I761">
        <v>0</v>
      </c>
      <c r="J761">
        <v>0.70465783049662289</v>
      </c>
      <c r="K761">
        <v>0</v>
      </c>
      <c r="L761">
        <v>0</v>
      </c>
      <c r="M761">
        <v>0.51735732933288969</v>
      </c>
      <c r="N761">
        <v>0</v>
      </c>
      <c r="O761">
        <v>0</v>
      </c>
      <c r="P761">
        <v>0.64911954672707906</v>
      </c>
      <c r="Q761">
        <v>1.098982028465997</v>
      </c>
      <c r="R761">
        <v>4.7764442085364847</v>
      </c>
      <c r="S761">
        <v>0.19238452411297521</v>
      </c>
      <c r="T761">
        <v>0.15192001773104649</v>
      </c>
      <c r="U761">
        <v>4.2436786742329762</v>
      </c>
      <c r="V761">
        <v>0.2381114909913796</v>
      </c>
      <c r="W761">
        <v>9.4401708061029339</v>
      </c>
      <c r="X761">
        <v>0.32479445142701863</v>
      </c>
      <c r="Z761" t="s">
        <v>392</v>
      </c>
      <c r="AA761">
        <v>114</v>
      </c>
      <c r="AB761" t="s">
        <v>4194</v>
      </c>
      <c r="AC761" t="str">
        <f>HYPERLINK("plots/3FT6Y578R04_015_S21P_20251218081014_M5358ACSC201811_RBGEUFRF04/dpll_52094/txpa_53262.png","plot")</f>
        <v>plot</v>
      </c>
    </row>
    <row r="762" spans="1:29" x14ac:dyDescent="0.35">
      <c r="A762" t="s">
        <v>49</v>
      </c>
      <c r="B762">
        <v>52094</v>
      </c>
      <c r="C762" t="s">
        <v>53</v>
      </c>
      <c r="D762">
        <v>53263</v>
      </c>
      <c r="E762" t="s">
        <v>138</v>
      </c>
      <c r="F762">
        <v>12027</v>
      </c>
      <c r="G762">
        <v>0.80727501215965269</v>
      </c>
      <c r="H762">
        <v>0</v>
      </c>
      <c r="I762">
        <v>0</v>
      </c>
      <c r="J762">
        <v>0.70115732005591014</v>
      </c>
      <c r="K762">
        <v>0</v>
      </c>
      <c r="L762">
        <v>0</v>
      </c>
      <c r="M762">
        <v>0.51263044490956677</v>
      </c>
      <c r="N762">
        <v>0</v>
      </c>
      <c r="O762">
        <v>0</v>
      </c>
      <c r="P762">
        <v>0.65169294525736743</v>
      </c>
      <c r="Q762">
        <v>1.0969413741768479</v>
      </c>
      <c r="R762">
        <v>4.7696132557080073</v>
      </c>
      <c r="S762">
        <v>0.19092729625315891</v>
      </c>
      <c r="T762">
        <v>0.1511793756706393</v>
      </c>
      <c r="U762">
        <v>4.2436418554918101</v>
      </c>
      <c r="V762">
        <v>0.23809103076034549</v>
      </c>
      <c r="W762">
        <v>9.4246395841855826</v>
      </c>
      <c r="X762">
        <v>0.32352283735717108</v>
      </c>
      <c r="Z762" t="s">
        <v>392</v>
      </c>
      <c r="AA762">
        <v>114</v>
      </c>
      <c r="AB762" t="s">
        <v>4195</v>
      </c>
      <c r="AC762" t="str">
        <f>HYPERLINK("plots/3FT6Y578R04_015_S21P_20251218081014_M5358ACSC201811_RBGEUFRF04/dpll_52094/txpa_53263.png","plot")</f>
        <v>plot</v>
      </c>
    </row>
    <row r="763" spans="1:29" x14ac:dyDescent="0.35">
      <c r="A763" t="s">
        <v>49</v>
      </c>
      <c r="B763">
        <v>52094</v>
      </c>
      <c r="C763" t="s">
        <v>53</v>
      </c>
      <c r="D763">
        <v>53264</v>
      </c>
      <c r="E763" t="s">
        <v>139</v>
      </c>
      <c r="F763">
        <v>12027</v>
      </c>
      <c r="G763">
        <v>0.81070626277289271</v>
      </c>
      <c r="H763">
        <v>0</v>
      </c>
      <c r="I763">
        <v>0</v>
      </c>
      <c r="J763">
        <v>0.71556627230018466</v>
      </c>
      <c r="K763">
        <v>0</v>
      </c>
      <c r="L763">
        <v>0</v>
      </c>
      <c r="M763">
        <v>0.52672549238833799</v>
      </c>
      <c r="N763">
        <v>0</v>
      </c>
      <c r="O763">
        <v>0</v>
      </c>
      <c r="P763">
        <v>0.65724464449919051</v>
      </c>
      <c r="Q763">
        <v>1.108803093698288</v>
      </c>
      <c r="R763">
        <v>4.729190638898336</v>
      </c>
      <c r="S763">
        <v>0.19063217329399129</v>
      </c>
      <c r="T763">
        <v>0.15067008569384641</v>
      </c>
      <c r="U763">
        <v>4.2436377816579363</v>
      </c>
      <c r="V763">
        <v>0.2380845584627882</v>
      </c>
      <c r="W763">
        <v>9.4345493397355948</v>
      </c>
      <c r="X763">
        <v>0.32562829116725722</v>
      </c>
      <c r="Z763" t="s">
        <v>392</v>
      </c>
      <c r="AA763">
        <v>114</v>
      </c>
      <c r="AB763" t="s">
        <v>4196</v>
      </c>
      <c r="AC763" t="str">
        <f>HYPERLINK("plots/3FT6Y578R04_015_S21P_20251218081014_M5358ACSC201811_RBGEUFRF04/dpll_52094/txpa_53264.png","plot")</f>
        <v>plot</v>
      </c>
    </row>
    <row r="764" spans="1:29" x14ac:dyDescent="0.35">
      <c r="A764" t="s">
        <v>49</v>
      </c>
      <c r="B764">
        <v>52094</v>
      </c>
      <c r="C764" t="s">
        <v>53</v>
      </c>
      <c r="D764">
        <v>53265</v>
      </c>
      <c r="E764" t="s">
        <v>140</v>
      </c>
      <c r="F764">
        <v>12028</v>
      </c>
      <c r="G764">
        <v>0.80826185373643733</v>
      </c>
      <c r="H764">
        <v>0</v>
      </c>
      <c r="I764">
        <v>0</v>
      </c>
      <c r="J764">
        <v>0.70651081355592937</v>
      </c>
      <c r="K764">
        <v>0</v>
      </c>
      <c r="L764">
        <v>0</v>
      </c>
      <c r="M764">
        <v>0.51872757955058091</v>
      </c>
      <c r="N764">
        <v>0</v>
      </c>
      <c r="O764">
        <v>0</v>
      </c>
      <c r="P764">
        <v>0.65328722420546204</v>
      </c>
      <c r="Q764">
        <v>1.09365521040874</v>
      </c>
      <c r="R764">
        <v>4.8009255673461366</v>
      </c>
      <c r="S764">
        <v>0.1896968155091156</v>
      </c>
      <c r="T764">
        <v>0.15012086634803029</v>
      </c>
      <c r="U764">
        <v>4.2436712643831056</v>
      </c>
      <c r="V764">
        <v>0.23810297856178911</v>
      </c>
      <c r="W764">
        <v>9.4420387569005655</v>
      </c>
      <c r="X764">
        <v>0.32217599026126331</v>
      </c>
      <c r="Z764" t="s">
        <v>392</v>
      </c>
      <c r="AA764">
        <v>114</v>
      </c>
      <c r="AB764" t="s">
        <v>4197</v>
      </c>
      <c r="AC764" t="str">
        <f>HYPERLINK("plots/3FT6Y578R04_015_S21P_20251218081014_M5358ACSC201811_RBGEUFRF04/dpll_52094/txpa_53265.png","plot")</f>
        <v>plot</v>
      </c>
    </row>
    <row r="765" spans="1:29" x14ac:dyDescent="0.35">
      <c r="A765" t="s">
        <v>49</v>
      </c>
      <c r="B765">
        <v>52094</v>
      </c>
      <c r="C765" t="s">
        <v>53</v>
      </c>
      <c r="D765">
        <v>53266</v>
      </c>
      <c r="E765" t="s">
        <v>141</v>
      </c>
      <c r="F765">
        <v>12027</v>
      </c>
      <c r="G765">
        <v>0.80303161789631683</v>
      </c>
      <c r="H765">
        <v>0</v>
      </c>
      <c r="I765">
        <v>0</v>
      </c>
      <c r="J765">
        <v>0.70171349973785702</v>
      </c>
      <c r="K765">
        <v>0</v>
      </c>
      <c r="L765">
        <v>0</v>
      </c>
      <c r="M765">
        <v>0.51471593999267484</v>
      </c>
      <c r="N765">
        <v>0</v>
      </c>
      <c r="O765">
        <v>0</v>
      </c>
      <c r="P765">
        <v>0.64485977934117622</v>
      </c>
      <c r="Q765">
        <v>1.085880021065502</v>
      </c>
      <c r="R765">
        <v>4.7941996954487269</v>
      </c>
      <c r="S765">
        <v>0.1918614323593241</v>
      </c>
      <c r="T765">
        <v>0.15078473662108041</v>
      </c>
      <c r="U765">
        <v>4.2436951445081901</v>
      </c>
      <c r="V765">
        <v>0.2380984732054881</v>
      </c>
      <c r="W765">
        <v>9.4023434683628491</v>
      </c>
      <c r="X765">
        <v>0.32196288332624712</v>
      </c>
      <c r="Z765" t="s">
        <v>392</v>
      </c>
      <c r="AA765">
        <v>114</v>
      </c>
      <c r="AB765" t="s">
        <v>4198</v>
      </c>
      <c r="AC765" t="str">
        <f>HYPERLINK("plots/3FT6Y578R04_015_S21P_20251218081014_M5358ACSC201811_RBGEUFRF04/dpll_52094/txpa_53266.png","plot")</f>
        <v>plot</v>
      </c>
    </row>
    <row r="766" spans="1:29" x14ac:dyDescent="0.35">
      <c r="A766" t="s">
        <v>49</v>
      </c>
      <c r="B766">
        <v>52094</v>
      </c>
      <c r="C766" t="s">
        <v>53</v>
      </c>
      <c r="D766">
        <v>53267</v>
      </c>
      <c r="E766" t="s">
        <v>142</v>
      </c>
      <c r="F766">
        <v>12028</v>
      </c>
      <c r="G766">
        <v>0.789758119246875</v>
      </c>
      <c r="H766">
        <v>0</v>
      </c>
      <c r="I766">
        <v>0</v>
      </c>
      <c r="J766">
        <v>0.69173255928466126</v>
      </c>
      <c r="K766">
        <v>0</v>
      </c>
      <c r="L766">
        <v>0</v>
      </c>
      <c r="M766">
        <v>0.50315591436227514</v>
      </c>
      <c r="N766">
        <v>0</v>
      </c>
      <c r="O766">
        <v>0</v>
      </c>
      <c r="P766">
        <v>0.62371788691636121</v>
      </c>
      <c r="Q766">
        <v>1.0912899868181101</v>
      </c>
      <c r="R766">
        <v>5.2515606850800509</v>
      </c>
      <c r="S766">
        <v>0.20181322941716359</v>
      </c>
      <c r="T766">
        <v>0.1572393575992547</v>
      </c>
      <c r="U766">
        <v>4.2436712643831056</v>
      </c>
      <c r="V766">
        <v>0.23810297856178911</v>
      </c>
      <c r="W766">
        <v>9.882636643249084</v>
      </c>
      <c r="X766">
        <v>0.32901136437044037</v>
      </c>
      <c r="Z766" t="s">
        <v>392</v>
      </c>
      <c r="AA766">
        <v>114</v>
      </c>
      <c r="AB766" t="s">
        <v>4199</v>
      </c>
      <c r="AC766" t="str">
        <f>HYPERLINK("plots/3FT6Y578R04_015_S21P_20251218081014_M5358ACSC201811_RBGEUFRF04/dpll_52094/txpa_53267.png","plot")</f>
        <v>plot</v>
      </c>
    </row>
    <row r="767" spans="1:29" x14ac:dyDescent="0.35">
      <c r="A767" t="s">
        <v>49</v>
      </c>
      <c r="B767">
        <v>52094</v>
      </c>
      <c r="C767" t="s">
        <v>53</v>
      </c>
      <c r="D767">
        <v>53268</v>
      </c>
      <c r="E767" t="s">
        <v>143</v>
      </c>
      <c r="F767">
        <v>12028</v>
      </c>
      <c r="G767">
        <v>0.80544201239254753</v>
      </c>
      <c r="H767">
        <v>0</v>
      </c>
      <c r="I767">
        <v>0</v>
      </c>
      <c r="J767">
        <v>0.70648755866641388</v>
      </c>
      <c r="K767">
        <v>0</v>
      </c>
      <c r="L767">
        <v>0</v>
      </c>
      <c r="M767">
        <v>0.51894732225096762</v>
      </c>
      <c r="N767">
        <v>0</v>
      </c>
      <c r="O767">
        <v>0</v>
      </c>
      <c r="P767">
        <v>0.6487368353269567</v>
      </c>
      <c r="Q767">
        <v>1.125180065471963</v>
      </c>
      <c r="R767">
        <v>5.1400085306026213</v>
      </c>
      <c r="S767">
        <v>0.1971291409014693</v>
      </c>
      <c r="T767">
        <v>0.1551379730107284</v>
      </c>
      <c r="U767">
        <v>4.2436712643831056</v>
      </c>
      <c r="V767">
        <v>0.23810297856178911</v>
      </c>
      <c r="W767">
        <v>9.9149028417026948</v>
      </c>
      <c r="X767">
        <v>0.33262323157368762</v>
      </c>
      <c r="Z767" t="s">
        <v>392</v>
      </c>
      <c r="AA767">
        <v>114</v>
      </c>
      <c r="AB767" t="s">
        <v>4200</v>
      </c>
      <c r="AC767" t="str">
        <f>HYPERLINK("plots/3FT6Y578R04_015_S21P_20251218081014_M5358ACSC201811_RBGEUFRF04/dpll_52094/txpa_53268.png","plot")</f>
        <v>plot</v>
      </c>
    </row>
    <row r="768" spans="1:29" x14ac:dyDescent="0.35">
      <c r="A768" t="s">
        <v>49</v>
      </c>
      <c r="B768">
        <v>52094</v>
      </c>
      <c r="C768" t="s">
        <v>53</v>
      </c>
      <c r="D768">
        <v>53269</v>
      </c>
      <c r="E768" t="s">
        <v>144</v>
      </c>
      <c r="F768">
        <v>12028</v>
      </c>
      <c r="G768">
        <v>0.79892659767389362</v>
      </c>
      <c r="H768">
        <v>0</v>
      </c>
      <c r="I768">
        <v>0</v>
      </c>
      <c r="J768">
        <v>0.69617473409047703</v>
      </c>
      <c r="K768">
        <v>0</v>
      </c>
      <c r="L768">
        <v>0</v>
      </c>
      <c r="M768">
        <v>0.50863740959400738</v>
      </c>
      <c r="N768">
        <v>0</v>
      </c>
      <c r="O768">
        <v>0</v>
      </c>
      <c r="P768">
        <v>0.63828370847078353</v>
      </c>
      <c r="Q768">
        <v>1.0927479235448021</v>
      </c>
      <c r="R768">
        <v>5.2963451085564746</v>
      </c>
      <c r="S768">
        <v>0.19585917414160431</v>
      </c>
      <c r="T768">
        <v>0.1534423412970935</v>
      </c>
      <c r="U768">
        <v>4.2436712643831056</v>
      </c>
      <c r="V768">
        <v>0.23810297856178911</v>
      </c>
      <c r="W768">
        <v>9.9336080709178578</v>
      </c>
      <c r="X768">
        <v>0.32567013812128781</v>
      </c>
      <c r="Z768" t="s">
        <v>392</v>
      </c>
      <c r="AA768">
        <v>114</v>
      </c>
      <c r="AB768" t="s">
        <v>4201</v>
      </c>
      <c r="AC768" t="str">
        <f>HYPERLINK("plots/3FT6Y578R04_015_S21P_20251218081014_M5358ACSC201811_RBGEUFRF04/dpll_52094/txpa_53269.png","plot")</f>
        <v>plot</v>
      </c>
    </row>
    <row r="769" spans="1:29" x14ac:dyDescent="0.35">
      <c r="A769" t="s">
        <v>49</v>
      </c>
      <c r="B769">
        <v>52094</v>
      </c>
      <c r="C769" t="s">
        <v>53</v>
      </c>
      <c r="D769">
        <v>53270</v>
      </c>
      <c r="E769" t="s">
        <v>145</v>
      </c>
      <c r="F769">
        <v>12027</v>
      </c>
      <c r="G769">
        <v>0.80999691017197917</v>
      </c>
      <c r="H769">
        <v>0</v>
      </c>
      <c r="I769">
        <v>0</v>
      </c>
      <c r="J769">
        <v>0.70720579022483987</v>
      </c>
      <c r="K769">
        <v>0</v>
      </c>
      <c r="L769">
        <v>0</v>
      </c>
      <c r="M769">
        <v>0.51961462076106735</v>
      </c>
      <c r="N769">
        <v>0</v>
      </c>
      <c r="O769">
        <v>0</v>
      </c>
      <c r="P769">
        <v>0.65609499448815334</v>
      </c>
      <c r="Q769">
        <v>1.124515925167527</v>
      </c>
      <c r="R769">
        <v>5.1631986513354784</v>
      </c>
      <c r="S769">
        <v>0.1938491027749788</v>
      </c>
      <c r="T769">
        <v>0.1529674614245031</v>
      </c>
      <c r="U769">
        <v>4.2436786742329762</v>
      </c>
      <c r="V769">
        <v>0.2381114909913796</v>
      </c>
      <c r="W769">
        <v>9.9352829018042748</v>
      </c>
      <c r="X769">
        <v>0.33056936418231442</v>
      </c>
      <c r="Z769" t="s">
        <v>392</v>
      </c>
      <c r="AA769">
        <v>114</v>
      </c>
      <c r="AB769" t="s">
        <v>4202</v>
      </c>
      <c r="AC769" t="str">
        <f>HYPERLINK("plots/3FT6Y578R04_015_S21P_20251218081014_M5358ACSC201811_RBGEUFRF04/dpll_52094/txpa_53270.png","plot")</f>
        <v>plot</v>
      </c>
    </row>
    <row r="770" spans="1:29" x14ac:dyDescent="0.35">
      <c r="A770" t="s">
        <v>49</v>
      </c>
      <c r="B770">
        <v>52094</v>
      </c>
      <c r="C770" t="s">
        <v>53</v>
      </c>
      <c r="D770">
        <v>53271</v>
      </c>
      <c r="E770" t="s">
        <v>146</v>
      </c>
      <c r="F770">
        <v>12027</v>
      </c>
      <c r="G770">
        <v>0.81142238828000612</v>
      </c>
      <c r="H770">
        <v>0</v>
      </c>
      <c r="I770">
        <v>0</v>
      </c>
      <c r="J770">
        <v>0.70353691077199332</v>
      </c>
      <c r="K770">
        <v>0</v>
      </c>
      <c r="L770">
        <v>0</v>
      </c>
      <c r="M770">
        <v>0.51471392753096301</v>
      </c>
      <c r="N770">
        <v>0</v>
      </c>
      <c r="O770">
        <v>0</v>
      </c>
      <c r="P770">
        <v>0.65840629220202906</v>
      </c>
      <c r="Q770">
        <v>1.1223277296883489</v>
      </c>
      <c r="R770">
        <v>5.1565631856235488</v>
      </c>
      <c r="S770">
        <v>0.19246537827448121</v>
      </c>
      <c r="T770">
        <v>0.15227065882783711</v>
      </c>
      <c r="U770">
        <v>4.2436418554918101</v>
      </c>
      <c r="V770">
        <v>0.23809103076034549</v>
      </c>
      <c r="W770">
        <v>9.9193201149081247</v>
      </c>
      <c r="X770">
        <v>0.32931820698075981</v>
      </c>
      <c r="Z770" t="s">
        <v>392</v>
      </c>
      <c r="AA770">
        <v>114</v>
      </c>
      <c r="AB770" t="s">
        <v>4203</v>
      </c>
      <c r="AC770" t="str">
        <f>HYPERLINK("plots/3FT6Y578R04_015_S21P_20251218081014_M5358ACSC201811_RBGEUFRF04/dpll_52094/txpa_53271.png","plot")</f>
        <v>plot</v>
      </c>
    </row>
    <row r="771" spans="1:29" x14ac:dyDescent="0.35">
      <c r="A771" t="s">
        <v>49</v>
      </c>
      <c r="B771">
        <v>52094</v>
      </c>
      <c r="C771" t="s">
        <v>53</v>
      </c>
      <c r="D771">
        <v>53272</v>
      </c>
      <c r="E771" t="s">
        <v>147</v>
      </c>
      <c r="F771">
        <v>12027</v>
      </c>
      <c r="G771">
        <v>0.81471661773945547</v>
      </c>
      <c r="H771">
        <v>0</v>
      </c>
      <c r="I771">
        <v>0</v>
      </c>
      <c r="J771">
        <v>0.71779261041124631</v>
      </c>
      <c r="K771">
        <v>0</v>
      </c>
      <c r="L771">
        <v>0</v>
      </c>
      <c r="M771">
        <v>0.52874565230220227</v>
      </c>
      <c r="N771">
        <v>0</v>
      </c>
      <c r="O771">
        <v>0</v>
      </c>
      <c r="P771">
        <v>0.66376316722081796</v>
      </c>
      <c r="Q771">
        <v>1.1338062935752109</v>
      </c>
      <c r="R771">
        <v>5.1182047598711913</v>
      </c>
      <c r="S771">
        <v>0.19211802134978881</v>
      </c>
      <c r="T771">
        <v>0.15168833459199499</v>
      </c>
      <c r="U771">
        <v>4.2436377816579363</v>
      </c>
      <c r="V771">
        <v>0.2380845584627882</v>
      </c>
      <c r="W771">
        <v>9.9296679843685052</v>
      </c>
      <c r="X771">
        <v>0.33133210359348692</v>
      </c>
      <c r="Z771" t="s">
        <v>392</v>
      </c>
      <c r="AA771">
        <v>114</v>
      </c>
      <c r="AB771" t="s">
        <v>4204</v>
      </c>
      <c r="AC771" t="str">
        <f>HYPERLINK("plots/3FT6Y578R04_015_S21P_20251218081014_M5358ACSC201811_RBGEUFRF04/dpll_52094/txpa_53272.png","plot")</f>
        <v>plot</v>
      </c>
    </row>
    <row r="772" spans="1:29" x14ac:dyDescent="0.35">
      <c r="A772" t="s">
        <v>49</v>
      </c>
      <c r="B772">
        <v>52094</v>
      </c>
      <c r="C772" t="s">
        <v>53</v>
      </c>
      <c r="D772">
        <v>53273</v>
      </c>
      <c r="E772" t="s">
        <v>148</v>
      </c>
      <c r="F772">
        <v>12028</v>
      </c>
      <c r="G772">
        <v>0.8125075015010722</v>
      </c>
      <c r="H772">
        <v>0</v>
      </c>
      <c r="I772">
        <v>0</v>
      </c>
      <c r="J772">
        <v>0.70877614697398617</v>
      </c>
      <c r="K772">
        <v>0</v>
      </c>
      <c r="L772">
        <v>0</v>
      </c>
      <c r="M772">
        <v>0.52076054125223548</v>
      </c>
      <c r="N772">
        <v>0</v>
      </c>
      <c r="O772">
        <v>0</v>
      </c>
      <c r="P772">
        <v>0.66016843999551489</v>
      </c>
      <c r="Q772">
        <v>1.1189354631498829</v>
      </c>
      <c r="R772">
        <v>5.1887628176232896</v>
      </c>
      <c r="S772">
        <v>0.19114207123017221</v>
      </c>
      <c r="T772">
        <v>0.1510721869662392</v>
      </c>
      <c r="U772">
        <v>4.2436712643831056</v>
      </c>
      <c r="V772">
        <v>0.23810297856178911</v>
      </c>
      <c r="W772">
        <v>9.9371570892916523</v>
      </c>
      <c r="X772">
        <v>0.32790080842601382</v>
      </c>
      <c r="Z772" t="s">
        <v>392</v>
      </c>
      <c r="AA772">
        <v>114</v>
      </c>
      <c r="AB772" t="s">
        <v>4205</v>
      </c>
      <c r="AC772" t="str">
        <f>HYPERLINK("plots/3FT6Y578R04_015_S21P_20251218081014_M5358ACSC201811_RBGEUFRF04/dpll_52094/txpa_53273.png","plot")</f>
        <v>plot</v>
      </c>
    </row>
    <row r="773" spans="1:29" x14ac:dyDescent="0.35">
      <c r="A773" t="s">
        <v>49</v>
      </c>
      <c r="B773">
        <v>52094</v>
      </c>
      <c r="C773" t="s">
        <v>53</v>
      </c>
      <c r="D773">
        <v>53274</v>
      </c>
      <c r="E773" t="s">
        <v>149</v>
      </c>
      <c r="F773">
        <v>12027</v>
      </c>
      <c r="G773">
        <v>0.80720007771894675</v>
      </c>
      <c r="H773">
        <v>0</v>
      </c>
      <c r="I773">
        <v>0</v>
      </c>
      <c r="J773">
        <v>0.70419750166774586</v>
      </c>
      <c r="K773">
        <v>0</v>
      </c>
      <c r="L773">
        <v>0</v>
      </c>
      <c r="M773">
        <v>0.51690607655510201</v>
      </c>
      <c r="N773">
        <v>0</v>
      </c>
      <c r="O773">
        <v>0</v>
      </c>
      <c r="P773">
        <v>0.65157196546947371</v>
      </c>
      <c r="Q773">
        <v>1.1105682540195529</v>
      </c>
      <c r="R773">
        <v>5.1843906333559726</v>
      </c>
      <c r="S773">
        <v>0.1933566709478281</v>
      </c>
      <c r="T773">
        <v>0.15181030113414479</v>
      </c>
      <c r="U773">
        <v>4.2436951445081901</v>
      </c>
      <c r="V773">
        <v>0.2380984732054881</v>
      </c>
      <c r="W773">
        <v>9.8973037405836877</v>
      </c>
      <c r="X773">
        <v>0.32758248292018688</v>
      </c>
      <c r="Z773" t="s">
        <v>392</v>
      </c>
      <c r="AA773">
        <v>114</v>
      </c>
      <c r="AB773" t="s">
        <v>4206</v>
      </c>
      <c r="AC773" t="str">
        <f>HYPERLINK("plots/3FT6Y578R04_015_S21P_20251218081014_M5358ACSC201811_RBGEUFRF04/dpll_52094/txpa_53274.png","plot")</f>
        <v>plot</v>
      </c>
    </row>
    <row r="774" spans="1:29" x14ac:dyDescent="0.35">
      <c r="A774" t="s">
        <v>49</v>
      </c>
      <c r="B774">
        <v>52094</v>
      </c>
      <c r="C774" t="s">
        <v>53</v>
      </c>
      <c r="D774">
        <v>53275</v>
      </c>
      <c r="E774" t="s">
        <v>150</v>
      </c>
      <c r="F774">
        <v>12028</v>
      </c>
      <c r="G774">
        <v>0.80176101050688819</v>
      </c>
      <c r="H774">
        <v>0</v>
      </c>
      <c r="I774">
        <v>0</v>
      </c>
      <c r="J774">
        <v>0.69962413074258123</v>
      </c>
      <c r="K774">
        <v>0</v>
      </c>
      <c r="L774">
        <v>0</v>
      </c>
      <c r="M774">
        <v>0.50997283653807701</v>
      </c>
      <c r="N774">
        <v>0</v>
      </c>
      <c r="O774">
        <v>0</v>
      </c>
      <c r="P774">
        <v>0.64282071796902651</v>
      </c>
      <c r="Q774">
        <v>1.162475088283716</v>
      </c>
      <c r="R774">
        <v>6.5819249058774716</v>
      </c>
      <c r="S774">
        <v>0.2063139652347547</v>
      </c>
      <c r="T774">
        <v>0.16008727450900939</v>
      </c>
      <c r="U774">
        <v>4.2436712643831056</v>
      </c>
      <c r="V774">
        <v>0.23810297856178911</v>
      </c>
      <c r="W774">
        <v>11.515087033588291</v>
      </c>
      <c r="X774">
        <v>0.34522604291924891</v>
      </c>
      <c r="Z774" t="s">
        <v>392</v>
      </c>
      <c r="AA774">
        <v>114</v>
      </c>
      <c r="AB774" t="s">
        <v>4207</v>
      </c>
      <c r="AC774" t="str">
        <f>HYPERLINK("plots/3FT6Y578R04_015_S21P_20251218081014_M5358ACSC201811_RBGEUFRF04/dpll_52094/txpa_53275.png","plot")</f>
        <v>plot</v>
      </c>
    </row>
    <row r="775" spans="1:29" x14ac:dyDescent="0.35">
      <c r="A775" t="s">
        <v>49</v>
      </c>
      <c r="B775">
        <v>52094</v>
      </c>
      <c r="C775" t="s">
        <v>53</v>
      </c>
      <c r="D775">
        <v>53276</v>
      </c>
      <c r="E775" t="s">
        <v>151</v>
      </c>
      <c r="F775">
        <v>12028</v>
      </c>
      <c r="G775">
        <v>0.81646030707850736</v>
      </c>
      <c r="H775">
        <v>0</v>
      </c>
      <c r="I775">
        <v>0</v>
      </c>
      <c r="J775">
        <v>0.71361679777471376</v>
      </c>
      <c r="K775">
        <v>0</v>
      </c>
      <c r="L775">
        <v>0</v>
      </c>
      <c r="M775">
        <v>0.52536433214039002</v>
      </c>
      <c r="N775">
        <v>0</v>
      </c>
      <c r="O775">
        <v>0</v>
      </c>
      <c r="P775">
        <v>0.66660743303473058</v>
      </c>
      <c r="Q775">
        <v>1.1969069556009131</v>
      </c>
      <c r="R775">
        <v>6.468233336066862</v>
      </c>
      <c r="S775">
        <v>0.20153479843498751</v>
      </c>
      <c r="T775">
        <v>0.15806406854674079</v>
      </c>
      <c r="U775">
        <v>4.2436712643831056</v>
      </c>
      <c r="V775">
        <v>0.23810297856178911</v>
      </c>
      <c r="W775">
        <v>11.54751298969072</v>
      </c>
      <c r="X775">
        <v>0.34905200990070551</v>
      </c>
      <c r="Z775" t="s">
        <v>392</v>
      </c>
      <c r="AA775">
        <v>114</v>
      </c>
      <c r="AB775" t="s">
        <v>4208</v>
      </c>
      <c r="AC775" t="str">
        <f>HYPERLINK("plots/3FT6Y578R04_015_S21P_20251218081014_M5358ACSC201811_RBGEUFRF04/dpll_52094/txpa_53276.png","plot")</f>
        <v>plot</v>
      </c>
    </row>
    <row r="776" spans="1:29" x14ac:dyDescent="0.35">
      <c r="A776" t="s">
        <v>49</v>
      </c>
      <c r="B776">
        <v>52094</v>
      </c>
      <c r="C776" t="s">
        <v>53</v>
      </c>
      <c r="D776">
        <v>53277</v>
      </c>
      <c r="E776" t="s">
        <v>152</v>
      </c>
      <c r="F776">
        <v>12028</v>
      </c>
      <c r="G776">
        <v>0.81108059077628303</v>
      </c>
      <c r="H776">
        <v>0</v>
      </c>
      <c r="I776">
        <v>0</v>
      </c>
      <c r="J776">
        <v>0.70429797014281037</v>
      </c>
      <c r="K776">
        <v>0</v>
      </c>
      <c r="L776">
        <v>0</v>
      </c>
      <c r="M776">
        <v>0.51579759330488484</v>
      </c>
      <c r="N776">
        <v>0</v>
      </c>
      <c r="O776">
        <v>0</v>
      </c>
      <c r="P776">
        <v>0.65785172473400433</v>
      </c>
      <c r="Q776">
        <v>1.164929109848758</v>
      </c>
      <c r="R776">
        <v>6.6228993643680569</v>
      </c>
      <c r="S776">
        <v>0.20002737725244979</v>
      </c>
      <c r="T776">
        <v>0.1561216445659083</v>
      </c>
      <c r="U776">
        <v>4.2436712643831056</v>
      </c>
      <c r="V776">
        <v>0.23810297856178911</v>
      </c>
      <c r="W776">
        <v>11.56647555287662</v>
      </c>
      <c r="X776">
        <v>0.34197969230511299</v>
      </c>
      <c r="Z776" t="s">
        <v>392</v>
      </c>
      <c r="AA776">
        <v>114</v>
      </c>
      <c r="AB776" t="s">
        <v>4209</v>
      </c>
      <c r="AC776" t="str">
        <f>HYPERLINK("plots/3FT6Y578R04_015_S21P_20251218081014_M5358ACSC201811_RBGEUFRF04/dpll_52094/txpa_53277.png","plot")</f>
        <v>plot</v>
      </c>
    </row>
    <row r="777" spans="1:29" x14ac:dyDescent="0.35">
      <c r="A777" t="s">
        <v>49</v>
      </c>
      <c r="B777">
        <v>52094</v>
      </c>
      <c r="C777" t="s">
        <v>53</v>
      </c>
      <c r="D777">
        <v>53278</v>
      </c>
      <c r="E777" t="s">
        <v>153</v>
      </c>
      <c r="F777">
        <v>12027</v>
      </c>
      <c r="G777">
        <v>0.82114618028342112</v>
      </c>
      <c r="H777">
        <v>0</v>
      </c>
      <c r="I777">
        <v>0</v>
      </c>
      <c r="J777">
        <v>0.71446152283562891</v>
      </c>
      <c r="K777">
        <v>0</v>
      </c>
      <c r="L777">
        <v>0</v>
      </c>
      <c r="M777">
        <v>0.52610381615823165</v>
      </c>
      <c r="N777">
        <v>0</v>
      </c>
      <c r="O777">
        <v>0</v>
      </c>
      <c r="P777">
        <v>0.67428104939405276</v>
      </c>
      <c r="Q777">
        <v>1.1973837628362209</v>
      </c>
      <c r="R777">
        <v>6.487229218174952</v>
      </c>
      <c r="S777">
        <v>0.198151196809849</v>
      </c>
      <c r="T777">
        <v>0.15597545677220989</v>
      </c>
      <c r="U777">
        <v>4.2436786742329762</v>
      </c>
      <c r="V777">
        <v>0.2381114909913796</v>
      </c>
      <c r="W777">
        <v>11.56854115739586</v>
      </c>
      <c r="X777">
        <v>0.3472108132554354</v>
      </c>
      <c r="Z777" t="s">
        <v>392</v>
      </c>
      <c r="AA777">
        <v>114</v>
      </c>
      <c r="AB777" t="s">
        <v>4210</v>
      </c>
      <c r="AC777" t="str">
        <f>HYPERLINK("plots/3FT6Y578R04_015_S21P_20251218081014_M5358ACSC201811_RBGEUFRF04/dpll_52094/txpa_53278.png","plot")</f>
        <v>plot</v>
      </c>
    </row>
    <row r="778" spans="1:29" x14ac:dyDescent="0.35">
      <c r="A778" t="s">
        <v>49</v>
      </c>
      <c r="B778">
        <v>52094</v>
      </c>
      <c r="C778" t="s">
        <v>53</v>
      </c>
      <c r="D778">
        <v>53279</v>
      </c>
      <c r="E778" t="s">
        <v>154</v>
      </c>
      <c r="F778">
        <v>12027</v>
      </c>
      <c r="G778">
        <v>0.82213984942426777</v>
      </c>
      <c r="H778">
        <v>0</v>
      </c>
      <c r="I778">
        <v>0</v>
      </c>
      <c r="J778">
        <v>0.71057691363794839</v>
      </c>
      <c r="K778">
        <v>0</v>
      </c>
      <c r="L778">
        <v>0</v>
      </c>
      <c r="M778">
        <v>0.52091708044429852</v>
      </c>
      <c r="N778">
        <v>0</v>
      </c>
      <c r="O778">
        <v>0</v>
      </c>
      <c r="P778">
        <v>0.67591393201135763</v>
      </c>
      <c r="Q778">
        <v>1.195320125246021</v>
      </c>
      <c r="R778">
        <v>6.4784226312170698</v>
      </c>
      <c r="S778">
        <v>0.1970578285561666</v>
      </c>
      <c r="T778">
        <v>0.15548887728051591</v>
      </c>
      <c r="U778">
        <v>4.2436418554918101</v>
      </c>
      <c r="V778">
        <v>0.23809103076034549</v>
      </c>
      <c r="W778">
        <v>11.5509331454228</v>
      </c>
      <c r="X778">
        <v>0.34616373468298423</v>
      </c>
      <c r="Z778" t="s">
        <v>392</v>
      </c>
      <c r="AA778">
        <v>114</v>
      </c>
      <c r="AB778" t="s">
        <v>4211</v>
      </c>
      <c r="AC778" t="str">
        <f>HYPERLINK("plots/3FT6Y578R04_015_S21P_20251218081014_M5358ACSC201811_RBGEUFRF04/dpll_52094/txpa_53279.png","plot")</f>
        <v>plot</v>
      </c>
    </row>
    <row r="779" spans="1:29" x14ac:dyDescent="0.35">
      <c r="A779" t="s">
        <v>49</v>
      </c>
      <c r="B779">
        <v>52094</v>
      </c>
      <c r="C779" t="s">
        <v>53</v>
      </c>
      <c r="D779">
        <v>53280</v>
      </c>
      <c r="E779" t="s">
        <v>155</v>
      </c>
      <c r="F779">
        <v>12027</v>
      </c>
      <c r="G779">
        <v>0.82537147282417123</v>
      </c>
      <c r="H779">
        <v>0</v>
      </c>
      <c r="I779">
        <v>0</v>
      </c>
      <c r="J779">
        <v>0.72415198402315872</v>
      </c>
      <c r="K779">
        <v>0</v>
      </c>
      <c r="L779">
        <v>0</v>
      </c>
      <c r="M779">
        <v>0.53458540465231419</v>
      </c>
      <c r="N779">
        <v>0</v>
      </c>
      <c r="O779">
        <v>0</v>
      </c>
      <c r="P779">
        <v>0.68123806815194166</v>
      </c>
      <c r="Q779">
        <v>1.2056488487997301</v>
      </c>
      <c r="R779">
        <v>6.4461252221406866</v>
      </c>
      <c r="S779">
        <v>0.19634406580878541</v>
      </c>
      <c r="T779">
        <v>0.15459103900798149</v>
      </c>
      <c r="U779">
        <v>4.2436377816579363</v>
      </c>
      <c r="V779">
        <v>0.2380845584627882</v>
      </c>
      <c r="W779">
        <v>11.562462228319619</v>
      </c>
      <c r="X779">
        <v>0.34777840436557222</v>
      </c>
      <c r="Z779" t="s">
        <v>392</v>
      </c>
      <c r="AA779">
        <v>114</v>
      </c>
      <c r="AB779" t="s">
        <v>4212</v>
      </c>
      <c r="AC779" t="str">
        <f>HYPERLINK("plots/3FT6Y578R04_015_S21P_20251218081014_M5358ACSC201811_RBGEUFRF04/dpll_52094/txpa_53280.png","plot")</f>
        <v>plot</v>
      </c>
    </row>
    <row r="780" spans="1:29" x14ac:dyDescent="0.35">
      <c r="A780" t="s">
        <v>49</v>
      </c>
      <c r="B780">
        <v>52094</v>
      </c>
      <c r="C780" t="s">
        <v>53</v>
      </c>
      <c r="D780">
        <v>53281</v>
      </c>
      <c r="E780" t="s">
        <v>156</v>
      </c>
      <c r="F780">
        <v>12028</v>
      </c>
      <c r="G780">
        <v>0.82362474568855726</v>
      </c>
      <c r="H780">
        <v>0</v>
      </c>
      <c r="I780">
        <v>0</v>
      </c>
      <c r="J780">
        <v>0.71571449844581925</v>
      </c>
      <c r="K780">
        <v>0</v>
      </c>
      <c r="L780">
        <v>0</v>
      </c>
      <c r="M780">
        <v>0.52696982106096357</v>
      </c>
      <c r="N780">
        <v>0</v>
      </c>
      <c r="O780">
        <v>0</v>
      </c>
      <c r="P780">
        <v>0.67835772171054065</v>
      </c>
      <c r="Q780">
        <v>1.190775791111788</v>
      </c>
      <c r="R780">
        <v>6.5173643321443588</v>
      </c>
      <c r="S780">
        <v>0.19522433364440589</v>
      </c>
      <c r="T780">
        <v>0.15373615803615359</v>
      </c>
      <c r="U780">
        <v>4.2436712643831056</v>
      </c>
      <c r="V780">
        <v>0.23810297856178911</v>
      </c>
      <c r="W780">
        <v>11.57062533920851</v>
      </c>
      <c r="X780">
        <v>0.34424325416055362</v>
      </c>
      <c r="Z780" t="s">
        <v>392</v>
      </c>
      <c r="AA780">
        <v>114</v>
      </c>
      <c r="AB780" t="s">
        <v>4213</v>
      </c>
      <c r="AC780" t="str">
        <f>HYPERLINK("plots/3FT6Y578R04_015_S21P_20251218081014_M5358ACSC201811_RBGEUFRF04/dpll_52094/txpa_53281.png","plot")</f>
        <v>plot</v>
      </c>
    </row>
    <row r="781" spans="1:29" x14ac:dyDescent="0.35">
      <c r="A781" t="s">
        <v>49</v>
      </c>
      <c r="B781">
        <v>52094</v>
      </c>
      <c r="C781" t="s">
        <v>53</v>
      </c>
      <c r="D781">
        <v>53282</v>
      </c>
      <c r="E781" t="s">
        <v>157</v>
      </c>
      <c r="F781">
        <v>12027</v>
      </c>
      <c r="G781">
        <v>0.81793663084794543</v>
      </c>
      <c r="H781">
        <v>0</v>
      </c>
      <c r="I781">
        <v>0</v>
      </c>
      <c r="J781">
        <v>0.71047737249034837</v>
      </c>
      <c r="K781">
        <v>0</v>
      </c>
      <c r="L781">
        <v>0</v>
      </c>
      <c r="M781">
        <v>0.52247206408382885</v>
      </c>
      <c r="N781">
        <v>0</v>
      </c>
      <c r="O781">
        <v>0</v>
      </c>
      <c r="P781">
        <v>0.66902033208288814</v>
      </c>
      <c r="Q781">
        <v>1.1803865359603001</v>
      </c>
      <c r="R781">
        <v>6.5221710417331114</v>
      </c>
      <c r="S781">
        <v>0.19767138334267759</v>
      </c>
      <c r="T781">
        <v>0.15463998610944149</v>
      </c>
      <c r="U781">
        <v>4.2436951445081901</v>
      </c>
      <c r="V781">
        <v>0.2380984732054881</v>
      </c>
      <c r="W781">
        <v>11.53137165303068</v>
      </c>
      <c r="X781">
        <v>0.34360636436236258</v>
      </c>
      <c r="Z781" t="s">
        <v>392</v>
      </c>
      <c r="AA781">
        <v>114</v>
      </c>
      <c r="AB781" t="s">
        <v>4214</v>
      </c>
      <c r="AC781" t="str">
        <f>HYPERLINK("plots/3FT6Y578R04_015_S21P_20251218081014_M5358ACSC201811_RBGEUFRF04/dpll_52094/txpa_53282.png","plot")</f>
        <v>plot</v>
      </c>
    </row>
    <row r="782" spans="1:29" x14ac:dyDescent="0.35">
      <c r="A782" t="s">
        <v>49</v>
      </c>
      <c r="B782">
        <v>52094</v>
      </c>
      <c r="C782" t="s">
        <v>53</v>
      </c>
      <c r="D782">
        <v>53283</v>
      </c>
      <c r="E782" t="s">
        <v>158</v>
      </c>
      <c r="F782">
        <v>12028</v>
      </c>
      <c r="G782">
        <v>0.80467042421264967</v>
      </c>
      <c r="H782">
        <v>0</v>
      </c>
      <c r="I782">
        <v>0</v>
      </c>
      <c r="J782">
        <v>0.70118105231487304</v>
      </c>
      <c r="K782">
        <v>0</v>
      </c>
      <c r="L782">
        <v>0</v>
      </c>
      <c r="M782">
        <v>0.51137087727430852</v>
      </c>
      <c r="N782">
        <v>0</v>
      </c>
      <c r="O782">
        <v>0</v>
      </c>
      <c r="P782">
        <v>0.64749449160256556</v>
      </c>
      <c r="Q782">
        <v>1.180222709326149</v>
      </c>
      <c r="R782">
        <v>7.0823756495513024</v>
      </c>
      <c r="S782">
        <v>0.20733644880024399</v>
      </c>
      <c r="T782">
        <v>0.16070931086708831</v>
      </c>
      <c r="U782">
        <v>4.2436712643831056</v>
      </c>
      <c r="V782">
        <v>0.23810297856178911</v>
      </c>
      <c r="W782">
        <v>12.09085284669105</v>
      </c>
      <c r="X782">
        <v>0.34922936645992209</v>
      </c>
      <c r="Z782" t="s">
        <v>392</v>
      </c>
      <c r="AA782">
        <v>114</v>
      </c>
      <c r="AB782" t="s">
        <v>4215</v>
      </c>
      <c r="AC782" t="str">
        <f>HYPERLINK("plots/3FT6Y578R04_015_S21P_20251218081014_M5358ACSC201811_RBGEUFRF04/dpll_52094/txpa_53283.png","plot")</f>
        <v>plot</v>
      </c>
    </row>
    <row r="783" spans="1:29" x14ac:dyDescent="0.35">
      <c r="A783" t="s">
        <v>49</v>
      </c>
      <c r="B783">
        <v>52094</v>
      </c>
      <c r="C783" t="s">
        <v>53</v>
      </c>
      <c r="D783">
        <v>53284</v>
      </c>
      <c r="E783" t="s">
        <v>159</v>
      </c>
      <c r="F783">
        <v>12028</v>
      </c>
      <c r="G783">
        <v>0.81912621478483583</v>
      </c>
      <c r="H783">
        <v>0</v>
      </c>
      <c r="I783">
        <v>0</v>
      </c>
      <c r="J783">
        <v>0.71519974611287962</v>
      </c>
      <c r="K783">
        <v>0</v>
      </c>
      <c r="L783">
        <v>0</v>
      </c>
      <c r="M783">
        <v>0.52688514567996114</v>
      </c>
      <c r="N783">
        <v>0</v>
      </c>
      <c r="O783">
        <v>0</v>
      </c>
      <c r="P783">
        <v>0.67096775574773304</v>
      </c>
      <c r="Q783">
        <v>1.215575374396705</v>
      </c>
      <c r="R783">
        <v>6.9651797750052431</v>
      </c>
      <c r="S783">
        <v>0.20267354889956141</v>
      </c>
      <c r="T783">
        <v>0.15876276839452391</v>
      </c>
      <c r="U783">
        <v>4.2436712643831056</v>
      </c>
      <c r="V783">
        <v>0.23810297856178911</v>
      </c>
      <c r="W783">
        <v>12.123682061024279</v>
      </c>
      <c r="X783">
        <v>0.35334251558075702</v>
      </c>
      <c r="Z783" t="s">
        <v>392</v>
      </c>
      <c r="AA783">
        <v>114</v>
      </c>
      <c r="AB783" t="s">
        <v>4216</v>
      </c>
      <c r="AC783" t="str">
        <f>HYPERLINK("plots/3FT6Y578R04_015_S21P_20251218081014_M5358ACSC201811_RBGEUFRF04/dpll_52094/txpa_53284.png","plot")</f>
        <v>plot</v>
      </c>
    </row>
    <row r="784" spans="1:29" x14ac:dyDescent="0.35">
      <c r="A784" t="s">
        <v>49</v>
      </c>
      <c r="B784">
        <v>52094</v>
      </c>
      <c r="C784" t="s">
        <v>53</v>
      </c>
      <c r="D784">
        <v>53285</v>
      </c>
      <c r="E784" t="s">
        <v>160</v>
      </c>
      <c r="F784">
        <v>12028</v>
      </c>
      <c r="G784">
        <v>0.81382123625042735</v>
      </c>
      <c r="H784">
        <v>0</v>
      </c>
      <c r="I784">
        <v>0</v>
      </c>
      <c r="J784">
        <v>0.70576168763544889</v>
      </c>
      <c r="K784">
        <v>0</v>
      </c>
      <c r="L784">
        <v>0</v>
      </c>
      <c r="M784">
        <v>0.51712400920564727</v>
      </c>
      <c r="N784">
        <v>0</v>
      </c>
      <c r="O784">
        <v>0</v>
      </c>
      <c r="P784">
        <v>0.66230500457217389</v>
      </c>
      <c r="Q784">
        <v>1.183139096077791</v>
      </c>
      <c r="R784">
        <v>7.1220960442078072</v>
      </c>
      <c r="S784">
        <v>0.20114807167654761</v>
      </c>
      <c r="T784">
        <v>0.1568289740962252</v>
      </c>
      <c r="U784">
        <v>4.2436712643831056</v>
      </c>
      <c r="V784">
        <v>0.23810297856178911</v>
      </c>
      <c r="W784">
        <v>12.14294942800133</v>
      </c>
      <c r="X784">
        <v>0.34615580213531999</v>
      </c>
      <c r="Z784" t="s">
        <v>392</v>
      </c>
      <c r="AA784">
        <v>114</v>
      </c>
      <c r="AB784" t="s">
        <v>4217</v>
      </c>
      <c r="AC784" t="str">
        <f>HYPERLINK("plots/3FT6Y578R04_015_S21P_20251218081014_M5358ACSC201811_RBGEUFRF04/dpll_52094/txpa_53285.png","plot")</f>
        <v>plot</v>
      </c>
    </row>
    <row r="785" spans="1:29" x14ac:dyDescent="0.35">
      <c r="A785" t="s">
        <v>49</v>
      </c>
      <c r="B785">
        <v>52094</v>
      </c>
      <c r="C785" t="s">
        <v>53</v>
      </c>
      <c r="D785">
        <v>53286</v>
      </c>
      <c r="E785" t="s">
        <v>161</v>
      </c>
      <c r="F785">
        <v>12027</v>
      </c>
      <c r="G785">
        <v>0.82367713315175883</v>
      </c>
      <c r="H785">
        <v>0</v>
      </c>
      <c r="I785">
        <v>0</v>
      </c>
      <c r="J785">
        <v>0.7158182215838188</v>
      </c>
      <c r="K785">
        <v>0</v>
      </c>
      <c r="L785">
        <v>0</v>
      </c>
      <c r="M785">
        <v>0.52733983649391014</v>
      </c>
      <c r="N785">
        <v>0</v>
      </c>
      <c r="O785">
        <v>0</v>
      </c>
      <c r="P785">
        <v>0.67844401967710022</v>
      </c>
      <c r="Q785">
        <v>1.2158857427743239</v>
      </c>
      <c r="R785">
        <v>6.9851187453479229</v>
      </c>
      <c r="S785">
        <v>0.1993087433888871</v>
      </c>
      <c r="T785">
        <v>0.15675652428142181</v>
      </c>
      <c r="U785">
        <v>4.2436786742329762</v>
      </c>
      <c r="V785">
        <v>0.2381114909913796</v>
      </c>
      <c r="W785">
        <v>12.14494714226324</v>
      </c>
      <c r="X785">
        <v>0.35149253929065088</v>
      </c>
      <c r="Z785" t="s">
        <v>392</v>
      </c>
      <c r="AA785">
        <v>114</v>
      </c>
      <c r="AB785" t="s">
        <v>4218</v>
      </c>
      <c r="AC785" t="str">
        <f>HYPERLINK("plots/3FT6Y578R04_015_S21P_20251218081014_M5358ACSC201811_RBGEUFRF04/dpll_52094/txpa_53286.png","plot")</f>
        <v>plot</v>
      </c>
    </row>
    <row r="786" spans="1:29" x14ac:dyDescent="0.35">
      <c r="A786" t="s">
        <v>49</v>
      </c>
      <c r="B786">
        <v>52094</v>
      </c>
      <c r="C786" t="s">
        <v>53</v>
      </c>
      <c r="D786">
        <v>53287</v>
      </c>
      <c r="E786" t="s">
        <v>162</v>
      </c>
      <c r="F786">
        <v>12027</v>
      </c>
      <c r="G786">
        <v>0.8246149207337321</v>
      </c>
      <c r="H786">
        <v>0</v>
      </c>
      <c r="I786">
        <v>0</v>
      </c>
      <c r="J786">
        <v>0.71197420369413134</v>
      </c>
      <c r="K786">
        <v>0</v>
      </c>
      <c r="L786">
        <v>0</v>
      </c>
      <c r="M786">
        <v>0.52217601989559115</v>
      </c>
      <c r="N786">
        <v>0</v>
      </c>
      <c r="O786">
        <v>0</v>
      </c>
      <c r="P786">
        <v>0.67998976749669926</v>
      </c>
      <c r="Q786">
        <v>1.214193509733726</v>
      </c>
      <c r="R786">
        <v>6.9740566369309098</v>
      </c>
      <c r="S786">
        <v>0.1983095506643501</v>
      </c>
      <c r="T786">
        <v>0.15637143738881271</v>
      </c>
      <c r="U786">
        <v>4.2436418554918101</v>
      </c>
      <c r="V786">
        <v>0.23809103076034549</v>
      </c>
      <c r="W786">
        <v>12.126659035503449</v>
      </c>
      <c r="X786">
        <v>0.35057404008382143</v>
      </c>
      <c r="Z786" t="s">
        <v>392</v>
      </c>
      <c r="AA786">
        <v>114</v>
      </c>
      <c r="AB786" t="s">
        <v>4219</v>
      </c>
      <c r="AC786" t="str">
        <f>HYPERLINK("plots/3FT6Y578R04_015_S21P_20251218081014_M5358ACSC201811_RBGEUFRF04/dpll_52094/txpa_53287.png","plot")</f>
        <v>plot</v>
      </c>
    </row>
    <row r="787" spans="1:29" x14ac:dyDescent="0.35">
      <c r="A787" t="s">
        <v>49</v>
      </c>
      <c r="B787">
        <v>52094</v>
      </c>
      <c r="C787" t="s">
        <v>53</v>
      </c>
      <c r="D787">
        <v>53288</v>
      </c>
      <c r="E787" t="s">
        <v>163</v>
      </c>
      <c r="F787">
        <v>12027</v>
      </c>
      <c r="G787">
        <v>0.82780516032190776</v>
      </c>
      <c r="H787">
        <v>0</v>
      </c>
      <c r="I787">
        <v>0</v>
      </c>
      <c r="J787">
        <v>0.72529234526094133</v>
      </c>
      <c r="K787">
        <v>0</v>
      </c>
      <c r="L787">
        <v>0</v>
      </c>
      <c r="M787">
        <v>0.53567516638766566</v>
      </c>
      <c r="N787">
        <v>0</v>
      </c>
      <c r="O787">
        <v>0</v>
      </c>
      <c r="P787">
        <v>0.68526138345557941</v>
      </c>
      <c r="Q787">
        <v>1.2239575652151371</v>
      </c>
      <c r="R787">
        <v>6.944554739168348</v>
      </c>
      <c r="S787">
        <v>0.1974815015952727</v>
      </c>
      <c r="T787">
        <v>0.1553501461740012</v>
      </c>
      <c r="U787">
        <v>4.2436377816579363</v>
      </c>
      <c r="V787">
        <v>0.2380845584627882</v>
      </c>
      <c r="W787">
        <v>12.13858730606136</v>
      </c>
      <c r="X787">
        <v>0.35202172015709188</v>
      </c>
      <c r="Z787" t="s">
        <v>392</v>
      </c>
      <c r="AA787">
        <v>114</v>
      </c>
      <c r="AB787" t="s">
        <v>4220</v>
      </c>
      <c r="AC787" t="str">
        <f>HYPERLINK("plots/3FT6Y578R04_015_S21P_20251218081014_M5358ACSC201811_RBGEUFRF04/dpll_52094/txpa_53288.png","plot")</f>
        <v>plot</v>
      </c>
    </row>
    <row r="788" spans="1:29" x14ac:dyDescent="0.35">
      <c r="A788" t="s">
        <v>49</v>
      </c>
      <c r="B788">
        <v>52094</v>
      </c>
      <c r="C788" t="s">
        <v>53</v>
      </c>
      <c r="D788">
        <v>53289</v>
      </c>
      <c r="E788" t="s">
        <v>164</v>
      </c>
      <c r="F788">
        <v>12028</v>
      </c>
      <c r="G788">
        <v>0.82621498333266374</v>
      </c>
      <c r="H788">
        <v>0</v>
      </c>
      <c r="I788">
        <v>0</v>
      </c>
      <c r="J788">
        <v>0.71709858862467657</v>
      </c>
      <c r="K788">
        <v>0</v>
      </c>
      <c r="L788">
        <v>0</v>
      </c>
      <c r="M788">
        <v>0.52823075626108928</v>
      </c>
      <c r="N788">
        <v>0</v>
      </c>
      <c r="O788">
        <v>0</v>
      </c>
      <c r="P788">
        <v>0.68263119868339384</v>
      </c>
      <c r="Q788">
        <v>1.2090858065872681</v>
      </c>
      <c r="R788">
        <v>7.0160940614836429</v>
      </c>
      <c r="S788">
        <v>0.19628763674192759</v>
      </c>
      <c r="T788">
        <v>0.15440979632599999</v>
      </c>
      <c r="U788">
        <v>4.2436712643831056</v>
      </c>
      <c r="V788">
        <v>0.23810297856178911</v>
      </c>
      <c r="W788">
        <v>12.1470567550715</v>
      </c>
      <c r="X788">
        <v>0.34844070573977698</v>
      </c>
      <c r="Z788" t="s">
        <v>392</v>
      </c>
      <c r="AA788">
        <v>114</v>
      </c>
      <c r="AB788" t="s">
        <v>4221</v>
      </c>
      <c r="AC788" t="str">
        <f>HYPERLINK("plots/3FT6Y578R04_015_S21P_20251218081014_M5358ACSC201811_RBGEUFRF04/dpll_52094/txpa_53289.png","plot")</f>
        <v>plot</v>
      </c>
    </row>
    <row r="789" spans="1:29" x14ac:dyDescent="0.35">
      <c r="A789" t="s">
        <v>49</v>
      </c>
      <c r="B789">
        <v>52094</v>
      </c>
      <c r="C789" t="s">
        <v>53</v>
      </c>
      <c r="D789">
        <v>53290</v>
      </c>
      <c r="E789" t="s">
        <v>165</v>
      </c>
      <c r="F789">
        <v>12027</v>
      </c>
      <c r="G789">
        <v>0.82022955491751059</v>
      </c>
      <c r="H789">
        <v>0</v>
      </c>
      <c r="I789">
        <v>0</v>
      </c>
      <c r="J789">
        <v>0.71134700089150971</v>
      </c>
      <c r="K789">
        <v>0</v>
      </c>
      <c r="L789">
        <v>0</v>
      </c>
      <c r="M789">
        <v>0.52328977701221191</v>
      </c>
      <c r="N789">
        <v>0</v>
      </c>
      <c r="O789">
        <v>0</v>
      </c>
      <c r="P789">
        <v>0.67277652276017752</v>
      </c>
      <c r="Q789">
        <v>1.19783161510572</v>
      </c>
      <c r="R789">
        <v>7.0244143995017421</v>
      </c>
      <c r="S789">
        <v>0.19889375177451771</v>
      </c>
      <c r="T789">
        <v>0.1554041637362979</v>
      </c>
      <c r="U789">
        <v>4.2436951445081901</v>
      </c>
      <c r="V789">
        <v>0.2380984732054881</v>
      </c>
      <c r="W789">
        <v>12.10764660846429</v>
      </c>
      <c r="X789">
        <v>0.3477098295276842</v>
      </c>
      <c r="Z789" t="s">
        <v>392</v>
      </c>
      <c r="AA789">
        <v>114</v>
      </c>
      <c r="AB789" t="s">
        <v>4222</v>
      </c>
      <c r="AC789" t="str">
        <f>HYPERLINK("plots/3FT6Y578R04_015_S21P_20251218081014_M5358ACSC201811_RBGEUFRF04/dpll_52094/txpa_53290.png","plot")</f>
        <v>plot</v>
      </c>
    </row>
    <row r="790" spans="1:29" x14ac:dyDescent="0.35">
      <c r="A790" t="s">
        <v>49</v>
      </c>
      <c r="B790">
        <v>52094</v>
      </c>
      <c r="C790" t="s">
        <v>53</v>
      </c>
      <c r="D790">
        <v>54146</v>
      </c>
      <c r="E790" t="s">
        <v>166</v>
      </c>
      <c r="F790">
        <v>12028</v>
      </c>
      <c r="G790">
        <v>-5.2818410671634491E-3</v>
      </c>
      <c r="H790">
        <v>0.56244399453768112</v>
      </c>
      <c r="I790">
        <v>0.56244399453768112</v>
      </c>
      <c r="J790">
        <v>-9.5357648218440949E-3</v>
      </c>
      <c r="K790">
        <v>0.29568858907391032</v>
      </c>
      <c r="L790">
        <v>0.29598048304140667</v>
      </c>
      <c r="M790">
        <v>-6.2848325279844736E-3</v>
      </c>
      <c r="N790">
        <v>0.30125751606692153</v>
      </c>
      <c r="O790">
        <v>0.30155490749443081</v>
      </c>
      <c r="P790">
        <v>2.7897845058774321E-5</v>
      </c>
      <c r="Q790">
        <v>-9.7155221975843115E-2</v>
      </c>
      <c r="R790">
        <v>-11.47307022827844</v>
      </c>
      <c r="S790">
        <v>4.3794697953986121</v>
      </c>
      <c r="T790">
        <v>3.3760048589553309</v>
      </c>
      <c r="U790">
        <v>4.2436712643831056</v>
      </c>
      <c r="V790">
        <v>0.23810297856178911</v>
      </c>
      <c r="W790">
        <v>-11.88536505196209</v>
      </c>
      <c r="X790">
        <v>4.3797129525715333</v>
      </c>
      <c r="Z790" t="s">
        <v>392</v>
      </c>
      <c r="AA790">
        <v>114</v>
      </c>
      <c r="AB790" t="s">
        <v>4223</v>
      </c>
      <c r="AC790" t="str">
        <f>HYPERLINK("plots/3FT6Y578R04_015_S21P_20251218081014_M5358ACSC201811_RBGEUFRF04/dpll_52094/txpa_54146.png","plot")</f>
        <v>plot</v>
      </c>
    </row>
    <row r="791" spans="1:29" x14ac:dyDescent="0.35">
      <c r="A791" t="s">
        <v>49</v>
      </c>
      <c r="B791">
        <v>52094</v>
      </c>
      <c r="C791" t="s">
        <v>53</v>
      </c>
      <c r="D791">
        <v>54147</v>
      </c>
      <c r="E791" t="s">
        <v>167</v>
      </c>
      <c r="F791">
        <v>12028</v>
      </c>
      <c r="G791">
        <v>0.25832215174818313</v>
      </c>
      <c r="H791">
        <v>1.265316771904202E-182</v>
      </c>
      <c r="I791">
        <v>1.294683356923169E-182</v>
      </c>
      <c r="J791">
        <v>0.2430032744082718</v>
      </c>
      <c r="K791">
        <v>3.3860103298216199E-161</v>
      </c>
      <c r="L791">
        <v>3.457617799032349E-161</v>
      </c>
      <c r="M791">
        <v>0.1643353924392148</v>
      </c>
      <c r="N791">
        <v>1.6532501485228209E-160</v>
      </c>
      <c r="O791">
        <v>1.688213142600343E-160</v>
      </c>
      <c r="P791">
        <v>6.6730334083811349E-2</v>
      </c>
      <c r="Q791">
        <v>1.2822840320546309</v>
      </c>
      <c r="R791">
        <v>-26.704559930036542</v>
      </c>
      <c r="S791">
        <v>1.1417550303572319</v>
      </c>
      <c r="T791">
        <v>0.88123174394960901</v>
      </c>
      <c r="U791">
        <v>4.2436712643831056</v>
      </c>
      <c r="V791">
        <v>0.23810297856178911</v>
      </c>
      <c r="W791">
        <v>-21.262968030429001</v>
      </c>
      <c r="X791">
        <v>1.1819181797930169</v>
      </c>
      <c r="Z791" t="s">
        <v>392</v>
      </c>
      <c r="AA791">
        <v>114</v>
      </c>
      <c r="AB791" t="s">
        <v>4224</v>
      </c>
      <c r="AC791" t="str">
        <f>HYPERLINK("plots/3FT6Y578R04_015_S21P_20251218081014_M5358ACSC201811_RBGEUFRF04/dpll_52094/txpa_54147.png","plot")</f>
        <v>plot</v>
      </c>
    </row>
    <row r="792" spans="1:29" x14ac:dyDescent="0.35">
      <c r="A792" t="s">
        <v>49</v>
      </c>
      <c r="B792">
        <v>52094</v>
      </c>
      <c r="C792" t="s">
        <v>53</v>
      </c>
      <c r="D792">
        <v>54148</v>
      </c>
      <c r="E792" t="s">
        <v>168</v>
      </c>
      <c r="F792">
        <v>12028</v>
      </c>
      <c r="G792">
        <v>0.28508562318665531</v>
      </c>
      <c r="H792">
        <v>1.107851318697052E-223</v>
      </c>
      <c r="I792">
        <v>1.168950298812498E-223</v>
      </c>
      <c r="J792">
        <v>0.26184739700346887</v>
      </c>
      <c r="K792">
        <v>9.1258305492630941E-188</v>
      </c>
      <c r="L792">
        <v>9.5496307295694299E-188</v>
      </c>
      <c r="M792">
        <v>0.176714075708228</v>
      </c>
      <c r="N792">
        <v>2.2987204487889531E-185</v>
      </c>
      <c r="O792">
        <v>2.4054721724169239E-185</v>
      </c>
      <c r="P792">
        <v>8.1273812547723617E-2</v>
      </c>
      <c r="Q792">
        <v>1.3962756221604871</v>
      </c>
      <c r="R792">
        <v>-27.087582619024861</v>
      </c>
      <c r="S792">
        <v>1.117726791878896</v>
      </c>
      <c r="T792">
        <v>0.86226910612993657</v>
      </c>
      <c r="U792">
        <v>4.2436712643831056</v>
      </c>
      <c r="V792">
        <v>0.23810297856178911</v>
      </c>
      <c r="W792">
        <v>-21.16224788410376</v>
      </c>
      <c r="X792">
        <v>1.1661667846082711</v>
      </c>
      <c r="Z792" t="s">
        <v>392</v>
      </c>
      <c r="AA792">
        <v>114</v>
      </c>
      <c r="AB792" t="s">
        <v>4225</v>
      </c>
      <c r="AC792" t="str">
        <f>HYPERLINK("plots/3FT6Y578R04_015_S21P_20251218081014_M5358ACSC201811_RBGEUFRF04/dpll_52094/txpa_54148.png","plot")</f>
        <v>plot</v>
      </c>
    </row>
    <row r="793" spans="1:29" x14ac:dyDescent="0.35">
      <c r="A793" t="s">
        <v>49</v>
      </c>
      <c r="B793">
        <v>52094</v>
      </c>
      <c r="C793" t="s">
        <v>53</v>
      </c>
      <c r="D793">
        <v>54149</v>
      </c>
      <c r="E793" t="s">
        <v>169</v>
      </c>
      <c r="F793">
        <v>12028</v>
      </c>
      <c r="G793">
        <v>0.26502138844051892</v>
      </c>
      <c r="H793">
        <v>1.8296696288956482E-192</v>
      </c>
      <c r="I793">
        <v>1.8950817198163301E-192</v>
      </c>
      <c r="J793">
        <v>0.24896730102952391</v>
      </c>
      <c r="K793">
        <v>2.3088648367693059E-169</v>
      </c>
      <c r="L793">
        <v>2.3720252730335119E-169</v>
      </c>
      <c r="M793">
        <v>0.16804710923012711</v>
      </c>
      <c r="N793">
        <v>9.4215709870515736E-168</v>
      </c>
      <c r="O793">
        <v>9.6695070656581948E-168</v>
      </c>
      <c r="P793">
        <v>7.023633633094041E-2</v>
      </c>
      <c r="Q793">
        <v>1.3185557600054361</v>
      </c>
      <c r="R793">
        <v>-26.791139103089531</v>
      </c>
      <c r="S793">
        <v>1.142222298183192</v>
      </c>
      <c r="T793">
        <v>0.87883897950701184</v>
      </c>
      <c r="U793">
        <v>4.2436712643831056</v>
      </c>
      <c r="V793">
        <v>0.23810297856178911</v>
      </c>
      <c r="W793">
        <v>-21.19562191386764</v>
      </c>
      <c r="X793">
        <v>1.1846291188213309</v>
      </c>
      <c r="Z793" t="s">
        <v>392</v>
      </c>
      <c r="AA793">
        <v>114</v>
      </c>
      <c r="AB793" t="s">
        <v>4226</v>
      </c>
      <c r="AC793" t="str">
        <f>HYPERLINK("plots/3FT6Y578R04_015_S21P_20251218081014_M5358ACSC201811_RBGEUFRF04/dpll_52094/txpa_54149.png","plot")</f>
        <v>plot</v>
      </c>
    </row>
    <row r="794" spans="1:29" x14ac:dyDescent="0.35">
      <c r="A794" t="s">
        <v>49</v>
      </c>
      <c r="B794">
        <v>52094</v>
      </c>
      <c r="C794" t="s">
        <v>53</v>
      </c>
      <c r="D794">
        <v>54150</v>
      </c>
      <c r="E794" t="s">
        <v>170</v>
      </c>
      <c r="F794">
        <v>12028</v>
      </c>
      <c r="G794">
        <v>0.27955381868070628</v>
      </c>
      <c r="H794">
        <v>8.2445595427533855E-215</v>
      </c>
      <c r="I794">
        <v>8.6542270976728095E-215</v>
      </c>
      <c r="J794">
        <v>0.26115417884060382</v>
      </c>
      <c r="K794">
        <v>9.4993787093181599E-187</v>
      </c>
      <c r="L794">
        <v>9.9200515048904358E-187</v>
      </c>
      <c r="M794">
        <v>0.17647110093424309</v>
      </c>
      <c r="N794">
        <v>6.4207937974688924E-185</v>
      </c>
      <c r="O794">
        <v>6.6913513983899857E-185</v>
      </c>
      <c r="P794">
        <v>7.8150337538965206E-2</v>
      </c>
      <c r="Q794">
        <v>1.3722372889504031</v>
      </c>
      <c r="R794">
        <v>-26.886809664369348</v>
      </c>
      <c r="S794">
        <v>1.1221233822575241</v>
      </c>
      <c r="T794">
        <v>0.85413369514802795</v>
      </c>
      <c r="U794">
        <v>4.2436712643831056</v>
      </c>
      <c r="V794">
        <v>0.23810297856178911</v>
      </c>
      <c r="W794">
        <v>-21.063485713335549</v>
      </c>
      <c r="X794">
        <v>1.168768816446845</v>
      </c>
      <c r="Z794" t="s">
        <v>392</v>
      </c>
      <c r="AA794">
        <v>114</v>
      </c>
      <c r="AB794" t="s">
        <v>4227</v>
      </c>
      <c r="AC794" t="str">
        <f>HYPERLINK("plots/3FT6Y578R04_015_S21P_20251218081014_M5358ACSC201811_RBGEUFRF04/dpll_52094/txpa_54150.png","plot")</f>
        <v>plot</v>
      </c>
    </row>
    <row r="795" spans="1:29" x14ac:dyDescent="0.35">
      <c r="A795" t="s">
        <v>49</v>
      </c>
      <c r="B795">
        <v>52094</v>
      </c>
      <c r="C795" t="s">
        <v>53</v>
      </c>
      <c r="D795">
        <v>54151</v>
      </c>
      <c r="E795" t="s">
        <v>171</v>
      </c>
      <c r="F795">
        <v>12028</v>
      </c>
      <c r="G795">
        <v>0.26991938233889029</v>
      </c>
      <c r="H795">
        <v>7.6720634135712833E-200</v>
      </c>
      <c r="I795">
        <v>7.9953466612140597E-200</v>
      </c>
      <c r="J795">
        <v>0.25999003087602668</v>
      </c>
      <c r="K795">
        <v>4.7791890303029918E-185</v>
      </c>
      <c r="L795">
        <v>4.9703565915151123E-185</v>
      </c>
      <c r="M795">
        <v>0.17624871344876991</v>
      </c>
      <c r="N795">
        <v>2.0266749130876001E-184</v>
      </c>
      <c r="O795">
        <v>2.1077419096111039E-184</v>
      </c>
      <c r="P795">
        <v>7.2856472962208069E-2</v>
      </c>
      <c r="Q795">
        <v>1.315738271996914</v>
      </c>
      <c r="R795">
        <v>-26.697269115843511</v>
      </c>
      <c r="S795">
        <v>1.1175210064004</v>
      </c>
      <c r="T795">
        <v>0.85664098570104619</v>
      </c>
      <c r="U795">
        <v>4.2436712643831056</v>
      </c>
      <c r="V795">
        <v>0.23810297856178911</v>
      </c>
      <c r="W795">
        <v>-21.113708419521121</v>
      </c>
      <c r="X795">
        <v>1.1606472971877011</v>
      </c>
      <c r="Z795" t="s">
        <v>392</v>
      </c>
      <c r="AA795">
        <v>114</v>
      </c>
      <c r="AB795" t="s">
        <v>4228</v>
      </c>
      <c r="AC795" t="str">
        <f>HYPERLINK("plots/3FT6Y578R04_015_S21P_20251218081014_M5358ACSC201811_RBGEUFRF04/dpll_52094/txpa_54151.png","plot")</f>
        <v>plot</v>
      </c>
    </row>
    <row r="796" spans="1:29" x14ac:dyDescent="0.35">
      <c r="A796" t="s">
        <v>49</v>
      </c>
      <c r="B796">
        <v>52094</v>
      </c>
      <c r="C796" t="s">
        <v>53</v>
      </c>
      <c r="D796">
        <v>54152</v>
      </c>
      <c r="E796" t="s">
        <v>172</v>
      </c>
      <c r="F796">
        <v>12028</v>
      </c>
      <c r="G796">
        <v>0.28070081140553849</v>
      </c>
      <c r="H796">
        <v>1.2398820998671281E-216</v>
      </c>
      <c r="I796">
        <v>1.3041913374121041E-216</v>
      </c>
      <c r="J796">
        <v>0.26416613686933149</v>
      </c>
      <c r="K796">
        <v>3.4248536455213379E-191</v>
      </c>
      <c r="L796">
        <v>3.6137373533388518E-191</v>
      </c>
      <c r="M796">
        <v>0.1790699703440177</v>
      </c>
      <c r="N796">
        <v>2.7709932236721651E-190</v>
      </c>
      <c r="O796">
        <v>2.9238159508882161E-190</v>
      </c>
      <c r="P796">
        <v>7.8792945523727717E-2</v>
      </c>
      <c r="Q796">
        <v>1.3726568999141839</v>
      </c>
      <c r="R796">
        <v>-26.974246798657539</v>
      </c>
      <c r="S796">
        <v>1.1174902201056791</v>
      </c>
      <c r="T796">
        <v>0.85972060432185804</v>
      </c>
      <c r="U796">
        <v>4.2436712643831056</v>
      </c>
      <c r="V796">
        <v>0.23810297856178911</v>
      </c>
      <c r="W796">
        <v>-21.149142156634522</v>
      </c>
      <c r="X796">
        <v>1.164348954947517</v>
      </c>
      <c r="Z796" t="s">
        <v>392</v>
      </c>
      <c r="AA796">
        <v>114</v>
      </c>
      <c r="AB796" t="s">
        <v>4229</v>
      </c>
      <c r="AC796" t="str">
        <f>HYPERLINK("plots/3FT6Y578R04_015_S21P_20251218081014_M5358ACSC201811_RBGEUFRF04/dpll_52094/txpa_54152.png","plot")</f>
        <v>plot</v>
      </c>
    </row>
    <row r="797" spans="1:29" x14ac:dyDescent="0.35">
      <c r="A797" t="s">
        <v>49</v>
      </c>
      <c r="B797">
        <v>52094</v>
      </c>
      <c r="C797" t="s">
        <v>53</v>
      </c>
      <c r="D797">
        <v>54153</v>
      </c>
      <c r="E797" t="s">
        <v>173</v>
      </c>
      <c r="F797">
        <v>12028</v>
      </c>
      <c r="G797">
        <v>0.26257976066840272</v>
      </c>
      <c r="H797">
        <v>7.6215210509945076E-189</v>
      </c>
      <c r="I797">
        <v>7.8698801891124557E-189</v>
      </c>
      <c r="J797">
        <v>0.25015495140144101</v>
      </c>
      <c r="K797">
        <v>5.1347842951222066E-171</v>
      </c>
      <c r="L797">
        <v>5.2967154376947278E-171</v>
      </c>
      <c r="M797">
        <v>0.16841712352010349</v>
      </c>
      <c r="N797">
        <v>1.452001864490624E-168</v>
      </c>
      <c r="O797">
        <v>1.4977923607258321E-168</v>
      </c>
      <c r="P797">
        <v>6.8948130712675651E-2</v>
      </c>
      <c r="Q797">
        <v>1.2896713987353889</v>
      </c>
      <c r="R797">
        <v>-26.643329612942331</v>
      </c>
      <c r="S797">
        <v>1.128370004061332</v>
      </c>
      <c r="T797">
        <v>0.86693993961272364</v>
      </c>
      <c r="U797">
        <v>4.2436712643831056</v>
      </c>
      <c r="V797">
        <v>0.23810297856178911</v>
      </c>
      <c r="W797">
        <v>-21.170388157632189</v>
      </c>
      <c r="X797">
        <v>1.16945266696557</v>
      </c>
      <c r="Z797" t="s">
        <v>392</v>
      </c>
      <c r="AA797">
        <v>114</v>
      </c>
      <c r="AB797" t="s">
        <v>4230</v>
      </c>
      <c r="AC797" t="str">
        <f>HYPERLINK("plots/3FT6Y578R04_015_S21P_20251218081014_M5358ACSC201811_RBGEUFRF04/dpll_52094/txpa_54153.png","plot")</f>
        <v>plot</v>
      </c>
    </row>
    <row r="798" spans="1:29" x14ac:dyDescent="0.35">
      <c r="A798" t="s">
        <v>49</v>
      </c>
      <c r="B798">
        <v>52094</v>
      </c>
      <c r="C798" t="s">
        <v>53</v>
      </c>
      <c r="D798">
        <v>54154</v>
      </c>
      <c r="E798" t="s">
        <v>174</v>
      </c>
      <c r="F798">
        <v>12028</v>
      </c>
      <c r="G798">
        <v>0.23424020607086979</v>
      </c>
      <c r="H798">
        <v>1.3380952943935941E-149</v>
      </c>
      <c r="I798">
        <v>1.350078237328462E-149</v>
      </c>
      <c r="J798">
        <v>0.21634971009920231</v>
      </c>
      <c r="K798">
        <v>2.187051748751704E-127</v>
      </c>
      <c r="L798">
        <v>2.200069913922846E-127</v>
      </c>
      <c r="M798">
        <v>0.14612469650602089</v>
      </c>
      <c r="N798">
        <v>2.5825541084568139E-127</v>
      </c>
      <c r="O798">
        <v>2.597926454340486E-127</v>
      </c>
      <c r="P798">
        <v>5.4868474140123552E-2</v>
      </c>
      <c r="Q798">
        <v>1.169557828229022</v>
      </c>
      <c r="R798">
        <v>-26.262743251813529</v>
      </c>
      <c r="S798">
        <v>1.1557214070141639</v>
      </c>
      <c r="T798">
        <v>0.89611277818603063</v>
      </c>
      <c r="U798">
        <v>4.2436712643831056</v>
      </c>
      <c r="V798">
        <v>0.23810297856178911</v>
      </c>
      <c r="W798">
        <v>-21.299524304123711</v>
      </c>
      <c r="X798">
        <v>1.1888445932178451</v>
      </c>
      <c r="Z798" t="s">
        <v>392</v>
      </c>
      <c r="AA798">
        <v>114</v>
      </c>
      <c r="AB798" t="s">
        <v>4231</v>
      </c>
      <c r="AC798" t="str">
        <f>HYPERLINK("plots/3FT6Y578R04_015_S21P_20251218081014_M5358ACSC201811_RBGEUFRF04/dpll_52094/txpa_54154.png","plot")</f>
        <v>plot</v>
      </c>
    </row>
    <row r="799" spans="1:29" x14ac:dyDescent="0.35">
      <c r="A799" t="s">
        <v>49</v>
      </c>
      <c r="B799">
        <v>52094</v>
      </c>
      <c r="C799" t="s">
        <v>53</v>
      </c>
      <c r="D799">
        <v>54155</v>
      </c>
      <c r="E799" t="s">
        <v>175</v>
      </c>
      <c r="F799">
        <v>12028</v>
      </c>
      <c r="G799">
        <v>0.52835070550274787</v>
      </c>
      <c r="H799">
        <v>0</v>
      </c>
      <c r="I799">
        <v>0</v>
      </c>
      <c r="J799">
        <v>0.46279621576540703</v>
      </c>
      <c r="K799">
        <v>0</v>
      </c>
      <c r="L799">
        <v>0</v>
      </c>
      <c r="M799">
        <v>0.31958057294456738</v>
      </c>
      <c r="N799">
        <v>0</v>
      </c>
      <c r="O799">
        <v>0</v>
      </c>
      <c r="P799">
        <v>0.2791544680052514</v>
      </c>
      <c r="Q799">
        <v>0.72690265604329451</v>
      </c>
      <c r="R799">
        <v>-14.66627231019562</v>
      </c>
      <c r="S799">
        <v>0.27811335460650771</v>
      </c>
      <c r="T799">
        <v>0.21599150714231749</v>
      </c>
      <c r="U799">
        <v>4.2436712643831056</v>
      </c>
      <c r="V799">
        <v>0.23810297856178911</v>
      </c>
      <c r="W799">
        <v>-11.58153639674094</v>
      </c>
      <c r="X799">
        <v>0.32758106637464079</v>
      </c>
      <c r="Z799" t="s">
        <v>392</v>
      </c>
      <c r="AA799">
        <v>114</v>
      </c>
      <c r="AB799" t="s">
        <v>4232</v>
      </c>
      <c r="AC799" t="str">
        <f>HYPERLINK("plots/3FT6Y578R04_015_S21P_20251218081014_M5358ACSC201811_RBGEUFRF04/dpll_52094/txpa_54155.png","plot")</f>
        <v>plot</v>
      </c>
    </row>
    <row r="800" spans="1:29" x14ac:dyDescent="0.35">
      <c r="A800" t="s">
        <v>49</v>
      </c>
      <c r="B800">
        <v>52094</v>
      </c>
      <c r="C800" t="s">
        <v>53</v>
      </c>
      <c r="D800">
        <v>54156</v>
      </c>
      <c r="E800" t="s">
        <v>176</v>
      </c>
      <c r="F800">
        <v>12028</v>
      </c>
      <c r="G800">
        <v>0.55746596403429116</v>
      </c>
      <c r="H800">
        <v>0</v>
      </c>
      <c r="I800">
        <v>0</v>
      </c>
      <c r="J800">
        <v>0.48328169814549182</v>
      </c>
      <c r="K800">
        <v>0</v>
      </c>
      <c r="L800">
        <v>0</v>
      </c>
      <c r="M800">
        <v>0.33614696133180422</v>
      </c>
      <c r="N800">
        <v>0</v>
      </c>
      <c r="O800">
        <v>0</v>
      </c>
      <c r="P800">
        <v>0.31076830105668157</v>
      </c>
      <c r="Q800">
        <v>0.76832042393878697</v>
      </c>
      <c r="R800">
        <v>-14.779472656254541</v>
      </c>
      <c r="S800">
        <v>0.27242905057477679</v>
      </c>
      <c r="T800">
        <v>0.21262142104026241</v>
      </c>
      <c r="U800">
        <v>4.2436712643831056</v>
      </c>
      <c r="V800">
        <v>0.23810297856178911</v>
      </c>
      <c r="W800">
        <v>-11.51897335134686</v>
      </c>
      <c r="X800">
        <v>0.32816242287830261</v>
      </c>
      <c r="Z800" t="s">
        <v>392</v>
      </c>
      <c r="AA800">
        <v>114</v>
      </c>
      <c r="AB800" t="s">
        <v>4233</v>
      </c>
      <c r="AC800" t="str">
        <f>HYPERLINK("plots/3FT6Y578R04_015_S21P_20251218081014_M5358ACSC201811_RBGEUFRF04/dpll_52094/txpa_54156.png","plot")</f>
        <v>plot</v>
      </c>
    </row>
    <row r="801" spans="1:29" x14ac:dyDescent="0.35">
      <c r="A801" t="s">
        <v>49</v>
      </c>
      <c r="B801">
        <v>52094</v>
      </c>
      <c r="C801" t="s">
        <v>53</v>
      </c>
      <c r="D801">
        <v>54157</v>
      </c>
      <c r="E801" t="s">
        <v>177</v>
      </c>
      <c r="F801">
        <v>12028</v>
      </c>
      <c r="G801">
        <v>0.54995942042903556</v>
      </c>
      <c r="H801">
        <v>0</v>
      </c>
      <c r="I801">
        <v>0</v>
      </c>
      <c r="J801">
        <v>0.47829188006608592</v>
      </c>
      <c r="K801">
        <v>0</v>
      </c>
      <c r="L801">
        <v>0</v>
      </c>
      <c r="M801">
        <v>0.33198743691368171</v>
      </c>
      <c r="N801">
        <v>0</v>
      </c>
      <c r="O801">
        <v>0</v>
      </c>
      <c r="P801">
        <v>0.30245536411864071</v>
      </c>
      <c r="Q801">
        <v>0.74172678733964692</v>
      </c>
      <c r="R801">
        <v>-14.66128197803245</v>
      </c>
      <c r="S801">
        <v>0.26819216975245019</v>
      </c>
      <c r="T801">
        <v>0.20941562318475249</v>
      </c>
      <c r="U801">
        <v>4.2436712643831056</v>
      </c>
      <c r="V801">
        <v>0.23810297856178911</v>
      </c>
      <c r="W801">
        <v>-11.51363732457599</v>
      </c>
      <c r="X801">
        <v>0.32112797923683389</v>
      </c>
      <c r="Z801" t="s">
        <v>392</v>
      </c>
      <c r="AA801">
        <v>114</v>
      </c>
      <c r="AB801" t="s">
        <v>4234</v>
      </c>
      <c r="AC801" t="str">
        <f>HYPERLINK("plots/3FT6Y578R04_015_S21P_20251218081014_M5358ACSC201811_RBGEUFRF04/dpll_52094/txpa_54157.png","plot")</f>
        <v>plot</v>
      </c>
    </row>
    <row r="802" spans="1:29" x14ac:dyDescent="0.35">
      <c r="A802" t="s">
        <v>49</v>
      </c>
      <c r="B802">
        <v>52094</v>
      </c>
      <c r="C802" t="s">
        <v>53</v>
      </c>
      <c r="D802">
        <v>54158</v>
      </c>
      <c r="E802" t="s">
        <v>178</v>
      </c>
      <c r="F802">
        <v>12028</v>
      </c>
      <c r="G802">
        <v>0.57714676423932076</v>
      </c>
      <c r="H802">
        <v>0</v>
      </c>
      <c r="I802">
        <v>0</v>
      </c>
      <c r="J802">
        <v>0.49752688172248177</v>
      </c>
      <c r="K802">
        <v>0</v>
      </c>
      <c r="L802">
        <v>0</v>
      </c>
      <c r="M802">
        <v>0.3463091815883349</v>
      </c>
      <c r="N802">
        <v>0</v>
      </c>
      <c r="O802">
        <v>0</v>
      </c>
      <c r="P802">
        <v>0.33309838747191811</v>
      </c>
      <c r="Q802">
        <v>0.79954133590662291</v>
      </c>
      <c r="R802">
        <v>-14.85650963327681</v>
      </c>
      <c r="S802">
        <v>0.26935951049461132</v>
      </c>
      <c r="T802">
        <v>0.21070831888241739</v>
      </c>
      <c r="U802">
        <v>4.2436712643831056</v>
      </c>
      <c r="V802">
        <v>0.23810297856178911</v>
      </c>
      <c r="W802">
        <v>-11.463519041403391</v>
      </c>
      <c r="X802">
        <v>0.3298522756400627</v>
      </c>
      <c r="Z802" t="s">
        <v>392</v>
      </c>
      <c r="AA802">
        <v>114</v>
      </c>
      <c r="AB802" t="s">
        <v>4235</v>
      </c>
      <c r="AC802" t="str">
        <f>HYPERLINK("plots/3FT6Y578R04_015_S21P_20251218081014_M5358ACSC201811_RBGEUFRF04/dpll_52094/txpa_54158.png","plot")</f>
        <v>plot</v>
      </c>
    </row>
    <row r="803" spans="1:29" x14ac:dyDescent="0.35">
      <c r="A803" t="s">
        <v>49</v>
      </c>
      <c r="B803">
        <v>52094</v>
      </c>
      <c r="C803" t="s">
        <v>53</v>
      </c>
      <c r="D803">
        <v>54159</v>
      </c>
      <c r="E803" t="s">
        <v>179</v>
      </c>
      <c r="F803">
        <v>12027</v>
      </c>
      <c r="G803">
        <v>0.56615527972760171</v>
      </c>
      <c r="H803">
        <v>0</v>
      </c>
      <c r="I803">
        <v>0</v>
      </c>
      <c r="J803">
        <v>0.48314420970196359</v>
      </c>
      <c r="K803">
        <v>0</v>
      </c>
      <c r="L803">
        <v>0</v>
      </c>
      <c r="M803">
        <v>0.33526514244361438</v>
      </c>
      <c r="N803">
        <v>0</v>
      </c>
      <c r="O803">
        <v>0</v>
      </c>
      <c r="P803">
        <v>0.32053180076343901</v>
      </c>
      <c r="Q803">
        <v>0.77432941148095324</v>
      </c>
      <c r="R803">
        <v>-14.767404711640509</v>
      </c>
      <c r="S803">
        <v>0.26841064825814048</v>
      </c>
      <c r="T803">
        <v>0.21104046523864389</v>
      </c>
      <c r="U803">
        <v>4.2436418554918101</v>
      </c>
      <c r="V803">
        <v>0.23809103076034549</v>
      </c>
      <c r="W803">
        <v>-11.481428011141601</v>
      </c>
      <c r="X803">
        <v>0.32563661300881058</v>
      </c>
      <c r="Z803" t="s">
        <v>392</v>
      </c>
      <c r="AA803">
        <v>114</v>
      </c>
      <c r="AB803" t="s">
        <v>4236</v>
      </c>
      <c r="AC803" t="str">
        <f>HYPERLINK("plots/3FT6Y578R04_015_S21P_20251218081014_M5358ACSC201811_RBGEUFRF04/dpll_52094/txpa_54159.png","plot")</f>
        <v>plot</v>
      </c>
    </row>
    <row r="804" spans="1:29" x14ac:dyDescent="0.35">
      <c r="A804" t="s">
        <v>49</v>
      </c>
      <c r="B804">
        <v>52094</v>
      </c>
      <c r="C804" t="s">
        <v>53</v>
      </c>
      <c r="D804">
        <v>54160</v>
      </c>
      <c r="E804" t="s">
        <v>180</v>
      </c>
      <c r="F804">
        <v>12028</v>
      </c>
      <c r="G804">
        <v>0.56877618748790892</v>
      </c>
      <c r="H804">
        <v>0</v>
      </c>
      <c r="I804">
        <v>0</v>
      </c>
      <c r="J804">
        <v>0.49487483198600341</v>
      </c>
      <c r="K804">
        <v>0</v>
      </c>
      <c r="L804">
        <v>0</v>
      </c>
      <c r="M804">
        <v>0.34508422247208598</v>
      </c>
      <c r="N804">
        <v>0</v>
      </c>
      <c r="O804">
        <v>0</v>
      </c>
      <c r="P804">
        <v>0.32350635145328088</v>
      </c>
      <c r="Q804">
        <v>0.77520304563303777</v>
      </c>
      <c r="R804">
        <v>-14.786930798858419</v>
      </c>
      <c r="S804">
        <v>0.26690253596842289</v>
      </c>
      <c r="T804">
        <v>0.2089030797400217</v>
      </c>
      <c r="U804">
        <v>4.2436712643831056</v>
      </c>
      <c r="V804">
        <v>0.23810297856178911</v>
      </c>
      <c r="W804">
        <v>-11.49722391004323</v>
      </c>
      <c r="X804">
        <v>0.3245180762060656</v>
      </c>
      <c r="Z804" t="s">
        <v>392</v>
      </c>
      <c r="AA804">
        <v>114</v>
      </c>
      <c r="AB804" t="s">
        <v>4237</v>
      </c>
      <c r="AC804" t="str">
        <f>HYPERLINK("plots/3FT6Y578R04_015_S21P_20251218081014_M5358ACSC201811_RBGEUFRF04/dpll_52094/txpa_54160.png","plot")</f>
        <v>plot</v>
      </c>
    </row>
    <row r="805" spans="1:29" x14ac:dyDescent="0.35">
      <c r="A805" t="s">
        <v>49</v>
      </c>
      <c r="B805">
        <v>52094</v>
      </c>
      <c r="C805" t="s">
        <v>53</v>
      </c>
      <c r="D805">
        <v>54161</v>
      </c>
      <c r="E805" t="s">
        <v>181</v>
      </c>
      <c r="F805">
        <v>12028</v>
      </c>
      <c r="G805">
        <v>0.55725347757533195</v>
      </c>
      <c r="H805">
        <v>0</v>
      </c>
      <c r="I805">
        <v>0</v>
      </c>
      <c r="J805">
        <v>0.48093849339645761</v>
      </c>
      <c r="K805">
        <v>0</v>
      </c>
      <c r="L805">
        <v>0</v>
      </c>
      <c r="M805">
        <v>0.33402156080962098</v>
      </c>
      <c r="N805">
        <v>0</v>
      </c>
      <c r="O805">
        <v>0</v>
      </c>
      <c r="P805">
        <v>0.31053143826980101</v>
      </c>
      <c r="Q805">
        <v>0.75380188063376175</v>
      </c>
      <c r="R805">
        <v>-14.698037569441141</v>
      </c>
      <c r="S805">
        <v>0.26742896115950482</v>
      </c>
      <c r="T805">
        <v>0.20950753645436401</v>
      </c>
      <c r="U805">
        <v>4.2436712643831056</v>
      </c>
      <c r="V805">
        <v>0.23810297856178911</v>
      </c>
      <c r="W805">
        <v>-11.4991501895577</v>
      </c>
      <c r="X805">
        <v>0.32208407887434592</v>
      </c>
      <c r="Z805" t="s">
        <v>392</v>
      </c>
      <c r="AA805">
        <v>114</v>
      </c>
      <c r="AB805" t="s">
        <v>4238</v>
      </c>
      <c r="AC805" t="str">
        <f>HYPERLINK("plots/3FT6Y578R04_015_S21P_20251218081014_M5358ACSC201811_RBGEUFRF04/dpll_52094/txpa_54161.png","plot")</f>
        <v>plot</v>
      </c>
    </row>
    <row r="806" spans="1:29" x14ac:dyDescent="0.35">
      <c r="A806" t="s">
        <v>49</v>
      </c>
      <c r="B806">
        <v>52094</v>
      </c>
      <c r="C806" t="s">
        <v>53</v>
      </c>
      <c r="D806">
        <v>54162</v>
      </c>
      <c r="E806" t="s">
        <v>182</v>
      </c>
      <c r="F806">
        <v>12028</v>
      </c>
      <c r="G806">
        <v>0.54532846385041966</v>
      </c>
      <c r="H806">
        <v>0</v>
      </c>
      <c r="I806">
        <v>0</v>
      </c>
      <c r="J806">
        <v>0.46794727096175731</v>
      </c>
      <c r="K806">
        <v>0</v>
      </c>
      <c r="L806">
        <v>0</v>
      </c>
      <c r="M806">
        <v>0.32495977565991607</v>
      </c>
      <c r="N806">
        <v>0</v>
      </c>
      <c r="O806">
        <v>0</v>
      </c>
      <c r="P806">
        <v>0.29738313348545847</v>
      </c>
      <c r="Q806">
        <v>0.73837506801905473</v>
      </c>
      <c r="R806">
        <v>-14.709475497298831</v>
      </c>
      <c r="S806">
        <v>0.27022462122420482</v>
      </c>
      <c r="T806">
        <v>0.21133045925181509</v>
      </c>
      <c r="U806">
        <v>4.2436712643831056</v>
      </c>
      <c r="V806">
        <v>0.23810297856178911</v>
      </c>
      <c r="W806">
        <v>-11.57605443880944</v>
      </c>
      <c r="X806">
        <v>0.32239157616999792</v>
      </c>
      <c r="Z806" t="s">
        <v>392</v>
      </c>
      <c r="AA806">
        <v>114</v>
      </c>
      <c r="AB806" t="s">
        <v>4239</v>
      </c>
      <c r="AC806" t="str">
        <f>HYPERLINK("plots/3FT6Y578R04_015_S21P_20251218081014_M5358ACSC201811_RBGEUFRF04/dpll_52094/txpa_54162.png","plot")</f>
        <v>plot</v>
      </c>
    </row>
    <row r="807" spans="1:29" x14ac:dyDescent="0.35">
      <c r="A807" t="s">
        <v>49</v>
      </c>
      <c r="B807">
        <v>52094</v>
      </c>
      <c r="C807" t="s">
        <v>53</v>
      </c>
      <c r="D807">
        <v>54163</v>
      </c>
      <c r="E807" t="s">
        <v>183</v>
      </c>
      <c r="F807">
        <v>12028</v>
      </c>
      <c r="G807">
        <v>0.52290085531542441</v>
      </c>
      <c r="H807">
        <v>0</v>
      </c>
      <c r="I807">
        <v>0</v>
      </c>
      <c r="J807">
        <v>0.45913435259153312</v>
      </c>
      <c r="K807">
        <v>0</v>
      </c>
      <c r="L807">
        <v>0</v>
      </c>
      <c r="M807">
        <v>0.31618597682505167</v>
      </c>
      <c r="N807">
        <v>0</v>
      </c>
      <c r="O807">
        <v>0</v>
      </c>
      <c r="P807">
        <v>0.27342530448960239</v>
      </c>
      <c r="Q807">
        <v>0.63318119207042278</v>
      </c>
      <c r="R807">
        <v>-8.4140711123614373</v>
      </c>
      <c r="S807">
        <v>0.24575115196248509</v>
      </c>
      <c r="T807">
        <v>0.19122716711826521</v>
      </c>
      <c r="U807">
        <v>4.2436712643831056</v>
      </c>
      <c r="V807">
        <v>0.23810297856178911</v>
      </c>
      <c r="W807">
        <v>-5.727058282424343</v>
      </c>
      <c r="X807">
        <v>0.28831914552966043</v>
      </c>
      <c r="Z807" t="s">
        <v>392</v>
      </c>
      <c r="AA807">
        <v>114</v>
      </c>
      <c r="AB807" t="s">
        <v>4240</v>
      </c>
      <c r="AC807" t="str">
        <f>HYPERLINK("plots/3FT6Y578R04_015_S21P_20251218081014_M5358ACSC201811_RBGEUFRF04/dpll_52094/txpa_54163.png","plot")</f>
        <v>plot</v>
      </c>
    </row>
    <row r="808" spans="1:29" x14ac:dyDescent="0.35">
      <c r="A808" t="s">
        <v>49</v>
      </c>
      <c r="B808">
        <v>52094</v>
      </c>
      <c r="C808" t="s">
        <v>53</v>
      </c>
      <c r="D808">
        <v>54164</v>
      </c>
      <c r="E808" t="s">
        <v>184</v>
      </c>
      <c r="F808">
        <v>12028</v>
      </c>
      <c r="G808">
        <v>0.55035200135537854</v>
      </c>
      <c r="H808">
        <v>0</v>
      </c>
      <c r="I808">
        <v>0</v>
      </c>
      <c r="J808">
        <v>0.48073452375309411</v>
      </c>
      <c r="K808">
        <v>0</v>
      </c>
      <c r="L808">
        <v>0</v>
      </c>
      <c r="M808">
        <v>0.33370205530033259</v>
      </c>
      <c r="N808">
        <v>0</v>
      </c>
      <c r="O808">
        <v>0</v>
      </c>
      <c r="P808">
        <v>0.3028873253958706</v>
      </c>
      <c r="Q808">
        <v>0.66912734083059333</v>
      </c>
      <c r="R808">
        <v>-8.5232708699757502</v>
      </c>
      <c r="S808">
        <v>0.2416943449425544</v>
      </c>
      <c r="T808">
        <v>0.1895698757538965</v>
      </c>
      <c r="U808">
        <v>4.2436712643831056</v>
      </c>
      <c r="V808">
        <v>0.23810297856178911</v>
      </c>
      <c r="W808">
        <v>-5.6837144014798797</v>
      </c>
      <c r="X808">
        <v>0.28948965843046931</v>
      </c>
      <c r="Z808" t="s">
        <v>392</v>
      </c>
      <c r="AA808">
        <v>114</v>
      </c>
      <c r="AB808" t="s">
        <v>4241</v>
      </c>
      <c r="AC808" t="str">
        <f>HYPERLINK("plots/3FT6Y578R04_015_S21P_20251218081014_M5358ACSC201811_RBGEUFRF04/dpll_52094/txpa_54164.png","plot")</f>
        <v>plot</v>
      </c>
    </row>
    <row r="809" spans="1:29" x14ac:dyDescent="0.35">
      <c r="A809" t="s">
        <v>49</v>
      </c>
      <c r="B809">
        <v>52094</v>
      </c>
      <c r="C809" t="s">
        <v>53</v>
      </c>
      <c r="D809">
        <v>54165</v>
      </c>
      <c r="E809" t="s">
        <v>185</v>
      </c>
      <c r="F809">
        <v>12028</v>
      </c>
      <c r="G809">
        <v>0.53646394788104168</v>
      </c>
      <c r="H809">
        <v>0</v>
      </c>
      <c r="I809">
        <v>0</v>
      </c>
      <c r="J809">
        <v>0.46442043304542668</v>
      </c>
      <c r="K809">
        <v>0</v>
      </c>
      <c r="L809">
        <v>0</v>
      </c>
      <c r="M809">
        <v>0.3213050893602985</v>
      </c>
      <c r="N809">
        <v>0</v>
      </c>
      <c r="O809">
        <v>0</v>
      </c>
      <c r="P809">
        <v>0.287793567376113</v>
      </c>
      <c r="Q809">
        <v>0.6377934476769942</v>
      </c>
      <c r="R809">
        <v>-8.380960674806019</v>
      </c>
      <c r="S809">
        <v>0.2388851933051942</v>
      </c>
      <c r="T809">
        <v>0.18763481390706499</v>
      </c>
      <c r="U809">
        <v>4.2436712643831056</v>
      </c>
      <c r="V809">
        <v>0.23810297856178911</v>
      </c>
      <c r="W809">
        <v>-5.674374948287328</v>
      </c>
      <c r="X809">
        <v>0.28307684085559298</v>
      </c>
      <c r="Z809" t="s">
        <v>392</v>
      </c>
      <c r="AA809">
        <v>114</v>
      </c>
      <c r="AB809" t="s">
        <v>4242</v>
      </c>
      <c r="AC809" t="str">
        <f>HYPERLINK("plots/3FT6Y578R04_015_S21P_20251218081014_M5358ACSC201811_RBGEUFRF04/dpll_52094/txpa_54165.png","plot")</f>
        <v>plot</v>
      </c>
    </row>
    <row r="810" spans="1:29" x14ac:dyDescent="0.35">
      <c r="A810" t="s">
        <v>49</v>
      </c>
      <c r="B810">
        <v>52094</v>
      </c>
      <c r="C810" t="s">
        <v>53</v>
      </c>
      <c r="D810">
        <v>54166</v>
      </c>
      <c r="E810" t="s">
        <v>186</v>
      </c>
      <c r="F810">
        <v>12028</v>
      </c>
      <c r="G810">
        <v>0.56706588109528955</v>
      </c>
      <c r="H810">
        <v>0</v>
      </c>
      <c r="I810">
        <v>0</v>
      </c>
      <c r="J810">
        <v>0.48927363994002082</v>
      </c>
      <c r="K810">
        <v>0</v>
      </c>
      <c r="L810">
        <v>0</v>
      </c>
      <c r="M810">
        <v>0.34072034902004278</v>
      </c>
      <c r="N810">
        <v>0</v>
      </c>
      <c r="O810">
        <v>0</v>
      </c>
      <c r="P810">
        <v>0.32156371350237711</v>
      </c>
      <c r="Q810">
        <v>0.69129304230913124</v>
      </c>
      <c r="R810">
        <v>-8.5814277705115103</v>
      </c>
      <c r="S810">
        <v>0.23907269450684601</v>
      </c>
      <c r="T810">
        <v>0.18764817338574821</v>
      </c>
      <c r="U810">
        <v>4.2436712643831056</v>
      </c>
      <c r="V810">
        <v>0.23810297856178911</v>
      </c>
      <c r="W810">
        <v>-5.647807351596275</v>
      </c>
      <c r="X810">
        <v>0.29026421430067628</v>
      </c>
      <c r="Z810" t="s">
        <v>392</v>
      </c>
      <c r="AA810">
        <v>114</v>
      </c>
      <c r="AB810" t="s">
        <v>4243</v>
      </c>
      <c r="AC810" t="str">
        <f>HYPERLINK("plots/3FT6Y578R04_015_S21P_20251218081014_M5358ACSC201811_RBGEUFRF04/dpll_52094/txpa_54166.png","plot")</f>
        <v>plot</v>
      </c>
    </row>
    <row r="811" spans="1:29" x14ac:dyDescent="0.35">
      <c r="A811" t="s">
        <v>49</v>
      </c>
      <c r="B811">
        <v>52094</v>
      </c>
      <c r="C811" t="s">
        <v>53</v>
      </c>
      <c r="D811">
        <v>54167</v>
      </c>
      <c r="E811" t="s">
        <v>187</v>
      </c>
      <c r="F811">
        <v>12027</v>
      </c>
      <c r="G811">
        <v>0.55834216348680998</v>
      </c>
      <c r="H811">
        <v>0</v>
      </c>
      <c r="I811">
        <v>0</v>
      </c>
      <c r="J811">
        <v>0.47684255978243678</v>
      </c>
      <c r="K811">
        <v>0</v>
      </c>
      <c r="L811">
        <v>0</v>
      </c>
      <c r="M811">
        <v>0.32974651616004269</v>
      </c>
      <c r="N811">
        <v>0</v>
      </c>
      <c r="O811">
        <v>0</v>
      </c>
      <c r="P811">
        <v>0.31174597152713163</v>
      </c>
      <c r="Q811">
        <v>0.67223483483679247</v>
      </c>
      <c r="R811">
        <v>-8.515557062676141</v>
      </c>
      <c r="S811">
        <v>0.23780443457116709</v>
      </c>
      <c r="T811">
        <v>0.18829135668009661</v>
      </c>
      <c r="U811">
        <v>4.2436418554918101</v>
      </c>
      <c r="V811">
        <v>0.23809103076034549</v>
      </c>
      <c r="W811">
        <v>-5.6628331808431041</v>
      </c>
      <c r="X811">
        <v>0.2866577077750706</v>
      </c>
      <c r="Z811" t="s">
        <v>392</v>
      </c>
      <c r="AA811">
        <v>114</v>
      </c>
      <c r="AB811" t="s">
        <v>4244</v>
      </c>
      <c r="AC811" t="str">
        <f>HYPERLINK("plots/3FT6Y578R04_015_S21P_20251218081014_M5358ACSC201811_RBGEUFRF04/dpll_52094/txpa_54167.png","plot")</f>
        <v>plot</v>
      </c>
    </row>
    <row r="812" spans="1:29" x14ac:dyDescent="0.35">
      <c r="A812" t="s">
        <v>49</v>
      </c>
      <c r="B812">
        <v>52094</v>
      </c>
      <c r="C812" t="s">
        <v>53</v>
      </c>
      <c r="D812">
        <v>54168</v>
      </c>
      <c r="E812" t="s">
        <v>188</v>
      </c>
      <c r="F812">
        <v>12028</v>
      </c>
      <c r="G812">
        <v>0.56724114245537216</v>
      </c>
      <c r="H812">
        <v>0</v>
      </c>
      <c r="I812">
        <v>0</v>
      </c>
      <c r="J812">
        <v>0.49428279153990667</v>
      </c>
      <c r="K812">
        <v>0</v>
      </c>
      <c r="L812">
        <v>0</v>
      </c>
      <c r="M812">
        <v>0.34424277944615672</v>
      </c>
      <c r="N812">
        <v>0</v>
      </c>
      <c r="O812">
        <v>0</v>
      </c>
      <c r="P812">
        <v>0.32176251369407582</v>
      </c>
      <c r="Q812">
        <v>0.68510284861129433</v>
      </c>
      <c r="R812">
        <v>-8.5699180192214381</v>
      </c>
      <c r="S812">
        <v>0.23682400379041249</v>
      </c>
      <c r="T812">
        <v>0.18652323257671019</v>
      </c>
      <c r="U812">
        <v>4.2436712643831056</v>
      </c>
      <c r="V812">
        <v>0.23810297856178911</v>
      </c>
      <c r="W812">
        <v>-5.6625667474226793</v>
      </c>
      <c r="X812">
        <v>0.28757615882622539</v>
      </c>
      <c r="Z812" t="s">
        <v>392</v>
      </c>
      <c r="AA812">
        <v>114</v>
      </c>
      <c r="AB812" t="s">
        <v>4245</v>
      </c>
      <c r="AC812" t="str">
        <f>HYPERLINK("plots/3FT6Y578R04_015_S21P_20251218081014_M5358ACSC201811_RBGEUFRF04/dpll_52094/txpa_54168.png","plot")</f>
        <v>plot</v>
      </c>
    </row>
    <row r="813" spans="1:29" x14ac:dyDescent="0.35">
      <c r="A813" t="s">
        <v>49</v>
      </c>
      <c r="B813">
        <v>52094</v>
      </c>
      <c r="C813" t="s">
        <v>53</v>
      </c>
      <c r="D813">
        <v>54169</v>
      </c>
      <c r="E813" t="s">
        <v>189</v>
      </c>
      <c r="F813">
        <v>12028</v>
      </c>
      <c r="G813">
        <v>0.55571733404745816</v>
      </c>
      <c r="H813">
        <v>0</v>
      </c>
      <c r="I813">
        <v>0</v>
      </c>
      <c r="J813">
        <v>0.47765963664847061</v>
      </c>
      <c r="K813">
        <v>0</v>
      </c>
      <c r="L813">
        <v>0</v>
      </c>
      <c r="M813">
        <v>0.33060788246595862</v>
      </c>
      <c r="N813">
        <v>0</v>
      </c>
      <c r="O813">
        <v>0</v>
      </c>
      <c r="P813">
        <v>0.30882175536081419</v>
      </c>
      <c r="Q813">
        <v>0.66000150640615718</v>
      </c>
      <c r="R813">
        <v>-8.4631857572485583</v>
      </c>
      <c r="S813">
        <v>0.23508925906172701</v>
      </c>
      <c r="T813">
        <v>0.1862166604366095</v>
      </c>
      <c r="U813">
        <v>4.2436712643831056</v>
      </c>
      <c r="V813">
        <v>0.23810297856178911</v>
      </c>
      <c r="W813">
        <v>-5.6623563300631856</v>
      </c>
      <c r="X813">
        <v>0.28278463690526751</v>
      </c>
      <c r="Z813" t="s">
        <v>392</v>
      </c>
      <c r="AA813">
        <v>114</v>
      </c>
      <c r="AB813" t="s">
        <v>4246</v>
      </c>
      <c r="AC813" t="str">
        <f>HYPERLINK("plots/3FT6Y578R04_015_S21P_20251218081014_M5358ACSC201811_RBGEUFRF04/dpll_52094/txpa_54169.png","plot")</f>
        <v>plot</v>
      </c>
    </row>
    <row r="814" spans="1:29" x14ac:dyDescent="0.35">
      <c r="A814" t="s">
        <v>49</v>
      </c>
      <c r="B814">
        <v>52094</v>
      </c>
      <c r="C814" t="s">
        <v>53</v>
      </c>
      <c r="D814">
        <v>54170</v>
      </c>
      <c r="E814" t="s">
        <v>190</v>
      </c>
      <c r="F814">
        <v>12028</v>
      </c>
      <c r="G814">
        <v>0.54699586947223899</v>
      </c>
      <c r="H814">
        <v>0</v>
      </c>
      <c r="I814">
        <v>0</v>
      </c>
      <c r="J814">
        <v>0.47136190782857917</v>
      </c>
      <c r="K814">
        <v>0</v>
      </c>
      <c r="L814">
        <v>0</v>
      </c>
      <c r="M814">
        <v>0.32720669016099202</v>
      </c>
      <c r="N814">
        <v>0</v>
      </c>
      <c r="O814">
        <v>0</v>
      </c>
      <c r="P814">
        <v>0.29920448121969068</v>
      </c>
      <c r="Q814">
        <v>0.65638339429267734</v>
      </c>
      <c r="R814">
        <v>-8.5036891262140628</v>
      </c>
      <c r="S814">
        <v>0.2391751035250779</v>
      </c>
      <c r="T814">
        <v>0.18803191458292201</v>
      </c>
      <c r="U814">
        <v>4.2436712643831056</v>
      </c>
      <c r="V814">
        <v>0.23810297856178911</v>
      </c>
      <c r="W814">
        <v>-5.7182137774359827</v>
      </c>
      <c r="X814">
        <v>0.285718503524304</v>
      </c>
      <c r="Z814" t="s">
        <v>392</v>
      </c>
      <c r="AA814">
        <v>114</v>
      </c>
      <c r="AB814" t="s">
        <v>4247</v>
      </c>
      <c r="AC814" t="str">
        <f>HYPERLINK("plots/3FT6Y578R04_015_S21P_20251218081014_M5358ACSC201811_RBGEUFRF04/dpll_52094/txpa_54170.png","plot")</f>
        <v>plot</v>
      </c>
    </row>
    <row r="815" spans="1:29" x14ac:dyDescent="0.35">
      <c r="A815" t="s">
        <v>49</v>
      </c>
      <c r="B815">
        <v>52094</v>
      </c>
      <c r="C815" t="s">
        <v>53</v>
      </c>
      <c r="D815">
        <v>54171</v>
      </c>
      <c r="E815" t="s">
        <v>191</v>
      </c>
      <c r="F815">
        <v>12028</v>
      </c>
      <c r="G815">
        <v>0.5316923853429949</v>
      </c>
      <c r="H815">
        <v>0</v>
      </c>
      <c r="I815">
        <v>0</v>
      </c>
      <c r="J815">
        <v>0.47206926726192122</v>
      </c>
      <c r="K815">
        <v>0</v>
      </c>
      <c r="L815">
        <v>0</v>
      </c>
      <c r="M815">
        <v>0.32561100658252501</v>
      </c>
      <c r="N815">
        <v>0</v>
      </c>
      <c r="O815">
        <v>0</v>
      </c>
      <c r="P815">
        <v>0.28269679263172381</v>
      </c>
      <c r="Q815">
        <v>0.64021266585946313</v>
      </c>
      <c r="R815">
        <v>-5.3652698950808571</v>
      </c>
      <c r="S815">
        <v>0.24280743533671759</v>
      </c>
      <c r="T815">
        <v>0.18890889106420569</v>
      </c>
      <c r="U815">
        <v>4.2436712643831056</v>
      </c>
      <c r="V815">
        <v>0.23810297856178911</v>
      </c>
      <c r="W815">
        <v>-2.6484178018789488</v>
      </c>
      <c r="X815">
        <v>0.28670063152359182</v>
      </c>
      <c r="Z815" t="s">
        <v>392</v>
      </c>
      <c r="AA815">
        <v>114</v>
      </c>
      <c r="AB815" t="s">
        <v>4248</v>
      </c>
      <c r="AC815" t="str">
        <f>HYPERLINK("plots/3FT6Y578R04_015_S21P_20251218081014_M5358ACSC201811_RBGEUFRF04/dpll_52094/txpa_54171.png","plot")</f>
        <v>plot</v>
      </c>
    </row>
    <row r="816" spans="1:29" x14ac:dyDescent="0.35">
      <c r="A816" t="s">
        <v>49</v>
      </c>
      <c r="B816">
        <v>52094</v>
      </c>
      <c r="C816" t="s">
        <v>53</v>
      </c>
      <c r="D816">
        <v>54172</v>
      </c>
      <c r="E816" t="s">
        <v>192</v>
      </c>
      <c r="F816">
        <v>12028</v>
      </c>
      <c r="G816">
        <v>0.56008069470404043</v>
      </c>
      <c r="H816">
        <v>0</v>
      </c>
      <c r="I816">
        <v>0</v>
      </c>
      <c r="J816">
        <v>0.49428823463053628</v>
      </c>
      <c r="K816">
        <v>0</v>
      </c>
      <c r="L816">
        <v>0</v>
      </c>
      <c r="M816">
        <v>0.34371301200820481</v>
      </c>
      <c r="N816">
        <v>0</v>
      </c>
      <c r="O816">
        <v>0</v>
      </c>
      <c r="P816">
        <v>0.31369038458016052</v>
      </c>
      <c r="Q816">
        <v>0.67600570099640045</v>
      </c>
      <c r="R816">
        <v>-5.480980284721614</v>
      </c>
      <c r="S816">
        <v>0.2380710410175885</v>
      </c>
      <c r="T816">
        <v>0.18683030399759479</v>
      </c>
      <c r="U816">
        <v>4.2436712643831056</v>
      </c>
      <c r="V816">
        <v>0.23810297856178911</v>
      </c>
      <c r="W816">
        <v>-2.612234316844031</v>
      </c>
      <c r="X816">
        <v>0.2873853222472656</v>
      </c>
      <c r="Z816" t="s">
        <v>392</v>
      </c>
      <c r="AA816">
        <v>114</v>
      </c>
      <c r="AB816" t="s">
        <v>4249</v>
      </c>
      <c r="AC816" t="str">
        <f>HYPERLINK("plots/3FT6Y578R04_015_S21P_20251218081014_M5358ACSC201811_RBGEUFRF04/dpll_52094/txpa_54172.png","plot")</f>
        <v>plot</v>
      </c>
    </row>
    <row r="817" spans="1:29" x14ac:dyDescent="0.35">
      <c r="A817" t="s">
        <v>49</v>
      </c>
      <c r="B817">
        <v>52094</v>
      </c>
      <c r="C817" t="s">
        <v>53</v>
      </c>
      <c r="D817">
        <v>54173</v>
      </c>
      <c r="E817" t="s">
        <v>193</v>
      </c>
      <c r="F817">
        <v>12028</v>
      </c>
      <c r="G817">
        <v>0.54513722420368083</v>
      </c>
      <c r="H817">
        <v>0</v>
      </c>
      <c r="I817">
        <v>0</v>
      </c>
      <c r="J817">
        <v>0.47780593577276109</v>
      </c>
      <c r="K817">
        <v>0</v>
      </c>
      <c r="L817">
        <v>0</v>
      </c>
      <c r="M817">
        <v>0.33109080102239291</v>
      </c>
      <c r="N817">
        <v>0</v>
      </c>
      <c r="O817">
        <v>0</v>
      </c>
      <c r="P817">
        <v>0.29717459321249418</v>
      </c>
      <c r="Q817">
        <v>0.64534811789431346</v>
      </c>
      <c r="R817">
        <v>-5.3399550912502427</v>
      </c>
      <c r="S817">
        <v>0.23629727302889639</v>
      </c>
      <c r="T817">
        <v>0.18553484886257501</v>
      </c>
      <c r="U817">
        <v>4.2436712643831056</v>
      </c>
      <c r="V817">
        <v>0.23810297856178911</v>
      </c>
      <c r="W817">
        <v>-2.6013098278184241</v>
      </c>
      <c r="X817">
        <v>0.28187271435066868</v>
      </c>
      <c r="Z817" t="s">
        <v>392</v>
      </c>
      <c r="AA817">
        <v>114</v>
      </c>
      <c r="AB817" t="s">
        <v>4250</v>
      </c>
      <c r="AC817" t="str">
        <f>HYPERLINK("plots/3FT6Y578R04_015_S21P_20251218081014_M5358ACSC201811_RBGEUFRF04/dpll_52094/txpa_54173.png","plot")</f>
        <v>plot</v>
      </c>
    </row>
    <row r="818" spans="1:29" x14ac:dyDescent="0.35">
      <c r="A818" t="s">
        <v>49</v>
      </c>
      <c r="B818">
        <v>52094</v>
      </c>
      <c r="C818" t="s">
        <v>53</v>
      </c>
      <c r="D818">
        <v>54174</v>
      </c>
      <c r="E818" t="s">
        <v>194</v>
      </c>
      <c r="F818">
        <v>12028</v>
      </c>
      <c r="G818">
        <v>0.57055741543698002</v>
      </c>
      <c r="H818">
        <v>0</v>
      </c>
      <c r="I818">
        <v>0</v>
      </c>
      <c r="J818">
        <v>0.49765392288421151</v>
      </c>
      <c r="K818">
        <v>0</v>
      </c>
      <c r="L818">
        <v>0</v>
      </c>
      <c r="M818">
        <v>0.34667774586869338</v>
      </c>
      <c r="N818">
        <v>0</v>
      </c>
      <c r="O818">
        <v>0</v>
      </c>
      <c r="P818">
        <v>0.3255357643101266</v>
      </c>
      <c r="Q818">
        <v>0.68847377360331519</v>
      </c>
      <c r="R818">
        <v>-5.5046915786666508</v>
      </c>
      <c r="S818">
        <v>0.23594690436399501</v>
      </c>
      <c r="T818">
        <v>0.18540282564394209</v>
      </c>
      <c r="U818">
        <v>4.2436712643831056</v>
      </c>
      <c r="V818">
        <v>0.23810297856178911</v>
      </c>
      <c r="W818">
        <v>-2.5830352093448621</v>
      </c>
      <c r="X818">
        <v>0.28731141112428582</v>
      </c>
      <c r="Z818" t="s">
        <v>392</v>
      </c>
      <c r="AA818">
        <v>114</v>
      </c>
      <c r="AB818" t="s">
        <v>4251</v>
      </c>
      <c r="AC818" t="str">
        <f>HYPERLINK("plots/3FT6Y578R04_015_S21P_20251218081014_M5358ACSC201811_RBGEUFRF04/dpll_52094/txpa_54174.png","plot")</f>
        <v>plot</v>
      </c>
    </row>
    <row r="819" spans="1:29" x14ac:dyDescent="0.35">
      <c r="A819" t="s">
        <v>49</v>
      </c>
      <c r="B819">
        <v>52094</v>
      </c>
      <c r="C819" t="s">
        <v>53</v>
      </c>
      <c r="D819">
        <v>54175</v>
      </c>
      <c r="E819" t="s">
        <v>195</v>
      </c>
      <c r="F819">
        <v>12027</v>
      </c>
      <c r="G819">
        <v>0.56459660853453852</v>
      </c>
      <c r="H819">
        <v>0</v>
      </c>
      <c r="I819">
        <v>0</v>
      </c>
      <c r="J819">
        <v>0.4871179872079448</v>
      </c>
      <c r="K819">
        <v>0</v>
      </c>
      <c r="L819">
        <v>0</v>
      </c>
      <c r="M819">
        <v>0.33728517068961339</v>
      </c>
      <c r="N819">
        <v>0</v>
      </c>
      <c r="O819">
        <v>0</v>
      </c>
      <c r="P819">
        <v>0.31876933036870292</v>
      </c>
      <c r="Q819">
        <v>0.67384208673137369</v>
      </c>
      <c r="R819">
        <v>-5.4570884766766454</v>
      </c>
      <c r="S819">
        <v>0.23452651117971329</v>
      </c>
      <c r="T819">
        <v>0.18553963310163141</v>
      </c>
      <c r="U819">
        <v>4.2436418554918101</v>
      </c>
      <c r="V819">
        <v>0.23809103076034549</v>
      </c>
      <c r="W819">
        <v>-2.5975439934314459</v>
      </c>
      <c r="X819">
        <v>0.2841599729335969</v>
      </c>
      <c r="Z819" t="s">
        <v>392</v>
      </c>
      <c r="AA819">
        <v>114</v>
      </c>
      <c r="AB819" t="s">
        <v>4252</v>
      </c>
      <c r="AC819" t="str">
        <f>HYPERLINK("plots/3FT6Y578R04_015_S21P_20251218081014_M5358ACSC201811_RBGEUFRF04/dpll_52094/txpa_54175.png","plot")</f>
        <v>plot</v>
      </c>
    </row>
    <row r="820" spans="1:29" x14ac:dyDescent="0.35">
      <c r="A820" t="s">
        <v>49</v>
      </c>
      <c r="B820">
        <v>52094</v>
      </c>
      <c r="C820" t="s">
        <v>53</v>
      </c>
      <c r="D820">
        <v>54176</v>
      </c>
      <c r="E820" t="s">
        <v>196</v>
      </c>
      <c r="F820">
        <v>12028</v>
      </c>
      <c r="G820">
        <v>0.57493902785394291</v>
      </c>
      <c r="H820">
        <v>0</v>
      </c>
      <c r="I820">
        <v>0</v>
      </c>
      <c r="J820">
        <v>0.50600332105973744</v>
      </c>
      <c r="K820">
        <v>0</v>
      </c>
      <c r="L820">
        <v>0</v>
      </c>
      <c r="M820">
        <v>0.3527049870344266</v>
      </c>
      <c r="N820">
        <v>0</v>
      </c>
      <c r="O820">
        <v>0</v>
      </c>
      <c r="P820">
        <v>0.33055488574963687</v>
      </c>
      <c r="Q820">
        <v>0.69003090041302606</v>
      </c>
      <c r="R820">
        <v>-5.520587200110679</v>
      </c>
      <c r="S820">
        <v>0.23380350167521019</v>
      </c>
      <c r="T820">
        <v>0.18437617645540741</v>
      </c>
      <c r="U820">
        <v>4.2436712643831056</v>
      </c>
      <c r="V820">
        <v>0.23810297856178911</v>
      </c>
      <c r="W820">
        <v>-2.5923228964915199</v>
      </c>
      <c r="X820">
        <v>0.28576667216571872</v>
      </c>
      <c r="Z820" t="s">
        <v>392</v>
      </c>
      <c r="AA820">
        <v>114</v>
      </c>
      <c r="AB820" t="s">
        <v>4253</v>
      </c>
      <c r="AC820" t="str">
        <f>HYPERLINK("plots/3FT6Y578R04_015_S21P_20251218081014_M5358ACSC201811_RBGEUFRF04/dpll_52094/txpa_54176.png","plot")</f>
        <v>plot</v>
      </c>
    </row>
    <row r="821" spans="1:29" x14ac:dyDescent="0.35">
      <c r="A821" t="s">
        <v>49</v>
      </c>
      <c r="B821">
        <v>52094</v>
      </c>
      <c r="C821" t="s">
        <v>53</v>
      </c>
      <c r="D821">
        <v>54177</v>
      </c>
      <c r="E821" t="s">
        <v>197</v>
      </c>
      <c r="F821">
        <v>12028</v>
      </c>
      <c r="G821">
        <v>0.56507180118114853</v>
      </c>
      <c r="H821">
        <v>0</v>
      </c>
      <c r="I821">
        <v>0</v>
      </c>
      <c r="J821">
        <v>0.49139832421689361</v>
      </c>
      <c r="K821">
        <v>0</v>
      </c>
      <c r="L821">
        <v>0</v>
      </c>
      <c r="M821">
        <v>0.34060805140263523</v>
      </c>
      <c r="N821">
        <v>0</v>
      </c>
      <c r="O821">
        <v>0</v>
      </c>
      <c r="P821">
        <v>0.31930614049010753</v>
      </c>
      <c r="Q821">
        <v>0.66657481592980061</v>
      </c>
      <c r="R821">
        <v>-5.4191723013008719</v>
      </c>
      <c r="S821">
        <v>0.23172236732312301</v>
      </c>
      <c r="T821">
        <v>0.18344387949279031</v>
      </c>
      <c r="U821">
        <v>4.2436712643831056</v>
      </c>
      <c r="V821">
        <v>0.23810297856178911</v>
      </c>
      <c r="W821">
        <v>-2.5904479093781179</v>
      </c>
      <c r="X821">
        <v>0.28087306564477099</v>
      </c>
      <c r="Z821" t="s">
        <v>392</v>
      </c>
      <c r="AA821">
        <v>114</v>
      </c>
      <c r="AB821" t="s">
        <v>4254</v>
      </c>
      <c r="AC821" t="str">
        <f>HYPERLINK("plots/3FT6Y578R04_015_S21P_20251218081014_M5358ACSC201811_RBGEUFRF04/dpll_52094/txpa_54177.png","plot")</f>
        <v>plot</v>
      </c>
    </row>
    <row r="822" spans="1:29" x14ac:dyDescent="0.35">
      <c r="A822" t="s">
        <v>49</v>
      </c>
      <c r="B822">
        <v>52094</v>
      </c>
      <c r="C822" t="s">
        <v>53</v>
      </c>
      <c r="D822">
        <v>54178</v>
      </c>
      <c r="E822" t="s">
        <v>198</v>
      </c>
      <c r="F822">
        <v>12027</v>
      </c>
      <c r="G822">
        <v>0.55578921665528169</v>
      </c>
      <c r="H822">
        <v>0</v>
      </c>
      <c r="I822">
        <v>0</v>
      </c>
      <c r="J822">
        <v>0.48385574159942552</v>
      </c>
      <c r="K822">
        <v>0</v>
      </c>
      <c r="L822">
        <v>0</v>
      </c>
      <c r="M822">
        <v>0.33640615736747559</v>
      </c>
      <c r="N822">
        <v>0</v>
      </c>
      <c r="O822">
        <v>0</v>
      </c>
      <c r="P822">
        <v>0.30890165335029163</v>
      </c>
      <c r="Q822">
        <v>0.6634764081779948</v>
      </c>
      <c r="R822">
        <v>-5.4545088497621244</v>
      </c>
      <c r="S822">
        <v>0.23627830694856339</v>
      </c>
      <c r="T822">
        <v>0.1860237341996209</v>
      </c>
      <c r="U822">
        <v>4.2436951445081901</v>
      </c>
      <c r="V822">
        <v>0.2380984732054881</v>
      </c>
      <c r="W822">
        <v>-2.638917237881433</v>
      </c>
      <c r="X822">
        <v>0.28423135077307837</v>
      </c>
      <c r="Z822" t="s">
        <v>392</v>
      </c>
      <c r="AA822">
        <v>114</v>
      </c>
      <c r="AB822" t="s">
        <v>4255</v>
      </c>
      <c r="AC822" t="str">
        <f>HYPERLINK("plots/3FT6Y578R04_015_S21P_20251218081014_M5358ACSC201811_RBGEUFRF04/dpll_52094/txpa_54178.png","plot")</f>
        <v>plot</v>
      </c>
    </row>
    <row r="823" spans="1:29" x14ac:dyDescent="0.35">
      <c r="A823" t="s">
        <v>49</v>
      </c>
      <c r="B823">
        <v>52094</v>
      </c>
      <c r="C823" t="s">
        <v>53</v>
      </c>
      <c r="D823">
        <v>54179</v>
      </c>
      <c r="E823" t="s">
        <v>199</v>
      </c>
      <c r="F823">
        <v>12028</v>
      </c>
      <c r="G823">
        <v>0.57648992115366371</v>
      </c>
      <c r="H823">
        <v>0</v>
      </c>
      <c r="I823">
        <v>0</v>
      </c>
      <c r="J823">
        <v>0.52250017985031072</v>
      </c>
      <c r="K823">
        <v>0</v>
      </c>
      <c r="L823">
        <v>0</v>
      </c>
      <c r="M823">
        <v>0.36345748914328602</v>
      </c>
      <c r="N823">
        <v>0</v>
      </c>
      <c r="O823">
        <v>0</v>
      </c>
      <c r="P823">
        <v>0.33234062919175739</v>
      </c>
      <c r="Q823">
        <v>0.69744607506857836</v>
      </c>
      <c r="R823">
        <v>-1.9828049872287179</v>
      </c>
      <c r="S823">
        <v>0.23536569516743039</v>
      </c>
      <c r="T823">
        <v>0.18266227977939059</v>
      </c>
      <c r="U823">
        <v>4.2436712643831056</v>
      </c>
      <c r="V823">
        <v>0.23810297856178911</v>
      </c>
      <c r="W823">
        <v>0.97692687999659122</v>
      </c>
      <c r="X823">
        <v>0.28806052242462921</v>
      </c>
      <c r="Z823" t="s">
        <v>392</v>
      </c>
      <c r="AA823">
        <v>114</v>
      </c>
      <c r="AB823" t="s">
        <v>4256</v>
      </c>
      <c r="AC823" t="str">
        <f>HYPERLINK("plots/3FT6Y578R04_015_S21P_20251218081014_M5358ACSC201811_RBGEUFRF04/dpll_52094/txpa_54179.png","plot")</f>
        <v>plot</v>
      </c>
    </row>
    <row r="824" spans="1:29" x14ac:dyDescent="0.35">
      <c r="A824" t="s">
        <v>49</v>
      </c>
      <c r="B824">
        <v>52094</v>
      </c>
      <c r="C824" t="s">
        <v>53</v>
      </c>
      <c r="D824">
        <v>54180</v>
      </c>
      <c r="E824" t="s">
        <v>200</v>
      </c>
      <c r="F824">
        <v>12028</v>
      </c>
      <c r="G824">
        <v>0.60324949822190044</v>
      </c>
      <c r="H824">
        <v>0</v>
      </c>
      <c r="I824">
        <v>0</v>
      </c>
      <c r="J824">
        <v>0.54247240616335546</v>
      </c>
      <c r="K824">
        <v>0</v>
      </c>
      <c r="L824">
        <v>0</v>
      </c>
      <c r="M824">
        <v>0.38052867112357552</v>
      </c>
      <c r="N824">
        <v>0</v>
      </c>
      <c r="O824">
        <v>0</v>
      </c>
      <c r="P824">
        <v>0.36390995710497459</v>
      </c>
      <c r="Q824">
        <v>0.73049080371265407</v>
      </c>
      <c r="R824">
        <v>-2.0913102088004032</v>
      </c>
      <c r="S824">
        <v>0.2299449394802095</v>
      </c>
      <c r="T824">
        <v>0.18038565851991409</v>
      </c>
      <c r="U824">
        <v>4.2436712643831056</v>
      </c>
      <c r="V824">
        <v>0.23810297856178911</v>
      </c>
      <c r="W824">
        <v>1.008652623811108</v>
      </c>
      <c r="X824">
        <v>0.28832520654994159</v>
      </c>
      <c r="Z824" t="s">
        <v>392</v>
      </c>
      <c r="AA824">
        <v>114</v>
      </c>
      <c r="AB824" t="s">
        <v>4257</v>
      </c>
      <c r="AC824" t="str">
        <f>HYPERLINK("plots/3FT6Y578R04_015_S21P_20251218081014_M5358ACSC201811_RBGEUFRF04/dpll_52094/txpa_54180.png","plot")</f>
        <v>plot</v>
      </c>
    </row>
    <row r="825" spans="1:29" x14ac:dyDescent="0.35">
      <c r="A825" t="s">
        <v>49</v>
      </c>
      <c r="B825">
        <v>52094</v>
      </c>
      <c r="C825" t="s">
        <v>53</v>
      </c>
      <c r="D825">
        <v>54181</v>
      </c>
      <c r="E825" t="s">
        <v>201</v>
      </c>
      <c r="F825">
        <v>12028</v>
      </c>
      <c r="G825">
        <v>0.58839740501228188</v>
      </c>
      <c r="H825">
        <v>0</v>
      </c>
      <c r="I825">
        <v>0</v>
      </c>
      <c r="J825">
        <v>0.52660371262200367</v>
      </c>
      <c r="K825">
        <v>0</v>
      </c>
      <c r="L825">
        <v>0</v>
      </c>
      <c r="M825">
        <v>0.36772795758460081</v>
      </c>
      <c r="N825">
        <v>0</v>
      </c>
      <c r="O825">
        <v>0</v>
      </c>
      <c r="P825">
        <v>0.34621150622518732</v>
      </c>
      <c r="Q825">
        <v>0.69978110579805719</v>
      </c>
      <c r="R825">
        <v>-1.9494357797808719</v>
      </c>
      <c r="S825">
        <v>0.22895855427299969</v>
      </c>
      <c r="T825">
        <v>0.17960835159843619</v>
      </c>
      <c r="U825">
        <v>4.2436712643831056</v>
      </c>
      <c r="V825">
        <v>0.23810297856178911</v>
      </c>
      <c r="W825">
        <v>1.0202051902525771</v>
      </c>
      <c r="X825">
        <v>0.28317590154616989</v>
      </c>
      <c r="Z825" t="s">
        <v>392</v>
      </c>
      <c r="AA825">
        <v>114</v>
      </c>
      <c r="AB825" t="s">
        <v>4258</v>
      </c>
      <c r="AC825" t="str">
        <f>HYPERLINK("plots/3FT6Y578R04_015_S21P_20251218081014_M5358ACSC201811_RBGEUFRF04/dpll_52094/txpa_54181.png","plot")</f>
        <v>plot</v>
      </c>
    </row>
    <row r="826" spans="1:29" x14ac:dyDescent="0.35">
      <c r="A826" t="s">
        <v>49</v>
      </c>
      <c r="B826">
        <v>52094</v>
      </c>
      <c r="C826" t="s">
        <v>53</v>
      </c>
      <c r="D826">
        <v>54182</v>
      </c>
      <c r="E826" t="s">
        <v>202</v>
      </c>
      <c r="F826">
        <v>12028</v>
      </c>
      <c r="G826">
        <v>0.61060166688362194</v>
      </c>
      <c r="H826">
        <v>0</v>
      </c>
      <c r="I826">
        <v>0</v>
      </c>
      <c r="J826">
        <v>0.54371617960360918</v>
      </c>
      <c r="K826">
        <v>0</v>
      </c>
      <c r="L826">
        <v>0</v>
      </c>
      <c r="M826">
        <v>0.38186028033214903</v>
      </c>
      <c r="N826">
        <v>0</v>
      </c>
      <c r="O826">
        <v>0</v>
      </c>
      <c r="P826">
        <v>0.37283439560105758</v>
      </c>
      <c r="Q826">
        <v>0.73727000724213299</v>
      </c>
      <c r="R826">
        <v>-2.0977191154899959</v>
      </c>
      <c r="S826">
        <v>0.22767034804757241</v>
      </c>
      <c r="T826">
        <v>0.17862790914111501</v>
      </c>
      <c r="U826">
        <v>4.2436712643831056</v>
      </c>
      <c r="V826">
        <v>0.23810297856178911</v>
      </c>
      <c r="W826">
        <v>1.031012428334968</v>
      </c>
      <c r="X826">
        <v>0.28749706109479389</v>
      </c>
      <c r="Z826" t="s">
        <v>392</v>
      </c>
      <c r="AA826">
        <v>114</v>
      </c>
      <c r="AB826" t="s">
        <v>4259</v>
      </c>
      <c r="AC826" t="str">
        <f>HYPERLINK("plots/3FT6Y578R04_015_S21P_20251218081014_M5358ACSC201811_RBGEUFRF04/dpll_52094/txpa_54182.png","plot")</f>
        <v>plot</v>
      </c>
    </row>
    <row r="827" spans="1:29" x14ac:dyDescent="0.35">
      <c r="A827" t="s">
        <v>49</v>
      </c>
      <c r="B827">
        <v>52094</v>
      </c>
      <c r="C827" t="s">
        <v>53</v>
      </c>
      <c r="D827">
        <v>54183</v>
      </c>
      <c r="E827" t="s">
        <v>203</v>
      </c>
      <c r="F827">
        <v>12027</v>
      </c>
      <c r="G827">
        <v>0.60652404724678888</v>
      </c>
      <c r="H827">
        <v>0</v>
      </c>
      <c r="I827">
        <v>0</v>
      </c>
      <c r="J827">
        <v>0.53384568139174171</v>
      </c>
      <c r="K827">
        <v>0</v>
      </c>
      <c r="L827">
        <v>0</v>
      </c>
      <c r="M827">
        <v>0.37265815759363857</v>
      </c>
      <c r="N827">
        <v>0</v>
      </c>
      <c r="O827">
        <v>0</v>
      </c>
      <c r="P827">
        <v>0.36787141988862498</v>
      </c>
      <c r="Q827">
        <v>0.7255707451674448</v>
      </c>
      <c r="R827">
        <v>-2.062212564496039</v>
      </c>
      <c r="S827">
        <v>0.22644327746321741</v>
      </c>
      <c r="T827">
        <v>0.17905530676102019</v>
      </c>
      <c r="U827">
        <v>4.2436418554918101</v>
      </c>
      <c r="V827">
        <v>0.23809103076034549</v>
      </c>
      <c r="W827">
        <v>1.0168498188169119</v>
      </c>
      <c r="X827">
        <v>0.28482281517220343</v>
      </c>
      <c r="Z827" t="s">
        <v>392</v>
      </c>
      <c r="AA827">
        <v>114</v>
      </c>
      <c r="AB827" t="s">
        <v>4260</v>
      </c>
      <c r="AC827" t="str">
        <f>HYPERLINK("plots/3FT6Y578R04_015_S21P_20251218081014_M5358ACSC201811_RBGEUFRF04/dpll_52094/txpa_54183.png","plot")</f>
        <v>plot</v>
      </c>
    </row>
    <row r="828" spans="1:29" x14ac:dyDescent="0.35">
      <c r="A828" t="s">
        <v>49</v>
      </c>
      <c r="B828">
        <v>52094</v>
      </c>
      <c r="C828" t="s">
        <v>53</v>
      </c>
      <c r="D828">
        <v>54184</v>
      </c>
      <c r="E828" t="s">
        <v>204</v>
      </c>
      <c r="F828">
        <v>12028</v>
      </c>
      <c r="G828">
        <v>0.61584802313210929</v>
      </c>
      <c r="H828">
        <v>0</v>
      </c>
      <c r="I828">
        <v>0</v>
      </c>
      <c r="J828">
        <v>0.55239138165222912</v>
      </c>
      <c r="K828">
        <v>0</v>
      </c>
      <c r="L828">
        <v>0</v>
      </c>
      <c r="M828">
        <v>0.38818197767366019</v>
      </c>
      <c r="N828">
        <v>0</v>
      </c>
      <c r="O828">
        <v>0</v>
      </c>
      <c r="P828">
        <v>0.37926878759572702</v>
      </c>
      <c r="Q828">
        <v>0.74269436645343534</v>
      </c>
      <c r="R828">
        <v>-2.125948518247653</v>
      </c>
      <c r="S828">
        <v>0.2262221595374046</v>
      </c>
      <c r="T828">
        <v>0.17812354288157581</v>
      </c>
      <c r="U828">
        <v>4.2436712643831056</v>
      </c>
      <c r="V828">
        <v>0.23810297856178911</v>
      </c>
      <c r="W828">
        <v>1.025802222890007</v>
      </c>
      <c r="X828">
        <v>0.28714509776982627</v>
      </c>
      <c r="Z828" t="s">
        <v>392</v>
      </c>
      <c r="AA828">
        <v>114</v>
      </c>
      <c r="AB828" t="s">
        <v>4261</v>
      </c>
      <c r="AC828" t="str">
        <f>HYPERLINK("plots/3FT6Y578R04_015_S21P_20251218081014_M5358ACSC201811_RBGEUFRF04/dpll_52094/txpa_54184.png","plot")</f>
        <v>plot</v>
      </c>
    </row>
    <row r="829" spans="1:29" x14ac:dyDescent="0.35">
      <c r="A829" t="s">
        <v>49</v>
      </c>
      <c r="B829">
        <v>52094</v>
      </c>
      <c r="C829" t="s">
        <v>53</v>
      </c>
      <c r="D829">
        <v>54185</v>
      </c>
      <c r="E829" t="s">
        <v>205</v>
      </c>
      <c r="F829">
        <v>12028</v>
      </c>
      <c r="G829">
        <v>0.60882930989461903</v>
      </c>
      <c r="H829">
        <v>0</v>
      </c>
      <c r="I829">
        <v>0</v>
      </c>
      <c r="J829">
        <v>0.54030325705694604</v>
      </c>
      <c r="K829">
        <v>0</v>
      </c>
      <c r="L829">
        <v>0</v>
      </c>
      <c r="M829">
        <v>0.37800553125519393</v>
      </c>
      <c r="N829">
        <v>0</v>
      </c>
      <c r="O829">
        <v>0</v>
      </c>
      <c r="P829">
        <v>0.37067312858675799</v>
      </c>
      <c r="Q829">
        <v>0.72223795866164253</v>
      </c>
      <c r="R829">
        <v>-2.0350742044628078</v>
      </c>
      <c r="S829">
        <v>0.22406275422429531</v>
      </c>
      <c r="T829">
        <v>0.1773141885026574</v>
      </c>
      <c r="U829">
        <v>4.2436712643831056</v>
      </c>
      <c r="V829">
        <v>0.23810297856178911</v>
      </c>
      <c r="W829">
        <v>1.029866266756319</v>
      </c>
      <c r="X829">
        <v>0.28245520771246829</v>
      </c>
      <c r="Z829" t="s">
        <v>392</v>
      </c>
      <c r="AA829">
        <v>114</v>
      </c>
      <c r="AB829" t="s">
        <v>4262</v>
      </c>
      <c r="AC829" t="str">
        <f>HYPERLINK("plots/3FT6Y578R04_015_S21P_20251218081014_M5358ACSC201811_RBGEUFRF04/dpll_52094/txpa_54185.png","plot")</f>
        <v>plot</v>
      </c>
    </row>
    <row r="830" spans="1:29" x14ac:dyDescent="0.35">
      <c r="A830" t="s">
        <v>49</v>
      </c>
      <c r="B830">
        <v>52094</v>
      </c>
      <c r="C830" t="s">
        <v>53</v>
      </c>
      <c r="D830">
        <v>54186</v>
      </c>
      <c r="E830" t="s">
        <v>206</v>
      </c>
      <c r="F830">
        <v>12027</v>
      </c>
      <c r="G830">
        <v>0.60014213323231203</v>
      </c>
      <c r="H830">
        <v>0</v>
      </c>
      <c r="I830">
        <v>0</v>
      </c>
      <c r="J830">
        <v>0.53309687267447337</v>
      </c>
      <c r="K830">
        <v>0</v>
      </c>
      <c r="L830">
        <v>0</v>
      </c>
      <c r="M830">
        <v>0.37376456722483209</v>
      </c>
      <c r="N830">
        <v>0</v>
      </c>
      <c r="O830">
        <v>0</v>
      </c>
      <c r="P830">
        <v>0.36017058008063008</v>
      </c>
      <c r="Q830">
        <v>0.72033577623970058</v>
      </c>
      <c r="R830">
        <v>-2.0701499688549641</v>
      </c>
      <c r="S830">
        <v>0.22858699837617419</v>
      </c>
      <c r="T830">
        <v>0.17970384251313501</v>
      </c>
      <c r="U830">
        <v>4.2436951445081901</v>
      </c>
      <c r="V830">
        <v>0.2380984732054881</v>
      </c>
      <c r="W830">
        <v>0.98673546718899141</v>
      </c>
      <c r="X830">
        <v>0.28578371525795188</v>
      </c>
      <c r="Z830" t="s">
        <v>392</v>
      </c>
      <c r="AA830">
        <v>114</v>
      </c>
      <c r="AB830" t="s">
        <v>4263</v>
      </c>
      <c r="AC830" t="str">
        <f>HYPERLINK("plots/3FT6Y578R04_015_S21P_20251218081014_M5358ACSC201811_RBGEUFRF04/dpll_52094/txpa_54186.png","plot")</f>
        <v>plot</v>
      </c>
    </row>
    <row r="831" spans="1:29" x14ac:dyDescent="0.35">
      <c r="A831" t="s">
        <v>49</v>
      </c>
      <c r="B831">
        <v>52094</v>
      </c>
      <c r="C831" t="s">
        <v>53</v>
      </c>
      <c r="D831">
        <v>54187</v>
      </c>
      <c r="E831" t="s">
        <v>207</v>
      </c>
      <c r="F831">
        <v>12028</v>
      </c>
      <c r="G831">
        <v>0.61421869614080438</v>
      </c>
      <c r="H831">
        <v>0</v>
      </c>
      <c r="I831">
        <v>0</v>
      </c>
      <c r="J831">
        <v>0.56106037002205345</v>
      </c>
      <c r="K831">
        <v>0</v>
      </c>
      <c r="L831">
        <v>0</v>
      </c>
      <c r="M831">
        <v>0.39348372365987577</v>
      </c>
      <c r="N831">
        <v>0</v>
      </c>
      <c r="O831">
        <v>0</v>
      </c>
      <c r="P831">
        <v>0.37726460668890982</v>
      </c>
      <c r="Q831">
        <v>0.75241028357083628</v>
      </c>
      <c r="R831">
        <v>-0.1788635971212571</v>
      </c>
      <c r="S831">
        <v>0.23016020714629959</v>
      </c>
      <c r="T831">
        <v>0.17855903594323749</v>
      </c>
      <c r="U831">
        <v>4.2436712643831056</v>
      </c>
      <c r="V831">
        <v>0.23810297856178911</v>
      </c>
      <c r="W831">
        <v>3.0141183022946461</v>
      </c>
      <c r="X831">
        <v>0.2916731951410147</v>
      </c>
      <c r="Z831" t="s">
        <v>392</v>
      </c>
      <c r="AA831">
        <v>114</v>
      </c>
      <c r="AB831" t="s">
        <v>4264</v>
      </c>
      <c r="AC831" t="str">
        <f>HYPERLINK("plots/3FT6Y578R04_015_S21P_20251218081014_M5358ACSC201811_RBGEUFRF04/dpll_52094/txpa_54187.png","plot")</f>
        <v>plot</v>
      </c>
    </row>
    <row r="832" spans="1:29" x14ac:dyDescent="0.35">
      <c r="A832" t="s">
        <v>49</v>
      </c>
      <c r="B832">
        <v>52094</v>
      </c>
      <c r="C832" t="s">
        <v>53</v>
      </c>
      <c r="D832">
        <v>54188</v>
      </c>
      <c r="E832" t="s">
        <v>208</v>
      </c>
      <c r="F832">
        <v>12028</v>
      </c>
      <c r="G832">
        <v>0.63860552138317073</v>
      </c>
      <c r="H832">
        <v>0</v>
      </c>
      <c r="I832">
        <v>0</v>
      </c>
      <c r="J832">
        <v>0.57871322536545966</v>
      </c>
      <c r="K832">
        <v>0</v>
      </c>
      <c r="L832">
        <v>0</v>
      </c>
      <c r="M832">
        <v>0.40928334008336731</v>
      </c>
      <c r="N832">
        <v>0</v>
      </c>
      <c r="O832">
        <v>0</v>
      </c>
      <c r="P832">
        <v>0.40781701194107128</v>
      </c>
      <c r="Q832">
        <v>0.78386802807415445</v>
      </c>
      <c r="R832">
        <v>-0.28209362429380391</v>
      </c>
      <c r="S832">
        <v>0.22489770285620991</v>
      </c>
      <c r="T832">
        <v>0.17662599399475359</v>
      </c>
      <c r="U832">
        <v>4.2436712643831056</v>
      </c>
      <c r="V832">
        <v>0.23810297856178911</v>
      </c>
      <c r="W832">
        <v>3.0443846015131362</v>
      </c>
      <c r="X832">
        <v>0.29226385622153961</v>
      </c>
      <c r="Z832" t="s">
        <v>392</v>
      </c>
      <c r="AA832">
        <v>114</v>
      </c>
      <c r="AB832" t="s">
        <v>4265</v>
      </c>
      <c r="AC832" t="str">
        <f>HYPERLINK("plots/3FT6Y578R04_015_S21P_20251218081014_M5358ACSC201811_RBGEUFRF04/dpll_52094/txpa_54188.png","plot")</f>
        <v>plot</v>
      </c>
    </row>
    <row r="833" spans="1:29" x14ac:dyDescent="0.35">
      <c r="A833" t="s">
        <v>49</v>
      </c>
      <c r="B833">
        <v>52094</v>
      </c>
      <c r="C833" t="s">
        <v>53</v>
      </c>
      <c r="D833">
        <v>54189</v>
      </c>
      <c r="E833" t="s">
        <v>209</v>
      </c>
      <c r="F833">
        <v>12028</v>
      </c>
      <c r="G833">
        <v>0.62501587944581805</v>
      </c>
      <c r="H833">
        <v>0</v>
      </c>
      <c r="I833">
        <v>0</v>
      </c>
      <c r="J833">
        <v>0.56454302343758256</v>
      </c>
      <c r="K833">
        <v>0</v>
      </c>
      <c r="L833">
        <v>0</v>
      </c>
      <c r="M833">
        <v>0.39735931688606663</v>
      </c>
      <c r="N833">
        <v>0</v>
      </c>
      <c r="O833">
        <v>0</v>
      </c>
      <c r="P833">
        <v>0.39064484955942941</v>
      </c>
      <c r="Q833">
        <v>0.75393628732028084</v>
      </c>
      <c r="R833">
        <v>-0.14259838072298689</v>
      </c>
      <c r="S833">
        <v>0.22419483981033739</v>
      </c>
      <c r="T833">
        <v>0.17571955333679939</v>
      </c>
      <c r="U833">
        <v>4.2436712643831056</v>
      </c>
      <c r="V833">
        <v>0.23810297856178911</v>
      </c>
      <c r="W833">
        <v>3.0568593769537742</v>
      </c>
      <c r="X833">
        <v>0.2872158637248472</v>
      </c>
      <c r="Z833" t="s">
        <v>392</v>
      </c>
      <c r="AA833">
        <v>114</v>
      </c>
      <c r="AB833" t="s">
        <v>4266</v>
      </c>
      <c r="AC833" t="str">
        <f>HYPERLINK("plots/3FT6Y578R04_015_S21P_20251218081014_M5358ACSC201811_RBGEUFRF04/dpll_52094/txpa_54189.png","plot")</f>
        <v>plot</v>
      </c>
    </row>
    <row r="834" spans="1:29" x14ac:dyDescent="0.35">
      <c r="A834" t="s">
        <v>49</v>
      </c>
      <c r="B834">
        <v>52094</v>
      </c>
      <c r="C834" t="s">
        <v>53</v>
      </c>
      <c r="D834">
        <v>54190</v>
      </c>
      <c r="E834" t="s">
        <v>210</v>
      </c>
      <c r="F834">
        <v>12028</v>
      </c>
      <c r="G834">
        <v>0.64542072170508813</v>
      </c>
      <c r="H834">
        <v>0</v>
      </c>
      <c r="I834">
        <v>0</v>
      </c>
      <c r="J834">
        <v>0.57990505618670052</v>
      </c>
      <c r="K834">
        <v>0</v>
      </c>
      <c r="L834">
        <v>0</v>
      </c>
      <c r="M834">
        <v>0.41049226066653172</v>
      </c>
      <c r="N834">
        <v>0</v>
      </c>
      <c r="O834">
        <v>0</v>
      </c>
      <c r="P834">
        <v>0.41656790800631682</v>
      </c>
      <c r="Q834">
        <v>0.78879577866622486</v>
      </c>
      <c r="R834">
        <v>-0.28347913577765738</v>
      </c>
      <c r="S834">
        <v>0.22226117409941551</v>
      </c>
      <c r="T834">
        <v>0.1744994238866921</v>
      </c>
      <c r="U834">
        <v>4.2436712643831056</v>
      </c>
      <c r="V834">
        <v>0.23810297856178911</v>
      </c>
      <c r="W834">
        <v>3.0639108436148978</v>
      </c>
      <c r="X834">
        <v>0.29099565300788699</v>
      </c>
      <c r="Z834" t="s">
        <v>392</v>
      </c>
      <c r="AA834">
        <v>114</v>
      </c>
      <c r="AB834" t="s">
        <v>4267</v>
      </c>
      <c r="AC834" t="str">
        <f>HYPERLINK("plots/3FT6Y578R04_015_S21P_20251218081014_M5358ACSC201811_RBGEUFRF04/dpll_52094/txpa_54190.png","plot")</f>
        <v>plot</v>
      </c>
    </row>
    <row r="835" spans="1:29" x14ac:dyDescent="0.35">
      <c r="A835" t="s">
        <v>49</v>
      </c>
      <c r="B835">
        <v>52094</v>
      </c>
      <c r="C835" t="s">
        <v>53</v>
      </c>
      <c r="D835">
        <v>54191</v>
      </c>
      <c r="E835" t="s">
        <v>211</v>
      </c>
      <c r="F835">
        <v>12027</v>
      </c>
      <c r="G835">
        <v>0.64242788891904523</v>
      </c>
      <c r="H835">
        <v>0</v>
      </c>
      <c r="I835">
        <v>0</v>
      </c>
      <c r="J835">
        <v>0.57135831406123183</v>
      </c>
      <c r="K835">
        <v>0</v>
      </c>
      <c r="L835">
        <v>0</v>
      </c>
      <c r="M835">
        <v>0.40202900623138332</v>
      </c>
      <c r="N835">
        <v>0</v>
      </c>
      <c r="O835">
        <v>0</v>
      </c>
      <c r="P835">
        <v>0.4127135924609811</v>
      </c>
      <c r="Q835">
        <v>0.77761350070678792</v>
      </c>
      <c r="R835">
        <v>-0.25166048036175948</v>
      </c>
      <c r="S835">
        <v>0.22084590971267759</v>
      </c>
      <c r="T835">
        <v>0.17459256494338771</v>
      </c>
      <c r="U835">
        <v>4.2436418554918101</v>
      </c>
      <c r="V835">
        <v>0.23809103076034549</v>
      </c>
      <c r="W835">
        <v>3.0482527186330759</v>
      </c>
      <c r="X835">
        <v>0.28819234517972547</v>
      </c>
      <c r="Z835" t="s">
        <v>392</v>
      </c>
      <c r="AA835">
        <v>114</v>
      </c>
      <c r="AB835" t="s">
        <v>4268</v>
      </c>
      <c r="AC835" t="str">
        <f>HYPERLINK("plots/3FT6Y578R04_015_S21P_20251218081014_M5358ACSC201811_RBGEUFRF04/dpll_52094/txpa_54191.png","plot")</f>
        <v>plot</v>
      </c>
    </row>
    <row r="836" spans="1:29" x14ac:dyDescent="0.35">
      <c r="A836" t="s">
        <v>49</v>
      </c>
      <c r="B836">
        <v>52094</v>
      </c>
      <c r="C836" t="s">
        <v>53</v>
      </c>
      <c r="D836">
        <v>54192</v>
      </c>
      <c r="E836" t="s">
        <v>212</v>
      </c>
      <c r="F836">
        <v>12028</v>
      </c>
      <c r="G836">
        <v>0.65053365088586235</v>
      </c>
      <c r="H836">
        <v>0</v>
      </c>
      <c r="I836">
        <v>0</v>
      </c>
      <c r="J836">
        <v>0.58852371192093844</v>
      </c>
      <c r="K836">
        <v>0</v>
      </c>
      <c r="L836">
        <v>0</v>
      </c>
      <c r="M836">
        <v>0.41680894128458468</v>
      </c>
      <c r="N836">
        <v>0</v>
      </c>
      <c r="O836">
        <v>0</v>
      </c>
      <c r="P836">
        <v>0.42319403093488911</v>
      </c>
      <c r="Q836">
        <v>0.79538942432440796</v>
      </c>
      <c r="R836">
        <v>-0.31520163234357579</v>
      </c>
      <c r="S836">
        <v>0.22109131997141221</v>
      </c>
      <c r="T836">
        <v>0.1742436440609475</v>
      </c>
      <c r="U836">
        <v>4.2436712643831056</v>
      </c>
      <c r="V836">
        <v>0.23810297856178911</v>
      </c>
      <c r="W836">
        <v>3.0601696116561361</v>
      </c>
      <c r="X836">
        <v>0.29112189783002651</v>
      </c>
      <c r="Z836" t="s">
        <v>392</v>
      </c>
      <c r="AA836">
        <v>114</v>
      </c>
      <c r="AB836" t="s">
        <v>4269</v>
      </c>
      <c r="AC836" t="str">
        <f>HYPERLINK("plots/3FT6Y578R04_015_S21P_20251218081014_M5358ACSC201811_RBGEUFRF04/dpll_52094/txpa_54192.png","plot")</f>
        <v>plot</v>
      </c>
    </row>
    <row r="837" spans="1:29" x14ac:dyDescent="0.35">
      <c r="A837" t="s">
        <v>49</v>
      </c>
      <c r="B837">
        <v>52094</v>
      </c>
      <c r="C837" t="s">
        <v>53</v>
      </c>
      <c r="D837">
        <v>54193</v>
      </c>
      <c r="E837" t="s">
        <v>213</v>
      </c>
      <c r="F837">
        <v>12028</v>
      </c>
      <c r="G837">
        <v>0.64495605704767767</v>
      </c>
      <c r="H837">
        <v>0</v>
      </c>
      <c r="I837">
        <v>0</v>
      </c>
      <c r="J837">
        <v>0.57774134297014612</v>
      </c>
      <c r="K837">
        <v>0</v>
      </c>
      <c r="L837">
        <v>0</v>
      </c>
      <c r="M837">
        <v>0.40748450591017399</v>
      </c>
      <c r="N837">
        <v>0</v>
      </c>
      <c r="O837">
        <v>0</v>
      </c>
      <c r="P837">
        <v>0.41596831552248731</v>
      </c>
      <c r="Q837">
        <v>0.77602094704293301</v>
      </c>
      <c r="R837">
        <v>-0.22887948291687901</v>
      </c>
      <c r="S837">
        <v>0.21893152235220251</v>
      </c>
      <c r="T837">
        <v>0.1734199092227818</v>
      </c>
      <c r="U837">
        <v>4.2436712643831056</v>
      </c>
      <c r="V837">
        <v>0.23810297856178911</v>
      </c>
      <c r="W837">
        <v>3.0642983106085802</v>
      </c>
      <c r="X837">
        <v>0.28648912883006472</v>
      </c>
      <c r="Z837" t="s">
        <v>392</v>
      </c>
      <c r="AA837">
        <v>114</v>
      </c>
      <c r="AB837" t="s">
        <v>4270</v>
      </c>
      <c r="AC837" t="str">
        <f>HYPERLINK("plots/3FT6Y578R04_015_S21P_20251218081014_M5358ACSC201811_RBGEUFRF04/dpll_52094/txpa_54193.png","plot")</f>
        <v>plot</v>
      </c>
    </row>
    <row r="838" spans="1:29" x14ac:dyDescent="0.35">
      <c r="A838" t="s">
        <v>49</v>
      </c>
      <c r="B838">
        <v>52094</v>
      </c>
      <c r="C838" t="s">
        <v>53</v>
      </c>
      <c r="D838">
        <v>54194</v>
      </c>
      <c r="E838" t="s">
        <v>214</v>
      </c>
      <c r="F838">
        <v>12027</v>
      </c>
      <c r="G838">
        <v>0.63758265541758008</v>
      </c>
      <c r="H838">
        <v>0</v>
      </c>
      <c r="I838">
        <v>0</v>
      </c>
      <c r="J838">
        <v>0.57161712271053311</v>
      </c>
      <c r="K838">
        <v>0</v>
      </c>
      <c r="L838">
        <v>0</v>
      </c>
      <c r="M838">
        <v>0.40399917942954228</v>
      </c>
      <c r="N838">
        <v>0</v>
      </c>
      <c r="O838">
        <v>0</v>
      </c>
      <c r="P838">
        <v>0.40651164248933258</v>
      </c>
      <c r="Q838">
        <v>0.77515654744293616</v>
      </c>
      <c r="R838">
        <v>-0.26581524864692069</v>
      </c>
      <c r="S838">
        <v>0.22299626150868229</v>
      </c>
      <c r="T838">
        <v>0.17514801006584901</v>
      </c>
      <c r="U838">
        <v>4.2436951445081901</v>
      </c>
      <c r="V838">
        <v>0.2380984732054881</v>
      </c>
      <c r="W838">
        <v>3.0237128279704</v>
      </c>
      <c r="X838">
        <v>0.28947398250744782</v>
      </c>
      <c r="Z838" t="s">
        <v>392</v>
      </c>
      <c r="AA838">
        <v>114</v>
      </c>
      <c r="AB838" t="s">
        <v>4271</v>
      </c>
      <c r="AC838" t="str">
        <f>HYPERLINK("plots/3FT6Y578R04_015_S21P_20251218081014_M5358ACSC201811_RBGEUFRF04/dpll_52094/txpa_54194.png","plot")</f>
        <v>plot</v>
      </c>
    </row>
    <row r="839" spans="1:29" x14ac:dyDescent="0.35">
      <c r="A839" t="s">
        <v>49</v>
      </c>
      <c r="B839">
        <v>52094</v>
      </c>
      <c r="C839" t="s">
        <v>53</v>
      </c>
      <c r="D839">
        <v>54195</v>
      </c>
      <c r="E839" t="s">
        <v>215</v>
      </c>
      <c r="F839">
        <v>12028</v>
      </c>
      <c r="G839">
        <v>0.66012666055094071</v>
      </c>
      <c r="H839">
        <v>0</v>
      </c>
      <c r="I839">
        <v>0</v>
      </c>
      <c r="J839">
        <v>0.60354836031572479</v>
      </c>
      <c r="K839">
        <v>0</v>
      </c>
      <c r="L839">
        <v>0</v>
      </c>
      <c r="M839">
        <v>0.42785290864265618</v>
      </c>
      <c r="N839">
        <v>0</v>
      </c>
      <c r="O839">
        <v>0</v>
      </c>
      <c r="P839">
        <v>0.43576720797013691</v>
      </c>
      <c r="Q839">
        <v>0.83295901235146586</v>
      </c>
      <c r="R839">
        <v>1.9421466366975659</v>
      </c>
      <c r="S839">
        <v>0.2256692024148233</v>
      </c>
      <c r="T839">
        <v>0.17470687146340719</v>
      </c>
      <c r="U839">
        <v>4.2436712643831056</v>
      </c>
      <c r="V839">
        <v>0.23810297856178911</v>
      </c>
      <c r="W839">
        <v>5.4769508618224148</v>
      </c>
      <c r="X839">
        <v>0.30044237524847739</v>
      </c>
      <c r="Z839" t="s">
        <v>392</v>
      </c>
      <c r="AA839">
        <v>114</v>
      </c>
      <c r="AB839" t="s">
        <v>4272</v>
      </c>
      <c r="AC839" t="str">
        <f>HYPERLINK("plots/3FT6Y578R04_015_S21P_20251218081014_M5358ACSC201811_RBGEUFRF04/dpll_52094/txpa_54195.png","plot")</f>
        <v>plot</v>
      </c>
    </row>
    <row r="840" spans="1:29" x14ac:dyDescent="0.35">
      <c r="A840" t="s">
        <v>49</v>
      </c>
      <c r="B840">
        <v>52094</v>
      </c>
      <c r="C840" t="s">
        <v>53</v>
      </c>
      <c r="D840">
        <v>54196</v>
      </c>
      <c r="E840" t="s">
        <v>216</v>
      </c>
      <c r="F840">
        <v>12028</v>
      </c>
      <c r="G840">
        <v>0.68212381198376193</v>
      </c>
      <c r="H840">
        <v>0</v>
      </c>
      <c r="I840">
        <v>0</v>
      </c>
      <c r="J840">
        <v>0.61840570031553299</v>
      </c>
      <c r="K840">
        <v>0</v>
      </c>
      <c r="L840">
        <v>0</v>
      </c>
      <c r="M840">
        <v>0.44195283512043532</v>
      </c>
      <c r="N840">
        <v>0</v>
      </c>
      <c r="O840">
        <v>0</v>
      </c>
      <c r="P840">
        <v>0.4652928948752586</v>
      </c>
      <c r="Q840">
        <v>0.86262589848712046</v>
      </c>
      <c r="R840">
        <v>1.8461021821986661</v>
      </c>
      <c r="S840">
        <v>0.220172986762776</v>
      </c>
      <c r="T840">
        <v>0.17277342985301511</v>
      </c>
      <c r="U840">
        <v>4.2436712643831056</v>
      </c>
      <c r="V840">
        <v>0.23810297856178911</v>
      </c>
      <c r="W840">
        <v>5.5068029195211166</v>
      </c>
      <c r="X840">
        <v>0.30110925935424221</v>
      </c>
      <c r="Z840" t="s">
        <v>392</v>
      </c>
      <c r="AA840">
        <v>114</v>
      </c>
      <c r="AB840" t="s">
        <v>4273</v>
      </c>
      <c r="AC840" t="str">
        <f>HYPERLINK("plots/3FT6Y578R04_015_S21P_20251218081014_M5358ACSC201811_RBGEUFRF04/dpll_52094/txpa_54196.png","plot")</f>
        <v>plot</v>
      </c>
    </row>
    <row r="841" spans="1:29" x14ac:dyDescent="0.35">
      <c r="A841" t="s">
        <v>49</v>
      </c>
      <c r="B841">
        <v>52094</v>
      </c>
      <c r="C841" t="s">
        <v>53</v>
      </c>
      <c r="D841">
        <v>54197</v>
      </c>
      <c r="E841" t="s">
        <v>217</v>
      </c>
      <c r="F841">
        <v>12028</v>
      </c>
      <c r="G841">
        <v>0.66963387779836447</v>
      </c>
      <c r="H841">
        <v>0</v>
      </c>
      <c r="I841">
        <v>0</v>
      </c>
      <c r="J841">
        <v>0.60576758753149484</v>
      </c>
      <c r="K841">
        <v>0</v>
      </c>
      <c r="L841">
        <v>0</v>
      </c>
      <c r="M841">
        <v>0.43088543071522201</v>
      </c>
      <c r="N841">
        <v>0</v>
      </c>
      <c r="O841">
        <v>0</v>
      </c>
      <c r="P841">
        <v>0.44840953029527492</v>
      </c>
      <c r="Q841">
        <v>0.8325341521972901</v>
      </c>
      <c r="R841">
        <v>1.986740247106866</v>
      </c>
      <c r="S841">
        <v>0.21984661948329071</v>
      </c>
      <c r="T841">
        <v>0.17177784997081191</v>
      </c>
      <c r="U841">
        <v>4.2436712643831056</v>
      </c>
      <c r="V841">
        <v>0.23810297856178911</v>
      </c>
      <c r="W841">
        <v>5.5197415054040579</v>
      </c>
      <c r="X841">
        <v>0.296025735801076</v>
      </c>
      <c r="Z841" t="s">
        <v>392</v>
      </c>
      <c r="AA841">
        <v>114</v>
      </c>
      <c r="AB841" t="s">
        <v>4274</v>
      </c>
      <c r="AC841" t="str">
        <f>HYPERLINK("plots/3FT6Y578R04_015_S21P_20251218081014_M5358ACSC201811_RBGEUFRF04/dpll_52094/txpa_54197.png","plot")</f>
        <v>plot</v>
      </c>
    </row>
    <row r="842" spans="1:29" x14ac:dyDescent="0.35">
      <c r="A842" t="s">
        <v>49</v>
      </c>
      <c r="B842">
        <v>52094</v>
      </c>
      <c r="C842" t="s">
        <v>53</v>
      </c>
      <c r="D842">
        <v>54198</v>
      </c>
      <c r="E842" t="s">
        <v>218</v>
      </c>
      <c r="F842">
        <v>12028</v>
      </c>
      <c r="G842">
        <v>0.68793142523814144</v>
      </c>
      <c r="H842">
        <v>0</v>
      </c>
      <c r="I842">
        <v>0</v>
      </c>
      <c r="J842">
        <v>0.62008646303873238</v>
      </c>
      <c r="K842">
        <v>0</v>
      </c>
      <c r="L842">
        <v>0</v>
      </c>
      <c r="M842">
        <v>0.44352481722432752</v>
      </c>
      <c r="N842">
        <v>0</v>
      </c>
      <c r="O842">
        <v>0</v>
      </c>
      <c r="P842">
        <v>0.47324964583018059</v>
      </c>
      <c r="Q842">
        <v>0.86542486149073561</v>
      </c>
      <c r="R842">
        <v>1.8507601136061751</v>
      </c>
      <c r="S842">
        <v>0.21738692061534681</v>
      </c>
      <c r="T842">
        <v>0.17041298817433709</v>
      </c>
      <c r="U842">
        <v>4.2436712643831056</v>
      </c>
      <c r="V842">
        <v>0.23810297856178911</v>
      </c>
      <c r="W842">
        <v>5.5233387297971399</v>
      </c>
      <c r="X842">
        <v>0.29953601432153781</v>
      </c>
      <c r="Z842" t="s">
        <v>392</v>
      </c>
      <c r="AA842">
        <v>114</v>
      </c>
      <c r="AB842" t="s">
        <v>4275</v>
      </c>
      <c r="AC842" t="str">
        <f>HYPERLINK("plots/3FT6Y578R04_015_S21P_20251218081014_M5358ACSC201811_RBGEUFRF04/dpll_52094/txpa_54198.png","plot")</f>
        <v>plot</v>
      </c>
    </row>
    <row r="843" spans="1:29" x14ac:dyDescent="0.35">
      <c r="A843" t="s">
        <v>49</v>
      </c>
      <c r="B843">
        <v>52094</v>
      </c>
      <c r="C843" t="s">
        <v>53</v>
      </c>
      <c r="D843">
        <v>54199</v>
      </c>
      <c r="E843" t="s">
        <v>219</v>
      </c>
      <c r="F843">
        <v>12027</v>
      </c>
      <c r="G843">
        <v>0.68679583593860571</v>
      </c>
      <c r="H843">
        <v>0</v>
      </c>
      <c r="I843">
        <v>0</v>
      </c>
      <c r="J843">
        <v>0.61289948789659332</v>
      </c>
      <c r="K843">
        <v>0</v>
      </c>
      <c r="L843">
        <v>0</v>
      </c>
      <c r="M843">
        <v>0.43590393341943229</v>
      </c>
      <c r="N843">
        <v>0</v>
      </c>
      <c r="O843">
        <v>0</v>
      </c>
      <c r="P843">
        <v>0.47168852026260821</v>
      </c>
      <c r="Q843">
        <v>0.85589010472616245</v>
      </c>
      <c r="R843">
        <v>1.874805367560181</v>
      </c>
      <c r="S843">
        <v>0.21565540891544441</v>
      </c>
      <c r="T843">
        <v>0.17028994151656079</v>
      </c>
      <c r="U843">
        <v>4.2436418554918101</v>
      </c>
      <c r="V843">
        <v>0.23809103076034549</v>
      </c>
      <c r="W843">
        <v>5.5068964396773934</v>
      </c>
      <c r="X843">
        <v>0.29671082232660562</v>
      </c>
      <c r="Z843" t="s">
        <v>392</v>
      </c>
      <c r="AA843">
        <v>114</v>
      </c>
      <c r="AB843" t="s">
        <v>4276</v>
      </c>
      <c r="AC843" t="str">
        <f>HYPERLINK("plots/3FT6Y578R04_015_S21P_20251218081014_M5358ACSC201811_RBGEUFRF04/dpll_52094/txpa_54199.png","plot")</f>
        <v>plot</v>
      </c>
    </row>
    <row r="844" spans="1:29" x14ac:dyDescent="0.35">
      <c r="A844" t="s">
        <v>49</v>
      </c>
      <c r="B844">
        <v>52094</v>
      </c>
      <c r="C844" t="s">
        <v>53</v>
      </c>
      <c r="D844">
        <v>54200</v>
      </c>
      <c r="E844" t="s">
        <v>220</v>
      </c>
      <c r="F844">
        <v>12028</v>
      </c>
      <c r="G844">
        <v>0.69278651544565673</v>
      </c>
      <c r="H844">
        <v>0</v>
      </c>
      <c r="I844">
        <v>0</v>
      </c>
      <c r="J844">
        <v>0.62837158690232175</v>
      </c>
      <c r="K844">
        <v>0</v>
      </c>
      <c r="L844">
        <v>0</v>
      </c>
      <c r="M844">
        <v>0.4498750462023221</v>
      </c>
      <c r="N844">
        <v>0</v>
      </c>
      <c r="O844">
        <v>0</v>
      </c>
      <c r="P844">
        <v>0.47995315598333521</v>
      </c>
      <c r="Q844">
        <v>0.87351022734858774</v>
      </c>
      <c r="R844">
        <v>1.814263648291162</v>
      </c>
      <c r="S844">
        <v>0.21648936916698619</v>
      </c>
      <c r="T844">
        <v>0.17027826310360139</v>
      </c>
      <c r="U844">
        <v>4.2436712643831056</v>
      </c>
      <c r="V844">
        <v>0.23810297856178911</v>
      </c>
      <c r="W844">
        <v>5.5211538992351183</v>
      </c>
      <c r="X844">
        <v>0.30021569747513221</v>
      </c>
      <c r="Z844" t="s">
        <v>392</v>
      </c>
      <c r="AA844">
        <v>114</v>
      </c>
      <c r="AB844" t="s">
        <v>4277</v>
      </c>
      <c r="AC844" t="str">
        <f>HYPERLINK("plots/3FT6Y578R04_015_S21P_20251218081014_M5358ACSC201811_RBGEUFRF04/dpll_52094/txpa_54200.png","plot")</f>
        <v>plot</v>
      </c>
    </row>
    <row r="845" spans="1:29" x14ac:dyDescent="0.35">
      <c r="A845" t="s">
        <v>49</v>
      </c>
      <c r="B845">
        <v>52094</v>
      </c>
      <c r="C845" t="s">
        <v>53</v>
      </c>
      <c r="D845">
        <v>54201</v>
      </c>
      <c r="E845" t="s">
        <v>221</v>
      </c>
      <c r="F845">
        <v>12028</v>
      </c>
      <c r="G845">
        <v>0.68914976118387605</v>
      </c>
      <c r="H845">
        <v>0</v>
      </c>
      <c r="I845">
        <v>0</v>
      </c>
      <c r="J845">
        <v>0.61895666642745761</v>
      </c>
      <c r="K845">
        <v>0</v>
      </c>
      <c r="L845">
        <v>0</v>
      </c>
      <c r="M845">
        <v>0.44140662955813981</v>
      </c>
      <c r="N845">
        <v>0</v>
      </c>
      <c r="O845">
        <v>0</v>
      </c>
      <c r="P845">
        <v>0.47492739333979339</v>
      </c>
      <c r="Q845">
        <v>0.8551162769089955</v>
      </c>
      <c r="R845">
        <v>1.897183599790792</v>
      </c>
      <c r="S845">
        <v>0.2140760180378414</v>
      </c>
      <c r="T845">
        <v>0.1692672735046373</v>
      </c>
      <c r="U845">
        <v>4.2436712643831056</v>
      </c>
      <c r="V845">
        <v>0.23810297856178911</v>
      </c>
      <c r="W845">
        <v>5.5260159718157631</v>
      </c>
      <c r="X845">
        <v>0.2954448278396401</v>
      </c>
      <c r="Z845" t="s">
        <v>392</v>
      </c>
      <c r="AA845">
        <v>114</v>
      </c>
      <c r="AB845" t="s">
        <v>4278</v>
      </c>
      <c r="AC845" t="str">
        <f>HYPERLINK("plots/3FT6Y578R04_015_S21P_20251218081014_M5358ACSC201811_RBGEUFRF04/dpll_52094/txpa_54201.png","plot")</f>
        <v>plot</v>
      </c>
    </row>
    <row r="846" spans="1:29" x14ac:dyDescent="0.35">
      <c r="A846" t="s">
        <v>49</v>
      </c>
      <c r="B846">
        <v>52094</v>
      </c>
      <c r="C846" t="s">
        <v>53</v>
      </c>
      <c r="D846">
        <v>54202</v>
      </c>
      <c r="E846" t="s">
        <v>222</v>
      </c>
      <c r="F846">
        <v>12027</v>
      </c>
      <c r="G846">
        <v>0.68298436366958415</v>
      </c>
      <c r="H846">
        <v>0</v>
      </c>
      <c r="I846">
        <v>0</v>
      </c>
      <c r="J846">
        <v>0.61341036199309296</v>
      </c>
      <c r="K846">
        <v>0</v>
      </c>
      <c r="L846">
        <v>0</v>
      </c>
      <c r="M846">
        <v>0.43823590517056749</v>
      </c>
      <c r="N846">
        <v>0</v>
      </c>
      <c r="O846">
        <v>0</v>
      </c>
      <c r="P846">
        <v>0.46646764101714677</v>
      </c>
      <c r="Q846">
        <v>0.85599616425662139</v>
      </c>
      <c r="R846">
        <v>1.855212184471374</v>
      </c>
      <c r="S846">
        <v>0.21796160374232479</v>
      </c>
      <c r="T846">
        <v>0.1708942735321026</v>
      </c>
      <c r="U846">
        <v>4.2436951445081901</v>
      </c>
      <c r="V846">
        <v>0.2380984732054881</v>
      </c>
      <c r="W846">
        <v>5.4877989504448328</v>
      </c>
      <c r="X846">
        <v>0.29841295148281921</v>
      </c>
      <c r="Z846" t="s">
        <v>392</v>
      </c>
      <c r="AA846">
        <v>114</v>
      </c>
      <c r="AB846" t="s">
        <v>4279</v>
      </c>
      <c r="AC846" t="str">
        <f>HYPERLINK("plots/3FT6Y578R04_015_S21P_20251218081014_M5358ACSC201811_RBGEUFRF04/dpll_52094/txpa_54202.png","plot")</f>
        <v>plot</v>
      </c>
    </row>
    <row r="847" spans="1:29" x14ac:dyDescent="0.35">
      <c r="A847" t="s">
        <v>49</v>
      </c>
      <c r="B847">
        <v>52094</v>
      </c>
      <c r="C847" t="s">
        <v>53</v>
      </c>
      <c r="D847">
        <v>54203</v>
      </c>
      <c r="E847" t="s">
        <v>223</v>
      </c>
      <c r="F847">
        <v>12028</v>
      </c>
      <c r="G847">
        <v>0.67662908758393914</v>
      </c>
      <c r="H847">
        <v>0</v>
      </c>
      <c r="I847">
        <v>0</v>
      </c>
      <c r="J847">
        <v>0.61722847004278847</v>
      </c>
      <c r="K847">
        <v>0</v>
      </c>
      <c r="L847">
        <v>0</v>
      </c>
      <c r="M847">
        <v>0.4391858475533304</v>
      </c>
      <c r="N847">
        <v>0</v>
      </c>
      <c r="O847">
        <v>0</v>
      </c>
      <c r="P847">
        <v>0.45782692216467402</v>
      </c>
      <c r="Q847">
        <v>0.87092336890076105</v>
      </c>
      <c r="R847">
        <v>2.8724819387029439</v>
      </c>
      <c r="S847">
        <v>0.2256550350395069</v>
      </c>
      <c r="T847">
        <v>0.17433190056118911</v>
      </c>
      <c r="U847">
        <v>4.2436712643831056</v>
      </c>
      <c r="V847">
        <v>0.23810297856178911</v>
      </c>
      <c r="W847">
        <v>6.568394412786831</v>
      </c>
      <c r="X847">
        <v>0.30647433289455472</v>
      </c>
      <c r="Z847" t="s">
        <v>392</v>
      </c>
      <c r="AA847">
        <v>114</v>
      </c>
      <c r="AB847" t="s">
        <v>4280</v>
      </c>
      <c r="AC847" t="str">
        <f>HYPERLINK("plots/3FT6Y578R04_015_S21P_20251218081014_M5358ACSC201811_RBGEUFRF04/dpll_52094/txpa_54203.png","plot")</f>
        <v>plot</v>
      </c>
    </row>
    <row r="848" spans="1:29" x14ac:dyDescent="0.35">
      <c r="A848" t="s">
        <v>49</v>
      </c>
      <c r="B848">
        <v>52094</v>
      </c>
      <c r="C848" t="s">
        <v>53</v>
      </c>
      <c r="D848">
        <v>54204</v>
      </c>
      <c r="E848" t="s">
        <v>224</v>
      </c>
      <c r="F848">
        <v>12028</v>
      </c>
      <c r="G848">
        <v>0.6975552033415221</v>
      </c>
      <c r="H848">
        <v>0</v>
      </c>
      <c r="I848">
        <v>0</v>
      </c>
      <c r="J848">
        <v>0.63132411772215291</v>
      </c>
      <c r="K848">
        <v>0</v>
      </c>
      <c r="L848">
        <v>0</v>
      </c>
      <c r="M848">
        <v>0.45288368197844792</v>
      </c>
      <c r="N848">
        <v>0</v>
      </c>
      <c r="O848">
        <v>0</v>
      </c>
      <c r="P848">
        <v>0.48658326170883232</v>
      </c>
      <c r="Q848">
        <v>0.89944985548447365</v>
      </c>
      <c r="R848">
        <v>2.7808101115871939</v>
      </c>
      <c r="S848">
        <v>0.21997846104054911</v>
      </c>
      <c r="T848">
        <v>0.1723592679484694</v>
      </c>
      <c r="U848">
        <v>4.2436712643831056</v>
      </c>
      <c r="V848">
        <v>0.23810297856178911</v>
      </c>
      <c r="W848">
        <v>6.5977796170601932</v>
      </c>
      <c r="X848">
        <v>0.3070175501980601</v>
      </c>
      <c r="Z848" t="s">
        <v>392</v>
      </c>
      <c r="AA848">
        <v>114</v>
      </c>
      <c r="AB848" t="s">
        <v>4281</v>
      </c>
      <c r="AC848" t="str">
        <f>HYPERLINK("plots/3FT6Y578R04_015_S21P_20251218081014_M5358ACSC201811_RBGEUFRF04/dpll_52094/txpa_54204.png","plot")</f>
        <v>plot</v>
      </c>
    </row>
    <row r="849" spans="1:29" x14ac:dyDescent="0.35">
      <c r="A849" t="s">
        <v>49</v>
      </c>
      <c r="B849">
        <v>52094</v>
      </c>
      <c r="C849" t="s">
        <v>53</v>
      </c>
      <c r="D849">
        <v>54205</v>
      </c>
      <c r="E849" t="s">
        <v>225</v>
      </c>
      <c r="F849">
        <v>12028</v>
      </c>
      <c r="G849">
        <v>0.68606145132180874</v>
      </c>
      <c r="H849">
        <v>0</v>
      </c>
      <c r="I849">
        <v>0</v>
      </c>
      <c r="J849">
        <v>0.61930648569790014</v>
      </c>
      <c r="K849">
        <v>0</v>
      </c>
      <c r="L849">
        <v>0</v>
      </c>
      <c r="M849">
        <v>0.44216370262526428</v>
      </c>
      <c r="N849">
        <v>0</v>
      </c>
      <c r="O849">
        <v>0</v>
      </c>
      <c r="P849">
        <v>0.47068031498978652</v>
      </c>
      <c r="Q849">
        <v>0.87033194725336371</v>
      </c>
      <c r="R849">
        <v>2.917628703749148</v>
      </c>
      <c r="S849">
        <v>0.21974940329680059</v>
      </c>
      <c r="T849">
        <v>0.17130253914164939</v>
      </c>
      <c r="U849">
        <v>4.2436712643831056</v>
      </c>
      <c r="V849">
        <v>0.23810297856178911</v>
      </c>
      <c r="W849">
        <v>6.6110313787828412</v>
      </c>
      <c r="X849">
        <v>0.30205549164619028</v>
      </c>
      <c r="Z849" t="s">
        <v>392</v>
      </c>
      <c r="AA849">
        <v>114</v>
      </c>
      <c r="AB849" t="s">
        <v>4282</v>
      </c>
      <c r="AC849" t="str">
        <f>HYPERLINK("plots/3FT6Y578R04_015_S21P_20251218081014_M5358ACSC201811_RBGEUFRF04/dpll_52094/txpa_54205.png","plot")</f>
        <v>plot</v>
      </c>
    </row>
    <row r="850" spans="1:29" x14ac:dyDescent="0.35">
      <c r="A850" t="s">
        <v>49</v>
      </c>
      <c r="B850">
        <v>52094</v>
      </c>
      <c r="C850" t="s">
        <v>53</v>
      </c>
      <c r="D850">
        <v>54206</v>
      </c>
      <c r="E850" t="s">
        <v>226</v>
      </c>
      <c r="F850">
        <v>12028</v>
      </c>
      <c r="G850">
        <v>0.70347509009865239</v>
      </c>
      <c r="H850">
        <v>0</v>
      </c>
      <c r="I850">
        <v>0</v>
      </c>
      <c r="J850">
        <v>0.63331139149811289</v>
      </c>
      <c r="K850">
        <v>0</v>
      </c>
      <c r="L850">
        <v>0</v>
      </c>
      <c r="M850">
        <v>0.45467656703571918</v>
      </c>
      <c r="N850">
        <v>0</v>
      </c>
      <c r="O850">
        <v>0</v>
      </c>
      <c r="P850">
        <v>0.4948772023893071</v>
      </c>
      <c r="Q850">
        <v>0.90270713693751647</v>
      </c>
      <c r="R850">
        <v>2.7826027768918919</v>
      </c>
      <c r="S850">
        <v>0.2171417888433568</v>
      </c>
      <c r="T850">
        <v>0.1699862402407202</v>
      </c>
      <c r="U850">
        <v>4.2436712643831056</v>
      </c>
      <c r="V850">
        <v>0.23810297856178911</v>
      </c>
      <c r="W850">
        <v>6.6133951140671767</v>
      </c>
      <c r="X850">
        <v>0.30553641642615298</v>
      </c>
      <c r="Z850" t="s">
        <v>392</v>
      </c>
      <c r="AA850">
        <v>114</v>
      </c>
      <c r="AB850" t="s">
        <v>4283</v>
      </c>
      <c r="AC850" t="str">
        <f>HYPERLINK("plots/3FT6Y578R04_015_S21P_20251218081014_M5358ACSC201811_RBGEUFRF04/dpll_52094/txpa_54206.png","plot")</f>
        <v>plot</v>
      </c>
    </row>
    <row r="851" spans="1:29" x14ac:dyDescent="0.35">
      <c r="A851" t="s">
        <v>49</v>
      </c>
      <c r="B851">
        <v>52094</v>
      </c>
      <c r="C851" t="s">
        <v>53</v>
      </c>
      <c r="D851">
        <v>54207</v>
      </c>
      <c r="E851" t="s">
        <v>227</v>
      </c>
      <c r="F851">
        <v>12027</v>
      </c>
      <c r="G851">
        <v>0.70304798131822388</v>
      </c>
      <c r="H851">
        <v>0</v>
      </c>
      <c r="I851">
        <v>0</v>
      </c>
      <c r="J851">
        <v>0.62659297396132096</v>
      </c>
      <c r="K851">
        <v>0</v>
      </c>
      <c r="L851">
        <v>0</v>
      </c>
      <c r="M851">
        <v>0.44729111859460707</v>
      </c>
      <c r="N851">
        <v>0</v>
      </c>
      <c r="O851">
        <v>0</v>
      </c>
      <c r="P851">
        <v>0.49427646403562969</v>
      </c>
      <c r="Q851">
        <v>0.8938200500598481</v>
      </c>
      <c r="R851">
        <v>2.8033126900901899</v>
      </c>
      <c r="S851">
        <v>0.21525174916511561</v>
      </c>
      <c r="T851">
        <v>0.16978074258857179</v>
      </c>
      <c r="U851">
        <v>4.2436418554918101</v>
      </c>
      <c r="V851">
        <v>0.23809103076034549</v>
      </c>
      <c r="W851">
        <v>6.5963648658019469</v>
      </c>
      <c r="X851">
        <v>0.3026970316222094</v>
      </c>
      <c r="Z851" t="s">
        <v>392</v>
      </c>
      <c r="AA851">
        <v>114</v>
      </c>
      <c r="AB851" t="s">
        <v>4284</v>
      </c>
      <c r="AC851" t="str">
        <f>HYPERLINK("plots/3FT6Y578R04_015_S21P_20251218081014_M5358ACSC201811_RBGEUFRF04/dpll_52094/txpa_54207.png","plot")</f>
        <v>plot</v>
      </c>
    </row>
    <row r="852" spans="1:29" x14ac:dyDescent="0.35">
      <c r="A852" t="s">
        <v>49</v>
      </c>
      <c r="B852">
        <v>52094</v>
      </c>
      <c r="C852" t="s">
        <v>53</v>
      </c>
      <c r="D852">
        <v>54208</v>
      </c>
      <c r="E852" t="s">
        <v>228</v>
      </c>
      <c r="F852">
        <v>12028</v>
      </c>
      <c r="G852">
        <v>0.70814564902226684</v>
      </c>
      <c r="H852">
        <v>0</v>
      </c>
      <c r="I852">
        <v>0</v>
      </c>
      <c r="J852">
        <v>0.64162185722282772</v>
      </c>
      <c r="K852">
        <v>0</v>
      </c>
      <c r="L852">
        <v>0</v>
      </c>
      <c r="M852">
        <v>0.46117203660829681</v>
      </c>
      <c r="N852">
        <v>0</v>
      </c>
      <c r="O852">
        <v>0</v>
      </c>
      <c r="P852">
        <v>0.50147026022916752</v>
      </c>
      <c r="Q852">
        <v>0.91113454884921252</v>
      </c>
      <c r="R852">
        <v>2.7446753533971502</v>
      </c>
      <c r="S852">
        <v>0.2162978652987213</v>
      </c>
      <c r="T852">
        <v>0.16980701922361799</v>
      </c>
      <c r="U852">
        <v>4.2436712643831056</v>
      </c>
      <c r="V852">
        <v>0.23810297856178911</v>
      </c>
      <c r="W852">
        <v>6.6112308563352187</v>
      </c>
      <c r="X852">
        <v>0.3063548441638842</v>
      </c>
      <c r="Z852" t="s">
        <v>392</v>
      </c>
      <c r="AA852">
        <v>114</v>
      </c>
      <c r="AB852" t="s">
        <v>4285</v>
      </c>
      <c r="AC852" t="str">
        <f>HYPERLINK("plots/3FT6Y578R04_015_S21P_20251218081014_M5358ACSC201811_RBGEUFRF04/dpll_52094/txpa_54208.png","plot")</f>
        <v>plot</v>
      </c>
    </row>
    <row r="853" spans="1:29" x14ac:dyDescent="0.35">
      <c r="A853" t="s">
        <v>49</v>
      </c>
      <c r="B853">
        <v>52094</v>
      </c>
      <c r="C853" t="s">
        <v>53</v>
      </c>
      <c r="D853">
        <v>54209</v>
      </c>
      <c r="E853" t="s">
        <v>229</v>
      </c>
      <c r="F853">
        <v>12028</v>
      </c>
      <c r="G853">
        <v>0.70521885032305831</v>
      </c>
      <c r="H853">
        <v>0</v>
      </c>
      <c r="I853">
        <v>0</v>
      </c>
      <c r="J853">
        <v>0.63212927285759168</v>
      </c>
      <c r="K853">
        <v>0</v>
      </c>
      <c r="L853">
        <v>0</v>
      </c>
      <c r="M853">
        <v>0.45252320723182132</v>
      </c>
      <c r="N853">
        <v>0</v>
      </c>
      <c r="O853">
        <v>0</v>
      </c>
      <c r="P853">
        <v>0.4973336268509761</v>
      </c>
      <c r="Q853">
        <v>0.89313919272026676</v>
      </c>
      <c r="R853">
        <v>2.8260669782625021</v>
      </c>
      <c r="S853">
        <v>0.2137873114832069</v>
      </c>
      <c r="T853">
        <v>0.16879567554379779</v>
      </c>
      <c r="U853">
        <v>4.2436712643831056</v>
      </c>
      <c r="V853">
        <v>0.23810297856178911</v>
      </c>
      <c r="W853">
        <v>6.6162561055038234</v>
      </c>
      <c r="X853">
        <v>0.30155050727805821</v>
      </c>
      <c r="Z853" t="s">
        <v>392</v>
      </c>
      <c r="AA853">
        <v>114</v>
      </c>
      <c r="AB853" t="s">
        <v>4286</v>
      </c>
      <c r="AC853" t="str">
        <f>HYPERLINK("plots/3FT6Y578R04_015_S21P_20251218081014_M5358ACSC201811_RBGEUFRF04/dpll_52094/txpa_54209.png","plot")</f>
        <v>plot</v>
      </c>
    </row>
    <row r="854" spans="1:29" x14ac:dyDescent="0.35">
      <c r="A854" t="s">
        <v>49</v>
      </c>
      <c r="B854">
        <v>52094</v>
      </c>
      <c r="C854" t="s">
        <v>53</v>
      </c>
      <c r="D854">
        <v>54210</v>
      </c>
      <c r="E854" t="s">
        <v>230</v>
      </c>
      <c r="F854">
        <v>12027</v>
      </c>
      <c r="G854">
        <v>0.69921546501034482</v>
      </c>
      <c r="H854">
        <v>0</v>
      </c>
      <c r="I854">
        <v>0</v>
      </c>
      <c r="J854">
        <v>0.62693664113021019</v>
      </c>
      <c r="K854">
        <v>0</v>
      </c>
      <c r="L854">
        <v>0</v>
      </c>
      <c r="M854">
        <v>0.44958794928236212</v>
      </c>
      <c r="N854">
        <v>0</v>
      </c>
      <c r="O854">
        <v>0</v>
      </c>
      <c r="P854">
        <v>0.48890226650963281</v>
      </c>
      <c r="Q854">
        <v>0.89373843452411472</v>
      </c>
      <c r="R854">
        <v>2.7865635449496629</v>
      </c>
      <c r="S854">
        <v>0.21756545626519899</v>
      </c>
      <c r="T854">
        <v>0.1703256265716428</v>
      </c>
      <c r="U854">
        <v>4.2436951445081901</v>
      </c>
      <c r="V854">
        <v>0.2380984732054881</v>
      </c>
      <c r="W854">
        <v>6.5793169999999996</v>
      </c>
      <c r="X854">
        <v>0.30433788632250358</v>
      </c>
      <c r="Z854" t="s">
        <v>392</v>
      </c>
      <c r="AA854">
        <v>114</v>
      </c>
      <c r="AB854" t="s">
        <v>4287</v>
      </c>
      <c r="AC854" t="str">
        <f>HYPERLINK("plots/3FT6Y578R04_015_S21P_20251218081014_M5358ACSC201811_RBGEUFRF04/dpll_52094/txpa_54210.png","plot")</f>
        <v>plot</v>
      </c>
    </row>
    <row r="855" spans="1:29" x14ac:dyDescent="0.35">
      <c r="A855" t="s">
        <v>49</v>
      </c>
      <c r="B855">
        <v>52094</v>
      </c>
      <c r="C855" t="s">
        <v>53</v>
      </c>
      <c r="D855">
        <v>54211</v>
      </c>
      <c r="E855" t="s">
        <v>231</v>
      </c>
      <c r="F855">
        <v>12028</v>
      </c>
      <c r="G855">
        <v>0.69182706189260756</v>
      </c>
      <c r="H855">
        <v>0</v>
      </c>
      <c r="I855">
        <v>0</v>
      </c>
      <c r="J855">
        <v>0.62958954912194609</v>
      </c>
      <c r="K855">
        <v>0</v>
      </c>
      <c r="L855">
        <v>0</v>
      </c>
      <c r="M855">
        <v>0.44948435529540182</v>
      </c>
      <c r="N855">
        <v>0</v>
      </c>
      <c r="O855">
        <v>0</v>
      </c>
      <c r="P855">
        <v>0.47862468356695792</v>
      </c>
      <c r="Q855">
        <v>0.91318167751914547</v>
      </c>
      <c r="R855">
        <v>3.7634861514613172</v>
      </c>
      <c r="S855">
        <v>0.22692463740356791</v>
      </c>
      <c r="T855">
        <v>0.17495918066681329</v>
      </c>
      <c r="U855">
        <v>4.2436712643831056</v>
      </c>
      <c r="V855">
        <v>0.23810297856178911</v>
      </c>
      <c r="W855">
        <v>7.6387289955104754</v>
      </c>
      <c r="X855">
        <v>0.31428559153286162</v>
      </c>
      <c r="Z855" t="s">
        <v>392</v>
      </c>
      <c r="AA855">
        <v>114</v>
      </c>
      <c r="AB855" t="s">
        <v>4288</v>
      </c>
      <c r="AC855" t="str">
        <f>HYPERLINK("plots/3FT6Y578R04_015_S21P_20251218081014_M5358ACSC201811_RBGEUFRF04/dpll_52094/txpa_54211.png","plot")</f>
        <v>plot</v>
      </c>
    </row>
    <row r="856" spans="1:29" x14ac:dyDescent="0.35">
      <c r="A856" t="s">
        <v>49</v>
      </c>
      <c r="B856">
        <v>52094</v>
      </c>
      <c r="C856" t="s">
        <v>53</v>
      </c>
      <c r="D856">
        <v>54212</v>
      </c>
      <c r="E856" t="s">
        <v>232</v>
      </c>
      <c r="F856">
        <v>12028</v>
      </c>
      <c r="G856">
        <v>0.7118246571696073</v>
      </c>
      <c r="H856">
        <v>0</v>
      </c>
      <c r="I856">
        <v>0</v>
      </c>
      <c r="J856">
        <v>0.64286310725261242</v>
      </c>
      <c r="K856">
        <v>0</v>
      </c>
      <c r="L856">
        <v>0</v>
      </c>
      <c r="M856">
        <v>0.46263876078358801</v>
      </c>
      <c r="N856">
        <v>0</v>
      </c>
      <c r="O856">
        <v>0</v>
      </c>
      <c r="P856">
        <v>0.50669434255462897</v>
      </c>
      <c r="Q856">
        <v>0.94111299110030977</v>
      </c>
      <c r="R856">
        <v>3.67364763237175</v>
      </c>
      <c r="S856">
        <v>0.2210922721626403</v>
      </c>
      <c r="T856">
        <v>0.17296891122624039</v>
      </c>
      <c r="U856">
        <v>4.2436712643831056</v>
      </c>
      <c r="V856">
        <v>0.23810297856178911</v>
      </c>
      <c r="W856">
        <v>7.6674217892417689</v>
      </c>
      <c r="X856">
        <v>0.31479916309050521</v>
      </c>
      <c r="Z856" t="s">
        <v>392</v>
      </c>
      <c r="AA856">
        <v>114</v>
      </c>
      <c r="AB856" t="s">
        <v>4289</v>
      </c>
      <c r="AC856" t="str">
        <f>HYPERLINK("plots/3FT6Y578R04_015_S21P_20251218081014_M5358ACSC201811_RBGEUFRF04/dpll_52094/txpa_54212.png","plot")</f>
        <v>plot</v>
      </c>
    </row>
    <row r="857" spans="1:29" x14ac:dyDescent="0.35">
      <c r="A857" t="s">
        <v>49</v>
      </c>
      <c r="B857">
        <v>52094</v>
      </c>
      <c r="C857" t="s">
        <v>53</v>
      </c>
      <c r="D857">
        <v>54213</v>
      </c>
      <c r="E857" t="s">
        <v>233</v>
      </c>
      <c r="F857">
        <v>12028</v>
      </c>
      <c r="G857">
        <v>0.70111931671299987</v>
      </c>
      <c r="H857">
        <v>0</v>
      </c>
      <c r="I857">
        <v>0</v>
      </c>
      <c r="J857">
        <v>0.63173556901287986</v>
      </c>
      <c r="K857">
        <v>0</v>
      </c>
      <c r="L857">
        <v>0</v>
      </c>
      <c r="M857">
        <v>0.45255054942166167</v>
      </c>
      <c r="N857">
        <v>0</v>
      </c>
      <c r="O857">
        <v>0</v>
      </c>
      <c r="P857">
        <v>0.49156829626810378</v>
      </c>
      <c r="Q857">
        <v>0.91236601657520888</v>
      </c>
      <c r="R857">
        <v>3.8093321675923968</v>
      </c>
      <c r="S857">
        <v>0.2209226549175575</v>
      </c>
      <c r="T857">
        <v>0.17183700186707929</v>
      </c>
      <c r="U857">
        <v>4.2436712643831056</v>
      </c>
      <c r="V857">
        <v>0.23810297856178911</v>
      </c>
      <c r="W857">
        <v>7.6811136147322916</v>
      </c>
      <c r="X857">
        <v>0.30984321913075591</v>
      </c>
      <c r="Z857" t="s">
        <v>392</v>
      </c>
      <c r="AA857">
        <v>114</v>
      </c>
      <c r="AB857" t="s">
        <v>4290</v>
      </c>
      <c r="AC857" t="str">
        <f>HYPERLINK("plots/3FT6Y578R04_015_S21P_20251218081014_M5358ACSC201811_RBGEUFRF04/dpll_52094/txpa_54213.png","plot")</f>
        <v>plot</v>
      </c>
    </row>
    <row r="858" spans="1:29" x14ac:dyDescent="0.35">
      <c r="A858" t="s">
        <v>49</v>
      </c>
      <c r="B858">
        <v>52094</v>
      </c>
      <c r="C858" t="s">
        <v>53</v>
      </c>
      <c r="D858">
        <v>54214</v>
      </c>
      <c r="E858" t="s">
        <v>234</v>
      </c>
      <c r="F858">
        <v>12027</v>
      </c>
      <c r="G858">
        <v>0.71838514962374289</v>
      </c>
      <c r="H858">
        <v>0</v>
      </c>
      <c r="I858">
        <v>0</v>
      </c>
      <c r="J858">
        <v>0.64477273064089546</v>
      </c>
      <c r="K858">
        <v>0</v>
      </c>
      <c r="L858">
        <v>0</v>
      </c>
      <c r="M858">
        <v>0.46438626492762008</v>
      </c>
      <c r="N858">
        <v>0</v>
      </c>
      <c r="O858">
        <v>0</v>
      </c>
      <c r="P858">
        <v>0.51607722319992744</v>
      </c>
      <c r="Q858">
        <v>0.94366852544092006</v>
      </c>
      <c r="R858">
        <v>3.6777328406568541</v>
      </c>
      <c r="S858">
        <v>0.21757673458613949</v>
      </c>
      <c r="T858">
        <v>0.17045631566749669</v>
      </c>
      <c r="U858">
        <v>4.2436786742329762</v>
      </c>
      <c r="V858">
        <v>0.2381114909913796</v>
      </c>
      <c r="W858">
        <v>7.6823588376153653</v>
      </c>
      <c r="X858">
        <v>0.31278252301298343</v>
      </c>
      <c r="Z858" t="s">
        <v>392</v>
      </c>
      <c r="AA858">
        <v>114</v>
      </c>
      <c r="AB858" t="s">
        <v>4291</v>
      </c>
      <c r="AC858" t="str">
        <f>HYPERLINK("plots/3FT6Y578R04_015_S21P_20251218081014_M5358ACSC201811_RBGEUFRF04/dpll_52094/txpa_54214.png","plot")</f>
        <v>plot</v>
      </c>
    </row>
    <row r="859" spans="1:29" x14ac:dyDescent="0.35">
      <c r="A859" t="s">
        <v>49</v>
      </c>
      <c r="B859">
        <v>52094</v>
      </c>
      <c r="C859" t="s">
        <v>53</v>
      </c>
      <c r="D859">
        <v>54215</v>
      </c>
      <c r="E859" t="s">
        <v>235</v>
      </c>
      <c r="F859">
        <v>12027</v>
      </c>
      <c r="G859">
        <v>0.71761612718984324</v>
      </c>
      <c r="H859">
        <v>0</v>
      </c>
      <c r="I859">
        <v>0</v>
      </c>
      <c r="J859">
        <v>0.6384292167560619</v>
      </c>
      <c r="K859">
        <v>0</v>
      </c>
      <c r="L859">
        <v>0</v>
      </c>
      <c r="M859">
        <v>0.45726071178065009</v>
      </c>
      <c r="N859">
        <v>0</v>
      </c>
      <c r="O859">
        <v>0</v>
      </c>
      <c r="P859">
        <v>0.51497290600294932</v>
      </c>
      <c r="Q859">
        <v>0.93627820518171989</v>
      </c>
      <c r="R859">
        <v>3.6916439014730291</v>
      </c>
      <c r="S859">
        <v>0.21633196887674649</v>
      </c>
      <c r="T859">
        <v>0.17030887793834101</v>
      </c>
      <c r="U859">
        <v>4.2436418554918101</v>
      </c>
      <c r="V859">
        <v>0.23809103076034549</v>
      </c>
      <c r="W859">
        <v>7.6648732813669236</v>
      </c>
      <c r="X859">
        <v>0.31063884227784272</v>
      </c>
      <c r="Z859" t="s">
        <v>392</v>
      </c>
      <c r="AA859">
        <v>114</v>
      </c>
      <c r="AB859" t="s">
        <v>4292</v>
      </c>
      <c r="AC859" t="str">
        <f>HYPERLINK("plots/3FT6Y578R04_015_S21P_20251218081014_M5358ACSC201811_RBGEUFRF04/dpll_52094/txpa_54215.png","plot")</f>
        <v>plot</v>
      </c>
    </row>
    <row r="860" spans="1:29" x14ac:dyDescent="0.35">
      <c r="A860" t="s">
        <v>49</v>
      </c>
      <c r="B860">
        <v>52094</v>
      </c>
      <c r="C860" t="s">
        <v>53</v>
      </c>
      <c r="D860">
        <v>54216</v>
      </c>
      <c r="E860" t="s">
        <v>236</v>
      </c>
      <c r="F860">
        <v>12028</v>
      </c>
      <c r="G860">
        <v>0.7219639859756104</v>
      </c>
      <c r="H860">
        <v>0</v>
      </c>
      <c r="I860">
        <v>0</v>
      </c>
      <c r="J860">
        <v>0.65256724614211181</v>
      </c>
      <c r="K860">
        <v>0</v>
      </c>
      <c r="L860">
        <v>0</v>
      </c>
      <c r="M860">
        <v>0.47059046121240411</v>
      </c>
      <c r="N860">
        <v>0</v>
      </c>
      <c r="O860">
        <v>0</v>
      </c>
      <c r="P860">
        <v>0.52123199704579137</v>
      </c>
      <c r="Q860">
        <v>0.95273994944695994</v>
      </c>
      <c r="R860">
        <v>3.637086936742628</v>
      </c>
      <c r="S860">
        <v>0.21740432270685889</v>
      </c>
      <c r="T860">
        <v>0.17036775230619719</v>
      </c>
      <c r="U860">
        <v>4.2436712643831056</v>
      </c>
      <c r="V860">
        <v>0.23810297856178911</v>
      </c>
      <c r="W860">
        <v>7.6802020826405064</v>
      </c>
      <c r="X860">
        <v>0.31421265349071431</v>
      </c>
      <c r="Z860" t="s">
        <v>392</v>
      </c>
      <c r="AA860">
        <v>114</v>
      </c>
      <c r="AB860" t="s">
        <v>4293</v>
      </c>
      <c r="AC860" t="str">
        <f>HYPERLINK("plots/3FT6Y578R04_015_S21P_20251218081014_M5358ACSC201811_RBGEUFRF04/dpll_52094/txpa_54216.png","plot")</f>
        <v>plot</v>
      </c>
    </row>
    <row r="861" spans="1:29" x14ac:dyDescent="0.35">
      <c r="A861" t="s">
        <v>49</v>
      </c>
      <c r="B861">
        <v>52094</v>
      </c>
      <c r="C861" t="s">
        <v>53</v>
      </c>
      <c r="D861">
        <v>54217</v>
      </c>
      <c r="E861" t="s">
        <v>237</v>
      </c>
      <c r="F861">
        <v>12028</v>
      </c>
      <c r="G861">
        <v>0.71985248456020245</v>
      </c>
      <c r="H861">
        <v>0</v>
      </c>
      <c r="I861">
        <v>0</v>
      </c>
      <c r="J861">
        <v>0.64377158267056567</v>
      </c>
      <c r="K861">
        <v>0</v>
      </c>
      <c r="L861">
        <v>0</v>
      </c>
      <c r="M861">
        <v>0.46241004979578743</v>
      </c>
      <c r="N861">
        <v>0</v>
      </c>
      <c r="O861">
        <v>0</v>
      </c>
      <c r="P861">
        <v>0.51818759952749649</v>
      </c>
      <c r="Q861">
        <v>0.93563330794523325</v>
      </c>
      <c r="R861">
        <v>3.7153326887891001</v>
      </c>
      <c r="S861">
        <v>0.21480675119766221</v>
      </c>
      <c r="T861">
        <v>0.1692773446063546</v>
      </c>
      <c r="U861">
        <v>4.2436712643831056</v>
      </c>
      <c r="V861">
        <v>0.23810297856178911</v>
      </c>
      <c r="W861">
        <v>7.685852871715996</v>
      </c>
      <c r="X861">
        <v>0.30947601382453582</v>
      </c>
      <c r="Z861" t="s">
        <v>392</v>
      </c>
      <c r="AA861">
        <v>114</v>
      </c>
      <c r="AB861" t="s">
        <v>4294</v>
      </c>
      <c r="AC861" t="str">
        <f>HYPERLINK("plots/3FT6Y578R04_015_S21P_20251218081014_M5358ACSC201811_RBGEUFRF04/dpll_52094/txpa_54217.png","plot")</f>
        <v>plot</v>
      </c>
    </row>
    <row r="862" spans="1:29" x14ac:dyDescent="0.35">
      <c r="A862" t="s">
        <v>49</v>
      </c>
      <c r="B862">
        <v>52094</v>
      </c>
      <c r="C862" t="s">
        <v>53</v>
      </c>
      <c r="D862">
        <v>54218</v>
      </c>
      <c r="E862" t="s">
        <v>238</v>
      </c>
      <c r="F862">
        <v>12027</v>
      </c>
      <c r="G862">
        <v>0.71371481255886449</v>
      </c>
      <c r="H862">
        <v>0</v>
      </c>
      <c r="I862">
        <v>0</v>
      </c>
      <c r="J862">
        <v>0.63857348946175152</v>
      </c>
      <c r="K862">
        <v>0</v>
      </c>
      <c r="L862">
        <v>0</v>
      </c>
      <c r="M862">
        <v>0.45936474334343258</v>
      </c>
      <c r="N862">
        <v>0</v>
      </c>
      <c r="O862">
        <v>0</v>
      </c>
      <c r="P862">
        <v>0.50938883366593501</v>
      </c>
      <c r="Q862">
        <v>0.93535099992252313</v>
      </c>
      <c r="R862">
        <v>3.680269376752455</v>
      </c>
      <c r="S862">
        <v>0.21855320198658579</v>
      </c>
      <c r="T862">
        <v>0.1707986087700395</v>
      </c>
      <c r="U862">
        <v>4.2436951445081901</v>
      </c>
      <c r="V862">
        <v>0.2380984732054881</v>
      </c>
      <c r="W862">
        <v>7.6496138735345474</v>
      </c>
      <c r="X862">
        <v>0.31203730267880858</v>
      </c>
      <c r="Z862" t="s">
        <v>392</v>
      </c>
      <c r="AA862">
        <v>114</v>
      </c>
      <c r="AB862" t="s">
        <v>4295</v>
      </c>
      <c r="AC862" t="str">
        <f>HYPERLINK("plots/3FT6Y578R04_015_S21P_20251218081014_M5358ACSC201811_RBGEUFRF04/dpll_52094/txpa_54218.png","plot")</f>
        <v>plot</v>
      </c>
    </row>
    <row r="863" spans="1:29" x14ac:dyDescent="0.35">
      <c r="A863" t="s">
        <v>49</v>
      </c>
      <c r="B863">
        <v>52094</v>
      </c>
      <c r="C863" t="s">
        <v>53</v>
      </c>
      <c r="D863">
        <v>54219</v>
      </c>
      <c r="E863" t="s">
        <v>239</v>
      </c>
      <c r="F863">
        <v>12028</v>
      </c>
      <c r="G863">
        <v>0.70896455216941434</v>
      </c>
      <c r="H863">
        <v>0</v>
      </c>
      <c r="I863">
        <v>0</v>
      </c>
      <c r="J863">
        <v>0.6426267233576749</v>
      </c>
      <c r="K863">
        <v>0</v>
      </c>
      <c r="L863">
        <v>0</v>
      </c>
      <c r="M863">
        <v>0.46048193688738459</v>
      </c>
      <c r="N863">
        <v>0</v>
      </c>
      <c r="O863">
        <v>0</v>
      </c>
      <c r="P863">
        <v>0.50263073623277821</v>
      </c>
      <c r="Q863">
        <v>0.9644532052626783</v>
      </c>
      <c r="R863">
        <v>4.6155121615339754</v>
      </c>
      <c r="S863">
        <v>0.2284246064046834</v>
      </c>
      <c r="T863">
        <v>0.17552297955073939</v>
      </c>
      <c r="U863">
        <v>4.2436712643831056</v>
      </c>
      <c r="V863">
        <v>0.23810297856178911</v>
      </c>
      <c r="W863">
        <v>8.7083345145493851</v>
      </c>
      <c r="X863">
        <v>0.32390784582080678</v>
      </c>
      <c r="Z863" t="s">
        <v>392</v>
      </c>
      <c r="AA863">
        <v>114</v>
      </c>
      <c r="AB863" t="s">
        <v>4296</v>
      </c>
      <c r="AC863" t="str">
        <f>HYPERLINK("plots/3FT6Y578R04_015_S21P_20251218081014_M5358ACSC201811_RBGEUFRF04/dpll_52094/txpa_54219.png","plot")</f>
        <v>plot</v>
      </c>
    </row>
    <row r="864" spans="1:29" x14ac:dyDescent="0.35">
      <c r="A864" t="s">
        <v>49</v>
      </c>
      <c r="B864">
        <v>52094</v>
      </c>
      <c r="C864" t="s">
        <v>53</v>
      </c>
      <c r="D864">
        <v>54220</v>
      </c>
      <c r="E864" t="s">
        <v>240</v>
      </c>
      <c r="F864">
        <v>12028</v>
      </c>
      <c r="G864">
        <v>0.72834604810048975</v>
      </c>
      <c r="H864">
        <v>0</v>
      </c>
      <c r="I864">
        <v>0</v>
      </c>
      <c r="J864">
        <v>0.65558902924869733</v>
      </c>
      <c r="K864">
        <v>0</v>
      </c>
      <c r="L864">
        <v>0</v>
      </c>
      <c r="M864">
        <v>0.47361454565205791</v>
      </c>
      <c r="N864">
        <v>0</v>
      </c>
      <c r="O864">
        <v>0</v>
      </c>
      <c r="P864">
        <v>0.53048796578360091</v>
      </c>
      <c r="Q864">
        <v>0.99275612911522704</v>
      </c>
      <c r="R864">
        <v>4.5224505328057383</v>
      </c>
      <c r="S864">
        <v>0.22236936046638139</v>
      </c>
      <c r="T864">
        <v>0.17352538344919269</v>
      </c>
      <c r="U864">
        <v>4.2436712643831056</v>
      </c>
      <c r="V864">
        <v>0.23810297856178911</v>
      </c>
      <c r="W864">
        <v>8.735381190472232</v>
      </c>
      <c r="X864">
        <v>0.32454105015641471</v>
      </c>
      <c r="Z864" t="s">
        <v>392</v>
      </c>
      <c r="AA864">
        <v>114</v>
      </c>
      <c r="AB864" t="s">
        <v>4297</v>
      </c>
      <c r="AC864" t="str">
        <f>HYPERLINK("plots/3FT6Y578R04_015_S21P_20251218081014_M5358ACSC201811_RBGEUFRF04/dpll_52094/txpa_54220.png","plot")</f>
        <v>plot</v>
      </c>
    </row>
    <row r="865" spans="1:29" x14ac:dyDescent="0.35">
      <c r="A865" t="s">
        <v>49</v>
      </c>
      <c r="B865">
        <v>52094</v>
      </c>
      <c r="C865" t="s">
        <v>53</v>
      </c>
      <c r="D865">
        <v>54221</v>
      </c>
      <c r="E865" t="s">
        <v>241</v>
      </c>
      <c r="F865">
        <v>12028</v>
      </c>
      <c r="G865">
        <v>0.71837431116879213</v>
      </c>
      <c r="H865">
        <v>0</v>
      </c>
      <c r="I865">
        <v>0</v>
      </c>
      <c r="J865">
        <v>0.64492584733783498</v>
      </c>
      <c r="K865">
        <v>0</v>
      </c>
      <c r="L865">
        <v>0</v>
      </c>
      <c r="M865">
        <v>0.46375764657804658</v>
      </c>
      <c r="N865">
        <v>0</v>
      </c>
      <c r="O865">
        <v>0</v>
      </c>
      <c r="P865">
        <v>0.51606165094723655</v>
      </c>
      <c r="Q865">
        <v>0.9637954170568015</v>
      </c>
      <c r="R865">
        <v>4.6591300710053218</v>
      </c>
      <c r="S865">
        <v>0.22221627152396339</v>
      </c>
      <c r="T865">
        <v>0.17221390216219129</v>
      </c>
      <c r="U865">
        <v>4.2436712643831056</v>
      </c>
      <c r="V865">
        <v>0.23810297856178911</v>
      </c>
      <c r="W865">
        <v>8.7491609871134024</v>
      </c>
      <c r="X865">
        <v>0.31944705699742931</v>
      </c>
      <c r="Z865" t="s">
        <v>392</v>
      </c>
      <c r="AA865">
        <v>114</v>
      </c>
      <c r="AB865" t="s">
        <v>4298</v>
      </c>
      <c r="AC865" t="str">
        <f>HYPERLINK("plots/3FT6Y578R04_015_S21P_20251218081014_M5358ACSC201811_RBGEUFRF04/dpll_52094/txpa_54221.png","plot")</f>
        <v>plot</v>
      </c>
    </row>
    <row r="866" spans="1:29" x14ac:dyDescent="0.35">
      <c r="A866" t="s">
        <v>49</v>
      </c>
      <c r="B866">
        <v>52094</v>
      </c>
      <c r="C866" t="s">
        <v>53</v>
      </c>
      <c r="D866">
        <v>54222</v>
      </c>
      <c r="E866" t="s">
        <v>242</v>
      </c>
      <c r="F866">
        <v>12027</v>
      </c>
      <c r="G866">
        <v>0.73456076196787956</v>
      </c>
      <c r="H866">
        <v>0</v>
      </c>
      <c r="I866">
        <v>0</v>
      </c>
      <c r="J866">
        <v>0.65727568588336294</v>
      </c>
      <c r="K866">
        <v>0</v>
      </c>
      <c r="L866">
        <v>0</v>
      </c>
      <c r="M866">
        <v>0.47511670615467411</v>
      </c>
      <c r="N866">
        <v>0</v>
      </c>
      <c r="O866">
        <v>0</v>
      </c>
      <c r="P866">
        <v>0.5395795130228318</v>
      </c>
      <c r="Q866">
        <v>0.99446961327095162</v>
      </c>
      <c r="R866">
        <v>4.5295320760490494</v>
      </c>
      <c r="S866">
        <v>0.2187275106400679</v>
      </c>
      <c r="T866">
        <v>0.170995684066861</v>
      </c>
      <c r="U866">
        <v>4.2436786742329762</v>
      </c>
      <c r="V866">
        <v>0.2381114909913796</v>
      </c>
      <c r="W866">
        <v>8.7497415660597007</v>
      </c>
      <c r="X866">
        <v>0.32236222600183118</v>
      </c>
      <c r="Z866" t="s">
        <v>392</v>
      </c>
      <c r="AA866">
        <v>114</v>
      </c>
      <c r="AB866" t="s">
        <v>4299</v>
      </c>
      <c r="AC866" t="str">
        <f>HYPERLINK("plots/3FT6Y578R04_015_S21P_20251218081014_M5358ACSC201811_RBGEUFRF04/dpll_52094/txpa_54222.png","plot")</f>
        <v>plot</v>
      </c>
    </row>
    <row r="867" spans="1:29" x14ac:dyDescent="0.35">
      <c r="A867" t="s">
        <v>49</v>
      </c>
      <c r="B867">
        <v>52094</v>
      </c>
      <c r="C867" t="s">
        <v>53</v>
      </c>
      <c r="D867">
        <v>54223</v>
      </c>
      <c r="E867" t="s">
        <v>243</v>
      </c>
      <c r="F867">
        <v>12027</v>
      </c>
      <c r="G867">
        <v>0.73410190451287449</v>
      </c>
      <c r="H867">
        <v>0</v>
      </c>
      <c r="I867">
        <v>0</v>
      </c>
      <c r="J867">
        <v>0.65092842165348919</v>
      </c>
      <c r="K867">
        <v>0</v>
      </c>
      <c r="L867">
        <v>0</v>
      </c>
      <c r="M867">
        <v>0.46785733163230381</v>
      </c>
      <c r="N867">
        <v>0</v>
      </c>
      <c r="O867">
        <v>0</v>
      </c>
      <c r="P867">
        <v>0.53890560620942951</v>
      </c>
      <c r="Q867">
        <v>0.98752454483175811</v>
      </c>
      <c r="R867">
        <v>4.5410556652065823</v>
      </c>
      <c r="S867">
        <v>0.2174760560434692</v>
      </c>
      <c r="T867">
        <v>0.17075091661321759</v>
      </c>
      <c r="U867">
        <v>4.2436418554918101</v>
      </c>
      <c r="V867">
        <v>0.23809103076034549</v>
      </c>
      <c r="W867">
        <v>8.7317561569801292</v>
      </c>
      <c r="X867">
        <v>0.32028351286753942</v>
      </c>
      <c r="Z867" t="s">
        <v>392</v>
      </c>
      <c r="AA867">
        <v>114</v>
      </c>
      <c r="AB867" t="s">
        <v>4300</v>
      </c>
      <c r="AC867" t="str">
        <f>HYPERLINK("plots/3FT6Y578R04_015_S21P_20251218081014_M5358ACSC201811_RBGEUFRF04/dpll_52094/txpa_54223.png","plot")</f>
        <v>plot</v>
      </c>
    </row>
    <row r="868" spans="1:29" x14ac:dyDescent="0.35">
      <c r="A868" t="s">
        <v>49</v>
      </c>
      <c r="B868">
        <v>52094</v>
      </c>
      <c r="C868" t="s">
        <v>53</v>
      </c>
      <c r="D868">
        <v>54224</v>
      </c>
      <c r="E868" t="s">
        <v>244</v>
      </c>
      <c r="F868">
        <v>12028</v>
      </c>
      <c r="G868">
        <v>0.73786931578471648</v>
      </c>
      <c r="H868">
        <v>0</v>
      </c>
      <c r="I868">
        <v>0</v>
      </c>
      <c r="J868">
        <v>0.66487287522113558</v>
      </c>
      <c r="K868">
        <v>0</v>
      </c>
      <c r="L868">
        <v>0</v>
      </c>
      <c r="M868">
        <v>0.48123306929493032</v>
      </c>
      <c r="N868">
        <v>0</v>
      </c>
      <c r="O868">
        <v>0</v>
      </c>
      <c r="P868">
        <v>0.54445112717660571</v>
      </c>
      <c r="Q868">
        <v>1.003958280555322</v>
      </c>
      <c r="R868">
        <v>4.4873681471276674</v>
      </c>
      <c r="S868">
        <v>0.21865050145514339</v>
      </c>
      <c r="T868">
        <v>0.17088779237432761</v>
      </c>
      <c r="U868">
        <v>4.2436712643831056</v>
      </c>
      <c r="V868">
        <v>0.23810297856178911</v>
      </c>
      <c r="W868">
        <v>8.7478370529597598</v>
      </c>
      <c r="X868">
        <v>0.32396720101820742</v>
      </c>
      <c r="Z868" t="s">
        <v>392</v>
      </c>
      <c r="AA868">
        <v>114</v>
      </c>
      <c r="AB868" t="s">
        <v>4301</v>
      </c>
      <c r="AC868" t="str">
        <f>HYPERLINK("plots/3FT6Y578R04_015_S21P_20251218081014_M5358ACSC201811_RBGEUFRF04/dpll_52094/txpa_54224.png","plot")</f>
        <v>plot</v>
      </c>
    </row>
    <row r="869" spans="1:29" x14ac:dyDescent="0.35">
      <c r="A869" t="s">
        <v>49</v>
      </c>
      <c r="B869">
        <v>52094</v>
      </c>
      <c r="C869" t="s">
        <v>53</v>
      </c>
      <c r="D869">
        <v>54225</v>
      </c>
      <c r="E869" t="s">
        <v>245</v>
      </c>
      <c r="F869">
        <v>12028</v>
      </c>
      <c r="G869">
        <v>0.73649568311806934</v>
      </c>
      <c r="H869">
        <v>0</v>
      </c>
      <c r="I869">
        <v>0</v>
      </c>
      <c r="J869">
        <v>0.65636223517020342</v>
      </c>
      <c r="K869">
        <v>0</v>
      </c>
      <c r="L869">
        <v>0</v>
      </c>
      <c r="M869">
        <v>0.47327659126049859</v>
      </c>
      <c r="N869">
        <v>0</v>
      </c>
      <c r="O869">
        <v>0</v>
      </c>
      <c r="P869">
        <v>0.54242589125155161</v>
      </c>
      <c r="Q869">
        <v>0.98727643933713827</v>
      </c>
      <c r="R869">
        <v>4.5642645319448709</v>
      </c>
      <c r="S869">
        <v>0.21589672908389709</v>
      </c>
      <c r="T869">
        <v>0.1697178241087467</v>
      </c>
      <c r="U869">
        <v>4.2436712643831056</v>
      </c>
      <c r="V869">
        <v>0.23810297856178911</v>
      </c>
      <c r="W869">
        <v>8.7539411875623561</v>
      </c>
      <c r="X869">
        <v>0.31917832820802122</v>
      </c>
      <c r="Z869" t="s">
        <v>392</v>
      </c>
      <c r="AA869">
        <v>114</v>
      </c>
      <c r="AB869" t="s">
        <v>4302</v>
      </c>
      <c r="AC869" t="str">
        <f>HYPERLINK("plots/3FT6Y578R04_015_S21P_20251218081014_M5358ACSC201811_RBGEUFRF04/dpll_52094/txpa_54225.png","plot")</f>
        <v>plot</v>
      </c>
    </row>
    <row r="870" spans="1:29" x14ac:dyDescent="0.35">
      <c r="A870" t="s">
        <v>49</v>
      </c>
      <c r="B870">
        <v>52094</v>
      </c>
      <c r="C870" t="s">
        <v>53</v>
      </c>
      <c r="D870">
        <v>54226</v>
      </c>
      <c r="E870" t="s">
        <v>246</v>
      </c>
      <c r="F870">
        <v>12027</v>
      </c>
      <c r="G870">
        <v>0.73007561371894814</v>
      </c>
      <c r="H870">
        <v>0</v>
      </c>
      <c r="I870">
        <v>0</v>
      </c>
      <c r="J870">
        <v>0.65069693812178986</v>
      </c>
      <c r="K870">
        <v>0</v>
      </c>
      <c r="L870">
        <v>0</v>
      </c>
      <c r="M870">
        <v>0.46961471312326891</v>
      </c>
      <c r="N870">
        <v>0</v>
      </c>
      <c r="O870">
        <v>0</v>
      </c>
      <c r="P870">
        <v>0.53301040174709879</v>
      </c>
      <c r="Q870">
        <v>0.98564388903533173</v>
      </c>
      <c r="R870">
        <v>4.5366531029861186</v>
      </c>
      <c r="S870">
        <v>0.2196566469457282</v>
      </c>
      <c r="T870">
        <v>0.17122894752603249</v>
      </c>
      <c r="U870">
        <v>4.2436951445081901</v>
      </c>
      <c r="V870">
        <v>0.2380984732054881</v>
      </c>
      <c r="W870">
        <v>8.7194252890995259</v>
      </c>
      <c r="X870">
        <v>0.32144657442835101</v>
      </c>
      <c r="Z870" t="s">
        <v>392</v>
      </c>
      <c r="AA870">
        <v>114</v>
      </c>
      <c r="AB870" t="s">
        <v>4303</v>
      </c>
      <c r="AC870" t="str">
        <f>HYPERLINK("plots/3FT6Y578R04_015_S21P_20251218081014_M5358ACSC201811_RBGEUFRF04/dpll_52094/txpa_54226.png","plot")</f>
        <v>plot</v>
      </c>
    </row>
    <row r="871" spans="1:29" x14ac:dyDescent="0.35">
      <c r="A871" t="s">
        <v>49</v>
      </c>
      <c r="B871">
        <v>52094</v>
      </c>
      <c r="C871" t="s">
        <v>53</v>
      </c>
      <c r="D871">
        <v>54227</v>
      </c>
      <c r="E871" t="s">
        <v>247</v>
      </c>
      <c r="F871">
        <v>12028</v>
      </c>
      <c r="G871">
        <v>0.7147943002929078</v>
      </c>
      <c r="H871">
        <v>0</v>
      </c>
      <c r="I871">
        <v>0</v>
      </c>
      <c r="J871">
        <v>0.64672858420554136</v>
      </c>
      <c r="K871">
        <v>0</v>
      </c>
      <c r="L871">
        <v>0</v>
      </c>
      <c r="M871">
        <v>0.46397895284087221</v>
      </c>
      <c r="N871">
        <v>0</v>
      </c>
      <c r="O871">
        <v>0</v>
      </c>
      <c r="P871">
        <v>0.51093089173122763</v>
      </c>
      <c r="Q871">
        <v>0.98672147151070344</v>
      </c>
      <c r="R871">
        <v>5.0506105319482684</v>
      </c>
      <c r="S871">
        <v>0.22985046561464451</v>
      </c>
      <c r="T871">
        <v>0.17630919045191401</v>
      </c>
      <c r="U871">
        <v>4.2436712643831056</v>
      </c>
      <c r="V871">
        <v>0.23810297856178911</v>
      </c>
      <c r="W871">
        <v>9.2379320865480548</v>
      </c>
      <c r="X871">
        <v>0.32868382034005578</v>
      </c>
      <c r="Z871" t="s">
        <v>392</v>
      </c>
      <c r="AA871">
        <v>114</v>
      </c>
      <c r="AB871" t="s">
        <v>4304</v>
      </c>
      <c r="AC871" t="str">
        <f>HYPERLINK("plots/3FT6Y578R04_015_S21P_20251218081014_M5358ACSC201811_RBGEUFRF04/dpll_52094/txpa_54227.png","plot")</f>
        <v>plot</v>
      </c>
    </row>
    <row r="872" spans="1:29" x14ac:dyDescent="0.35">
      <c r="A872" t="s">
        <v>49</v>
      </c>
      <c r="B872">
        <v>52094</v>
      </c>
      <c r="C872" t="s">
        <v>53</v>
      </c>
      <c r="D872">
        <v>54228</v>
      </c>
      <c r="E872" t="s">
        <v>248</v>
      </c>
      <c r="F872">
        <v>12028</v>
      </c>
      <c r="G872">
        <v>0.73360991858839453</v>
      </c>
      <c r="H872">
        <v>0</v>
      </c>
      <c r="I872">
        <v>0</v>
      </c>
      <c r="J872">
        <v>0.65939576547420919</v>
      </c>
      <c r="K872">
        <v>0</v>
      </c>
      <c r="L872">
        <v>0</v>
      </c>
      <c r="M872">
        <v>0.47692306128955653</v>
      </c>
      <c r="N872">
        <v>0</v>
      </c>
      <c r="O872">
        <v>0</v>
      </c>
      <c r="P872">
        <v>0.53818351265127085</v>
      </c>
      <c r="Q872">
        <v>1.014821520609001</v>
      </c>
      <c r="R872">
        <v>4.9578670357710797</v>
      </c>
      <c r="S872">
        <v>0.22382364541548239</v>
      </c>
      <c r="T872">
        <v>0.17435225290424891</v>
      </c>
      <c r="U872">
        <v>4.2436712643831056</v>
      </c>
      <c r="V872">
        <v>0.23810297856178911</v>
      </c>
      <c r="W872">
        <v>9.2644359612570675</v>
      </c>
      <c r="X872">
        <v>0.32937399105856319</v>
      </c>
      <c r="Z872" t="s">
        <v>392</v>
      </c>
      <c r="AA872">
        <v>114</v>
      </c>
      <c r="AB872" t="s">
        <v>4305</v>
      </c>
      <c r="AC872" t="str">
        <f>HYPERLINK("plots/3FT6Y578R04_015_S21P_20251218081014_M5358ACSC201811_RBGEUFRF04/dpll_52094/txpa_54228.png","plot")</f>
        <v>plot</v>
      </c>
    </row>
    <row r="873" spans="1:29" x14ac:dyDescent="0.35">
      <c r="A873" t="s">
        <v>49</v>
      </c>
      <c r="B873">
        <v>52094</v>
      </c>
      <c r="C873" t="s">
        <v>53</v>
      </c>
      <c r="D873">
        <v>54229</v>
      </c>
      <c r="E873" t="s">
        <v>249</v>
      </c>
      <c r="F873">
        <v>12028</v>
      </c>
      <c r="G873">
        <v>0.7240636960533956</v>
      </c>
      <c r="H873">
        <v>0</v>
      </c>
      <c r="I873">
        <v>0</v>
      </c>
      <c r="J873">
        <v>0.64884237272137768</v>
      </c>
      <c r="K873">
        <v>0</v>
      </c>
      <c r="L873">
        <v>0</v>
      </c>
      <c r="M873">
        <v>0.46711662945757149</v>
      </c>
      <c r="N873">
        <v>0</v>
      </c>
      <c r="O873">
        <v>0</v>
      </c>
      <c r="P873">
        <v>0.52426823594250405</v>
      </c>
      <c r="Q873">
        <v>0.98594675795498776</v>
      </c>
      <c r="R873">
        <v>5.0941556199499773</v>
      </c>
      <c r="S873">
        <v>0.2236168571335673</v>
      </c>
      <c r="T873">
        <v>0.172959092183846</v>
      </c>
      <c r="U873">
        <v>4.2436712643831056</v>
      </c>
      <c r="V873">
        <v>0.23810297856178911</v>
      </c>
      <c r="W873">
        <v>9.2781895448952447</v>
      </c>
      <c r="X873">
        <v>0.32422128198388472</v>
      </c>
      <c r="Z873" t="s">
        <v>392</v>
      </c>
      <c r="AA873">
        <v>114</v>
      </c>
      <c r="AB873" t="s">
        <v>4306</v>
      </c>
      <c r="AC873" t="str">
        <f>HYPERLINK("plots/3FT6Y578R04_015_S21P_20251218081014_M5358ACSC201811_RBGEUFRF04/dpll_52094/txpa_54229.png","plot")</f>
        <v>plot</v>
      </c>
    </row>
    <row r="874" spans="1:29" x14ac:dyDescent="0.35">
      <c r="A874" t="s">
        <v>49</v>
      </c>
      <c r="B874">
        <v>52094</v>
      </c>
      <c r="C874" t="s">
        <v>53</v>
      </c>
      <c r="D874">
        <v>54230</v>
      </c>
      <c r="E874" t="s">
        <v>250</v>
      </c>
      <c r="F874">
        <v>12027</v>
      </c>
      <c r="G874">
        <v>0.739873886801512</v>
      </c>
      <c r="H874">
        <v>0</v>
      </c>
      <c r="I874">
        <v>0</v>
      </c>
      <c r="J874">
        <v>0.66110371268004997</v>
      </c>
      <c r="K874">
        <v>0</v>
      </c>
      <c r="L874">
        <v>0</v>
      </c>
      <c r="M874">
        <v>0.47842505440815652</v>
      </c>
      <c r="N874">
        <v>0</v>
      </c>
      <c r="O874">
        <v>0</v>
      </c>
      <c r="P874">
        <v>0.54741336837077659</v>
      </c>
      <c r="Q874">
        <v>1.016704999605351</v>
      </c>
      <c r="R874">
        <v>4.9638782797451384</v>
      </c>
      <c r="S874">
        <v>0.22011539541790451</v>
      </c>
      <c r="T874">
        <v>0.1718415791113713</v>
      </c>
      <c r="U874">
        <v>4.2436786742329762</v>
      </c>
      <c r="V874">
        <v>0.2381114909913796</v>
      </c>
      <c r="W874">
        <v>9.2784476045564137</v>
      </c>
      <c r="X874">
        <v>0.32720325405857459</v>
      </c>
      <c r="Z874" t="s">
        <v>392</v>
      </c>
      <c r="AA874">
        <v>114</v>
      </c>
      <c r="AB874" t="s">
        <v>4307</v>
      </c>
      <c r="AC874" t="str">
        <f>HYPERLINK("plots/3FT6Y578R04_015_S21P_20251218081014_M5358ACSC201811_RBGEUFRF04/dpll_52094/txpa_54230.png","plot")</f>
        <v>plot</v>
      </c>
    </row>
    <row r="875" spans="1:29" x14ac:dyDescent="0.35">
      <c r="A875" t="s">
        <v>49</v>
      </c>
      <c r="B875">
        <v>52094</v>
      </c>
      <c r="C875" t="s">
        <v>53</v>
      </c>
      <c r="D875">
        <v>54231</v>
      </c>
      <c r="E875" t="s">
        <v>251</v>
      </c>
      <c r="F875">
        <v>12027</v>
      </c>
      <c r="G875">
        <v>0.7395327272400487</v>
      </c>
      <c r="H875">
        <v>0</v>
      </c>
      <c r="I875">
        <v>0</v>
      </c>
      <c r="J875">
        <v>0.65481566143144143</v>
      </c>
      <c r="K875">
        <v>0</v>
      </c>
      <c r="L875">
        <v>0</v>
      </c>
      <c r="M875">
        <v>0.4711580702342868</v>
      </c>
      <c r="N875">
        <v>0</v>
      </c>
      <c r="O875">
        <v>0</v>
      </c>
      <c r="P875">
        <v>0.54690865465910432</v>
      </c>
      <c r="Q875">
        <v>1.009846094396285</v>
      </c>
      <c r="R875">
        <v>4.9747760904986889</v>
      </c>
      <c r="S875">
        <v>0.21883443142477091</v>
      </c>
      <c r="T875">
        <v>0.1715563388570584</v>
      </c>
      <c r="U875">
        <v>4.2436418554918101</v>
      </c>
      <c r="V875">
        <v>0.23809103076034549</v>
      </c>
      <c r="W875">
        <v>9.2602012442836958</v>
      </c>
      <c r="X875">
        <v>0.3251178597888833</v>
      </c>
      <c r="Z875" t="s">
        <v>392</v>
      </c>
      <c r="AA875">
        <v>114</v>
      </c>
      <c r="AB875" t="s">
        <v>4308</v>
      </c>
      <c r="AC875" t="str">
        <f>HYPERLINK("plots/3FT6Y578R04_015_S21P_20251218081014_M5358ACSC201811_RBGEUFRF04/dpll_52094/txpa_54231.png","plot")</f>
        <v>plot</v>
      </c>
    </row>
    <row r="876" spans="1:29" x14ac:dyDescent="0.35">
      <c r="A876" t="s">
        <v>49</v>
      </c>
      <c r="B876">
        <v>52094</v>
      </c>
      <c r="C876" t="s">
        <v>53</v>
      </c>
      <c r="D876">
        <v>54232</v>
      </c>
      <c r="E876" t="s">
        <v>252</v>
      </c>
      <c r="F876">
        <v>12027</v>
      </c>
      <c r="G876">
        <v>0.74503823313766737</v>
      </c>
      <c r="H876">
        <v>0</v>
      </c>
      <c r="I876">
        <v>0</v>
      </c>
      <c r="J876">
        <v>0.66865828795286053</v>
      </c>
      <c r="K876">
        <v>0</v>
      </c>
      <c r="L876">
        <v>0</v>
      </c>
      <c r="M876">
        <v>0.48451950528824228</v>
      </c>
      <c r="N876">
        <v>0</v>
      </c>
      <c r="O876">
        <v>0</v>
      </c>
      <c r="P876">
        <v>0.5550819688368972</v>
      </c>
      <c r="Q876">
        <v>1.0273194696663479</v>
      </c>
      <c r="R876">
        <v>4.9170565641456543</v>
      </c>
      <c r="S876">
        <v>0.21896773983324019</v>
      </c>
      <c r="T876">
        <v>0.17147562617170861</v>
      </c>
      <c r="U876">
        <v>4.2436377816579363</v>
      </c>
      <c r="V876">
        <v>0.2380845584627882</v>
      </c>
      <c r="W876">
        <v>9.2766282794545614</v>
      </c>
      <c r="X876">
        <v>0.32829040370944729</v>
      </c>
      <c r="Z876" t="s">
        <v>392</v>
      </c>
      <c r="AA876">
        <v>114</v>
      </c>
      <c r="AB876" t="s">
        <v>4309</v>
      </c>
      <c r="AC876" t="str">
        <f>HYPERLINK("plots/3FT6Y578R04_015_S21P_20251218081014_M5358ACSC201811_RBGEUFRF04/dpll_52094/txpa_54232.png","plot")</f>
        <v>plot</v>
      </c>
    </row>
    <row r="877" spans="1:29" x14ac:dyDescent="0.35">
      <c r="A877" t="s">
        <v>49</v>
      </c>
      <c r="B877">
        <v>52094</v>
      </c>
      <c r="C877" t="s">
        <v>53</v>
      </c>
      <c r="D877">
        <v>54233</v>
      </c>
      <c r="E877" t="s">
        <v>253</v>
      </c>
      <c r="F877">
        <v>12028</v>
      </c>
      <c r="G877">
        <v>0.74200294145621715</v>
      </c>
      <c r="H877">
        <v>0</v>
      </c>
      <c r="I877">
        <v>0</v>
      </c>
      <c r="J877">
        <v>0.66031493829451926</v>
      </c>
      <c r="K877">
        <v>0</v>
      </c>
      <c r="L877">
        <v>0</v>
      </c>
      <c r="M877">
        <v>0.4766902967969881</v>
      </c>
      <c r="N877">
        <v>0</v>
      </c>
      <c r="O877">
        <v>0</v>
      </c>
      <c r="P877">
        <v>0.55056836512967844</v>
      </c>
      <c r="Q877">
        <v>1.0094568218343041</v>
      </c>
      <c r="R877">
        <v>4.9989637690510911</v>
      </c>
      <c r="S877">
        <v>0.21715044001008971</v>
      </c>
      <c r="T877">
        <v>0.17043872888153569</v>
      </c>
      <c r="U877">
        <v>4.2436712643831056</v>
      </c>
      <c r="V877">
        <v>0.23810297856178911</v>
      </c>
      <c r="W877">
        <v>9.2827666765048225</v>
      </c>
      <c r="X877">
        <v>0.32392685066255522</v>
      </c>
      <c r="Z877" t="s">
        <v>392</v>
      </c>
      <c r="AA877">
        <v>114</v>
      </c>
      <c r="AB877" t="s">
        <v>4310</v>
      </c>
      <c r="AC877" t="str">
        <f>HYPERLINK("plots/3FT6Y578R04_015_S21P_20251218081014_M5358ACSC201811_RBGEUFRF04/dpll_52094/txpa_54233.png","plot")</f>
        <v>plot</v>
      </c>
    </row>
    <row r="878" spans="1:29" x14ac:dyDescent="0.35">
      <c r="A878" t="s">
        <v>49</v>
      </c>
      <c r="B878">
        <v>52094</v>
      </c>
      <c r="C878" t="s">
        <v>53</v>
      </c>
      <c r="D878">
        <v>54234</v>
      </c>
      <c r="E878" t="s">
        <v>254</v>
      </c>
      <c r="F878">
        <v>12027</v>
      </c>
      <c r="G878">
        <v>0.73536404474343464</v>
      </c>
      <c r="H878">
        <v>0</v>
      </c>
      <c r="I878">
        <v>0</v>
      </c>
      <c r="J878">
        <v>0.65424269154167203</v>
      </c>
      <c r="K878">
        <v>0</v>
      </c>
      <c r="L878">
        <v>0</v>
      </c>
      <c r="M878">
        <v>0.47266288140485491</v>
      </c>
      <c r="N878">
        <v>0</v>
      </c>
      <c r="O878">
        <v>0</v>
      </c>
      <c r="P878">
        <v>0.54076027830142415</v>
      </c>
      <c r="Q878">
        <v>1.0075463747310021</v>
      </c>
      <c r="R878">
        <v>4.9732633998895954</v>
      </c>
      <c r="S878">
        <v>0.22106547951582539</v>
      </c>
      <c r="T878">
        <v>0.17207202623103271</v>
      </c>
      <c r="U878">
        <v>4.2436951445081901</v>
      </c>
      <c r="V878">
        <v>0.2380984732054881</v>
      </c>
      <c r="W878">
        <v>9.2489830582023789</v>
      </c>
      <c r="X878">
        <v>0.32622652035003241</v>
      </c>
      <c r="Z878" t="s">
        <v>392</v>
      </c>
      <c r="AA878">
        <v>114</v>
      </c>
      <c r="AB878" t="s">
        <v>4311</v>
      </c>
      <c r="AC878" t="str">
        <f>HYPERLINK("plots/3FT6Y578R04_015_S21P_20251218081014_M5358ACSC201811_RBGEUFRF04/dpll_52094/txpa_54234.png","plot")</f>
        <v>plot</v>
      </c>
    </row>
    <row r="879" spans="1:29" x14ac:dyDescent="0.35">
      <c r="A879" t="s">
        <v>49</v>
      </c>
      <c r="B879">
        <v>52094</v>
      </c>
      <c r="C879" t="s">
        <v>53</v>
      </c>
      <c r="D879">
        <v>54235</v>
      </c>
      <c r="E879" t="s">
        <v>255</v>
      </c>
      <c r="F879">
        <v>12028</v>
      </c>
      <c r="G879">
        <v>0.71994527829167831</v>
      </c>
      <c r="H879">
        <v>0</v>
      </c>
      <c r="I879">
        <v>0</v>
      </c>
      <c r="J879">
        <v>0.65019643450212483</v>
      </c>
      <c r="K879">
        <v>0</v>
      </c>
      <c r="L879">
        <v>0</v>
      </c>
      <c r="M879">
        <v>0.4669129192928711</v>
      </c>
      <c r="N879">
        <v>0</v>
      </c>
      <c r="O879">
        <v>0</v>
      </c>
      <c r="P879">
        <v>0.51832120373448209</v>
      </c>
      <c r="Q879">
        <v>1.0075484829774519</v>
      </c>
      <c r="R879">
        <v>5.4572632514581292</v>
      </c>
      <c r="S879">
        <v>0.23125546470488201</v>
      </c>
      <c r="T879">
        <v>0.17705196708167359</v>
      </c>
      <c r="U879">
        <v>4.2436712643831056</v>
      </c>
      <c r="V879">
        <v>0.23810297856178911</v>
      </c>
      <c r="W879">
        <v>9.7329677961423346</v>
      </c>
      <c r="X879">
        <v>0.3332201794719602</v>
      </c>
      <c r="Z879" t="s">
        <v>392</v>
      </c>
      <c r="AA879">
        <v>114</v>
      </c>
      <c r="AB879" t="s">
        <v>4312</v>
      </c>
      <c r="AC879" t="str">
        <f>HYPERLINK("plots/3FT6Y578R04_015_S21P_20251218081014_M5358ACSC201811_RBGEUFRF04/dpll_52094/txpa_54235.png","plot")</f>
        <v>plot</v>
      </c>
    </row>
    <row r="880" spans="1:29" x14ac:dyDescent="0.35">
      <c r="A880" t="s">
        <v>49</v>
      </c>
      <c r="B880">
        <v>52094</v>
      </c>
      <c r="C880" t="s">
        <v>53</v>
      </c>
      <c r="D880">
        <v>54236</v>
      </c>
      <c r="E880" t="s">
        <v>256</v>
      </c>
      <c r="F880">
        <v>12028</v>
      </c>
      <c r="G880">
        <v>0.73848040926360448</v>
      </c>
      <c r="H880">
        <v>0</v>
      </c>
      <c r="I880">
        <v>0</v>
      </c>
      <c r="J880">
        <v>0.66272944272015122</v>
      </c>
      <c r="K880">
        <v>0</v>
      </c>
      <c r="L880">
        <v>0</v>
      </c>
      <c r="M880">
        <v>0.47981862796284519</v>
      </c>
      <c r="N880">
        <v>0</v>
      </c>
      <c r="O880">
        <v>0</v>
      </c>
      <c r="P880">
        <v>0.5453533148661408</v>
      </c>
      <c r="Q880">
        <v>1.0360538676176221</v>
      </c>
      <c r="R880">
        <v>5.3628668650581384</v>
      </c>
      <c r="S880">
        <v>0.22523047159553641</v>
      </c>
      <c r="T880">
        <v>0.17513980735362289</v>
      </c>
      <c r="U880">
        <v>4.2436712643831056</v>
      </c>
      <c r="V880">
        <v>0.23810297856178911</v>
      </c>
      <c r="W880">
        <v>9.7595388914200196</v>
      </c>
      <c r="X880">
        <v>0.33404746928386131</v>
      </c>
      <c r="Z880" t="s">
        <v>392</v>
      </c>
      <c r="AA880">
        <v>114</v>
      </c>
      <c r="AB880" t="s">
        <v>4313</v>
      </c>
      <c r="AC880" t="str">
        <f>HYPERLINK("plots/3FT6Y578R04_015_S21P_20251218081014_M5358ACSC201811_RBGEUFRF04/dpll_52094/txpa_54236.png","plot")</f>
        <v>plot</v>
      </c>
    </row>
    <row r="881" spans="1:29" x14ac:dyDescent="0.35">
      <c r="A881" t="s">
        <v>49</v>
      </c>
      <c r="B881">
        <v>52094</v>
      </c>
      <c r="C881" t="s">
        <v>53</v>
      </c>
      <c r="D881">
        <v>54237</v>
      </c>
      <c r="E881" t="s">
        <v>257</v>
      </c>
      <c r="F881">
        <v>12028</v>
      </c>
      <c r="G881">
        <v>0.72935777962542825</v>
      </c>
      <c r="H881">
        <v>0</v>
      </c>
      <c r="I881">
        <v>0</v>
      </c>
      <c r="J881">
        <v>0.65226781566261205</v>
      </c>
      <c r="K881">
        <v>0</v>
      </c>
      <c r="L881">
        <v>0</v>
      </c>
      <c r="M881">
        <v>0.47004845432046638</v>
      </c>
      <c r="N881">
        <v>0</v>
      </c>
      <c r="O881">
        <v>0</v>
      </c>
      <c r="P881">
        <v>0.53196277070013476</v>
      </c>
      <c r="Q881">
        <v>1.0072460762945949</v>
      </c>
      <c r="R881">
        <v>5.499194979460273</v>
      </c>
      <c r="S881">
        <v>0.22494789758734041</v>
      </c>
      <c r="T881">
        <v>0.17367737202223291</v>
      </c>
      <c r="U881">
        <v>4.2436712643831056</v>
      </c>
      <c r="V881">
        <v>0.23810297856178911</v>
      </c>
      <c r="W881">
        <v>9.7736162095942802</v>
      </c>
      <c r="X881">
        <v>0.3288211870909023</v>
      </c>
      <c r="Z881" t="s">
        <v>392</v>
      </c>
      <c r="AA881">
        <v>114</v>
      </c>
      <c r="AB881" t="s">
        <v>4314</v>
      </c>
      <c r="AC881" t="str">
        <f>HYPERLINK("plots/3FT6Y578R04_015_S21P_20251218081014_M5358ACSC201811_RBGEUFRF04/dpll_52094/txpa_54237.png","plot")</f>
        <v>plot</v>
      </c>
    </row>
    <row r="882" spans="1:29" x14ac:dyDescent="0.35">
      <c r="A882" t="s">
        <v>49</v>
      </c>
      <c r="B882">
        <v>52094</v>
      </c>
      <c r="C882" t="s">
        <v>53</v>
      </c>
      <c r="D882">
        <v>54238</v>
      </c>
      <c r="E882" t="s">
        <v>258</v>
      </c>
      <c r="F882">
        <v>12027</v>
      </c>
      <c r="G882">
        <v>0.74472852668473732</v>
      </c>
      <c r="H882">
        <v>0</v>
      </c>
      <c r="I882">
        <v>0</v>
      </c>
      <c r="J882">
        <v>0.66438389873155945</v>
      </c>
      <c r="K882">
        <v>0</v>
      </c>
      <c r="L882">
        <v>0</v>
      </c>
      <c r="M882">
        <v>0.48126321891783941</v>
      </c>
      <c r="N882">
        <v>0</v>
      </c>
      <c r="O882">
        <v>0</v>
      </c>
      <c r="P882">
        <v>0.55462057845801949</v>
      </c>
      <c r="Q882">
        <v>1.0377670082100301</v>
      </c>
      <c r="R882">
        <v>5.3693016697228089</v>
      </c>
      <c r="S882">
        <v>0.2214263199868616</v>
      </c>
      <c r="T882">
        <v>0.17258167656716911</v>
      </c>
      <c r="U882">
        <v>4.2436786742329762</v>
      </c>
      <c r="V882">
        <v>0.2381114909913796</v>
      </c>
      <c r="W882">
        <v>9.7732513912862728</v>
      </c>
      <c r="X882">
        <v>0.331804464005928</v>
      </c>
      <c r="Z882" t="s">
        <v>392</v>
      </c>
      <c r="AA882">
        <v>114</v>
      </c>
      <c r="AB882" t="s">
        <v>4315</v>
      </c>
      <c r="AC882" t="str">
        <f>HYPERLINK("plots/3FT6Y578R04_015_S21P_20251218081014_M5358ACSC201811_RBGEUFRF04/dpll_52094/txpa_54238.png","plot")</f>
        <v>plot</v>
      </c>
    </row>
    <row r="883" spans="1:29" x14ac:dyDescent="0.35">
      <c r="A883" t="s">
        <v>49</v>
      </c>
      <c r="B883">
        <v>52094</v>
      </c>
      <c r="C883" t="s">
        <v>53</v>
      </c>
      <c r="D883">
        <v>54239</v>
      </c>
      <c r="E883" t="s">
        <v>259</v>
      </c>
      <c r="F883">
        <v>12027</v>
      </c>
      <c r="G883">
        <v>0.74459250758217765</v>
      </c>
      <c r="H883">
        <v>0</v>
      </c>
      <c r="I883">
        <v>0</v>
      </c>
      <c r="J883">
        <v>0.65823374522052935</v>
      </c>
      <c r="K883">
        <v>0</v>
      </c>
      <c r="L883">
        <v>0</v>
      </c>
      <c r="M883">
        <v>0.47406013118329021</v>
      </c>
      <c r="N883">
        <v>0</v>
      </c>
      <c r="O883">
        <v>0</v>
      </c>
      <c r="P883">
        <v>0.55441800234751526</v>
      </c>
      <c r="Q883">
        <v>1.0313745533284511</v>
      </c>
      <c r="R883">
        <v>5.3779821499666038</v>
      </c>
      <c r="S883">
        <v>0.2201337073568343</v>
      </c>
      <c r="T883">
        <v>0.1723446689962583</v>
      </c>
      <c r="U883">
        <v>4.2436418554918101</v>
      </c>
      <c r="V883">
        <v>0.23809103076034549</v>
      </c>
      <c r="W883">
        <v>9.754766373160388</v>
      </c>
      <c r="X883">
        <v>0.32979250798445681</v>
      </c>
      <c r="Z883" t="s">
        <v>392</v>
      </c>
      <c r="AA883">
        <v>114</v>
      </c>
      <c r="AB883" t="s">
        <v>4316</v>
      </c>
      <c r="AC883" t="str">
        <f>HYPERLINK("plots/3FT6Y578R04_015_S21P_20251218081014_M5358ACSC201811_RBGEUFRF04/dpll_52094/txpa_54239.png","plot")</f>
        <v>plot</v>
      </c>
    </row>
    <row r="884" spans="1:29" x14ac:dyDescent="0.35">
      <c r="A884" t="s">
        <v>49</v>
      </c>
      <c r="B884">
        <v>52094</v>
      </c>
      <c r="C884" t="s">
        <v>53</v>
      </c>
      <c r="D884">
        <v>54240</v>
      </c>
      <c r="E884" t="s">
        <v>260</v>
      </c>
      <c r="F884">
        <v>12027</v>
      </c>
      <c r="G884">
        <v>0.7496565776476628</v>
      </c>
      <c r="H884">
        <v>0</v>
      </c>
      <c r="I884">
        <v>0</v>
      </c>
      <c r="J884">
        <v>0.67143448309864218</v>
      </c>
      <c r="K884">
        <v>0</v>
      </c>
      <c r="L884">
        <v>0</v>
      </c>
      <c r="M884">
        <v>0.48694210216619033</v>
      </c>
      <c r="N884">
        <v>0</v>
      </c>
      <c r="O884">
        <v>0</v>
      </c>
      <c r="P884">
        <v>0.56198498441040634</v>
      </c>
      <c r="Q884">
        <v>1.0482538381162141</v>
      </c>
      <c r="R884">
        <v>5.3232662533163513</v>
      </c>
      <c r="S884">
        <v>0.2203239850042821</v>
      </c>
      <c r="T884">
        <v>0.1723117451155213</v>
      </c>
      <c r="U884">
        <v>4.2436377816579363</v>
      </c>
      <c r="V884">
        <v>0.2380845584627882</v>
      </c>
      <c r="W884">
        <v>9.7716758455142596</v>
      </c>
      <c r="X884">
        <v>0.33291651090150359</v>
      </c>
      <c r="Z884" t="s">
        <v>392</v>
      </c>
      <c r="AA884">
        <v>114</v>
      </c>
      <c r="AB884" t="s">
        <v>4317</v>
      </c>
      <c r="AC884" t="str">
        <f>HYPERLINK("plots/3FT6Y578R04_015_S21P_20251218081014_M5358ACSC201811_RBGEUFRF04/dpll_52094/txpa_54240.png","plot")</f>
        <v>plot</v>
      </c>
    </row>
    <row r="885" spans="1:29" x14ac:dyDescent="0.35">
      <c r="A885" t="s">
        <v>49</v>
      </c>
      <c r="B885">
        <v>52094</v>
      </c>
      <c r="C885" t="s">
        <v>53</v>
      </c>
      <c r="D885">
        <v>54241</v>
      </c>
      <c r="E885" t="s">
        <v>261</v>
      </c>
      <c r="F885">
        <v>12028</v>
      </c>
      <c r="G885">
        <v>0.74689802448304599</v>
      </c>
      <c r="H885">
        <v>0</v>
      </c>
      <c r="I885">
        <v>0</v>
      </c>
      <c r="J885">
        <v>0.66337086997029193</v>
      </c>
      <c r="K885">
        <v>0</v>
      </c>
      <c r="L885">
        <v>0</v>
      </c>
      <c r="M885">
        <v>0.47934675256942227</v>
      </c>
      <c r="N885">
        <v>0</v>
      </c>
      <c r="O885">
        <v>0</v>
      </c>
      <c r="P885">
        <v>0.5578566589766768</v>
      </c>
      <c r="Q885">
        <v>1.0307081827948961</v>
      </c>
      <c r="R885">
        <v>5.4038798666429253</v>
      </c>
      <c r="S885">
        <v>0.21847549476413969</v>
      </c>
      <c r="T885">
        <v>0.1712067339319662</v>
      </c>
      <c r="U885">
        <v>4.2436712643831056</v>
      </c>
      <c r="V885">
        <v>0.23810297856178911</v>
      </c>
      <c r="W885">
        <v>9.777866563934154</v>
      </c>
      <c r="X885">
        <v>0.32857857472756541</v>
      </c>
      <c r="Z885" t="s">
        <v>392</v>
      </c>
      <c r="AA885">
        <v>114</v>
      </c>
      <c r="AB885" t="s">
        <v>4318</v>
      </c>
      <c r="AC885" t="str">
        <f>HYPERLINK("plots/3FT6Y578R04_015_S21P_20251218081014_M5358ACSC201811_RBGEUFRF04/dpll_52094/txpa_54241.png","plot")</f>
        <v>plot</v>
      </c>
    </row>
    <row r="886" spans="1:29" x14ac:dyDescent="0.35">
      <c r="A886" t="s">
        <v>49</v>
      </c>
      <c r="B886">
        <v>52094</v>
      </c>
      <c r="C886" t="s">
        <v>53</v>
      </c>
      <c r="D886">
        <v>54242</v>
      </c>
      <c r="E886" t="s">
        <v>262</v>
      </c>
      <c r="F886">
        <v>12027</v>
      </c>
      <c r="G886">
        <v>0.74022611140249073</v>
      </c>
      <c r="H886">
        <v>0</v>
      </c>
      <c r="I886">
        <v>0</v>
      </c>
      <c r="J886">
        <v>0.65742194681669897</v>
      </c>
      <c r="K886">
        <v>0</v>
      </c>
      <c r="L886">
        <v>0</v>
      </c>
      <c r="M886">
        <v>0.47540073733206611</v>
      </c>
      <c r="N886">
        <v>0</v>
      </c>
      <c r="O886">
        <v>0</v>
      </c>
      <c r="P886">
        <v>0.54793469600205258</v>
      </c>
      <c r="Q886">
        <v>1.0282744604588041</v>
      </c>
      <c r="R886">
        <v>5.3807488633993019</v>
      </c>
      <c r="S886">
        <v>0.2223738890513326</v>
      </c>
      <c r="T886">
        <v>0.17278606816873221</v>
      </c>
      <c r="U886">
        <v>4.2436951445081901</v>
      </c>
      <c r="V886">
        <v>0.2380984732054881</v>
      </c>
      <c r="W886">
        <v>9.7444321984701077</v>
      </c>
      <c r="X886">
        <v>0.33075107092286049</v>
      </c>
      <c r="Z886" t="s">
        <v>392</v>
      </c>
      <c r="AA886">
        <v>114</v>
      </c>
      <c r="AB886" t="s">
        <v>4319</v>
      </c>
      <c r="AC886" t="str">
        <f>HYPERLINK("plots/3FT6Y578R04_015_S21P_20251218081014_M5358ACSC201811_RBGEUFRF04/dpll_52094/txpa_54242.png","plot")</f>
        <v>plot</v>
      </c>
    </row>
    <row r="887" spans="1:29" x14ac:dyDescent="0.35">
      <c r="A887" t="s">
        <v>49</v>
      </c>
      <c r="B887">
        <v>52094</v>
      </c>
      <c r="C887" t="s">
        <v>53</v>
      </c>
      <c r="D887">
        <v>54243</v>
      </c>
      <c r="E887" t="s">
        <v>263</v>
      </c>
      <c r="F887">
        <v>12028</v>
      </c>
      <c r="G887">
        <v>0.73317480316391725</v>
      </c>
      <c r="H887">
        <v>0</v>
      </c>
      <c r="I887">
        <v>0</v>
      </c>
      <c r="J887">
        <v>0.65919915777758276</v>
      </c>
      <c r="K887">
        <v>0</v>
      </c>
      <c r="L887">
        <v>0</v>
      </c>
      <c r="M887">
        <v>0.4747484541988034</v>
      </c>
      <c r="N887">
        <v>0</v>
      </c>
      <c r="O887">
        <v>0</v>
      </c>
      <c r="P887">
        <v>0.53754529199444878</v>
      </c>
      <c r="Q887">
        <v>1.0679162749221389</v>
      </c>
      <c r="R887">
        <v>6.8385919324167057</v>
      </c>
      <c r="S887">
        <v>0.2358365160481721</v>
      </c>
      <c r="T887">
        <v>0.17953403742756441</v>
      </c>
      <c r="U887">
        <v>4.2436712643831056</v>
      </c>
      <c r="V887">
        <v>0.23810297856178911</v>
      </c>
      <c r="W887">
        <v>11.370477541070841</v>
      </c>
      <c r="X887">
        <v>0.34681230835577842</v>
      </c>
      <c r="Z887" t="s">
        <v>392</v>
      </c>
      <c r="AA887">
        <v>114</v>
      </c>
      <c r="AB887" t="s">
        <v>4320</v>
      </c>
      <c r="AC887" t="str">
        <f>HYPERLINK("plots/3FT6Y578R04_015_S21P_20251218081014_M5358ACSC201811_RBGEUFRF04/dpll_52094/txpa_54243.png","plot")</f>
        <v>plot</v>
      </c>
    </row>
    <row r="888" spans="1:29" x14ac:dyDescent="0.35">
      <c r="A888" t="s">
        <v>49</v>
      </c>
      <c r="B888">
        <v>52094</v>
      </c>
      <c r="C888" t="s">
        <v>53</v>
      </c>
      <c r="D888">
        <v>54244</v>
      </c>
      <c r="E888" t="s">
        <v>264</v>
      </c>
      <c r="F888">
        <v>12028</v>
      </c>
      <c r="G888">
        <v>0.75118410725767637</v>
      </c>
      <c r="H888">
        <v>0</v>
      </c>
      <c r="I888">
        <v>0</v>
      </c>
      <c r="J888">
        <v>0.67142934178753599</v>
      </c>
      <c r="K888">
        <v>0</v>
      </c>
      <c r="L888">
        <v>0</v>
      </c>
      <c r="M888">
        <v>0.48757523901840383</v>
      </c>
      <c r="N888">
        <v>0</v>
      </c>
      <c r="O888">
        <v>0</v>
      </c>
      <c r="P888">
        <v>0.56427756299651222</v>
      </c>
      <c r="Q888">
        <v>1.096902253718701</v>
      </c>
      <c r="R888">
        <v>6.7411112182916657</v>
      </c>
      <c r="S888">
        <v>0.2294950241957025</v>
      </c>
      <c r="T888">
        <v>0.1775039894322423</v>
      </c>
      <c r="U888">
        <v>4.2436712643831056</v>
      </c>
      <c r="V888">
        <v>0.23810297856178911</v>
      </c>
      <c r="W888">
        <v>11.39600379223479</v>
      </c>
      <c r="X888">
        <v>0.34768532943944669</v>
      </c>
      <c r="Z888" t="s">
        <v>392</v>
      </c>
      <c r="AA888">
        <v>114</v>
      </c>
      <c r="AB888" t="s">
        <v>4321</v>
      </c>
      <c r="AC888" t="str">
        <f>HYPERLINK("plots/3FT6Y578R04_015_S21P_20251218081014_M5358ACSC201811_RBGEUFRF04/dpll_52094/txpa_54244.png","plot")</f>
        <v>plot</v>
      </c>
    </row>
    <row r="889" spans="1:29" x14ac:dyDescent="0.35">
      <c r="A889" t="s">
        <v>49</v>
      </c>
      <c r="B889">
        <v>52094</v>
      </c>
      <c r="C889" t="s">
        <v>53</v>
      </c>
      <c r="D889">
        <v>54245</v>
      </c>
      <c r="E889" t="s">
        <v>265</v>
      </c>
      <c r="F889">
        <v>12028</v>
      </c>
      <c r="G889">
        <v>0.74271831949468459</v>
      </c>
      <c r="H889">
        <v>0</v>
      </c>
      <c r="I889">
        <v>0</v>
      </c>
      <c r="J889">
        <v>0.66150202664057267</v>
      </c>
      <c r="K889">
        <v>0</v>
      </c>
      <c r="L889">
        <v>0</v>
      </c>
      <c r="M889">
        <v>0.47816093374751117</v>
      </c>
      <c r="N889">
        <v>0</v>
      </c>
      <c r="O889">
        <v>0</v>
      </c>
      <c r="P889">
        <v>0.55163050211300835</v>
      </c>
      <c r="Q889">
        <v>1.068070688337434</v>
      </c>
      <c r="R889">
        <v>6.8777204393078319</v>
      </c>
      <c r="S889">
        <v>0.22926653360990601</v>
      </c>
      <c r="T889">
        <v>0.17603083774311101</v>
      </c>
      <c r="U889">
        <v>4.2436712643831056</v>
      </c>
      <c r="V889">
        <v>0.23810297856178911</v>
      </c>
      <c r="W889">
        <v>11.410261327735279</v>
      </c>
      <c r="X889">
        <v>0.34240546588470561</v>
      </c>
      <c r="Z889" t="s">
        <v>392</v>
      </c>
      <c r="AA889">
        <v>114</v>
      </c>
      <c r="AB889" t="s">
        <v>4322</v>
      </c>
      <c r="AC889" t="str">
        <f>HYPERLINK("plots/3FT6Y578R04_015_S21P_20251218081014_M5358ACSC201811_RBGEUFRF04/dpll_52094/txpa_54245.png","plot")</f>
        <v>plot</v>
      </c>
    </row>
    <row r="890" spans="1:29" x14ac:dyDescent="0.35">
      <c r="A890" t="s">
        <v>49</v>
      </c>
      <c r="B890">
        <v>52094</v>
      </c>
      <c r="C890" t="s">
        <v>53</v>
      </c>
      <c r="D890">
        <v>54246</v>
      </c>
      <c r="E890" t="s">
        <v>266</v>
      </c>
      <c r="F890">
        <v>12027</v>
      </c>
      <c r="G890">
        <v>0.75704824170034335</v>
      </c>
      <c r="H890">
        <v>0</v>
      </c>
      <c r="I890">
        <v>0</v>
      </c>
      <c r="J890">
        <v>0.67285586477596271</v>
      </c>
      <c r="K890">
        <v>0</v>
      </c>
      <c r="L890">
        <v>0</v>
      </c>
      <c r="M890">
        <v>0.48880522684940408</v>
      </c>
      <c r="N890">
        <v>0</v>
      </c>
      <c r="O890">
        <v>0</v>
      </c>
      <c r="P890">
        <v>0.57312204026158153</v>
      </c>
      <c r="Q890">
        <v>1.097753087169161</v>
      </c>
      <c r="R890">
        <v>6.7503582470284176</v>
      </c>
      <c r="S890">
        <v>0.22557723907403829</v>
      </c>
      <c r="T890">
        <v>0.17501928309070411</v>
      </c>
      <c r="U890">
        <v>4.2436786742329762</v>
      </c>
      <c r="V890">
        <v>0.2381114909913796</v>
      </c>
      <c r="W890">
        <v>11.408869612621601</v>
      </c>
      <c r="X890">
        <v>0.34527208429829748</v>
      </c>
      <c r="Z890" t="s">
        <v>392</v>
      </c>
      <c r="AA890">
        <v>114</v>
      </c>
      <c r="AB890" t="s">
        <v>4323</v>
      </c>
      <c r="AC890" t="str">
        <f>HYPERLINK("plots/3FT6Y578R04_015_S21P_20251218081014_M5358ACSC201811_RBGEUFRF04/dpll_52094/txpa_54246.png","plot")</f>
        <v>plot</v>
      </c>
    </row>
    <row r="891" spans="1:29" x14ac:dyDescent="0.35">
      <c r="A891" t="s">
        <v>49</v>
      </c>
      <c r="B891">
        <v>52094</v>
      </c>
      <c r="C891" t="s">
        <v>53</v>
      </c>
      <c r="D891">
        <v>54247</v>
      </c>
      <c r="E891" t="s">
        <v>267</v>
      </c>
      <c r="F891">
        <v>12027</v>
      </c>
      <c r="G891">
        <v>0.75706691572704921</v>
      </c>
      <c r="H891">
        <v>0</v>
      </c>
      <c r="I891">
        <v>0</v>
      </c>
      <c r="J891">
        <v>0.66636411788951999</v>
      </c>
      <c r="K891">
        <v>0</v>
      </c>
      <c r="L891">
        <v>0</v>
      </c>
      <c r="M891">
        <v>0.48115733997643778</v>
      </c>
      <c r="N891">
        <v>0</v>
      </c>
      <c r="O891">
        <v>0</v>
      </c>
      <c r="P891">
        <v>0.57315031488846702</v>
      </c>
      <c r="Q891">
        <v>1.092538957073846</v>
      </c>
      <c r="R891">
        <v>6.7532451937976079</v>
      </c>
      <c r="S891">
        <v>0.224473524837008</v>
      </c>
      <c r="T891">
        <v>0.1749545702556318</v>
      </c>
      <c r="U891">
        <v>4.2436418554918101</v>
      </c>
      <c r="V891">
        <v>0.23809103076034549</v>
      </c>
      <c r="W891">
        <v>11.389589240791549</v>
      </c>
      <c r="X891">
        <v>0.34359410117101119</v>
      </c>
      <c r="Z891" t="s">
        <v>392</v>
      </c>
      <c r="AA891">
        <v>114</v>
      </c>
      <c r="AB891" t="s">
        <v>4324</v>
      </c>
      <c r="AC891" t="str">
        <f>HYPERLINK("plots/3FT6Y578R04_015_S21P_20251218081014_M5358ACSC201811_RBGEUFRF04/dpll_52094/txpa_54247.png","plot")</f>
        <v>plot</v>
      </c>
    </row>
    <row r="892" spans="1:29" x14ac:dyDescent="0.35">
      <c r="A892" t="s">
        <v>49</v>
      </c>
      <c r="B892">
        <v>52094</v>
      </c>
      <c r="C892" t="s">
        <v>53</v>
      </c>
      <c r="D892">
        <v>54248</v>
      </c>
      <c r="E892" t="s">
        <v>268</v>
      </c>
      <c r="F892">
        <v>12027</v>
      </c>
      <c r="G892">
        <v>0.76179297302555504</v>
      </c>
      <c r="H892">
        <v>0</v>
      </c>
      <c r="I892">
        <v>0</v>
      </c>
      <c r="J892">
        <v>0.67928716854020466</v>
      </c>
      <c r="K892">
        <v>0</v>
      </c>
      <c r="L892">
        <v>0</v>
      </c>
      <c r="M892">
        <v>0.4941201459997509</v>
      </c>
      <c r="N892">
        <v>0</v>
      </c>
      <c r="O892">
        <v>0</v>
      </c>
      <c r="P892">
        <v>0.58032853375111404</v>
      </c>
      <c r="Q892">
        <v>1.1086213460135079</v>
      </c>
      <c r="R892">
        <v>6.703496328632145</v>
      </c>
      <c r="S892">
        <v>0.22444718800410629</v>
      </c>
      <c r="T892">
        <v>0.17472092802085601</v>
      </c>
      <c r="U892">
        <v>4.2436377816579363</v>
      </c>
      <c r="V892">
        <v>0.2380845584627882</v>
      </c>
      <c r="W892">
        <v>11.408083758127541</v>
      </c>
      <c r="X892">
        <v>0.34647946753795261</v>
      </c>
      <c r="Z892" t="s">
        <v>392</v>
      </c>
      <c r="AA892">
        <v>114</v>
      </c>
      <c r="AB892" t="s">
        <v>4325</v>
      </c>
      <c r="AC892" t="str">
        <f>HYPERLINK("plots/3FT6Y578R04_015_S21P_20251218081014_M5358ACSC201811_RBGEUFRF04/dpll_52094/txpa_54248.png","plot")</f>
        <v>plot</v>
      </c>
    </row>
    <row r="893" spans="1:29" x14ac:dyDescent="0.35">
      <c r="A893" t="s">
        <v>49</v>
      </c>
      <c r="B893">
        <v>52094</v>
      </c>
      <c r="C893" t="s">
        <v>53</v>
      </c>
      <c r="D893">
        <v>54249</v>
      </c>
      <c r="E893" t="s">
        <v>269</v>
      </c>
      <c r="F893">
        <v>12028</v>
      </c>
      <c r="G893">
        <v>0.75946195410395079</v>
      </c>
      <c r="H893">
        <v>0</v>
      </c>
      <c r="I893">
        <v>0</v>
      </c>
      <c r="J893">
        <v>0.67150445629323186</v>
      </c>
      <c r="K893">
        <v>0</v>
      </c>
      <c r="L893">
        <v>0</v>
      </c>
      <c r="M893">
        <v>0.48657043091587843</v>
      </c>
      <c r="N893">
        <v>0</v>
      </c>
      <c r="O893">
        <v>0</v>
      </c>
      <c r="P893">
        <v>0.57678245973139142</v>
      </c>
      <c r="Q893">
        <v>1.091243136485472</v>
      </c>
      <c r="R893">
        <v>6.7842645120514176</v>
      </c>
      <c r="S893">
        <v>0.2225584593093046</v>
      </c>
      <c r="T893">
        <v>0.17344151132853811</v>
      </c>
      <c r="U893">
        <v>4.2436712643831056</v>
      </c>
      <c r="V893">
        <v>0.23810297856178911</v>
      </c>
      <c r="W893">
        <v>11.41514165281011</v>
      </c>
      <c r="X893">
        <v>0.34212147129721249</v>
      </c>
      <c r="Z893" t="s">
        <v>392</v>
      </c>
      <c r="AA893">
        <v>114</v>
      </c>
      <c r="AB893" t="s">
        <v>4326</v>
      </c>
      <c r="AC893" t="str">
        <f>HYPERLINK("plots/3FT6Y578R04_015_S21P_20251218081014_M5358ACSC201811_RBGEUFRF04/dpll_52094/txpa_54249.png","plot")</f>
        <v>plot</v>
      </c>
    </row>
    <row r="894" spans="1:29" x14ac:dyDescent="0.35">
      <c r="A894" t="s">
        <v>49</v>
      </c>
      <c r="B894">
        <v>52094</v>
      </c>
      <c r="C894" t="s">
        <v>53</v>
      </c>
      <c r="D894">
        <v>54250</v>
      </c>
      <c r="E894" t="s">
        <v>270</v>
      </c>
      <c r="F894">
        <v>12027</v>
      </c>
      <c r="G894">
        <v>0.75237243619896743</v>
      </c>
      <c r="H894">
        <v>0</v>
      </c>
      <c r="I894">
        <v>0</v>
      </c>
      <c r="J894">
        <v>0.66520308207298173</v>
      </c>
      <c r="K894">
        <v>0</v>
      </c>
      <c r="L894">
        <v>0</v>
      </c>
      <c r="M894">
        <v>0.48222367885068912</v>
      </c>
      <c r="N894">
        <v>0</v>
      </c>
      <c r="O894">
        <v>0</v>
      </c>
      <c r="P894">
        <v>0.56606428275196929</v>
      </c>
      <c r="Q894">
        <v>1.0874739321138469</v>
      </c>
      <c r="R894">
        <v>6.7687392700825324</v>
      </c>
      <c r="S894">
        <v>0.22669254220330201</v>
      </c>
      <c r="T894">
        <v>0.17522793185564611</v>
      </c>
      <c r="U894">
        <v>4.2436951445081901</v>
      </c>
      <c r="V894">
        <v>0.2380984732054881</v>
      </c>
      <c r="W894">
        <v>11.383647115573289</v>
      </c>
      <c r="X894">
        <v>0.34414589162142267</v>
      </c>
      <c r="Z894" t="s">
        <v>392</v>
      </c>
      <c r="AA894">
        <v>114</v>
      </c>
      <c r="AB894" t="s">
        <v>4327</v>
      </c>
      <c r="AC894" t="str">
        <f>HYPERLINK("plots/3FT6Y578R04_015_S21P_20251218081014_M5358ACSC201811_RBGEUFRF04/dpll_52094/txpa_54250.png","plot")</f>
        <v>plot</v>
      </c>
    </row>
    <row r="895" spans="1:29" x14ac:dyDescent="0.35">
      <c r="A895" t="s">
        <v>49</v>
      </c>
      <c r="B895">
        <v>52094</v>
      </c>
      <c r="C895" t="s">
        <v>53</v>
      </c>
      <c r="D895">
        <v>54251</v>
      </c>
      <c r="E895" t="s">
        <v>271</v>
      </c>
      <c r="F895">
        <v>12028</v>
      </c>
      <c r="G895">
        <v>0.73629482166864368</v>
      </c>
      <c r="H895">
        <v>0</v>
      </c>
      <c r="I895">
        <v>0</v>
      </c>
      <c r="J895">
        <v>0.66094549463105445</v>
      </c>
      <c r="K895">
        <v>0</v>
      </c>
      <c r="L895">
        <v>0</v>
      </c>
      <c r="M895">
        <v>0.47634387554578878</v>
      </c>
      <c r="N895">
        <v>0</v>
      </c>
      <c r="O895">
        <v>0</v>
      </c>
      <c r="P895">
        <v>0.54213006441605982</v>
      </c>
      <c r="Q895">
        <v>1.082835649457105</v>
      </c>
      <c r="R895">
        <v>7.3540195149119532</v>
      </c>
      <c r="S895">
        <v>0.23693468242374019</v>
      </c>
      <c r="T895">
        <v>0.18002104741221639</v>
      </c>
      <c r="U895">
        <v>4.2436712643831056</v>
      </c>
      <c r="V895">
        <v>0.23810297856178911</v>
      </c>
      <c r="W895">
        <v>11.94921804456269</v>
      </c>
      <c r="X895">
        <v>0.3501673322166266</v>
      </c>
      <c r="Z895" t="s">
        <v>392</v>
      </c>
      <c r="AA895">
        <v>114</v>
      </c>
      <c r="AB895" t="s">
        <v>4328</v>
      </c>
      <c r="AC895" t="str">
        <f>HYPERLINK("plots/3FT6Y578R04_015_S21P_20251218081014_M5358ACSC201811_RBGEUFRF04/dpll_52094/txpa_54251.png","plot")</f>
        <v>plot</v>
      </c>
    </row>
    <row r="896" spans="1:29" x14ac:dyDescent="0.35">
      <c r="A896" t="s">
        <v>49</v>
      </c>
      <c r="B896">
        <v>52094</v>
      </c>
      <c r="C896" t="s">
        <v>53</v>
      </c>
      <c r="D896">
        <v>54252</v>
      </c>
      <c r="E896" t="s">
        <v>272</v>
      </c>
      <c r="F896">
        <v>12028</v>
      </c>
      <c r="G896">
        <v>0.75416762991083375</v>
      </c>
      <c r="H896">
        <v>0</v>
      </c>
      <c r="I896">
        <v>0</v>
      </c>
      <c r="J896">
        <v>0.67317004805612735</v>
      </c>
      <c r="K896">
        <v>0</v>
      </c>
      <c r="L896">
        <v>0</v>
      </c>
      <c r="M896">
        <v>0.48923288037575541</v>
      </c>
      <c r="N896">
        <v>0</v>
      </c>
      <c r="O896">
        <v>0</v>
      </c>
      <c r="P896">
        <v>0.56876881400532431</v>
      </c>
      <c r="Q896">
        <v>1.1120761318872481</v>
      </c>
      <c r="R896">
        <v>7.2553539340666546</v>
      </c>
      <c r="S896">
        <v>0.23055178358735251</v>
      </c>
      <c r="T896">
        <v>0.17800348259479251</v>
      </c>
      <c r="U896">
        <v>4.2436712643831056</v>
      </c>
      <c r="V896">
        <v>0.23810297856178911</v>
      </c>
      <c r="W896">
        <v>11.974639458762891</v>
      </c>
      <c r="X896">
        <v>0.35110050987090607</v>
      </c>
      <c r="Z896" t="s">
        <v>392</v>
      </c>
      <c r="AA896">
        <v>114</v>
      </c>
      <c r="AB896" t="s">
        <v>4329</v>
      </c>
      <c r="AC896" t="str">
        <f>HYPERLINK("plots/3FT6Y578R04_015_S21P_20251218081014_M5358ACSC201811_RBGEUFRF04/dpll_52094/txpa_54252.png","plot")</f>
        <v>plot</v>
      </c>
    </row>
    <row r="897" spans="1:29" x14ac:dyDescent="0.35">
      <c r="A897" t="s">
        <v>49</v>
      </c>
      <c r="B897">
        <v>52094</v>
      </c>
      <c r="C897" t="s">
        <v>53</v>
      </c>
      <c r="D897">
        <v>54253</v>
      </c>
      <c r="E897" t="s">
        <v>273</v>
      </c>
      <c r="F897">
        <v>12028</v>
      </c>
      <c r="G897">
        <v>0.74579869939599952</v>
      </c>
      <c r="H897">
        <v>0</v>
      </c>
      <c r="I897">
        <v>0</v>
      </c>
      <c r="J897">
        <v>0.66311780973833212</v>
      </c>
      <c r="K897">
        <v>0</v>
      </c>
      <c r="L897">
        <v>0</v>
      </c>
      <c r="M897">
        <v>0.47964049465073999</v>
      </c>
      <c r="N897">
        <v>0</v>
      </c>
      <c r="O897">
        <v>0</v>
      </c>
      <c r="P897">
        <v>0.55621570002076448</v>
      </c>
      <c r="Q897">
        <v>1.0828513084610329</v>
      </c>
      <c r="R897">
        <v>7.393961492744797</v>
      </c>
      <c r="S897">
        <v>0.23029257983871221</v>
      </c>
      <c r="T897">
        <v>0.1765144977663029</v>
      </c>
      <c r="U897">
        <v>4.2436712643831056</v>
      </c>
      <c r="V897">
        <v>0.23810297856178911</v>
      </c>
      <c r="W897">
        <v>11.98922647406053</v>
      </c>
      <c r="X897">
        <v>0.34571007175650942</v>
      </c>
      <c r="Z897" t="s">
        <v>392</v>
      </c>
      <c r="AA897">
        <v>114</v>
      </c>
      <c r="AB897" t="s">
        <v>4330</v>
      </c>
      <c r="AC897" t="str">
        <f>HYPERLINK("plots/3FT6Y578R04_015_S21P_20251218081014_M5358ACSC201811_RBGEUFRF04/dpll_52094/txpa_54253.png","plot")</f>
        <v>plot</v>
      </c>
    </row>
    <row r="898" spans="1:29" x14ac:dyDescent="0.35">
      <c r="A898" t="s">
        <v>49</v>
      </c>
      <c r="B898">
        <v>52094</v>
      </c>
      <c r="C898" t="s">
        <v>53</v>
      </c>
      <c r="D898">
        <v>54254</v>
      </c>
      <c r="E898" t="s">
        <v>274</v>
      </c>
      <c r="F898">
        <v>12027</v>
      </c>
      <c r="G898">
        <v>0.75990256355430919</v>
      </c>
      <c r="H898">
        <v>0</v>
      </c>
      <c r="I898">
        <v>0</v>
      </c>
      <c r="J898">
        <v>0.67448359728850904</v>
      </c>
      <c r="K898">
        <v>0</v>
      </c>
      <c r="L898">
        <v>0</v>
      </c>
      <c r="M898">
        <v>0.4902964408765586</v>
      </c>
      <c r="N898">
        <v>0</v>
      </c>
      <c r="O898">
        <v>0</v>
      </c>
      <c r="P898">
        <v>0.57745190609641095</v>
      </c>
      <c r="Q898">
        <v>1.112498672607996</v>
      </c>
      <c r="R898">
        <v>7.2662034421888944</v>
      </c>
      <c r="S898">
        <v>0.22659063895639259</v>
      </c>
      <c r="T898">
        <v>0.1755588127568371</v>
      </c>
      <c r="U898">
        <v>4.2436786742329762</v>
      </c>
      <c r="V898">
        <v>0.2381114909913796</v>
      </c>
      <c r="W898">
        <v>11.987290334247939</v>
      </c>
      <c r="X898">
        <v>0.3485956362900054</v>
      </c>
      <c r="Z898" t="s">
        <v>392</v>
      </c>
      <c r="AA898">
        <v>114</v>
      </c>
      <c r="AB898" t="s">
        <v>4331</v>
      </c>
      <c r="AC898" t="str">
        <f>HYPERLINK("plots/3FT6Y578R04_015_S21P_20251218081014_M5358ACSC201811_RBGEUFRF04/dpll_52094/txpa_54254.png","plot")</f>
        <v>plot</v>
      </c>
    </row>
    <row r="899" spans="1:29" x14ac:dyDescent="0.35">
      <c r="A899" t="s">
        <v>49</v>
      </c>
      <c r="B899">
        <v>52094</v>
      </c>
      <c r="C899" t="s">
        <v>53</v>
      </c>
      <c r="D899">
        <v>54255</v>
      </c>
      <c r="E899" t="s">
        <v>275</v>
      </c>
      <c r="F899">
        <v>12027</v>
      </c>
      <c r="G899">
        <v>0.7598392276832705</v>
      </c>
      <c r="H899">
        <v>0</v>
      </c>
      <c r="I899">
        <v>0</v>
      </c>
      <c r="J899">
        <v>0.66780582562075519</v>
      </c>
      <c r="K899">
        <v>0</v>
      </c>
      <c r="L899">
        <v>0</v>
      </c>
      <c r="M899">
        <v>0.48252230858919742</v>
      </c>
      <c r="N899">
        <v>0</v>
      </c>
      <c r="O899">
        <v>0</v>
      </c>
      <c r="P899">
        <v>0.577355651926309</v>
      </c>
      <c r="Q899">
        <v>1.107445342628673</v>
      </c>
      <c r="R899">
        <v>7.2678343126452516</v>
      </c>
      <c r="S899">
        <v>0.22558649810848511</v>
      </c>
      <c r="T899">
        <v>0.1755409425462649</v>
      </c>
      <c r="U899">
        <v>4.2436418554918101</v>
      </c>
      <c r="V899">
        <v>0.23809103076034549</v>
      </c>
      <c r="W899">
        <v>11.967435721293761</v>
      </c>
      <c r="X899">
        <v>0.34701130651168949</v>
      </c>
      <c r="Z899" t="s">
        <v>392</v>
      </c>
      <c r="AA899">
        <v>114</v>
      </c>
      <c r="AB899" t="s">
        <v>4332</v>
      </c>
      <c r="AC899" t="str">
        <f>HYPERLINK("plots/3FT6Y578R04_015_S21P_20251218081014_M5358ACSC201811_RBGEUFRF04/dpll_52094/txpa_54255.png","plot")</f>
        <v>plot</v>
      </c>
    </row>
    <row r="900" spans="1:29" x14ac:dyDescent="0.35">
      <c r="A900" t="s">
        <v>49</v>
      </c>
      <c r="B900">
        <v>52094</v>
      </c>
      <c r="C900" t="s">
        <v>53</v>
      </c>
      <c r="D900">
        <v>54256</v>
      </c>
      <c r="E900" t="s">
        <v>276</v>
      </c>
      <c r="F900">
        <v>12027</v>
      </c>
      <c r="G900">
        <v>0.76449934010266618</v>
      </c>
      <c r="H900">
        <v>0</v>
      </c>
      <c r="I900">
        <v>0</v>
      </c>
      <c r="J900">
        <v>0.68071128975685702</v>
      </c>
      <c r="K900">
        <v>0</v>
      </c>
      <c r="L900">
        <v>0</v>
      </c>
      <c r="M900">
        <v>0.49556458136267723</v>
      </c>
      <c r="N900">
        <v>0</v>
      </c>
      <c r="O900">
        <v>0</v>
      </c>
      <c r="P900">
        <v>0.58445924101741209</v>
      </c>
      <c r="Q900">
        <v>1.1236124888877621</v>
      </c>
      <c r="R900">
        <v>7.2182464790466403</v>
      </c>
      <c r="S900">
        <v>0.22555862089456369</v>
      </c>
      <c r="T900">
        <v>0.17529279394521599</v>
      </c>
      <c r="U900">
        <v>4.2436377816579363</v>
      </c>
      <c r="V900">
        <v>0.2380845584627882</v>
      </c>
      <c r="W900">
        <v>11.98645088883346</v>
      </c>
      <c r="X900">
        <v>0.34992153592204839</v>
      </c>
      <c r="Z900" t="s">
        <v>392</v>
      </c>
      <c r="AA900">
        <v>114</v>
      </c>
      <c r="AB900" t="s">
        <v>4333</v>
      </c>
      <c r="AC900" t="str">
        <f>HYPERLINK("plots/3FT6Y578R04_015_S21P_20251218081014_M5358ACSC201811_RBGEUFRF04/dpll_52094/txpa_54256.png","plot")</f>
        <v>plot</v>
      </c>
    </row>
    <row r="901" spans="1:29" x14ac:dyDescent="0.35">
      <c r="A901" t="s">
        <v>49</v>
      </c>
      <c r="B901">
        <v>52094</v>
      </c>
      <c r="C901" t="s">
        <v>53</v>
      </c>
      <c r="D901">
        <v>54257</v>
      </c>
      <c r="E901" t="s">
        <v>277</v>
      </c>
      <c r="F901">
        <v>12028</v>
      </c>
      <c r="G901">
        <v>0.76237704460081779</v>
      </c>
      <c r="H901">
        <v>0</v>
      </c>
      <c r="I901">
        <v>0</v>
      </c>
      <c r="J901">
        <v>0.67303675638559712</v>
      </c>
      <c r="K901">
        <v>0</v>
      </c>
      <c r="L901">
        <v>0</v>
      </c>
      <c r="M901">
        <v>0.48801961113464187</v>
      </c>
      <c r="N901">
        <v>0</v>
      </c>
      <c r="O901">
        <v>0</v>
      </c>
      <c r="P901">
        <v>0.58121875813427737</v>
      </c>
      <c r="Q901">
        <v>1.1061722446560149</v>
      </c>
      <c r="R901">
        <v>7.2997285978079809</v>
      </c>
      <c r="S901">
        <v>0.2235596033534325</v>
      </c>
      <c r="T901">
        <v>0.17387397910096791</v>
      </c>
      <c r="U901">
        <v>4.2436712643831056</v>
      </c>
      <c r="V901">
        <v>0.23810297856178911</v>
      </c>
      <c r="W901">
        <v>11.99395996591287</v>
      </c>
      <c r="X901">
        <v>0.34547591394607752</v>
      </c>
      <c r="Z901" t="s">
        <v>392</v>
      </c>
      <c r="AA901">
        <v>114</v>
      </c>
      <c r="AB901" t="s">
        <v>4334</v>
      </c>
      <c r="AC901" t="str">
        <f>HYPERLINK("plots/3FT6Y578R04_015_S21P_20251218081014_M5358ACSC201811_RBGEUFRF04/dpll_52094/txpa_54257.png","plot")</f>
        <v>plot</v>
      </c>
    </row>
    <row r="902" spans="1:29" x14ac:dyDescent="0.35">
      <c r="A902" t="s">
        <v>49</v>
      </c>
      <c r="B902">
        <v>52094</v>
      </c>
      <c r="C902" t="s">
        <v>53</v>
      </c>
      <c r="D902">
        <v>54258</v>
      </c>
      <c r="E902" t="s">
        <v>278</v>
      </c>
      <c r="F902">
        <v>12027</v>
      </c>
      <c r="G902">
        <v>0.75505109587000963</v>
      </c>
      <c r="H902">
        <v>0</v>
      </c>
      <c r="I902">
        <v>0</v>
      </c>
      <c r="J902">
        <v>0.66635647615959914</v>
      </c>
      <c r="K902">
        <v>0</v>
      </c>
      <c r="L902">
        <v>0</v>
      </c>
      <c r="M902">
        <v>0.48334671883282571</v>
      </c>
      <c r="N902">
        <v>0</v>
      </c>
      <c r="O902">
        <v>0</v>
      </c>
      <c r="P902">
        <v>0.57010215737450243</v>
      </c>
      <c r="Q902">
        <v>1.1020090308197099</v>
      </c>
      <c r="R902">
        <v>7.2861954494384058</v>
      </c>
      <c r="S902">
        <v>0.22784001414591029</v>
      </c>
      <c r="T902">
        <v>0.17582057767942291</v>
      </c>
      <c r="U902">
        <v>4.2436951445081901</v>
      </c>
      <c r="V902">
        <v>0.2380984732054881</v>
      </c>
      <c r="W902">
        <v>11.96278582273219</v>
      </c>
      <c r="X902">
        <v>0.34750849198423722</v>
      </c>
      <c r="Z902" t="s">
        <v>392</v>
      </c>
      <c r="AA902">
        <v>114</v>
      </c>
      <c r="AB902" t="s">
        <v>4335</v>
      </c>
      <c r="AC902" t="str">
        <f>HYPERLINK("plots/3FT6Y578R04_015_S21P_20251218081014_M5358ACSC201811_RBGEUFRF04/dpll_52094/txpa_54258.png","plot")</f>
        <v>plot</v>
      </c>
    </row>
    <row r="903" spans="1:29" x14ac:dyDescent="0.35">
      <c r="A903" t="s">
        <v>49</v>
      </c>
      <c r="B903">
        <v>52094</v>
      </c>
      <c r="C903" t="s">
        <v>53</v>
      </c>
      <c r="D903">
        <v>55146</v>
      </c>
      <c r="E903" t="s">
        <v>279</v>
      </c>
      <c r="F903">
        <v>12027</v>
      </c>
      <c r="G903">
        <v>-7.8505080059010184E-3</v>
      </c>
      <c r="H903">
        <v>0.38930921769680121</v>
      </c>
      <c r="I903">
        <v>0.39046443792735552</v>
      </c>
      <c r="J903">
        <v>-9.4838723120889319E-3</v>
      </c>
      <c r="K903">
        <v>0.29834475327033799</v>
      </c>
      <c r="L903">
        <v>0.29834475327033799</v>
      </c>
      <c r="M903">
        <v>-6.2423757743082144E-3</v>
      </c>
      <c r="N903">
        <v>0.30455503359175429</v>
      </c>
      <c r="O903">
        <v>0.30455503359175429</v>
      </c>
      <c r="P903">
        <v>6.1630475950715977E-5</v>
      </c>
      <c r="Q903">
        <v>-0.1435474951168085</v>
      </c>
      <c r="R903">
        <v>-11.26677041413074</v>
      </c>
      <c r="S903">
        <v>4.3535950723669874</v>
      </c>
      <c r="T903">
        <v>3.36430610909358</v>
      </c>
      <c r="U903">
        <v>4.2436765143427291</v>
      </c>
      <c r="V903">
        <v>0.2381121816722134</v>
      </c>
      <c r="W903">
        <v>-11.87593954785067</v>
      </c>
      <c r="X903">
        <v>4.3539102450634077</v>
      </c>
      <c r="Z903" t="s">
        <v>392</v>
      </c>
      <c r="AA903">
        <v>114</v>
      </c>
      <c r="AB903" t="s">
        <v>4336</v>
      </c>
      <c r="AC903" t="str">
        <f>HYPERLINK("plots/3FT6Y578R04_015_S21P_20251218081014_M5358ACSC201811_RBGEUFRF04/dpll_52094/txpa_55146.png","plot")</f>
        <v>plot</v>
      </c>
    </row>
    <row r="904" spans="1:29" x14ac:dyDescent="0.35">
      <c r="A904" t="s">
        <v>49</v>
      </c>
      <c r="B904">
        <v>52094</v>
      </c>
      <c r="C904" t="s">
        <v>53</v>
      </c>
      <c r="D904">
        <v>55147</v>
      </c>
      <c r="E904" t="s">
        <v>280</v>
      </c>
      <c r="F904">
        <v>12028</v>
      </c>
      <c r="G904">
        <v>0.23463890136472171</v>
      </c>
      <c r="H904">
        <v>4.0661354504006557E-150</v>
      </c>
      <c r="I904">
        <v>4.1107291592285789E-150</v>
      </c>
      <c r="J904">
        <v>0.22124680914684991</v>
      </c>
      <c r="K904">
        <v>2.835464986563684E-133</v>
      </c>
      <c r="L904">
        <v>2.860857210323956E-133</v>
      </c>
      <c r="M904">
        <v>0.14885800235218469</v>
      </c>
      <c r="N904">
        <v>5.934163570905766E-132</v>
      </c>
      <c r="O904">
        <v>5.9873053342273101E-132</v>
      </c>
      <c r="P904">
        <v>5.5055414033643592E-2</v>
      </c>
      <c r="Q904">
        <v>1.1786146953255261</v>
      </c>
      <c r="R904">
        <v>-26.392149612137711</v>
      </c>
      <c r="S904">
        <v>1.1625771418839539</v>
      </c>
      <c r="T904">
        <v>0.9054735599854542</v>
      </c>
      <c r="U904">
        <v>4.2436712643831056</v>
      </c>
      <c r="V904">
        <v>0.23810297856178911</v>
      </c>
      <c r="W904">
        <v>-21.390496297805122</v>
      </c>
      <c r="X904">
        <v>1.1960151019352521</v>
      </c>
      <c r="Z904" t="s">
        <v>392</v>
      </c>
      <c r="AA904">
        <v>114</v>
      </c>
      <c r="AB904" t="s">
        <v>4337</v>
      </c>
      <c r="AC904" t="str">
        <f>HYPERLINK("plots/3FT6Y578R04_015_S21P_20251218081014_M5358ACSC201811_RBGEUFRF04/dpll_52094/txpa_55147.png","plot")</f>
        <v>plot</v>
      </c>
    </row>
    <row r="905" spans="1:29" x14ac:dyDescent="0.35">
      <c r="A905" t="s">
        <v>49</v>
      </c>
      <c r="B905">
        <v>52094</v>
      </c>
      <c r="C905" t="s">
        <v>53</v>
      </c>
      <c r="D905">
        <v>55148</v>
      </c>
      <c r="E905" t="s">
        <v>281</v>
      </c>
      <c r="F905">
        <v>12028</v>
      </c>
      <c r="G905">
        <v>0.27585222387510427</v>
      </c>
      <c r="H905">
        <v>5.487475699754541E-209</v>
      </c>
      <c r="I905">
        <v>5.7363921232485616E-209</v>
      </c>
      <c r="J905">
        <v>0.26330731047460593</v>
      </c>
      <c r="K905">
        <v>6.4192030690601568E-190</v>
      </c>
      <c r="L905">
        <v>6.752149286335061E-190</v>
      </c>
      <c r="M905">
        <v>0.17752408649320511</v>
      </c>
      <c r="N905">
        <v>5.7867074106066892E-187</v>
      </c>
      <c r="O905">
        <v>6.0868478364680321E-187</v>
      </c>
      <c r="P905">
        <v>7.6094449416840654E-2</v>
      </c>
      <c r="Q905">
        <v>1.3609680490662479</v>
      </c>
      <c r="R905">
        <v>-27.063576866215129</v>
      </c>
      <c r="S905">
        <v>1.129098946530267</v>
      </c>
      <c r="T905">
        <v>0.87243189972526503</v>
      </c>
      <c r="U905">
        <v>4.2436712643831056</v>
      </c>
      <c r="V905">
        <v>0.23810297856178911</v>
      </c>
      <c r="W905">
        <v>-21.288075864649151</v>
      </c>
      <c r="X905">
        <v>1.1747251541347681</v>
      </c>
      <c r="Z905" t="s">
        <v>392</v>
      </c>
      <c r="AA905">
        <v>114</v>
      </c>
      <c r="AB905" t="s">
        <v>4338</v>
      </c>
      <c r="AC905" t="str">
        <f>HYPERLINK("plots/3FT6Y578R04_015_S21P_20251218081014_M5358ACSC201811_RBGEUFRF04/dpll_52094/txpa_55148.png","plot")</f>
        <v>plot</v>
      </c>
    </row>
    <row r="906" spans="1:29" x14ac:dyDescent="0.35">
      <c r="A906" t="s">
        <v>49</v>
      </c>
      <c r="B906">
        <v>52094</v>
      </c>
      <c r="C906" t="s">
        <v>53</v>
      </c>
      <c r="D906">
        <v>55149</v>
      </c>
      <c r="E906" t="s">
        <v>282</v>
      </c>
      <c r="F906">
        <v>12028</v>
      </c>
      <c r="G906">
        <v>0.24640809549008411</v>
      </c>
      <c r="H906">
        <v>7.8510170872625159E-166</v>
      </c>
      <c r="I906">
        <v>7.9848859844375047E-166</v>
      </c>
      <c r="J906">
        <v>0.2292630902961354</v>
      </c>
      <c r="K906">
        <v>3.1772062454628562E-143</v>
      </c>
      <c r="L906">
        <v>3.2249120449442799E-143</v>
      </c>
      <c r="M906">
        <v>0.1544053551806186</v>
      </c>
      <c r="N906">
        <v>6.4687202888727703E-142</v>
      </c>
      <c r="O906">
        <v>6.565848221138127E-142</v>
      </c>
      <c r="P906">
        <v>6.0716949523050387E-2</v>
      </c>
      <c r="Q906">
        <v>1.216972899466487</v>
      </c>
      <c r="R906">
        <v>-26.446308833374712</v>
      </c>
      <c r="S906">
        <v>1.139648575166438</v>
      </c>
      <c r="T906">
        <v>0.88374902940535316</v>
      </c>
      <c r="U906">
        <v>4.2436712643831056</v>
      </c>
      <c r="V906">
        <v>0.23810297856178911</v>
      </c>
      <c r="W906">
        <v>-21.281875910375788</v>
      </c>
      <c r="X906">
        <v>1.175955163387105</v>
      </c>
      <c r="Z906" t="s">
        <v>392</v>
      </c>
      <c r="AA906">
        <v>114</v>
      </c>
      <c r="AB906" t="s">
        <v>4339</v>
      </c>
      <c r="AC906" t="str">
        <f>HYPERLINK("plots/3FT6Y578R04_015_S21P_20251218081014_M5358ACSC201811_RBGEUFRF04/dpll_52094/txpa_55149.png","plot")</f>
        <v>plot</v>
      </c>
    </row>
    <row r="907" spans="1:29" x14ac:dyDescent="0.35">
      <c r="A907" t="s">
        <v>49</v>
      </c>
      <c r="B907">
        <v>52094</v>
      </c>
      <c r="C907" t="s">
        <v>53</v>
      </c>
      <c r="D907">
        <v>55150</v>
      </c>
      <c r="E907" t="s">
        <v>283</v>
      </c>
      <c r="F907">
        <v>12028</v>
      </c>
      <c r="G907">
        <v>0.26928644326473877</v>
      </c>
      <c r="H907">
        <v>7.0310755748663851E-199</v>
      </c>
      <c r="I907">
        <v>7.3198261118218833E-199</v>
      </c>
      <c r="J907">
        <v>0.25320861304972758</v>
      </c>
      <c r="K907">
        <v>2.6289959284262229E-175</v>
      </c>
      <c r="L907">
        <v>2.7229845469092861E-175</v>
      </c>
      <c r="M907">
        <v>0.17086346097077951</v>
      </c>
      <c r="N907">
        <v>2.2198185856882331E-173</v>
      </c>
      <c r="O907">
        <v>2.2968326998855799E-173</v>
      </c>
      <c r="P907">
        <v>7.2515188526173405E-2</v>
      </c>
      <c r="Q907">
        <v>1.327747821811011</v>
      </c>
      <c r="R907">
        <v>-26.841723365561791</v>
      </c>
      <c r="S907">
        <v>1.13057996387031</v>
      </c>
      <c r="T907">
        <v>0.87199709416348881</v>
      </c>
      <c r="U907">
        <v>4.2436712643831056</v>
      </c>
      <c r="V907">
        <v>0.23810297856178911</v>
      </c>
      <c r="W907">
        <v>-21.207198087795138</v>
      </c>
      <c r="X907">
        <v>1.173994157742754</v>
      </c>
      <c r="Z907" t="s">
        <v>392</v>
      </c>
      <c r="AA907">
        <v>114</v>
      </c>
      <c r="AB907" t="s">
        <v>4340</v>
      </c>
      <c r="AC907" t="str">
        <f>HYPERLINK("plots/3FT6Y578R04_015_S21P_20251218081014_M5358ACSC201811_RBGEUFRF04/dpll_52094/txpa_55150.png","plot")</f>
        <v>plot</v>
      </c>
    </row>
    <row r="908" spans="1:29" x14ac:dyDescent="0.35">
      <c r="A908" t="s">
        <v>49</v>
      </c>
      <c r="B908">
        <v>52094</v>
      </c>
      <c r="C908" t="s">
        <v>53</v>
      </c>
      <c r="D908">
        <v>55151</v>
      </c>
      <c r="E908" t="s">
        <v>284</v>
      </c>
      <c r="F908">
        <v>12028</v>
      </c>
      <c r="G908">
        <v>0.26125189110757091</v>
      </c>
      <c r="H908">
        <v>6.8308013172534466E-187</v>
      </c>
      <c r="I908">
        <v>7.0247794479665263E-187</v>
      </c>
      <c r="J908">
        <v>0.24863940317312291</v>
      </c>
      <c r="K908">
        <v>6.5792303617173755E-169</v>
      </c>
      <c r="L908">
        <v>6.7455405326404636E-169</v>
      </c>
      <c r="M908">
        <v>0.16768165515815739</v>
      </c>
      <c r="N908">
        <v>5.0959474670546771E-167</v>
      </c>
      <c r="O908">
        <v>5.2247631259792137E-167</v>
      </c>
      <c r="P908">
        <v>6.8252550607282095E-2</v>
      </c>
      <c r="Q908">
        <v>1.290040432614955</v>
      </c>
      <c r="R908">
        <v>-26.729648517272281</v>
      </c>
      <c r="S908">
        <v>1.1348533910916301</v>
      </c>
      <c r="T908">
        <v>0.87810055451734248</v>
      </c>
      <c r="U908">
        <v>4.2436712643831056</v>
      </c>
      <c r="V908">
        <v>0.23810297856178911</v>
      </c>
      <c r="W908">
        <v>-21.25514100349185</v>
      </c>
      <c r="X908">
        <v>1.1757329991700809</v>
      </c>
      <c r="Z908" t="s">
        <v>392</v>
      </c>
      <c r="AA908">
        <v>114</v>
      </c>
      <c r="AB908" t="s">
        <v>4341</v>
      </c>
      <c r="AC908" t="str">
        <f>HYPERLINK("plots/3FT6Y578R04_015_S21P_20251218081014_M5358ACSC201811_RBGEUFRF04/dpll_52094/txpa_55151.png","plot")</f>
        <v>plot</v>
      </c>
    </row>
    <row r="909" spans="1:29" x14ac:dyDescent="0.35">
      <c r="A909" t="s">
        <v>49</v>
      </c>
      <c r="B909">
        <v>52094</v>
      </c>
      <c r="C909" t="s">
        <v>53</v>
      </c>
      <c r="D909">
        <v>55152</v>
      </c>
      <c r="E909" t="s">
        <v>285</v>
      </c>
      <c r="F909">
        <v>12028</v>
      </c>
      <c r="G909">
        <v>0.26188711778595142</v>
      </c>
      <c r="H909">
        <v>7.9777691865117864E-188</v>
      </c>
      <c r="I909">
        <v>8.2293570245401333E-188</v>
      </c>
      <c r="J909">
        <v>0.25290886014151748</v>
      </c>
      <c r="K909">
        <v>6.9756957811274702E-175</v>
      </c>
      <c r="L909">
        <v>7.2103522141317593E-175</v>
      </c>
      <c r="M909">
        <v>0.17089619138651779</v>
      </c>
      <c r="N909">
        <v>2.3711309621534098E-173</v>
      </c>
      <c r="O909">
        <v>2.4508937773940452E-173</v>
      </c>
      <c r="P909">
        <v>6.858486246223279E-2</v>
      </c>
      <c r="Q909">
        <v>1.3014148125815499</v>
      </c>
      <c r="R909">
        <v>-26.827541026300931</v>
      </c>
      <c r="S909">
        <v>1.141878851317671</v>
      </c>
      <c r="T909">
        <v>0.88686005795828948</v>
      </c>
      <c r="U909">
        <v>4.2436712643831056</v>
      </c>
      <c r="V909">
        <v>0.23810297856178911</v>
      </c>
      <c r="W909">
        <v>-21.304764383106079</v>
      </c>
      <c r="X909">
        <v>1.1832225496229509</v>
      </c>
      <c r="Z909" t="s">
        <v>392</v>
      </c>
      <c r="AA909">
        <v>114</v>
      </c>
      <c r="AB909" t="s">
        <v>4342</v>
      </c>
      <c r="AC909" t="str">
        <f>HYPERLINK("plots/3FT6Y578R04_015_S21P_20251218081014_M5358ACSC201811_RBGEUFRF04/dpll_52094/txpa_55152.png","plot")</f>
        <v>plot</v>
      </c>
    </row>
    <row r="910" spans="1:29" x14ac:dyDescent="0.35">
      <c r="A910" t="s">
        <v>49</v>
      </c>
      <c r="B910">
        <v>52094</v>
      </c>
      <c r="C910" t="s">
        <v>53</v>
      </c>
      <c r="D910">
        <v>55153</v>
      </c>
      <c r="E910" t="s">
        <v>286</v>
      </c>
      <c r="F910">
        <v>12028</v>
      </c>
      <c r="G910">
        <v>0.24139955579847011</v>
      </c>
      <c r="H910">
        <v>4.8712805255717567E-159</v>
      </c>
      <c r="I910">
        <v>4.9394784529297617E-159</v>
      </c>
      <c r="J910">
        <v>0.22686411509004459</v>
      </c>
      <c r="K910">
        <v>3.3181272983565192E-140</v>
      </c>
      <c r="L910">
        <v>3.3645810805335098E-140</v>
      </c>
      <c r="M910">
        <v>0.15347807671690919</v>
      </c>
      <c r="N910">
        <v>3.3250439519893301E-140</v>
      </c>
      <c r="O910">
        <v>3.3715945673171812E-140</v>
      </c>
      <c r="P910">
        <v>5.8273745539698669E-2</v>
      </c>
      <c r="Q910">
        <v>1.208599918911005</v>
      </c>
      <c r="R910">
        <v>-26.424741183331321</v>
      </c>
      <c r="S910">
        <v>1.156791815783718</v>
      </c>
      <c r="T910">
        <v>0.89912155734540844</v>
      </c>
      <c r="U910">
        <v>4.2436712643831056</v>
      </c>
      <c r="V910">
        <v>0.23810297856178911</v>
      </c>
      <c r="W910">
        <v>-21.29584043731294</v>
      </c>
      <c r="X910">
        <v>1.1920951537395941</v>
      </c>
      <c r="Z910" t="s">
        <v>392</v>
      </c>
      <c r="AA910">
        <v>114</v>
      </c>
      <c r="AB910" t="s">
        <v>4343</v>
      </c>
      <c r="AC910" t="str">
        <f>HYPERLINK("plots/3FT6Y578R04_015_S21P_20251218081014_M5358ACSC201811_RBGEUFRF04/dpll_52094/txpa_55153.png","plot")</f>
        <v>plot</v>
      </c>
    </row>
    <row r="911" spans="1:29" x14ac:dyDescent="0.35">
      <c r="A911" t="s">
        <v>49</v>
      </c>
      <c r="B911">
        <v>52094</v>
      </c>
      <c r="C911" t="s">
        <v>53</v>
      </c>
      <c r="D911">
        <v>55154</v>
      </c>
      <c r="E911" t="s">
        <v>287</v>
      </c>
      <c r="F911">
        <v>12028</v>
      </c>
      <c r="G911">
        <v>0.25696029462408632</v>
      </c>
      <c r="H911">
        <v>1.167659523586938E-180</v>
      </c>
      <c r="I911">
        <v>1.191153678991102E-180</v>
      </c>
      <c r="J911">
        <v>0.23864750363337539</v>
      </c>
      <c r="K911">
        <v>2.2568358466326858E-155</v>
      </c>
      <c r="L911">
        <v>2.2999312045080838E-155</v>
      </c>
      <c r="M911">
        <v>0.16108743620312249</v>
      </c>
      <c r="N911">
        <v>3.1959378760984863E-154</v>
      </c>
      <c r="O911">
        <v>3.2569658355415731E-154</v>
      </c>
      <c r="P911">
        <v>6.6028593013297221E-2</v>
      </c>
      <c r="Q911">
        <v>1.2864420904402889</v>
      </c>
      <c r="R911">
        <v>-26.840615979817301</v>
      </c>
      <c r="S911">
        <v>1.1519610206895989</v>
      </c>
      <c r="T911">
        <v>0.89924124221832558</v>
      </c>
      <c r="U911">
        <v>4.2436712643831056</v>
      </c>
      <c r="V911">
        <v>0.23810297856178911</v>
      </c>
      <c r="W911">
        <v>-21.381378647322911</v>
      </c>
      <c r="X911">
        <v>1.192035111608156</v>
      </c>
      <c r="Z911" t="s">
        <v>392</v>
      </c>
      <c r="AA911">
        <v>114</v>
      </c>
      <c r="AB911" t="s">
        <v>4344</v>
      </c>
      <c r="AC911" t="str">
        <f>HYPERLINK("plots/3FT6Y578R04_015_S21P_20251218081014_M5358ACSC201811_RBGEUFRF04/dpll_52094/txpa_55154.png","plot")</f>
        <v>plot</v>
      </c>
    </row>
    <row r="912" spans="1:29" x14ac:dyDescent="0.35">
      <c r="A912" t="s">
        <v>49</v>
      </c>
      <c r="B912">
        <v>52094</v>
      </c>
      <c r="C912" t="s">
        <v>53</v>
      </c>
      <c r="D912">
        <v>55155</v>
      </c>
      <c r="E912" t="s">
        <v>288</v>
      </c>
      <c r="F912">
        <v>12028</v>
      </c>
      <c r="G912">
        <v>0.51057779640584533</v>
      </c>
      <c r="H912">
        <v>0</v>
      </c>
      <c r="I912">
        <v>0</v>
      </c>
      <c r="J912">
        <v>0.44953993650257762</v>
      </c>
      <c r="K912">
        <v>0</v>
      </c>
      <c r="L912">
        <v>0</v>
      </c>
      <c r="M912">
        <v>0.30992381493090831</v>
      </c>
      <c r="N912">
        <v>0</v>
      </c>
      <c r="O912">
        <v>0</v>
      </c>
      <c r="P912">
        <v>0.26068968618264893</v>
      </c>
      <c r="Q912">
        <v>0.70584427501650648</v>
      </c>
      <c r="R912">
        <v>-14.601600815104669</v>
      </c>
      <c r="S912">
        <v>0.28301348447538738</v>
      </c>
      <c r="T912">
        <v>0.2194482647333226</v>
      </c>
      <c r="U912">
        <v>4.2436712643831056</v>
      </c>
      <c r="V912">
        <v>0.23810297856178911</v>
      </c>
      <c r="W912">
        <v>-11.60622974808779</v>
      </c>
      <c r="X912">
        <v>0.32916359752672691</v>
      </c>
      <c r="Z912" t="s">
        <v>392</v>
      </c>
      <c r="AA912">
        <v>114</v>
      </c>
      <c r="AB912" t="s">
        <v>4345</v>
      </c>
      <c r="AC912" t="str">
        <f>HYPERLINK("plots/3FT6Y578R04_015_S21P_20251218081014_M5358ACSC201811_RBGEUFRF04/dpll_52094/txpa_55155.png","plot")</f>
        <v>plot</v>
      </c>
    </row>
    <row r="913" spans="1:29" x14ac:dyDescent="0.35">
      <c r="A913" t="s">
        <v>49</v>
      </c>
      <c r="B913">
        <v>52094</v>
      </c>
      <c r="C913" t="s">
        <v>53</v>
      </c>
      <c r="D913">
        <v>55156</v>
      </c>
      <c r="E913" t="s">
        <v>289</v>
      </c>
      <c r="F913">
        <v>12028</v>
      </c>
      <c r="G913">
        <v>0.5492442417494825</v>
      </c>
      <c r="H913">
        <v>0</v>
      </c>
      <c r="I913">
        <v>0</v>
      </c>
      <c r="J913">
        <v>0.48098966256804671</v>
      </c>
      <c r="K913">
        <v>0</v>
      </c>
      <c r="L913">
        <v>0</v>
      </c>
      <c r="M913">
        <v>0.33429976015459878</v>
      </c>
      <c r="N913">
        <v>0</v>
      </c>
      <c r="O913">
        <v>0</v>
      </c>
      <c r="P913">
        <v>0.30166923709496402</v>
      </c>
      <c r="Q913">
        <v>0.75903428983455667</v>
      </c>
      <c r="R913">
        <v>-14.764049362284069</v>
      </c>
      <c r="S913">
        <v>0.27496235855828222</v>
      </c>
      <c r="T913">
        <v>0.215028796242139</v>
      </c>
      <c r="U913">
        <v>4.2436712643831056</v>
      </c>
      <c r="V913">
        <v>0.23810297856178911</v>
      </c>
      <c r="W913">
        <v>-11.54295735783173</v>
      </c>
      <c r="X913">
        <v>0.32904910329960768</v>
      </c>
      <c r="Z913" t="s">
        <v>392</v>
      </c>
      <c r="AA913">
        <v>114</v>
      </c>
      <c r="AB913" t="s">
        <v>4346</v>
      </c>
      <c r="AC913" t="str">
        <f>HYPERLINK("plots/3FT6Y578R04_015_S21P_20251218081014_M5358ACSC201811_RBGEUFRF04/dpll_52094/txpa_55156.png","plot")</f>
        <v>plot</v>
      </c>
    </row>
    <row r="914" spans="1:29" x14ac:dyDescent="0.35">
      <c r="A914" t="s">
        <v>49</v>
      </c>
      <c r="B914">
        <v>52094</v>
      </c>
      <c r="C914" t="s">
        <v>53</v>
      </c>
      <c r="D914">
        <v>55157</v>
      </c>
      <c r="E914" t="s">
        <v>290</v>
      </c>
      <c r="F914">
        <v>12028</v>
      </c>
      <c r="G914">
        <v>0.53855593114669753</v>
      </c>
      <c r="H914">
        <v>0</v>
      </c>
      <c r="I914">
        <v>0</v>
      </c>
      <c r="J914">
        <v>0.46615633947824281</v>
      </c>
      <c r="K914">
        <v>0</v>
      </c>
      <c r="L914">
        <v>0</v>
      </c>
      <c r="M914">
        <v>0.32361195728956732</v>
      </c>
      <c r="N914">
        <v>0</v>
      </c>
      <c r="O914">
        <v>0</v>
      </c>
      <c r="P914">
        <v>0.29004249097328638</v>
      </c>
      <c r="Q914">
        <v>0.73031591400017271</v>
      </c>
      <c r="R914">
        <v>-14.61923553844357</v>
      </c>
      <c r="S914">
        <v>0.27204635012652001</v>
      </c>
      <c r="T914">
        <v>0.2132224694221537</v>
      </c>
      <c r="U914">
        <v>4.2436712643831056</v>
      </c>
      <c r="V914">
        <v>0.23810297856178911</v>
      </c>
      <c r="W914">
        <v>-11.52001488027935</v>
      </c>
      <c r="X914">
        <v>0.32288270234860789</v>
      </c>
      <c r="Z914" t="s">
        <v>392</v>
      </c>
      <c r="AA914">
        <v>114</v>
      </c>
      <c r="AB914" t="s">
        <v>4347</v>
      </c>
      <c r="AC914" t="str">
        <f>HYPERLINK("plots/3FT6Y578R04_015_S21P_20251218081014_M5358ACSC201811_RBGEUFRF04/dpll_52094/txpa_55157.png","plot")</f>
        <v>plot</v>
      </c>
    </row>
    <row r="915" spans="1:29" x14ac:dyDescent="0.35">
      <c r="A915" t="s">
        <v>49</v>
      </c>
      <c r="B915">
        <v>52094</v>
      </c>
      <c r="C915" t="s">
        <v>53</v>
      </c>
      <c r="D915">
        <v>55158</v>
      </c>
      <c r="E915" t="s">
        <v>291</v>
      </c>
      <c r="F915">
        <v>12028</v>
      </c>
      <c r="G915">
        <v>0.56067255058262055</v>
      </c>
      <c r="H915">
        <v>0</v>
      </c>
      <c r="I915">
        <v>0</v>
      </c>
      <c r="J915">
        <v>0.4884570580911945</v>
      </c>
      <c r="K915">
        <v>0</v>
      </c>
      <c r="L915">
        <v>0</v>
      </c>
      <c r="M915">
        <v>0.33987329705653158</v>
      </c>
      <c r="N915">
        <v>0</v>
      </c>
      <c r="O915">
        <v>0</v>
      </c>
      <c r="P915">
        <v>0.31435370897682119</v>
      </c>
      <c r="Q915">
        <v>0.77806590688824884</v>
      </c>
      <c r="R915">
        <v>-14.794995769567519</v>
      </c>
      <c r="S915">
        <v>0.27359233821032769</v>
      </c>
      <c r="T915">
        <v>0.21350745789795919</v>
      </c>
      <c r="U915">
        <v>4.2436712643831056</v>
      </c>
      <c r="V915">
        <v>0.23810297856178911</v>
      </c>
      <c r="W915">
        <v>-11.493139838709681</v>
      </c>
      <c r="X915">
        <v>0.33042425521805852</v>
      </c>
      <c r="Z915" t="s">
        <v>392</v>
      </c>
      <c r="AA915">
        <v>114</v>
      </c>
      <c r="AB915" t="s">
        <v>4348</v>
      </c>
      <c r="AC915" t="str">
        <f>HYPERLINK("plots/3FT6Y578R04_015_S21P_20251218081014_M5358ACSC201811_RBGEUFRF04/dpll_52094/txpa_55158.png","plot")</f>
        <v>plot</v>
      </c>
    </row>
    <row r="916" spans="1:29" x14ac:dyDescent="0.35">
      <c r="A916" t="s">
        <v>49</v>
      </c>
      <c r="B916">
        <v>52094</v>
      </c>
      <c r="C916" t="s">
        <v>53</v>
      </c>
      <c r="D916">
        <v>55159</v>
      </c>
      <c r="E916" t="s">
        <v>292</v>
      </c>
      <c r="F916">
        <v>12027</v>
      </c>
      <c r="G916">
        <v>0.54907470820176918</v>
      </c>
      <c r="H916">
        <v>0</v>
      </c>
      <c r="I916">
        <v>0</v>
      </c>
      <c r="J916">
        <v>0.47437847847284847</v>
      </c>
      <c r="K916">
        <v>0</v>
      </c>
      <c r="L916">
        <v>0</v>
      </c>
      <c r="M916">
        <v>0.32896936596539789</v>
      </c>
      <c r="N916">
        <v>0</v>
      </c>
      <c r="O916">
        <v>0</v>
      </c>
      <c r="P916">
        <v>0.30148303518685798</v>
      </c>
      <c r="Q916">
        <v>0.76545547262349645</v>
      </c>
      <c r="R916">
        <v>-14.75771200511365</v>
      </c>
      <c r="S916">
        <v>0.277397122375032</v>
      </c>
      <c r="T916">
        <v>0.21672375124868329</v>
      </c>
      <c r="U916">
        <v>4.2436418554918101</v>
      </c>
      <c r="V916">
        <v>0.23809103076034549</v>
      </c>
      <c r="W916">
        <v>-11.509393122973311</v>
      </c>
      <c r="X916">
        <v>0.3319185527137864</v>
      </c>
      <c r="Z916" t="s">
        <v>392</v>
      </c>
      <c r="AA916">
        <v>114</v>
      </c>
      <c r="AB916" t="s">
        <v>4349</v>
      </c>
      <c r="AC916" t="str">
        <f>HYPERLINK("plots/3FT6Y578R04_015_S21P_20251218081014_M5358ACSC201811_RBGEUFRF04/dpll_52094/txpa_55159.png","plot")</f>
        <v>plot</v>
      </c>
    </row>
    <row r="917" spans="1:29" x14ac:dyDescent="0.35">
      <c r="A917" t="s">
        <v>49</v>
      </c>
      <c r="B917">
        <v>52094</v>
      </c>
      <c r="C917" t="s">
        <v>53</v>
      </c>
      <c r="D917">
        <v>55160</v>
      </c>
      <c r="E917" t="s">
        <v>293</v>
      </c>
      <c r="F917">
        <v>12028</v>
      </c>
      <c r="G917">
        <v>0.55774641492955768</v>
      </c>
      <c r="H917">
        <v>0</v>
      </c>
      <c r="I917">
        <v>0</v>
      </c>
      <c r="J917">
        <v>0.48939318537700288</v>
      </c>
      <c r="K917">
        <v>0</v>
      </c>
      <c r="L917">
        <v>0</v>
      </c>
      <c r="M917">
        <v>0.34080159321365638</v>
      </c>
      <c r="N917">
        <v>0</v>
      </c>
      <c r="O917">
        <v>0</v>
      </c>
      <c r="P917">
        <v>0.31108106336677432</v>
      </c>
      <c r="Q917">
        <v>0.76538631216462194</v>
      </c>
      <c r="R917">
        <v>-14.766921522131391</v>
      </c>
      <c r="S917">
        <v>0.27119066692640481</v>
      </c>
      <c r="T917">
        <v>0.21277601859962619</v>
      </c>
      <c r="U917">
        <v>4.2436712643831056</v>
      </c>
      <c r="V917">
        <v>0.23810297856178911</v>
      </c>
      <c r="W917">
        <v>-11.518873623046231</v>
      </c>
      <c r="X917">
        <v>0.32674483564333878</v>
      </c>
      <c r="Z917" t="s">
        <v>392</v>
      </c>
      <c r="AA917">
        <v>114</v>
      </c>
      <c r="AB917" t="s">
        <v>4350</v>
      </c>
      <c r="AC917" t="str">
        <f>HYPERLINK("plots/3FT6Y578R04_015_S21P_20251218081014_M5358ACSC201811_RBGEUFRF04/dpll_52094/txpa_55160.png","plot")</f>
        <v>plot</v>
      </c>
    </row>
    <row r="918" spans="1:29" x14ac:dyDescent="0.35">
      <c r="A918" t="s">
        <v>49</v>
      </c>
      <c r="B918">
        <v>52094</v>
      </c>
      <c r="C918" t="s">
        <v>53</v>
      </c>
      <c r="D918">
        <v>55161</v>
      </c>
      <c r="E918" t="s">
        <v>294</v>
      </c>
      <c r="F918">
        <v>12028</v>
      </c>
      <c r="G918">
        <v>0.54995629041101779</v>
      </c>
      <c r="H918">
        <v>0</v>
      </c>
      <c r="I918">
        <v>0</v>
      </c>
      <c r="J918">
        <v>0.47602159249299059</v>
      </c>
      <c r="K918">
        <v>0</v>
      </c>
      <c r="L918">
        <v>0</v>
      </c>
      <c r="M918">
        <v>0.33011193194688943</v>
      </c>
      <c r="N918">
        <v>0</v>
      </c>
      <c r="O918">
        <v>0</v>
      </c>
      <c r="P918">
        <v>0.30245192136264781</v>
      </c>
      <c r="Q918">
        <v>0.74632889289669724</v>
      </c>
      <c r="R918">
        <v>-14.683299117402621</v>
      </c>
      <c r="S918">
        <v>0.26985839218411251</v>
      </c>
      <c r="T918">
        <v>0.21236311889316131</v>
      </c>
      <c r="U918">
        <v>4.2436712643831056</v>
      </c>
      <c r="V918">
        <v>0.23810297856178911</v>
      </c>
      <c r="W918">
        <v>-11.516124640838051</v>
      </c>
      <c r="X918">
        <v>0.32312228350477989</v>
      </c>
      <c r="Z918" t="s">
        <v>392</v>
      </c>
      <c r="AA918">
        <v>114</v>
      </c>
      <c r="AB918" t="s">
        <v>4351</v>
      </c>
      <c r="AC918" t="str">
        <f>HYPERLINK("plots/3FT6Y578R04_015_S21P_20251218081014_M5358ACSC201811_RBGEUFRF04/dpll_52094/txpa_55161.png","plot")</f>
        <v>plot</v>
      </c>
    </row>
    <row r="919" spans="1:29" x14ac:dyDescent="0.35">
      <c r="A919" t="s">
        <v>49</v>
      </c>
      <c r="B919">
        <v>52094</v>
      </c>
      <c r="C919" t="s">
        <v>53</v>
      </c>
      <c r="D919">
        <v>55162</v>
      </c>
      <c r="E919" t="s">
        <v>295</v>
      </c>
      <c r="F919">
        <v>12028</v>
      </c>
      <c r="G919">
        <v>0.53240009653555842</v>
      </c>
      <c r="H919">
        <v>0</v>
      </c>
      <c r="I919">
        <v>0</v>
      </c>
      <c r="J919">
        <v>0.46212409306783242</v>
      </c>
      <c r="K919">
        <v>0</v>
      </c>
      <c r="L919">
        <v>0</v>
      </c>
      <c r="M919">
        <v>0.32031520785766449</v>
      </c>
      <c r="N919">
        <v>0</v>
      </c>
      <c r="O919">
        <v>0</v>
      </c>
      <c r="P919">
        <v>0.28344986279107193</v>
      </c>
      <c r="Q919">
        <v>0.72980343955047244</v>
      </c>
      <c r="R919">
        <v>-14.68615263515143</v>
      </c>
      <c r="S919">
        <v>0.27627261987540008</v>
      </c>
      <c r="T919">
        <v>0.2156258032720744</v>
      </c>
      <c r="U919">
        <v>4.2436712643831056</v>
      </c>
      <c r="V919">
        <v>0.23810297856178911</v>
      </c>
      <c r="W919">
        <v>-11.58910675008314</v>
      </c>
      <c r="X919">
        <v>0.32638681670486919</v>
      </c>
      <c r="Z919" t="s">
        <v>392</v>
      </c>
      <c r="AA919">
        <v>114</v>
      </c>
      <c r="AB919" t="s">
        <v>4352</v>
      </c>
      <c r="AC919" t="str">
        <f>HYPERLINK("plots/3FT6Y578R04_015_S21P_20251218081014_M5358ACSC201811_RBGEUFRF04/dpll_52094/txpa_55162.png","plot")</f>
        <v>plot</v>
      </c>
    </row>
    <row r="920" spans="1:29" x14ac:dyDescent="0.35">
      <c r="A920" t="s">
        <v>49</v>
      </c>
      <c r="B920">
        <v>52094</v>
      </c>
      <c r="C920" t="s">
        <v>53</v>
      </c>
      <c r="D920">
        <v>55163</v>
      </c>
      <c r="E920" t="s">
        <v>296</v>
      </c>
      <c r="F920">
        <v>12028</v>
      </c>
      <c r="G920">
        <v>0.50872736611546066</v>
      </c>
      <c r="H920">
        <v>0</v>
      </c>
      <c r="I920">
        <v>0</v>
      </c>
      <c r="J920">
        <v>0.44924192234818522</v>
      </c>
      <c r="K920">
        <v>0</v>
      </c>
      <c r="L920">
        <v>0</v>
      </c>
      <c r="M920">
        <v>0.30898293386489101</v>
      </c>
      <c r="N920">
        <v>0</v>
      </c>
      <c r="O920">
        <v>0</v>
      </c>
      <c r="P920">
        <v>0.25880353303477388</v>
      </c>
      <c r="Q920">
        <v>0.62637501798018858</v>
      </c>
      <c r="R920">
        <v>-8.4091912956407207</v>
      </c>
      <c r="S920">
        <v>0.25238455381269848</v>
      </c>
      <c r="T920">
        <v>0.1958360359288569</v>
      </c>
      <c r="U920">
        <v>4.2436712643831056</v>
      </c>
      <c r="V920">
        <v>0.23810297856178911</v>
      </c>
      <c r="W920">
        <v>-5.7510616311107423</v>
      </c>
      <c r="X920">
        <v>0.29316637439144139</v>
      </c>
      <c r="Z920" t="s">
        <v>392</v>
      </c>
      <c r="AA920">
        <v>114</v>
      </c>
      <c r="AB920" t="s">
        <v>4353</v>
      </c>
      <c r="AC920" t="str">
        <f>HYPERLINK("plots/3FT6Y578R04_015_S21P_20251218081014_M5358ACSC201811_RBGEUFRF04/dpll_52094/txpa_55163.png","plot")</f>
        <v>plot</v>
      </c>
    </row>
    <row r="921" spans="1:29" x14ac:dyDescent="0.35">
      <c r="A921" t="s">
        <v>49</v>
      </c>
      <c r="B921">
        <v>52094</v>
      </c>
      <c r="C921" t="s">
        <v>53</v>
      </c>
      <c r="D921">
        <v>55164</v>
      </c>
      <c r="E921" t="s">
        <v>297</v>
      </c>
      <c r="F921">
        <v>12028</v>
      </c>
      <c r="G921">
        <v>0.53931202866080186</v>
      </c>
      <c r="H921">
        <v>0</v>
      </c>
      <c r="I921">
        <v>0</v>
      </c>
      <c r="J921">
        <v>0.47418349797370962</v>
      </c>
      <c r="K921">
        <v>0</v>
      </c>
      <c r="L921">
        <v>0</v>
      </c>
      <c r="M921">
        <v>0.32920067980862178</v>
      </c>
      <c r="N921">
        <v>0</v>
      </c>
      <c r="O921">
        <v>0</v>
      </c>
      <c r="P921">
        <v>0.29085746425822961</v>
      </c>
      <c r="Q921">
        <v>0.66446473061151057</v>
      </c>
      <c r="R921">
        <v>-8.5282628477422122</v>
      </c>
      <c r="S921">
        <v>0.24702753746199321</v>
      </c>
      <c r="T921">
        <v>0.19328636056706969</v>
      </c>
      <c r="U921">
        <v>4.2436712643831056</v>
      </c>
      <c r="V921">
        <v>0.23810297856178911</v>
      </c>
      <c r="W921">
        <v>-5.7084929642500821</v>
      </c>
      <c r="X921">
        <v>0.29335713483105641</v>
      </c>
      <c r="Z921" t="s">
        <v>392</v>
      </c>
      <c r="AA921">
        <v>114</v>
      </c>
      <c r="AB921" t="s">
        <v>4354</v>
      </c>
      <c r="AC921" t="str">
        <f>HYPERLINK("plots/3FT6Y578R04_015_S21P_20251218081014_M5358ACSC201811_RBGEUFRF04/dpll_52094/txpa_55164.png","plot")</f>
        <v>plot</v>
      </c>
    </row>
    <row r="922" spans="1:29" x14ac:dyDescent="0.35">
      <c r="A922" t="s">
        <v>49</v>
      </c>
      <c r="B922">
        <v>52094</v>
      </c>
      <c r="C922" t="s">
        <v>53</v>
      </c>
      <c r="D922">
        <v>55165</v>
      </c>
      <c r="E922" t="s">
        <v>298</v>
      </c>
      <c r="F922">
        <v>12028</v>
      </c>
      <c r="G922">
        <v>0.52575611755492502</v>
      </c>
      <c r="H922">
        <v>0</v>
      </c>
      <c r="I922">
        <v>0</v>
      </c>
      <c r="J922">
        <v>0.45774691864423939</v>
      </c>
      <c r="K922">
        <v>0</v>
      </c>
      <c r="L922">
        <v>0</v>
      </c>
      <c r="M922">
        <v>0.31666441198758238</v>
      </c>
      <c r="N922">
        <v>0</v>
      </c>
      <c r="O922">
        <v>0</v>
      </c>
      <c r="P922">
        <v>0.27641949514642811</v>
      </c>
      <c r="Q922">
        <v>0.63600201102398257</v>
      </c>
      <c r="R922">
        <v>-8.3868456198120818</v>
      </c>
      <c r="S922">
        <v>0.24499902545842259</v>
      </c>
      <c r="T922">
        <v>0.19216165912920011</v>
      </c>
      <c r="U922">
        <v>4.2436712643831056</v>
      </c>
      <c r="V922">
        <v>0.23810297856178911</v>
      </c>
      <c r="W922">
        <v>-5.6878621615397398</v>
      </c>
      <c r="X922">
        <v>0.28803083433504312</v>
      </c>
      <c r="Z922" t="s">
        <v>392</v>
      </c>
      <c r="AA922">
        <v>114</v>
      </c>
      <c r="AB922" t="s">
        <v>4355</v>
      </c>
      <c r="AC922" t="str">
        <f>HYPERLINK("plots/3FT6Y578R04_015_S21P_20251218081014_M5358ACSC201811_RBGEUFRF04/dpll_52094/txpa_55165.png","plot")</f>
        <v>plot</v>
      </c>
    </row>
    <row r="923" spans="1:29" x14ac:dyDescent="0.35">
      <c r="A923" t="s">
        <v>49</v>
      </c>
      <c r="B923">
        <v>52094</v>
      </c>
      <c r="C923" t="s">
        <v>53</v>
      </c>
      <c r="D923">
        <v>55166</v>
      </c>
      <c r="E923" t="s">
        <v>299</v>
      </c>
      <c r="F923">
        <v>12028</v>
      </c>
      <c r="G923">
        <v>0.55190178574541826</v>
      </c>
      <c r="H923">
        <v>0</v>
      </c>
      <c r="I923">
        <v>0</v>
      </c>
      <c r="J923">
        <v>0.48012069099176119</v>
      </c>
      <c r="K923">
        <v>0</v>
      </c>
      <c r="L923">
        <v>0</v>
      </c>
      <c r="M923">
        <v>0.33374201960251448</v>
      </c>
      <c r="N923">
        <v>0</v>
      </c>
      <c r="O923">
        <v>0</v>
      </c>
      <c r="P923">
        <v>0.30459558110898161</v>
      </c>
      <c r="Q923">
        <v>0.68032965759229325</v>
      </c>
      <c r="R923">
        <v>-8.5615283112316796</v>
      </c>
      <c r="S923">
        <v>0.24475022591203591</v>
      </c>
      <c r="T923">
        <v>0.19189116126730549</v>
      </c>
      <c r="U923">
        <v>4.2436712643831056</v>
      </c>
      <c r="V923">
        <v>0.23810297856178911</v>
      </c>
      <c r="W923">
        <v>-5.6744328929996666</v>
      </c>
      <c r="X923">
        <v>0.29350968244804559</v>
      </c>
      <c r="Z923" t="s">
        <v>392</v>
      </c>
      <c r="AA923">
        <v>114</v>
      </c>
      <c r="AB923" t="s">
        <v>4356</v>
      </c>
      <c r="AC923" t="str">
        <f>HYPERLINK("plots/3FT6Y578R04_015_S21P_20251218081014_M5358ACSC201811_RBGEUFRF04/dpll_52094/txpa_55166.png","plot")</f>
        <v>plot</v>
      </c>
    </row>
    <row r="924" spans="1:29" x14ac:dyDescent="0.35">
      <c r="A924" t="s">
        <v>49</v>
      </c>
      <c r="B924">
        <v>52094</v>
      </c>
      <c r="C924" t="s">
        <v>53</v>
      </c>
      <c r="D924">
        <v>55167</v>
      </c>
      <c r="E924" t="s">
        <v>300</v>
      </c>
      <c r="F924">
        <v>12027</v>
      </c>
      <c r="G924">
        <v>0.54635873867402684</v>
      </c>
      <c r="H924">
        <v>0</v>
      </c>
      <c r="I924">
        <v>0</v>
      </c>
      <c r="J924">
        <v>0.46864838535762432</v>
      </c>
      <c r="K924">
        <v>0</v>
      </c>
      <c r="L924">
        <v>0</v>
      </c>
      <c r="M924">
        <v>0.32390998265459942</v>
      </c>
      <c r="N924">
        <v>0</v>
      </c>
      <c r="O924">
        <v>0</v>
      </c>
      <c r="P924">
        <v>0.29850787132547357</v>
      </c>
      <c r="Q924">
        <v>0.67200253590879033</v>
      </c>
      <c r="R924">
        <v>-8.5373086820434345</v>
      </c>
      <c r="S924">
        <v>0.24526151058373721</v>
      </c>
      <c r="T924">
        <v>0.19361703196244981</v>
      </c>
      <c r="U924">
        <v>4.2436418554918101</v>
      </c>
      <c r="V924">
        <v>0.23809103076034549</v>
      </c>
      <c r="W924">
        <v>-5.6855705936642549</v>
      </c>
      <c r="X924">
        <v>0.29284381327256348</v>
      </c>
      <c r="Z924" t="s">
        <v>392</v>
      </c>
      <c r="AA924">
        <v>114</v>
      </c>
      <c r="AB924" t="s">
        <v>4357</v>
      </c>
      <c r="AC924" t="str">
        <f>HYPERLINK("plots/3FT6Y578R04_015_S21P_20251218081014_M5358ACSC201811_RBGEUFRF04/dpll_52094/txpa_55167.png","plot")</f>
        <v>plot</v>
      </c>
    </row>
    <row r="925" spans="1:29" x14ac:dyDescent="0.35">
      <c r="A925" t="s">
        <v>49</v>
      </c>
      <c r="B925">
        <v>52094</v>
      </c>
      <c r="C925" t="s">
        <v>53</v>
      </c>
      <c r="D925">
        <v>55168</v>
      </c>
      <c r="E925" t="s">
        <v>301</v>
      </c>
      <c r="F925">
        <v>12028</v>
      </c>
      <c r="G925">
        <v>0.55375681683934341</v>
      </c>
      <c r="H925">
        <v>0</v>
      </c>
      <c r="I925">
        <v>0</v>
      </c>
      <c r="J925">
        <v>0.48404201399104801</v>
      </c>
      <c r="K925">
        <v>0</v>
      </c>
      <c r="L925">
        <v>0</v>
      </c>
      <c r="M925">
        <v>0.33630114024466268</v>
      </c>
      <c r="N925">
        <v>0</v>
      </c>
      <c r="O925">
        <v>0</v>
      </c>
      <c r="P925">
        <v>0.30664661219604211</v>
      </c>
      <c r="Q925">
        <v>0.6779168966816459</v>
      </c>
      <c r="R925">
        <v>-8.5623304945765319</v>
      </c>
      <c r="S925">
        <v>0.24270653386887961</v>
      </c>
      <c r="T925">
        <v>0.19135927706039091</v>
      </c>
      <c r="U925">
        <v>4.2436712643831056</v>
      </c>
      <c r="V925">
        <v>0.23810297856178911</v>
      </c>
      <c r="W925">
        <v>-5.6854740404888604</v>
      </c>
      <c r="X925">
        <v>0.29148902082788108</v>
      </c>
      <c r="Z925" t="s">
        <v>392</v>
      </c>
      <c r="AA925">
        <v>114</v>
      </c>
      <c r="AB925" t="s">
        <v>4358</v>
      </c>
      <c r="AC925" t="str">
        <f>HYPERLINK("plots/3FT6Y578R04_015_S21P_20251218081014_M5358ACSC201811_RBGEUFRF04/dpll_52094/txpa_55168.png","plot")</f>
        <v>plot</v>
      </c>
    </row>
    <row r="926" spans="1:29" x14ac:dyDescent="0.35">
      <c r="A926" t="s">
        <v>49</v>
      </c>
      <c r="B926">
        <v>52094</v>
      </c>
      <c r="C926" t="s">
        <v>53</v>
      </c>
      <c r="D926">
        <v>55169</v>
      </c>
      <c r="E926" t="s">
        <v>302</v>
      </c>
      <c r="F926">
        <v>12028</v>
      </c>
      <c r="G926">
        <v>0.54746518161760904</v>
      </c>
      <c r="H926">
        <v>0</v>
      </c>
      <c r="I926">
        <v>0</v>
      </c>
      <c r="J926">
        <v>0.47215051522409829</v>
      </c>
      <c r="K926">
        <v>0</v>
      </c>
      <c r="L926">
        <v>0</v>
      </c>
      <c r="M926">
        <v>0.32639020594976959</v>
      </c>
      <c r="N926">
        <v>0</v>
      </c>
      <c r="O926">
        <v>0</v>
      </c>
      <c r="P926">
        <v>0.29971812508360163</v>
      </c>
      <c r="Q926">
        <v>0.65898785041463492</v>
      </c>
      <c r="R926">
        <v>-8.4781588498593994</v>
      </c>
      <c r="S926">
        <v>0.23983033886071689</v>
      </c>
      <c r="T926">
        <v>0.18952058851004169</v>
      </c>
      <c r="U926">
        <v>4.2436712643831056</v>
      </c>
      <c r="V926">
        <v>0.23810297856178911</v>
      </c>
      <c r="W926">
        <v>-5.6816310454772196</v>
      </c>
      <c r="X926">
        <v>0.28660629988584529</v>
      </c>
      <c r="Z926" t="s">
        <v>392</v>
      </c>
      <c r="AA926">
        <v>114</v>
      </c>
      <c r="AB926" t="s">
        <v>4359</v>
      </c>
      <c r="AC926" t="str">
        <f>HYPERLINK("plots/3FT6Y578R04_015_S21P_20251218081014_M5358ACSC201811_RBGEUFRF04/dpll_52094/txpa_55169.png","plot")</f>
        <v>plot</v>
      </c>
    </row>
    <row r="927" spans="1:29" x14ac:dyDescent="0.35">
      <c r="A927" t="s">
        <v>49</v>
      </c>
      <c r="B927">
        <v>52094</v>
      </c>
      <c r="C927" t="s">
        <v>53</v>
      </c>
      <c r="D927">
        <v>55170</v>
      </c>
      <c r="E927" t="s">
        <v>303</v>
      </c>
      <c r="F927">
        <v>12028</v>
      </c>
      <c r="G927">
        <v>0.53331101521142277</v>
      </c>
      <c r="H927">
        <v>0</v>
      </c>
      <c r="I927">
        <v>0</v>
      </c>
      <c r="J927">
        <v>0.46145042014022708</v>
      </c>
      <c r="K927">
        <v>0</v>
      </c>
      <c r="L927">
        <v>0</v>
      </c>
      <c r="M927">
        <v>0.31946533206438699</v>
      </c>
      <c r="N927">
        <v>0</v>
      </c>
      <c r="O927">
        <v>0</v>
      </c>
      <c r="P927">
        <v>0.28442063894583841</v>
      </c>
      <c r="Q927">
        <v>0.6507343495763116</v>
      </c>
      <c r="R927">
        <v>-8.4954860243606181</v>
      </c>
      <c r="S927">
        <v>0.2457530152832143</v>
      </c>
      <c r="T927">
        <v>0.19299210548095419</v>
      </c>
      <c r="U927">
        <v>4.2436712643831056</v>
      </c>
      <c r="V927">
        <v>0.23810297856178911</v>
      </c>
      <c r="W927">
        <v>-5.7339833643165941</v>
      </c>
      <c r="X927">
        <v>0.29052800798641659</v>
      </c>
      <c r="Z927" t="s">
        <v>392</v>
      </c>
      <c r="AA927">
        <v>114</v>
      </c>
      <c r="AB927" t="s">
        <v>4360</v>
      </c>
      <c r="AC927" t="str">
        <f>HYPERLINK("plots/3FT6Y578R04_015_S21P_20251218081014_M5358ACSC201811_RBGEUFRF04/dpll_52094/txpa_55170.png","plot")</f>
        <v>plot</v>
      </c>
    </row>
    <row r="928" spans="1:29" x14ac:dyDescent="0.35">
      <c r="A928" t="s">
        <v>49</v>
      </c>
      <c r="B928">
        <v>52094</v>
      </c>
      <c r="C928" t="s">
        <v>53</v>
      </c>
      <c r="D928">
        <v>55171</v>
      </c>
      <c r="E928" t="s">
        <v>304</v>
      </c>
      <c r="F928">
        <v>12028</v>
      </c>
      <c r="G928">
        <v>0.51776278139488541</v>
      </c>
      <c r="H928">
        <v>0</v>
      </c>
      <c r="I928">
        <v>0</v>
      </c>
      <c r="J928">
        <v>0.46215636124139509</v>
      </c>
      <c r="K928">
        <v>0</v>
      </c>
      <c r="L928">
        <v>0</v>
      </c>
      <c r="M928">
        <v>0.31814298391342322</v>
      </c>
      <c r="N928">
        <v>0</v>
      </c>
      <c r="O928">
        <v>0</v>
      </c>
      <c r="P928">
        <v>0.26807829779776787</v>
      </c>
      <c r="Q928">
        <v>0.63447148440322565</v>
      </c>
      <c r="R928">
        <v>-5.3655917817234506</v>
      </c>
      <c r="S928">
        <v>0.2496090720439256</v>
      </c>
      <c r="T928">
        <v>0.19365797504031931</v>
      </c>
      <c r="U928">
        <v>4.2436712643831056</v>
      </c>
      <c r="V928">
        <v>0.23810297856178911</v>
      </c>
      <c r="W928">
        <v>-2.6731033752909878</v>
      </c>
      <c r="X928">
        <v>0.29177367643525248</v>
      </c>
      <c r="Z928" t="s">
        <v>392</v>
      </c>
      <c r="AA928">
        <v>114</v>
      </c>
      <c r="AB928" t="s">
        <v>4361</v>
      </c>
      <c r="AC928" t="str">
        <f>HYPERLINK("plots/3FT6Y578R04_015_S21P_20251218081014_M5358ACSC201811_RBGEUFRF04/dpll_52094/txpa_55171.png","plot")</f>
        <v>plot</v>
      </c>
    </row>
    <row r="929" spans="1:29" x14ac:dyDescent="0.35">
      <c r="A929" t="s">
        <v>49</v>
      </c>
      <c r="B929">
        <v>52094</v>
      </c>
      <c r="C929" t="s">
        <v>53</v>
      </c>
      <c r="D929">
        <v>55172</v>
      </c>
      <c r="E929" t="s">
        <v>305</v>
      </c>
      <c r="F929">
        <v>12028</v>
      </c>
      <c r="G929">
        <v>0.54708664356033188</v>
      </c>
      <c r="H929">
        <v>0</v>
      </c>
      <c r="I929">
        <v>0</v>
      </c>
      <c r="J929">
        <v>0.48528262093765873</v>
      </c>
      <c r="K929">
        <v>0</v>
      </c>
      <c r="L929">
        <v>0</v>
      </c>
      <c r="M929">
        <v>0.33714938891267759</v>
      </c>
      <c r="N929">
        <v>0</v>
      </c>
      <c r="O929">
        <v>0</v>
      </c>
      <c r="P929">
        <v>0.29930379556210962</v>
      </c>
      <c r="Q929">
        <v>0.67031720906197811</v>
      </c>
      <c r="R929">
        <v>-5.4812801750083882</v>
      </c>
      <c r="S929">
        <v>0.24419451995086819</v>
      </c>
      <c r="T929">
        <v>0.1911757696999653</v>
      </c>
      <c r="U929">
        <v>4.2436712643831056</v>
      </c>
      <c r="V929">
        <v>0.23810297856178911</v>
      </c>
      <c r="W929">
        <v>-2.6366742968905879</v>
      </c>
      <c r="X929">
        <v>0.29173536941097239</v>
      </c>
      <c r="Z929" t="s">
        <v>392</v>
      </c>
      <c r="AA929">
        <v>114</v>
      </c>
      <c r="AB929" t="s">
        <v>4362</v>
      </c>
      <c r="AC929" t="str">
        <f>HYPERLINK("plots/3FT6Y578R04_015_S21P_20251218081014_M5358ACSC201811_RBGEUFRF04/dpll_52094/txpa_55172.png","plot")</f>
        <v>plot</v>
      </c>
    </row>
    <row r="930" spans="1:29" x14ac:dyDescent="0.35">
      <c r="A930" t="s">
        <v>49</v>
      </c>
      <c r="B930">
        <v>52094</v>
      </c>
      <c r="C930" t="s">
        <v>53</v>
      </c>
      <c r="D930">
        <v>55173</v>
      </c>
      <c r="E930" t="s">
        <v>306</v>
      </c>
      <c r="F930">
        <v>12028</v>
      </c>
      <c r="G930">
        <v>0.53244719448059619</v>
      </c>
      <c r="H930">
        <v>0</v>
      </c>
      <c r="I930">
        <v>0</v>
      </c>
      <c r="J930">
        <v>0.46890046020399989</v>
      </c>
      <c r="K930">
        <v>0</v>
      </c>
      <c r="L930">
        <v>0</v>
      </c>
      <c r="M930">
        <v>0.32454917400177868</v>
      </c>
      <c r="N930">
        <v>0</v>
      </c>
      <c r="O930">
        <v>0</v>
      </c>
      <c r="P930">
        <v>0.28350001491025778</v>
      </c>
      <c r="Q930">
        <v>0.64072292263488617</v>
      </c>
      <c r="R930">
        <v>-5.3365263423971401</v>
      </c>
      <c r="S930">
        <v>0.2425205729246423</v>
      </c>
      <c r="T930">
        <v>0.1901493421413982</v>
      </c>
      <c r="U930">
        <v>4.2436712643831056</v>
      </c>
      <c r="V930">
        <v>0.23810297856178911</v>
      </c>
      <c r="W930">
        <v>-2.617508887179913</v>
      </c>
      <c r="X930">
        <v>0.28652237798154218</v>
      </c>
      <c r="Z930" t="s">
        <v>392</v>
      </c>
      <c r="AA930">
        <v>114</v>
      </c>
      <c r="AB930" t="s">
        <v>4363</v>
      </c>
      <c r="AC930" t="str">
        <f>HYPERLINK("plots/3FT6Y578R04_015_S21P_20251218081014_M5358ACSC201811_RBGEUFRF04/dpll_52094/txpa_55173.png","plot")</f>
        <v>plot</v>
      </c>
    </row>
    <row r="931" spans="1:29" x14ac:dyDescent="0.35">
      <c r="A931" t="s">
        <v>49</v>
      </c>
      <c r="B931">
        <v>52094</v>
      </c>
      <c r="C931" t="s">
        <v>53</v>
      </c>
      <c r="D931">
        <v>55174</v>
      </c>
      <c r="E931" t="s">
        <v>307</v>
      </c>
      <c r="F931">
        <v>12028</v>
      </c>
      <c r="G931">
        <v>0.55591350296574815</v>
      </c>
      <c r="H931">
        <v>0</v>
      </c>
      <c r="I931">
        <v>0</v>
      </c>
      <c r="J931">
        <v>0.48732985655392952</v>
      </c>
      <c r="K931">
        <v>0</v>
      </c>
      <c r="L931">
        <v>0</v>
      </c>
      <c r="M931">
        <v>0.33902207895363817</v>
      </c>
      <c r="N931">
        <v>0</v>
      </c>
      <c r="O931">
        <v>0</v>
      </c>
      <c r="P931">
        <v>0.30903982277964892</v>
      </c>
      <c r="Q931">
        <v>0.67915073768371614</v>
      </c>
      <c r="R931">
        <v>-5.4911990861711928</v>
      </c>
      <c r="S931">
        <v>0.24178660472194441</v>
      </c>
      <c r="T931">
        <v>0.18967059827768579</v>
      </c>
      <c r="U931">
        <v>4.2436712643831056</v>
      </c>
      <c r="V931">
        <v>0.23810297856178911</v>
      </c>
      <c r="W931">
        <v>-2.609106616478218</v>
      </c>
      <c r="X931">
        <v>0.29088664454493829</v>
      </c>
      <c r="Z931" t="s">
        <v>392</v>
      </c>
      <c r="AA931">
        <v>114</v>
      </c>
      <c r="AB931" t="s">
        <v>4364</v>
      </c>
      <c r="AC931" t="str">
        <f>HYPERLINK("plots/3FT6Y578R04_015_S21P_20251218081014_M5358ACSC201811_RBGEUFRF04/dpll_52094/txpa_55174.png","plot")</f>
        <v>plot</v>
      </c>
    </row>
    <row r="932" spans="1:29" x14ac:dyDescent="0.35">
      <c r="A932" t="s">
        <v>49</v>
      </c>
      <c r="B932">
        <v>52094</v>
      </c>
      <c r="C932" t="s">
        <v>53</v>
      </c>
      <c r="D932">
        <v>55175</v>
      </c>
      <c r="E932" t="s">
        <v>308</v>
      </c>
      <c r="F932">
        <v>12027</v>
      </c>
      <c r="G932">
        <v>0.55089200699795149</v>
      </c>
      <c r="H932">
        <v>0</v>
      </c>
      <c r="I932">
        <v>0</v>
      </c>
      <c r="J932">
        <v>0.47630117731393629</v>
      </c>
      <c r="K932">
        <v>0</v>
      </c>
      <c r="L932">
        <v>0</v>
      </c>
      <c r="M932">
        <v>0.32933315249056938</v>
      </c>
      <c r="N932">
        <v>0</v>
      </c>
      <c r="O932">
        <v>0</v>
      </c>
      <c r="P932">
        <v>0.30348200337423098</v>
      </c>
      <c r="Q932">
        <v>0.6705550868454796</v>
      </c>
      <c r="R932">
        <v>-5.4653183063519357</v>
      </c>
      <c r="S932">
        <v>0.24185726690597881</v>
      </c>
      <c r="T932">
        <v>0.19091598869952259</v>
      </c>
      <c r="U932">
        <v>4.2436418554918101</v>
      </c>
      <c r="V932">
        <v>0.23809103076034549</v>
      </c>
      <c r="W932">
        <v>-2.6197226734015131</v>
      </c>
      <c r="X932">
        <v>0.28980843755321889</v>
      </c>
      <c r="Z932" t="s">
        <v>392</v>
      </c>
      <c r="AA932">
        <v>114</v>
      </c>
      <c r="AB932" t="s">
        <v>4365</v>
      </c>
      <c r="AC932" t="str">
        <f>HYPERLINK("plots/3FT6Y578R04_015_S21P_20251218081014_M5358ACSC201811_RBGEUFRF04/dpll_52094/txpa_55175.png","plot")</f>
        <v>plot</v>
      </c>
    </row>
    <row r="933" spans="1:29" x14ac:dyDescent="0.35">
      <c r="A933" t="s">
        <v>49</v>
      </c>
      <c r="B933">
        <v>52094</v>
      </c>
      <c r="C933" t="s">
        <v>53</v>
      </c>
      <c r="D933">
        <v>55176</v>
      </c>
      <c r="E933" t="s">
        <v>309</v>
      </c>
      <c r="F933">
        <v>12028</v>
      </c>
      <c r="G933">
        <v>0.56107216416714412</v>
      </c>
      <c r="H933">
        <v>0</v>
      </c>
      <c r="I933">
        <v>0</v>
      </c>
      <c r="J933">
        <v>0.49523835219608942</v>
      </c>
      <c r="K933">
        <v>0</v>
      </c>
      <c r="L933">
        <v>0</v>
      </c>
      <c r="M933">
        <v>0.34456482530369897</v>
      </c>
      <c r="N933">
        <v>0</v>
      </c>
      <c r="O933">
        <v>0</v>
      </c>
      <c r="P933">
        <v>0.31480197340320271</v>
      </c>
      <c r="Q933">
        <v>0.6837789553560647</v>
      </c>
      <c r="R933">
        <v>-5.5177047545997784</v>
      </c>
      <c r="S933">
        <v>0.24018829158542479</v>
      </c>
      <c r="T933">
        <v>0.1891692138055992</v>
      </c>
      <c r="U933">
        <v>4.2436712643831056</v>
      </c>
      <c r="V933">
        <v>0.23810297856178911</v>
      </c>
      <c r="W933">
        <v>-2.615971650565347</v>
      </c>
      <c r="X933">
        <v>0.29017623105545198</v>
      </c>
      <c r="Z933" t="s">
        <v>392</v>
      </c>
      <c r="AA933">
        <v>114</v>
      </c>
      <c r="AB933" t="s">
        <v>4366</v>
      </c>
      <c r="AC933" t="str">
        <f>HYPERLINK("plots/3FT6Y578R04_015_S21P_20251218081014_M5358ACSC201811_RBGEUFRF04/dpll_52094/txpa_55176.png","plot")</f>
        <v>plot</v>
      </c>
    </row>
    <row r="934" spans="1:29" x14ac:dyDescent="0.35">
      <c r="A934" t="s">
        <v>49</v>
      </c>
      <c r="B934">
        <v>52094</v>
      </c>
      <c r="C934" t="s">
        <v>53</v>
      </c>
      <c r="D934">
        <v>55177</v>
      </c>
      <c r="E934" t="s">
        <v>310</v>
      </c>
      <c r="F934">
        <v>12028</v>
      </c>
      <c r="G934">
        <v>0.55495139791089154</v>
      </c>
      <c r="H934">
        <v>0</v>
      </c>
      <c r="I934">
        <v>0</v>
      </c>
      <c r="J934">
        <v>0.48368425255130387</v>
      </c>
      <c r="K934">
        <v>0</v>
      </c>
      <c r="L934">
        <v>0</v>
      </c>
      <c r="M934">
        <v>0.33479992670534819</v>
      </c>
      <c r="N934">
        <v>0</v>
      </c>
      <c r="O934">
        <v>0</v>
      </c>
      <c r="P934">
        <v>0.3079710540432527</v>
      </c>
      <c r="Q934">
        <v>0.66523063137281691</v>
      </c>
      <c r="R934">
        <v>-5.4336015374740843</v>
      </c>
      <c r="S934">
        <v>0.2374248613982235</v>
      </c>
      <c r="T934">
        <v>0.1878305944490378</v>
      </c>
      <c r="U934">
        <v>4.2436712643831056</v>
      </c>
      <c r="V934">
        <v>0.23810297856178911</v>
      </c>
      <c r="W934">
        <v>-2.610581422929831</v>
      </c>
      <c r="X934">
        <v>0.28541849855082341</v>
      </c>
      <c r="Z934" t="s">
        <v>392</v>
      </c>
      <c r="AA934">
        <v>114</v>
      </c>
      <c r="AB934" t="s">
        <v>4367</v>
      </c>
      <c r="AC934" t="str">
        <f>HYPERLINK("plots/3FT6Y578R04_015_S21P_20251218081014_M5358ACSC201811_RBGEUFRF04/dpll_52094/txpa_55177.png","plot")</f>
        <v>plot</v>
      </c>
    </row>
    <row r="935" spans="1:29" x14ac:dyDescent="0.35">
      <c r="A935" t="s">
        <v>49</v>
      </c>
      <c r="B935">
        <v>52094</v>
      </c>
      <c r="C935" t="s">
        <v>53</v>
      </c>
      <c r="D935">
        <v>55178</v>
      </c>
      <c r="E935" t="s">
        <v>311</v>
      </c>
      <c r="F935">
        <v>12027</v>
      </c>
      <c r="G935">
        <v>0.54105571303161515</v>
      </c>
      <c r="H935">
        <v>0</v>
      </c>
      <c r="I935">
        <v>0</v>
      </c>
      <c r="J935">
        <v>0.47286927970376053</v>
      </c>
      <c r="K935">
        <v>0</v>
      </c>
      <c r="L935">
        <v>0</v>
      </c>
      <c r="M935">
        <v>0.32793637074248461</v>
      </c>
      <c r="N935">
        <v>0</v>
      </c>
      <c r="O935">
        <v>0</v>
      </c>
      <c r="P935">
        <v>0.2927412846041495</v>
      </c>
      <c r="Q935">
        <v>0.65811917012589982</v>
      </c>
      <c r="R935">
        <v>-5.4495005415877031</v>
      </c>
      <c r="S935">
        <v>0.2435511939841995</v>
      </c>
      <c r="T935">
        <v>0.19136195428228789</v>
      </c>
      <c r="U935">
        <v>4.2436951445081901</v>
      </c>
      <c r="V935">
        <v>0.2380984732054881</v>
      </c>
      <c r="W935">
        <v>-2.6566434148166622</v>
      </c>
      <c r="X935">
        <v>0.28961374183860328</v>
      </c>
      <c r="Z935" t="s">
        <v>392</v>
      </c>
      <c r="AA935">
        <v>114</v>
      </c>
      <c r="AB935" t="s">
        <v>4368</v>
      </c>
      <c r="AC935" t="str">
        <f>HYPERLINK("plots/3FT6Y578R04_015_S21P_20251218081014_M5358ACSC201811_RBGEUFRF04/dpll_52094/txpa_55178.png","plot")</f>
        <v>plot</v>
      </c>
    </row>
    <row r="936" spans="1:29" x14ac:dyDescent="0.35">
      <c r="A936" t="s">
        <v>49</v>
      </c>
      <c r="B936">
        <v>52094</v>
      </c>
      <c r="C936" t="s">
        <v>53</v>
      </c>
      <c r="D936">
        <v>55179</v>
      </c>
      <c r="E936" t="s">
        <v>312</v>
      </c>
      <c r="F936">
        <v>12028</v>
      </c>
      <c r="G936">
        <v>0.56209327271859666</v>
      </c>
      <c r="H936">
        <v>0</v>
      </c>
      <c r="I936">
        <v>0</v>
      </c>
      <c r="J936">
        <v>0.51242510828481014</v>
      </c>
      <c r="K936">
        <v>0</v>
      </c>
      <c r="L936">
        <v>0</v>
      </c>
      <c r="M936">
        <v>0.35576053887162162</v>
      </c>
      <c r="N936">
        <v>0</v>
      </c>
      <c r="O936">
        <v>0</v>
      </c>
      <c r="P936">
        <v>0.31594884723550271</v>
      </c>
      <c r="Q936">
        <v>0.69175845848512518</v>
      </c>
      <c r="R936">
        <v>-1.981918598313688</v>
      </c>
      <c r="S936">
        <v>0.2423467244600627</v>
      </c>
      <c r="T936">
        <v>0.1874970719715979</v>
      </c>
      <c r="U936">
        <v>4.2436712643831056</v>
      </c>
      <c r="V936">
        <v>0.23810297856178911</v>
      </c>
      <c r="W936">
        <v>0.95367689385359156</v>
      </c>
      <c r="X936">
        <v>0.29302921313039698</v>
      </c>
      <c r="Z936" t="s">
        <v>392</v>
      </c>
      <c r="AA936">
        <v>114</v>
      </c>
      <c r="AB936" t="s">
        <v>4369</v>
      </c>
      <c r="AC936" t="str">
        <f>HYPERLINK("plots/3FT6Y578R04_015_S21P_20251218081014_M5358ACSC201811_RBGEUFRF04/dpll_52094/txpa_55179.png","plot")</f>
        <v>plot</v>
      </c>
    </row>
    <row r="937" spans="1:29" x14ac:dyDescent="0.35">
      <c r="A937" t="s">
        <v>49</v>
      </c>
      <c r="B937">
        <v>52094</v>
      </c>
      <c r="C937" t="s">
        <v>53</v>
      </c>
      <c r="D937">
        <v>55180</v>
      </c>
      <c r="E937" t="s">
        <v>313</v>
      </c>
      <c r="F937">
        <v>12028</v>
      </c>
      <c r="G937">
        <v>0.58969999453034605</v>
      </c>
      <c r="H937">
        <v>0</v>
      </c>
      <c r="I937">
        <v>0</v>
      </c>
      <c r="J937">
        <v>0.53274212998967418</v>
      </c>
      <c r="K937">
        <v>0</v>
      </c>
      <c r="L937">
        <v>0</v>
      </c>
      <c r="M937">
        <v>0.37308598246793051</v>
      </c>
      <c r="N937">
        <v>0</v>
      </c>
      <c r="O937">
        <v>0</v>
      </c>
      <c r="P937">
        <v>0.34774608354909009</v>
      </c>
      <c r="Q937">
        <v>0.72508652730589396</v>
      </c>
      <c r="R937">
        <v>-2.091678924560247</v>
      </c>
      <c r="S937">
        <v>0.2364361253829545</v>
      </c>
      <c r="T937">
        <v>0.18508859742578551</v>
      </c>
      <c r="U937">
        <v>4.2436712643831056</v>
      </c>
      <c r="V937">
        <v>0.23810297856178911</v>
      </c>
      <c r="W937">
        <v>0.9853499355591121</v>
      </c>
      <c r="X937">
        <v>0.29276795568576691</v>
      </c>
      <c r="Z937" t="s">
        <v>392</v>
      </c>
      <c r="AA937">
        <v>114</v>
      </c>
      <c r="AB937" t="s">
        <v>4370</v>
      </c>
      <c r="AC937" t="str">
        <f>HYPERLINK("plots/3FT6Y578R04_015_S21P_20251218081014_M5358ACSC201811_RBGEUFRF04/dpll_52094/txpa_55180.png","plot")</f>
        <v>plot</v>
      </c>
    </row>
    <row r="938" spans="1:29" x14ac:dyDescent="0.35">
      <c r="A938" t="s">
        <v>49</v>
      </c>
      <c r="B938">
        <v>52094</v>
      </c>
      <c r="C938" t="s">
        <v>53</v>
      </c>
      <c r="D938">
        <v>55181</v>
      </c>
      <c r="E938" t="s">
        <v>314</v>
      </c>
      <c r="F938">
        <v>12028</v>
      </c>
      <c r="G938">
        <v>0.57452345557989115</v>
      </c>
      <c r="H938">
        <v>0</v>
      </c>
      <c r="I938">
        <v>0</v>
      </c>
      <c r="J938">
        <v>0.51629565663881571</v>
      </c>
      <c r="K938">
        <v>0</v>
      </c>
      <c r="L938">
        <v>0</v>
      </c>
      <c r="M938">
        <v>0.35996810136231477</v>
      </c>
      <c r="N938">
        <v>0</v>
      </c>
      <c r="O938">
        <v>0</v>
      </c>
      <c r="P938">
        <v>0.33007720101145921</v>
      </c>
      <c r="Q938">
        <v>0.69594827528344272</v>
      </c>
      <c r="R938">
        <v>-1.9504718879655669</v>
      </c>
      <c r="S938">
        <v>0.23606323371165849</v>
      </c>
      <c r="T938">
        <v>0.18460760050938249</v>
      </c>
      <c r="U938">
        <v>4.2436712643831056</v>
      </c>
      <c r="V938">
        <v>0.23810297856178911</v>
      </c>
      <c r="W938">
        <v>1.002903809351763</v>
      </c>
      <c r="X938">
        <v>0.28842574774022411</v>
      </c>
      <c r="Z938" t="s">
        <v>392</v>
      </c>
      <c r="AA938">
        <v>114</v>
      </c>
      <c r="AB938" t="s">
        <v>4371</v>
      </c>
      <c r="AC938" t="str">
        <f>HYPERLINK("plots/3FT6Y578R04_015_S21P_20251218081014_M5358ACSC201811_RBGEUFRF04/dpll_52094/txpa_55181.png","plot")</f>
        <v>plot</v>
      </c>
    </row>
    <row r="939" spans="1:29" x14ac:dyDescent="0.35">
      <c r="A939" t="s">
        <v>49</v>
      </c>
      <c r="B939">
        <v>52094</v>
      </c>
      <c r="C939" t="s">
        <v>53</v>
      </c>
      <c r="D939">
        <v>55182</v>
      </c>
      <c r="E939" t="s">
        <v>315</v>
      </c>
      <c r="F939">
        <v>12028</v>
      </c>
      <c r="G939">
        <v>0.59521949173848865</v>
      </c>
      <c r="H939">
        <v>0</v>
      </c>
      <c r="I939">
        <v>0</v>
      </c>
      <c r="J939">
        <v>0.53193043915232663</v>
      </c>
      <c r="K939">
        <v>0</v>
      </c>
      <c r="L939">
        <v>0</v>
      </c>
      <c r="M939">
        <v>0.37281481259296251</v>
      </c>
      <c r="N939">
        <v>0</v>
      </c>
      <c r="O939">
        <v>0</v>
      </c>
      <c r="P939">
        <v>0.35428624334542469</v>
      </c>
      <c r="Q939">
        <v>0.72973737333975675</v>
      </c>
      <c r="R939">
        <v>-2.089802652193554</v>
      </c>
      <c r="S939">
        <v>0.23456123412091051</v>
      </c>
      <c r="T939">
        <v>0.18371986370338769</v>
      </c>
      <c r="U939">
        <v>4.2436712643831056</v>
      </c>
      <c r="V939">
        <v>0.23810297856178911</v>
      </c>
      <c r="W939">
        <v>1.006962869594779</v>
      </c>
      <c r="X939">
        <v>0.29191356226014031</v>
      </c>
      <c r="Z939" t="s">
        <v>392</v>
      </c>
      <c r="AA939">
        <v>114</v>
      </c>
      <c r="AB939" t="s">
        <v>4372</v>
      </c>
      <c r="AC939" t="str">
        <f>HYPERLINK("plots/3FT6Y578R04_015_S21P_20251218081014_M5358ACSC201811_RBGEUFRF04/dpll_52094/txpa_55182.png","plot")</f>
        <v>plot</v>
      </c>
    </row>
    <row r="940" spans="1:29" x14ac:dyDescent="0.35">
      <c r="A940" t="s">
        <v>49</v>
      </c>
      <c r="B940">
        <v>52094</v>
      </c>
      <c r="C940" t="s">
        <v>53</v>
      </c>
      <c r="D940">
        <v>55183</v>
      </c>
      <c r="E940" t="s">
        <v>316</v>
      </c>
      <c r="F940">
        <v>12027</v>
      </c>
      <c r="G940">
        <v>0.59273611252355773</v>
      </c>
      <c r="H940">
        <v>0</v>
      </c>
      <c r="I940">
        <v>0</v>
      </c>
      <c r="J940">
        <v>0.52323711809032036</v>
      </c>
      <c r="K940">
        <v>0</v>
      </c>
      <c r="L940">
        <v>0</v>
      </c>
      <c r="M940">
        <v>0.36456357896955299</v>
      </c>
      <c r="N940">
        <v>0</v>
      </c>
      <c r="O940">
        <v>0</v>
      </c>
      <c r="P940">
        <v>0.35133609908953972</v>
      </c>
      <c r="Q940">
        <v>0.72244886006107034</v>
      </c>
      <c r="R940">
        <v>-2.069662231828822</v>
      </c>
      <c r="S940">
        <v>0.23371176049504661</v>
      </c>
      <c r="T940">
        <v>0.18434244569363131</v>
      </c>
      <c r="U940">
        <v>4.2436418554918101</v>
      </c>
      <c r="V940">
        <v>0.23809103076034549</v>
      </c>
      <c r="W940">
        <v>0.9961519891786812</v>
      </c>
      <c r="X940">
        <v>0.290194219871732</v>
      </c>
      <c r="Z940" t="s">
        <v>392</v>
      </c>
      <c r="AA940">
        <v>114</v>
      </c>
      <c r="AB940" t="s">
        <v>4373</v>
      </c>
      <c r="AC940" t="str">
        <f>HYPERLINK("plots/3FT6Y578R04_015_S21P_20251218081014_M5358ACSC201811_RBGEUFRF04/dpll_52094/txpa_55183.png","plot")</f>
        <v>plot</v>
      </c>
    </row>
    <row r="941" spans="1:29" x14ac:dyDescent="0.35">
      <c r="A941" t="s">
        <v>49</v>
      </c>
      <c r="B941">
        <v>52094</v>
      </c>
      <c r="C941" t="s">
        <v>53</v>
      </c>
      <c r="D941">
        <v>55184</v>
      </c>
      <c r="E941" t="s">
        <v>317</v>
      </c>
      <c r="F941">
        <v>12028</v>
      </c>
      <c r="G941">
        <v>0.60186394138538934</v>
      </c>
      <c r="H941">
        <v>0</v>
      </c>
      <c r="I941">
        <v>0</v>
      </c>
      <c r="J941">
        <v>0.54078202898199157</v>
      </c>
      <c r="K941">
        <v>0</v>
      </c>
      <c r="L941">
        <v>0</v>
      </c>
      <c r="M941">
        <v>0.37915224751812382</v>
      </c>
      <c r="N941">
        <v>0</v>
      </c>
      <c r="O941">
        <v>0</v>
      </c>
      <c r="P941">
        <v>0.36224020393995537</v>
      </c>
      <c r="Q941">
        <v>0.73767911830961841</v>
      </c>
      <c r="R941">
        <v>-2.1272454535725549</v>
      </c>
      <c r="S941">
        <v>0.23304753207705109</v>
      </c>
      <c r="T941">
        <v>0.1834137009989788</v>
      </c>
      <c r="U941">
        <v>4.2436712643831056</v>
      </c>
      <c r="V941">
        <v>0.23810297856178911</v>
      </c>
      <c r="W941">
        <v>1.003222223133438</v>
      </c>
      <c r="X941">
        <v>0.29183272699150659</v>
      </c>
      <c r="Z941" t="s">
        <v>392</v>
      </c>
      <c r="AA941">
        <v>114</v>
      </c>
      <c r="AB941" t="s">
        <v>4374</v>
      </c>
      <c r="AC941" t="str">
        <f>HYPERLINK("plots/3FT6Y578R04_015_S21P_20251218081014_M5358ACSC201811_RBGEUFRF04/dpll_52094/txpa_55184.png","plot")</f>
        <v>plot</v>
      </c>
    </row>
    <row r="942" spans="1:29" x14ac:dyDescent="0.35">
      <c r="A942" t="s">
        <v>49</v>
      </c>
      <c r="B942">
        <v>52094</v>
      </c>
      <c r="C942" t="s">
        <v>53</v>
      </c>
      <c r="D942">
        <v>55185</v>
      </c>
      <c r="E942" t="s">
        <v>318</v>
      </c>
      <c r="F942">
        <v>12028</v>
      </c>
      <c r="G942">
        <v>0.59583004814688445</v>
      </c>
      <c r="H942">
        <v>0</v>
      </c>
      <c r="I942">
        <v>0</v>
      </c>
      <c r="J942">
        <v>0.52996604158508531</v>
      </c>
      <c r="K942">
        <v>0</v>
      </c>
      <c r="L942">
        <v>0</v>
      </c>
      <c r="M942">
        <v>0.36990985654200392</v>
      </c>
      <c r="N942">
        <v>0</v>
      </c>
      <c r="O942">
        <v>0</v>
      </c>
      <c r="P942">
        <v>0.35501344627471859</v>
      </c>
      <c r="Q942">
        <v>0.71804792882727619</v>
      </c>
      <c r="R942">
        <v>-2.0372307233652149</v>
      </c>
      <c r="S942">
        <v>0.23043749051437659</v>
      </c>
      <c r="T942">
        <v>0.18213655983677521</v>
      </c>
      <c r="U942">
        <v>4.2436712643831056</v>
      </c>
      <c r="V942">
        <v>0.23810297856178911</v>
      </c>
      <c r="W942">
        <v>1.009928638648903</v>
      </c>
      <c r="X942">
        <v>0.28694314953674582</v>
      </c>
      <c r="Z942" t="s">
        <v>392</v>
      </c>
      <c r="AA942">
        <v>114</v>
      </c>
      <c r="AB942" t="s">
        <v>4375</v>
      </c>
      <c r="AC942" t="str">
        <f>HYPERLINK("plots/3FT6Y578R04_015_S21P_20251218081014_M5358ACSC201811_RBGEUFRF04/dpll_52094/txpa_55185.png","plot")</f>
        <v>plot</v>
      </c>
    </row>
    <row r="943" spans="1:29" x14ac:dyDescent="0.35">
      <c r="A943" t="s">
        <v>49</v>
      </c>
      <c r="B943">
        <v>52094</v>
      </c>
      <c r="C943" t="s">
        <v>53</v>
      </c>
      <c r="D943">
        <v>55186</v>
      </c>
      <c r="E943" t="s">
        <v>319</v>
      </c>
      <c r="F943">
        <v>12027</v>
      </c>
      <c r="G943">
        <v>0.58501441926785547</v>
      </c>
      <c r="H943">
        <v>0</v>
      </c>
      <c r="I943">
        <v>0</v>
      </c>
      <c r="J943">
        <v>0.5211588157742183</v>
      </c>
      <c r="K943">
        <v>0</v>
      </c>
      <c r="L943">
        <v>0</v>
      </c>
      <c r="M943">
        <v>0.3643607575573406</v>
      </c>
      <c r="N943">
        <v>0</v>
      </c>
      <c r="O943">
        <v>0</v>
      </c>
      <c r="P943">
        <v>0.34224187075130619</v>
      </c>
      <c r="Q943">
        <v>0.7153230585547119</v>
      </c>
      <c r="R943">
        <v>-2.0664890729731291</v>
      </c>
      <c r="S943">
        <v>0.2361061617432986</v>
      </c>
      <c r="T943">
        <v>0.1852604155356341</v>
      </c>
      <c r="U943">
        <v>4.2436951445081901</v>
      </c>
      <c r="V943">
        <v>0.2380984732054881</v>
      </c>
      <c r="W943">
        <v>0.96912391737025039</v>
      </c>
      <c r="X943">
        <v>0.29113355582535688</v>
      </c>
      <c r="Z943" t="s">
        <v>392</v>
      </c>
      <c r="AA943">
        <v>114</v>
      </c>
      <c r="AB943" t="s">
        <v>4376</v>
      </c>
      <c r="AC943" t="str">
        <f>HYPERLINK("plots/3FT6Y578R04_015_S21P_20251218081014_M5358ACSC201811_RBGEUFRF04/dpll_52094/txpa_55186.png","plot")</f>
        <v>plot</v>
      </c>
    </row>
    <row r="944" spans="1:29" x14ac:dyDescent="0.35">
      <c r="A944" t="s">
        <v>49</v>
      </c>
      <c r="B944">
        <v>52094</v>
      </c>
      <c r="C944" t="s">
        <v>53</v>
      </c>
      <c r="D944">
        <v>55187</v>
      </c>
      <c r="E944" t="s">
        <v>320</v>
      </c>
      <c r="F944">
        <v>12028</v>
      </c>
      <c r="G944">
        <v>0.59998074349440289</v>
      </c>
      <c r="H944">
        <v>0</v>
      </c>
      <c r="I944">
        <v>0</v>
      </c>
      <c r="J944">
        <v>0.55122171936833986</v>
      </c>
      <c r="K944">
        <v>0</v>
      </c>
      <c r="L944">
        <v>0</v>
      </c>
      <c r="M944">
        <v>0.38570322678451641</v>
      </c>
      <c r="N944">
        <v>0</v>
      </c>
      <c r="O944">
        <v>0</v>
      </c>
      <c r="P944">
        <v>0.35997689256409648</v>
      </c>
      <c r="Q944">
        <v>0.74678158467983347</v>
      </c>
      <c r="R944">
        <v>-0.17796653421702671</v>
      </c>
      <c r="S944">
        <v>0.23708325933094249</v>
      </c>
      <c r="T944">
        <v>0.18331274926363519</v>
      </c>
      <c r="U944">
        <v>4.2436712643831056</v>
      </c>
      <c r="V944">
        <v>0.23810297856178911</v>
      </c>
      <c r="W944">
        <v>2.991129017459262</v>
      </c>
      <c r="X944">
        <v>0.29636104420911291</v>
      </c>
      <c r="Z944" t="s">
        <v>392</v>
      </c>
      <c r="AA944">
        <v>114</v>
      </c>
      <c r="AB944" t="s">
        <v>4377</v>
      </c>
      <c r="AC944" t="str">
        <f>HYPERLINK("plots/3FT6Y578R04_015_S21P_20251218081014_M5358ACSC201811_RBGEUFRF04/dpll_52094/txpa_55187.png","plot")</f>
        <v>plot</v>
      </c>
    </row>
    <row r="945" spans="1:29" x14ac:dyDescent="0.35">
      <c r="A945" t="s">
        <v>49</v>
      </c>
      <c r="B945">
        <v>52094</v>
      </c>
      <c r="C945" t="s">
        <v>53</v>
      </c>
      <c r="D945">
        <v>55188</v>
      </c>
      <c r="E945" t="s">
        <v>321</v>
      </c>
      <c r="F945">
        <v>12028</v>
      </c>
      <c r="G945">
        <v>0.62602890298033498</v>
      </c>
      <c r="H945">
        <v>0</v>
      </c>
      <c r="I945">
        <v>0</v>
      </c>
      <c r="J945">
        <v>0.56988669482092025</v>
      </c>
      <c r="K945">
        <v>0</v>
      </c>
      <c r="L945">
        <v>0</v>
      </c>
      <c r="M945">
        <v>0.40234055566095822</v>
      </c>
      <c r="N945">
        <v>0</v>
      </c>
      <c r="O945">
        <v>0</v>
      </c>
      <c r="P945">
        <v>0.39191218736676159</v>
      </c>
      <c r="Q945">
        <v>0.77960092328692343</v>
      </c>
      <c r="R945">
        <v>-0.28704907225428711</v>
      </c>
      <c r="S945">
        <v>0.2312106762654984</v>
      </c>
      <c r="T945">
        <v>0.18096185998187209</v>
      </c>
      <c r="U945">
        <v>4.2436712643831056</v>
      </c>
      <c r="V945">
        <v>0.23810297856178911</v>
      </c>
      <c r="W945">
        <v>3.021320963584968</v>
      </c>
      <c r="X945">
        <v>0.29651235117169672</v>
      </c>
      <c r="Z945" t="s">
        <v>392</v>
      </c>
      <c r="AA945">
        <v>114</v>
      </c>
      <c r="AB945" t="s">
        <v>4378</v>
      </c>
      <c r="AC945" t="str">
        <f>HYPERLINK("plots/3FT6Y578R04_015_S21P_20251218081014_M5358ACSC201811_RBGEUFRF04/dpll_52094/txpa_55188.png","plot")</f>
        <v>plot</v>
      </c>
    </row>
    <row r="946" spans="1:29" x14ac:dyDescent="0.35">
      <c r="A946" t="s">
        <v>49</v>
      </c>
      <c r="B946">
        <v>52094</v>
      </c>
      <c r="C946" t="s">
        <v>53</v>
      </c>
      <c r="D946">
        <v>55189</v>
      </c>
      <c r="E946" t="s">
        <v>322</v>
      </c>
      <c r="F946">
        <v>12028</v>
      </c>
      <c r="G946">
        <v>0.61183662866729838</v>
      </c>
      <c r="H946">
        <v>0</v>
      </c>
      <c r="I946">
        <v>0</v>
      </c>
      <c r="J946">
        <v>0.55509676109219552</v>
      </c>
      <c r="K946">
        <v>0</v>
      </c>
      <c r="L946">
        <v>0</v>
      </c>
      <c r="M946">
        <v>0.38994848343264082</v>
      </c>
      <c r="N946">
        <v>0</v>
      </c>
      <c r="O946">
        <v>0</v>
      </c>
      <c r="P946">
        <v>0.37434406017896549</v>
      </c>
      <c r="Q946">
        <v>0.7501434843589988</v>
      </c>
      <c r="R946">
        <v>-0.14482588565236959</v>
      </c>
      <c r="S946">
        <v>0.23089973166756009</v>
      </c>
      <c r="T946">
        <v>0.18052714797303379</v>
      </c>
      <c r="U946">
        <v>4.2436712643831056</v>
      </c>
      <c r="V946">
        <v>0.23810297856178911</v>
      </c>
      <c r="W946">
        <v>3.0385364630861318</v>
      </c>
      <c r="X946">
        <v>0.29192661832562627</v>
      </c>
      <c r="Z946" t="s">
        <v>392</v>
      </c>
      <c r="AA946">
        <v>114</v>
      </c>
      <c r="AB946" t="s">
        <v>4379</v>
      </c>
      <c r="AC946" t="str">
        <f>HYPERLINK("plots/3FT6Y578R04_015_S21P_20251218081014_M5358ACSC201811_RBGEUFRF04/dpll_52094/txpa_55189.png","plot")</f>
        <v>plot</v>
      </c>
    </row>
    <row r="947" spans="1:29" x14ac:dyDescent="0.35">
      <c r="A947" t="s">
        <v>49</v>
      </c>
      <c r="B947">
        <v>52094</v>
      </c>
      <c r="C947" t="s">
        <v>53</v>
      </c>
      <c r="D947">
        <v>55190</v>
      </c>
      <c r="E947" t="s">
        <v>323</v>
      </c>
      <c r="F947">
        <v>12028</v>
      </c>
      <c r="G947">
        <v>0.63052440583576064</v>
      </c>
      <c r="H947">
        <v>0</v>
      </c>
      <c r="I947">
        <v>0</v>
      </c>
      <c r="J947">
        <v>0.56941028144083883</v>
      </c>
      <c r="K947">
        <v>0</v>
      </c>
      <c r="L947">
        <v>0</v>
      </c>
      <c r="M947">
        <v>0.4021584707811503</v>
      </c>
      <c r="N947">
        <v>0</v>
      </c>
      <c r="O947">
        <v>0</v>
      </c>
      <c r="P947">
        <v>0.39756102635453899</v>
      </c>
      <c r="Q947">
        <v>0.78154390474388757</v>
      </c>
      <c r="R947">
        <v>-0.27619814902531381</v>
      </c>
      <c r="S947">
        <v>0.22906291483583521</v>
      </c>
      <c r="T947">
        <v>0.1794291397098306</v>
      </c>
      <c r="U947">
        <v>4.2436712643831056</v>
      </c>
      <c r="V947">
        <v>0.23810297856178911</v>
      </c>
      <c r="W947">
        <v>3.0404172613900902</v>
      </c>
      <c r="X947">
        <v>0.29513200420794328</v>
      </c>
      <c r="Z947" t="s">
        <v>392</v>
      </c>
      <c r="AA947">
        <v>114</v>
      </c>
      <c r="AB947" t="s">
        <v>4380</v>
      </c>
      <c r="AC947" t="str">
        <f>HYPERLINK("plots/3FT6Y578R04_015_S21P_20251218081014_M5358ACSC201811_RBGEUFRF04/dpll_52094/txpa_55190.png","plot")</f>
        <v>plot</v>
      </c>
    </row>
    <row r="948" spans="1:29" x14ac:dyDescent="0.35">
      <c r="A948" t="s">
        <v>49</v>
      </c>
      <c r="B948">
        <v>52094</v>
      </c>
      <c r="C948" t="s">
        <v>53</v>
      </c>
      <c r="D948">
        <v>55191</v>
      </c>
      <c r="E948" t="s">
        <v>324</v>
      </c>
      <c r="F948">
        <v>12027</v>
      </c>
      <c r="G948">
        <v>0.62912295796030038</v>
      </c>
      <c r="H948">
        <v>0</v>
      </c>
      <c r="I948">
        <v>0</v>
      </c>
      <c r="J948">
        <v>0.56087945974176279</v>
      </c>
      <c r="K948">
        <v>0</v>
      </c>
      <c r="L948">
        <v>0</v>
      </c>
      <c r="M948">
        <v>0.39373686453402962</v>
      </c>
      <c r="N948">
        <v>0</v>
      </c>
      <c r="O948">
        <v>0</v>
      </c>
      <c r="P948">
        <v>0.39579569623271788</v>
      </c>
      <c r="Q948">
        <v>0.77478732395259631</v>
      </c>
      <c r="R948">
        <v>-0.25971111915827422</v>
      </c>
      <c r="S948">
        <v>0.2279102511438077</v>
      </c>
      <c r="T948">
        <v>0.17974978060600719</v>
      </c>
      <c r="U948">
        <v>4.2436418554918101</v>
      </c>
      <c r="V948">
        <v>0.23809103076034549</v>
      </c>
      <c r="W948">
        <v>3.0282087978714558</v>
      </c>
      <c r="X948">
        <v>0.29321758210509319</v>
      </c>
      <c r="Z948" t="s">
        <v>392</v>
      </c>
      <c r="AA948">
        <v>114</v>
      </c>
      <c r="AB948" t="s">
        <v>4381</v>
      </c>
      <c r="AC948" t="str">
        <f>HYPERLINK("plots/3FT6Y578R04_015_S21P_20251218081014_M5358ACSC201811_RBGEUFRF04/dpll_52094/txpa_55191.png","plot")</f>
        <v>plot</v>
      </c>
    </row>
    <row r="949" spans="1:29" x14ac:dyDescent="0.35">
      <c r="A949" t="s">
        <v>49</v>
      </c>
      <c r="B949">
        <v>52094</v>
      </c>
      <c r="C949" t="s">
        <v>53</v>
      </c>
      <c r="D949">
        <v>55192</v>
      </c>
      <c r="E949" t="s">
        <v>325</v>
      </c>
      <c r="F949">
        <v>12028</v>
      </c>
      <c r="G949">
        <v>0.63701973309640103</v>
      </c>
      <c r="H949">
        <v>0</v>
      </c>
      <c r="I949">
        <v>0</v>
      </c>
      <c r="J949">
        <v>0.57774000013713356</v>
      </c>
      <c r="K949">
        <v>0</v>
      </c>
      <c r="L949">
        <v>0</v>
      </c>
      <c r="M949">
        <v>0.40826784222784229</v>
      </c>
      <c r="N949">
        <v>0</v>
      </c>
      <c r="O949">
        <v>0</v>
      </c>
      <c r="P949">
        <v>0.40579414035421002</v>
      </c>
      <c r="Q949">
        <v>0.79112542583571621</v>
      </c>
      <c r="R949">
        <v>-0.31949685012591411</v>
      </c>
      <c r="S949">
        <v>0.2279332567441161</v>
      </c>
      <c r="T949">
        <v>0.179408301554597</v>
      </c>
      <c r="U949">
        <v>4.2436712643831056</v>
      </c>
      <c r="V949">
        <v>0.23810297856178911</v>
      </c>
      <c r="W949">
        <v>3.0377793860159632</v>
      </c>
      <c r="X949">
        <v>0.29570405832144231</v>
      </c>
      <c r="Z949" t="s">
        <v>392</v>
      </c>
      <c r="AA949">
        <v>114</v>
      </c>
      <c r="AB949" t="s">
        <v>4382</v>
      </c>
      <c r="AC949" t="str">
        <f>HYPERLINK("plots/3FT6Y578R04_015_S21P_20251218081014_M5358ACSC201811_RBGEUFRF04/dpll_52094/txpa_55192.png","plot")</f>
        <v>plot</v>
      </c>
    </row>
    <row r="950" spans="1:29" x14ac:dyDescent="0.35">
      <c r="A950" t="s">
        <v>49</v>
      </c>
      <c r="B950">
        <v>52094</v>
      </c>
      <c r="C950" t="s">
        <v>53</v>
      </c>
      <c r="D950">
        <v>55193</v>
      </c>
      <c r="E950" t="s">
        <v>326</v>
      </c>
      <c r="F950">
        <v>12028</v>
      </c>
      <c r="G950">
        <v>0.63225643824300048</v>
      </c>
      <c r="H950">
        <v>0</v>
      </c>
      <c r="I950">
        <v>0</v>
      </c>
      <c r="J950">
        <v>0.56772103725184986</v>
      </c>
      <c r="K950">
        <v>0</v>
      </c>
      <c r="L950">
        <v>0</v>
      </c>
      <c r="M950">
        <v>0.39945563446253968</v>
      </c>
      <c r="N950">
        <v>0</v>
      </c>
      <c r="O950">
        <v>0</v>
      </c>
      <c r="P950">
        <v>0.39974820369972508</v>
      </c>
      <c r="Q950">
        <v>0.77251758837099871</v>
      </c>
      <c r="R950">
        <v>-0.23377937706639029</v>
      </c>
      <c r="S950">
        <v>0.2253868759119719</v>
      </c>
      <c r="T950">
        <v>0.178233263915201</v>
      </c>
      <c r="U950">
        <v>4.2436712643831056</v>
      </c>
      <c r="V950">
        <v>0.23810297856178911</v>
      </c>
      <c r="W950">
        <v>3.0445313139341539</v>
      </c>
      <c r="X950">
        <v>0.29092426372700719</v>
      </c>
      <c r="Z950" t="s">
        <v>392</v>
      </c>
      <c r="AA950">
        <v>114</v>
      </c>
      <c r="AB950" t="s">
        <v>4383</v>
      </c>
      <c r="AC950" t="str">
        <f>HYPERLINK("plots/3FT6Y578R04_015_S21P_20251218081014_M5358ACSC201811_RBGEUFRF04/dpll_52094/txpa_55193.png","plot")</f>
        <v>plot</v>
      </c>
    </row>
    <row r="951" spans="1:29" x14ac:dyDescent="0.35">
      <c r="A951" t="s">
        <v>49</v>
      </c>
      <c r="B951">
        <v>52094</v>
      </c>
      <c r="C951" t="s">
        <v>53</v>
      </c>
      <c r="D951">
        <v>55194</v>
      </c>
      <c r="E951" t="s">
        <v>327</v>
      </c>
      <c r="F951">
        <v>12027</v>
      </c>
      <c r="G951">
        <v>0.62317907756680135</v>
      </c>
      <c r="H951">
        <v>0</v>
      </c>
      <c r="I951">
        <v>0</v>
      </c>
      <c r="J951">
        <v>0.56012329239327385</v>
      </c>
      <c r="K951">
        <v>0</v>
      </c>
      <c r="L951">
        <v>0</v>
      </c>
      <c r="M951">
        <v>0.39471876917411908</v>
      </c>
      <c r="N951">
        <v>0</v>
      </c>
      <c r="O951">
        <v>0</v>
      </c>
      <c r="P951">
        <v>0.3883521627170094</v>
      </c>
      <c r="Q951">
        <v>0.77105194025162571</v>
      </c>
      <c r="R951">
        <v>-0.26644017870113629</v>
      </c>
      <c r="S951">
        <v>0.2303881022132922</v>
      </c>
      <c r="T951">
        <v>0.1806679431347937</v>
      </c>
      <c r="U951">
        <v>4.2436951445081901</v>
      </c>
      <c r="V951">
        <v>0.2380984732054881</v>
      </c>
      <c r="W951">
        <v>3.0056691963083071</v>
      </c>
      <c r="X951">
        <v>0.29459636297940689</v>
      </c>
      <c r="Z951" t="s">
        <v>392</v>
      </c>
      <c r="AA951">
        <v>114</v>
      </c>
      <c r="AB951" t="s">
        <v>4384</v>
      </c>
      <c r="AC951" t="str">
        <f>HYPERLINK("plots/3FT6Y578R04_015_S21P_20251218081014_M5358ACSC201811_RBGEUFRF04/dpll_52094/txpa_55194.png","plot")</f>
        <v>plot</v>
      </c>
    </row>
    <row r="952" spans="1:29" x14ac:dyDescent="0.35">
      <c r="A952" t="s">
        <v>49</v>
      </c>
      <c r="B952">
        <v>52094</v>
      </c>
      <c r="C952" t="s">
        <v>53</v>
      </c>
      <c r="D952">
        <v>55195</v>
      </c>
      <c r="E952" t="s">
        <v>328</v>
      </c>
      <c r="F952">
        <v>12028</v>
      </c>
      <c r="G952">
        <v>0.64663682271516287</v>
      </c>
      <c r="H952">
        <v>0</v>
      </c>
      <c r="I952">
        <v>0</v>
      </c>
      <c r="J952">
        <v>0.59469724616795061</v>
      </c>
      <c r="K952">
        <v>0</v>
      </c>
      <c r="L952">
        <v>0</v>
      </c>
      <c r="M952">
        <v>0.42066705420990508</v>
      </c>
      <c r="N952">
        <v>0</v>
      </c>
      <c r="O952">
        <v>0</v>
      </c>
      <c r="P952">
        <v>0.418139180491161</v>
      </c>
      <c r="Q952">
        <v>0.82749352463698322</v>
      </c>
      <c r="R952">
        <v>1.94159962043933</v>
      </c>
      <c r="S952">
        <v>0.2324130463907991</v>
      </c>
      <c r="T952">
        <v>0.1793431215428167</v>
      </c>
      <c r="U952">
        <v>4.2436712643831056</v>
      </c>
      <c r="V952">
        <v>0.23810297856178911</v>
      </c>
      <c r="W952">
        <v>5.4532101124043901</v>
      </c>
      <c r="X952">
        <v>0.30469757680881088</v>
      </c>
      <c r="Z952" t="s">
        <v>392</v>
      </c>
      <c r="AA952">
        <v>114</v>
      </c>
      <c r="AB952" t="s">
        <v>4385</v>
      </c>
      <c r="AC952" t="str">
        <f>HYPERLINK("plots/3FT6Y578R04_015_S21P_20251218081014_M5358ACSC201811_RBGEUFRF04/dpll_52094/txpa_55195.png","plot")</f>
        <v>plot</v>
      </c>
    </row>
    <row r="953" spans="1:29" x14ac:dyDescent="0.35">
      <c r="A953" t="s">
        <v>49</v>
      </c>
      <c r="B953">
        <v>52094</v>
      </c>
      <c r="C953" t="s">
        <v>53</v>
      </c>
      <c r="D953">
        <v>55196</v>
      </c>
      <c r="E953" t="s">
        <v>329</v>
      </c>
      <c r="F953">
        <v>12028</v>
      </c>
      <c r="G953">
        <v>0.66979718259096355</v>
      </c>
      <c r="H953">
        <v>0</v>
      </c>
      <c r="I953">
        <v>0</v>
      </c>
      <c r="J953">
        <v>0.60997751793843613</v>
      </c>
      <c r="K953">
        <v>0</v>
      </c>
      <c r="L953">
        <v>0</v>
      </c>
      <c r="M953">
        <v>0.43516558156686991</v>
      </c>
      <c r="N953">
        <v>0</v>
      </c>
      <c r="O953">
        <v>0</v>
      </c>
      <c r="P953">
        <v>0.44862826580679249</v>
      </c>
      <c r="Q953">
        <v>0.85761358228975737</v>
      </c>
      <c r="R953">
        <v>1.8435007147060669</v>
      </c>
      <c r="S953">
        <v>0.2263692110912415</v>
      </c>
      <c r="T953">
        <v>0.1770459457786355</v>
      </c>
      <c r="U953">
        <v>4.2436712643831056</v>
      </c>
      <c r="V953">
        <v>0.23810297856178911</v>
      </c>
      <c r="W953">
        <v>5.4829308298137676</v>
      </c>
      <c r="X953">
        <v>0.30486892705092139</v>
      </c>
      <c r="Z953" t="s">
        <v>392</v>
      </c>
      <c r="AA953">
        <v>114</v>
      </c>
      <c r="AB953" t="s">
        <v>4386</v>
      </c>
      <c r="AC953" t="str">
        <f>HYPERLINK("plots/3FT6Y578R04_015_S21P_20251218081014_M5358ACSC201811_RBGEUFRF04/dpll_52094/txpa_55196.png","plot")</f>
        <v>plot</v>
      </c>
    </row>
    <row r="954" spans="1:29" x14ac:dyDescent="0.35">
      <c r="A954" t="s">
        <v>49</v>
      </c>
      <c r="B954">
        <v>52094</v>
      </c>
      <c r="C954" t="s">
        <v>53</v>
      </c>
      <c r="D954">
        <v>55197</v>
      </c>
      <c r="E954" t="s">
        <v>330</v>
      </c>
      <c r="F954">
        <v>12028</v>
      </c>
      <c r="G954">
        <v>0.65632524722318286</v>
      </c>
      <c r="H954">
        <v>0</v>
      </c>
      <c r="I954">
        <v>0</v>
      </c>
      <c r="J954">
        <v>0.59664053304564979</v>
      </c>
      <c r="K954">
        <v>0</v>
      </c>
      <c r="L954">
        <v>0</v>
      </c>
      <c r="M954">
        <v>0.42353804251984939</v>
      </c>
      <c r="N954">
        <v>0</v>
      </c>
      <c r="O954">
        <v>0</v>
      </c>
      <c r="P954">
        <v>0.43076283014257211</v>
      </c>
      <c r="Q954">
        <v>0.82773909044671878</v>
      </c>
      <c r="R954">
        <v>1.986969626952511</v>
      </c>
      <c r="S954">
        <v>0.2265519236285356</v>
      </c>
      <c r="T954">
        <v>0.17653218792561079</v>
      </c>
      <c r="U954">
        <v>4.2436712643831056</v>
      </c>
      <c r="V954">
        <v>0.23810297856178911</v>
      </c>
      <c r="W954">
        <v>5.4996222194878612</v>
      </c>
      <c r="X954">
        <v>0.30028883353373498</v>
      </c>
      <c r="Z954" t="s">
        <v>392</v>
      </c>
      <c r="AA954">
        <v>114</v>
      </c>
      <c r="AB954" t="s">
        <v>4387</v>
      </c>
      <c r="AC954" t="str">
        <f>HYPERLINK("plots/3FT6Y578R04_015_S21P_20251218081014_M5358ACSC201811_RBGEUFRF04/dpll_52094/txpa_55197.png","plot")</f>
        <v>plot</v>
      </c>
    </row>
    <row r="955" spans="1:29" x14ac:dyDescent="0.35">
      <c r="A955" t="s">
        <v>49</v>
      </c>
      <c r="B955">
        <v>52094</v>
      </c>
      <c r="C955" t="s">
        <v>53</v>
      </c>
      <c r="D955">
        <v>55198</v>
      </c>
      <c r="E955" t="s">
        <v>331</v>
      </c>
      <c r="F955">
        <v>12028</v>
      </c>
      <c r="G955">
        <v>0.6736333770830869</v>
      </c>
      <c r="H955">
        <v>0</v>
      </c>
      <c r="I955">
        <v>0</v>
      </c>
      <c r="J955">
        <v>0.60999572739130503</v>
      </c>
      <c r="K955">
        <v>0</v>
      </c>
      <c r="L955">
        <v>0</v>
      </c>
      <c r="M955">
        <v>0.43525303876450111</v>
      </c>
      <c r="N955">
        <v>0</v>
      </c>
      <c r="O955">
        <v>0</v>
      </c>
      <c r="P955">
        <v>0.45378192672036433</v>
      </c>
      <c r="Q955">
        <v>0.85787776066495669</v>
      </c>
      <c r="R955">
        <v>1.8587289654903141</v>
      </c>
      <c r="S955">
        <v>0.22409471746139439</v>
      </c>
      <c r="T955">
        <v>0.17519152869421811</v>
      </c>
      <c r="U955">
        <v>4.2436712643831056</v>
      </c>
      <c r="V955">
        <v>0.23810297856178911</v>
      </c>
      <c r="W955">
        <v>5.4992801667775186</v>
      </c>
      <c r="X955">
        <v>0.30322614200134801</v>
      </c>
      <c r="Z955" t="s">
        <v>392</v>
      </c>
      <c r="AA955">
        <v>114</v>
      </c>
      <c r="AB955" t="s">
        <v>4388</v>
      </c>
      <c r="AC955" t="str">
        <f>HYPERLINK("plots/3FT6Y578R04_015_S21P_20251218081014_M5358ACSC201811_RBGEUFRF04/dpll_52094/txpa_55198.png","plot")</f>
        <v>plot</v>
      </c>
    </row>
    <row r="956" spans="1:29" x14ac:dyDescent="0.35">
      <c r="A956" t="s">
        <v>49</v>
      </c>
      <c r="B956">
        <v>52094</v>
      </c>
      <c r="C956" t="s">
        <v>53</v>
      </c>
      <c r="D956">
        <v>55199</v>
      </c>
      <c r="E956" t="s">
        <v>332</v>
      </c>
      <c r="F956">
        <v>12027</v>
      </c>
      <c r="G956">
        <v>0.6738259249933316</v>
      </c>
      <c r="H956">
        <v>0</v>
      </c>
      <c r="I956">
        <v>0</v>
      </c>
      <c r="J956">
        <v>0.6030531866508857</v>
      </c>
      <c r="K956">
        <v>0</v>
      </c>
      <c r="L956">
        <v>0</v>
      </c>
      <c r="M956">
        <v>0.42784040822414621</v>
      </c>
      <c r="N956">
        <v>0</v>
      </c>
      <c r="O956">
        <v>0</v>
      </c>
      <c r="P956">
        <v>0.45404137719311888</v>
      </c>
      <c r="Q956">
        <v>0.85244392518437562</v>
      </c>
      <c r="R956">
        <v>1.868649210283879</v>
      </c>
      <c r="S956">
        <v>0.2225476169938771</v>
      </c>
      <c r="T956">
        <v>0.175230215349547</v>
      </c>
      <c r="U956">
        <v>4.2436418554918101</v>
      </c>
      <c r="V956">
        <v>0.23809103076034549</v>
      </c>
      <c r="W956">
        <v>5.4861159306560241</v>
      </c>
      <c r="X956">
        <v>0.30120428034072982</v>
      </c>
      <c r="Z956" t="s">
        <v>392</v>
      </c>
      <c r="AA956">
        <v>114</v>
      </c>
      <c r="AB956" t="s">
        <v>4389</v>
      </c>
      <c r="AC956" t="str">
        <f>HYPERLINK("plots/3FT6Y578R04_015_S21P_20251218081014_M5358ACSC201811_RBGEUFRF04/dpll_52094/txpa_55199.png","plot")</f>
        <v>plot</v>
      </c>
    </row>
    <row r="957" spans="1:29" x14ac:dyDescent="0.35">
      <c r="A957" t="s">
        <v>49</v>
      </c>
      <c r="B957">
        <v>52094</v>
      </c>
      <c r="C957" t="s">
        <v>53</v>
      </c>
      <c r="D957">
        <v>55200</v>
      </c>
      <c r="E957" t="s">
        <v>333</v>
      </c>
      <c r="F957">
        <v>12028</v>
      </c>
      <c r="G957">
        <v>0.67959584466042622</v>
      </c>
      <c r="H957">
        <v>0</v>
      </c>
      <c r="I957">
        <v>0</v>
      </c>
      <c r="J957">
        <v>0.61798068732696199</v>
      </c>
      <c r="K957">
        <v>0</v>
      </c>
      <c r="L957">
        <v>0</v>
      </c>
      <c r="M957">
        <v>0.44143273486253609</v>
      </c>
      <c r="N957">
        <v>0</v>
      </c>
      <c r="O957">
        <v>0</v>
      </c>
      <c r="P957">
        <v>0.46185051207971822</v>
      </c>
      <c r="Q957">
        <v>0.8683319984305139</v>
      </c>
      <c r="R957">
        <v>1.8127839651148741</v>
      </c>
      <c r="S957">
        <v>0.22316872397400481</v>
      </c>
      <c r="T957">
        <v>0.17521977065739561</v>
      </c>
      <c r="U957">
        <v>4.2436712643831056</v>
      </c>
      <c r="V957">
        <v>0.23810297856178911</v>
      </c>
      <c r="W957">
        <v>5.4976995147988026</v>
      </c>
      <c r="X957">
        <v>0.3042285158616943</v>
      </c>
      <c r="Z957" t="s">
        <v>392</v>
      </c>
      <c r="AA957">
        <v>114</v>
      </c>
      <c r="AB957" t="s">
        <v>4390</v>
      </c>
      <c r="AC957" t="str">
        <f>HYPERLINK("plots/3FT6Y578R04_015_S21P_20251218081014_M5358ACSC201811_RBGEUFRF04/dpll_52094/txpa_55200.png","plot")</f>
        <v>plot</v>
      </c>
    </row>
    <row r="958" spans="1:29" x14ac:dyDescent="0.35">
      <c r="A958" t="s">
        <v>49</v>
      </c>
      <c r="B958">
        <v>52094</v>
      </c>
      <c r="C958" t="s">
        <v>53</v>
      </c>
      <c r="D958">
        <v>55201</v>
      </c>
      <c r="E958" t="s">
        <v>334</v>
      </c>
      <c r="F958">
        <v>12028</v>
      </c>
      <c r="G958">
        <v>0.6764340081927227</v>
      </c>
      <c r="H958">
        <v>0</v>
      </c>
      <c r="I958">
        <v>0</v>
      </c>
      <c r="J958">
        <v>0.60919993381733284</v>
      </c>
      <c r="K958">
        <v>0</v>
      </c>
      <c r="L958">
        <v>0</v>
      </c>
      <c r="M958">
        <v>0.43330828087512818</v>
      </c>
      <c r="N958">
        <v>0</v>
      </c>
      <c r="O958">
        <v>0</v>
      </c>
      <c r="P958">
        <v>0.45756296743967251</v>
      </c>
      <c r="Q958">
        <v>0.85056293856093801</v>
      </c>
      <c r="R958">
        <v>1.8953917323686871</v>
      </c>
      <c r="S958">
        <v>0.2204968863690896</v>
      </c>
      <c r="T958">
        <v>0.17403923272579211</v>
      </c>
      <c r="U958">
        <v>4.2436712643831056</v>
      </c>
      <c r="V958">
        <v>0.23810297856178911</v>
      </c>
      <c r="W958">
        <v>5.5049012332889928</v>
      </c>
      <c r="X958">
        <v>0.29939590066844579</v>
      </c>
      <c r="Z958" t="s">
        <v>392</v>
      </c>
      <c r="AA958">
        <v>114</v>
      </c>
      <c r="AB958" t="s">
        <v>4391</v>
      </c>
      <c r="AC958" t="str">
        <f>HYPERLINK("plots/3FT6Y578R04_015_S21P_20251218081014_M5358ACSC201811_RBGEUFRF04/dpll_52094/txpa_55201.png","plot")</f>
        <v>plot</v>
      </c>
    </row>
    <row r="959" spans="1:29" x14ac:dyDescent="0.35">
      <c r="A959" t="s">
        <v>49</v>
      </c>
      <c r="B959">
        <v>52094</v>
      </c>
      <c r="C959" t="s">
        <v>53</v>
      </c>
      <c r="D959">
        <v>55202</v>
      </c>
      <c r="E959" t="s">
        <v>335</v>
      </c>
      <c r="F959">
        <v>12027</v>
      </c>
      <c r="G959">
        <v>0.66891626258199188</v>
      </c>
      <c r="H959">
        <v>0</v>
      </c>
      <c r="I959">
        <v>0</v>
      </c>
      <c r="J959">
        <v>0.60292060191428354</v>
      </c>
      <c r="K959">
        <v>0</v>
      </c>
      <c r="L959">
        <v>0</v>
      </c>
      <c r="M959">
        <v>0.42951516149994301</v>
      </c>
      <c r="N959">
        <v>0</v>
      </c>
      <c r="O959">
        <v>0</v>
      </c>
      <c r="P959">
        <v>0.44744896634666032</v>
      </c>
      <c r="Q959">
        <v>0.85151016081988884</v>
      </c>
      <c r="R959">
        <v>1.854656070250835</v>
      </c>
      <c r="S959">
        <v>0.22529047604205729</v>
      </c>
      <c r="T959">
        <v>0.1763138072186336</v>
      </c>
      <c r="U959">
        <v>4.2436951445081901</v>
      </c>
      <c r="V959">
        <v>0.2380984732054881</v>
      </c>
      <c r="W959">
        <v>5.4682056052215851</v>
      </c>
      <c r="X959">
        <v>0.30309215151623581</v>
      </c>
      <c r="Z959" t="s">
        <v>392</v>
      </c>
      <c r="AA959">
        <v>114</v>
      </c>
      <c r="AB959" t="s">
        <v>4392</v>
      </c>
      <c r="AC959" t="str">
        <f>HYPERLINK("plots/3FT6Y578R04_015_S21P_20251218081014_M5358ACSC201811_RBGEUFRF04/dpll_52094/txpa_55202.png","plot")</f>
        <v>plot</v>
      </c>
    </row>
    <row r="960" spans="1:29" x14ac:dyDescent="0.35">
      <c r="A960" t="s">
        <v>49</v>
      </c>
      <c r="B960">
        <v>52094</v>
      </c>
      <c r="C960" t="s">
        <v>53</v>
      </c>
      <c r="D960">
        <v>55203</v>
      </c>
      <c r="E960" t="s">
        <v>336</v>
      </c>
      <c r="F960">
        <v>12028</v>
      </c>
      <c r="G960">
        <v>0.66325065027783081</v>
      </c>
      <c r="H960">
        <v>0</v>
      </c>
      <c r="I960">
        <v>0</v>
      </c>
      <c r="J960">
        <v>0.60869523845824836</v>
      </c>
      <c r="K960">
        <v>0</v>
      </c>
      <c r="L960">
        <v>0</v>
      </c>
      <c r="M960">
        <v>0.43221743100982191</v>
      </c>
      <c r="N960">
        <v>0</v>
      </c>
      <c r="O960">
        <v>0</v>
      </c>
      <c r="P960">
        <v>0.43990142509396551</v>
      </c>
      <c r="Q960">
        <v>0.86465418992721244</v>
      </c>
      <c r="R960">
        <v>2.874700470653925</v>
      </c>
      <c r="S960">
        <v>0.23229709231775361</v>
      </c>
      <c r="T960">
        <v>0.17893598096512689</v>
      </c>
      <c r="U960">
        <v>4.2436712643831056</v>
      </c>
      <c r="V960">
        <v>0.23810297856178911</v>
      </c>
      <c r="W960">
        <v>6.5440086100764887</v>
      </c>
      <c r="X960">
        <v>0.31040563316652597</v>
      </c>
      <c r="Z960" t="s">
        <v>392</v>
      </c>
      <c r="AA960">
        <v>114</v>
      </c>
      <c r="AB960" t="s">
        <v>4393</v>
      </c>
      <c r="AC960" t="str">
        <f>HYPERLINK("plots/3FT6Y578R04_015_S21P_20251218081014_M5358ACSC201811_RBGEUFRF04/dpll_52094/txpa_55203.png","plot")</f>
        <v>plot</v>
      </c>
    </row>
    <row r="961" spans="1:29" x14ac:dyDescent="0.35">
      <c r="A961" t="s">
        <v>49</v>
      </c>
      <c r="B961">
        <v>52094</v>
      </c>
      <c r="C961" t="s">
        <v>53</v>
      </c>
      <c r="D961">
        <v>55204</v>
      </c>
      <c r="E961" t="s">
        <v>337</v>
      </c>
      <c r="F961">
        <v>12028</v>
      </c>
      <c r="G961">
        <v>0.685314502893688</v>
      </c>
      <c r="H961">
        <v>0</v>
      </c>
      <c r="I961">
        <v>0</v>
      </c>
      <c r="J961">
        <v>0.62309471784326143</v>
      </c>
      <c r="K961">
        <v>0</v>
      </c>
      <c r="L961">
        <v>0</v>
      </c>
      <c r="M961">
        <v>0.44615277233162548</v>
      </c>
      <c r="N961">
        <v>0</v>
      </c>
      <c r="O961">
        <v>0</v>
      </c>
      <c r="P961">
        <v>0.46965596787642272</v>
      </c>
      <c r="Q961">
        <v>0.89346535122036796</v>
      </c>
      <c r="R961">
        <v>2.781468505987903</v>
      </c>
      <c r="S961">
        <v>0.22605463158789671</v>
      </c>
      <c r="T961">
        <v>0.17651303877375371</v>
      </c>
      <c r="U961">
        <v>4.2436712643831056</v>
      </c>
      <c r="V961">
        <v>0.23810297856178911</v>
      </c>
      <c r="W961">
        <v>6.5730417426837384</v>
      </c>
      <c r="X961">
        <v>0.31042209156388773</v>
      </c>
      <c r="Z961" t="s">
        <v>392</v>
      </c>
      <c r="AA961">
        <v>114</v>
      </c>
      <c r="AB961" t="s">
        <v>4394</v>
      </c>
      <c r="AC961" t="str">
        <f>HYPERLINK("plots/3FT6Y578R04_015_S21P_20251218081014_M5358ACSC201811_RBGEUFRF04/dpll_52094/txpa_55204.png","plot")</f>
        <v>plot</v>
      </c>
    </row>
    <row r="962" spans="1:29" x14ac:dyDescent="0.35">
      <c r="A962" t="s">
        <v>49</v>
      </c>
      <c r="B962">
        <v>52094</v>
      </c>
      <c r="C962" t="s">
        <v>53</v>
      </c>
      <c r="D962">
        <v>55205</v>
      </c>
      <c r="E962" t="s">
        <v>338</v>
      </c>
      <c r="F962">
        <v>12028</v>
      </c>
      <c r="G962">
        <v>0.67262449271641311</v>
      </c>
      <c r="H962">
        <v>0</v>
      </c>
      <c r="I962">
        <v>0</v>
      </c>
      <c r="J962">
        <v>0.6103477686391342</v>
      </c>
      <c r="K962">
        <v>0</v>
      </c>
      <c r="L962">
        <v>0</v>
      </c>
      <c r="M962">
        <v>0.43483515193526162</v>
      </c>
      <c r="N962">
        <v>0</v>
      </c>
      <c r="O962">
        <v>0</v>
      </c>
      <c r="P962">
        <v>0.45242370820201211</v>
      </c>
      <c r="Q962">
        <v>0.86412681394450552</v>
      </c>
      <c r="R962">
        <v>2.92264191935101</v>
      </c>
      <c r="S962">
        <v>0.2263465588330352</v>
      </c>
      <c r="T962">
        <v>0.17599429169102501</v>
      </c>
      <c r="U962">
        <v>4.2436712643831056</v>
      </c>
      <c r="V962">
        <v>0.23810297856178911</v>
      </c>
      <c r="W962">
        <v>6.5897120484702354</v>
      </c>
      <c r="X962">
        <v>0.30589306586854093</v>
      </c>
      <c r="Z962" t="s">
        <v>392</v>
      </c>
      <c r="AA962">
        <v>114</v>
      </c>
      <c r="AB962" t="s">
        <v>4395</v>
      </c>
      <c r="AC962" t="str">
        <f>HYPERLINK("plots/3FT6Y578R04_015_S21P_20251218081014_M5358ACSC201811_RBGEUFRF04/dpll_52094/txpa_55205.png","plot")</f>
        <v>plot</v>
      </c>
    </row>
    <row r="963" spans="1:29" x14ac:dyDescent="0.35">
      <c r="A963" t="s">
        <v>49</v>
      </c>
      <c r="B963">
        <v>52094</v>
      </c>
      <c r="C963" t="s">
        <v>53</v>
      </c>
      <c r="D963">
        <v>55206</v>
      </c>
      <c r="E963" t="s">
        <v>339</v>
      </c>
      <c r="F963">
        <v>12027</v>
      </c>
      <c r="G963">
        <v>0.69022377268621549</v>
      </c>
      <c r="H963">
        <v>0</v>
      </c>
      <c r="I963">
        <v>0</v>
      </c>
      <c r="J963">
        <v>0.62346210670600977</v>
      </c>
      <c r="K963">
        <v>0</v>
      </c>
      <c r="L963">
        <v>0</v>
      </c>
      <c r="M963">
        <v>0.44653021085291689</v>
      </c>
      <c r="N963">
        <v>0</v>
      </c>
      <c r="O963">
        <v>0</v>
      </c>
      <c r="P963">
        <v>0.47640885638119251</v>
      </c>
      <c r="Q963">
        <v>0.8938761395007101</v>
      </c>
      <c r="R963">
        <v>2.79542210840237</v>
      </c>
      <c r="S963">
        <v>0.2231237889457213</v>
      </c>
      <c r="T963">
        <v>0.17460318998486851</v>
      </c>
      <c r="U963">
        <v>4.2436786742329762</v>
      </c>
      <c r="V963">
        <v>0.2381114909913796</v>
      </c>
      <c r="W963">
        <v>6.588745219007234</v>
      </c>
      <c r="X963">
        <v>0.30836692209222583</v>
      </c>
      <c r="Z963" t="s">
        <v>392</v>
      </c>
      <c r="AA963">
        <v>114</v>
      </c>
      <c r="AB963" t="s">
        <v>4396</v>
      </c>
      <c r="AC963" t="str">
        <f>HYPERLINK("plots/3FT6Y578R04_015_S21P_20251218081014_M5358ACSC201811_RBGEUFRF04/dpll_52094/txpa_55206.png","plot")</f>
        <v>plot</v>
      </c>
    </row>
    <row r="964" spans="1:29" x14ac:dyDescent="0.35">
      <c r="A964" t="s">
        <v>49</v>
      </c>
      <c r="B964">
        <v>52094</v>
      </c>
      <c r="C964" t="s">
        <v>53</v>
      </c>
      <c r="D964">
        <v>55207</v>
      </c>
      <c r="E964" t="s">
        <v>340</v>
      </c>
      <c r="F964">
        <v>12027</v>
      </c>
      <c r="G964">
        <v>0.69001465702434928</v>
      </c>
      <c r="H964">
        <v>0</v>
      </c>
      <c r="I964">
        <v>0</v>
      </c>
      <c r="J964">
        <v>0.61702225609252759</v>
      </c>
      <c r="K964">
        <v>0</v>
      </c>
      <c r="L964">
        <v>0</v>
      </c>
      <c r="M964">
        <v>0.4394811831121086</v>
      </c>
      <c r="N964">
        <v>0</v>
      </c>
      <c r="O964">
        <v>0</v>
      </c>
      <c r="P964">
        <v>0.47612022690843042</v>
      </c>
      <c r="Q964">
        <v>0.88857395180787879</v>
      </c>
      <c r="R964">
        <v>2.8039936029211701</v>
      </c>
      <c r="S964">
        <v>0.221909582738579</v>
      </c>
      <c r="T964">
        <v>0.1745061444281579</v>
      </c>
      <c r="U964">
        <v>4.2436418554918101</v>
      </c>
      <c r="V964">
        <v>0.23809103076034549</v>
      </c>
      <c r="W964">
        <v>6.5747832165128468</v>
      </c>
      <c r="X964">
        <v>0.30660433939922238</v>
      </c>
      <c r="Z964" t="s">
        <v>392</v>
      </c>
      <c r="AA964">
        <v>114</v>
      </c>
      <c r="AB964" t="s">
        <v>4397</v>
      </c>
      <c r="AC964" t="str">
        <f>HYPERLINK("plots/3FT6Y578R04_015_S21P_20251218081014_M5358ACSC201811_RBGEUFRF04/dpll_52094/txpa_55207.png","plot")</f>
        <v>plot</v>
      </c>
    </row>
    <row r="965" spans="1:29" x14ac:dyDescent="0.35">
      <c r="A965" t="s">
        <v>49</v>
      </c>
      <c r="B965">
        <v>52094</v>
      </c>
      <c r="C965" t="s">
        <v>53</v>
      </c>
      <c r="D965">
        <v>55208</v>
      </c>
      <c r="E965" t="s">
        <v>341</v>
      </c>
      <c r="F965">
        <v>12028</v>
      </c>
      <c r="G965">
        <v>0.6949397069181763</v>
      </c>
      <c r="H965">
        <v>0</v>
      </c>
      <c r="I965">
        <v>0</v>
      </c>
      <c r="J965">
        <v>0.63118374888712014</v>
      </c>
      <c r="K965">
        <v>0</v>
      </c>
      <c r="L965">
        <v>0</v>
      </c>
      <c r="M965">
        <v>0.45259993480716448</v>
      </c>
      <c r="N965">
        <v>0</v>
      </c>
      <c r="O965">
        <v>0</v>
      </c>
      <c r="P965">
        <v>0.48294119625152082</v>
      </c>
      <c r="Q965">
        <v>0.90455678189710853</v>
      </c>
      <c r="R965">
        <v>2.74831386286158</v>
      </c>
      <c r="S965">
        <v>0.22284631138052891</v>
      </c>
      <c r="T965">
        <v>0.17460893435672059</v>
      </c>
      <c r="U965">
        <v>4.2436712643831056</v>
      </c>
      <c r="V965">
        <v>0.23810297856178911</v>
      </c>
      <c r="W965">
        <v>6.5869554852011962</v>
      </c>
      <c r="X965">
        <v>0.30992280611377859</v>
      </c>
      <c r="Z965" t="s">
        <v>392</v>
      </c>
      <c r="AA965">
        <v>114</v>
      </c>
      <c r="AB965" t="s">
        <v>4398</v>
      </c>
      <c r="AC965" t="str">
        <f>HYPERLINK("plots/3FT6Y578R04_015_S21P_20251218081014_M5358ACSC201811_RBGEUFRF04/dpll_52094/txpa_55208.png","plot")</f>
        <v>plot</v>
      </c>
    </row>
    <row r="966" spans="1:29" x14ac:dyDescent="0.35">
      <c r="A966" t="s">
        <v>49</v>
      </c>
      <c r="B966">
        <v>52094</v>
      </c>
      <c r="C966" t="s">
        <v>53</v>
      </c>
      <c r="D966">
        <v>55209</v>
      </c>
      <c r="E966" t="s">
        <v>342</v>
      </c>
      <c r="F966">
        <v>12028</v>
      </c>
      <c r="G966">
        <v>0.69264371231390531</v>
      </c>
      <c r="H966">
        <v>0</v>
      </c>
      <c r="I966">
        <v>0</v>
      </c>
      <c r="J966">
        <v>0.62300566566400628</v>
      </c>
      <c r="K966">
        <v>0</v>
      </c>
      <c r="L966">
        <v>0</v>
      </c>
      <c r="M966">
        <v>0.44487487368262407</v>
      </c>
      <c r="N966">
        <v>0</v>
      </c>
      <c r="O966">
        <v>0</v>
      </c>
      <c r="P966">
        <v>0.47975531220798801</v>
      </c>
      <c r="Q966">
        <v>0.88760291923424206</v>
      </c>
      <c r="R966">
        <v>2.8275271458668119</v>
      </c>
      <c r="S966">
        <v>0.22006928223585071</v>
      </c>
      <c r="T966">
        <v>0.17336887412311569</v>
      </c>
      <c r="U966">
        <v>4.2436712643831056</v>
      </c>
      <c r="V966">
        <v>0.23810297856178911</v>
      </c>
      <c r="W966">
        <v>6.5942221484037242</v>
      </c>
      <c r="X966">
        <v>0.30512209248790889</v>
      </c>
      <c r="Z966" t="s">
        <v>392</v>
      </c>
      <c r="AA966">
        <v>114</v>
      </c>
      <c r="AB966" t="s">
        <v>4399</v>
      </c>
      <c r="AC966" t="str">
        <f>HYPERLINK("plots/3FT6Y578R04_015_S21P_20251218081014_M5358ACSC201811_RBGEUFRF04/dpll_52094/txpa_55209.png","plot")</f>
        <v>plot</v>
      </c>
    </row>
    <row r="967" spans="1:29" x14ac:dyDescent="0.35">
      <c r="A967" t="s">
        <v>49</v>
      </c>
      <c r="B967">
        <v>52094</v>
      </c>
      <c r="C967" t="s">
        <v>53</v>
      </c>
      <c r="D967">
        <v>55210</v>
      </c>
      <c r="E967" t="s">
        <v>343</v>
      </c>
      <c r="F967">
        <v>12027</v>
      </c>
      <c r="G967">
        <v>0.68514486065146818</v>
      </c>
      <c r="H967">
        <v>0</v>
      </c>
      <c r="I967">
        <v>0</v>
      </c>
      <c r="J967">
        <v>0.61650161055051811</v>
      </c>
      <c r="K967">
        <v>0</v>
      </c>
      <c r="L967">
        <v>0</v>
      </c>
      <c r="M967">
        <v>0.44084254590790622</v>
      </c>
      <c r="N967">
        <v>0</v>
      </c>
      <c r="O967">
        <v>0</v>
      </c>
      <c r="P967">
        <v>0.46942348007711981</v>
      </c>
      <c r="Q967">
        <v>0.88815568351310381</v>
      </c>
      <c r="R967">
        <v>2.7897399202404078</v>
      </c>
      <c r="S967">
        <v>0.22481188294549051</v>
      </c>
      <c r="T967">
        <v>0.17558813478857749</v>
      </c>
      <c r="U967">
        <v>4.2436951445081901</v>
      </c>
      <c r="V967">
        <v>0.2380984732054881</v>
      </c>
      <c r="W967">
        <v>6.5588018819323191</v>
      </c>
      <c r="X967">
        <v>0.30864788507962021</v>
      </c>
      <c r="Z967" t="s">
        <v>392</v>
      </c>
      <c r="AA967">
        <v>114</v>
      </c>
      <c r="AB967" t="s">
        <v>4400</v>
      </c>
      <c r="AC967" t="str">
        <f>HYPERLINK("plots/3FT6Y578R04_015_S21P_20251218081014_M5358ACSC201811_RBGEUFRF04/dpll_52094/txpa_55210.png","plot")</f>
        <v>plot</v>
      </c>
    </row>
    <row r="968" spans="1:29" x14ac:dyDescent="0.35">
      <c r="A968" t="s">
        <v>49</v>
      </c>
      <c r="B968">
        <v>52094</v>
      </c>
      <c r="C968" t="s">
        <v>53</v>
      </c>
      <c r="D968">
        <v>55211</v>
      </c>
      <c r="E968" t="s">
        <v>344</v>
      </c>
      <c r="F968">
        <v>12028</v>
      </c>
      <c r="G968">
        <v>0.67794086730210201</v>
      </c>
      <c r="H968">
        <v>0</v>
      </c>
      <c r="I968">
        <v>0</v>
      </c>
      <c r="J968">
        <v>0.62072011375854463</v>
      </c>
      <c r="K968">
        <v>0</v>
      </c>
      <c r="L968">
        <v>0</v>
      </c>
      <c r="M968">
        <v>0.44221278194597702</v>
      </c>
      <c r="N968">
        <v>0</v>
      </c>
      <c r="O968">
        <v>0</v>
      </c>
      <c r="P968">
        <v>0.4596038195583263</v>
      </c>
      <c r="Q968">
        <v>0.90491472884265023</v>
      </c>
      <c r="R968">
        <v>3.7736535533953099</v>
      </c>
      <c r="S968">
        <v>0.233624697385173</v>
      </c>
      <c r="T968">
        <v>0.17955021558871731</v>
      </c>
      <c r="U968">
        <v>4.2436712643831056</v>
      </c>
      <c r="V968">
        <v>0.23810297856178911</v>
      </c>
      <c r="W968">
        <v>7.6138141849018952</v>
      </c>
      <c r="X968">
        <v>0.31781959559292172</v>
      </c>
      <c r="Z968" t="s">
        <v>392</v>
      </c>
      <c r="AA968">
        <v>114</v>
      </c>
      <c r="AB968" t="s">
        <v>4401</v>
      </c>
      <c r="AC968" t="str">
        <f>HYPERLINK("plots/3FT6Y578R04_015_S21P_20251218081014_M5358ACSC201811_RBGEUFRF04/dpll_52094/txpa_55211.png","plot")</f>
        <v>plot</v>
      </c>
    </row>
    <row r="969" spans="1:29" x14ac:dyDescent="0.35">
      <c r="A969" t="s">
        <v>49</v>
      </c>
      <c r="B969">
        <v>52094</v>
      </c>
      <c r="C969" t="s">
        <v>53</v>
      </c>
      <c r="D969">
        <v>55212</v>
      </c>
      <c r="E969" t="s">
        <v>345</v>
      </c>
      <c r="F969">
        <v>12028</v>
      </c>
      <c r="G969">
        <v>0.69926143893214454</v>
      </c>
      <c r="H969">
        <v>0</v>
      </c>
      <c r="I969">
        <v>0</v>
      </c>
      <c r="J969">
        <v>0.63468119231914188</v>
      </c>
      <c r="K969">
        <v>0</v>
      </c>
      <c r="L969">
        <v>0</v>
      </c>
      <c r="M969">
        <v>0.45594289444089581</v>
      </c>
      <c r="N969">
        <v>0</v>
      </c>
      <c r="O969">
        <v>0</v>
      </c>
      <c r="P969">
        <v>0.48896655997745331</v>
      </c>
      <c r="Q969">
        <v>0.93349970517416336</v>
      </c>
      <c r="R969">
        <v>3.6805181256760209</v>
      </c>
      <c r="S969">
        <v>0.22721972998284631</v>
      </c>
      <c r="T969">
        <v>0.17715784688521799</v>
      </c>
      <c r="U969">
        <v>4.2436712643831056</v>
      </c>
      <c r="V969">
        <v>0.23810297856178911</v>
      </c>
      <c r="W969">
        <v>7.6419839998337196</v>
      </c>
      <c r="X969">
        <v>0.31786260175872338</v>
      </c>
      <c r="Z969" t="s">
        <v>392</v>
      </c>
      <c r="AA969">
        <v>114</v>
      </c>
      <c r="AB969" t="s">
        <v>4402</v>
      </c>
      <c r="AC969" t="str">
        <f>HYPERLINK("plots/3FT6Y578R04_015_S21P_20251218081014_M5358ACSC201811_RBGEUFRF04/dpll_52094/txpa_55212.png","plot")</f>
        <v>plot</v>
      </c>
    </row>
    <row r="970" spans="1:29" x14ac:dyDescent="0.35">
      <c r="A970" t="s">
        <v>49</v>
      </c>
      <c r="B970">
        <v>52094</v>
      </c>
      <c r="C970" t="s">
        <v>53</v>
      </c>
      <c r="D970">
        <v>55213</v>
      </c>
      <c r="E970" t="s">
        <v>346</v>
      </c>
      <c r="F970">
        <v>12028</v>
      </c>
      <c r="G970">
        <v>0.68735555820470273</v>
      </c>
      <c r="H970">
        <v>0</v>
      </c>
      <c r="I970">
        <v>0</v>
      </c>
      <c r="J970">
        <v>0.622464808038662</v>
      </c>
      <c r="K970">
        <v>0</v>
      </c>
      <c r="L970">
        <v>0</v>
      </c>
      <c r="M970">
        <v>0.44495605856797432</v>
      </c>
      <c r="N970">
        <v>0</v>
      </c>
      <c r="O970">
        <v>0</v>
      </c>
      <c r="P970">
        <v>0.47245766339489847</v>
      </c>
      <c r="Q970">
        <v>0.90398702482112403</v>
      </c>
      <c r="R970">
        <v>3.822325422381109</v>
      </c>
      <c r="S970">
        <v>0.22743441467536199</v>
      </c>
      <c r="T970">
        <v>0.17638957137713759</v>
      </c>
      <c r="U970">
        <v>4.2436712643831056</v>
      </c>
      <c r="V970">
        <v>0.23810297856178911</v>
      </c>
      <c r="W970">
        <v>7.6585491829896917</v>
      </c>
      <c r="X970">
        <v>0.31314506825740679</v>
      </c>
      <c r="Z970" t="s">
        <v>392</v>
      </c>
      <c r="AA970">
        <v>114</v>
      </c>
      <c r="AB970" t="s">
        <v>4403</v>
      </c>
      <c r="AC970" t="str">
        <f>HYPERLINK("plots/3FT6Y578R04_015_S21P_20251218081014_M5358ACSC201811_RBGEUFRF04/dpll_52094/txpa_55213.png","plot")</f>
        <v>plot</v>
      </c>
    </row>
    <row r="971" spans="1:29" x14ac:dyDescent="0.35">
      <c r="A971" t="s">
        <v>49</v>
      </c>
      <c r="B971">
        <v>52094</v>
      </c>
      <c r="C971" t="s">
        <v>53</v>
      </c>
      <c r="D971">
        <v>55214</v>
      </c>
      <c r="E971" t="s">
        <v>347</v>
      </c>
      <c r="F971">
        <v>12027</v>
      </c>
      <c r="G971">
        <v>0.70424554900530589</v>
      </c>
      <c r="H971">
        <v>0</v>
      </c>
      <c r="I971">
        <v>0</v>
      </c>
      <c r="J971">
        <v>0.63521344524982004</v>
      </c>
      <c r="K971">
        <v>0</v>
      </c>
      <c r="L971">
        <v>0</v>
      </c>
      <c r="M971">
        <v>0.45637368270563239</v>
      </c>
      <c r="N971">
        <v>0</v>
      </c>
      <c r="O971">
        <v>0</v>
      </c>
      <c r="P971">
        <v>0.4959617932937847</v>
      </c>
      <c r="Q971">
        <v>0.93332469387943107</v>
      </c>
      <c r="R971">
        <v>3.696034625151591</v>
      </c>
      <c r="S971">
        <v>0.2240281916703411</v>
      </c>
      <c r="T971">
        <v>0.17503255930943401</v>
      </c>
      <c r="U971">
        <v>4.2436786742329762</v>
      </c>
      <c r="V971">
        <v>0.2381114909913796</v>
      </c>
      <c r="W971">
        <v>7.6567647247027537</v>
      </c>
      <c r="X971">
        <v>0.31556512462534558</v>
      </c>
      <c r="Z971" t="s">
        <v>392</v>
      </c>
      <c r="AA971">
        <v>114</v>
      </c>
      <c r="AB971" t="s">
        <v>4404</v>
      </c>
      <c r="AC971" t="str">
        <f>HYPERLINK("plots/3FT6Y578R04_015_S21P_20251218081014_M5358ACSC201811_RBGEUFRF04/dpll_52094/txpa_55214.png","plot")</f>
        <v>plot</v>
      </c>
    </row>
    <row r="972" spans="1:29" x14ac:dyDescent="0.35">
      <c r="A972" t="s">
        <v>49</v>
      </c>
      <c r="B972">
        <v>52094</v>
      </c>
      <c r="C972" t="s">
        <v>53</v>
      </c>
      <c r="D972">
        <v>55215</v>
      </c>
      <c r="E972" t="s">
        <v>348</v>
      </c>
      <c r="F972">
        <v>12027</v>
      </c>
      <c r="G972">
        <v>0.70426582856758335</v>
      </c>
      <c r="H972">
        <v>0</v>
      </c>
      <c r="I972">
        <v>0</v>
      </c>
      <c r="J972">
        <v>0.62874434816225022</v>
      </c>
      <c r="K972">
        <v>0</v>
      </c>
      <c r="L972">
        <v>0</v>
      </c>
      <c r="M972">
        <v>0.44924385308707537</v>
      </c>
      <c r="N972">
        <v>0</v>
      </c>
      <c r="O972">
        <v>0</v>
      </c>
      <c r="P972">
        <v>0.49599035728798468</v>
      </c>
      <c r="Q972">
        <v>0.92899062118231468</v>
      </c>
      <c r="R972">
        <v>3.7001721791838929</v>
      </c>
      <c r="S972">
        <v>0.22295597476343251</v>
      </c>
      <c r="T972">
        <v>0.1750114222951597</v>
      </c>
      <c r="U972">
        <v>4.2436418554918101</v>
      </c>
      <c r="V972">
        <v>0.23809103076034549</v>
      </c>
      <c r="W972">
        <v>7.6424756625925001</v>
      </c>
      <c r="X972">
        <v>0.31406370377767873</v>
      </c>
      <c r="Z972" t="s">
        <v>392</v>
      </c>
      <c r="AA972">
        <v>114</v>
      </c>
      <c r="AB972" t="s">
        <v>4405</v>
      </c>
      <c r="AC972" t="str">
        <f>HYPERLINK("plots/3FT6Y578R04_015_S21P_20251218081014_M5358ACSC201811_RBGEUFRF04/dpll_52094/txpa_55215.png","plot")</f>
        <v>plot</v>
      </c>
    </row>
    <row r="973" spans="1:29" x14ac:dyDescent="0.35">
      <c r="A973" t="s">
        <v>49</v>
      </c>
      <c r="B973">
        <v>52094</v>
      </c>
      <c r="C973" t="s">
        <v>53</v>
      </c>
      <c r="D973">
        <v>55216</v>
      </c>
      <c r="E973" t="s">
        <v>349</v>
      </c>
      <c r="F973">
        <v>12028</v>
      </c>
      <c r="G973">
        <v>0.70860903434029809</v>
      </c>
      <c r="H973">
        <v>0</v>
      </c>
      <c r="I973">
        <v>0</v>
      </c>
      <c r="J973">
        <v>0.64245743265396604</v>
      </c>
      <c r="K973">
        <v>0</v>
      </c>
      <c r="L973">
        <v>0</v>
      </c>
      <c r="M973">
        <v>0.4622060818695749</v>
      </c>
      <c r="N973">
        <v>0</v>
      </c>
      <c r="O973">
        <v>0</v>
      </c>
      <c r="P973">
        <v>0.50212676354868979</v>
      </c>
      <c r="Q973">
        <v>0.94439916956952685</v>
      </c>
      <c r="R973">
        <v>3.6474208636998759</v>
      </c>
      <c r="S973">
        <v>0.2239005065247176</v>
      </c>
      <c r="T973">
        <v>0.1750928902772689</v>
      </c>
      <c r="U973">
        <v>4.2436712643831056</v>
      </c>
      <c r="V973">
        <v>0.23810297856178911</v>
      </c>
      <c r="W973">
        <v>7.6551404817093456</v>
      </c>
      <c r="X973">
        <v>0.31733190564685471</v>
      </c>
      <c r="Z973" t="s">
        <v>392</v>
      </c>
      <c r="AA973">
        <v>114</v>
      </c>
      <c r="AB973" t="s">
        <v>4406</v>
      </c>
      <c r="AC973" t="str">
        <f>HYPERLINK("plots/3FT6Y578R04_015_S21P_20251218081014_M5358ACSC201811_RBGEUFRF04/dpll_52094/txpa_55216.png","plot")</f>
        <v>plot</v>
      </c>
    </row>
    <row r="974" spans="1:29" x14ac:dyDescent="0.35">
      <c r="A974" t="s">
        <v>49</v>
      </c>
      <c r="B974">
        <v>52094</v>
      </c>
      <c r="C974" t="s">
        <v>53</v>
      </c>
      <c r="D974">
        <v>55217</v>
      </c>
      <c r="E974" t="s">
        <v>350</v>
      </c>
      <c r="F974">
        <v>12028</v>
      </c>
      <c r="G974">
        <v>0.70709376238061239</v>
      </c>
      <c r="H974">
        <v>0</v>
      </c>
      <c r="I974">
        <v>0</v>
      </c>
      <c r="J974">
        <v>0.63472073289058584</v>
      </c>
      <c r="K974">
        <v>0</v>
      </c>
      <c r="L974">
        <v>0</v>
      </c>
      <c r="M974">
        <v>0.4547212794523538</v>
      </c>
      <c r="N974">
        <v>0</v>
      </c>
      <c r="O974">
        <v>0</v>
      </c>
      <c r="P974">
        <v>0.49998158879756988</v>
      </c>
      <c r="Q974">
        <v>0.92813462774882149</v>
      </c>
      <c r="R974">
        <v>3.7241905687513959</v>
      </c>
      <c r="S974">
        <v>0.2209905698879438</v>
      </c>
      <c r="T974">
        <v>0.17384059333086421</v>
      </c>
      <c r="U974">
        <v>4.2436712643831056</v>
      </c>
      <c r="V974">
        <v>0.23810297856178911</v>
      </c>
      <c r="W974">
        <v>7.6628888180079811</v>
      </c>
      <c r="X974">
        <v>0.31253509948851299</v>
      </c>
      <c r="Z974" t="s">
        <v>392</v>
      </c>
      <c r="AA974">
        <v>114</v>
      </c>
      <c r="AB974" t="s">
        <v>4407</v>
      </c>
      <c r="AC974" t="str">
        <f>HYPERLINK("plots/3FT6Y578R04_015_S21P_20251218081014_M5358ACSC201811_RBGEUFRF04/dpll_52094/txpa_55217.png","plot")</f>
        <v>plot</v>
      </c>
    </row>
    <row r="975" spans="1:29" x14ac:dyDescent="0.35">
      <c r="A975" t="s">
        <v>49</v>
      </c>
      <c r="B975">
        <v>52094</v>
      </c>
      <c r="C975" t="s">
        <v>53</v>
      </c>
      <c r="D975">
        <v>55218</v>
      </c>
      <c r="E975" t="s">
        <v>351</v>
      </c>
      <c r="F975">
        <v>12027</v>
      </c>
      <c r="G975">
        <v>0.69941378180998071</v>
      </c>
      <c r="H975">
        <v>0</v>
      </c>
      <c r="I975">
        <v>0</v>
      </c>
      <c r="J975">
        <v>0.62810242673816208</v>
      </c>
      <c r="K975">
        <v>0</v>
      </c>
      <c r="L975">
        <v>0</v>
      </c>
      <c r="M975">
        <v>0.45047900128981588</v>
      </c>
      <c r="N975">
        <v>0</v>
      </c>
      <c r="O975">
        <v>0</v>
      </c>
      <c r="P975">
        <v>0.48917963818573929</v>
      </c>
      <c r="Q975">
        <v>0.92806187470472923</v>
      </c>
      <c r="R975">
        <v>3.689710637816439</v>
      </c>
      <c r="S975">
        <v>0.2257955617748498</v>
      </c>
      <c r="T975">
        <v>0.1760600551061588</v>
      </c>
      <c r="U975">
        <v>4.2436951445081901</v>
      </c>
      <c r="V975">
        <v>0.2380984732054881</v>
      </c>
      <c r="W975">
        <v>7.6281223093040662</v>
      </c>
      <c r="X975">
        <v>0.31593617562922599</v>
      </c>
      <c r="Z975" t="s">
        <v>392</v>
      </c>
      <c r="AA975">
        <v>114</v>
      </c>
      <c r="AB975" t="s">
        <v>4408</v>
      </c>
      <c r="AC975" t="str">
        <f>HYPERLINK("plots/3FT6Y578R04_015_S21P_20251218081014_M5358ACSC201811_RBGEUFRF04/dpll_52094/txpa_55218.png","plot")</f>
        <v>plot</v>
      </c>
    </row>
    <row r="976" spans="1:29" x14ac:dyDescent="0.35">
      <c r="A976" t="s">
        <v>49</v>
      </c>
      <c r="B976">
        <v>52094</v>
      </c>
      <c r="C976" t="s">
        <v>53</v>
      </c>
      <c r="D976">
        <v>55219</v>
      </c>
      <c r="E976" t="s">
        <v>352</v>
      </c>
      <c r="F976">
        <v>12028</v>
      </c>
      <c r="G976">
        <v>0.69495481049382157</v>
      </c>
      <c r="H976">
        <v>0</v>
      </c>
      <c r="I976">
        <v>0</v>
      </c>
      <c r="J976">
        <v>0.63398833804090637</v>
      </c>
      <c r="K976">
        <v>0</v>
      </c>
      <c r="L976">
        <v>0</v>
      </c>
      <c r="M976">
        <v>0.45338276877669859</v>
      </c>
      <c r="N976">
        <v>0</v>
      </c>
      <c r="O976">
        <v>0</v>
      </c>
      <c r="P976">
        <v>0.48296218862850337</v>
      </c>
      <c r="Q976">
        <v>0.95406697896849135</v>
      </c>
      <c r="R976">
        <v>4.6344697161799866</v>
      </c>
      <c r="S976">
        <v>0.2350337477254647</v>
      </c>
      <c r="T976">
        <v>0.18003995823681981</v>
      </c>
      <c r="U976">
        <v>4.2436712643831056</v>
      </c>
      <c r="V976">
        <v>0.23810297856178911</v>
      </c>
      <c r="W976">
        <v>8.6832163391253747</v>
      </c>
      <c r="X976">
        <v>0.32687908049506942</v>
      </c>
      <c r="Z976" t="s">
        <v>392</v>
      </c>
      <c r="AA976">
        <v>114</v>
      </c>
      <c r="AB976" t="s">
        <v>4409</v>
      </c>
      <c r="AC976" t="str">
        <f>HYPERLINK("plots/3FT6Y578R04_015_S21P_20251218081014_M5358ACSC201811_RBGEUFRF04/dpll_52094/txpa_55219.png","plot")</f>
        <v>plot</v>
      </c>
    </row>
    <row r="977" spans="1:29" x14ac:dyDescent="0.35">
      <c r="A977" t="s">
        <v>49</v>
      </c>
      <c r="B977">
        <v>52094</v>
      </c>
      <c r="C977" t="s">
        <v>53</v>
      </c>
      <c r="D977">
        <v>55220</v>
      </c>
      <c r="E977" t="s">
        <v>353</v>
      </c>
      <c r="F977">
        <v>12028</v>
      </c>
      <c r="G977">
        <v>0.71525344474912422</v>
      </c>
      <c r="H977">
        <v>0</v>
      </c>
      <c r="I977">
        <v>0</v>
      </c>
      <c r="J977">
        <v>0.64709137119649196</v>
      </c>
      <c r="K977">
        <v>0</v>
      </c>
      <c r="L977">
        <v>0</v>
      </c>
      <c r="M977">
        <v>0.46656195366543718</v>
      </c>
      <c r="N977">
        <v>0</v>
      </c>
      <c r="O977">
        <v>0</v>
      </c>
      <c r="P977">
        <v>0.51158749022548855</v>
      </c>
      <c r="Q977">
        <v>0.98207832602645806</v>
      </c>
      <c r="R977">
        <v>4.5418752261900366</v>
      </c>
      <c r="S977">
        <v>0.2284685008400823</v>
      </c>
      <c r="T977">
        <v>0.17769557511278319</v>
      </c>
      <c r="U977">
        <v>4.2436712643831056</v>
      </c>
      <c r="V977">
        <v>0.23810297856178911</v>
      </c>
      <c r="W977">
        <v>8.7094927977219818</v>
      </c>
      <c r="X977">
        <v>0.32692715613539408</v>
      </c>
      <c r="Z977" t="s">
        <v>392</v>
      </c>
      <c r="AA977">
        <v>114</v>
      </c>
      <c r="AB977" t="s">
        <v>4410</v>
      </c>
      <c r="AC977" t="str">
        <f>HYPERLINK("plots/3FT6Y578R04_015_S21P_20251218081014_M5358ACSC201811_RBGEUFRF04/dpll_52094/txpa_55220.png","plot")</f>
        <v>plot</v>
      </c>
    </row>
    <row r="978" spans="1:29" x14ac:dyDescent="0.35">
      <c r="A978" t="s">
        <v>49</v>
      </c>
      <c r="B978">
        <v>52094</v>
      </c>
      <c r="C978" t="s">
        <v>53</v>
      </c>
      <c r="D978">
        <v>55221</v>
      </c>
      <c r="E978" t="s">
        <v>354</v>
      </c>
      <c r="F978">
        <v>12028</v>
      </c>
      <c r="G978">
        <v>0.70434169846869044</v>
      </c>
      <c r="H978">
        <v>0</v>
      </c>
      <c r="I978">
        <v>0</v>
      </c>
      <c r="J978">
        <v>0.63577424820037276</v>
      </c>
      <c r="K978">
        <v>0</v>
      </c>
      <c r="L978">
        <v>0</v>
      </c>
      <c r="M978">
        <v>0.45621729670291022</v>
      </c>
      <c r="N978">
        <v>0</v>
      </c>
      <c r="O978">
        <v>0</v>
      </c>
      <c r="P978">
        <v>0.49609722820175972</v>
      </c>
      <c r="Q978">
        <v>0.95282322414513165</v>
      </c>
      <c r="R978">
        <v>4.6823884698938922</v>
      </c>
      <c r="S978">
        <v>0.22863835221041451</v>
      </c>
      <c r="T978">
        <v>0.17667230659823049</v>
      </c>
      <c r="U978">
        <v>4.2436712643831056</v>
      </c>
      <c r="V978">
        <v>0.23810297856178911</v>
      </c>
      <c r="W978">
        <v>8.7258570062354508</v>
      </c>
      <c r="X978">
        <v>0.32210225264958919</v>
      </c>
      <c r="Z978" t="s">
        <v>392</v>
      </c>
      <c r="AA978">
        <v>114</v>
      </c>
      <c r="AB978" t="s">
        <v>4411</v>
      </c>
      <c r="AC978" t="str">
        <f>HYPERLINK("plots/3FT6Y578R04_015_S21P_20251218081014_M5358ACSC201811_RBGEUFRF04/dpll_52094/txpa_55221.png","plot")</f>
        <v>plot</v>
      </c>
    </row>
    <row r="979" spans="1:29" x14ac:dyDescent="0.35">
      <c r="A979" t="s">
        <v>49</v>
      </c>
      <c r="B979">
        <v>52094</v>
      </c>
      <c r="C979" t="s">
        <v>53</v>
      </c>
      <c r="D979">
        <v>55222</v>
      </c>
      <c r="E979" t="s">
        <v>355</v>
      </c>
      <c r="F979">
        <v>12027</v>
      </c>
      <c r="G979">
        <v>0.72030524111632765</v>
      </c>
      <c r="H979">
        <v>0</v>
      </c>
      <c r="I979">
        <v>0</v>
      </c>
      <c r="J979">
        <v>0.64768852689535694</v>
      </c>
      <c r="K979">
        <v>0</v>
      </c>
      <c r="L979">
        <v>0</v>
      </c>
      <c r="M979">
        <v>0.46703602318068099</v>
      </c>
      <c r="N979">
        <v>0</v>
      </c>
      <c r="O979">
        <v>0</v>
      </c>
      <c r="P979">
        <v>0.51883964037965091</v>
      </c>
      <c r="Q979">
        <v>0.98197543999364634</v>
      </c>
      <c r="R979">
        <v>4.5566574334282333</v>
      </c>
      <c r="S979">
        <v>0.22516001565656221</v>
      </c>
      <c r="T979">
        <v>0.17551754557137511</v>
      </c>
      <c r="U979">
        <v>4.2436786742329762</v>
      </c>
      <c r="V979">
        <v>0.2381114909913796</v>
      </c>
      <c r="W979">
        <v>8.7238456667498134</v>
      </c>
      <c r="X979">
        <v>0.32461187672524761</v>
      </c>
      <c r="Z979" t="s">
        <v>392</v>
      </c>
      <c r="AA979">
        <v>114</v>
      </c>
      <c r="AB979" t="s">
        <v>4412</v>
      </c>
      <c r="AC979" t="str">
        <f>HYPERLINK("plots/3FT6Y578R04_015_S21P_20251218081014_M5358ACSC201811_RBGEUFRF04/dpll_52094/txpa_55222.png","plot")</f>
        <v>plot</v>
      </c>
    </row>
    <row r="980" spans="1:29" x14ac:dyDescent="0.35">
      <c r="A980" t="s">
        <v>49</v>
      </c>
      <c r="B980">
        <v>52094</v>
      </c>
      <c r="C980" t="s">
        <v>53</v>
      </c>
      <c r="D980">
        <v>55223</v>
      </c>
      <c r="E980" t="s">
        <v>356</v>
      </c>
      <c r="F980">
        <v>12027</v>
      </c>
      <c r="G980">
        <v>0.72053375098180483</v>
      </c>
      <c r="H980">
        <v>0</v>
      </c>
      <c r="I980">
        <v>0</v>
      </c>
      <c r="J980">
        <v>0.64138334652378215</v>
      </c>
      <c r="K980">
        <v>0</v>
      </c>
      <c r="L980">
        <v>0</v>
      </c>
      <c r="M980">
        <v>0.45991498171288869</v>
      </c>
      <c r="N980">
        <v>0</v>
      </c>
      <c r="O980">
        <v>0</v>
      </c>
      <c r="P980">
        <v>0.51916888630390956</v>
      </c>
      <c r="Q980">
        <v>0.97783734156049118</v>
      </c>
      <c r="R980">
        <v>4.5594243012545901</v>
      </c>
      <c r="S980">
        <v>0.22404411977115099</v>
      </c>
      <c r="T980">
        <v>0.17543707710279521</v>
      </c>
      <c r="U980">
        <v>4.2436418554918101</v>
      </c>
      <c r="V980">
        <v>0.23809103076034549</v>
      </c>
      <c r="W980">
        <v>8.7090157717635321</v>
      </c>
      <c r="X980">
        <v>0.32311366435071071</v>
      </c>
      <c r="Z980" t="s">
        <v>392</v>
      </c>
      <c r="AA980">
        <v>114</v>
      </c>
      <c r="AB980" t="s">
        <v>4413</v>
      </c>
      <c r="AC980" t="str">
        <f>HYPERLINK("plots/3FT6Y578R04_015_S21P_20251218081014_M5358ACSC201811_RBGEUFRF04/dpll_52094/txpa_55223.png","plot")</f>
        <v>plot</v>
      </c>
    </row>
    <row r="981" spans="1:29" x14ac:dyDescent="0.35">
      <c r="A981" t="s">
        <v>49</v>
      </c>
      <c r="B981">
        <v>52094</v>
      </c>
      <c r="C981" t="s">
        <v>53</v>
      </c>
      <c r="D981">
        <v>55224</v>
      </c>
      <c r="E981" t="s">
        <v>357</v>
      </c>
      <c r="F981">
        <v>12028</v>
      </c>
      <c r="G981">
        <v>0.72434190558288059</v>
      </c>
      <c r="H981">
        <v>0</v>
      </c>
      <c r="I981">
        <v>0</v>
      </c>
      <c r="J981">
        <v>0.65449566088982947</v>
      </c>
      <c r="K981">
        <v>0</v>
      </c>
      <c r="L981">
        <v>0</v>
      </c>
      <c r="M981">
        <v>0.47254091713334062</v>
      </c>
      <c r="N981">
        <v>0</v>
      </c>
      <c r="O981">
        <v>0</v>
      </c>
      <c r="P981">
        <v>0.52467119618343872</v>
      </c>
      <c r="Q981">
        <v>0.99287203209915287</v>
      </c>
      <c r="R981">
        <v>4.5088810419623169</v>
      </c>
      <c r="S981">
        <v>0.22500569283025881</v>
      </c>
      <c r="T981">
        <v>0.17552953564094231</v>
      </c>
      <c r="U981">
        <v>4.2436712643831056</v>
      </c>
      <c r="V981">
        <v>0.23810297856178911</v>
      </c>
      <c r="W981">
        <v>8.7223035537911535</v>
      </c>
      <c r="X981">
        <v>0.32637320352640342</v>
      </c>
      <c r="Z981" t="s">
        <v>392</v>
      </c>
      <c r="AA981">
        <v>114</v>
      </c>
      <c r="AB981" t="s">
        <v>4414</v>
      </c>
      <c r="AC981" t="str">
        <f>HYPERLINK("plots/3FT6Y578R04_015_S21P_20251218081014_M5358ACSC201811_RBGEUFRF04/dpll_52094/txpa_55224.png","plot")</f>
        <v>plot</v>
      </c>
    </row>
    <row r="982" spans="1:29" x14ac:dyDescent="0.35">
      <c r="A982" t="s">
        <v>49</v>
      </c>
      <c r="B982">
        <v>52094</v>
      </c>
      <c r="C982" t="s">
        <v>53</v>
      </c>
      <c r="D982">
        <v>55225</v>
      </c>
      <c r="E982" t="s">
        <v>358</v>
      </c>
      <c r="F982">
        <v>12028</v>
      </c>
      <c r="G982">
        <v>0.72340141728481633</v>
      </c>
      <c r="H982">
        <v>0</v>
      </c>
      <c r="I982">
        <v>0</v>
      </c>
      <c r="J982">
        <v>0.6472245115202494</v>
      </c>
      <c r="K982">
        <v>0</v>
      </c>
      <c r="L982">
        <v>0</v>
      </c>
      <c r="M982">
        <v>0.46543816567313451</v>
      </c>
      <c r="N982">
        <v>0</v>
      </c>
      <c r="O982">
        <v>0</v>
      </c>
      <c r="P982">
        <v>0.52330961052968095</v>
      </c>
      <c r="Q982">
        <v>0.97686866687315099</v>
      </c>
      <c r="R982">
        <v>4.5847123341395841</v>
      </c>
      <c r="S982">
        <v>0.22198406330018969</v>
      </c>
      <c r="T982">
        <v>0.17416048842607559</v>
      </c>
      <c r="U982">
        <v>4.2436712643831056</v>
      </c>
      <c r="V982">
        <v>0.23810297856178911</v>
      </c>
      <c r="W982">
        <v>8.7302218248254082</v>
      </c>
      <c r="X982">
        <v>0.32153011272661652</v>
      </c>
      <c r="Z982" t="s">
        <v>392</v>
      </c>
      <c r="AA982">
        <v>114</v>
      </c>
      <c r="AB982" t="s">
        <v>4415</v>
      </c>
      <c r="AC982" t="str">
        <f>HYPERLINK("plots/3FT6Y578R04_015_S21P_20251218081014_M5358ACSC201811_RBGEUFRF04/dpll_52094/txpa_55225.png","plot")</f>
        <v>plot</v>
      </c>
    </row>
    <row r="983" spans="1:29" x14ac:dyDescent="0.35">
      <c r="A983" t="s">
        <v>49</v>
      </c>
      <c r="B983">
        <v>52094</v>
      </c>
      <c r="C983" t="s">
        <v>53</v>
      </c>
      <c r="D983">
        <v>55226</v>
      </c>
      <c r="E983" t="s">
        <v>359</v>
      </c>
      <c r="F983">
        <v>12027</v>
      </c>
      <c r="G983">
        <v>0.7158436437188499</v>
      </c>
      <c r="H983">
        <v>0</v>
      </c>
      <c r="I983">
        <v>0</v>
      </c>
      <c r="J983">
        <v>0.64054503003805818</v>
      </c>
      <c r="K983">
        <v>0</v>
      </c>
      <c r="L983">
        <v>0</v>
      </c>
      <c r="M983">
        <v>0.46102066856738999</v>
      </c>
      <c r="N983">
        <v>0</v>
      </c>
      <c r="O983">
        <v>0</v>
      </c>
      <c r="P983">
        <v>0.51243212225267976</v>
      </c>
      <c r="Q983">
        <v>0.97611640362432972</v>
      </c>
      <c r="R983">
        <v>4.5549606017815876</v>
      </c>
      <c r="S983">
        <v>0.2266937442248832</v>
      </c>
      <c r="T983">
        <v>0.17630487372392331</v>
      </c>
      <c r="U983">
        <v>4.2436951445081901</v>
      </c>
      <c r="V983">
        <v>0.2380984732054881</v>
      </c>
      <c r="W983">
        <v>8.6973010443169532</v>
      </c>
      <c r="X983">
        <v>0.32466842083893038</v>
      </c>
      <c r="Z983" t="s">
        <v>392</v>
      </c>
      <c r="AA983">
        <v>114</v>
      </c>
      <c r="AB983" t="s">
        <v>4416</v>
      </c>
      <c r="AC983" t="str">
        <f>HYPERLINK("plots/3FT6Y578R04_015_S21P_20251218081014_M5358ACSC201811_RBGEUFRF04/dpll_52094/txpa_55226.png","plot")</f>
        <v>plot</v>
      </c>
    </row>
    <row r="984" spans="1:29" x14ac:dyDescent="0.35">
      <c r="A984" t="s">
        <v>49</v>
      </c>
      <c r="B984">
        <v>52094</v>
      </c>
      <c r="C984" t="s">
        <v>53</v>
      </c>
      <c r="D984">
        <v>55227</v>
      </c>
      <c r="E984" t="s">
        <v>360</v>
      </c>
      <c r="F984">
        <v>12028</v>
      </c>
      <c r="G984">
        <v>0.70042175840895882</v>
      </c>
      <c r="H984">
        <v>0</v>
      </c>
      <c r="I984">
        <v>0</v>
      </c>
      <c r="J984">
        <v>0.63808519066603864</v>
      </c>
      <c r="K984">
        <v>0</v>
      </c>
      <c r="L984">
        <v>0</v>
      </c>
      <c r="M984">
        <v>0.45690605638438181</v>
      </c>
      <c r="N984">
        <v>0</v>
      </c>
      <c r="O984">
        <v>0</v>
      </c>
      <c r="P984">
        <v>0.49059063965269789</v>
      </c>
      <c r="Q984">
        <v>0.97472441699110635</v>
      </c>
      <c r="R984">
        <v>5.0763972092694551</v>
      </c>
      <c r="S984">
        <v>0.23648437479485029</v>
      </c>
      <c r="T984">
        <v>0.18078474639205599</v>
      </c>
      <c r="U984">
        <v>4.2436712643831056</v>
      </c>
      <c r="V984">
        <v>0.23810297856178911</v>
      </c>
      <c r="W984">
        <v>9.2128072083471899</v>
      </c>
      <c r="X984">
        <v>0.33135005327315531</v>
      </c>
      <c r="Z984" t="s">
        <v>392</v>
      </c>
      <c r="AA984">
        <v>114</v>
      </c>
      <c r="AB984" t="s">
        <v>4417</v>
      </c>
      <c r="AC984" t="str">
        <f>HYPERLINK("plots/3FT6Y578R04_015_S21P_20251218081014_M5358ACSC201811_RBGEUFRF04/dpll_52094/txpa_55227.png","plot")</f>
        <v>plot</v>
      </c>
    </row>
    <row r="985" spans="1:29" x14ac:dyDescent="0.35">
      <c r="A985" t="s">
        <v>49</v>
      </c>
      <c r="B985">
        <v>52094</v>
      </c>
      <c r="C985" t="s">
        <v>53</v>
      </c>
      <c r="D985">
        <v>55228</v>
      </c>
      <c r="E985" t="s">
        <v>361</v>
      </c>
      <c r="F985">
        <v>12028</v>
      </c>
      <c r="G985">
        <v>0.72043000263160162</v>
      </c>
      <c r="H985">
        <v>0</v>
      </c>
      <c r="I985">
        <v>0</v>
      </c>
      <c r="J985">
        <v>0.65092105997235195</v>
      </c>
      <c r="K985">
        <v>0</v>
      </c>
      <c r="L985">
        <v>0</v>
      </c>
      <c r="M985">
        <v>0.46991622011704698</v>
      </c>
      <c r="N985">
        <v>0</v>
      </c>
      <c r="O985">
        <v>0</v>
      </c>
      <c r="P985">
        <v>0.51901938869176956</v>
      </c>
      <c r="Q985">
        <v>1.002958669039282</v>
      </c>
      <c r="R985">
        <v>4.9821374039142183</v>
      </c>
      <c r="S985">
        <v>0.2298803261611147</v>
      </c>
      <c r="T985">
        <v>0.17845951652832201</v>
      </c>
      <c r="U985">
        <v>4.2436712643831056</v>
      </c>
      <c r="V985">
        <v>0.23810297856178911</v>
      </c>
      <c r="W985">
        <v>9.238364287080147</v>
      </c>
      <c r="X985">
        <v>0.33147904112863119</v>
      </c>
      <c r="Z985" t="s">
        <v>392</v>
      </c>
      <c r="AA985">
        <v>114</v>
      </c>
      <c r="AB985" t="s">
        <v>4418</v>
      </c>
      <c r="AC985" t="str">
        <f>HYPERLINK("plots/3FT6Y578R04_015_S21P_20251218081014_M5358ACSC201811_RBGEUFRF04/dpll_52094/txpa_55228.png","plot")</f>
        <v>plot</v>
      </c>
    </row>
    <row r="986" spans="1:29" x14ac:dyDescent="0.35">
      <c r="A986" t="s">
        <v>49</v>
      </c>
      <c r="B986">
        <v>52094</v>
      </c>
      <c r="C986" t="s">
        <v>53</v>
      </c>
      <c r="D986">
        <v>55229</v>
      </c>
      <c r="E986" t="s">
        <v>362</v>
      </c>
      <c r="F986">
        <v>12028</v>
      </c>
      <c r="G986">
        <v>0.70982209738748181</v>
      </c>
      <c r="H986">
        <v>0</v>
      </c>
      <c r="I986">
        <v>0</v>
      </c>
      <c r="J986">
        <v>0.63968946908603841</v>
      </c>
      <c r="K986">
        <v>0</v>
      </c>
      <c r="L986">
        <v>0</v>
      </c>
      <c r="M986">
        <v>0.459521071403794</v>
      </c>
      <c r="N986">
        <v>0</v>
      </c>
      <c r="O986">
        <v>0</v>
      </c>
      <c r="P986">
        <v>0.50384740993956367</v>
      </c>
      <c r="Q986">
        <v>0.97380525753338576</v>
      </c>
      <c r="R986">
        <v>5.1222272573267853</v>
      </c>
      <c r="S986">
        <v>0.23007901276927939</v>
      </c>
      <c r="T986">
        <v>0.17747473847364689</v>
      </c>
      <c r="U986">
        <v>4.2436712643831056</v>
      </c>
      <c r="V986">
        <v>0.23810297856178911</v>
      </c>
      <c r="W986">
        <v>9.2547366458264051</v>
      </c>
      <c r="X986">
        <v>0.32665358434348218</v>
      </c>
      <c r="Z986" t="s">
        <v>392</v>
      </c>
      <c r="AA986">
        <v>114</v>
      </c>
      <c r="AB986" t="s">
        <v>4419</v>
      </c>
      <c r="AC986" t="str">
        <f>HYPERLINK("plots/3FT6Y578R04_015_S21P_20251218081014_M5358ACSC201811_RBGEUFRF04/dpll_52094/txpa_55229.png","plot")</f>
        <v>plot</v>
      </c>
    </row>
    <row r="987" spans="1:29" x14ac:dyDescent="0.35">
      <c r="A987" t="s">
        <v>49</v>
      </c>
      <c r="B987">
        <v>52094</v>
      </c>
      <c r="C987" t="s">
        <v>53</v>
      </c>
      <c r="D987">
        <v>55230</v>
      </c>
      <c r="E987" t="s">
        <v>363</v>
      </c>
      <c r="F987">
        <v>12027</v>
      </c>
      <c r="G987">
        <v>0.72548201011379443</v>
      </c>
      <c r="H987">
        <v>0</v>
      </c>
      <c r="I987">
        <v>0</v>
      </c>
      <c r="J987">
        <v>0.65159441200970136</v>
      </c>
      <c r="K987">
        <v>0</v>
      </c>
      <c r="L987">
        <v>0</v>
      </c>
      <c r="M987">
        <v>0.4704015322822524</v>
      </c>
      <c r="N987">
        <v>0</v>
      </c>
      <c r="O987">
        <v>0</v>
      </c>
      <c r="P987">
        <v>0.52632414699875174</v>
      </c>
      <c r="Q987">
        <v>1.0026566039908289</v>
      </c>
      <c r="R987">
        <v>4.9975318806592579</v>
      </c>
      <c r="S987">
        <v>0.22647928885365581</v>
      </c>
      <c r="T987">
        <v>0.1762651083689947</v>
      </c>
      <c r="U987">
        <v>4.2436786742329762</v>
      </c>
      <c r="V987">
        <v>0.2381114909913796</v>
      </c>
      <c r="W987">
        <v>9.2524843285939973</v>
      </c>
      <c r="X987">
        <v>0.3290833619584333</v>
      </c>
      <c r="Z987" t="s">
        <v>392</v>
      </c>
      <c r="AA987">
        <v>114</v>
      </c>
      <c r="AB987" t="s">
        <v>4420</v>
      </c>
      <c r="AC987" t="str">
        <f>HYPERLINK("plots/3FT6Y578R04_015_S21P_20251218081014_M5358ACSC201811_RBGEUFRF04/dpll_52094/txpa_55230.png","plot")</f>
        <v>plot</v>
      </c>
    </row>
    <row r="988" spans="1:29" x14ac:dyDescent="0.35">
      <c r="A988" t="s">
        <v>49</v>
      </c>
      <c r="B988">
        <v>52094</v>
      </c>
      <c r="C988" t="s">
        <v>53</v>
      </c>
      <c r="D988">
        <v>55231</v>
      </c>
      <c r="E988" t="s">
        <v>364</v>
      </c>
      <c r="F988">
        <v>12027</v>
      </c>
      <c r="G988">
        <v>0.72577568137424509</v>
      </c>
      <c r="H988">
        <v>0</v>
      </c>
      <c r="I988">
        <v>0</v>
      </c>
      <c r="J988">
        <v>0.64519211895875772</v>
      </c>
      <c r="K988">
        <v>0</v>
      </c>
      <c r="L988">
        <v>0</v>
      </c>
      <c r="M988">
        <v>0.46314068690260751</v>
      </c>
      <c r="N988">
        <v>0</v>
      </c>
      <c r="O988">
        <v>0</v>
      </c>
      <c r="P988">
        <v>0.52675033967424978</v>
      </c>
      <c r="Q988">
        <v>0.99852449516162933</v>
      </c>
      <c r="R988">
        <v>4.9998988524953454</v>
      </c>
      <c r="S988">
        <v>0.2253338546282094</v>
      </c>
      <c r="T988">
        <v>0.17621230641055691</v>
      </c>
      <c r="U988">
        <v>4.2436418554918101</v>
      </c>
      <c r="V988">
        <v>0.23809103076034549</v>
      </c>
      <c r="W988">
        <v>9.2372791938970646</v>
      </c>
      <c r="X988">
        <v>0.32756639881117189</v>
      </c>
      <c r="Z988" t="s">
        <v>392</v>
      </c>
      <c r="AA988">
        <v>114</v>
      </c>
      <c r="AB988" t="s">
        <v>4421</v>
      </c>
      <c r="AC988" t="str">
        <f>HYPERLINK("plots/3FT6Y578R04_015_S21P_20251218081014_M5358ACSC201811_RBGEUFRF04/dpll_52094/txpa_55231.png","plot")</f>
        <v>plot</v>
      </c>
    </row>
    <row r="989" spans="1:29" x14ac:dyDescent="0.35">
      <c r="A989" t="s">
        <v>49</v>
      </c>
      <c r="B989">
        <v>52094</v>
      </c>
      <c r="C989" t="s">
        <v>53</v>
      </c>
      <c r="D989">
        <v>55232</v>
      </c>
      <c r="E989" t="s">
        <v>365</v>
      </c>
      <c r="F989">
        <v>12028</v>
      </c>
      <c r="G989">
        <v>0.72919781198381328</v>
      </c>
      <c r="H989">
        <v>0</v>
      </c>
      <c r="I989">
        <v>0</v>
      </c>
      <c r="J989">
        <v>0.65801262295922802</v>
      </c>
      <c r="K989">
        <v>0</v>
      </c>
      <c r="L989">
        <v>0</v>
      </c>
      <c r="M989">
        <v>0.47567217825692631</v>
      </c>
      <c r="N989">
        <v>0</v>
      </c>
      <c r="O989">
        <v>0</v>
      </c>
      <c r="P989">
        <v>0.53172944900198071</v>
      </c>
      <c r="Q989">
        <v>1.013471200120047</v>
      </c>
      <c r="R989">
        <v>4.9499184348345464</v>
      </c>
      <c r="S989">
        <v>0.2264442264778723</v>
      </c>
      <c r="T989">
        <v>0.17633149968891171</v>
      </c>
      <c r="U989">
        <v>4.2436712643831056</v>
      </c>
      <c r="V989">
        <v>0.23810297856178911</v>
      </c>
      <c r="W989">
        <v>9.2507570440638514</v>
      </c>
      <c r="X989">
        <v>0.33092599493500757</v>
      </c>
      <c r="Z989" t="s">
        <v>392</v>
      </c>
      <c r="AA989">
        <v>114</v>
      </c>
      <c r="AB989" t="s">
        <v>4422</v>
      </c>
      <c r="AC989" t="str">
        <f>HYPERLINK("plots/3FT6Y578R04_015_S21P_20251218081014_M5358ACSC201811_RBGEUFRF04/dpll_52094/txpa_55232.png","plot")</f>
        <v>plot</v>
      </c>
    </row>
    <row r="990" spans="1:29" x14ac:dyDescent="0.35">
      <c r="A990" t="s">
        <v>49</v>
      </c>
      <c r="B990">
        <v>52094</v>
      </c>
      <c r="C990" t="s">
        <v>53</v>
      </c>
      <c r="D990">
        <v>55233</v>
      </c>
      <c r="E990" t="s">
        <v>366</v>
      </c>
      <c r="F990">
        <v>12028</v>
      </c>
      <c r="G990">
        <v>0.72855115414617566</v>
      </c>
      <c r="H990">
        <v>0</v>
      </c>
      <c r="I990">
        <v>0</v>
      </c>
      <c r="J990">
        <v>0.65091580890550549</v>
      </c>
      <c r="K990">
        <v>0</v>
      </c>
      <c r="L990">
        <v>0</v>
      </c>
      <c r="M990">
        <v>0.46862456473052289</v>
      </c>
      <c r="N990">
        <v>0</v>
      </c>
      <c r="O990">
        <v>0</v>
      </c>
      <c r="P990">
        <v>0.53078678420772463</v>
      </c>
      <c r="Q990">
        <v>0.99742757525492898</v>
      </c>
      <c r="R990">
        <v>5.0261356041190997</v>
      </c>
      <c r="S990">
        <v>0.2232817422075431</v>
      </c>
      <c r="T990">
        <v>0.17488926355523629</v>
      </c>
      <c r="U990">
        <v>4.2436712643831056</v>
      </c>
      <c r="V990">
        <v>0.23810297856178911</v>
      </c>
      <c r="W990">
        <v>9.2588903435317604</v>
      </c>
      <c r="X990">
        <v>0.3259763919339172</v>
      </c>
      <c r="Z990" t="s">
        <v>392</v>
      </c>
      <c r="AA990">
        <v>114</v>
      </c>
      <c r="AB990" t="s">
        <v>4423</v>
      </c>
      <c r="AC990" t="str">
        <f>HYPERLINK("plots/3FT6Y578R04_015_S21P_20251218081014_M5358ACSC201811_RBGEUFRF04/dpll_52094/txpa_55233.png","plot")</f>
        <v>plot</v>
      </c>
    </row>
    <row r="991" spans="1:29" x14ac:dyDescent="0.35">
      <c r="A991" t="s">
        <v>49</v>
      </c>
      <c r="B991">
        <v>52094</v>
      </c>
      <c r="C991" t="s">
        <v>53</v>
      </c>
      <c r="D991">
        <v>55234</v>
      </c>
      <c r="E991" t="s">
        <v>367</v>
      </c>
      <c r="F991">
        <v>12027</v>
      </c>
      <c r="G991">
        <v>0.72110386573162211</v>
      </c>
      <c r="H991">
        <v>0</v>
      </c>
      <c r="I991">
        <v>0</v>
      </c>
      <c r="J991">
        <v>0.64423012183836625</v>
      </c>
      <c r="K991">
        <v>0</v>
      </c>
      <c r="L991">
        <v>0</v>
      </c>
      <c r="M991">
        <v>0.46419947407226381</v>
      </c>
      <c r="N991">
        <v>0</v>
      </c>
      <c r="O991">
        <v>0</v>
      </c>
      <c r="P991">
        <v>0.51999078517308928</v>
      </c>
      <c r="Q991">
        <v>0.99657611639413601</v>
      </c>
      <c r="R991">
        <v>4.9975215777496551</v>
      </c>
      <c r="S991">
        <v>0.22796910446428281</v>
      </c>
      <c r="T991">
        <v>0.17698107138594091</v>
      </c>
      <c r="U991">
        <v>4.2436951445081901</v>
      </c>
      <c r="V991">
        <v>0.2380984732054881</v>
      </c>
      <c r="W991">
        <v>9.2266868040242791</v>
      </c>
      <c r="X991">
        <v>0.3290555813422999</v>
      </c>
      <c r="Z991" t="s">
        <v>392</v>
      </c>
      <c r="AA991">
        <v>114</v>
      </c>
      <c r="AB991" t="s">
        <v>4424</v>
      </c>
      <c r="AC991" t="str">
        <f>HYPERLINK("plots/3FT6Y578R04_015_S21P_20251218081014_M5358ACSC201811_RBGEUFRF04/dpll_52094/txpa_55234.png","plot")</f>
        <v>plot</v>
      </c>
    </row>
    <row r="992" spans="1:29" x14ac:dyDescent="0.35">
      <c r="A992" t="s">
        <v>49</v>
      </c>
      <c r="B992">
        <v>52094</v>
      </c>
      <c r="C992" t="s">
        <v>53</v>
      </c>
      <c r="D992">
        <v>55235</v>
      </c>
      <c r="E992" t="s">
        <v>368</v>
      </c>
      <c r="F992">
        <v>12028</v>
      </c>
      <c r="G992">
        <v>0.70540409660354964</v>
      </c>
      <c r="H992">
        <v>0</v>
      </c>
      <c r="I992">
        <v>0</v>
      </c>
      <c r="J992">
        <v>0.64159412908941749</v>
      </c>
      <c r="K992">
        <v>0</v>
      </c>
      <c r="L992">
        <v>0</v>
      </c>
      <c r="M992">
        <v>0.45986277798610448</v>
      </c>
      <c r="N992">
        <v>0</v>
      </c>
      <c r="O992">
        <v>0</v>
      </c>
      <c r="P992">
        <v>0.49759493950507</v>
      </c>
      <c r="Q992">
        <v>0.99414653279208054</v>
      </c>
      <c r="R992">
        <v>5.489117075272989</v>
      </c>
      <c r="S992">
        <v>0.23784071476465191</v>
      </c>
      <c r="T992">
        <v>0.18150199423539909</v>
      </c>
      <c r="U992">
        <v>4.2436712643831056</v>
      </c>
      <c r="V992">
        <v>0.23810297856178911</v>
      </c>
      <c r="W992">
        <v>9.7079481490688391</v>
      </c>
      <c r="X992">
        <v>0.33556546059825992</v>
      </c>
      <c r="Z992" t="s">
        <v>392</v>
      </c>
      <c r="AA992">
        <v>114</v>
      </c>
      <c r="AB992" t="s">
        <v>4425</v>
      </c>
      <c r="AC992" t="str">
        <f>HYPERLINK("plots/3FT6Y578R04_015_S21P_20251218081014_M5358ACSC201811_RBGEUFRF04/dpll_52094/txpa_55235.png","plot")</f>
        <v>plot</v>
      </c>
    </row>
    <row r="993" spans="1:29" x14ac:dyDescent="0.35">
      <c r="A993" t="s">
        <v>49</v>
      </c>
      <c r="B993">
        <v>52094</v>
      </c>
      <c r="C993" t="s">
        <v>53</v>
      </c>
      <c r="D993">
        <v>55236</v>
      </c>
      <c r="E993" t="s">
        <v>369</v>
      </c>
      <c r="F993">
        <v>12028</v>
      </c>
      <c r="G993">
        <v>0.72505822696688327</v>
      </c>
      <c r="H993">
        <v>0</v>
      </c>
      <c r="I993">
        <v>0</v>
      </c>
      <c r="J993">
        <v>0.65420330390837611</v>
      </c>
      <c r="K993">
        <v>0</v>
      </c>
      <c r="L993">
        <v>0</v>
      </c>
      <c r="M993">
        <v>0.47273596674477097</v>
      </c>
      <c r="N993">
        <v>0</v>
      </c>
      <c r="O993">
        <v>0</v>
      </c>
      <c r="P993">
        <v>0.52570943249236046</v>
      </c>
      <c r="Q993">
        <v>1.0225562299171069</v>
      </c>
      <c r="R993">
        <v>5.3941092308715461</v>
      </c>
      <c r="S993">
        <v>0.23125084704546489</v>
      </c>
      <c r="T993">
        <v>0.17920540400776461</v>
      </c>
      <c r="U993">
        <v>4.2436712643831056</v>
      </c>
      <c r="V993">
        <v>0.23810297856178911</v>
      </c>
      <c r="W993">
        <v>9.7335017199866982</v>
      </c>
      <c r="X993">
        <v>0.33579880213026991</v>
      </c>
      <c r="Z993" t="s">
        <v>392</v>
      </c>
      <c r="AA993">
        <v>114</v>
      </c>
      <c r="AB993" t="s">
        <v>4426</v>
      </c>
      <c r="AC993" t="str">
        <f>HYPERLINK("plots/3FT6Y578R04_015_S21P_20251218081014_M5358ACSC201811_RBGEUFRF04/dpll_52094/txpa_55236.png","plot")</f>
        <v>plot</v>
      </c>
    </row>
    <row r="994" spans="1:29" x14ac:dyDescent="0.35">
      <c r="A994" t="s">
        <v>49</v>
      </c>
      <c r="B994">
        <v>52094</v>
      </c>
      <c r="C994" t="s">
        <v>53</v>
      </c>
      <c r="D994">
        <v>55237</v>
      </c>
      <c r="E994" t="s">
        <v>370</v>
      </c>
      <c r="F994">
        <v>12028</v>
      </c>
      <c r="G994">
        <v>0.71485679949604508</v>
      </c>
      <c r="H994">
        <v>0</v>
      </c>
      <c r="I994">
        <v>0</v>
      </c>
      <c r="J994">
        <v>0.64320667672733434</v>
      </c>
      <c r="K994">
        <v>0</v>
      </c>
      <c r="L994">
        <v>0</v>
      </c>
      <c r="M994">
        <v>0.46250925647425079</v>
      </c>
      <c r="N994">
        <v>0</v>
      </c>
      <c r="O994">
        <v>0</v>
      </c>
      <c r="P994">
        <v>0.51102024378572874</v>
      </c>
      <c r="Q994">
        <v>0.99358425462218791</v>
      </c>
      <c r="R994">
        <v>5.5335907077147839</v>
      </c>
      <c r="S994">
        <v>0.2314077299679283</v>
      </c>
      <c r="T994">
        <v>0.17814645615594951</v>
      </c>
      <c r="U994">
        <v>4.2436712643831056</v>
      </c>
      <c r="V994">
        <v>0.23810297856178911</v>
      </c>
      <c r="W994">
        <v>9.7500356577984704</v>
      </c>
      <c r="X994">
        <v>0.330940925013817</v>
      </c>
      <c r="Z994" t="s">
        <v>392</v>
      </c>
      <c r="AA994">
        <v>114</v>
      </c>
      <c r="AB994" t="s">
        <v>4427</v>
      </c>
      <c r="AC994" t="str">
        <f>HYPERLINK("plots/3FT6Y578R04_015_S21P_20251218081014_M5358ACSC201811_RBGEUFRF04/dpll_52094/txpa_55237.png","plot")</f>
        <v>plot</v>
      </c>
    </row>
    <row r="995" spans="1:29" x14ac:dyDescent="0.35">
      <c r="A995" t="s">
        <v>49</v>
      </c>
      <c r="B995">
        <v>52094</v>
      </c>
      <c r="C995" t="s">
        <v>53</v>
      </c>
      <c r="D995">
        <v>55238</v>
      </c>
      <c r="E995" t="s">
        <v>371</v>
      </c>
      <c r="F995">
        <v>12027</v>
      </c>
      <c r="G995">
        <v>0.73017629875052859</v>
      </c>
      <c r="H995">
        <v>0</v>
      </c>
      <c r="I995">
        <v>0</v>
      </c>
      <c r="J995">
        <v>0.65491648914133305</v>
      </c>
      <c r="K995">
        <v>0</v>
      </c>
      <c r="L995">
        <v>0</v>
      </c>
      <c r="M995">
        <v>0.47325894836070992</v>
      </c>
      <c r="N995">
        <v>0</v>
      </c>
      <c r="O995">
        <v>0</v>
      </c>
      <c r="P995">
        <v>0.5331574272570212</v>
      </c>
      <c r="Q995">
        <v>1.0225180400797069</v>
      </c>
      <c r="R995">
        <v>5.4080758004925524</v>
      </c>
      <c r="S995">
        <v>0.22781943619367531</v>
      </c>
      <c r="T995">
        <v>0.17705148269031609</v>
      </c>
      <c r="U995">
        <v>4.2436786742329762</v>
      </c>
      <c r="V995">
        <v>0.2381114909913796</v>
      </c>
      <c r="W995">
        <v>9.7473138011973059</v>
      </c>
      <c r="X995">
        <v>0.33344453319779299</v>
      </c>
      <c r="Z995" t="s">
        <v>392</v>
      </c>
      <c r="AA995">
        <v>114</v>
      </c>
      <c r="AB995" t="s">
        <v>4428</v>
      </c>
      <c r="AC995" t="str">
        <f>HYPERLINK("plots/3FT6Y578R04_015_S21P_20251218081014_M5358ACSC201811_RBGEUFRF04/dpll_52094/txpa_55238.png","plot")</f>
        <v>plot</v>
      </c>
    </row>
    <row r="996" spans="1:29" x14ac:dyDescent="0.35">
      <c r="A996" t="s">
        <v>49</v>
      </c>
      <c r="B996">
        <v>52094</v>
      </c>
      <c r="C996" t="s">
        <v>53</v>
      </c>
      <c r="D996">
        <v>55239</v>
      </c>
      <c r="E996" t="s">
        <v>372</v>
      </c>
      <c r="F996">
        <v>12027</v>
      </c>
      <c r="G996">
        <v>0.73053655147216356</v>
      </c>
      <c r="H996">
        <v>0</v>
      </c>
      <c r="I996">
        <v>0</v>
      </c>
      <c r="J996">
        <v>0.64853053286515716</v>
      </c>
      <c r="K996">
        <v>0</v>
      </c>
      <c r="L996">
        <v>0</v>
      </c>
      <c r="M996">
        <v>0.46594362724564747</v>
      </c>
      <c r="N996">
        <v>0</v>
      </c>
      <c r="O996">
        <v>0</v>
      </c>
      <c r="P996">
        <v>0.53368365303684107</v>
      </c>
      <c r="Q996">
        <v>1.018235562486479</v>
      </c>
      <c r="R996">
        <v>5.4107272116063196</v>
      </c>
      <c r="S996">
        <v>0.22660610723883029</v>
      </c>
      <c r="T996">
        <v>0.17691125795351459</v>
      </c>
      <c r="U996">
        <v>4.2436418554918101</v>
      </c>
      <c r="V996">
        <v>0.23809103076034549</v>
      </c>
      <c r="W996">
        <v>9.7317542633241878</v>
      </c>
      <c r="X996">
        <v>0.33185574923075389</v>
      </c>
      <c r="Z996" t="s">
        <v>392</v>
      </c>
      <c r="AA996">
        <v>114</v>
      </c>
      <c r="AB996" t="s">
        <v>4429</v>
      </c>
      <c r="AC996" t="str">
        <f>HYPERLINK("plots/3FT6Y578R04_015_S21P_20251218081014_M5358ACSC201811_RBGEUFRF04/dpll_52094/txpa_55239.png","plot")</f>
        <v>plot</v>
      </c>
    </row>
    <row r="997" spans="1:29" x14ac:dyDescent="0.35">
      <c r="A997" t="s">
        <v>49</v>
      </c>
      <c r="B997">
        <v>52094</v>
      </c>
      <c r="C997" t="s">
        <v>53</v>
      </c>
      <c r="D997">
        <v>55240</v>
      </c>
      <c r="E997" t="s">
        <v>373</v>
      </c>
      <c r="F997">
        <v>12028</v>
      </c>
      <c r="G997">
        <v>0.73364498413094181</v>
      </c>
      <c r="H997">
        <v>0</v>
      </c>
      <c r="I997">
        <v>0</v>
      </c>
      <c r="J997">
        <v>0.66121791118177364</v>
      </c>
      <c r="K997">
        <v>0</v>
      </c>
      <c r="L997">
        <v>0</v>
      </c>
      <c r="M997">
        <v>0.47845800080742701</v>
      </c>
      <c r="N997">
        <v>0</v>
      </c>
      <c r="O997">
        <v>0</v>
      </c>
      <c r="P997">
        <v>0.53823496274048988</v>
      </c>
      <c r="Q997">
        <v>1.033115943057664</v>
      </c>
      <c r="R997">
        <v>5.3615703326165933</v>
      </c>
      <c r="S997">
        <v>0.22783498288444551</v>
      </c>
      <c r="T997">
        <v>0.17713084916079261</v>
      </c>
      <c r="U997">
        <v>4.2436712643831056</v>
      </c>
      <c r="V997">
        <v>0.23810297856178911</v>
      </c>
      <c r="W997">
        <v>9.7457747729464579</v>
      </c>
      <c r="X997">
        <v>0.33529566556376439</v>
      </c>
      <c r="Z997" t="s">
        <v>392</v>
      </c>
      <c r="AA997">
        <v>114</v>
      </c>
      <c r="AB997" t="s">
        <v>4430</v>
      </c>
      <c r="AC997" t="str">
        <f>HYPERLINK("plots/3FT6Y578R04_015_S21P_20251218081014_M5358ACSC201811_RBGEUFRF04/dpll_52094/txpa_55240.png","plot")</f>
        <v>plot</v>
      </c>
    </row>
    <row r="998" spans="1:29" x14ac:dyDescent="0.35">
      <c r="A998" t="s">
        <v>49</v>
      </c>
      <c r="B998">
        <v>52094</v>
      </c>
      <c r="C998" t="s">
        <v>53</v>
      </c>
      <c r="D998">
        <v>55241</v>
      </c>
      <c r="E998" t="s">
        <v>374</v>
      </c>
      <c r="F998">
        <v>12028</v>
      </c>
      <c r="G998">
        <v>0.73335648695398947</v>
      </c>
      <c r="H998">
        <v>0</v>
      </c>
      <c r="I998">
        <v>0</v>
      </c>
      <c r="J998">
        <v>0.65405502977397156</v>
      </c>
      <c r="K998">
        <v>0</v>
      </c>
      <c r="L998">
        <v>0</v>
      </c>
      <c r="M998">
        <v>0.47137308666606031</v>
      </c>
      <c r="N998">
        <v>0</v>
      </c>
      <c r="O998">
        <v>0</v>
      </c>
      <c r="P998">
        <v>0.53781173695749696</v>
      </c>
      <c r="Q998">
        <v>1.0175319125308639</v>
      </c>
      <c r="R998">
        <v>5.435824770630318</v>
      </c>
      <c r="S998">
        <v>0.22458933603015629</v>
      </c>
      <c r="T998">
        <v>0.175604611405175</v>
      </c>
      <c r="U998">
        <v>4.2436712643831056</v>
      </c>
      <c r="V998">
        <v>0.23810297856178911</v>
      </c>
      <c r="W998">
        <v>9.7538957084303277</v>
      </c>
      <c r="X998">
        <v>0.33036781356032752</v>
      </c>
      <c r="Z998" t="s">
        <v>392</v>
      </c>
      <c r="AA998">
        <v>114</v>
      </c>
      <c r="AB998" t="s">
        <v>4431</v>
      </c>
      <c r="AC998" t="str">
        <f>HYPERLINK("plots/3FT6Y578R04_015_S21P_20251218081014_M5358ACSC201811_RBGEUFRF04/dpll_52094/txpa_55241.png","plot")</f>
        <v>plot</v>
      </c>
    </row>
    <row r="999" spans="1:29" x14ac:dyDescent="0.35">
      <c r="A999" t="s">
        <v>49</v>
      </c>
      <c r="B999">
        <v>52094</v>
      </c>
      <c r="C999" t="s">
        <v>53</v>
      </c>
      <c r="D999">
        <v>55242</v>
      </c>
      <c r="E999" t="s">
        <v>375</v>
      </c>
      <c r="F999">
        <v>12027</v>
      </c>
      <c r="G999">
        <v>0.72569824454067611</v>
      </c>
      <c r="H999">
        <v>0</v>
      </c>
      <c r="I999">
        <v>0</v>
      </c>
      <c r="J999">
        <v>0.64742035023720867</v>
      </c>
      <c r="K999">
        <v>0</v>
      </c>
      <c r="L999">
        <v>0</v>
      </c>
      <c r="M999">
        <v>0.46691345617861041</v>
      </c>
      <c r="N999">
        <v>0</v>
      </c>
      <c r="O999">
        <v>0</v>
      </c>
      <c r="P999">
        <v>0.52663794212941895</v>
      </c>
      <c r="Q999">
        <v>1.016098825519796</v>
      </c>
      <c r="R999">
        <v>5.4101039086226512</v>
      </c>
      <c r="S999">
        <v>0.2293586658930806</v>
      </c>
      <c r="T999">
        <v>0.1778032565233009</v>
      </c>
      <c r="U999">
        <v>4.2436951445081901</v>
      </c>
      <c r="V999">
        <v>0.2380984732054881</v>
      </c>
      <c r="W999">
        <v>9.7221175608214843</v>
      </c>
      <c r="X999">
        <v>0.3333776549718423</v>
      </c>
      <c r="Z999" t="s">
        <v>392</v>
      </c>
      <c r="AA999">
        <v>114</v>
      </c>
      <c r="AB999" t="s">
        <v>4432</v>
      </c>
      <c r="AC999" t="str">
        <f>HYPERLINK("plots/3FT6Y578R04_015_S21P_20251218081014_M5358ACSC201811_RBGEUFRF04/dpll_52094/txpa_55242.png","plot")</f>
        <v>plot</v>
      </c>
    </row>
    <row r="1000" spans="1:29" x14ac:dyDescent="0.35">
      <c r="A1000" t="s">
        <v>49</v>
      </c>
      <c r="B1000">
        <v>52094</v>
      </c>
      <c r="C1000" t="s">
        <v>53</v>
      </c>
      <c r="D1000">
        <v>55243</v>
      </c>
      <c r="E1000" t="s">
        <v>376</v>
      </c>
      <c r="F1000">
        <v>12028</v>
      </c>
      <c r="G1000">
        <v>0.71793993984387061</v>
      </c>
      <c r="H1000">
        <v>0</v>
      </c>
      <c r="I1000">
        <v>0</v>
      </c>
      <c r="J1000">
        <v>0.65041511872849633</v>
      </c>
      <c r="K1000">
        <v>0</v>
      </c>
      <c r="L1000">
        <v>0</v>
      </c>
      <c r="M1000">
        <v>0.46758634544803829</v>
      </c>
      <c r="N1000">
        <v>0</v>
      </c>
      <c r="O1000">
        <v>0</v>
      </c>
      <c r="P1000">
        <v>0.51543775722302054</v>
      </c>
      <c r="Q1000">
        <v>1.050413945017646</v>
      </c>
      <c r="R1000">
        <v>6.8897969201512197</v>
      </c>
      <c r="S1000">
        <v>0.2424900504129559</v>
      </c>
      <c r="T1000">
        <v>0.18390523545289739</v>
      </c>
      <c r="U1000">
        <v>4.2436712643831056</v>
      </c>
      <c r="V1000">
        <v>0.23810297856178911</v>
      </c>
      <c r="W1000">
        <v>11.3474083943299</v>
      </c>
      <c r="X1000">
        <v>0.34836714765573717</v>
      </c>
      <c r="Z1000" t="s">
        <v>392</v>
      </c>
      <c r="AA1000">
        <v>114</v>
      </c>
      <c r="AB1000" t="s">
        <v>4433</v>
      </c>
      <c r="AC1000" t="str">
        <f>HYPERLINK("plots/3FT6Y578R04_015_S21P_20251218081014_M5358ACSC201811_RBGEUFRF04/dpll_52094/txpa_55243.png","plot")</f>
        <v>plot</v>
      </c>
    </row>
    <row r="1001" spans="1:29" x14ac:dyDescent="0.35">
      <c r="A1001" t="s">
        <v>49</v>
      </c>
      <c r="B1001">
        <v>52094</v>
      </c>
      <c r="C1001" t="s">
        <v>53</v>
      </c>
      <c r="D1001">
        <v>55244</v>
      </c>
      <c r="E1001" t="s">
        <v>377</v>
      </c>
      <c r="F1001">
        <v>12028</v>
      </c>
      <c r="G1001">
        <v>0.73703356165261869</v>
      </c>
      <c r="H1001">
        <v>0</v>
      </c>
      <c r="I1001">
        <v>0</v>
      </c>
      <c r="J1001">
        <v>0.66271977711472152</v>
      </c>
      <c r="K1001">
        <v>0</v>
      </c>
      <c r="L1001">
        <v>0</v>
      </c>
      <c r="M1001">
        <v>0.480335169479988</v>
      </c>
      <c r="N1001">
        <v>0</v>
      </c>
      <c r="O1001">
        <v>0</v>
      </c>
      <c r="P1001">
        <v>0.54321847100234444</v>
      </c>
      <c r="Q1001">
        <v>1.079094728969503</v>
      </c>
      <c r="R1001">
        <v>6.7922975071747267</v>
      </c>
      <c r="S1001">
        <v>0.2355989484602726</v>
      </c>
      <c r="T1001">
        <v>0.18163047431542689</v>
      </c>
      <c r="U1001">
        <v>4.2436712643831056</v>
      </c>
      <c r="V1001">
        <v>0.23810297856178911</v>
      </c>
      <c r="W1001">
        <v>11.371620800049881</v>
      </c>
      <c r="X1001">
        <v>0.34860782803682561</v>
      </c>
      <c r="Z1001" t="s">
        <v>392</v>
      </c>
      <c r="AA1001">
        <v>114</v>
      </c>
      <c r="AB1001" t="s">
        <v>4434</v>
      </c>
      <c r="AC1001" t="str">
        <f>HYPERLINK("plots/3FT6Y578R04_015_S21P_20251218081014_M5358ACSC201811_RBGEUFRF04/dpll_52094/txpa_55244.png","plot")</f>
        <v>plot</v>
      </c>
    </row>
    <row r="1002" spans="1:29" x14ac:dyDescent="0.35">
      <c r="A1002" t="s">
        <v>49</v>
      </c>
      <c r="B1002">
        <v>52094</v>
      </c>
      <c r="C1002" t="s">
        <v>53</v>
      </c>
      <c r="D1002">
        <v>55245</v>
      </c>
      <c r="E1002" t="s">
        <v>378</v>
      </c>
      <c r="F1002">
        <v>12028</v>
      </c>
      <c r="G1002">
        <v>0.72755445732801682</v>
      </c>
      <c r="H1002">
        <v>0</v>
      </c>
      <c r="I1002">
        <v>0</v>
      </c>
      <c r="J1002">
        <v>0.65220383843929541</v>
      </c>
      <c r="K1002">
        <v>0</v>
      </c>
      <c r="L1002">
        <v>0</v>
      </c>
      <c r="M1002">
        <v>0.47045256899443311</v>
      </c>
      <c r="N1002">
        <v>0</v>
      </c>
      <c r="O1002">
        <v>0</v>
      </c>
      <c r="P1002">
        <v>0.52933548837786504</v>
      </c>
      <c r="Q1002">
        <v>1.0500543398479181</v>
      </c>
      <c r="R1002">
        <v>6.9319083671744206</v>
      </c>
      <c r="S1002">
        <v>0.23574840832160371</v>
      </c>
      <c r="T1002">
        <v>0.18046189859444919</v>
      </c>
      <c r="U1002">
        <v>4.2436712643831056</v>
      </c>
      <c r="V1002">
        <v>0.23810297856178911</v>
      </c>
      <c r="W1002">
        <v>11.3879937952278</v>
      </c>
      <c r="X1002">
        <v>0.34364584458425029</v>
      </c>
      <c r="Z1002" t="s">
        <v>392</v>
      </c>
      <c r="AA1002">
        <v>114</v>
      </c>
      <c r="AB1002" t="s">
        <v>4435</v>
      </c>
      <c r="AC1002" t="str">
        <f>HYPERLINK("plots/3FT6Y578R04_015_S21P_20251218081014_M5358ACSC201811_RBGEUFRF04/dpll_52094/txpa_55245.png","plot")</f>
        <v>plot</v>
      </c>
    </row>
    <row r="1003" spans="1:29" x14ac:dyDescent="0.35">
      <c r="A1003" t="s">
        <v>49</v>
      </c>
      <c r="B1003">
        <v>52094</v>
      </c>
      <c r="C1003" t="s">
        <v>53</v>
      </c>
      <c r="D1003">
        <v>55246</v>
      </c>
      <c r="E1003" t="s">
        <v>379</v>
      </c>
      <c r="F1003">
        <v>12027</v>
      </c>
      <c r="G1003">
        <v>0.74205075973897294</v>
      </c>
      <c r="H1003">
        <v>0</v>
      </c>
      <c r="I1003">
        <v>0</v>
      </c>
      <c r="J1003">
        <v>0.66323678530960295</v>
      </c>
      <c r="K1003">
        <v>0</v>
      </c>
      <c r="L1003">
        <v>0</v>
      </c>
      <c r="M1003">
        <v>0.48063767409847741</v>
      </c>
      <c r="N1003">
        <v>0</v>
      </c>
      <c r="O1003">
        <v>0</v>
      </c>
      <c r="P1003">
        <v>0.55063933002918697</v>
      </c>
      <c r="Q1003">
        <v>1.078042850968425</v>
      </c>
      <c r="R1003">
        <v>6.8096928996345296</v>
      </c>
      <c r="S1003">
        <v>0.231879437280476</v>
      </c>
      <c r="T1003">
        <v>0.1793760777771887</v>
      </c>
      <c r="U1003">
        <v>4.2436786742329762</v>
      </c>
      <c r="V1003">
        <v>0.2381114909913796</v>
      </c>
      <c r="W1003">
        <v>11.38456035619855</v>
      </c>
      <c r="X1003">
        <v>0.34592564892324251</v>
      </c>
      <c r="Z1003" t="s">
        <v>392</v>
      </c>
      <c r="AA1003">
        <v>114</v>
      </c>
      <c r="AB1003" t="s">
        <v>4436</v>
      </c>
      <c r="AC1003" t="str">
        <f>HYPERLINK("plots/3FT6Y578R04_015_S21P_20251218081014_M5358ACSC201811_RBGEUFRF04/dpll_52094/txpa_55246.png","plot")</f>
        <v>plot</v>
      </c>
    </row>
    <row r="1004" spans="1:29" x14ac:dyDescent="0.35">
      <c r="A1004" t="s">
        <v>49</v>
      </c>
      <c r="B1004">
        <v>52094</v>
      </c>
      <c r="C1004" t="s">
        <v>53</v>
      </c>
      <c r="D1004">
        <v>55247</v>
      </c>
      <c r="E1004" t="s">
        <v>380</v>
      </c>
      <c r="F1004">
        <v>12027</v>
      </c>
      <c r="G1004">
        <v>0.74231525495782713</v>
      </c>
      <c r="H1004">
        <v>0</v>
      </c>
      <c r="I1004">
        <v>0</v>
      </c>
      <c r="J1004">
        <v>0.65652254760052697</v>
      </c>
      <c r="K1004">
        <v>0</v>
      </c>
      <c r="L1004">
        <v>0</v>
      </c>
      <c r="M1004">
        <v>0.47296083788984639</v>
      </c>
      <c r="N1004">
        <v>0</v>
      </c>
      <c r="O1004">
        <v>0</v>
      </c>
      <c r="P1004">
        <v>0.55103193774310388</v>
      </c>
      <c r="Q1004">
        <v>1.0746417012703759</v>
      </c>
      <c r="R1004">
        <v>6.8077519023363866</v>
      </c>
      <c r="S1004">
        <v>0.23094470384896459</v>
      </c>
      <c r="T1004">
        <v>0.17942404126386721</v>
      </c>
      <c r="U1004">
        <v>4.2436418554918101</v>
      </c>
      <c r="V1004">
        <v>0.23809103076034549</v>
      </c>
      <c r="W1004">
        <v>11.36814640550428</v>
      </c>
      <c r="X1004">
        <v>0.3446817893673107</v>
      </c>
      <c r="Z1004" t="s">
        <v>392</v>
      </c>
      <c r="AA1004">
        <v>114</v>
      </c>
      <c r="AB1004" t="s">
        <v>4437</v>
      </c>
      <c r="AC1004" t="str">
        <f>HYPERLINK("plots/3FT6Y578R04_015_S21P_20251218081014_M5358ACSC201811_RBGEUFRF04/dpll_52094/txpa_55247.png","plot")</f>
        <v>plot</v>
      </c>
    </row>
    <row r="1005" spans="1:29" x14ac:dyDescent="0.35">
      <c r="A1005" t="s">
        <v>49</v>
      </c>
      <c r="B1005">
        <v>52094</v>
      </c>
      <c r="C1005" t="s">
        <v>53</v>
      </c>
      <c r="D1005">
        <v>55248</v>
      </c>
      <c r="E1005" t="s">
        <v>381</v>
      </c>
      <c r="F1005">
        <v>12027</v>
      </c>
      <c r="G1005">
        <v>0.74701104604830304</v>
      </c>
      <c r="H1005">
        <v>0</v>
      </c>
      <c r="I1005">
        <v>0</v>
      </c>
      <c r="J1005">
        <v>0.66912806322636953</v>
      </c>
      <c r="K1005">
        <v>0</v>
      </c>
      <c r="L1005">
        <v>0</v>
      </c>
      <c r="M1005">
        <v>0.48559543946709371</v>
      </c>
      <c r="N1005">
        <v>0</v>
      </c>
      <c r="O1005">
        <v>0</v>
      </c>
      <c r="P1005">
        <v>0.55802550291817987</v>
      </c>
      <c r="Q1005">
        <v>1.0905229788456521</v>
      </c>
      <c r="R1005">
        <v>6.7561014739796912</v>
      </c>
      <c r="S1005">
        <v>0.23105723714136869</v>
      </c>
      <c r="T1005">
        <v>0.17935546655846649</v>
      </c>
      <c r="U1005">
        <v>4.2436377816579363</v>
      </c>
      <c r="V1005">
        <v>0.2380845584627882</v>
      </c>
      <c r="W1005">
        <v>11.38388598877526</v>
      </c>
      <c r="X1005">
        <v>0.34756739312687901</v>
      </c>
      <c r="Z1005" t="s">
        <v>392</v>
      </c>
      <c r="AA1005">
        <v>114</v>
      </c>
      <c r="AB1005" t="s">
        <v>4438</v>
      </c>
      <c r="AC1005" t="str">
        <f>HYPERLINK("plots/3FT6Y578R04_015_S21P_20251218081014_M5358ACSC201811_RBGEUFRF04/dpll_52094/txpa_55248.png","plot")</f>
        <v>plot</v>
      </c>
    </row>
    <row r="1006" spans="1:29" x14ac:dyDescent="0.35">
      <c r="A1006" t="s">
        <v>49</v>
      </c>
      <c r="B1006">
        <v>52094</v>
      </c>
      <c r="C1006" t="s">
        <v>53</v>
      </c>
      <c r="D1006">
        <v>55249</v>
      </c>
      <c r="E1006" t="s">
        <v>382</v>
      </c>
      <c r="F1006">
        <v>12028</v>
      </c>
      <c r="G1006">
        <v>0.74521552031535665</v>
      </c>
      <c r="H1006">
        <v>0</v>
      </c>
      <c r="I1006">
        <v>0</v>
      </c>
      <c r="J1006">
        <v>0.66205706174445311</v>
      </c>
      <c r="K1006">
        <v>0</v>
      </c>
      <c r="L1006">
        <v>0</v>
      </c>
      <c r="M1006">
        <v>0.47845120384468892</v>
      </c>
      <c r="N1006">
        <v>0</v>
      </c>
      <c r="O1006">
        <v>0</v>
      </c>
      <c r="P1006">
        <v>0.55534617171888778</v>
      </c>
      <c r="Q1006">
        <v>1.0734237314041819</v>
      </c>
      <c r="R1006">
        <v>6.8371526109063154</v>
      </c>
      <c r="S1006">
        <v>0.228689957204502</v>
      </c>
      <c r="T1006">
        <v>0.17780678707318751</v>
      </c>
      <c r="U1006">
        <v>4.2436712643831056</v>
      </c>
      <c r="V1006">
        <v>0.23810297856178911</v>
      </c>
      <c r="W1006">
        <v>11.39241005437313</v>
      </c>
      <c r="X1006">
        <v>0.34296841750972668</v>
      </c>
      <c r="Z1006" t="s">
        <v>392</v>
      </c>
      <c r="AA1006">
        <v>114</v>
      </c>
      <c r="AB1006" t="s">
        <v>4439</v>
      </c>
      <c r="AC1006" t="str">
        <f>HYPERLINK("plots/3FT6Y578R04_015_S21P_20251218081014_M5358ACSC201811_RBGEUFRF04/dpll_52094/txpa_55249.png","plot")</f>
        <v>plot</v>
      </c>
    </row>
    <row r="1007" spans="1:29" x14ac:dyDescent="0.35">
      <c r="A1007" t="s">
        <v>49</v>
      </c>
      <c r="B1007">
        <v>52094</v>
      </c>
      <c r="C1007" t="s">
        <v>53</v>
      </c>
      <c r="D1007">
        <v>55250</v>
      </c>
      <c r="E1007" t="s">
        <v>383</v>
      </c>
      <c r="F1007">
        <v>12027</v>
      </c>
      <c r="G1007">
        <v>0.73741467623783863</v>
      </c>
      <c r="H1007">
        <v>0</v>
      </c>
      <c r="I1007">
        <v>0</v>
      </c>
      <c r="J1007">
        <v>0.65511483882715271</v>
      </c>
      <c r="K1007">
        <v>0</v>
      </c>
      <c r="L1007">
        <v>0</v>
      </c>
      <c r="M1007">
        <v>0.47374402373842228</v>
      </c>
      <c r="N1007">
        <v>0</v>
      </c>
      <c r="O1007">
        <v>0</v>
      </c>
      <c r="P1007">
        <v>0.54378040473095635</v>
      </c>
      <c r="Q1007">
        <v>1.07125124013728</v>
      </c>
      <c r="R1007">
        <v>6.8166354317487272</v>
      </c>
      <c r="S1007">
        <v>0.23361734453969779</v>
      </c>
      <c r="T1007">
        <v>0.18014639395451279</v>
      </c>
      <c r="U1007">
        <v>4.2436951445081901</v>
      </c>
      <c r="V1007">
        <v>0.2380984732054881</v>
      </c>
      <c r="W1007">
        <v>11.362699118067679</v>
      </c>
      <c r="X1007">
        <v>0.34588853858653978</v>
      </c>
      <c r="Z1007" t="s">
        <v>392</v>
      </c>
      <c r="AA1007">
        <v>114</v>
      </c>
      <c r="AB1007" t="s">
        <v>4440</v>
      </c>
      <c r="AC1007" t="str">
        <f>HYPERLINK("plots/3FT6Y578R04_015_S21P_20251218081014_M5358ACSC201811_RBGEUFRF04/dpll_52094/txpa_55250.png","plot")</f>
        <v>plot</v>
      </c>
    </row>
    <row r="1008" spans="1:29" x14ac:dyDescent="0.35">
      <c r="A1008" t="s">
        <v>49</v>
      </c>
      <c r="B1008">
        <v>52094</v>
      </c>
      <c r="C1008" t="s">
        <v>53</v>
      </c>
      <c r="D1008">
        <v>55251</v>
      </c>
      <c r="E1008" t="s">
        <v>384</v>
      </c>
      <c r="F1008">
        <v>12028</v>
      </c>
      <c r="G1008">
        <v>0.72084002008400316</v>
      </c>
      <c r="H1008">
        <v>0</v>
      </c>
      <c r="I1008">
        <v>0</v>
      </c>
      <c r="J1008">
        <v>0.6520124624212339</v>
      </c>
      <c r="K1008">
        <v>0</v>
      </c>
      <c r="L1008">
        <v>0</v>
      </c>
      <c r="M1008">
        <v>0.46909219456746809</v>
      </c>
      <c r="N1008">
        <v>0</v>
      </c>
      <c r="O1008">
        <v>0</v>
      </c>
      <c r="P1008">
        <v>0.51961033455470607</v>
      </c>
      <c r="Q1008">
        <v>1.0640097652420739</v>
      </c>
      <c r="R1008">
        <v>7.4120482628856408</v>
      </c>
      <c r="S1008">
        <v>0.24358487933895179</v>
      </c>
      <c r="T1008">
        <v>0.1843843166822742</v>
      </c>
      <c r="U1008">
        <v>4.2436712643831056</v>
      </c>
      <c r="V1008">
        <v>0.23810297856178911</v>
      </c>
      <c r="W1008">
        <v>11.92735592866644</v>
      </c>
      <c r="X1008">
        <v>0.3514564775322051</v>
      </c>
      <c r="Z1008" t="s">
        <v>392</v>
      </c>
      <c r="AA1008">
        <v>114</v>
      </c>
      <c r="AB1008" t="s">
        <v>4441</v>
      </c>
      <c r="AC1008" t="str">
        <f>HYPERLINK("plots/3FT6Y578R04_015_S21P_20251218081014_M5358ACSC201811_RBGEUFRF04/dpll_52094/txpa_55251.png","plot")</f>
        <v>plot</v>
      </c>
    </row>
    <row r="1009" spans="1:29" x14ac:dyDescent="0.35">
      <c r="A1009" t="s">
        <v>49</v>
      </c>
      <c r="B1009">
        <v>52094</v>
      </c>
      <c r="C1009" t="s">
        <v>53</v>
      </c>
      <c r="D1009">
        <v>55252</v>
      </c>
      <c r="E1009" t="s">
        <v>385</v>
      </c>
      <c r="F1009">
        <v>12028</v>
      </c>
      <c r="G1009">
        <v>0.7397033135615716</v>
      </c>
      <c r="H1009">
        <v>0</v>
      </c>
      <c r="I1009">
        <v>0</v>
      </c>
      <c r="J1009">
        <v>0.66425778291864801</v>
      </c>
      <c r="K1009">
        <v>0</v>
      </c>
      <c r="L1009">
        <v>0</v>
      </c>
      <c r="M1009">
        <v>0.48184895822911722</v>
      </c>
      <c r="N1009">
        <v>0</v>
      </c>
      <c r="O1009">
        <v>0</v>
      </c>
      <c r="P1009">
        <v>0.54716099209396873</v>
      </c>
      <c r="Q1009">
        <v>1.092677761077709</v>
      </c>
      <c r="R1009">
        <v>7.3144004317395286</v>
      </c>
      <c r="S1009">
        <v>0.23667545958213221</v>
      </c>
      <c r="T1009">
        <v>0.18208822168369321</v>
      </c>
      <c r="U1009">
        <v>4.2436712643831056</v>
      </c>
      <c r="V1009">
        <v>0.23810297856178911</v>
      </c>
      <c r="W1009">
        <v>11.95136564765547</v>
      </c>
      <c r="X1009">
        <v>0.35172186571416952</v>
      </c>
      <c r="Z1009" t="s">
        <v>392</v>
      </c>
      <c r="AA1009">
        <v>114</v>
      </c>
      <c r="AB1009" t="s">
        <v>4442</v>
      </c>
      <c r="AC1009" t="str">
        <f>HYPERLINK("plots/3FT6Y578R04_015_S21P_20251218081014_M5358ACSC201811_RBGEUFRF04/dpll_52094/txpa_55252.png","plot")</f>
        <v>plot</v>
      </c>
    </row>
    <row r="1010" spans="1:29" x14ac:dyDescent="0.35">
      <c r="A1010" t="s">
        <v>49</v>
      </c>
      <c r="B1010">
        <v>52094</v>
      </c>
      <c r="C1010" t="s">
        <v>53</v>
      </c>
      <c r="D1010">
        <v>55253</v>
      </c>
      <c r="E1010" t="s">
        <v>386</v>
      </c>
      <c r="F1010">
        <v>12028</v>
      </c>
      <c r="G1010">
        <v>0.73028812565474766</v>
      </c>
      <c r="H1010">
        <v>0</v>
      </c>
      <c r="I1010">
        <v>0</v>
      </c>
      <c r="J1010">
        <v>0.65364057737775738</v>
      </c>
      <c r="K1010">
        <v>0</v>
      </c>
      <c r="L1010">
        <v>0</v>
      </c>
      <c r="M1010">
        <v>0.4718073053828386</v>
      </c>
      <c r="N1010">
        <v>0</v>
      </c>
      <c r="O1010">
        <v>0</v>
      </c>
      <c r="P1010">
        <v>0.53332074647232453</v>
      </c>
      <c r="Q1010">
        <v>1.0634531707815731</v>
      </c>
      <c r="R1010">
        <v>7.4549792441896834</v>
      </c>
      <c r="S1010">
        <v>0.23685368865438869</v>
      </c>
      <c r="T1010">
        <v>0.18096727784123409</v>
      </c>
      <c r="U1010">
        <v>4.2436712643831056</v>
      </c>
      <c r="V1010">
        <v>0.23810297856178911</v>
      </c>
      <c r="W1010">
        <v>11.96792490605254</v>
      </c>
      <c r="X1010">
        <v>0.34672803600229962</v>
      </c>
      <c r="Z1010" t="s">
        <v>392</v>
      </c>
      <c r="AA1010">
        <v>114</v>
      </c>
      <c r="AB1010" t="s">
        <v>4443</v>
      </c>
      <c r="AC1010" t="str">
        <f>HYPERLINK("plots/3FT6Y578R04_015_S21P_20251218081014_M5358ACSC201811_RBGEUFRF04/dpll_52094/txpa_55253.png","plot")</f>
        <v>plot</v>
      </c>
    </row>
    <row r="1011" spans="1:29" x14ac:dyDescent="0.35">
      <c r="A1011" t="s">
        <v>49</v>
      </c>
      <c r="B1011">
        <v>52094</v>
      </c>
      <c r="C1011" t="s">
        <v>53</v>
      </c>
      <c r="D1011">
        <v>55254</v>
      </c>
      <c r="E1011" t="s">
        <v>387</v>
      </c>
      <c r="F1011">
        <v>12027</v>
      </c>
      <c r="G1011">
        <v>0.7445931939843099</v>
      </c>
      <c r="H1011">
        <v>0</v>
      </c>
      <c r="I1011">
        <v>0</v>
      </c>
      <c r="J1011">
        <v>0.66462774005826875</v>
      </c>
      <c r="K1011">
        <v>0</v>
      </c>
      <c r="L1011">
        <v>0</v>
      </c>
      <c r="M1011">
        <v>0.48195300152744108</v>
      </c>
      <c r="N1011">
        <v>0</v>
      </c>
      <c r="O1011">
        <v>0</v>
      </c>
      <c r="P1011">
        <v>0.55441902452775615</v>
      </c>
      <c r="Q1011">
        <v>1.091545227036989</v>
      </c>
      <c r="R1011">
        <v>7.3319676945452494</v>
      </c>
      <c r="S1011">
        <v>0.2329959067574022</v>
      </c>
      <c r="T1011">
        <v>0.1799564983061685</v>
      </c>
      <c r="U1011">
        <v>4.2436786742329762</v>
      </c>
      <c r="V1011">
        <v>0.2381114909913796</v>
      </c>
      <c r="W1011">
        <v>11.964134896482911</v>
      </c>
      <c r="X1011">
        <v>0.34906236532129542</v>
      </c>
      <c r="Z1011" t="s">
        <v>392</v>
      </c>
      <c r="AA1011">
        <v>114</v>
      </c>
      <c r="AB1011" t="s">
        <v>4444</v>
      </c>
      <c r="AC1011" t="str">
        <f>HYPERLINK("plots/3FT6Y578R04_015_S21P_20251218081014_M5358ACSC201811_RBGEUFRF04/dpll_52094/txpa_55254.png","plot")</f>
        <v>plot</v>
      </c>
    </row>
    <row r="1012" spans="1:29" x14ac:dyDescent="0.35">
      <c r="A1012" t="s">
        <v>49</v>
      </c>
      <c r="B1012">
        <v>52094</v>
      </c>
      <c r="C1012" t="s">
        <v>53</v>
      </c>
      <c r="D1012">
        <v>55255</v>
      </c>
      <c r="E1012" t="s">
        <v>388</v>
      </c>
      <c r="F1012">
        <v>12027</v>
      </c>
      <c r="G1012">
        <v>0.74492465932555563</v>
      </c>
      <c r="H1012">
        <v>0</v>
      </c>
      <c r="I1012">
        <v>0</v>
      </c>
      <c r="J1012">
        <v>0.6579269128758467</v>
      </c>
      <c r="K1012">
        <v>0</v>
      </c>
      <c r="L1012">
        <v>0</v>
      </c>
      <c r="M1012">
        <v>0.47426408164545852</v>
      </c>
      <c r="N1012">
        <v>0</v>
      </c>
      <c r="O1012">
        <v>0</v>
      </c>
      <c r="P1012">
        <v>0.55491274807129509</v>
      </c>
      <c r="Q1012">
        <v>1.0883624300147929</v>
      </c>
      <c r="R1012">
        <v>7.3285131850636542</v>
      </c>
      <c r="S1012">
        <v>0.23206452051163409</v>
      </c>
      <c r="T1012">
        <v>0.18000300409068309</v>
      </c>
      <c r="U1012">
        <v>4.2436418554918101</v>
      </c>
      <c r="V1012">
        <v>0.23809103076034549</v>
      </c>
      <c r="W1012">
        <v>11.947133547019209</v>
      </c>
      <c r="X1012">
        <v>0.34785978630062903</v>
      </c>
      <c r="Z1012" t="s">
        <v>392</v>
      </c>
      <c r="AA1012">
        <v>114</v>
      </c>
      <c r="AB1012" t="s">
        <v>4445</v>
      </c>
      <c r="AC1012" t="str">
        <f>HYPERLINK("plots/3FT6Y578R04_015_S21P_20251218081014_M5358ACSC201811_RBGEUFRF04/dpll_52094/txpa_55255.png","plot")</f>
        <v>plot</v>
      </c>
    </row>
    <row r="1013" spans="1:29" x14ac:dyDescent="0.35">
      <c r="A1013" t="s">
        <v>49</v>
      </c>
      <c r="B1013">
        <v>52094</v>
      </c>
      <c r="C1013" t="s">
        <v>53</v>
      </c>
      <c r="D1013">
        <v>55256</v>
      </c>
      <c r="E1013" t="s">
        <v>389</v>
      </c>
      <c r="F1013">
        <v>12027</v>
      </c>
      <c r="G1013">
        <v>0.74952169549525616</v>
      </c>
      <c r="H1013">
        <v>0</v>
      </c>
      <c r="I1013">
        <v>0</v>
      </c>
      <c r="J1013">
        <v>0.67049819448519332</v>
      </c>
      <c r="K1013">
        <v>0</v>
      </c>
      <c r="L1013">
        <v>0</v>
      </c>
      <c r="M1013">
        <v>0.48696787923295209</v>
      </c>
      <c r="N1013">
        <v>0</v>
      </c>
      <c r="O1013">
        <v>0</v>
      </c>
      <c r="P1013">
        <v>0.56178277201808346</v>
      </c>
      <c r="Q1013">
        <v>1.104174377548214</v>
      </c>
      <c r="R1013">
        <v>7.2776939030438523</v>
      </c>
      <c r="S1013">
        <v>0.23217280790209521</v>
      </c>
      <c r="T1013">
        <v>0.17992103965097059</v>
      </c>
      <c r="U1013">
        <v>4.2436377816579363</v>
      </c>
      <c r="V1013">
        <v>0.2380845584627882</v>
      </c>
      <c r="W1013">
        <v>11.96341000914609</v>
      </c>
      <c r="X1013">
        <v>0.35073950590687669</v>
      </c>
      <c r="Z1013" t="s">
        <v>392</v>
      </c>
      <c r="AA1013">
        <v>114</v>
      </c>
      <c r="AB1013" t="s">
        <v>4446</v>
      </c>
      <c r="AC1013" t="str">
        <f>HYPERLINK("plots/3FT6Y578R04_015_S21P_20251218081014_M5358ACSC201811_RBGEUFRF04/dpll_52094/txpa_55256.png","plot")</f>
        <v>plot</v>
      </c>
    </row>
    <row r="1014" spans="1:29" x14ac:dyDescent="0.35">
      <c r="A1014" t="s">
        <v>49</v>
      </c>
      <c r="B1014">
        <v>52094</v>
      </c>
      <c r="C1014" t="s">
        <v>53</v>
      </c>
      <c r="D1014">
        <v>55257</v>
      </c>
      <c r="E1014" t="s">
        <v>390</v>
      </c>
      <c r="F1014">
        <v>12028</v>
      </c>
      <c r="G1014">
        <v>0.74788202373166623</v>
      </c>
      <c r="H1014">
        <v>0</v>
      </c>
      <c r="I1014">
        <v>0</v>
      </c>
      <c r="J1014">
        <v>0.66344832133060871</v>
      </c>
      <c r="K1014">
        <v>0</v>
      </c>
      <c r="L1014">
        <v>0</v>
      </c>
      <c r="M1014">
        <v>0.4797785148178409</v>
      </c>
      <c r="N1014">
        <v>0</v>
      </c>
      <c r="O1014">
        <v>0</v>
      </c>
      <c r="P1014">
        <v>0.55932752142097253</v>
      </c>
      <c r="Q1014">
        <v>1.087160497460457</v>
      </c>
      <c r="R1014">
        <v>7.3586686071246836</v>
      </c>
      <c r="S1014">
        <v>0.2297551777063723</v>
      </c>
      <c r="T1014">
        <v>0.1782998333725066</v>
      </c>
      <c r="U1014">
        <v>4.2436712643831056</v>
      </c>
      <c r="V1014">
        <v>0.23810297856178911</v>
      </c>
      <c r="W1014">
        <v>11.972220369970071</v>
      </c>
      <c r="X1014">
        <v>0.3461189658342777</v>
      </c>
      <c r="Z1014" t="s">
        <v>392</v>
      </c>
      <c r="AA1014">
        <v>114</v>
      </c>
      <c r="AB1014" t="s">
        <v>4447</v>
      </c>
      <c r="AC1014" t="str">
        <f>HYPERLINK("plots/3FT6Y578R04_015_S21P_20251218081014_M5358ACSC201811_RBGEUFRF04/dpll_52094/txpa_55257.png","plot")</f>
        <v>plot</v>
      </c>
    </row>
    <row r="1015" spans="1:29" x14ac:dyDescent="0.35">
      <c r="A1015" t="s">
        <v>49</v>
      </c>
      <c r="B1015">
        <v>52094</v>
      </c>
      <c r="C1015" t="s">
        <v>53</v>
      </c>
      <c r="D1015">
        <v>55258</v>
      </c>
      <c r="E1015" t="s">
        <v>391</v>
      </c>
      <c r="F1015">
        <v>12027</v>
      </c>
      <c r="G1015">
        <v>0.73986134356628352</v>
      </c>
      <c r="H1015">
        <v>0</v>
      </c>
      <c r="I1015">
        <v>0</v>
      </c>
      <c r="J1015">
        <v>0.65629990376122271</v>
      </c>
      <c r="K1015">
        <v>0</v>
      </c>
      <c r="L1015">
        <v>0</v>
      </c>
      <c r="M1015">
        <v>0.47490843961639601</v>
      </c>
      <c r="N1015">
        <v>0</v>
      </c>
      <c r="O1015">
        <v>0</v>
      </c>
      <c r="P1015">
        <v>0.54739480770370619</v>
      </c>
      <c r="Q1015">
        <v>1.084549985891748</v>
      </c>
      <c r="R1015">
        <v>7.3404255578274968</v>
      </c>
      <c r="S1015">
        <v>0.23479971042483089</v>
      </c>
      <c r="T1015">
        <v>0.18073189382033489</v>
      </c>
      <c r="U1015">
        <v>4.2436951445081901</v>
      </c>
      <c r="V1015">
        <v>0.2380984732054881</v>
      </c>
      <c r="W1015">
        <v>11.942925066932739</v>
      </c>
      <c r="X1015">
        <v>0.34902444627143109</v>
      </c>
      <c r="Z1015" t="s">
        <v>392</v>
      </c>
      <c r="AA1015">
        <v>114</v>
      </c>
      <c r="AB1015" t="s">
        <v>4448</v>
      </c>
      <c r="AC1015" t="str">
        <f>HYPERLINK("plots/3FT6Y578R04_015_S21P_20251218081014_M5358ACSC201811_RBGEUFRF04/dpll_52094/txpa_55258.png","plot")</f>
        <v>plot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1015"/>
  <sheetViews>
    <sheetView workbookViewId="0"/>
  </sheetViews>
  <sheetFormatPr defaultRowHeight="14.5" x14ac:dyDescent="0.35"/>
  <sheetData>
    <row r="1" spans="1:29" x14ac:dyDescent="0.3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</row>
    <row r="2" spans="1:29" x14ac:dyDescent="0.35">
      <c r="A2" t="s">
        <v>50</v>
      </c>
      <c r="B2">
        <v>52046</v>
      </c>
      <c r="C2" t="s">
        <v>51</v>
      </c>
      <c r="D2">
        <v>53179</v>
      </c>
      <c r="E2" t="s">
        <v>54</v>
      </c>
      <c r="F2">
        <v>11782</v>
      </c>
      <c r="G2">
        <v>0.31992007237191977</v>
      </c>
      <c r="H2">
        <v>1.4611704026931399E-278</v>
      </c>
      <c r="I2">
        <v>1.5530679122964821E-278</v>
      </c>
      <c r="J2">
        <v>0.27676181515911791</v>
      </c>
      <c r="K2">
        <v>3.785920101223452E-206</v>
      </c>
      <c r="L2">
        <v>4.0240282836903359E-206</v>
      </c>
      <c r="M2">
        <v>0.18808002163832899</v>
      </c>
      <c r="N2">
        <v>1.6785043843942691E-205</v>
      </c>
      <c r="O2">
        <v>1.784070697878185E-205</v>
      </c>
      <c r="P2">
        <v>0.1023488527064544</v>
      </c>
      <c r="Q2">
        <v>1.7718863134979479</v>
      </c>
      <c r="R2">
        <v>-29.239543022767489</v>
      </c>
      <c r="S2">
        <v>1.056143023230937</v>
      </c>
      <c r="T2">
        <v>0.82141835193992463</v>
      </c>
      <c r="U2">
        <v>4.4286477380750293</v>
      </c>
      <c r="V2">
        <v>0.20127646963296911</v>
      </c>
      <c r="W2">
        <v>-21.3924827083687</v>
      </c>
      <c r="X2">
        <v>1.114775384763093</v>
      </c>
      <c r="Z2" t="s">
        <v>392</v>
      </c>
      <c r="AA2">
        <v>161</v>
      </c>
      <c r="AB2" t="s">
        <v>4449</v>
      </c>
      <c r="AC2" t="str">
        <f>HYPERLINK("plots/3FT6Y578R04_015_S31P_20251219032831_M5358ACSA301811_RBGEUFRF04/dpll_52046/txpa_53179.png","plot")</f>
        <v>plot</v>
      </c>
    </row>
    <row r="3" spans="1:29" x14ac:dyDescent="0.35">
      <c r="A3" t="s">
        <v>50</v>
      </c>
      <c r="B3">
        <v>52046</v>
      </c>
      <c r="C3" t="s">
        <v>51</v>
      </c>
      <c r="D3">
        <v>53180</v>
      </c>
      <c r="E3" t="s">
        <v>55</v>
      </c>
      <c r="F3">
        <v>11782</v>
      </c>
      <c r="G3">
        <v>0.30868595644471952</v>
      </c>
      <c r="H3">
        <v>1.679692918268154E-258</v>
      </c>
      <c r="I3">
        <v>1.774175644920738E-258</v>
      </c>
      <c r="J3">
        <v>0.2713011044748227</v>
      </c>
      <c r="K3">
        <v>7.3120378572273971E-198</v>
      </c>
      <c r="L3">
        <v>7.7475510838334175E-198</v>
      </c>
      <c r="M3">
        <v>0.18395478595742079</v>
      </c>
      <c r="N3">
        <v>9.6775117666741777E-197</v>
      </c>
      <c r="O3">
        <v>1.025391528882719E-196</v>
      </c>
      <c r="P3">
        <v>9.5287019706191245E-2</v>
      </c>
      <c r="Q3">
        <v>1.6622796921289751</v>
      </c>
      <c r="R3">
        <v>-28.663131294504051</v>
      </c>
      <c r="S3">
        <v>1.0309015987934309</v>
      </c>
      <c r="T3">
        <v>0.79731807700207091</v>
      </c>
      <c r="U3">
        <v>4.4286477380750293</v>
      </c>
      <c r="V3">
        <v>0.20127646963296911</v>
      </c>
      <c r="W3">
        <v>-21.30148009590901</v>
      </c>
      <c r="X3">
        <v>1.083877581694314</v>
      </c>
      <c r="Z3" t="s">
        <v>392</v>
      </c>
      <c r="AA3">
        <v>161</v>
      </c>
      <c r="AB3" t="s">
        <v>4450</v>
      </c>
      <c r="AC3" t="str">
        <f>HYPERLINK("plots/3FT6Y578R04_015_S31P_20251219032831_M5358ACSA301811_RBGEUFRF04/dpll_52046/txpa_53180.png","plot")</f>
        <v>plot</v>
      </c>
    </row>
    <row r="4" spans="1:29" x14ac:dyDescent="0.35">
      <c r="A4" t="s">
        <v>50</v>
      </c>
      <c r="B4">
        <v>52046</v>
      </c>
      <c r="C4" t="s">
        <v>51</v>
      </c>
      <c r="D4">
        <v>53181</v>
      </c>
      <c r="E4" t="s">
        <v>56</v>
      </c>
      <c r="F4">
        <v>11782</v>
      </c>
      <c r="G4">
        <v>0.32026223272980792</v>
      </c>
      <c r="H4">
        <v>3.4670404729084321E-279</v>
      </c>
      <c r="I4">
        <v>3.6889601673967993E-279</v>
      </c>
      <c r="J4">
        <v>0.28644657029166393</v>
      </c>
      <c r="K4">
        <v>2.5609661525244379E-221</v>
      </c>
      <c r="L4">
        <v>2.7508683036650222E-221</v>
      </c>
      <c r="M4">
        <v>0.19393496325722229</v>
      </c>
      <c r="N4">
        <v>1.8321992788475079E-218</v>
      </c>
      <c r="O4">
        <v>1.96806151350781E-218</v>
      </c>
      <c r="P4">
        <v>0.1025678977130816</v>
      </c>
      <c r="Q4">
        <v>1.7190174269167731</v>
      </c>
      <c r="R4">
        <v>-28.861524939545351</v>
      </c>
      <c r="S4">
        <v>1.0234106402331571</v>
      </c>
      <c r="T4">
        <v>0.79159343860422837</v>
      </c>
      <c r="U4">
        <v>4.4286477380750293</v>
      </c>
      <c r="V4">
        <v>0.20127646963296911</v>
      </c>
      <c r="W4">
        <v>-21.248602300118829</v>
      </c>
      <c r="X4">
        <v>1.080357668084025</v>
      </c>
      <c r="Z4" t="s">
        <v>392</v>
      </c>
      <c r="AA4">
        <v>161</v>
      </c>
      <c r="AB4" t="s">
        <v>4451</v>
      </c>
      <c r="AC4" t="str">
        <f>HYPERLINK("plots/3FT6Y578R04_015_S31P_20251219032831_M5358ACSA301811_RBGEUFRF04/dpll_52046/txpa_53181.png","plot")</f>
        <v>plot</v>
      </c>
    </row>
    <row r="5" spans="1:29" x14ac:dyDescent="0.35">
      <c r="A5" t="s">
        <v>50</v>
      </c>
      <c r="B5">
        <v>52046</v>
      </c>
      <c r="C5" t="s">
        <v>51</v>
      </c>
      <c r="D5">
        <v>53182</v>
      </c>
      <c r="E5" t="s">
        <v>57</v>
      </c>
      <c r="F5">
        <v>11782</v>
      </c>
      <c r="G5">
        <v>0.32243083274590401</v>
      </c>
      <c r="H5">
        <v>3.6415625862477022E-283</v>
      </c>
      <c r="I5">
        <v>3.8950890954168462E-283</v>
      </c>
      <c r="J5">
        <v>0.28394782484555348</v>
      </c>
      <c r="K5">
        <v>2.403481488097511E-217</v>
      </c>
      <c r="L5">
        <v>2.573527168881601E-217</v>
      </c>
      <c r="M5">
        <v>0.1924325853513825</v>
      </c>
      <c r="N5">
        <v>3.73169627529908E-215</v>
      </c>
      <c r="O5">
        <v>3.9957128016401972E-215</v>
      </c>
      <c r="P5">
        <v>0.1039616419052171</v>
      </c>
      <c r="Q5">
        <v>1.7194923818816601</v>
      </c>
      <c r="R5">
        <v>-28.750535293965392</v>
      </c>
      <c r="S5">
        <v>1.016018385960056</v>
      </c>
      <c r="T5">
        <v>0.78037295078061808</v>
      </c>
      <c r="U5">
        <v>4.4286477380750293</v>
      </c>
      <c r="V5">
        <v>0.20127646963296911</v>
      </c>
      <c r="W5">
        <v>-21.135509246307929</v>
      </c>
      <c r="X5">
        <v>1.073387905364092</v>
      </c>
      <c r="Z5" t="s">
        <v>392</v>
      </c>
      <c r="AA5">
        <v>161</v>
      </c>
      <c r="AB5" t="s">
        <v>4452</v>
      </c>
      <c r="AC5" t="str">
        <f>HYPERLINK("plots/3FT6Y578R04_015_S31P_20251219032831_M5358ACSA301811_RBGEUFRF04/dpll_52046/txpa_53182.png","plot")</f>
        <v>plot</v>
      </c>
    </row>
    <row r="6" spans="1:29" x14ac:dyDescent="0.35">
      <c r="A6" t="s">
        <v>50</v>
      </c>
      <c r="B6">
        <v>52046</v>
      </c>
      <c r="C6" t="s">
        <v>51</v>
      </c>
      <c r="D6">
        <v>53183</v>
      </c>
      <c r="E6" t="s">
        <v>58</v>
      </c>
      <c r="F6">
        <v>11782</v>
      </c>
      <c r="G6">
        <v>0.32516859075912968</v>
      </c>
      <c r="H6">
        <v>3.0985794857772791E-288</v>
      </c>
      <c r="I6">
        <v>3.3354135866010203E-288</v>
      </c>
      <c r="J6">
        <v>0.27989171158571369</v>
      </c>
      <c r="K6">
        <v>5.5250902547463094E-211</v>
      </c>
      <c r="L6">
        <v>5.8973068613818504E-211</v>
      </c>
      <c r="M6">
        <v>0.18976325031065</v>
      </c>
      <c r="N6">
        <v>2.8693953246729358E-209</v>
      </c>
      <c r="O6">
        <v>3.0627019570719538E-209</v>
      </c>
      <c r="P6">
        <v>0.10573461241627841</v>
      </c>
      <c r="Q6">
        <v>1.751866054600459</v>
      </c>
      <c r="R6">
        <v>-28.948909442866711</v>
      </c>
      <c r="S6">
        <v>1.025416011983145</v>
      </c>
      <c r="T6">
        <v>0.79378019600292871</v>
      </c>
      <c r="U6">
        <v>4.4286477380750293</v>
      </c>
      <c r="V6">
        <v>0.20127646963296911</v>
      </c>
      <c r="W6">
        <v>-21.19051180274996</v>
      </c>
      <c r="X6">
        <v>1.0843895282647891</v>
      </c>
      <c r="Z6" t="s">
        <v>392</v>
      </c>
      <c r="AA6">
        <v>161</v>
      </c>
      <c r="AB6" t="s">
        <v>4453</v>
      </c>
      <c r="AC6" t="str">
        <f>HYPERLINK("plots/3FT6Y578R04_015_S31P_20251219032831_M5358ACSA301811_RBGEUFRF04/dpll_52046/txpa_53183.png","plot")</f>
        <v>plot</v>
      </c>
    </row>
    <row r="7" spans="1:29" x14ac:dyDescent="0.35">
      <c r="A7" t="s">
        <v>50</v>
      </c>
      <c r="B7">
        <v>52046</v>
      </c>
      <c r="C7" t="s">
        <v>51</v>
      </c>
      <c r="D7">
        <v>53184</v>
      </c>
      <c r="E7" t="s">
        <v>59</v>
      </c>
      <c r="F7">
        <v>11782</v>
      </c>
      <c r="G7">
        <v>0.32569329824905602</v>
      </c>
      <c r="H7">
        <v>3.2613791124289272E-289</v>
      </c>
      <c r="I7">
        <v>3.521872651760311E-289</v>
      </c>
      <c r="J7">
        <v>0.29701027405339941</v>
      </c>
      <c r="K7">
        <v>1.443472720134334E-238</v>
      </c>
      <c r="L7">
        <v>1.5587660683878741E-238</v>
      </c>
      <c r="M7">
        <v>0.20192082082761939</v>
      </c>
      <c r="N7">
        <v>1.2717423506516741E-236</v>
      </c>
      <c r="O7">
        <v>1.3733192157196991E-236</v>
      </c>
      <c r="P7">
        <v>0.1060761245243486</v>
      </c>
      <c r="Q7">
        <v>1.766043590038975</v>
      </c>
      <c r="R7">
        <v>-29.09784179300933</v>
      </c>
      <c r="S7">
        <v>1.0318520708505621</v>
      </c>
      <c r="T7">
        <v>0.79674806542484455</v>
      </c>
      <c r="U7">
        <v>4.4286477380750293</v>
      </c>
      <c r="V7">
        <v>0.20127646963296911</v>
      </c>
      <c r="W7">
        <v>-21.276656842641319</v>
      </c>
      <c r="X7">
        <v>1.091404155172879</v>
      </c>
      <c r="Z7" t="s">
        <v>392</v>
      </c>
      <c r="AA7">
        <v>161</v>
      </c>
      <c r="AB7" t="s">
        <v>4454</v>
      </c>
      <c r="AC7" t="str">
        <f>HYPERLINK("plots/3FT6Y578R04_015_S31P_20251219032831_M5358ACSA301811_RBGEUFRF04/dpll_52046/txpa_53184.png","plot")</f>
        <v>plot</v>
      </c>
    </row>
    <row r="8" spans="1:29" x14ac:dyDescent="0.35">
      <c r="A8" t="s">
        <v>50</v>
      </c>
      <c r="B8">
        <v>52046</v>
      </c>
      <c r="C8" t="s">
        <v>51</v>
      </c>
      <c r="D8">
        <v>53185</v>
      </c>
      <c r="E8" t="s">
        <v>60</v>
      </c>
      <c r="F8">
        <v>11782</v>
      </c>
      <c r="G8">
        <v>0.324744333666042</v>
      </c>
      <c r="H8">
        <v>1.9068537951035229E-287</v>
      </c>
      <c r="I8">
        <v>2.0482518519438271E-287</v>
      </c>
      <c r="J8">
        <v>0.28836341336906302</v>
      </c>
      <c r="K8">
        <v>2.1542119072608951E-224</v>
      </c>
      <c r="L8">
        <v>2.3188650466693712E-224</v>
      </c>
      <c r="M8">
        <v>0.19514373085495859</v>
      </c>
      <c r="N8">
        <v>3.6915857086146892E-221</v>
      </c>
      <c r="O8">
        <v>3.9779680218228431E-221</v>
      </c>
      <c r="P8">
        <v>0.1054588822482016</v>
      </c>
      <c r="Q8">
        <v>1.745935611366237</v>
      </c>
      <c r="R8">
        <v>-28.996752307390139</v>
      </c>
      <c r="S8">
        <v>1.0234376044117111</v>
      </c>
      <c r="T8">
        <v>0.79095725037845011</v>
      </c>
      <c r="U8">
        <v>4.4286477380750293</v>
      </c>
      <c r="V8">
        <v>0.20127646963296911</v>
      </c>
      <c r="W8">
        <v>-21.264618511288411</v>
      </c>
      <c r="X8">
        <v>1.08213052432706</v>
      </c>
      <c r="Z8" t="s">
        <v>392</v>
      </c>
      <c r="AA8">
        <v>161</v>
      </c>
      <c r="AB8" t="s">
        <v>4455</v>
      </c>
      <c r="AC8" t="str">
        <f>HYPERLINK("plots/3FT6Y578R04_015_S31P_20251219032831_M5358ACSA301811_RBGEUFRF04/dpll_52046/txpa_53185.png","plot")</f>
        <v>plot</v>
      </c>
    </row>
    <row r="9" spans="1:29" x14ac:dyDescent="0.35">
      <c r="A9" t="s">
        <v>50</v>
      </c>
      <c r="B9">
        <v>52046</v>
      </c>
      <c r="C9" t="s">
        <v>51</v>
      </c>
      <c r="D9">
        <v>53186</v>
      </c>
      <c r="E9" t="s">
        <v>61</v>
      </c>
      <c r="F9">
        <v>11782</v>
      </c>
      <c r="G9">
        <v>0.31155914348727393</v>
      </c>
      <c r="H9">
        <v>1.5051265295893701E-263</v>
      </c>
      <c r="I9">
        <v>1.594773564267107E-263</v>
      </c>
      <c r="J9">
        <v>0.26878930745135537</v>
      </c>
      <c r="K9">
        <v>4.085173559301575E-194</v>
      </c>
      <c r="L9">
        <v>4.3149645720122881E-194</v>
      </c>
      <c r="M9">
        <v>0.18153084209419179</v>
      </c>
      <c r="N9">
        <v>1.326112745361209E-191</v>
      </c>
      <c r="O9">
        <v>1.400706587287777E-191</v>
      </c>
      <c r="P9">
        <v>9.7069099890523744E-2</v>
      </c>
      <c r="Q9">
        <v>1.7272764698440231</v>
      </c>
      <c r="R9">
        <v>-29.062201196372161</v>
      </c>
      <c r="S9">
        <v>1.0602863943724521</v>
      </c>
      <c r="T9">
        <v>0.83110928397731643</v>
      </c>
      <c r="U9">
        <v>4.4286477380750293</v>
      </c>
      <c r="V9">
        <v>0.20127646963296911</v>
      </c>
      <c r="W9">
        <v>-21.4127021651672</v>
      </c>
      <c r="X9">
        <v>1.1158719530390011</v>
      </c>
      <c r="Z9" t="s">
        <v>392</v>
      </c>
      <c r="AA9">
        <v>161</v>
      </c>
      <c r="AB9" t="s">
        <v>4456</v>
      </c>
      <c r="AC9" t="str">
        <f>HYPERLINK("plots/3FT6Y578R04_015_S31P_20251219032831_M5358ACSA301811_RBGEUFRF04/dpll_52046/txpa_53186.png","plot")</f>
        <v>plot</v>
      </c>
    </row>
    <row r="10" spans="1:29" x14ac:dyDescent="0.35">
      <c r="A10" t="s">
        <v>50</v>
      </c>
      <c r="B10">
        <v>52046</v>
      </c>
      <c r="C10" t="s">
        <v>51</v>
      </c>
      <c r="D10">
        <v>53187</v>
      </c>
      <c r="E10" t="s">
        <v>62</v>
      </c>
      <c r="F10">
        <v>11782</v>
      </c>
      <c r="G10">
        <v>0.66303135964274174</v>
      </c>
      <c r="H10">
        <v>0</v>
      </c>
      <c r="I10">
        <v>0</v>
      </c>
      <c r="J10">
        <v>0.55104029988074543</v>
      </c>
      <c r="K10">
        <v>0</v>
      </c>
      <c r="L10">
        <v>0</v>
      </c>
      <c r="M10">
        <v>0.38711694361946369</v>
      </c>
      <c r="N10">
        <v>0</v>
      </c>
      <c r="O10">
        <v>0</v>
      </c>
      <c r="P10">
        <v>0.43961058386970281</v>
      </c>
      <c r="Q10">
        <v>0.96611905930205633</v>
      </c>
      <c r="R10">
        <v>-15.165979525137709</v>
      </c>
      <c r="S10">
        <v>0.21954124223676089</v>
      </c>
      <c r="T10">
        <v>0.17218657175321431</v>
      </c>
      <c r="U10">
        <v>4.4286477380750293</v>
      </c>
      <c r="V10">
        <v>0.20127646963296911</v>
      </c>
      <c r="W10">
        <v>-10.88737853844848</v>
      </c>
      <c r="X10">
        <v>0.29328482080579338</v>
      </c>
      <c r="Z10" t="s">
        <v>392</v>
      </c>
      <c r="AA10">
        <v>161</v>
      </c>
      <c r="AB10" t="s">
        <v>4457</v>
      </c>
      <c r="AC10" t="str">
        <f>HYPERLINK("plots/3FT6Y578R04_015_S31P_20251219032831_M5358ACSA301811_RBGEUFRF04/dpll_52046/txpa_53187.png","plot")</f>
        <v>plot</v>
      </c>
    </row>
    <row r="11" spans="1:29" x14ac:dyDescent="0.35">
      <c r="A11" t="s">
        <v>50</v>
      </c>
      <c r="B11">
        <v>52046</v>
      </c>
      <c r="C11" t="s">
        <v>51</v>
      </c>
      <c r="D11">
        <v>53188</v>
      </c>
      <c r="E11" t="s">
        <v>63</v>
      </c>
      <c r="F11">
        <v>11782</v>
      </c>
      <c r="G11">
        <v>0.6853980770071656</v>
      </c>
      <c r="H11">
        <v>0</v>
      </c>
      <c r="I11">
        <v>0</v>
      </c>
      <c r="J11">
        <v>0.57251017275639415</v>
      </c>
      <c r="K11">
        <v>0</v>
      </c>
      <c r="L11">
        <v>0</v>
      </c>
      <c r="M11">
        <v>0.40587544637296402</v>
      </c>
      <c r="N11">
        <v>0</v>
      </c>
      <c r="O11">
        <v>0</v>
      </c>
      <c r="P11">
        <v>0.46977052396512048</v>
      </c>
      <c r="Q11">
        <v>0.99089059655779266</v>
      </c>
      <c r="R11">
        <v>-15.20976523361878</v>
      </c>
      <c r="S11">
        <v>0.21187969253501859</v>
      </c>
      <c r="T11">
        <v>0.1668068222495066</v>
      </c>
      <c r="U11">
        <v>4.4286477380750293</v>
      </c>
      <c r="V11">
        <v>0.20127646963296911</v>
      </c>
      <c r="W11">
        <v>-10.82145983449329</v>
      </c>
      <c r="X11">
        <v>0.29098850399251142</v>
      </c>
      <c r="Z11" t="s">
        <v>392</v>
      </c>
      <c r="AA11">
        <v>161</v>
      </c>
      <c r="AB11" t="s">
        <v>4458</v>
      </c>
      <c r="AC11" t="str">
        <f>HYPERLINK("plots/3FT6Y578R04_015_S31P_20251219032831_M5358ACSA301811_RBGEUFRF04/dpll_52046/txpa_53188.png","plot")</f>
        <v>plot</v>
      </c>
    </row>
    <row r="12" spans="1:29" x14ac:dyDescent="0.35">
      <c r="A12" t="s">
        <v>50</v>
      </c>
      <c r="B12">
        <v>52046</v>
      </c>
      <c r="C12" t="s">
        <v>51</v>
      </c>
      <c r="D12">
        <v>53189</v>
      </c>
      <c r="E12" t="s">
        <v>64</v>
      </c>
      <c r="F12">
        <v>11782</v>
      </c>
      <c r="G12">
        <v>0.67290644278322587</v>
      </c>
      <c r="H12">
        <v>0</v>
      </c>
      <c r="I12">
        <v>0</v>
      </c>
      <c r="J12">
        <v>0.55619509770368358</v>
      </c>
      <c r="K12">
        <v>0</v>
      </c>
      <c r="L12">
        <v>0</v>
      </c>
      <c r="M12">
        <v>0.3919347766798465</v>
      </c>
      <c r="N12">
        <v>0</v>
      </c>
      <c r="O12">
        <v>0</v>
      </c>
      <c r="P12">
        <v>0.4528030807391748</v>
      </c>
      <c r="Q12">
        <v>0.95083971941443868</v>
      </c>
      <c r="R12">
        <v>-15.01271743169586</v>
      </c>
      <c r="S12">
        <v>0.21037737200083961</v>
      </c>
      <c r="T12">
        <v>0.16510257682050711</v>
      </c>
      <c r="U12">
        <v>4.4286477380750293</v>
      </c>
      <c r="V12">
        <v>0.20127646963296911</v>
      </c>
      <c r="W12">
        <v>-10.80178325903921</v>
      </c>
      <c r="X12">
        <v>0.28441050604146773</v>
      </c>
      <c r="Z12" t="s">
        <v>392</v>
      </c>
      <c r="AA12">
        <v>161</v>
      </c>
      <c r="AB12" t="s">
        <v>4459</v>
      </c>
      <c r="AC12" t="str">
        <f>HYPERLINK("plots/3FT6Y578R04_015_S31P_20251219032831_M5358ACSA301811_RBGEUFRF04/dpll_52046/txpa_53189.png","plot")</f>
        <v>plot</v>
      </c>
    </row>
    <row r="13" spans="1:29" x14ac:dyDescent="0.35">
      <c r="A13" t="s">
        <v>50</v>
      </c>
      <c r="B13">
        <v>52046</v>
      </c>
      <c r="C13" t="s">
        <v>51</v>
      </c>
      <c r="D13">
        <v>53190</v>
      </c>
      <c r="E13" t="s">
        <v>65</v>
      </c>
      <c r="F13">
        <v>11781</v>
      </c>
      <c r="G13">
        <v>0.69102274886502313</v>
      </c>
      <c r="H13">
        <v>0</v>
      </c>
      <c r="I13">
        <v>0</v>
      </c>
      <c r="J13">
        <v>0.56940639087988132</v>
      </c>
      <c r="K13">
        <v>0</v>
      </c>
      <c r="L13">
        <v>0</v>
      </c>
      <c r="M13">
        <v>0.40313759116033132</v>
      </c>
      <c r="N13">
        <v>0</v>
      </c>
      <c r="O13">
        <v>0</v>
      </c>
      <c r="P13">
        <v>0.47751243944897281</v>
      </c>
      <c r="Q13">
        <v>0.98688973055988283</v>
      </c>
      <c r="R13">
        <v>-15.12689924707486</v>
      </c>
      <c r="S13">
        <v>0.20778022225337969</v>
      </c>
      <c r="T13">
        <v>0.16411294446779429</v>
      </c>
      <c r="U13">
        <v>4.4286547017231142</v>
      </c>
      <c r="V13">
        <v>0.20128359324518649</v>
      </c>
      <c r="W13">
        <v>-10.75630540174858</v>
      </c>
      <c r="X13">
        <v>0.28746479248350809</v>
      </c>
      <c r="Z13" t="s">
        <v>392</v>
      </c>
      <c r="AA13">
        <v>161</v>
      </c>
      <c r="AB13" t="s">
        <v>4460</v>
      </c>
      <c r="AC13" t="str">
        <f>HYPERLINK("plots/3FT6Y578R04_015_S31P_20251219032831_M5358ACSA301811_RBGEUFRF04/dpll_52046/txpa_53190.png","plot")</f>
        <v>plot</v>
      </c>
    </row>
    <row r="14" spans="1:29" x14ac:dyDescent="0.35">
      <c r="A14" t="s">
        <v>50</v>
      </c>
      <c r="B14">
        <v>52046</v>
      </c>
      <c r="C14" t="s">
        <v>51</v>
      </c>
      <c r="D14">
        <v>53191</v>
      </c>
      <c r="E14" t="s">
        <v>66</v>
      </c>
      <c r="F14">
        <v>11781</v>
      </c>
      <c r="G14">
        <v>0.69804103690993824</v>
      </c>
      <c r="H14">
        <v>0</v>
      </c>
      <c r="I14">
        <v>0</v>
      </c>
      <c r="J14">
        <v>0.56991000421483706</v>
      </c>
      <c r="K14">
        <v>0</v>
      </c>
      <c r="L14">
        <v>0</v>
      </c>
      <c r="M14">
        <v>0.40269569814674089</v>
      </c>
      <c r="N14">
        <v>0</v>
      </c>
      <c r="O14">
        <v>0</v>
      </c>
      <c r="P14">
        <v>0.48726128921030182</v>
      </c>
      <c r="Q14">
        <v>1.004733703365922</v>
      </c>
      <c r="R14">
        <v>-15.219378433625611</v>
      </c>
      <c r="S14">
        <v>0.2074274291920877</v>
      </c>
      <c r="T14">
        <v>0.1640026697659257</v>
      </c>
      <c r="U14">
        <v>4.4286210779220783</v>
      </c>
      <c r="V14">
        <v>0.20126420786155011</v>
      </c>
      <c r="W14">
        <v>-10.769793577200581</v>
      </c>
      <c r="X14">
        <v>0.28969204133744092</v>
      </c>
      <c r="Z14" t="s">
        <v>392</v>
      </c>
      <c r="AA14">
        <v>161</v>
      </c>
      <c r="AB14" t="s">
        <v>4461</v>
      </c>
      <c r="AC14" t="str">
        <f>HYPERLINK("plots/3FT6Y578R04_015_S31P_20251219032831_M5358ACSA301811_RBGEUFRF04/dpll_52046/txpa_53191.png","plot")</f>
        <v>plot</v>
      </c>
    </row>
    <row r="15" spans="1:29" x14ac:dyDescent="0.35">
      <c r="A15" t="s">
        <v>50</v>
      </c>
      <c r="B15">
        <v>52046</v>
      </c>
      <c r="C15" t="s">
        <v>51</v>
      </c>
      <c r="D15">
        <v>53192</v>
      </c>
      <c r="E15" t="s">
        <v>67</v>
      </c>
      <c r="F15">
        <v>11782</v>
      </c>
      <c r="G15">
        <v>0.6956215633672832</v>
      </c>
      <c r="H15">
        <v>0</v>
      </c>
      <c r="I15">
        <v>0</v>
      </c>
      <c r="J15">
        <v>0.58422834180641103</v>
      </c>
      <c r="K15">
        <v>0</v>
      </c>
      <c r="L15">
        <v>0</v>
      </c>
      <c r="M15">
        <v>0.41449363811382017</v>
      </c>
      <c r="N15">
        <v>0</v>
      </c>
      <c r="O15">
        <v>0</v>
      </c>
      <c r="P15">
        <v>0.48388935942154321</v>
      </c>
      <c r="Q15">
        <v>0.99456240434245802</v>
      </c>
      <c r="R15">
        <v>-15.21100589875679</v>
      </c>
      <c r="S15">
        <v>0.20673070413732059</v>
      </c>
      <c r="T15">
        <v>0.16208324307132199</v>
      </c>
      <c r="U15">
        <v>4.4286477380750293</v>
      </c>
      <c r="V15">
        <v>0.20127646963296911</v>
      </c>
      <c r="W15">
        <v>-10.806439356391101</v>
      </c>
      <c r="X15">
        <v>0.28777430159972323</v>
      </c>
      <c r="Z15" t="s">
        <v>392</v>
      </c>
      <c r="AA15">
        <v>161</v>
      </c>
      <c r="AB15" t="s">
        <v>4462</v>
      </c>
      <c r="AC15" t="str">
        <f>HYPERLINK("plots/3FT6Y578R04_015_S31P_20251219032831_M5358ACSA301811_RBGEUFRF04/dpll_52046/txpa_53192.png","plot")</f>
        <v>plot</v>
      </c>
    </row>
    <row r="16" spans="1:29" x14ac:dyDescent="0.35">
      <c r="A16" t="s">
        <v>50</v>
      </c>
      <c r="B16">
        <v>52046</v>
      </c>
      <c r="C16" t="s">
        <v>51</v>
      </c>
      <c r="D16">
        <v>53193</v>
      </c>
      <c r="E16" t="s">
        <v>68</v>
      </c>
      <c r="F16">
        <v>11782</v>
      </c>
      <c r="G16">
        <v>0.69508276421683468</v>
      </c>
      <c r="H16">
        <v>0</v>
      </c>
      <c r="I16">
        <v>0</v>
      </c>
      <c r="J16">
        <v>0.58100220001733593</v>
      </c>
      <c r="K16">
        <v>0</v>
      </c>
      <c r="L16">
        <v>0</v>
      </c>
      <c r="M16">
        <v>0.41198714177360962</v>
      </c>
      <c r="N16">
        <v>0</v>
      </c>
      <c r="O16">
        <v>0</v>
      </c>
      <c r="P16">
        <v>0.48314004911131581</v>
      </c>
      <c r="Q16">
        <v>0.99173898083474288</v>
      </c>
      <c r="R16">
        <v>-15.18701513505961</v>
      </c>
      <c r="S16">
        <v>0.20645332433644839</v>
      </c>
      <c r="T16">
        <v>0.16251673444715911</v>
      </c>
      <c r="U16">
        <v>4.4286477380750293</v>
      </c>
      <c r="V16">
        <v>0.20127646963296911</v>
      </c>
      <c r="W16">
        <v>-10.79495254082499</v>
      </c>
      <c r="X16">
        <v>0.28717978798499649</v>
      </c>
      <c r="Z16" t="s">
        <v>392</v>
      </c>
      <c r="AA16">
        <v>161</v>
      </c>
      <c r="AB16" t="s">
        <v>4463</v>
      </c>
      <c r="AC16" t="str">
        <f>HYPERLINK("plots/3FT6Y578R04_015_S31P_20251219032831_M5358ACSA301811_RBGEUFRF04/dpll_52046/txpa_53193.png","plot")</f>
        <v>plot</v>
      </c>
    </row>
    <row r="17" spans="1:29" x14ac:dyDescent="0.35">
      <c r="A17" t="s">
        <v>50</v>
      </c>
      <c r="B17">
        <v>52046</v>
      </c>
      <c r="C17" t="s">
        <v>51</v>
      </c>
      <c r="D17">
        <v>53194</v>
      </c>
      <c r="E17" t="s">
        <v>69</v>
      </c>
      <c r="F17">
        <v>11781</v>
      </c>
      <c r="G17">
        <v>0.68530457381413024</v>
      </c>
      <c r="H17">
        <v>0</v>
      </c>
      <c r="I17">
        <v>0</v>
      </c>
      <c r="J17">
        <v>0.56710144671631091</v>
      </c>
      <c r="K17">
        <v>0</v>
      </c>
      <c r="L17">
        <v>0</v>
      </c>
      <c r="M17">
        <v>0.40179385758355518</v>
      </c>
      <c r="N17">
        <v>0</v>
      </c>
      <c r="O17">
        <v>0</v>
      </c>
      <c r="P17">
        <v>0.46964235889056671</v>
      </c>
      <c r="Q17">
        <v>0.98751199465456296</v>
      </c>
      <c r="R17">
        <v>-15.239920166477241</v>
      </c>
      <c r="S17">
        <v>0.2112050679456467</v>
      </c>
      <c r="T17">
        <v>0.16574485416249701</v>
      </c>
      <c r="U17">
        <v>4.4286701896273666</v>
      </c>
      <c r="V17">
        <v>0.20127025814248481</v>
      </c>
      <c r="W17">
        <v>-10.86655523385112</v>
      </c>
      <c r="X17">
        <v>0.29002694813011892</v>
      </c>
      <c r="Z17" t="s">
        <v>392</v>
      </c>
      <c r="AA17">
        <v>161</v>
      </c>
      <c r="AB17" t="s">
        <v>4464</v>
      </c>
      <c r="AC17" t="str">
        <f>HYPERLINK("plots/3FT6Y578R04_015_S31P_20251219032831_M5358ACSA301811_RBGEUFRF04/dpll_52046/txpa_53194.png","plot")</f>
        <v>plot</v>
      </c>
    </row>
    <row r="18" spans="1:29" x14ac:dyDescent="0.35">
      <c r="A18" t="s">
        <v>50</v>
      </c>
      <c r="B18">
        <v>52046</v>
      </c>
      <c r="C18" t="s">
        <v>51</v>
      </c>
      <c r="D18">
        <v>53195</v>
      </c>
      <c r="E18" t="s">
        <v>70</v>
      </c>
      <c r="F18">
        <v>11782</v>
      </c>
      <c r="G18">
        <v>0.68738700954120258</v>
      </c>
      <c r="H18">
        <v>0</v>
      </c>
      <c r="I18">
        <v>0</v>
      </c>
      <c r="J18">
        <v>0.57924707929451291</v>
      </c>
      <c r="K18">
        <v>0</v>
      </c>
      <c r="L18">
        <v>0</v>
      </c>
      <c r="M18">
        <v>0.40942813739149841</v>
      </c>
      <c r="N18">
        <v>0</v>
      </c>
      <c r="O18">
        <v>0</v>
      </c>
      <c r="P18">
        <v>0.47250090088599728</v>
      </c>
      <c r="Q18">
        <v>0.86978894079810243</v>
      </c>
      <c r="R18">
        <v>-8.7697092179858966</v>
      </c>
      <c r="S18">
        <v>0.18496859479066191</v>
      </c>
      <c r="T18">
        <v>0.14464049359405479</v>
      </c>
      <c r="U18">
        <v>4.4286477380750293</v>
      </c>
      <c r="V18">
        <v>0.20127646963296911</v>
      </c>
      <c r="W18">
        <v>-4.9177203927177047</v>
      </c>
      <c r="X18">
        <v>0.25468629010968802</v>
      </c>
      <c r="Z18" t="s">
        <v>392</v>
      </c>
      <c r="AA18">
        <v>161</v>
      </c>
      <c r="AB18" t="s">
        <v>4465</v>
      </c>
      <c r="AC18" t="str">
        <f>HYPERLINK("plots/3FT6Y578R04_015_S31P_20251219032831_M5358ACSA301811_RBGEUFRF04/dpll_52046/txpa_53195.png","plot")</f>
        <v>plot</v>
      </c>
    </row>
    <row r="19" spans="1:29" x14ac:dyDescent="0.35">
      <c r="A19" t="s">
        <v>50</v>
      </c>
      <c r="B19">
        <v>52046</v>
      </c>
      <c r="C19" t="s">
        <v>51</v>
      </c>
      <c r="D19">
        <v>53196</v>
      </c>
      <c r="E19" t="s">
        <v>71</v>
      </c>
      <c r="F19">
        <v>11782</v>
      </c>
      <c r="G19">
        <v>0.70887395510633466</v>
      </c>
      <c r="H19">
        <v>0</v>
      </c>
      <c r="I19">
        <v>0</v>
      </c>
      <c r="J19">
        <v>0.59910555445565783</v>
      </c>
      <c r="K19">
        <v>0</v>
      </c>
      <c r="L19">
        <v>0</v>
      </c>
      <c r="M19">
        <v>0.42726804278079578</v>
      </c>
      <c r="N19">
        <v>0</v>
      </c>
      <c r="O19">
        <v>0</v>
      </c>
      <c r="P19">
        <v>0.50250228422809773</v>
      </c>
      <c r="Q19">
        <v>0.89748713491926724</v>
      </c>
      <c r="R19">
        <v>-8.8463618814698073</v>
      </c>
      <c r="S19">
        <v>0.1797336245225338</v>
      </c>
      <c r="T19">
        <v>0.14119596372015181</v>
      </c>
      <c r="U19">
        <v>4.4286477380750293</v>
      </c>
      <c r="V19">
        <v>0.20127646963296911</v>
      </c>
      <c r="W19">
        <v>-4.8717075114581556</v>
      </c>
      <c r="X19">
        <v>0.25483097630588081</v>
      </c>
      <c r="Z19" t="s">
        <v>392</v>
      </c>
      <c r="AA19">
        <v>161</v>
      </c>
      <c r="AB19" t="s">
        <v>4466</v>
      </c>
      <c r="AC19" t="str">
        <f>HYPERLINK("plots/3FT6Y578R04_015_S31P_20251219032831_M5358ACSA301811_RBGEUFRF04/dpll_52046/txpa_53196.png","plot")</f>
        <v>plot</v>
      </c>
    </row>
    <row r="20" spans="1:29" x14ac:dyDescent="0.35">
      <c r="A20" t="s">
        <v>50</v>
      </c>
      <c r="B20">
        <v>52046</v>
      </c>
      <c r="C20" t="s">
        <v>51</v>
      </c>
      <c r="D20">
        <v>53197</v>
      </c>
      <c r="E20" t="s">
        <v>72</v>
      </c>
      <c r="F20">
        <v>11782</v>
      </c>
      <c r="G20">
        <v>0.6974525865891622</v>
      </c>
      <c r="H20">
        <v>0</v>
      </c>
      <c r="I20">
        <v>0</v>
      </c>
      <c r="J20">
        <v>0.58459034580877978</v>
      </c>
      <c r="K20">
        <v>0</v>
      </c>
      <c r="L20">
        <v>0</v>
      </c>
      <c r="M20">
        <v>0.41484828573566312</v>
      </c>
      <c r="N20">
        <v>0</v>
      </c>
      <c r="O20">
        <v>0</v>
      </c>
      <c r="P20">
        <v>0.48644011053991282</v>
      </c>
      <c r="Q20">
        <v>0.86375884520393054</v>
      </c>
      <c r="R20">
        <v>-8.6798659379253369</v>
      </c>
      <c r="S20">
        <v>0.178627344501751</v>
      </c>
      <c r="T20">
        <v>0.14053880778622849</v>
      </c>
      <c r="U20">
        <v>4.4286477380750293</v>
      </c>
      <c r="V20">
        <v>0.20127646963296911</v>
      </c>
      <c r="W20">
        <v>-4.854582281870651</v>
      </c>
      <c r="X20">
        <v>0.24927046557690541</v>
      </c>
      <c r="Z20" t="s">
        <v>392</v>
      </c>
      <c r="AA20">
        <v>161</v>
      </c>
      <c r="AB20" t="s">
        <v>4467</v>
      </c>
      <c r="AC20" t="str">
        <f>HYPERLINK("plots/3FT6Y578R04_015_S31P_20251219032831_M5358ACSA301811_RBGEUFRF04/dpll_52046/txpa_53197.png","plot")</f>
        <v>plot</v>
      </c>
    </row>
    <row r="21" spans="1:29" x14ac:dyDescent="0.35">
      <c r="A21" t="s">
        <v>50</v>
      </c>
      <c r="B21">
        <v>52046</v>
      </c>
      <c r="C21" t="s">
        <v>51</v>
      </c>
      <c r="D21">
        <v>53198</v>
      </c>
      <c r="E21" t="s">
        <v>73</v>
      </c>
      <c r="F21">
        <v>11781</v>
      </c>
      <c r="G21">
        <v>0.71520814531700172</v>
      </c>
      <c r="H21">
        <v>0</v>
      </c>
      <c r="I21">
        <v>0</v>
      </c>
      <c r="J21">
        <v>0.59836926819940039</v>
      </c>
      <c r="K21">
        <v>0</v>
      </c>
      <c r="L21">
        <v>0</v>
      </c>
      <c r="M21">
        <v>0.42684474501402109</v>
      </c>
      <c r="N21">
        <v>0</v>
      </c>
      <c r="O21">
        <v>0</v>
      </c>
      <c r="P21">
        <v>0.51152269112778548</v>
      </c>
      <c r="Q21">
        <v>0.90053227567009309</v>
      </c>
      <c r="R21">
        <v>-8.8128639823122015</v>
      </c>
      <c r="S21">
        <v>0.1771246365314755</v>
      </c>
      <c r="T21">
        <v>0.1397604298506237</v>
      </c>
      <c r="U21">
        <v>4.4286547017231142</v>
      </c>
      <c r="V21">
        <v>0.20128359324518649</v>
      </c>
      <c r="W21">
        <v>-4.8247174856124273</v>
      </c>
      <c r="X21">
        <v>0.25344002786741232</v>
      </c>
      <c r="Z21" t="s">
        <v>392</v>
      </c>
      <c r="AA21">
        <v>161</v>
      </c>
      <c r="AB21" t="s">
        <v>4468</v>
      </c>
      <c r="AC21" t="str">
        <f>HYPERLINK("plots/3FT6Y578R04_015_S31P_20251219032831_M5358ACSA301811_RBGEUFRF04/dpll_52046/txpa_53198.png","plot")</f>
        <v>plot</v>
      </c>
    </row>
    <row r="22" spans="1:29" x14ac:dyDescent="0.35">
      <c r="A22" t="s">
        <v>50</v>
      </c>
      <c r="B22">
        <v>52046</v>
      </c>
      <c r="C22" t="s">
        <v>51</v>
      </c>
      <c r="D22">
        <v>53199</v>
      </c>
      <c r="E22" t="s">
        <v>74</v>
      </c>
      <c r="F22">
        <v>11781</v>
      </c>
      <c r="G22">
        <v>0.71773596717464472</v>
      </c>
      <c r="H22">
        <v>0</v>
      </c>
      <c r="I22">
        <v>0</v>
      </c>
      <c r="J22">
        <v>0.59470246171047469</v>
      </c>
      <c r="K22">
        <v>0</v>
      </c>
      <c r="L22">
        <v>0</v>
      </c>
      <c r="M22">
        <v>0.4228626720384136</v>
      </c>
      <c r="N22">
        <v>0</v>
      </c>
      <c r="O22">
        <v>0</v>
      </c>
      <c r="P22">
        <v>0.51514491857612266</v>
      </c>
      <c r="Q22">
        <v>0.90536326055600624</v>
      </c>
      <c r="R22">
        <v>-8.849397717100544</v>
      </c>
      <c r="S22">
        <v>0.17677150038286299</v>
      </c>
      <c r="T22">
        <v>0.1398381505228328</v>
      </c>
      <c r="U22">
        <v>4.4286210779220783</v>
      </c>
      <c r="V22">
        <v>0.20126420786155011</v>
      </c>
      <c r="W22">
        <v>-4.8398868982259566</v>
      </c>
      <c r="X22">
        <v>0.25387778764947472</v>
      </c>
      <c r="Z22" t="s">
        <v>392</v>
      </c>
      <c r="AA22">
        <v>161</v>
      </c>
      <c r="AB22" t="s">
        <v>4469</v>
      </c>
      <c r="AC22" t="str">
        <f>HYPERLINK("plots/3FT6Y578R04_015_S31P_20251219032831_M5358ACSA301811_RBGEUFRF04/dpll_52046/txpa_53199.png","plot")</f>
        <v>plot</v>
      </c>
    </row>
    <row r="23" spans="1:29" x14ac:dyDescent="0.35">
      <c r="A23" t="s">
        <v>50</v>
      </c>
      <c r="B23">
        <v>52046</v>
      </c>
      <c r="C23" t="s">
        <v>51</v>
      </c>
      <c r="D23">
        <v>53200</v>
      </c>
      <c r="E23" t="s">
        <v>75</v>
      </c>
      <c r="F23">
        <v>11781</v>
      </c>
      <c r="G23">
        <v>0.72409012174548404</v>
      </c>
      <c r="H23">
        <v>0</v>
      </c>
      <c r="I23">
        <v>0</v>
      </c>
      <c r="J23">
        <v>0.61596805734591575</v>
      </c>
      <c r="K23">
        <v>0</v>
      </c>
      <c r="L23">
        <v>0</v>
      </c>
      <c r="M23">
        <v>0.44022074446436099</v>
      </c>
      <c r="N23">
        <v>0</v>
      </c>
      <c r="O23">
        <v>0</v>
      </c>
      <c r="P23">
        <v>0.52430650440938986</v>
      </c>
      <c r="Q23">
        <v>0.91178570544090909</v>
      </c>
      <c r="R23">
        <v>-8.8944358019502623</v>
      </c>
      <c r="S23">
        <v>0.17478557992876309</v>
      </c>
      <c r="T23">
        <v>0.13823759132156599</v>
      </c>
      <c r="U23">
        <v>4.4286192746795683</v>
      </c>
      <c r="V23">
        <v>0.20126129812424351</v>
      </c>
      <c r="W23">
        <v>-4.856484052457346</v>
      </c>
      <c r="X23">
        <v>0.25343140194456182</v>
      </c>
      <c r="Z23" t="s">
        <v>392</v>
      </c>
      <c r="AA23">
        <v>161</v>
      </c>
      <c r="AB23" t="s">
        <v>4470</v>
      </c>
      <c r="AC23" t="str">
        <f>HYPERLINK("plots/3FT6Y578R04_015_S31P_20251219032831_M5358ACSA301811_RBGEUFRF04/dpll_52046/txpa_53200.png","plot")</f>
        <v>plot</v>
      </c>
    </row>
    <row r="24" spans="1:29" x14ac:dyDescent="0.35">
      <c r="A24" t="s">
        <v>50</v>
      </c>
      <c r="B24">
        <v>52046</v>
      </c>
      <c r="C24" t="s">
        <v>51</v>
      </c>
      <c r="D24">
        <v>53201</v>
      </c>
      <c r="E24" t="s">
        <v>76</v>
      </c>
      <c r="F24">
        <v>11782</v>
      </c>
      <c r="G24">
        <v>0.71833944244935077</v>
      </c>
      <c r="H24">
        <v>0</v>
      </c>
      <c r="I24">
        <v>0</v>
      </c>
      <c r="J24">
        <v>0.60505138485748333</v>
      </c>
      <c r="K24">
        <v>0</v>
      </c>
      <c r="L24">
        <v>0</v>
      </c>
      <c r="M24">
        <v>0.43169517807516378</v>
      </c>
      <c r="N24">
        <v>0</v>
      </c>
      <c r="O24">
        <v>0</v>
      </c>
      <c r="P24">
        <v>0.51601155457844416</v>
      </c>
      <c r="Q24">
        <v>0.89593502021574845</v>
      </c>
      <c r="R24">
        <v>-8.8157248005369802</v>
      </c>
      <c r="S24">
        <v>0.1746380491344848</v>
      </c>
      <c r="T24">
        <v>0.13806760756818731</v>
      </c>
      <c r="U24">
        <v>4.4286477380750293</v>
      </c>
      <c r="V24">
        <v>0.20127646963296911</v>
      </c>
      <c r="W24">
        <v>-4.8479441997963004</v>
      </c>
      <c r="X24">
        <v>0.25103819619689549</v>
      </c>
      <c r="Z24" t="s">
        <v>392</v>
      </c>
      <c r="AA24">
        <v>161</v>
      </c>
      <c r="AB24" t="s">
        <v>4471</v>
      </c>
      <c r="AC24" t="str">
        <f>HYPERLINK("plots/3FT6Y578R04_015_S31P_20251219032831_M5358ACSA301811_RBGEUFRF04/dpll_52046/txpa_53201.png","plot")</f>
        <v>plot</v>
      </c>
    </row>
    <row r="25" spans="1:29" x14ac:dyDescent="0.35">
      <c r="A25" t="s">
        <v>50</v>
      </c>
      <c r="B25">
        <v>52046</v>
      </c>
      <c r="C25" t="s">
        <v>51</v>
      </c>
      <c r="D25">
        <v>53202</v>
      </c>
      <c r="E25" t="s">
        <v>77</v>
      </c>
      <c r="F25">
        <v>11781</v>
      </c>
      <c r="G25">
        <v>0.70970966437167937</v>
      </c>
      <c r="H25">
        <v>0</v>
      </c>
      <c r="I25">
        <v>0</v>
      </c>
      <c r="J25">
        <v>0.59630060155297526</v>
      </c>
      <c r="K25">
        <v>0</v>
      </c>
      <c r="L25">
        <v>0</v>
      </c>
      <c r="M25">
        <v>0.42476938958267318</v>
      </c>
      <c r="N25">
        <v>0</v>
      </c>
      <c r="O25">
        <v>0</v>
      </c>
      <c r="P25">
        <v>0.50368780770256183</v>
      </c>
      <c r="Q25">
        <v>0.89344047195870302</v>
      </c>
      <c r="R25">
        <v>-8.8518936023312378</v>
      </c>
      <c r="S25">
        <v>0.17849396847579119</v>
      </c>
      <c r="T25">
        <v>0.14049160638771521</v>
      </c>
      <c r="U25">
        <v>4.4286701896273666</v>
      </c>
      <c r="V25">
        <v>0.20127025814248481</v>
      </c>
      <c r="W25">
        <v>-4.895140417961124</v>
      </c>
      <c r="X25">
        <v>0.25337543428448678</v>
      </c>
      <c r="Z25" t="s">
        <v>392</v>
      </c>
      <c r="AA25">
        <v>161</v>
      </c>
      <c r="AB25" t="s">
        <v>4472</v>
      </c>
      <c r="AC25" t="str">
        <f>HYPERLINK("plots/3FT6Y578R04_015_S31P_20251219032831_M5358ACSA301811_RBGEUFRF04/dpll_52046/txpa_53202.png","plot")</f>
        <v>plot</v>
      </c>
    </row>
    <row r="26" spans="1:29" x14ac:dyDescent="0.35">
      <c r="A26" t="s">
        <v>50</v>
      </c>
      <c r="B26">
        <v>52046</v>
      </c>
      <c r="C26" t="s">
        <v>51</v>
      </c>
      <c r="D26">
        <v>53203</v>
      </c>
      <c r="E26" t="s">
        <v>78</v>
      </c>
      <c r="F26">
        <v>11782</v>
      </c>
      <c r="G26">
        <v>0.70609596144374653</v>
      </c>
      <c r="H26">
        <v>0</v>
      </c>
      <c r="I26">
        <v>0</v>
      </c>
      <c r="J26">
        <v>0.60396027450442336</v>
      </c>
      <c r="K26">
        <v>0</v>
      </c>
      <c r="L26">
        <v>0</v>
      </c>
      <c r="M26">
        <v>0.42907755490210059</v>
      </c>
      <c r="N26">
        <v>0</v>
      </c>
      <c r="O26">
        <v>0</v>
      </c>
      <c r="P26">
        <v>0.49857150676716883</v>
      </c>
      <c r="Q26">
        <v>0.8927863473050236</v>
      </c>
      <c r="R26">
        <v>-5.8125586845296393</v>
      </c>
      <c r="S26">
        <v>0.18020336327595371</v>
      </c>
      <c r="T26">
        <v>0.1408479258077556</v>
      </c>
      <c r="U26">
        <v>4.4286477380750293</v>
      </c>
      <c r="V26">
        <v>0.20127646963296911</v>
      </c>
      <c r="W26">
        <v>-1.8587224469529791</v>
      </c>
      <c r="X26">
        <v>0.2544935730189487</v>
      </c>
      <c r="Z26" t="s">
        <v>392</v>
      </c>
      <c r="AA26">
        <v>161</v>
      </c>
      <c r="AB26" t="s">
        <v>4473</v>
      </c>
      <c r="AC26" t="str">
        <f>HYPERLINK("plots/3FT6Y578R04_015_S31P_20251219032831_M5358ACSA301811_RBGEUFRF04/dpll_52046/txpa_53203.png","plot")</f>
        <v>plot</v>
      </c>
    </row>
    <row r="27" spans="1:29" x14ac:dyDescent="0.35">
      <c r="A27" t="s">
        <v>50</v>
      </c>
      <c r="B27">
        <v>52046</v>
      </c>
      <c r="C27" t="s">
        <v>51</v>
      </c>
      <c r="D27">
        <v>53204</v>
      </c>
      <c r="E27" t="s">
        <v>79</v>
      </c>
      <c r="F27">
        <v>11782</v>
      </c>
      <c r="G27">
        <v>0.72755276124009161</v>
      </c>
      <c r="H27">
        <v>0</v>
      </c>
      <c r="I27">
        <v>0</v>
      </c>
      <c r="J27">
        <v>0.62336331260270894</v>
      </c>
      <c r="K27">
        <v>0</v>
      </c>
      <c r="L27">
        <v>0</v>
      </c>
      <c r="M27">
        <v>0.44689851758036081</v>
      </c>
      <c r="N27">
        <v>0</v>
      </c>
      <c r="O27">
        <v>0</v>
      </c>
      <c r="P27">
        <v>0.52933302038808172</v>
      </c>
      <c r="Q27">
        <v>0.92395105261251165</v>
      </c>
      <c r="R27">
        <v>-5.9091416934118168</v>
      </c>
      <c r="S27">
        <v>0.175354094793122</v>
      </c>
      <c r="T27">
        <v>0.13786594345045811</v>
      </c>
      <c r="U27">
        <v>4.4286477380750293</v>
      </c>
      <c r="V27">
        <v>0.20127646963296911</v>
      </c>
      <c r="W27">
        <v>-1.8172879541673741</v>
      </c>
      <c r="X27">
        <v>0.25560978652123112</v>
      </c>
      <c r="Z27" t="s">
        <v>392</v>
      </c>
      <c r="AA27">
        <v>161</v>
      </c>
      <c r="AB27" t="s">
        <v>4474</v>
      </c>
      <c r="AC27" t="str">
        <f>HYPERLINK("plots/3FT6Y578R04_015_S31P_20251219032831_M5358ACSA301811_RBGEUFRF04/dpll_52046/txpa_53204.png","plot")</f>
        <v>plot</v>
      </c>
    </row>
    <row r="28" spans="1:29" x14ac:dyDescent="0.35">
      <c r="A28" t="s">
        <v>50</v>
      </c>
      <c r="B28">
        <v>52046</v>
      </c>
      <c r="C28" t="s">
        <v>51</v>
      </c>
      <c r="D28">
        <v>53205</v>
      </c>
      <c r="E28" t="s">
        <v>80</v>
      </c>
      <c r="F28">
        <v>11782</v>
      </c>
      <c r="G28">
        <v>0.71662265860907393</v>
      </c>
      <c r="H28">
        <v>0</v>
      </c>
      <c r="I28">
        <v>0</v>
      </c>
      <c r="J28">
        <v>0.61038506057067177</v>
      </c>
      <c r="K28">
        <v>0</v>
      </c>
      <c r="L28">
        <v>0</v>
      </c>
      <c r="M28">
        <v>0.43560265105203982</v>
      </c>
      <c r="N28">
        <v>0</v>
      </c>
      <c r="O28">
        <v>0</v>
      </c>
      <c r="P28">
        <v>0.51354803483193734</v>
      </c>
      <c r="Q28">
        <v>0.88978178358862559</v>
      </c>
      <c r="R28">
        <v>-5.7418945265734758</v>
      </c>
      <c r="S28">
        <v>0.17429604424774461</v>
      </c>
      <c r="T28">
        <v>0.1369662005004999</v>
      </c>
      <c r="U28">
        <v>4.4286477380750293</v>
      </c>
      <c r="V28">
        <v>0.20127646963296911</v>
      </c>
      <c r="W28">
        <v>-1.801364443303344</v>
      </c>
      <c r="X28">
        <v>0.24991135012679239</v>
      </c>
      <c r="Z28" t="s">
        <v>392</v>
      </c>
      <c r="AA28">
        <v>161</v>
      </c>
      <c r="AB28" t="s">
        <v>4475</v>
      </c>
      <c r="AC28" t="str">
        <f>HYPERLINK("plots/3FT6Y578R04_015_S31P_20251219032831_M5358ACSA301811_RBGEUFRF04/dpll_52046/txpa_53205.png","plot")</f>
        <v>plot</v>
      </c>
    </row>
    <row r="29" spans="1:29" x14ac:dyDescent="0.35">
      <c r="A29" t="s">
        <v>50</v>
      </c>
      <c r="B29">
        <v>52046</v>
      </c>
      <c r="C29" t="s">
        <v>51</v>
      </c>
      <c r="D29">
        <v>53206</v>
      </c>
      <c r="E29" t="s">
        <v>81</v>
      </c>
      <c r="F29">
        <v>11781</v>
      </c>
      <c r="G29">
        <v>0.7323159825875758</v>
      </c>
      <c r="H29">
        <v>0</v>
      </c>
      <c r="I29">
        <v>0</v>
      </c>
      <c r="J29">
        <v>0.62196129589557358</v>
      </c>
      <c r="K29">
        <v>0</v>
      </c>
      <c r="L29">
        <v>0</v>
      </c>
      <c r="M29">
        <v>0.44600884005280389</v>
      </c>
      <c r="N29">
        <v>0</v>
      </c>
      <c r="O29">
        <v>0</v>
      </c>
      <c r="P29">
        <v>0.53628669835320664</v>
      </c>
      <c r="Q29">
        <v>0.92432504047737118</v>
      </c>
      <c r="R29">
        <v>-5.8712161843296773</v>
      </c>
      <c r="S29">
        <v>0.1729979380124812</v>
      </c>
      <c r="T29">
        <v>0.13648026026719129</v>
      </c>
      <c r="U29">
        <v>4.4286547017231142</v>
      </c>
      <c r="V29">
        <v>0.20128359324518649</v>
      </c>
      <c r="W29">
        <v>-1.7776997478991601</v>
      </c>
      <c r="X29">
        <v>0.25405899898072798</v>
      </c>
      <c r="Z29" t="s">
        <v>392</v>
      </c>
      <c r="AA29">
        <v>161</v>
      </c>
      <c r="AB29" t="s">
        <v>4476</v>
      </c>
      <c r="AC29" t="str">
        <f>HYPERLINK("plots/3FT6Y578R04_015_S31P_20251219032831_M5358ACSA301811_RBGEUFRF04/dpll_52046/txpa_53206.png","plot")</f>
        <v>plot</v>
      </c>
    </row>
    <row r="30" spans="1:29" x14ac:dyDescent="0.35">
      <c r="A30" t="s">
        <v>50</v>
      </c>
      <c r="B30">
        <v>52046</v>
      </c>
      <c r="C30" t="s">
        <v>51</v>
      </c>
      <c r="D30">
        <v>53207</v>
      </c>
      <c r="E30" t="s">
        <v>82</v>
      </c>
      <c r="F30">
        <v>11781</v>
      </c>
      <c r="G30">
        <v>0.73490986501835698</v>
      </c>
      <c r="H30">
        <v>0</v>
      </c>
      <c r="I30">
        <v>0</v>
      </c>
      <c r="J30">
        <v>0.61828108616939104</v>
      </c>
      <c r="K30">
        <v>0</v>
      </c>
      <c r="L30">
        <v>0</v>
      </c>
      <c r="M30">
        <v>0.44185397458475761</v>
      </c>
      <c r="N30">
        <v>0</v>
      </c>
      <c r="O30">
        <v>0</v>
      </c>
      <c r="P30">
        <v>0.54009250970129963</v>
      </c>
      <c r="Q30">
        <v>0.92651141510174617</v>
      </c>
      <c r="R30">
        <v>-5.8959816818804702</v>
      </c>
      <c r="S30">
        <v>0.17206797758059059</v>
      </c>
      <c r="T30">
        <v>0.13589432450793931</v>
      </c>
      <c r="U30">
        <v>4.4286210779220783</v>
      </c>
      <c r="V30">
        <v>0.20126420786155011</v>
      </c>
      <c r="W30">
        <v>-1.7928137000254649</v>
      </c>
      <c r="X30">
        <v>0.25373667562685248</v>
      </c>
      <c r="Z30" t="s">
        <v>392</v>
      </c>
      <c r="AA30">
        <v>161</v>
      </c>
      <c r="AB30" t="s">
        <v>4477</v>
      </c>
      <c r="AC30" t="str">
        <f>HYPERLINK("plots/3FT6Y578R04_015_S31P_20251219032831_M5358ACSA301811_RBGEUFRF04/dpll_52046/txpa_53207.png","plot")</f>
        <v>plot</v>
      </c>
    </row>
    <row r="31" spans="1:29" x14ac:dyDescent="0.35">
      <c r="A31" t="s">
        <v>50</v>
      </c>
      <c r="B31">
        <v>52046</v>
      </c>
      <c r="C31" t="s">
        <v>51</v>
      </c>
      <c r="D31">
        <v>53208</v>
      </c>
      <c r="E31" t="s">
        <v>83</v>
      </c>
      <c r="F31">
        <v>11781</v>
      </c>
      <c r="G31">
        <v>0.74169748640167954</v>
      </c>
      <c r="H31">
        <v>0</v>
      </c>
      <c r="I31">
        <v>0</v>
      </c>
      <c r="J31">
        <v>0.63917635825647945</v>
      </c>
      <c r="K31">
        <v>0</v>
      </c>
      <c r="L31">
        <v>0</v>
      </c>
      <c r="M31">
        <v>0.45919278894558357</v>
      </c>
      <c r="N31">
        <v>0</v>
      </c>
      <c r="O31">
        <v>0</v>
      </c>
      <c r="P31">
        <v>0.55011516133456961</v>
      </c>
      <c r="Q31">
        <v>0.93666458828108312</v>
      </c>
      <c r="R31">
        <v>-5.9513747037433804</v>
      </c>
      <c r="S31">
        <v>0.1704707256474951</v>
      </c>
      <c r="T31">
        <v>0.13510682550653871</v>
      </c>
      <c r="U31">
        <v>4.4286192746795683</v>
      </c>
      <c r="V31">
        <v>0.20126129812424351</v>
      </c>
      <c r="W31">
        <v>-1.803243854171972</v>
      </c>
      <c r="X31">
        <v>0.25416606419826482</v>
      </c>
      <c r="Z31" t="s">
        <v>392</v>
      </c>
      <c r="AA31">
        <v>161</v>
      </c>
      <c r="AB31" t="s">
        <v>4478</v>
      </c>
      <c r="AC31" t="str">
        <f>HYPERLINK("plots/3FT6Y578R04_015_S31P_20251219032831_M5358ACSA301811_RBGEUFRF04/dpll_52046/txpa_53208.png","plot")</f>
        <v>plot</v>
      </c>
    </row>
    <row r="32" spans="1:29" x14ac:dyDescent="0.35">
      <c r="A32" t="s">
        <v>50</v>
      </c>
      <c r="B32">
        <v>52046</v>
      </c>
      <c r="C32" t="s">
        <v>51</v>
      </c>
      <c r="D32">
        <v>53209</v>
      </c>
      <c r="E32" t="s">
        <v>84</v>
      </c>
      <c r="F32">
        <v>11782</v>
      </c>
      <c r="G32">
        <v>0.73641613991300114</v>
      </c>
      <c r="H32">
        <v>0</v>
      </c>
      <c r="I32">
        <v>0</v>
      </c>
      <c r="J32">
        <v>0.62841601316001883</v>
      </c>
      <c r="K32">
        <v>0</v>
      </c>
      <c r="L32">
        <v>0</v>
      </c>
      <c r="M32">
        <v>0.45062183074319528</v>
      </c>
      <c r="N32">
        <v>0</v>
      </c>
      <c r="O32">
        <v>0</v>
      </c>
      <c r="P32">
        <v>0.54230873112436484</v>
      </c>
      <c r="Q32">
        <v>0.92031701916119235</v>
      </c>
      <c r="R32">
        <v>-5.8703915154187758</v>
      </c>
      <c r="S32">
        <v>0.17016688310552699</v>
      </c>
      <c r="T32">
        <v>0.13462534318924291</v>
      </c>
      <c r="U32">
        <v>4.4286477380750293</v>
      </c>
      <c r="V32">
        <v>0.20127646963296911</v>
      </c>
      <c r="W32">
        <v>-1.7946316301986081</v>
      </c>
      <c r="X32">
        <v>0.25154006073493462</v>
      </c>
      <c r="Z32" t="s">
        <v>392</v>
      </c>
      <c r="AA32">
        <v>161</v>
      </c>
      <c r="AB32" t="s">
        <v>4479</v>
      </c>
      <c r="AC32" t="str">
        <f>HYPERLINK("plots/3FT6Y578R04_015_S31P_20251219032831_M5358ACSA301811_RBGEUFRF04/dpll_52046/txpa_53209.png","plot")</f>
        <v>plot</v>
      </c>
    </row>
    <row r="33" spans="1:29" x14ac:dyDescent="0.35">
      <c r="A33" t="s">
        <v>50</v>
      </c>
      <c r="B33">
        <v>52046</v>
      </c>
      <c r="C33" t="s">
        <v>51</v>
      </c>
      <c r="D33">
        <v>53210</v>
      </c>
      <c r="E33" t="s">
        <v>85</v>
      </c>
      <c r="F33">
        <v>11781</v>
      </c>
      <c r="G33">
        <v>0.72712931200868736</v>
      </c>
      <c r="H33">
        <v>0</v>
      </c>
      <c r="I33">
        <v>0</v>
      </c>
      <c r="J33">
        <v>0.61961264519819892</v>
      </c>
      <c r="K33">
        <v>0</v>
      </c>
      <c r="L33">
        <v>0</v>
      </c>
      <c r="M33">
        <v>0.44392946297473801</v>
      </c>
      <c r="N33">
        <v>0</v>
      </c>
      <c r="O33">
        <v>0</v>
      </c>
      <c r="P33">
        <v>0.528717036382227</v>
      </c>
      <c r="Q33">
        <v>0.91553815575048458</v>
      </c>
      <c r="R33">
        <v>-5.8901797253438932</v>
      </c>
      <c r="S33">
        <v>0.1739669852785049</v>
      </c>
      <c r="T33">
        <v>0.13675228680977991</v>
      </c>
      <c r="U33">
        <v>4.4286701896273666</v>
      </c>
      <c r="V33">
        <v>0.20127025814248481</v>
      </c>
      <c r="W33">
        <v>-1.8355631875053049</v>
      </c>
      <c r="X33">
        <v>0.25342205011395952</v>
      </c>
      <c r="Z33" t="s">
        <v>392</v>
      </c>
      <c r="AA33">
        <v>161</v>
      </c>
      <c r="AB33" t="s">
        <v>4480</v>
      </c>
      <c r="AC33" t="str">
        <f>HYPERLINK("plots/3FT6Y578R04_015_S31P_20251219032831_M5358ACSA301811_RBGEUFRF04/dpll_52046/txpa_53210.png","plot")</f>
        <v>plot</v>
      </c>
    </row>
    <row r="34" spans="1:29" x14ac:dyDescent="0.35">
      <c r="A34" t="s">
        <v>50</v>
      </c>
      <c r="B34">
        <v>52046</v>
      </c>
      <c r="C34" t="s">
        <v>51</v>
      </c>
      <c r="D34">
        <v>53211</v>
      </c>
      <c r="E34" t="s">
        <v>86</v>
      </c>
      <c r="F34">
        <v>11782</v>
      </c>
      <c r="G34">
        <v>0.74627684288440577</v>
      </c>
      <c r="H34">
        <v>0</v>
      </c>
      <c r="I34">
        <v>0</v>
      </c>
      <c r="J34">
        <v>0.6514338368721464</v>
      </c>
      <c r="K34">
        <v>0</v>
      </c>
      <c r="L34">
        <v>0</v>
      </c>
      <c r="M34">
        <v>0.46799780323773083</v>
      </c>
      <c r="N34">
        <v>0</v>
      </c>
      <c r="O34">
        <v>0</v>
      </c>
      <c r="P34">
        <v>0.55692912622551605</v>
      </c>
      <c r="Q34">
        <v>0.97824918450692122</v>
      </c>
      <c r="R34">
        <v>-2.6274343096798032</v>
      </c>
      <c r="S34">
        <v>0.17561463481633219</v>
      </c>
      <c r="T34">
        <v>0.13698028831738721</v>
      </c>
      <c r="U34">
        <v>4.4286477380750293</v>
      </c>
      <c r="V34">
        <v>0.20127646963296911</v>
      </c>
      <c r="W34">
        <v>1.704886728560516</v>
      </c>
      <c r="X34">
        <v>0.26384115245738993</v>
      </c>
      <c r="Z34" t="s">
        <v>392</v>
      </c>
      <c r="AA34">
        <v>161</v>
      </c>
      <c r="AB34" t="s">
        <v>4481</v>
      </c>
      <c r="AC34" t="str">
        <f>HYPERLINK("plots/3FT6Y578R04_015_S31P_20251219032831_M5358ACSA301811_RBGEUFRF04/dpll_52046/txpa_53211.png","plot")</f>
        <v>plot</v>
      </c>
    </row>
    <row r="35" spans="1:29" x14ac:dyDescent="0.35">
      <c r="A35" t="s">
        <v>50</v>
      </c>
      <c r="B35">
        <v>52046</v>
      </c>
      <c r="C35" t="s">
        <v>51</v>
      </c>
      <c r="D35">
        <v>53212</v>
      </c>
      <c r="E35" t="s">
        <v>87</v>
      </c>
      <c r="F35">
        <v>11782</v>
      </c>
      <c r="G35">
        <v>0.76677467302518987</v>
      </c>
      <c r="H35">
        <v>0</v>
      </c>
      <c r="I35">
        <v>0</v>
      </c>
      <c r="J35">
        <v>0.6697990488277924</v>
      </c>
      <c r="K35">
        <v>0</v>
      </c>
      <c r="L35">
        <v>0</v>
      </c>
      <c r="M35">
        <v>0.48598743905829161</v>
      </c>
      <c r="N35">
        <v>0</v>
      </c>
      <c r="O35">
        <v>0</v>
      </c>
      <c r="P35">
        <v>0.58794339919288685</v>
      </c>
      <c r="Q35">
        <v>1.0123752541115369</v>
      </c>
      <c r="R35">
        <v>-2.740366000185348</v>
      </c>
      <c r="S35">
        <v>0.17057947540284721</v>
      </c>
      <c r="T35">
        <v>0.13399790934356631</v>
      </c>
      <c r="U35">
        <v>4.4286477380750293</v>
      </c>
      <c r="V35">
        <v>0.20127646963296911</v>
      </c>
      <c r="W35">
        <v>1.7430873790188419</v>
      </c>
      <c r="X35">
        <v>0.26574601934544601</v>
      </c>
      <c r="Z35" t="s">
        <v>392</v>
      </c>
      <c r="AA35">
        <v>161</v>
      </c>
      <c r="AB35" t="s">
        <v>4482</v>
      </c>
      <c r="AC35" t="str">
        <f>HYPERLINK("plots/3FT6Y578R04_015_S31P_20251219032831_M5358ACSA301811_RBGEUFRF04/dpll_52046/txpa_53212.png","plot")</f>
        <v>plot</v>
      </c>
    </row>
    <row r="36" spans="1:29" x14ac:dyDescent="0.35">
      <c r="A36" t="s">
        <v>50</v>
      </c>
      <c r="B36">
        <v>52046</v>
      </c>
      <c r="C36" t="s">
        <v>51</v>
      </c>
      <c r="D36">
        <v>53213</v>
      </c>
      <c r="E36" t="s">
        <v>88</v>
      </c>
      <c r="F36">
        <v>11782</v>
      </c>
      <c r="G36">
        <v>0.75736545085710683</v>
      </c>
      <c r="H36">
        <v>0</v>
      </c>
      <c r="I36">
        <v>0</v>
      </c>
      <c r="J36">
        <v>0.65781966743597264</v>
      </c>
      <c r="K36">
        <v>0</v>
      </c>
      <c r="L36">
        <v>0</v>
      </c>
      <c r="M36">
        <v>0.47489841198022559</v>
      </c>
      <c r="N36">
        <v>0</v>
      </c>
      <c r="O36">
        <v>0</v>
      </c>
      <c r="P36">
        <v>0.57360242615198864</v>
      </c>
      <c r="Q36">
        <v>0.97921287630191756</v>
      </c>
      <c r="R36">
        <v>-2.5786412913580352</v>
      </c>
      <c r="S36">
        <v>0.16992354640685689</v>
      </c>
      <c r="T36">
        <v>0.13339731888617051</v>
      </c>
      <c r="U36">
        <v>4.4286477380750293</v>
      </c>
      <c r="V36">
        <v>0.20127646963296911</v>
      </c>
      <c r="W36">
        <v>1.757947598370396</v>
      </c>
      <c r="X36">
        <v>0.26023435652913213</v>
      </c>
      <c r="Z36" t="s">
        <v>392</v>
      </c>
      <c r="AA36">
        <v>161</v>
      </c>
      <c r="AB36" t="s">
        <v>4483</v>
      </c>
      <c r="AC36" t="str">
        <f>HYPERLINK("plots/3FT6Y578R04_015_S31P_20251219032831_M5358ACSA301811_RBGEUFRF04/dpll_52046/txpa_53213.png","plot")</f>
        <v>plot</v>
      </c>
    </row>
    <row r="37" spans="1:29" x14ac:dyDescent="0.35">
      <c r="A37" t="s">
        <v>50</v>
      </c>
      <c r="B37">
        <v>52046</v>
      </c>
      <c r="C37" t="s">
        <v>51</v>
      </c>
      <c r="D37">
        <v>53214</v>
      </c>
      <c r="E37" t="s">
        <v>89</v>
      </c>
      <c r="F37">
        <v>11781</v>
      </c>
      <c r="G37">
        <v>0.77148346576849192</v>
      </c>
      <c r="H37">
        <v>0</v>
      </c>
      <c r="I37">
        <v>0</v>
      </c>
      <c r="J37">
        <v>0.66947149267993267</v>
      </c>
      <c r="K37">
        <v>0</v>
      </c>
      <c r="L37">
        <v>0</v>
      </c>
      <c r="M37">
        <v>0.48573809102966209</v>
      </c>
      <c r="N37">
        <v>0</v>
      </c>
      <c r="O37">
        <v>0</v>
      </c>
      <c r="P37">
        <v>0.59518673795416388</v>
      </c>
      <c r="Q37">
        <v>1.010656315000265</v>
      </c>
      <c r="R37">
        <v>-2.7000852012300109</v>
      </c>
      <c r="S37">
        <v>0.16776222640095459</v>
      </c>
      <c r="T37">
        <v>0.1323506518964552</v>
      </c>
      <c r="U37">
        <v>4.4286547017231142</v>
      </c>
      <c r="V37">
        <v>0.20128359324518649</v>
      </c>
      <c r="W37">
        <v>1.775762640022069</v>
      </c>
      <c r="X37">
        <v>0.26368489234769638</v>
      </c>
      <c r="Z37" t="s">
        <v>392</v>
      </c>
      <c r="AA37">
        <v>161</v>
      </c>
      <c r="AB37" t="s">
        <v>4484</v>
      </c>
      <c r="AC37" t="str">
        <f>HYPERLINK("plots/3FT6Y578R04_015_S31P_20251219032831_M5358ACSA301811_RBGEUFRF04/dpll_52046/txpa_53214.png","plot")</f>
        <v>plot</v>
      </c>
    </row>
    <row r="38" spans="1:29" x14ac:dyDescent="0.35">
      <c r="A38" t="s">
        <v>50</v>
      </c>
      <c r="B38">
        <v>52046</v>
      </c>
      <c r="C38" t="s">
        <v>51</v>
      </c>
      <c r="D38">
        <v>53215</v>
      </c>
      <c r="E38" t="s">
        <v>90</v>
      </c>
      <c r="F38">
        <v>11781</v>
      </c>
      <c r="G38">
        <v>0.77388241679356484</v>
      </c>
      <c r="H38">
        <v>0</v>
      </c>
      <c r="I38">
        <v>0</v>
      </c>
      <c r="J38">
        <v>0.6669720265918575</v>
      </c>
      <c r="K38">
        <v>0</v>
      </c>
      <c r="L38">
        <v>0</v>
      </c>
      <c r="M38">
        <v>0.482571830500304</v>
      </c>
      <c r="N38">
        <v>0</v>
      </c>
      <c r="O38">
        <v>0</v>
      </c>
      <c r="P38">
        <v>0.59889399502224883</v>
      </c>
      <c r="Q38">
        <v>1.0122576606282101</v>
      </c>
      <c r="R38">
        <v>-2.7232412214153481</v>
      </c>
      <c r="S38">
        <v>0.16672233739940681</v>
      </c>
      <c r="T38">
        <v>0.13158473513293509</v>
      </c>
      <c r="U38">
        <v>4.4286210779220783</v>
      </c>
      <c r="V38">
        <v>0.20126420786155011</v>
      </c>
      <c r="W38">
        <v>1.759664390730838</v>
      </c>
      <c r="X38">
        <v>0.2632586447205304</v>
      </c>
      <c r="Z38" t="s">
        <v>392</v>
      </c>
      <c r="AA38">
        <v>161</v>
      </c>
      <c r="AB38" t="s">
        <v>4485</v>
      </c>
      <c r="AC38" t="str">
        <f>HYPERLINK("plots/3FT6Y578R04_015_S31P_20251219032831_M5358ACSA301811_RBGEUFRF04/dpll_52046/txpa_53215.png","plot")</f>
        <v>plot</v>
      </c>
    </row>
    <row r="39" spans="1:29" x14ac:dyDescent="0.35">
      <c r="A39" t="s">
        <v>50</v>
      </c>
      <c r="B39">
        <v>52046</v>
      </c>
      <c r="C39" t="s">
        <v>51</v>
      </c>
      <c r="D39">
        <v>53216</v>
      </c>
      <c r="E39" t="s">
        <v>91</v>
      </c>
      <c r="F39">
        <v>11781</v>
      </c>
      <c r="G39">
        <v>0.77903811451813731</v>
      </c>
      <c r="H39">
        <v>0</v>
      </c>
      <c r="I39">
        <v>0</v>
      </c>
      <c r="J39">
        <v>0.68388148573033813</v>
      </c>
      <c r="K39">
        <v>0</v>
      </c>
      <c r="L39">
        <v>0</v>
      </c>
      <c r="M39">
        <v>0.49717118435373853</v>
      </c>
      <c r="N39">
        <v>0</v>
      </c>
      <c r="O39">
        <v>0</v>
      </c>
      <c r="P39">
        <v>0.60690038387197442</v>
      </c>
      <c r="Q39">
        <v>1.0247665781945301</v>
      </c>
      <c r="R39">
        <v>-2.782746795742649</v>
      </c>
      <c r="S39">
        <v>0.16598138853136529</v>
      </c>
      <c r="T39">
        <v>0.13147164364609609</v>
      </c>
      <c r="U39">
        <v>4.4286192746795683</v>
      </c>
      <c r="V39">
        <v>0.20126129812424351</v>
      </c>
      <c r="W39">
        <v>1.755554224497071</v>
      </c>
      <c r="X39">
        <v>0.26474423774418337</v>
      </c>
      <c r="Z39" t="s">
        <v>392</v>
      </c>
      <c r="AA39">
        <v>161</v>
      </c>
      <c r="AB39" t="s">
        <v>4486</v>
      </c>
      <c r="AC39" t="str">
        <f>HYPERLINK("plots/3FT6Y578R04_015_S31P_20251219032831_M5358ACSA301811_RBGEUFRF04/dpll_52046/txpa_53216.png","plot")</f>
        <v>plot</v>
      </c>
    </row>
    <row r="40" spans="1:29" x14ac:dyDescent="0.35">
      <c r="A40" t="s">
        <v>50</v>
      </c>
      <c r="B40">
        <v>52046</v>
      </c>
      <c r="C40" t="s">
        <v>51</v>
      </c>
      <c r="D40">
        <v>53217</v>
      </c>
      <c r="E40" t="s">
        <v>92</v>
      </c>
      <c r="F40">
        <v>11782</v>
      </c>
      <c r="G40">
        <v>0.77376779883254942</v>
      </c>
      <c r="H40">
        <v>0</v>
      </c>
      <c r="I40">
        <v>0</v>
      </c>
      <c r="J40">
        <v>0.67268479487341337</v>
      </c>
      <c r="K40">
        <v>0</v>
      </c>
      <c r="L40">
        <v>0</v>
      </c>
      <c r="M40">
        <v>0.48817495426263841</v>
      </c>
      <c r="N40">
        <v>0</v>
      </c>
      <c r="O40">
        <v>0</v>
      </c>
      <c r="P40">
        <v>0.59871660651016867</v>
      </c>
      <c r="Q40">
        <v>1.00721479573326</v>
      </c>
      <c r="R40">
        <v>-2.6969839872176058</v>
      </c>
      <c r="S40">
        <v>0.16596312874636959</v>
      </c>
      <c r="T40">
        <v>0.13121191207039529</v>
      </c>
      <c r="U40">
        <v>4.4286477380750293</v>
      </c>
      <c r="V40">
        <v>0.20127646963296911</v>
      </c>
      <c r="W40">
        <v>1.763615539662196</v>
      </c>
      <c r="X40">
        <v>0.26200190619609232</v>
      </c>
      <c r="Z40" t="s">
        <v>392</v>
      </c>
      <c r="AA40">
        <v>161</v>
      </c>
      <c r="AB40" t="s">
        <v>4487</v>
      </c>
      <c r="AC40" t="str">
        <f>HYPERLINK("plots/3FT6Y578R04_015_S31P_20251219032831_M5358ACSA301811_RBGEUFRF04/dpll_52046/txpa_53217.png","plot")</f>
        <v>plot</v>
      </c>
    </row>
    <row r="41" spans="1:29" x14ac:dyDescent="0.35">
      <c r="A41" t="s">
        <v>50</v>
      </c>
      <c r="B41">
        <v>52046</v>
      </c>
      <c r="C41" t="s">
        <v>51</v>
      </c>
      <c r="D41">
        <v>53218</v>
      </c>
      <c r="E41" t="s">
        <v>93</v>
      </c>
      <c r="F41">
        <v>11781</v>
      </c>
      <c r="G41">
        <v>0.7663625257140847</v>
      </c>
      <c r="H41">
        <v>0</v>
      </c>
      <c r="I41">
        <v>0</v>
      </c>
      <c r="J41">
        <v>0.6663614202606406</v>
      </c>
      <c r="K41">
        <v>0</v>
      </c>
      <c r="L41">
        <v>0</v>
      </c>
      <c r="M41">
        <v>0.48305863621616962</v>
      </c>
      <c r="N41">
        <v>0</v>
      </c>
      <c r="O41">
        <v>0</v>
      </c>
      <c r="P41">
        <v>0.58731152081887117</v>
      </c>
      <c r="Q41">
        <v>1.0009309352299649</v>
      </c>
      <c r="R41">
        <v>-2.7052668252864658</v>
      </c>
      <c r="S41">
        <v>0.16886599186544471</v>
      </c>
      <c r="T41">
        <v>0.13261102376916559</v>
      </c>
      <c r="U41">
        <v>4.4286701896273666</v>
      </c>
      <c r="V41">
        <v>0.20127025814248481</v>
      </c>
      <c r="W41">
        <v>1.727526169442323</v>
      </c>
      <c r="X41">
        <v>0.26287510278352783</v>
      </c>
      <c r="Z41" t="s">
        <v>392</v>
      </c>
      <c r="AA41">
        <v>161</v>
      </c>
      <c r="AB41" t="s">
        <v>4488</v>
      </c>
      <c r="AC41" t="str">
        <f>HYPERLINK("plots/3FT6Y578R04_015_S31P_20251219032831_M5358ACSA301811_RBGEUFRF04/dpll_52046/txpa_53218.png","plot")</f>
        <v>plot</v>
      </c>
    </row>
    <row r="42" spans="1:29" x14ac:dyDescent="0.35">
      <c r="A42" t="s">
        <v>50</v>
      </c>
      <c r="B42">
        <v>52046</v>
      </c>
      <c r="C42" t="s">
        <v>51</v>
      </c>
      <c r="D42">
        <v>53219</v>
      </c>
      <c r="E42" t="s">
        <v>94</v>
      </c>
      <c r="F42">
        <v>11782</v>
      </c>
      <c r="G42">
        <v>0.77212967722880421</v>
      </c>
      <c r="H42">
        <v>0</v>
      </c>
      <c r="I42">
        <v>0</v>
      </c>
      <c r="J42">
        <v>0.67892548741410974</v>
      </c>
      <c r="K42">
        <v>0</v>
      </c>
      <c r="L42">
        <v>0</v>
      </c>
      <c r="M42">
        <v>0.49126067816586239</v>
      </c>
      <c r="N42">
        <v>0</v>
      </c>
      <c r="O42">
        <v>0</v>
      </c>
      <c r="P42">
        <v>0.59618423845745738</v>
      </c>
      <c r="Q42">
        <v>1.05667908899353</v>
      </c>
      <c r="R42">
        <v>-0.97212894749685086</v>
      </c>
      <c r="S42">
        <v>0.17503265326847189</v>
      </c>
      <c r="T42">
        <v>0.13626669459803101</v>
      </c>
      <c r="U42">
        <v>4.4286477380750293</v>
      </c>
      <c r="V42">
        <v>0.20127646963296911</v>
      </c>
      <c r="W42">
        <v>3.7075305098455269</v>
      </c>
      <c r="X42">
        <v>0.27545196466341099</v>
      </c>
      <c r="Z42" t="s">
        <v>392</v>
      </c>
      <c r="AA42">
        <v>161</v>
      </c>
      <c r="AB42" t="s">
        <v>4489</v>
      </c>
      <c r="AC42" t="str">
        <f>HYPERLINK("plots/3FT6Y578R04_015_S31P_20251219032831_M5358ACSA301811_RBGEUFRF04/dpll_52046/txpa_53219.png","plot")</f>
        <v>plot</v>
      </c>
    </row>
    <row r="43" spans="1:29" x14ac:dyDescent="0.35">
      <c r="A43" t="s">
        <v>50</v>
      </c>
      <c r="B43">
        <v>52046</v>
      </c>
      <c r="C43" t="s">
        <v>51</v>
      </c>
      <c r="D43">
        <v>53220</v>
      </c>
      <c r="E43" t="s">
        <v>95</v>
      </c>
      <c r="F43">
        <v>11782</v>
      </c>
      <c r="G43">
        <v>0.79082719858020234</v>
      </c>
      <c r="H43">
        <v>0</v>
      </c>
      <c r="I43">
        <v>0</v>
      </c>
      <c r="J43">
        <v>0.69586139096860711</v>
      </c>
      <c r="K43">
        <v>0</v>
      </c>
      <c r="L43">
        <v>0</v>
      </c>
      <c r="M43">
        <v>0.50870611523987708</v>
      </c>
      <c r="N43">
        <v>0</v>
      </c>
      <c r="O43">
        <v>0</v>
      </c>
      <c r="P43">
        <v>0.62540765801421083</v>
      </c>
      <c r="Q43">
        <v>1.090174751428336</v>
      </c>
      <c r="R43">
        <v>-1.0833644807999521</v>
      </c>
      <c r="S43">
        <v>0.16981206550449049</v>
      </c>
      <c r="T43">
        <v>0.133367395438899</v>
      </c>
      <c r="U43">
        <v>4.4286477380750293</v>
      </c>
      <c r="V43">
        <v>0.20127646963296911</v>
      </c>
      <c r="W43">
        <v>3.7446354662196581</v>
      </c>
      <c r="X43">
        <v>0.27746456576662842</v>
      </c>
      <c r="Z43" t="s">
        <v>392</v>
      </c>
      <c r="AA43">
        <v>161</v>
      </c>
      <c r="AB43" t="s">
        <v>4490</v>
      </c>
      <c r="AC43" t="str">
        <f>HYPERLINK("plots/3FT6Y578R04_015_S31P_20251219032831_M5358ACSA301811_RBGEUFRF04/dpll_52046/txpa_53220.png","plot")</f>
        <v>plot</v>
      </c>
    </row>
    <row r="44" spans="1:29" x14ac:dyDescent="0.35">
      <c r="A44" t="s">
        <v>50</v>
      </c>
      <c r="B44">
        <v>52046</v>
      </c>
      <c r="C44" t="s">
        <v>51</v>
      </c>
      <c r="D44">
        <v>53221</v>
      </c>
      <c r="E44" t="s">
        <v>96</v>
      </c>
      <c r="F44">
        <v>11782</v>
      </c>
      <c r="G44">
        <v>0.78241191102546892</v>
      </c>
      <c r="H44">
        <v>0</v>
      </c>
      <c r="I44">
        <v>0</v>
      </c>
      <c r="J44">
        <v>0.68472770770025415</v>
      </c>
      <c r="K44">
        <v>0</v>
      </c>
      <c r="L44">
        <v>0</v>
      </c>
      <c r="M44">
        <v>0.49806926308246519</v>
      </c>
      <c r="N44">
        <v>0</v>
      </c>
      <c r="O44">
        <v>0</v>
      </c>
      <c r="P44">
        <v>0.61216839851452631</v>
      </c>
      <c r="Q44">
        <v>1.0584532125552579</v>
      </c>
      <c r="R44">
        <v>-0.92781111694986862</v>
      </c>
      <c r="S44">
        <v>0.169563504559127</v>
      </c>
      <c r="T44">
        <v>0.1328367241673179</v>
      </c>
      <c r="U44">
        <v>4.4286477380750293</v>
      </c>
      <c r="V44">
        <v>0.20127646963296911</v>
      </c>
      <c r="W44">
        <v>3.759705308691224</v>
      </c>
      <c r="X44">
        <v>0.27228844920775008</v>
      </c>
      <c r="Z44" t="s">
        <v>392</v>
      </c>
      <c r="AA44">
        <v>161</v>
      </c>
      <c r="AB44" t="s">
        <v>4491</v>
      </c>
      <c r="AC44" t="str">
        <f>HYPERLINK("plots/3FT6Y578R04_015_S31P_20251219032831_M5358ACSA301811_RBGEUFRF04/dpll_52046/txpa_53221.png","plot")</f>
        <v>plot</v>
      </c>
    </row>
    <row r="45" spans="1:29" x14ac:dyDescent="0.35">
      <c r="A45" t="s">
        <v>50</v>
      </c>
      <c r="B45">
        <v>52046</v>
      </c>
      <c r="C45" t="s">
        <v>51</v>
      </c>
      <c r="D45">
        <v>53222</v>
      </c>
      <c r="E45" t="s">
        <v>97</v>
      </c>
      <c r="F45">
        <v>11781</v>
      </c>
      <c r="G45">
        <v>0.79553091087017713</v>
      </c>
      <c r="H45">
        <v>0</v>
      </c>
      <c r="I45">
        <v>0</v>
      </c>
      <c r="J45">
        <v>0.6960049371093876</v>
      </c>
      <c r="K45">
        <v>0</v>
      </c>
      <c r="L45">
        <v>0</v>
      </c>
      <c r="M45">
        <v>0.50885644031411259</v>
      </c>
      <c r="N45">
        <v>0</v>
      </c>
      <c r="O45">
        <v>0</v>
      </c>
      <c r="P45">
        <v>0.63286943014993369</v>
      </c>
      <c r="Q45">
        <v>1.088161851380798</v>
      </c>
      <c r="R45">
        <v>-1.044747100711418</v>
      </c>
      <c r="S45">
        <v>0.166815597528361</v>
      </c>
      <c r="T45">
        <v>0.13160955702001109</v>
      </c>
      <c r="U45">
        <v>4.4286547017231142</v>
      </c>
      <c r="V45">
        <v>0.20128359324518649</v>
      </c>
      <c r="W45">
        <v>3.774345998641881</v>
      </c>
      <c r="X45">
        <v>0.2753244713504352</v>
      </c>
      <c r="Z45" t="s">
        <v>392</v>
      </c>
      <c r="AA45">
        <v>161</v>
      </c>
      <c r="AB45" t="s">
        <v>4492</v>
      </c>
      <c r="AC45" t="str">
        <f>HYPERLINK("plots/3FT6Y578R04_015_S31P_20251219032831_M5358ACSA301811_RBGEUFRF04/dpll_52046/txpa_53222.png","plot")</f>
        <v>plot</v>
      </c>
    </row>
    <row r="46" spans="1:29" x14ac:dyDescent="0.35">
      <c r="A46" t="s">
        <v>50</v>
      </c>
      <c r="B46">
        <v>52046</v>
      </c>
      <c r="C46" t="s">
        <v>51</v>
      </c>
      <c r="D46">
        <v>53223</v>
      </c>
      <c r="E46" t="s">
        <v>98</v>
      </c>
      <c r="F46">
        <v>11781</v>
      </c>
      <c r="G46">
        <v>0.79807027278412468</v>
      </c>
      <c r="H46">
        <v>0</v>
      </c>
      <c r="I46">
        <v>0</v>
      </c>
      <c r="J46">
        <v>0.69432864065550148</v>
      </c>
      <c r="K46">
        <v>0</v>
      </c>
      <c r="L46">
        <v>0</v>
      </c>
      <c r="M46">
        <v>0.50623938519856571</v>
      </c>
      <c r="N46">
        <v>0</v>
      </c>
      <c r="O46">
        <v>0</v>
      </c>
      <c r="P46">
        <v>0.63691616030172715</v>
      </c>
      <c r="Q46">
        <v>1.089390582910295</v>
      </c>
      <c r="R46">
        <v>-1.0678273807341661</v>
      </c>
      <c r="S46">
        <v>0.16553661032193559</v>
      </c>
      <c r="T46">
        <v>0.13047618574195519</v>
      </c>
      <c r="U46">
        <v>4.4286210779220783</v>
      </c>
      <c r="V46">
        <v>0.20126420786155011</v>
      </c>
      <c r="W46">
        <v>3.7566707168321871</v>
      </c>
      <c r="X46">
        <v>0.27473186284258538</v>
      </c>
      <c r="Z46" t="s">
        <v>392</v>
      </c>
      <c r="AA46">
        <v>161</v>
      </c>
      <c r="AB46" t="s">
        <v>4493</v>
      </c>
      <c r="AC46" t="str">
        <f>HYPERLINK("plots/3FT6Y578R04_015_S31P_20251219032831_M5358ACSA301811_RBGEUFRF04/dpll_52046/txpa_53223.png","plot")</f>
        <v>plot</v>
      </c>
    </row>
    <row r="47" spans="1:29" x14ac:dyDescent="0.35">
      <c r="A47" t="s">
        <v>50</v>
      </c>
      <c r="B47">
        <v>52046</v>
      </c>
      <c r="C47" t="s">
        <v>51</v>
      </c>
      <c r="D47">
        <v>53224</v>
      </c>
      <c r="E47" t="s">
        <v>99</v>
      </c>
      <c r="F47">
        <v>11781</v>
      </c>
      <c r="G47">
        <v>0.80210807907651471</v>
      </c>
      <c r="H47">
        <v>0</v>
      </c>
      <c r="I47">
        <v>0</v>
      </c>
      <c r="J47">
        <v>0.70935889766563343</v>
      </c>
      <c r="K47">
        <v>0</v>
      </c>
      <c r="L47">
        <v>0</v>
      </c>
      <c r="M47">
        <v>0.51985235454135725</v>
      </c>
      <c r="N47">
        <v>0</v>
      </c>
      <c r="O47">
        <v>0</v>
      </c>
      <c r="P47">
        <v>0.64337737051981636</v>
      </c>
      <c r="Q47">
        <v>1.10224681549143</v>
      </c>
      <c r="R47">
        <v>-1.12480786542807</v>
      </c>
      <c r="S47">
        <v>0.1651551983001589</v>
      </c>
      <c r="T47">
        <v>0.13078637831924611</v>
      </c>
      <c r="U47">
        <v>4.4286192746795683</v>
      </c>
      <c r="V47">
        <v>0.20126129812424351</v>
      </c>
      <c r="W47">
        <v>3.756623627111451</v>
      </c>
      <c r="X47">
        <v>0.27657073993635339</v>
      </c>
      <c r="Z47" t="s">
        <v>392</v>
      </c>
      <c r="AA47">
        <v>161</v>
      </c>
      <c r="AB47" t="s">
        <v>4494</v>
      </c>
      <c r="AC47" t="str">
        <f>HYPERLINK("plots/3FT6Y578R04_015_S31P_20251219032831_M5358ACSA301811_RBGEUFRF04/dpll_52046/txpa_53224.png","plot")</f>
        <v>plot</v>
      </c>
    </row>
    <row r="48" spans="1:29" x14ac:dyDescent="0.35">
      <c r="A48" t="s">
        <v>50</v>
      </c>
      <c r="B48">
        <v>52046</v>
      </c>
      <c r="C48" t="s">
        <v>51</v>
      </c>
      <c r="D48">
        <v>53225</v>
      </c>
      <c r="E48" t="s">
        <v>100</v>
      </c>
      <c r="F48">
        <v>11782</v>
      </c>
      <c r="G48">
        <v>0.79741319263227595</v>
      </c>
      <c r="H48">
        <v>0</v>
      </c>
      <c r="I48">
        <v>0</v>
      </c>
      <c r="J48">
        <v>0.6985453070081058</v>
      </c>
      <c r="K48">
        <v>0</v>
      </c>
      <c r="L48">
        <v>0</v>
      </c>
      <c r="M48">
        <v>0.51089910829701957</v>
      </c>
      <c r="N48">
        <v>0</v>
      </c>
      <c r="O48">
        <v>0</v>
      </c>
      <c r="P48">
        <v>0.63586779978399921</v>
      </c>
      <c r="Q48">
        <v>1.0854960764062289</v>
      </c>
      <c r="R48">
        <v>-1.0432790459610961</v>
      </c>
      <c r="S48">
        <v>0.1653289697078523</v>
      </c>
      <c r="T48">
        <v>0.13078302892864971</v>
      </c>
      <c r="U48">
        <v>4.4286477380750293</v>
      </c>
      <c r="V48">
        <v>0.20127646963296911</v>
      </c>
      <c r="W48">
        <v>3.764000697504668</v>
      </c>
      <c r="X48">
        <v>0.27399197815910581</v>
      </c>
      <c r="Z48" t="s">
        <v>392</v>
      </c>
      <c r="AA48">
        <v>161</v>
      </c>
      <c r="AB48" t="s">
        <v>4495</v>
      </c>
      <c r="AC48" t="str">
        <f>HYPERLINK("plots/3FT6Y578R04_015_S31P_20251219032831_M5358ACSA301811_RBGEUFRF04/dpll_52046/txpa_53225.png","plot")</f>
        <v>plot</v>
      </c>
    </row>
    <row r="49" spans="1:29" x14ac:dyDescent="0.35">
      <c r="A49" t="s">
        <v>50</v>
      </c>
      <c r="B49">
        <v>52046</v>
      </c>
      <c r="C49" t="s">
        <v>51</v>
      </c>
      <c r="D49">
        <v>53226</v>
      </c>
      <c r="E49" t="s">
        <v>101</v>
      </c>
      <c r="F49">
        <v>11781</v>
      </c>
      <c r="G49">
        <v>0.79142805676806405</v>
      </c>
      <c r="H49">
        <v>0</v>
      </c>
      <c r="I49">
        <v>0</v>
      </c>
      <c r="J49">
        <v>0.69354599999211619</v>
      </c>
      <c r="K49">
        <v>0</v>
      </c>
      <c r="L49">
        <v>0</v>
      </c>
      <c r="M49">
        <v>0.50665483730939598</v>
      </c>
      <c r="N49">
        <v>0</v>
      </c>
      <c r="O49">
        <v>0</v>
      </c>
      <c r="P49">
        <v>0.62635836903967401</v>
      </c>
      <c r="Q49">
        <v>1.0792197415342131</v>
      </c>
      <c r="R49">
        <v>-1.049675871025435</v>
      </c>
      <c r="S49">
        <v>0.16775954483650921</v>
      </c>
      <c r="T49">
        <v>0.1315888581704156</v>
      </c>
      <c r="U49">
        <v>4.4286701896273666</v>
      </c>
      <c r="V49">
        <v>0.20127025814248481</v>
      </c>
      <c r="W49">
        <v>3.7298324263644851</v>
      </c>
      <c r="X49">
        <v>0.2744593575038165</v>
      </c>
      <c r="Z49" t="s">
        <v>392</v>
      </c>
      <c r="AA49">
        <v>161</v>
      </c>
      <c r="AB49" t="s">
        <v>4496</v>
      </c>
      <c r="AC49" t="str">
        <f>HYPERLINK("plots/3FT6Y578R04_015_S31P_20251219032831_M5358ACSA301811_RBGEUFRF04/dpll_52046/txpa_53226.png","plot")</f>
        <v>plot</v>
      </c>
    </row>
    <row r="50" spans="1:29" x14ac:dyDescent="0.35">
      <c r="A50" t="s">
        <v>50</v>
      </c>
      <c r="B50">
        <v>52046</v>
      </c>
      <c r="C50" t="s">
        <v>51</v>
      </c>
      <c r="D50">
        <v>53227</v>
      </c>
      <c r="E50" t="s">
        <v>102</v>
      </c>
      <c r="F50">
        <v>11782</v>
      </c>
      <c r="G50">
        <v>0.80064715925800634</v>
      </c>
      <c r="H50">
        <v>0</v>
      </c>
      <c r="I50">
        <v>0</v>
      </c>
      <c r="J50">
        <v>0.7047835437143809</v>
      </c>
      <c r="K50">
        <v>0</v>
      </c>
      <c r="L50">
        <v>0</v>
      </c>
      <c r="M50">
        <v>0.51400927798634632</v>
      </c>
      <c r="N50">
        <v>0</v>
      </c>
      <c r="O50">
        <v>0</v>
      </c>
      <c r="P50">
        <v>0.64103587362791536</v>
      </c>
      <c r="Q50">
        <v>1.1811998738368381</v>
      </c>
      <c r="R50">
        <v>0.88358319570555288</v>
      </c>
      <c r="S50">
        <v>0.17790261194988119</v>
      </c>
      <c r="T50">
        <v>0.1379297193966407</v>
      </c>
      <c r="U50">
        <v>4.4286477380750293</v>
      </c>
      <c r="V50">
        <v>0.20127646963296911</v>
      </c>
      <c r="W50">
        <v>6.1147013451875738</v>
      </c>
      <c r="X50">
        <v>0.29694446272327768</v>
      </c>
      <c r="Z50" t="s">
        <v>392</v>
      </c>
      <c r="AA50">
        <v>161</v>
      </c>
      <c r="AB50" t="s">
        <v>4497</v>
      </c>
      <c r="AC50" t="str">
        <f>HYPERLINK("plots/3FT6Y578R04_015_S31P_20251219032831_M5358ACSA301811_RBGEUFRF04/dpll_52046/txpa_53227.png","plot")</f>
        <v>plot</v>
      </c>
    </row>
    <row r="51" spans="1:29" x14ac:dyDescent="0.35">
      <c r="A51" t="s">
        <v>50</v>
      </c>
      <c r="B51">
        <v>52046</v>
      </c>
      <c r="C51" t="s">
        <v>51</v>
      </c>
      <c r="D51">
        <v>53228</v>
      </c>
      <c r="E51" t="s">
        <v>103</v>
      </c>
      <c r="F51">
        <v>11782</v>
      </c>
      <c r="G51">
        <v>0.8165240831263717</v>
      </c>
      <c r="H51">
        <v>0</v>
      </c>
      <c r="I51">
        <v>0</v>
      </c>
      <c r="J51">
        <v>0.71936525500639958</v>
      </c>
      <c r="K51">
        <v>0</v>
      </c>
      <c r="L51">
        <v>0</v>
      </c>
      <c r="M51">
        <v>0.52986892164691179</v>
      </c>
      <c r="N51">
        <v>0</v>
      </c>
      <c r="O51">
        <v>0</v>
      </c>
      <c r="P51">
        <v>0.66671157832536199</v>
      </c>
      <c r="Q51">
        <v>1.2130595396778361</v>
      </c>
      <c r="R51">
        <v>0.77925091544149527</v>
      </c>
      <c r="S51">
        <v>0.1726226611401028</v>
      </c>
      <c r="T51">
        <v>0.13513994186553591</v>
      </c>
      <c r="U51">
        <v>4.4286477380750293</v>
      </c>
      <c r="V51">
        <v>0.20127646963296911</v>
      </c>
      <c r="W51">
        <v>6.1514643019860804</v>
      </c>
      <c r="X51">
        <v>0.29902405409291682</v>
      </c>
      <c r="Z51" t="s">
        <v>392</v>
      </c>
      <c r="AA51">
        <v>161</v>
      </c>
      <c r="AB51" t="s">
        <v>4498</v>
      </c>
      <c r="AC51" t="str">
        <f>HYPERLINK("plots/3FT6Y578R04_015_S31P_20251219032831_M5358ACSA301811_RBGEUFRF04/dpll_52046/txpa_53228.png","plot")</f>
        <v>plot</v>
      </c>
    </row>
    <row r="52" spans="1:29" x14ac:dyDescent="0.35">
      <c r="A52" t="s">
        <v>50</v>
      </c>
      <c r="B52">
        <v>52046</v>
      </c>
      <c r="C52" t="s">
        <v>51</v>
      </c>
      <c r="D52">
        <v>53229</v>
      </c>
      <c r="E52" t="s">
        <v>104</v>
      </c>
      <c r="F52">
        <v>11782</v>
      </c>
      <c r="G52">
        <v>0.80977456343685772</v>
      </c>
      <c r="H52">
        <v>0</v>
      </c>
      <c r="I52">
        <v>0</v>
      </c>
      <c r="J52">
        <v>0.70976235753036432</v>
      </c>
      <c r="K52">
        <v>0</v>
      </c>
      <c r="L52">
        <v>0</v>
      </c>
      <c r="M52">
        <v>0.52020620038628096</v>
      </c>
      <c r="N52">
        <v>0</v>
      </c>
      <c r="O52">
        <v>0</v>
      </c>
      <c r="P52">
        <v>0.65573484358935352</v>
      </c>
      <c r="Q52">
        <v>1.1817004080098801</v>
      </c>
      <c r="R52">
        <v>0.93324224229518116</v>
      </c>
      <c r="S52">
        <v>0.1723313795582222</v>
      </c>
      <c r="T52">
        <v>0.13449388186280789</v>
      </c>
      <c r="U52">
        <v>4.4286477380750293</v>
      </c>
      <c r="V52">
        <v>0.20127646963296911</v>
      </c>
      <c r="W52">
        <v>6.1665770813104741</v>
      </c>
      <c r="X52">
        <v>0.29372185423877423</v>
      </c>
      <c r="Z52" t="s">
        <v>392</v>
      </c>
      <c r="AA52">
        <v>161</v>
      </c>
      <c r="AB52" t="s">
        <v>4499</v>
      </c>
      <c r="AC52" t="str">
        <f>HYPERLINK("plots/3FT6Y578R04_015_S31P_20251219032831_M5358ACSA301811_RBGEUFRF04/dpll_52046/txpa_53229.png","plot")</f>
        <v>plot</v>
      </c>
    </row>
    <row r="53" spans="1:29" x14ac:dyDescent="0.35">
      <c r="A53" t="s">
        <v>50</v>
      </c>
      <c r="B53">
        <v>52046</v>
      </c>
      <c r="C53" t="s">
        <v>51</v>
      </c>
      <c r="D53">
        <v>53230</v>
      </c>
      <c r="E53" t="s">
        <v>105</v>
      </c>
      <c r="F53">
        <v>11781</v>
      </c>
      <c r="G53">
        <v>0.82140009693548743</v>
      </c>
      <c r="H53">
        <v>0</v>
      </c>
      <c r="I53">
        <v>0</v>
      </c>
      <c r="J53">
        <v>0.72047706469441697</v>
      </c>
      <c r="K53">
        <v>0</v>
      </c>
      <c r="L53">
        <v>0</v>
      </c>
      <c r="M53">
        <v>0.53086409095875198</v>
      </c>
      <c r="N53">
        <v>0</v>
      </c>
      <c r="O53">
        <v>0</v>
      </c>
      <c r="P53">
        <v>0.67469811924562817</v>
      </c>
      <c r="Q53">
        <v>1.2113344189213791</v>
      </c>
      <c r="R53">
        <v>0.81399149994781705</v>
      </c>
      <c r="S53">
        <v>0.16929437902045219</v>
      </c>
      <c r="T53">
        <v>0.1332135128075338</v>
      </c>
      <c r="U53">
        <v>4.4286547017231142</v>
      </c>
      <c r="V53">
        <v>0.20128359324518649</v>
      </c>
      <c r="W53">
        <v>6.1785733696630167</v>
      </c>
      <c r="X53">
        <v>0.2968367612467116</v>
      </c>
      <c r="Z53" t="s">
        <v>392</v>
      </c>
      <c r="AA53">
        <v>161</v>
      </c>
      <c r="AB53" t="s">
        <v>4500</v>
      </c>
      <c r="AC53" t="str">
        <f>HYPERLINK("plots/3FT6Y578R04_015_S31P_20251219032831_M5358ACSA301811_RBGEUFRF04/dpll_52046/txpa_53230.png","plot")</f>
        <v>plot</v>
      </c>
    </row>
    <row r="54" spans="1:29" x14ac:dyDescent="0.35">
      <c r="A54" t="s">
        <v>50</v>
      </c>
      <c r="B54">
        <v>52046</v>
      </c>
      <c r="C54" t="s">
        <v>51</v>
      </c>
      <c r="D54">
        <v>53231</v>
      </c>
      <c r="E54" t="s">
        <v>106</v>
      </c>
      <c r="F54">
        <v>11781</v>
      </c>
      <c r="G54">
        <v>0.82390480153413592</v>
      </c>
      <c r="H54">
        <v>0</v>
      </c>
      <c r="I54">
        <v>0</v>
      </c>
      <c r="J54">
        <v>0.71972124131215731</v>
      </c>
      <c r="K54">
        <v>0</v>
      </c>
      <c r="L54">
        <v>0</v>
      </c>
      <c r="M54">
        <v>0.52902091651218419</v>
      </c>
      <c r="N54">
        <v>0</v>
      </c>
      <c r="O54">
        <v>0</v>
      </c>
      <c r="P54">
        <v>0.67881912199100392</v>
      </c>
      <c r="Q54">
        <v>1.2123818509682349</v>
      </c>
      <c r="R54">
        <v>0.79031923175064644</v>
      </c>
      <c r="S54">
        <v>0.1678360881698166</v>
      </c>
      <c r="T54">
        <v>0.13201598330324579</v>
      </c>
      <c r="U54">
        <v>4.4286210779220783</v>
      </c>
      <c r="V54">
        <v>0.20126420786155011</v>
      </c>
      <c r="W54">
        <v>6.1594990514387584</v>
      </c>
      <c r="X54">
        <v>0.29616173180019029</v>
      </c>
      <c r="Z54" t="s">
        <v>392</v>
      </c>
      <c r="AA54">
        <v>161</v>
      </c>
      <c r="AB54" t="s">
        <v>4501</v>
      </c>
      <c r="AC54" t="str">
        <f>HYPERLINK("plots/3FT6Y578R04_015_S31P_20251219032831_M5358ACSA301811_RBGEUFRF04/dpll_52046/txpa_53231.png","plot")</f>
        <v>plot</v>
      </c>
    </row>
    <row r="55" spans="1:29" x14ac:dyDescent="0.35">
      <c r="A55" t="s">
        <v>50</v>
      </c>
      <c r="B55">
        <v>52046</v>
      </c>
      <c r="C55" t="s">
        <v>51</v>
      </c>
      <c r="D55">
        <v>53232</v>
      </c>
      <c r="E55" t="s">
        <v>107</v>
      </c>
      <c r="F55">
        <v>11781</v>
      </c>
      <c r="G55">
        <v>0.82667730056528044</v>
      </c>
      <c r="H55">
        <v>0</v>
      </c>
      <c r="I55">
        <v>0</v>
      </c>
      <c r="J55">
        <v>0.73159802064679069</v>
      </c>
      <c r="K55">
        <v>0</v>
      </c>
      <c r="L55">
        <v>0</v>
      </c>
      <c r="M55">
        <v>0.54033241908790808</v>
      </c>
      <c r="N55">
        <v>0</v>
      </c>
      <c r="O55">
        <v>0</v>
      </c>
      <c r="P55">
        <v>0.68339535926989903</v>
      </c>
      <c r="Q55">
        <v>1.225179191631484</v>
      </c>
      <c r="R55">
        <v>0.7367902801230608</v>
      </c>
      <c r="S55">
        <v>0.1678278668085425</v>
      </c>
      <c r="T55">
        <v>0.13263123576771149</v>
      </c>
      <c r="U55">
        <v>4.4286192746795683</v>
      </c>
      <c r="V55">
        <v>0.20126129812424351</v>
      </c>
      <c r="W55">
        <v>6.1626424631185817</v>
      </c>
      <c r="X55">
        <v>0.29827981774018952</v>
      </c>
      <c r="Z55" t="s">
        <v>392</v>
      </c>
      <c r="AA55">
        <v>161</v>
      </c>
      <c r="AB55" t="s">
        <v>4502</v>
      </c>
      <c r="AC55" t="str">
        <f>HYPERLINK("plots/3FT6Y578R04_015_S31P_20251219032831_M5358ACSA301811_RBGEUFRF04/dpll_52046/txpa_53232.png","plot")</f>
        <v>plot</v>
      </c>
    </row>
    <row r="56" spans="1:29" x14ac:dyDescent="0.35">
      <c r="A56" t="s">
        <v>50</v>
      </c>
      <c r="B56">
        <v>52046</v>
      </c>
      <c r="C56" t="s">
        <v>51</v>
      </c>
      <c r="D56">
        <v>53233</v>
      </c>
      <c r="E56" t="s">
        <v>108</v>
      </c>
      <c r="F56">
        <v>11782</v>
      </c>
      <c r="G56">
        <v>0.82279619090948342</v>
      </c>
      <c r="H56">
        <v>0</v>
      </c>
      <c r="I56">
        <v>0</v>
      </c>
      <c r="J56">
        <v>0.72111818688305196</v>
      </c>
      <c r="K56">
        <v>0</v>
      </c>
      <c r="L56">
        <v>0</v>
      </c>
      <c r="M56">
        <v>0.5314759945394395</v>
      </c>
      <c r="N56">
        <v>0</v>
      </c>
      <c r="O56">
        <v>0</v>
      </c>
      <c r="P56">
        <v>0.67699357177515507</v>
      </c>
      <c r="Q56">
        <v>1.209267461669651</v>
      </c>
      <c r="R56">
        <v>0.81433649002861586</v>
      </c>
      <c r="S56">
        <v>0.16811646622083579</v>
      </c>
      <c r="T56">
        <v>0.13273727510459671</v>
      </c>
      <c r="U56">
        <v>4.4286477380750293</v>
      </c>
      <c r="V56">
        <v>0.20127646963296911</v>
      </c>
      <c r="W56">
        <v>6.1697560988796472</v>
      </c>
      <c r="X56">
        <v>0.29581698142993151</v>
      </c>
      <c r="Z56" t="s">
        <v>392</v>
      </c>
      <c r="AA56">
        <v>161</v>
      </c>
      <c r="AB56" t="s">
        <v>4503</v>
      </c>
      <c r="AC56" t="str">
        <f>HYPERLINK("plots/3FT6Y578R04_015_S31P_20251219032831_M5358ACSA301811_RBGEUFRF04/dpll_52046/txpa_53233.png","plot")</f>
        <v>plot</v>
      </c>
    </row>
    <row r="57" spans="1:29" x14ac:dyDescent="0.35">
      <c r="A57" t="s">
        <v>50</v>
      </c>
      <c r="B57">
        <v>52046</v>
      </c>
      <c r="C57" t="s">
        <v>51</v>
      </c>
      <c r="D57">
        <v>53234</v>
      </c>
      <c r="E57" t="s">
        <v>109</v>
      </c>
      <c r="F57">
        <v>11781</v>
      </c>
      <c r="G57">
        <v>0.81775916166442775</v>
      </c>
      <c r="H57">
        <v>0</v>
      </c>
      <c r="I57">
        <v>0</v>
      </c>
      <c r="J57">
        <v>0.71731268701724871</v>
      </c>
      <c r="K57">
        <v>0</v>
      </c>
      <c r="L57">
        <v>0</v>
      </c>
      <c r="M57">
        <v>0.52800104892636035</v>
      </c>
      <c r="N57">
        <v>0</v>
      </c>
      <c r="O57">
        <v>0</v>
      </c>
      <c r="P57">
        <v>0.66873004648610768</v>
      </c>
      <c r="Q57">
        <v>1.202404973551694</v>
      </c>
      <c r="R57">
        <v>0.81232601611842092</v>
      </c>
      <c r="S57">
        <v>0.17032466357765511</v>
      </c>
      <c r="T57">
        <v>0.1333591134526852</v>
      </c>
      <c r="U57">
        <v>4.4286701896273666</v>
      </c>
      <c r="V57">
        <v>0.20127025814248481</v>
      </c>
      <c r="W57">
        <v>6.1373810783464897</v>
      </c>
      <c r="X57">
        <v>0.29594087203619318</v>
      </c>
      <c r="Z57" t="s">
        <v>392</v>
      </c>
      <c r="AA57">
        <v>161</v>
      </c>
      <c r="AB57" t="s">
        <v>4504</v>
      </c>
      <c r="AC57" t="str">
        <f>HYPERLINK("plots/3FT6Y578R04_015_S31P_20251219032831_M5358ACSA301811_RBGEUFRF04/dpll_52046/txpa_53234.png","plot")</f>
        <v>plot</v>
      </c>
    </row>
    <row r="58" spans="1:29" x14ac:dyDescent="0.35">
      <c r="A58" t="s">
        <v>50</v>
      </c>
      <c r="B58">
        <v>52046</v>
      </c>
      <c r="C58" t="s">
        <v>51</v>
      </c>
      <c r="D58">
        <v>53235</v>
      </c>
      <c r="E58" t="s">
        <v>110</v>
      </c>
      <c r="F58">
        <v>11782</v>
      </c>
      <c r="G58">
        <v>0.81009965893579272</v>
      </c>
      <c r="H58">
        <v>0</v>
      </c>
      <c r="I58">
        <v>0</v>
      </c>
      <c r="J58">
        <v>0.7118447616818947</v>
      </c>
      <c r="K58">
        <v>0</v>
      </c>
      <c r="L58">
        <v>0</v>
      </c>
      <c r="M58">
        <v>0.52020522143991021</v>
      </c>
      <c r="N58">
        <v>0</v>
      </c>
      <c r="O58">
        <v>0</v>
      </c>
      <c r="P58">
        <v>0.65626145740788766</v>
      </c>
      <c r="Q58">
        <v>1.244022927547914</v>
      </c>
      <c r="R58">
        <v>1.666299646858999</v>
      </c>
      <c r="S58">
        <v>0.18120852529152179</v>
      </c>
      <c r="T58">
        <v>0.14018309699153189</v>
      </c>
      <c r="U58">
        <v>4.4286477380750293</v>
      </c>
      <c r="V58">
        <v>0.20127646963296911</v>
      </c>
      <c r="W58">
        <v>7.1756389710575474</v>
      </c>
      <c r="X58">
        <v>0.30908856736003237</v>
      </c>
      <c r="Z58" t="s">
        <v>392</v>
      </c>
      <c r="AA58">
        <v>161</v>
      </c>
      <c r="AB58" t="s">
        <v>4505</v>
      </c>
      <c r="AC58" t="str">
        <f>HYPERLINK("plots/3FT6Y578R04_015_S31P_20251219032831_M5358ACSA301811_RBGEUFRF04/dpll_52046/txpa_53235.png","plot")</f>
        <v>plot</v>
      </c>
    </row>
    <row r="59" spans="1:29" x14ac:dyDescent="0.35">
      <c r="A59" t="s">
        <v>50</v>
      </c>
      <c r="B59">
        <v>52046</v>
      </c>
      <c r="C59" t="s">
        <v>51</v>
      </c>
      <c r="D59">
        <v>53236</v>
      </c>
      <c r="E59" t="s">
        <v>111</v>
      </c>
      <c r="F59">
        <v>11782</v>
      </c>
      <c r="G59">
        <v>0.82532063324196869</v>
      </c>
      <c r="H59">
        <v>0</v>
      </c>
      <c r="I59">
        <v>0</v>
      </c>
      <c r="J59">
        <v>0.72624087599297849</v>
      </c>
      <c r="K59">
        <v>0</v>
      </c>
      <c r="L59">
        <v>0</v>
      </c>
      <c r="M59">
        <v>0.53611599300491164</v>
      </c>
      <c r="N59">
        <v>0</v>
      </c>
      <c r="O59">
        <v>0</v>
      </c>
      <c r="P59">
        <v>0.68115414765492421</v>
      </c>
      <c r="Q59">
        <v>1.276044701275606</v>
      </c>
      <c r="R59">
        <v>1.5609618656251141</v>
      </c>
      <c r="S59">
        <v>0.17571472082970219</v>
      </c>
      <c r="T59">
        <v>0.1372737991644318</v>
      </c>
      <c r="U59">
        <v>4.4286477380750293</v>
      </c>
      <c r="V59">
        <v>0.20127646963296911</v>
      </c>
      <c r="W59">
        <v>7.2121143456119512</v>
      </c>
      <c r="X59">
        <v>0.31119756640242691</v>
      </c>
      <c r="Z59" t="s">
        <v>392</v>
      </c>
      <c r="AA59">
        <v>161</v>
      </c>
      <c r="AB59" t="s">
        <v>4506</v>
      </c>
      <c r="AC59" t="str">
        <f>HYPERLINK("plots/3FT6Y578R04_015_S31P_20251219032831_M5358ACSA301811_RBGEUFRF04/dpll_52046/txpa_53236.png","plot")</f>
        <v>plot</v>
      </c>
    </row>
    <row r="60" spans="1:29" x14ac:dyDescent="0.35">
      <c r="A60" t="s">
        <v>50</v>
      </c>
      <c r="B60">
        <v>52046</v>
      </c>
      <c r="C60" t="s">
        <v>51</v>
      </c>
      <c r="D60">
        <v>53237</v>
      </c>
      <c r="E60" t="s">
        <v>112</v>
      </c>
      <c r="F60">
        <v>11782</v>
      </c>
      <c r="G60">
        <v>0.81915830499218767</v>
      </c>
      <c r="H60">
        <v>0</v>
      </c>
      <c r="I60">
        <v>0</v>
      </c>
      <c r="J60">
        <v>0.71705714632813855</v>
      </c>
      <c r="K60">
        <v>0</v>
      </c>
      <c r="L60">
        <v>0</v>
      </c>
      <c r="M60">
        <v>0.52671824750991203</v>
      </c>
      <c r="N60">
        <v>0</v>
      </c>
      <c r="O60">
        <v>0</v>
      </c>
      <c r="P60">
        <v>0.67102032863767391</v>
      </c>
      <c r="Q60">
        <v>1.2451218510706561</v>
      </c>
      <c r="R60">
        <v>1.7132206998523849</v>
      </c>
      <c r="S60">
        <v>0.175470099540391</v>
      </c>
      <c r="T60">
        <v>0.13663796664115169</v>
      </c>
      <c r="U60">
        <v>4.4286477380750293</v>
      </c>
      <c r="V60">
        <v>0.20127646963296911</v>
      </c>
      <c r="W60">
        <v>7.2274267692242393</v>
      </c>
      <c r="X60">
        <v>0.30594053544846778</v>
      </c>
      <c r="Z60" t="s">
        <v>392</v>
      </c>
      <c r="AA60">
        <v>161</v>
      </c>
      <c r="AB60" t="s">
        <v>4507</v>
      </c>
      <c r="AC60" t="str">
        <f>HYPERLINK("plots/3FT6Y578R04_015_S31P_20251219032831_M5358ACSA301811_RBGEUFRF04/dpll_52046/txpa_53237.png","plot")</f>
        <v>plot</v>
      </c>
    </row>
    <row r="61" spans="1:29" x14ac:dyDescent="0.35">
      <c r="A61" t="s">
        <v>50</v>
      </c>
      <c r="B61">
        <v>52046</v>
      </c>
      <c r="C61" t="s">
        <v>51</v>
      </c>
      <c r="D61">
        <v>53238</v>
      </c>
      <c r="E61" t="s">
        <v>113</v>
      </c>
      <c r="F61">
        <v>11781</v>
      </c>
      <c r="G61">
        <v>0.83019644902396883</v>
      </c>
      <c r="H61">
        <v>0</v>
      </c>
      <c r="I61">
        <v>0</v>
      </c>
      <c r="J61">
        <v>0.72789288411655595</v>
      </c>
      <c r="K61">
        <v>0</v>
      </c>
      <c r="L61">
        <v>0</v>
      </c>
      <c r="M61">
        <v>0.53754960910350336</v>
      </c>
      <c r="N61">
        <v>0</v>
      </c>
      <c r="O61">
        <v>0</v>
      </c>
      <c r="P61">
        <v>0.68922614397200732</v>
      </c>
      <c r="Q61">
        <v>1.2746797224333699</v>
      </c>
      <c r="R61">
        <v>1.5937657886778871</v>
      </c>
      <c r="S61">
        <v>0.17227901809963669</v>
      </c>
      <c r="T61">
        <v>0.13534268058340679</v>
      </c>
      <c r="U61">
        <v>4.4286547017231142</v>
      </c>
      <c r="V61">
        <v>0.20128359324518649</v>
      </c>
      <c r="W61">
        <v>7.2388821346235463</v>
      </c>
      <c r="X61">
        <v>0.30904988219331481</v>
      </c>
      <c r="Z61" t="s">
        <v>392</v>
      </c>
      <c r="AA61">
        <v>161</v>
      </c>
      <c r="AB61" t="s">
        <v>4508</v>
      </c>
      <c r="AC61" t="str">
        <f>HYPERLINK("plots/3FT6Y578R04_015_S31P_20251219032831_M5358ACSA301811_RBGEUFRF04/dpll_52046/txpa_53238.png","plot")</f>
        <v>plot</v>
      </c>
    </row>
    <row r="62" spans="1:29" x14ac:dyDescent="0.35">
      <c r="A62" t="s">
        <v>50</v>
      </c>
      <c r="B62">
        <v>52046</v>
      </c>
      <c r="C62" t="s">
        <v>51</v>
      </c>
      <c r="D62">
        <v>53239</v>
      </c>
      <c r="E62" t="s">
        <v>114</v>
      </c>
      <c r="F62">
        <v>11781</v>
      </c>
      <c r="G62">
        <v>0.83235451931949356</v>
      </c>
      <c r="H62">
        <v>0</v>
      </c>
      <c r="I62">
        <v>0</v>
      </c>
      <c r="J62">
        <v>0.7267225282640789</v>
      </c>
      <c r="K62">
        <v>0</v>
      </c>
      <c r="L62">
        <v>0</v>
      </c>
      <c r="M62">
        <v>0.53539252793669811</v>
      </c>
      <c r="N62">
        <v>0</v>
      </c>
      <c r="O62">
        <v>0</v>
      </c>
      <c r="P62">
        <v>0.69281404583158512</v>
      </c>
      <c r="Q62">
        <v>1.275634719312295</v>
      </c>
      <c r="R62">
        <v>1.5697262626547199</v>
      </c>
      <c r="S62">
        <v>0.17094908543953971</v>
      </c>
      <c r="T62">
        <v>0.13428434770496511</v>
      </c>
      <c r="U62">
        <v>4.4286210779220783</v>
      </c>
      <c r="V62">
        <v>0.20126420786155011</v>
      </c>
      <c r="W62">
        <v>7.2190290683303626</v>
      </c>
      <c r="X62">
        <v>0.30844983158496209</v>
      </c>
      <c r="Z62" t="s">
        <v>392</v>
      </c>
      <c r="AA62">
        <v>161</v>
      </c>
      <c r="AB62" t="s">
        <v>4509</v>
      </c>
      <c r="AC62" t="str">
        <f>HYPERLINK("plots/3FT6Y578R04_015_S31P_20251219032831_M5358ACSA301811_RBGEUFRF04/dpll_52046/txpa_53239.png","plot")</f>
        <v>plot</v>
      </c>
    </row>
    <row r="63" spans="1:29" x14ac:dyDescent="0.35">
      <c r="A63" t="s">
        <v>50</v>
      </c>
      <c r="B63">
        <v>52046</v>
      </c>
      <c r="C63" t="s">
        <v>51</v>
      </c>
      <c r="D63">
        <v>53240</v>
      </c>
      <c r="E63" t="s">
        <v>115</v>
      </c>
      <c r="F63">
        <v>11781</v>
      </c>
      <c r="G63">
        <v>0.83511302764196582</v>
      </c>
      <c r="H63">
        <v>0</v>
      </c>
      <c r="I63">
        <v>0</v>
      </c>
      <c r="J63">
        <v>0.73789596061769702</v>
      </c>
      <c r="K63">
        <v>0</v>
      </c>
      <c r="L63">
        <v>0</v>
      </c>
      <c r="M63">
        <v>0.54622194747624586</v>
      </c>
      <c r="N63">
        <v>0</v>
      </c>
      <c r="O63">
        <v>0</v>
      </c>
      <c r="P63">
        <v>0.69741376893733076</v>
      </c>
      <c r="Q63">
        <v>1.288341208981896</v>
      </c>
      <c r="R63">
        <v>1.5172027862708251</v>
      </c>
      <c r="S63">
        <v>0.17078591760173531</v>
      </c>
      <c r="T63">
        <v>0.13476293987775281</v>
      </c>
      <c r="U63">
        <v>4.4286192746795683</v>
      </c>
      <c r="V63">
        <v>0.20126129812424351</v>
      </c>
      <c r="W63">
        <v>7.2227754967320248</v>
      </c>
      <c r="X63">
        <v>0.31048877884086751</v>
      </c>
      <c r="Z63" t="s">
        <v>392</v>
      </c>
      <c r="AA63">
        <v>161</v>
      </c>
      <c r="AB63" t="s">
        <v>4510</v>
      </c>
      <c r="AC63" t="str">
        <f>HYPERLINK("plots/3FT6Y578R04_015_S31P_20251219032831_M5358ACSA301811_RBGEUFRF04/dpll_52046/txpa_53240.png","plot")</f>
        <v>plot</v>
      </c>
    </row>
    <row r="64" spans="1:29" x14ac:dyDescent="0.35">
      <c r="A64" t="s">
        <v>50</v>
      </c>
      <c r="B64">
        <v>52046</v>
      </c>
      <c r="C64" t="s">
        <v>51</v>
      </c>
      <c r="D64">
        <v>53241</v>
      </c>
      <c r="E64" t="s">
        <v>116</v>
      </c>
      <c r="F64">
        <v>11782</v>
      </c>
      <c r="G64">
        <v>0.83151316186680235</v>
      </c>
      <c r="H64">
        <v>0</v>
      </c>
      <c r="I64">
        <v>0</v>
      </c>
      <c r="J64">
        <v>0.72790472638673265</v>
      </c>
      <c r="K64">
        <v>0</v>
      </c>
      <c r="L64">
        <v>0</v>
      </c>
      <c r="M64">
        <v>0.53759960991974665</v>
      </c>
      <c r="N64">
        <v>0</v>
      </c>
      <c r="O64">
        <v>0</v>
      </c>
      <c r="P64">
        <v>0.69141413835772703</v>
      </c>
      <c r="Q64">
        <v>1.2727694080040051</v>
      </c>
      <c r="R64">
        <v>1.593094389260777</v>
      </c>
      <c r="S64">
        <v>0.17113671346424031</v>
      </c>
      <c r="T64">
        <v>0.13487904050113991</v>
      </c>
      <c r="U64">
        <v>4.4286477380750293</v>
      </c>
      <c r="V64">
        <v>0.20127646963296911</v>
      </c>
      <c r="W64">
        <v>7.2297417491088094</v>
      </c>
      <c r="X64">
        <v>0.30808716548124432</v>
      </c>
      <c r="Z64" t="s">
        <v>392</v>
      </c>
      <c r="AA64">
        <v>161</v>
      </c>
      <c r="AB64" t="s">
        <v>4511</v>
      </c>
      <c r="AC64" t="str">
        <f>HYPERLINK("plots/3FT6Y578R04_015_S31P_20251219032831_M5358ACSA301811_RBGEUFRF04/dpll_52046/txpa_53241.png","plot")</f>
        <v>plot</v>
      </c>
    </row>
    <row r="65" spans="1:29" x14ac:dyDescent="0.35">
      <c r="A65" t="s">
        <v>50</v>
      </c>
      <c r="B65">
        <v>52046</v>
      </c>
      <c r="C65" t="s">
        <v>51</v>
      </c>
      <c r="D65">
        <v>53242</v>
      </c>
      <c r="E65" t="s">
        <v>117</v>
      </c>
      <c r="F65">
        <v>11781</v>
      </c>
      <c r="G65">
        <v>0.82657399215027649</v>
      </c>
      <c r="H65">
        <v>0</v>
      </c>
      <c r="I65">
        <v>0</v>
      </c>
      <c r="J65">
        <v>0.72402224739355281</v>
      </c>
      <c r="K65">
        <v>0</v>
      </c>
      <c r="L65">
        <v>0</v>
      </c>
      <c r="M65">
        <v>0.53411505572727047</v>
      </c>
      <c r="N65">
        <v>0</v>
      </c>
      <c r="O65">
        <v>0</v>
      </c>
      <c r="P65">
        <v>0.68322456449924529</v>
      </c>
      <c r="Q65">
        <v>1.265085278932885</v>
      </c>
      <c r="R65">
        <v>1.5955318206817941</v>
      </c>
      <c r="S65">
        <v>0.17337041351733859</v>
      </c>
      <c r="T65">
        <v>0.13546084351065851</v>
      </c>
      <c r="U65">
        <v>4.4286701896273666</v>
      </c>
      <c r="V65">
        <v>0.20127025814248481</v>
      </c>
      <c r="W65">
        <v>7.198177282828282</v>
      </c>
      <c r="X65">
        <v>0.3080474864696528</v>
      </c>
      <c r="Z65" t="s">
        <v>392</v>
      </c>
      <c r="AA65">
        <v>161</v>
      </c>
      <c r="AB65" t="s">
        <v>4512</v>
      </c>
      <c r="AC65" t="str">
        <f>HYPERLINK("plots/3FT6Y578R04_015_S31P_20251219032831_M5358ACSA301811_RBGEUFRF04/dpll_52046/txpa_53242.png","plot")</f>
        <v>plot</v>
      </c>
    </row>
    <row r="66" spans="1:29" x14ac:dyDescent="0.35">
      <c r="A66" t="s">
        <v>50</v>
      </c>
      <c r="B66">
        <v>52046</v>
      </c>
      <c r="C66" t="s">
        <v>51</v>
      </c>
      <c r="D66">
        <v>53243</v>
      </c>
      <c r="E66" t="s">
        <v>118</v>
      </c>
      <c r="F66">
        <v>11782</v>
      </c>
      <c r="G66">
        <v>0.81813390213910486</v>
      </c>
      <c r="H66">
        <v>0</v>
      </c>
      <c r="I66">
        <v>0</v>
      </c>
      <c r="J66">
        <v>0.7182852493166676</v>
      </c>
      <c r="K66">
        <v>0</v>
      </c>
      <c r="L66">
        <v>0</v>
      </c>
      <c r="M66">
        <v>0.52584635421550663</v>
      </c>
      <c r="N66">
        <v>0</v>
      </c>
      <c r="O66">
        <v>0</v>
      </c>
      <c r="P66">
        <v>0.66934308182935842</v>
      </c>
      <c r="Q66">
        <v>1.3110222731236489</v>
      </c>
      <c r="R66">
        <v>2.3995934099903651</v>
      </c>
      <c r="S66">
        <v>0.185459490579024</v>
      </c>
      <c r="T66">
        <v>0.14319309071619521</v>
      </c>
      <c r="U66">
        <v>4.4286477380750293</v>
      </c>
      <c r="V66">
        <v>0.20127646963296911</v>
      </c>
      <c r="W66">
        <v>8.2056492344253957</v>
      </c>
      <c r="X66">
        <v>0.32253636483536391</v>
      </c>
      <c r="Z66" t="s">
        <v>392</v>
      </c>
      <c r="AA66">
        <v>161</v>
      </c>
      <c r="AB66" t="s">
        <v>4513</v>
      </c>
      <c r="AC66" t="str">
        <f>HYPERLINK("plots/3FT6Y578R04_015_S31P_20251219032831_M5358ACSA301811_RBGEUFRF04/dpll_52046/txpa_53243.png","plot")</f>
        <v>plot</v>
      </c>
    </row>
    <row r="67" spans="1:29" x14ac:dyDescent="0.35">
      <c r="A67" t="s">
        <v>50</v>
      </c>
      <c r="B67">
        <v>52046</v>
      </c>
      <c r="C67" t="s">
        <v>51</v>
      </c>
      <c r="D67">
        <v>53244</v>
      </c>
      <c r="E67" t="s">
        <v>119</v>
      </c>
      <c r="F67">
        <v>11782</v>
      </c>
      <c r="G67">
        <v>0.83238146983034667</v>
      </c>
      <c r="H67">
        <v>0</v>
      </c>
      <c r="I67">
        <v>0</v>
      </c>
      <c r="J67">
        <v>0.73192063147656428</v>
      </c>
      <c r="K67">
        <v>0</v>
      </c>
      <c r="L67">
        <v>0</v>
      </c>
      <c r="M67">
        <v>0.54128327322516834</v>
      </c>
      <c r="N67">
        <v>0</v>
      </c>
      <c r="O67">
        <v>0</v>
      </c>
      <c r="P67">
        <v>0.69285891131692834</v>
      </c>
      <c r="Q67">
        <v>1.342581582227391</v>
      </c>
      <c r="R67">
        <v>2.2960549954747749</v>
      </c>
      <c r="S67">
        <v>0.179912698030011</v>
      </c>
      <c r="T67">
        <v>0.14033225408960701</v>
      </c>
      <c r="U67">
        <v>4.4286477380750293</v>
      </c>
      <c r="V67">
        <v>0.20127646963296911</v>
      </c>
      <c r="W67">
        <v>8.2418758827873031</v>
      </c>
      <c r="X67">
        <v>0.32464692074422608</v>
      </c>
      <c r="Z67" t="s">
        <v>392</v>
      </c>
      <c r="AA67">
        <v>161</v>
      </c>
      <c r="AB67" t="s">
        <v>4514</v>
      </c>
      <c r="AC67" t="str">
        <f>HYPERLINK("plots/3FT6Y578R04_015_S31P_20251219032831_M5358ACSA301811_RBGEUFRF04/dpll_52046/txpa_53244.png","plot")</f>
        <v>plot</v>
      </c>
    </row>
    <row r="68" spans="1:29" x14ac:dyDescent="0.35">
      <c r="A68" t="s">
        <v>50</v>
      </c>
      <c r="B68">
        <v>52046</v>
      </c>
      <c r="C68" t="s">
        <v>51</v>
      </c>
      <c r="D68">
        <v>53245</v>
      </c>
      <c r="E68" t="s">
        <v>120</v>
      </c>
      <c r="F68">
        <v>11782</v>
      </c>
      <c r="G68">
        <v>0.82703300682972103</v>
      </c>
      <c r="H68">
        <v>0</v>
      </c>
      <c r="I68">
        <v>0</v>
      </c>
      <c r="J68">
        <v>0.72331740621128449</v>
      </c>
      <c r="K68">
        <v>0</v>
      </c>
      <c r="L68">
        <v>0</v>
      </c>
      <c r="M68">
        <v>0.5322762415770097</v>
      </c>
      <c r="N68">
        <v>0</v>
      </c>
      <c r="O68">
        <v>0</v>
      </c>
      <c r="P68">
        <v>0.68398359438580936</v>
      </c>
      <c r="Q68">
        <v>1.312443637978767</v>
      </c>
      <c r="R68">
        <v>2.445115850737221</v>
      </c>
      <c r="S68">
        <v>0.1795507440327401</v>
      </c>
      <c r="T68">
        <v>0.13956806118613521</v>
      </c>
      <c r="U68">
        <v>4.4286477380750293</v>
      </c>
      <c r="V68">
        <v>0.20127646963296911</v>
      </c>
      <c r="W68">
        <v>8.2574663994228494</v>
      </c>
      <c r="X68">
        <v>0.31941170408330022</v>
      </c>
      <c r="Z68" t="s">
        <v>392</v>
      </c>
      <c r="AA68">
        <v>161</v>
      </c>
      <c r="AB68" t="s">
        <v>4515</v>
      </c>
      <c r="AC68" t="str">
        <f>HYPERLINK("plots/3FT6Y578R04_015_S31P_20251219032831_M5358ACSA301811_RBGEUFRF04/dpll_52046/txpa_53245.png","plot")</f>
        <v>plot</v>
      </c>
    </row>
    <row r="69" spans="1:29" x14ac:dyDescent="0.35">
      <c r="A69" t="s">
        <v>50</v>
      </c>
      <c r="B69">
        <v>52046</v>
      </c>
      <c r="C69" t="s">
        <v>51</v>
      </c>
      <c r="D69">
        <v>53246</v>
      </c>
      <c r="E69" t="s">
        <v>121</v>
      </c>
      <c r="F69">
        <v>11781</v>
      </c>
      <c r="G69">
        <v>0.83736405243817025</v>
      </c>
      <c r="H69">
        <v>0</v>
      </c>
      <c r="I69">
        <v>0</v>
      </c>
      <c r="J69">
        <v>0.73371603537455099</v>
      </c>
      <c r="K69">
        <v>0</v>
      </c>
      <c r="L69">
        <v>0</v>
      </c>
      <c r="M69">
        <v>0.54280457711769603</v>
      </c>
      <c r="N69">
        <v>0</v>
      </c>
      <c r="O69">
        <v>0</v>
      </c>
      <c r="P69">
        <v>0.70117855631567472</v>
      </c>
      <c r="Q69">
        <v>1.341932242411934</v>
      </c>
      <c r="R69">
        <v>2.325439376970813</v>
      </c>
      <c r="S69">
        <v>0.1763242716457849</v>
      </c>
      <c r="T69">
        <v>0.138360699506273</v>
      </c>
      <c r="U69">
        <v>4.4286547017231142</v>
      </c>
      <c r="V69">
        <v>0.20128359324518649</v>
      </c>
      <c r="W69">
        <v>8.2683939117222653</v>
      </c>
      <c r="X69">
        <v>0.32257050306585661</v>
      </c>
      <c r="Z69" t="s">
        <v>392</v>
      </c>
      <c r="AA69">
        <v>161</v>
      </c>
      <c r="AB69" t="s">
        <v>4516</v>
      </c>
      <c r="AC69" t="str">
        <f>HYPERLINK("plots/3FT6Y578R04_015_S31P_20251219032831_M5358ACSA301811_RBGEUFRF04/dpll_52046/txpa_53246.png","plot")</f>
        <v>plot</v>
      </c>
    </row>
    <row r="70" spans="1:29" x14ac:dyDescent="0.35">
      <c r="A70" t="s">
        <v>50</v>
      </c>
      <c r="B70">
        <v>52046</v>
      </c>
      <c r="C70" t="s">
        <v>51</v>
      </c>
      <c r="D70">
        <v>53247</v>
      </c>
      <c r="E70" t="s">
        <v>122</v>
      </c>
      <c r="F70">
        <v>11781</v>
      </c>
      <c r="G70">
        <v>0.83957064507146029</v>
      </c>
      <c r="H70">
        <v>0</v>
      </c>
      <c r="I70">
        <v>0</v>
      </c>
      <c r="J70">
        <v>0.7328830776305576</v>
      </c>
      <c r="K70">
        <v>0</v>
      </c>
      <c r="L70">
        <v>0</v>
      </c>
      <c r="M70">
        <v>0.54100900353373504</v>
      </c>
      <c r="N70">
        <v>0</v>
      </c>
      <c r="O70">
        <v>0</v>
      </c>
      <c r="P70">
        <v>0.70487886806570799</v>
      </c>
      <c r="Q70">
        <v>1.3434478207863449</v>
      </c>
      <c r="R70">
        <v>2.2982631111924392</v>
      </c>
      <c r="S70">
        <v>0.1749491461821942</v>
      </c>
      <c r="T70">
        <v>0.13730344364784711</v>
      </c>
      <c r="U70">
        <v>4.4286210779220783</v>
      </c>
      <c r="V70">
        <v>0.20126420786155011</v>
      </c>
      <c r="W70">
        <v>8.2478844474153288</v>
      </c>
      <c r="X70">
        <v>0.32205504449345701</v>
      </c>
      <c r="Z70" t="s">
        <v>392</v>
      </c>
      <c r="AA70">
        <v>161</v>
      </c>
      <c r="AB70" t="s">
        <v>4517</v>
      </c>
      <c r="AC70" t="str">
        <f>HYPERLINK("plots/3FT6Y578R04_015_S31P_20251219032831_M5358ACSA301811_RBGEUFRF04/dpll_52046/txpa_53247.png","plot")</f>
        <v>plot</v>
      </c>
    </row>
    <row r="71" spans="1:29" x14ac:dyDescent="0.35">
      <c r="A71" t="s">
        <v>50</v>
      </c>
      <c r="B71">
        <v>52046</v>
      </c>
      <c r="C71" t="s">
        <v>51</v>
      </c>
      <c r="D71">
        <v>53248</v>
      </c>
      <c r="E71" t="s">
        <v>123</v>
      </c>
      <c r="F71">
        <v>11781</v>
      </c>
      <c r="G71">
        <v>0.84189121102981557</v>
      </c>
      <c r="H71">
        <v>0</v>
      </c>
      <c r="I71">
        <v>0</v>
      </c>
      <c r="J71">
        <v>0.7429522111984137</v>
      </c>
      <c r="K71">
        <v>0</v>
      </c>
      <c r="L71">
        <v>0</v>
      </c>
      <c r="M71">
        <v>0.5509523263158832</v>
      </c>
      <c r="N71">
        <v>0</v>
      </c>
      <c r="O71">
        <v>0</v>
      </c>
      <c r="P71">
        <v>0.70878081120924941</v>
      </c>
      <c r="Q71">
        <v>1.355034489264638</v>
      </c>
      <c r="R71">
        <v>2.2511380536058319</v>
      </c>
      <c r="S71">
        <v>0.1748019223000275</v>
      </c>
      <c r="T71">
        <v>0.1377539160583289</v>
      </c>
      <c r="U71">
        <v>4.4286192746795683</v>
      </c>
      <c r="V71">
        <v>0.20126129812424351</v>
      </c>
      <c r="W71">
        <v>8.2520699106187916</v>
      </c>
      <c r="X71">
        <v>0.32393258979260697</v>
      </c>
      <c r="Z71" t="s">
        <v>392</v>
      </c>
      <c r="AA71">
        <v>161</v>
      </c>
      <c r="AB71" t="s">
        <v>4518</v>
      </c>
      <c r="AC71" t="str">
        <f>HYPERLINK("plots/3FT6Y578R04_015_S31P_20251219032831_M5358ACSA301811_RBGEUFRF04/dpll_52046/txpa_53248.png","plot")</f>
        <v>plot</v>
      </c>
    </row>
    <row r="72" spans="1:29" x14ac:dyDescent="0.35">
      <c r="A72" t="s">
        <v>50</v>
      </c>
      <c r="B72">
        <v>52046</v>
      </c>
      <c r="C72" t="s">
        <v>51</v>
      </c>
      <c r="D72">
        <v>53249</v>
      </c>
      <c r="E72" t="s">
        <v>124</v>
      </c>
      <c r="F72">
        <v>11782</v>
      </c>
      <c r="G72">
        <v>0.83881578922460864</v>
      </c>
      <c r="H72">
        <v>0</v>
      </c>
      <c r="I72">
        <v>0</v>
      </c>
      <c r="J72">
        <v>0.73352184685780852</v>
      </c>
      <c r="K72">
        <v>0</v>
      </c>
      <c r="L72">
        <v>0</v>
      </c>
      <c r="M72">
        <v>0.54275777428529604</v>
      </c>
      <c r="N72">
        <v>0</v>
      </c>
      <c r="O72">
        <v>0</v>
      </c>
      <c r="P72">
        <v>0.70361192825250307</v>
      </c>
      <c r="Q72">
        <v>1.3404270360447059</v>
      </c>
      <c r="R72">
        <v>2.323107026679764</v>
      </c>
      <c r="S72">
        <v>0.17509813403098021</v>
      </c>
      <c r="T72">
        <v>0.13780081636591571</v>
      </c>
      <c r="U72">
        <v>4.4286477380750293</v>
      </c>
      <c r="V72">
        <v>0.20127646963296911</v>
      </c>
      <c r="W72">
        <v>8.2593861879137673</v>
      </c>
      <c r="X72">
        <v>0.32163965566868918</v>
      </c>
      <c r="Z72" t="s">
        <v>392</v>
      </c>
      <c r="AA72">
        <v>161</v>
      </c>
      <c r="AB72" t="s">
        <v>4519</v>
      </c>
      <c r="AC72" t="str">
        <f>HYPERLINK("plots/3FT6Y578R04_015_S31P_20251219032831_M5358ACSA301811_RBGEUFRF04/dpll_52046/txpa_53249.png","plot")</f>
        <v>plot</v>
      </c>
    </row>
    <row r="73" spans="1:29" x14ac:dyDescent="0.35">
      <c r="A73" t="s">
        <v>50</v>
      </c>
      <c r="B73">
        <v>52046</v>
      </c>
      <c r="C73" t="s">
        <v>51</v>
      </c>
      <c r="D73">
        <v>53250</v>
      </c>
      <c r="E73" t="s">
        <v>125</v>
      </c>
      <c r="F73">
        <v>11781</v>
      </c>
      <c r="G73">
        <v>0.83393089887486027</v>
      </c>
      <c r="H73">
        <v>0</v>
      </c>
      <c r="I73">
        <v>0</v>
      </c>
      <c r="J73">
        <v>0.72958822986868455</v>
      </c>
      <c r="K73">
        <v>0</v>
      </c>
      <c r="L73">
        <v>0</v>
      </c>
      <c r="M73">
        <v>0.53915732127220595</v>
      </c>
      <c r="N73">
        <v>0</v>
      </c>
      <c r="O73">
        <v>0</v>
      </c>
      <c r="P73">
        <v>0.69544074409823242</v>
      </c>
      <c r="Q73">
        <v>1.3310201424365939</v>
      </c>
      <c r="R73">
        <v>2.333173954027314</v>
      </c>
      <c r="S73">
        <v>0.17727669002032839</v>
      </c>
      <c r="T73">
        <v>0.138380141104085</v>
      </c>
      <c r="U73">
        <v>4.4286701896273666</v>
      </c>
      <c r="V73">
        <v>0.20127025814248481</v>
      </c>
      <c r="W73">
        <v>8.2278231806298283</v>
      </c>
      <c r="X73">
        <v>0.32124336443523549</v>
      </c>
      <c r="Z73" t="s">
        <v>392</v>
      </c>
      <c r="AA73">
        <v>161</v>
      </c>
      <c r="AB73" t="s">
        <v>4520</v>
      </c>
      <c r="AC73" t="str">
        <f>HYPERLINK("plots/3FT6Y578R04_015_S31P_20251219032831_M5358ACSA301811_RBGEUFRF04/dpll_52046/txpa_53250.png","plot")</f>
        <v>plot</v>
      </c>
    </row>
    <row r="74" spans="1:29" x14ac:dyDescent="0.35">
      <c r="A74" t="s">
        <v>50</v>
      </c>
      <c r="B74">
        <v>52046</v>
      </c>
      <c r="C74" t="s">
        <v>51</v>
      </c>
      <c r="D74">
        <v>53251</v>
      </c>
      <c r="E74" t="s">
        <v>126</v>
      </c>
      <c r="F74">
        <v>11782</v>
      </c>
      <c r="G74">
        <v>0.82614503117662541</v>
      </c>
      <c r="H74">
        <v>0</v>
      </c>
      <c r="I74">
        <v>0</v>
      </c>
      <c r="J74">
        <v>0.72490373834564048</v>
      </c>
      <c r="K74">
        <v>0</v>
      </c>
      <c r="L74">
        <v>0</v>
      </c>
      <c r="M74">
        <v>0.53181942341375399</v>
      </c>
      <c r="N74">
        <v>0</v>
      </c>
      <c r="O74">
        <v>0</v>
      </c>
      <c r="P74">
        <v>0.68251561253782733</v>
      </c>
      <c r="Q74">
        <v>1.381434361350885</v>
      </c>
      <c r="R74">
        <v>3.1160523114467029</v>
      </c>
      <c r="S74">
        <v>0.18963116842729161</v>
      </c>
      <c r="T74">
        <v>0.1461199147491524</v>
      </c>
      <c r="U74">
        <v>4.4286477380750293</v>
      </c>
      <c r="V74">
        <v>0.20127646963296911</v>
      </c>
      <c r="W74">
        <v>9.2339384711424213</v>
      </c>
      <c r="X74">
        <v>0.33656346136509752</v>
      </c>
      <c r="Z74" t="s">
        <v>392</v>
      </c>
      <c r="AA74">
        <v>161</v>
      </c>
      <c r="AB74" t="s">
        <v>4521</v>
      </c>
      <c r="AC74" t="str">
        <f>HYPERLINK("plots/3FT6Y578R04_015_S31P_20251219032831_M5358ACSA301811_RBGEUFRF04/dpll_52046/txpa_53251.png","plot")</f>
        <v>plot</v>
      </c>
    </row>
    <row r="75" spans="1:29" x14ac:dyDescent="0.35">
      <c r="A75" t="s">
        <v>50</v>
      </c>
      <c r="B75">
        <v>52046</v>
      </c>
      <c r="C75" t="s">
        <v>51</v>
      </c>
      <c r="D75">
        <v>53252</v>
      </c>
      <c r="E75" t="s">
        <v>127</v>
      </c>
      <c r="F75">
        <v>11782</v>
      </c>
      <c r="G75">
        <v>0.83961422617933978</v>
      </c>
      <c r="H75">
        <v>0</v>
      </c>
      <c r="I75">
        <v>0</v>
      </c>
      <c r="J75">
        <v>0.73803463783691359</v>
      </c>
      <c r="K75">
        <v>0</v>
      </c>
      <c r="L75">
        <v>0</v>
      </c>
      <c r="M75">
        <v>0.54694726534373361</v>
      </c>
      <c r="N75">
        <v>0</v>
      </c>
      <c r="O75">
        <v>0</v>
      </c>
      <c r="P75">
        <v>0.70495204880273155</v>
      </c>
      <c r="Q75">
        <v>1.413452497905175</v>
      </c>
      <c r="R75">
        <v>3.0094834052446799</v>
      </c>
      <c r="S75">
        <v>0.1840442721924137</v>
      </c>
      <c r="T75">
        <v>0.14332303857083159</v>
      </c>
      <c r="U75">
        <v>4.4286477380750293</v>
      </c>
      <c r="V75">
        <v>0.20127646963296911</v>
      </c>
      <c r="W75">
        <v>9.2691666129689345</v>
      </c>
      <c r="X75">
        <v>0.33883981464540808</v>
      </c>
      <c r="Z75" t="s">
        <v>392</v>
      </c>
      <c r="AA75">
        <v>161</v>
      </c>
      <c r="AB75" t="s">
        <v>4522</v>
      </c>
      <c r="AC75" t="str">
        <f>HYPERLINK("plots/3FT6Y578R04_015_S31P_20251219032831_M5358ACSA301811_RBGEUFRF04/dpll_52046/txpa_53252.png","plot")</f>
        <v>plot</v>
      </c>
    </row>
    <row r="76" spans="1:29" x14ac:dyDescent="0.35">
      <c r="A76" t="s">
        <v>50</v>
      </c>
      <c r="B76">
        <v>52046</v>
      </c>
      <c r="C76" t="s">
        <v>51</v>
      </c>
      <c r="D76">
        <v>53253</v>
      </c>
      <c r="E76" t="s">
        <v>128</v>
      </c>
      <c r="F76">
        <v>11782</v>
      </c>
      <c r="G76">
        <v>0.83489226125405935</v>
      </c>
      <c r="H76">
        <v>0</v>
      </c>
      <c r="I76">
        <v>0</v>
      </c>
      <c r="J76">
        <v>0.72996179174425535</v>
      </c>
      <c r="K76">
        <v>0</v>
      </c>
      <c r="L76">
        <v>0</v>
      </c>
      <c r="M76">
        <v>0.53829511145813602</v>
      </c>
      <c r="N76">
        <v>0</v>
      </c>
      <c r="O76">
        <v>0</v>
      </c>
      <c r="P76">
        <v>0.69704508790191655</v>
      </c>
      <c r="Q76">
        <v>1.3832335124087221</v>
      </c>
      <c r="R76">
        <v>3.159008624518532</v>
      </c>
      <c r="S76">
        <v>0.18353911834523859</v>
      </c>
      <c r="T76">
        <v>0.14237903950348449</v>
      </c>
      <c r="U76">
        <v>4.4286477380750293</v>
      </c>
      <c r="V76">
        <v>0.20127646963296911</v>
      </c>
      <c r="W76">
        <v>9.2848625904769992</v>
      </c>
      <c r="X76">
        <v>0.33347100096178539</v>
      </c>
      <c r="Z76" t="s">
        <v>392</v>
      </c>
      <c r="AA76">
        <v>161</v>
      </c>
      <c r="AB76" t="s">
        <v>4523</v>
      </c>
      <c r="AC76" t="str">
        <f>HYPERLINK("plots/3FT6Y578R04_015_S31P_20251219032831_M5358ACSA301811_RBGEUFRF04/dpll_52046/txpa_53253.png","plot")</f>
        <v>plot</v>
      </c>
    </row>
    <row r="77" spans="1:29" x14ac:dyDescent="0.35">
      <c r="A77" t="s">
        <v>50</v>
      </c>
      <c r="B77">
        <v>52046</v>
      </c>
      <c r="C77" t="s">
        <v>51</v>
      </c>
      <c r="D77">
        <v>53254</v>
      </c>
      <c r="E77" t="s">
        <v>129</v>
      </c>
      <c r="F77">
        <v>11781</v>
      </c>
      <c r="G77">
        <v>0.84440857374008715</v>
      </c>
      <c r="H77">
        <v>0</v>
      </c>
      <c r="I77">
        <v>0</v>
      </c>
      <c r="J77">
        <v>0.73966168324943604</v>
      </c>
      <c r="K77">
        <v>0</v>
      </c>
      <c r="L77">
        <v>0</v>
      </c>
      <c r="M77">
        <v>0.54831147466893659</v>
      </c>
      <c r="N77">
        <v>0</v>
      </c>
      <c r="O77">
        <v>0</v>
      </c>
      <c r="P77">
        <v>0.71302583940576825</v>
      </c>
      <c r="Q77">
        <v>1.4127100146220299</v>
      </c>
      <c r="R77">
        <v>3.0395757525404781</v>
      </c>
      <c r="S77">
        <v>0.18038969764466409</v>
      </c>
      <c r="T77">
        <v>0.14139132999718751</v>
      </c>
      <c r="U77">
        <v>4.4286547017231142</v>
      </c>
      <c r="V77">
        <v>0.20128359324518649</v>
      </c>
      <c r="W77">
        <v>9.2959806009676598</v>
      </c>
      <c r="X77">
        <v>0.33675090092596333</v>
      </c>
      <c r="Z77" t="s">
        <v>392</v>
      </c>
      <c r="AA77">
        <v>161</v>
      </c>
      <c r="AB77" t="s">
        <v>4524</v>
      </c>
      <c r="AC77" t="str">
        <f>HYPERLINK("plots/3FT6Y578R04_015_S31P_20251219032831_M5358ACSA301811_RBGEUFRF04/dpll_52046/txpa_53254.png","plot")</f>
        <v>plot</v>
      </c>
    </row>
    <row r="78" spans="1:29" x14ac:dyDescent="0.35">
      <c r="A78" t="s">
        <v>50</v>
      </c>
      <c r="B78">
        <v>52046</v>
      </c>
      <c r="C78" t="s">
        <v>51</v>
      </c>
      <c r="D78">
        <v>53255</v>
      </c>
      <c r="E78" t="s">
        <v>130</v>
      </c>
      <c r="F78">
        <v>11781</v>
      </c>
      <c r="G78">
        <v>0.8464418160696181</v>
      </c>
      <c r="H78">
        <v>0</v>
      </c>
      <c r="I78">
        <v>0</v>
      </c>
      <c r="J78">
        <v>0.73905935087379615</v>
      </c>
      <c r="K78">
        <v>0</v>
      </c>
      <c r="L78">
        <v>0</v>
      </c>
      <c r="M78">
        <v>0.54670657623361418</v>
      </c>
      <c r="N78">
        <v>0</v>
      </c>
      <c r="O78">
        <v>0</v>
      </c>
      <c r="P78">
        <v>0.71646374799123325</v>
      </c>
      <c r="Q78">
        <v>1.4145652178793739</v>
      </c>
      <c r="R78">
        <v>3.0100159802654072</v>
      </c>
      <c r="S78">
        <v>0.17909286231958069</v>
      </c>
      <c r="T78">
        <v>0.14046415867482209</v>
      </c>
      <c r="U78">
        <v>4.4286210779220783</v>
      </c>
      <c r="V78">
        <v>0.20126420786155011</v>
      </c>
      <c r="W78">
        <v>9.2745893202614376</v>
      </c>
      <c r="X78">
        <v>0.33635075989863089</v>
      </c>
      <c r="Z78" t="s">
        <v>392</v>
      </c>
      <c r="AA78">
        <v>161</v>
      </c>
      <c r="AB78" t="s">
        <v>4525</v>
      </c>
      <c r="AC78" t="str">
        <f>HYPERLINK("plots/3FT6Y578R04_015_S31P_20251219032831_M5358ACSA301811_RBGEUFRF04/dpll_52046/txpa_53255.png","plot")</f>
        <v>plot</v>
      </c>
    </row>
    <row r="79" spans="1:29" x14ac:dyDescent="0.35">
      <c r="A79" t="s">
        <v>50</v>
      </c>
      <c r="B79">
        <v>52046</v>
      </c>
      <c r="C79" t="s">
        <v>51</v>
      </c>
      <c r="D79">
        <v>53256</v>
      </c>
      <c r="E79" t="s">
        <v>131</v>
      </c>
      <c r="F79">
        <v>11781</v>
      </c>
      <c r="G79">
        <v>0.84874267846428986</v>
      </c>
      <c r="H79">
        <v>0</v>
      </c>
      <c r="I79">
        <v>0</v>
      </c>
      <c r="J79">
        <v>0.74837673890568379</v>
      </c>
      <c r="K79">
        <v>0</v>
      </c>
      <c r="L79">
        <v>0</v>
      </c>
      <c r="M79">
        <v>0.55603774523963168</v>
      </c>
      <c r="N79">
        <v>0</v>
      </c>
      <c r="O79">
        <v>0</v>
      </c>
      <c r="P79">
        <v>0.72036413424673695</v>
      </c>
      <c r="Q79">
        <v>1.425601847796333</v>
      </c>
      <c r="R79">
        <v>2.965817470486408</v>
      </c>
      <c r="S79">
        <v>0.17875593984597371</v>
      </c>
      <c r="T79">
        <v>0.1407126712251224</v>
      </c>
      <c r="U79">
        <v>4.4286192746795683</v>
      </c>
      <c r="V79">
        <v>0.20126129812424351</v>
      </c>
      <c r="W79">
        <v>9.2792652916560563</v>
      </c>
      <c r="X79">
        <v>0.33805119711307419</v>
      </c>
      <c r="Z79" t="s">
        <v>392</v>
      </c>
      <c r="AA79">
        <v>161</v>
      </c>
      <c r="AB79" t="s">
        <v>4526</v>
      </c>
      <c r="AC79" t="str">
        <f>HYPERLINK("plots/3FT6Y578R04_015_S31P_20251219032831_M5358ACSA301811_RBGEUFRF04/dpll_52046/txpa_53256.png","plot")</f>
        <v>plot</v>
      </c>
    </row>
    <row r="80" spans="1:29" x14ac:dyDescent="0.35">
      <c r="A80" t="s">
        <v>50</v>
      </c>
      <c r="B80">
        <v>52046</v>
      </c>
      <c r="C80" t="s">
        <v>51</v>
      </c>
      <c r="D80">
        <v>53257</v>
      </c>
      <c r="E80" t="s">
        <v>132</v>
      </c>
      <c r="F80">
        <v>11782</v>
      </c>
      <c r="G80">
        <v>0.84579582177373858</v>
      </c>
      <c r="H80">
        <v>0</v>
      </c>
      <c r="I80">
        <v>0</v>
      </c>
      <c r="J80">
        <v>0.7393611252611495</v>
      </c>
      <c r="K80">
        <v>0</v>
      </c>
      <c r="L80">
        <v>0</v>
      </c>
      <c r="M80">
        <v>0.54814997531420107</v>
      </c>
      <c r="N80">
        <v>0</v>
      </c>
      <c r="O80">
        <v>0</v>
      </c>
      <c r="P80">
        <v>0.71537057212991373</v>
      </c>
      <c r="Q80">
        <v>1.410752777157867</v>
      </c>
      <c r="R80">
        <v>3.039131577771971</v>
      </c>
      <c r="S80">
        <v>0.17910175997408859</v>
      </c>
      <c r="T80">
        <v>0.14066200761364839</v>
      </c>
      <c r="U80">
        <v>4.4286477380750293</v>
      </c>
      <c r="V80">
        <v>0.20127646963296911</v>
      </c>
      <c r="W80">
        <v>9.2868586733152263</v>
      </c>
      <c r="X80">
        <v>0.33572090474006022</v>
      </c>
      <c r="Z80" t="s">
        <v>392</v>
      </c>
      <c r="AA80">
        <v>161</v>
      </c>
      <c r="AB80" t="s">
        <v>4527</v>
      </c>
      <c r="AC80" t="str">
        <f>HYPERLINK("plots/3FT6Y578R04_015_S31P_20251219032831_M5358ACSA301811_RBGEUFRF04/dpll_52046/txpa_53257.png","plot")</f>
        <v>plot</v>
      </c>
    </row>
    <row r="81" spans="1:29" x14ac:dyDescent="0.35">
      <c r="A81" t="s">
        <v>50</v>
      </c>
      <c r="B81">
        <v>52046</v>
      </c>
      <c r="C81" t="s">
        <v>51</v>
      </c>
      <c r="D81">
        <v>53258</v>
      </c>
      <c r="E81" t="s">
        <v>133</v>
      </c>
      <c r="F81">
        <v>11781</v>
      </c>
      <c r="G81">
        <v>0.84102143821288666</v>
      </c>
      <c r="H81">
        <v>0</v>
      </c>
      <c r="I81">
        <v>0</v>
      </c>
      <c r="J81">
        <v>0.73516910765776433</v>
      </c>
      <c r="K81">
        <v>0</v>
      </c>
      <c r="L81">
        <v>0</v>
      </c>
      <c r="M81">
        <v>0.54423213428391581</v>
      </c>
      <c r="N81">
        <v>0</v>
      </c>
      <c r="O81">
        <v>0</v>
      </c>
      <c r="P81">
        <v>0.7073170595336723</v>
      </c>
      <c r="Q81">
        <v>1.4001968430131471</v>
      </c>
      <c r="R81">
        <v>3.0552664459593779</v>
      </c>
      <c r="S81">
        <v>0.18127666524685321</v>
      </c>
      <c r="T81">
        <v>0.14136463481214759</v>
      </c>
      <c r="U81">
        <v>4.4286701896273666</v>
      </c>
      <c r="V81">
        <v>0.20127025814248481</v>
      </c>
      <c r="W81">
        <v>9.2562764642220525</v>
      </c>
      <c r="X81">
        <v>0.33509012640913488</v>
      </c>
      <c r="Z81" t="s">
        <v>392</v>
      </c>
      <c r="AA81">
        <v>161</v>
      </c>
      <c r="AB81" t="s">
        <v>4528</v>
      </c>
      <c r="AC81" t="str">
        <f>HYPERLINK("plots/3FT6Y578R04_015_S31P_20251219032831_M5358ACSA301811_RBGEUFRF04/dpll_52046/txpa_53258.png","plot")</f>
        <v>plot</v>
      </c>
    </row>
    <row r="82" spans="1:29" x14ac:dyDescent="0.35">
      <c r="A82" t="s">
        <v>50</v>
      </c>
      <c r="B82">
        <v>52046</v>
      </c>
      <c r="C82" t="s">
        <v>51</v>
      </c>
      <c r="D82">
        <v>53259</v>
      </c>
      <c r="E82" t="s">
        <v>134</v>
      </c>
      <c r="F82">
        <v>11782</v>
      </c>
      <c r="G82">
        <v>0.82859269368026345</v>
      </c>
      <c r="H82">
        <v>0</v>
      </c>
      <c r="I82">
        <v>0</v>
      </c>
      <c r="J82">
        <v>0.72698306468591245</v>
      </c>
      <c r="K82">
        <v>0</v>
      </c>
      <c r="L82">
        <v>0</v>
      </c>
      <c r="M82">
        <v>0.53372126928772479</v>
      </c>
      <c r="N82">
        <v>0</v>
      </c>
      <c r="O82">
        <v>0</v>
      </c>
      <c r="P82">
        <v>0.68656585202031495</v>
      </c>
      <c r="Q82">
        <v>1.4101114668535599</v>
      </c>
      <c r="R82">
        <v>3.494034624978172</v>
      </c>
      <c r="S82">
        <v>0.19176090691521161</v>
      </c>
      <c r="T82">
        <v>0.14759477732538459</v>
      </c>
      <c r="U82">
        <v>4.4286477380750293</v>
      </c>
      <c r="V82">
        <v>0.20127646963296911</v>
      </c>
      <c r="W82">
        <v>9.7389215830928535</v>
      </c>
      <c r="X82">
        <v>0.34253531319064839</v>
      </c>
      <c r="Z82" t="s">
        <v>392</v>
      </c>
      <c r="AA82">
        <v>161</v>
      </c>
      <c r="AB82" t="s">
        <v>4529</v>
      </c>
      <c r="AC82" t="str">
        <f>HYPERLINK("plots/3FT6Y578R04_015_S31P_20251219032831_M5358ACSA301811_RBGEUFRF04/dpll_52046/txpa_53259.png","plot")</f>
        <v>plot</v>
      </c>
    </row>
    <row r="83" spans="1:29" x14ac:dyDescent="0.35">
      <c r="A83" t="s">
        <v>50</v>
      </c>
      <c r="B83">
        <v>52046</v>
      </c>
      <c r="C83" t="s">
        <v>51</v>
      </c>
      <c r="D83">
        <v>53260</v>
      </c>
      <c r="E83" t="s">
        <v>135</v>
      </c>
      <c r="F83">
        <v>11782</v>
      </c>
      <c r="G83">
        <v>0.84176852334837249</v>
      </c>
      <c r="H83">
        <v>0</v>
      </c>
      <c r="I83">
        <v>0</v>
      </c>
      <c r="J83">
        <v>0.73974722170087004</v>
      </c>
      <c r="K83">
        <v>0</v>
      </c>
      <c r="L83">
        <v>0</v>
      </c>
      <c r="M83">
        <v>0.54853433309968291</v>
      </c>
      <c r="N83">
        <v>0</v>
      </c>
      <c r="O83">
        <v>0</v>
      </c>
      <c r="P83">
        <v>0.70857424690009951</v>
      </c>
      <c r="Q83">
        <v>1.442632860208211</v>
      </c>
      <c r="R83">
        <v>3.3850583667797758</v>
      </c>
      <c r="S83">
        <v>0.18620943280272301</v>
      </c>
      <c r="T83">
        <v>0.14488579780282149</v>
      </c>
      <c r="U83">
        <v>4.4286477380750293</v>
      </c>
      <c r="V83">
        <v>0.20127646963296911</v>
      </c>
      <c r="W83">
        <v>9.7739711200135808</v>
      </c>
      <c r="X83">
        <v>0.3449499963769142</v>
      </c>
      <c r="Z83" t="s">
        <v>392</v>
      </c>
      <c r="AA83">
        <v>161</v>
      </c>
      <c r="AB83" t="s">
        <v>4530</v>
      </c>
      <c r="AC83" t="str">
        <f>HYPERLINK("plots/3FT6Y578R04_015_S31P_20251219032831_M5358ACSA301811_RBGEUFRF04/dpll_52046/txpa_53260.png","plot")</f>
        <v>plot</v>
      </c>
    </row>
    <row r="84" spans="1:29" x14ac:dyDescent="0.35">
      <c r="A84" t="s">
        <v>50</v>
      </c>
      <c r="B84">
        <v>52046</v>
      </c>
      <c r="C84" t="s">
        <v>51</v>
      </c>
      <c r="D84">
        <v>53261</v>
      </c>
      <c r="E84" t="s">
        <v>136</v>
      </c>
      <c r="F84">
        <v>11782</v>
      </c>
      <c r="G84">
        <v>0.83738567039576528</v>
      </c>
      <c r="H84">
        <v>0</v>
      </c>
      <c r="I84">
        <v>0</v>
      </c>
      <c r="J84">
        <v>0.73208132184178276</v>
      </c>
      <c r="K84">
        <v>0</v>
      </c>
      <c r="L84">
        <v>0</v>
      </c>
      <c r="M84">
        <v>0.54021306720795625</v>
      </c>
      <c r="N84">
        <v>0</v>
      </c>
      <c r="O84">
        <v>0</v>
      </c>
      <c r="P84">
        <v>0.70121476098416524</v>
      </c>
      <c r="Q84">
        <v>1.412383237811605</v>
      </c>
      <c r="R84">
        <v>3.5348785396450668</v>
      </c>
      <c r="S84">
        <v>0.1855586371129325</v>
      </c>
      <c r="T84">
        <v>0.14376591836295641</v>
      </c>
      <c r="U84">
        <v>4.4286477380750293</v>
      </c>
      <c r="V84">
        <v>0.20127646963296911</v>
      </c>
      <c r="W84">
        <v>9.7898263710745201</v>
      </c>
      <c r="X84">
        <v>0.33948456717816289</v>
      </c>
      <c r="Z84" t="s">
        <v>392</v>
      </c>
      <c r="AA84">
        <v>161</v>
      </c>
      <c r="AB84" t="s">
        <v>4531</v>
      </c>
      <c r="AC84" t="str">
        <f>HYPERLINK("plots/3FT6Y578R04_015_S31P_20251219032831_M5358ACSA301811_RBGEUFRF04/dpll_52046/txpa_53261.png","plot")</f>
        <v>plot</v>
      </c>
    </row>
    <row r="85" spans="1:29" x14ac:dyDescent="0.35">
      <c r="A85" t="s">
        <v>50</v>
      </c>
      <c r="B85">
        <v>52046</v>
      </c>
      <c r="C85" t="s">
        <v>51</v>
      </c>
      <c r="D85">
        <v>53262</v>
      </c>
      <c r="E85" t="s">
        <v>137</v>
      </c>
      <c r="F85">
        <v>11781</v>
      </c>
      <c r="G85">
        <v>0.84651253423366091</v>
      </c>
      <c r="H85">
        <v>0</v>
      </c>
      <c r="I85">
        <v>0</v>
      </c>
      <c r="J85">
        <v>0.74134023569722973</v>
      </c>
      <c r="K85">
        <v>0</v>
      </c>
      <c r="L85">
        <v>0</v>
      </c>
      <c r="M85">
        <v>0.54984226475148312</v>
      </c>
      <c r="N85">
        <v>0</v>
      </c>
      <c r="O85">
        <v>0</v>
      </c>
      <c r="P85">
        <v>0.71658347061469496</v>
      </c>
      <c r="Q85">
        <v>1.441682115121691</v>
      </c>
      <c r="R85">
        <v>3.4162619081140879</v>
      </c>
      <c r="S85">
        <v>0.18248982279754791</v>
      </c>
      <c r="T85">
        <v>0.14295512888978021</v>
      </c>
      <c r="U85">
        <v>4.4286547017231142</v>
      </c>
      <c r="V85">
        <v>0.20128359324518649</v>
      </c>
      <c r="W85">
        <v>9.8009741856378909</v>
      </c>
      <c r="X85">
        <v>0.34280290570265209</v>
      </c>
      <c r="Z85" t="s">
        <v>392</v>
      </c>
      <c r="AA85">
        <v>161</v>
      </c>
      <c r="AB85" t="s">
        <v>4532</v>
      </c>
      <c r="AC85" t="str">
        <f>HYPERLINK("plots/3FT6Y578R04_015_S31P_20251219032831_M5358ACSA301811_RBGEUFRF04/dpll_52046/txpa_53262.png","plot")</f>
        <v>plot</v>
      </c>
    </row>
    <row r="86" spans="1:29" x14ac:dyDescent="0.35">
      <c r="A86" t="s">
        <v>50</v>
      </c>
      <c r="B86">
        <v>52046</v>
      </c>
      <c r="C86" t="s">
        <v>51</v>
      </c>
      <c r="D86">
        <v>53263</v>
      </c>
      <c r="E86" t="s">
        <v>138</v>
      </c>
      <c r="F86">
        <v>11781</v>
      </c>
      <c r="G86">
        <v>0.8485327267574333</v>
      </c>
      <c r="H86">
        <v>0</v>
      </c>
      <c r="I86">
        <v>0</v>
      </c>
      <c r="J86">
        <v>0.74084666385612885</v>
      </c>
      <c r="K86">
        <v>0</v>
      </c>
      <c r="L86">
        <v>0</v>
      </c>
      <c r="M86">
        <v>0.5483536969041215</v>
      </c>
      <c r="N86">
        <v>0</v>
      </c>
      <c r="O86">
        <v>0</v>
      </c>
      <c r="P86">
        <v>0.72000778837840496</v>
      </c>
      <c r="Q86">
        <v>1.4439352456690759</v>
      </c>
      <c r="R86">
        <v>3.3845038821447511</v>
      </c>
      <c r="S86">
        <v>0.18121753194696361</v>
      </c>
      <c r="T86">
        <v>0.14205592395324851</v>
      </c>
      <c r="U86">
        <v>4.4286210779220783</v>
      </c>
      <c r="V86">
        <v>0.20126420786155011</v>
      </c>
      <c r="W86">
        <v>9.7791459462694164</v>
      </c>
      <c r="X86">
        <v>0.34248824383415399</v>
      </c>
      <c r="Z86" t="s">
        <v>392</v>
      </c>
      <c r="AA86">
        <v>161</v>
      </c>
      <c r="AB86" t="s">
        <v>4533</v>
      </c>
      <c r="AC86" t="str">
        <f>HYPERLINK("plots/3FT6Y578R04_015_S31P_20251219032831_M5358ACSA301811_RBGEUFRF04/dpll_52046/txpa_53263.png","plot")</f>
        <v>plot</v>
      </c>
    </row>
    <row r="87" spans="1:29" x14ac:dyDescent="0.35">
      <c r="A87" t="s">
        <v>50</v>
      </c>
      <c r="B87">
        <v>52046</v>
      </c>
      <c r="C87" t="s">
        <v>51</v>
      </c>
      <c r="D87">
        <v>53264</v>
      </c>
      <c r="E87" t="s">
        <v>139</v>
      </c>
      <c r="F87">
        <v>11781</v>
      </c>
      <c r="G87">
        <v>0.85082001301991494</v>
      </c>
      <c r="H87">
        <v>0</v>
      </c>
      <c r="I87">
        <v>0</v>
      </c>
      <c r="J87">
        <v>0.74999277315889901</v>
      </c>
      <c r="K87">
        <v>0</v>
      </c>
      <c r="L87">
        <v>0</v>
      </c>
      <c r="M87">
        <v>0.55759684612272498</v>
      </c>
      <c r="N87">
        <v>0</v>
      </c>
      <c r="O87">
        <v>0</v>
      </c>
      <c r="P87">
        <v>0.72389469455520827</v>
      </c>
      <c r="Q87">
        <v>1.4544754184675921</v>
      </c>
      <c r="R87">
        <v>3.3425750401374108</v>
      </c>
      <c r="S87">
        <v>0.18077896749925729</v>
      </c>
      <c r="T87">
        <v>0.142197812999318</v>
      </c>
      <c r="U87">
        <v>4.4286192746795683</v>
      </c>
      <c r="V87">
        <v>0.20126129812424351</v>
      </c>
      <c r="W87">
        <v>9.783892912910618</v>
      </c>
      <c r="X87">
        <v>0.34405585944266909</v>
      </c>
      <c r="Z87" t="s">
        <v>392</v>
      </c>
      <c r="AA87">
        <v>161</v>
      </c>
      <c r="AB87" t="s">
        <v>4534</v>
      </c>
      <c r="AC87" t="str">
        <f>HYPERLINK("plots/3FT6Y578R04_015_S31P_20251219032831_M5358ACSA301811_RBGEUFRF04/dpll_52046/txpa_53264.png","plot")</f>
        <v>plot</v>
      </c>
    </row>
    <row r="88" spans="1:29" x14ac:dyDescent="0.35">
      <c r="A88" t="s">
        <v>50</v>
      </c>
      <c r="B88">
        <v>52046</v>
      </c>
      <c r="C88" t="s">
        <v>51</v>
      </c>
      <c r="D88">
        <v>53265</v>
      </c>
      <c r="E88" t="s">
        <v>140</v>
      </c>
      <c r="F88">
        <v>11782</v>
      </c>
      <c r="G88">
        <v>0.84800089035581117</v>
      </c>
      <c r="H88">
        <v>0</v>
      </c>
      <c r="I88">
        <v>0</v>
      </c>
      <c r="J88">
        <v>0.7412535928411037</v>
      </c>
      <c r="K88">
        <v>0</v>
      </c>
      <c r="L88">
        <v>0</v>
      </c>
      <c r="M88">
        <v>0.54989793760715611</v>
      </c>
      <c r="N88">
        <v>0</v>
      </c>
      <c r="O88">
        <v>0</v>
      </c>
      <c r="P88">
        <v>0.7191055100442485</v>
      </c>
      <c r="Q88">
        <v>1.4399889942912361</v>
      </c>
      <c r="R88">
        <v>3.4143822442266099</v>
      </c>
      <c r="S88">
        <v>0.1811377837635674</v>
      </c>
      <c r="T88">
        <v>0.14210856385302301</v>
      </c>
      <c r="U88">
        <v>4.4286477380750293</v>
      </c>
      <c r="V88">
        <v>0.20127646963296911</v>
      </c>
      <c r="W88">
        <v>9.7915862466474284</v>
      </c>
      <c r="X88">
        <v>0.34178726034079748</v>
      </c>
      <c r="Z88" t="s">
        <v>392</v>
      </c>
      <c r="AA88">
        <v>161</v>
      </c>
      <c r="AB88" t="s">
        <v>4535</v>
      </c>
      <c r="AC88" t="str">
        <f>HYPERLINK("plots/3FT6Y578R04_015_S31P_20251219032831_M5358ACSA301811_RBGEUFRF04/dpll_52046/txpa_53265.png","plot")</f>
        <v>plot</v>
      </c>
    </row>
    <row r="89" spans="1:29" x14ac:dyDescent="0.35">
      <c r="A89" t="s">
        <v>50</v>
      </c>
      <c r="B89">
        <v>52046</v>
      </c>
      <c r="C89" t="s">
        <v>51</v>
      </c>
      <c r="D89">
        <v>53266</v>
      </c>
      <c r="E89" t="s">
        <v>141</v>
      </c>
      <c r="F89">
        <v>11781</v>
      </c>
      <c r="G89">
        <v>0.84307364462461998</v>
      </c>
      <c r="H89">
        <v>0</v>
      </c>
      <c r="I89">
        <v>0</v>
      </c>
      <c r="J89">
        <v>0.73673192266838283</v>
      </c>
      <c r="K89">
        <v>0</v>
      </c>
      <c r="L89">
        <v>0</v>
      </c>
      <c r="M89">
        <v>0.54568060310046695</v>
      </c>
      <c r="N89">
        <v>0</v>
      </c>
      <c r="O89">
        <v>0</v>
      </c>
      <c r="P89">
        <v>0.71077317026064002</v>
      </c>
      <c r="Q89">
        <v>1.428352604110726</v>
      </c>
      <c r="R89">
        <v>3.4354850722148189</v>
      </c>
      <c r="S89">
        <v>0.18337932819020689</v>
      </c>
      <c r="T89">
        <v>0.14283713536780299</v>
      </c>
      <c r="U89">
        <v>4.4286701896273666</v>
      </c>
      <c r="V89">
        <v>0.20127025814248481</v>
      </c>
      <c r="W89">
        <v>9.7611876703166125</v>
      </c>
      <c r="X89">
        <v>0.34099618601629927</v>
      </c>
      <c r="Z89" t="s">
        <v>392</v>
      </c>
      <c r="AA89">
        <v>161</v>
      </c>
      <c r="AB89" t="s">
        <v>4536</v>
      </c>
      <c r="AC89" t="str">
        <f>HYPERLINK("plots/3FT6Y578R04_015_S31P_20251219032831_M5358ACSA301811_RBGEUFRF04/dpll_52046/txpa_53266.png","plot")</f>
        <v>plot</v>
      </c>
    </row>
    <row r="90" spans="1:29" x14ac:dyDescent="0.35">
      <c r="A90" t="s">
        <v>50</v>
      </c>
      <c r="B90">
        <v>52046</v>
      </c>
      <c r="C90" t="s">
        <v>51</v>
      </c>
      <c r="D90">
        <v>53267</v>
      </c>
      <c r="E90" t="s">
        <v>142</v>
      </c>
      <c r="F90">
        <v>11782</v>
      </c>
      <c r="G90">
        <v>0.83074384622373543</v>
      </c>
      <c r="H90">
        <v>0</v>
      </c>
      <c r="I90">
        <v>0</v>
      </c>
      <c r="J90">
        <v>0.72865211550057163</v>
      </c>
      <c r="K90">
        <v>0</v>
      </c>
      <c r="L90">
        <v>0</v>
      </c>
      <c r="M90">
        <v>0.53525115028083114</v>
      </c>
      <c r="N90">
        <v>0</v>
      </c>
      <c r="O90">
        <v>0</v>
      </c>
      <c r="P90">
        <v>0.69013533803860538</v>
      </c>
      <c r="Q90">
        <v>1.436208641952863</v>
      </c>
      <c r="R90">
        <v>3.8570066439842128</v>
      </c>
      <c r="S90">
        <v>0.19369169655972041</v>
      </c>
      <c r="T90">
        <v>0.14889964361652169</v>
      </c>
      <c r="U90">
        <v>4.4286477380750293</v>
      </c>
      <c r="V90">
        <v>0.20127646963296911</v>
      </c>
      <c r="W90">
        <v>10.21746879757257</v>
      </c>
      <c r="X90">
        <v>0.34797128672413868</v>
      </c>
      <c r="Z90" t="s">
        <v>392</v>
      </c>
      <c r="AA90">
        <v>161</v>
      </c>
      <c r="AB90" t="s">
        <v>4537</v>
      </c>
      <c r="AC90" t="str">
        <f>HYPERLINK("plots/3FT6Y578R04_015_S31P_20251219032831_M5358ACSA301811_RBGEUFRF04/dpll_52046/txpa_53267.png","plot")</f>
        <v>plot</v>
      </c>
    </row>
    <row r="91" spans="1:29" x14ac:dyDescent="0.35">
      <c r="A91" t="s">
        <v>50</v>
      </c>
      <c r="B91">
        <v>52046</v>
      </c>
      <c r="C91" t="s">
        <v>51</v>
      </c>
      <c r="D91">
        <v>53268</v>
      </c>
      <c r="E91" t="s">
        <v>143</v>
      </c>
      <c r="F91">
        <v>11782</v>
      </c>
      <c r="G91">
        <v>0.84368612895999351</v>
      </c>
      <c r="H91">
        <v>0</v>
      </c>
      <c r="I91">
        <v>0</v>
      </c>
      <c r="J91">
        <v>0.74137819539217709</v>
      </c>
      <c r="K91">
        <v>0</v>
      </c>
      <c r="L91">
        <v>0</v>
      </c>
      <c r="M91">
        <v>0.55006250800374534</v>
      </c>
      <c r="N91">
        <v>0</v>
      </c>
      <c r="O91">
        <v>0</v>
      </c>
      <c r="P91">
        <v>0.71180628419949876</v>
      </c>
      <c r="Q91">
        <v>1.4690301791356419</v>
      </c>
      <c r="R91">
        <v>3.7470844860229411</v>
      </c>
      <c r="S91">
        <v>0.18813371757255401</v>
      </c>
      <c r="T91">
        <v>0.14621600221009079</v>
      </c>
      <c r="U91">
        <v>4.4286477380750293</v>
      </c>
      <c r="V91">
        <v>0.20127646963296911</v>
      </c>
      <c r="W91">
        <v>10.25290166601596</v>
      </c>
      <c r="X91">
        <v>0.35046351728597769</v>
      </c>
      <c r="Z91" t="s">
        <v>392</v>
      </c>
      <c r="AA91">
        <v>161</v>
      </c>
      <c r="AB91" t="s">
        <v>4538</v>
      </c>
      <c r="AC91" t="str">
        <f>HYPERLINK("plots/3FT6Y578R04_015_S31P_20251219032831_M5358ACSA301811_RBGEUFRF04/dpll_52046/txpa_53268.png","plot")</f>
        <v>plot</v>
      </c>
    </row>
    <row r="92" spans="1:29" x14ac:dyDescent="0.35">
      <c r="A92" t="s">
        <v>50</v>
      </c>
      <c r="B92">
        <v>52046</v>
      </c>
      <c r="C92" t="s">
        <v>51</v>
      </c>
      <c r="D92">
        <v>53269</v>
      </c>
      <c r="E92" t="s">
        <v>144</v>
      </c>
      <c r="F92">
        <v>11782</v>
      </c>
      <c r="G92">
        <v>0.83947861467666796</v>
      </c>
      <c r="H92">
        <v>0</v>
      </c>
      <c r="I92">
        <v>0</v>
      </c>
      <c r="J92">
        <v>0.73374357987110472</v>
      </c>
      <c r="K92">
        <v>0</v>
      </c>
      <c r="L92">
        <v>0</v>
      </c>
      <c r="M92">
        <v>0.54173616636016275</v>
      </c>
      <c r="N92">
        <v>0</v>
      </c>
      <c r="O92">
        <v>0</v>
      </c>
      <c r="P92">
        <v>0.70472434449945753</v>
      </c>
      <c r="Q92">
        <v>1.438820910832695</v>
      </c>
      <c r="R92">
        <v>3.897055318528281</v>
      </c>
      <c r="S92">
        <v>0.18745002387052331</v>
      </c>
      <c r="T92">
        <v>0.14506666673932769</v>
      </c>
      <c r="U92">
        <v>4.4286477380750293</v>
      </c>
      <c r="V92">
        <v>0.20127646963296911</v>
      </c>
      <c r="W92">
        <v>10.26908629078255</v>
      </c>
      <c r="X92">
        <v>0.34497697535516142</v>
      </c>
      <c r="Z92" t="s">
        <v>392</v>
      </c>
      <c r="AA92">
        <v>161</v>
      </c>
      <c r="AB92" t="s">
        <v>4539</v>
      </c>
      <c r="AC92" t="str">
        <f>HYPERLINK("plots/3FT6Y578R04_015_S31P_20251219032831_M5358ACSA301811_RBGEUFRF04/dpll_52046/txpa_53269.png","plot")</f>
        <v>plot</v>
      </c>
    </row>
    <row r="93" spans="1:29" x14ac:dyDescent="0.35">
      <c r="A93" t="s">
        <v>50</v>
      </c>
      <c r="B93">
        <v>52046</v>
      </c>
      <c r="C93" t="s">
        <v>51</v>
      </c>
      <c r="D93">
        <v>53270</v>
      </c>
      <c r="E93" t="s">
        <v>145</v>
      </c>
      <c r="F93">
        <v>11781</v>
      </c>
      <c r="G93">
        <v>0.84846556826817687</v>
      </c>
      <c r="H93">
        <v>0</v>
      </c>
      <c r="I93">
        <v>0</v>
      </c>
      <c r="J93">
        <v>0.74290231648420624</v>
      </c>
      <c r="K93">
        <v>0</v>
      </c>
      <c r="L93">
        <v>0</v>
      </c>
      <c r="M93">
        <v>0.55133601352952544</v>
      </c>
      <c r="N93">
        <v>0</v>
      </c>
      <c r="O93">
        <v>0</v>
      </c>
      <c r="P93">
        <v>0.71989382053664031</v>
      </c>
      <c r="Q93">
        <v>1.4685542844562001</v>
      </c>
      <c r="R93">
        <v>3.776379190909338</v>
      </c>
      <c r="S93">
        <v>0.18437713859747629</v>
      </c>
      <c r="T93">
        <v>0.1443181381393725</v>
      </c>
      <c r="U93">
        <v>4.4286547017231142</v>
      </c>
      <c r="V93">
        <v>0.20128359324518649</v>
      </c>
      <c r="W93">
        <v>10.28009902750191</v>
      </c>
      <c r="X93">
        <v>0.34838877888033259</v>
      </c>
      <c r="Z93" t="s">
        <v>392</v>
      </c>
      <c r="AA93">
        <v>161</v>
      </c>
      <c r="AB93" t="s">
        <v>4540</v>
      </c>
      <c r="AC93" t="str">
        <f>HYPERLINK("plots/3FT6Y578R04_015_S31P_20251219032831_M5358ACSA301811_RBGEUFRF04/dpll_52046/txpa_53270.png","plot")</f>
        <v>plot</v>
      </c>
    </row>
    <row r="94" spans="1:29" x14ac:dyDescent="0.35">
      <c r="A94" t="s">
        <v>50</v>
      </c>
      <c r="B94">
        <v>52046</v>
      </c>
      <c r="C94" t="s">
        <v>51</v>
      </c>
      <c r="D94">
        <v>53271</v>
      </c>
      <c r="E94" t="s">
        <v>146</v>
      </c>
      <c r="F94">
        <v>11781</v>
      </c>
      <c r="G94">
        <v>0.8504296729208074</v>
      </c>
      <c r="H94">
        <v>0</v>
      </c>
      <c r="I94">
        <v>0</v>
      </c>
      <c r="J94">
        <v>0.74239406725873169</v>
      </c>
      <c r="K94">
        <v>0</v>
      </c>
      <c r="L94">
        <v>0</v>
      </c>
      <c r="M94">
        <v>0.54980542971728097</v>
      </c>
      <c r="N94">
        <v>0</v>
      </c>
      <c r="O94">
        <v>0</v>
      </c>
      <c r="P94">
        <v>0.7232306285841914</v>
      </c>
      <c r="Q94">
        <v>1.4706082695444009</v>
      </c>
      <c r="R94">
        <v>3.7450319565691839</v>
      </c>
      <c r="S94">
        <v>0.1830904651271133</v>
      </c>
      <c r="T94">
        <v>0.1434398984368192</v>
      </c>
      <c r="U94">
        <v>4.4286210779220783</v>
      </c>
      <c r="V94">
        <v>0.20126420786155011</v>
      </c>
      <c r="W94">
        <v>10.25779873644003</v>
      </c>
      <c r="X94">
        <v>0.34803678407404381</v>
      </c>
      <c r="Z94" t="s">
        <v>392</v>
      </c>
      <c r="AA94">
        <v>161</v>
      </c>
      <c r="AB94" t="s">
        <v>4541</v>
      </c>
      <c r="AC94" t="str">
        <f>HYPERLINK("plots/3FT6Y578R04_015_S31P_20251219032831_M5358ACSA301811_RBGEUFRF04/dpll_52046/txpa_53271.png","plot")</f>
        <v>plot</v>
      </c>
    </row>
    <row r="95" spans="1:29" x14ac:dyDescent="0.35">
      <c r="A95" t="s">
        <v>50</v>
      </c>
      <c r="B95">
        <v>52046</v>
      </c>
      <c r="C95" t="s">
        <v>51</v>
      </c>
      <c r="D95">
        <v>53272</v>
      </c>
      <c r="E95" t="s">
        <v>147</v>
      </c>
      <c r="F95">
        <v>11781</v>
      </c>
      <c r="G95">
        <v>0.85255766991366411</v>
      </c>
      <c r="H95">
        <v>0</v>
      </c>
      <c r="I95">
        <v>0</v>
      </c>
      <c r="J95">
        <v>0.75111146263764017</v>
      </c>
      <c r="K95">
        <v>0</v>
      </c>
      <c r="L95">
        <v>0</v>
      </c>
      <c r="M95">
        <v>0.55867325623080732</v>
      </c>
      <c r="N95">
        <v>0</v>
      </c>
      <c r="O95">
        <v>0</v>
      </c>
      <c r="P95">
        <v>0.72685458052861629</v>
      </c>
      <c r="Q95">
        <v>1.480641045196178</v>
      </c>
      <c r="R95">
        <v>3.7056919616873492</v>
      </c>
      <c r="S95">
        <v>0.18266898529768499</v>
      </c>
      <c r="T95">
        <v>0.14354494687027711</v>
      </c>
      <c r="U95">
        <v>4.4286192746795683</v>
      </c>
      <c r="V95">
        <v>0.20126129812424351</v>
      </c>
      <c r="W95">
        <v>10.262887433324851</v>
      </c>
      <c r="X95">
        <v>0.34953147373877541</v>
      </c>
      <c r="Z95" t="s">
        <v>392</v>
      </c>
      <c r="AA95">
        <v>161</v>
      </c>
      <c r="AB95" t="s">
        <v>4542</v>
      </c>
      <c r="AC95" t="str">
        <f>HYPERLINK("plots/3FT6Y578R04_015_S31P_20251219032831_M5358ACSA301811_RBGEUFRF04/dpll_52046/txpa_53272.png","plot")</f>
        <v>plot</v>
      </c>
    </row>
    <row r="96" spans="1:29" x14ac:dyDescent="0.35">
      <c r="A96" t="s">
        <v>50</v>
      </c>
      <c r="B96">
        <v>52046</v>
      </c>
      <c r="C96" t="s">
        <v>51</v>
      </c>
      <c r="D96">
        <v>53273</v>
      </c>
      <c r="E96" t="s">
        <v>148</v>
      </c>
      <c r="F96">
        <v>11782</v>
      </c>
      <c r="G96">
        <v>0.84988652800966147</v>
      </c>
      <c r="H96">
        <v>0</v>
      </c>
      <c r="I96">
        <v>0</v>
      </c>
      <c r="J96">
        <v>0.74260715413086908</v>
      </c>
      <c r="K96">
        <v>0</v>
      </c>
      <c r="L96">
        <v>0</v>
      </c>
      <c r="M96">
        <v>0.55120992431274674</v>
      </c>
      <c r="N96">
        <v>0</v>
      </c>
      <c r="O96">
        <v>0</v>
      </c>
      <c r="P96">
        <v>0.72230711049231711</v>
      </c>
      <c r="Q96">
        <v>1.4663713576297619</v>
      </c>
      <c r="R96">
        <v>3.7765059957578471</v>
      </c>
      <c r="S96">
        <v>0.18299531824803619</v>
      </c>
      <c r="T96">
        <v>0.1434072547914973</v>
      </c>
      <c r="U96">
        <v>4.4286477380750293</v>
      </c>
      <c r="V96">
        <v>0.20127646963296911</v>
      </c>
      <c r="W96">
        <v>10.2705481919029</v>
      </c>
      <c r="X96">
        <v>0.3472770073504064</v>
      </c>
      <c r="Z96" t="s">
        <v>392</v>
      </c>
      <c r="AA96">
        <v>161</v>
      </c>
      <c r="AB96" t="s">
        <v>4543</v>
      </c>
      <c r="AC96" t="str">
        <f>HYPERLINK("plots/3FT6Y578R04_015_S31P_20251219032831_M5358ACSA301811_RBGEUFRF04/dpll_52046/txpa_53273.png","plot")</f>
        <v>plot</v>
      </c>
    </row>
    <row r="97" spans="1:29" x14ac:dyDescent="0.35">
      <c r="A97" t="s">
        <v>50</v>
      </c>
      <c r="B97">
        <v>52046</v>
      </c>
      <c r="C97" t="s">
        <v>51</v>
      </c>
      <c r="D97">
        <v>53274</v>
      </c>
      <c r="E97" t="s">
        <v>149</v>
      </c>
      <c r="F97">
        <v>11781</v>
      </c>
      <c r="G97">
        <v>0.8449067737828051</v>
      </c>
      <c r="H97">
        <v>0</v>
      </c>
      <c r="I97">
        <v>0</v>
      </c>
      <c r="J97">
        <v>0.73804756489128576</v>
      </c>
      <c r="K97">
        <v>0</v>
      </c>
      <c r="L97">
        <v>0</v>
      </c>
      <c r="M97">
        <v>0.54691199517551659</v>
      </c>
      <c r="N97">
        <v>0</v>
      </c>
      <c r="O97">
        <v>0</v>
      </c>
      <c r="P97">
        <v>0.71386745638406823</v>
      </c>
      <c r="Q97">
        <v>1.4540970279609531</v>
      </c>
      <c r="R97">
        <v>3.800434461207431</v>
      </c>
      <c r="S97">
        <v>0.1852803632386717</v>
      </c>
      <c r="T97">
        <v>0.14422627597616561</v>
      </c>
      <c r="U97">
        <v>4.4286701896273666</v>
      </c>
      <c r="V97">
        <v>0.20127025814248481</v>
      </c>
      <c r="W97">
        <v>10.24015062176386</v>
      </c>
      <c r="X97">
        <v>0.34638908488281939</v>
      </c>
      <c r="Z97" t="s">
        <v>392</v>
      </c>
      <c r="AA97">
        <v>161</v>
      </c>
      <c r="AB97" t="s">
        <v>4544</v>
      </c>
      <c r="AC97" t="str">
        <f>HYPERLINK("plots/3FT6Y578R04_015_S31P_20251219032831_M5358ACSA301811_RBGEUFRF04/dpll_52046/txpa_53274.png","plot")</f>
        <v>plot</v>
      </c>
    </row>
    <row r="98" spans="1:29" x14ac:dyDescent="0.35">
      <c r="A98" t="s">
        <v>50</v>
      </c>
      <c r="B98">
        <v>52046</v>
      </c>
      <c r="C98" t="s">
        <v>51</v>
      </c>
      <c r="D98">
        <v>53275</v>
      </c>
      <c r="E98" t="s">
        <v>150</v>
      </c>
      <c r="F98">
        <v>11782</v>
      </c>
      <c r="G98">
        <v>0.83662232944770587</v>
      </c>
      <c r="H98">
        <v>0</v>
      </c>
      <c r="I98">
        <v>0</v>
      </c>
      <c r="J98">
        <v>0.73362729593783527</v>
      </c>
      <c r="K98">
        <v>0</v>
      </c>
      <c r="L98">
        <v>0</v>
      </c>
      <c r="M98">
        <v>0.53990709645808932</v>
      </c>
      <c r="N98">
        <v>0</v>
      </c>
      <c r="O98">
        <v>0</v>
      </c>
      <c r="P98">
        <v>0.69993692213050573</v>
      </c>
      <c r="Q98">
        <v>1.516634553103491</v>
      </c>
      <c r="R98">
        <v>5.0605020016002973</v>
      </c>
      <c r="S98">
        <v>0.19986297581904769</v>
      </c>
      <c r="T98">
        <v>0.15313152995009249</v>
      </c>
      <c r="U98">
        <v>4.4286477380750293</v>
      </c>
      <c r="V98">
        <v>0.20127646963296911</v>
      </c>
      <c r="W98">
        <v>11.777142184688509</v>
      </c>
      <c r="X98">
        <v>0.36487533003519651</v>
      </c>
      <c r="Z98" t="s">
        <v>392</v>
      </c>
      <c r="AA98">
        <v>161</v>
      </c>
      <c r="AB98" t="s">
        <v>4545</v>
      </c>
      <c r="AC98" t="str">
        <f>HYPERLINK("plots/3FT6Y578R04_015_S31P_20251219032831_M5358ACSA301811_RBGEUFRF04/dpll_52046/txpa_53275.png","plot")</f>
        <v>plot</v>
      </c>
    </row>
    <row r="99" spans="1:29" x14ac:dyDescent="0.35">
      <c r="A99" t="s">
        <v>50</v>
      </c>
      <c r="B99">
        <v>52046</v>
      </c>
      <c r="C99" t="s">
        <v>51</v>
      </c>
      <c r="D99">
        <v>53276</v>
      </c>
      <c r="E99" t="s">
        <v>151</v>
      </c>
      <c r="F99">
        <v>11782</v>
      </c>
      <c r="G99">
        <v>0.84886426508679702</v>
      </c>
      <c r="H99">
        <v>0</v>
      </c>
      <c r="I99">
        <v>0</v>
      </c>
      <c r="J99">
        <v>0.745841061753306</v>
      </c>
      <c r="K99">
        <v>0</v>
      </c>
      <c r="L99">
        <v>0</v>
      </c>
      <c r="M99">
        <v>0.55443502600786765</v>
      </c>
      <c r="N99">
        <v>0</v>
      </c>
      <c r="O99">
        <v>0</v>
      </c>
      <c r="P99">
        <v>0.72057054054134795</v>
      </c>
      <c r="Q99">
        <v>1.550496692112616</v>
      </c>
      <c r="R99">
        <v>4.946739847963566</v>
      </c>
      <c r="S99">
        <v>0.19433152696712619</v>
      </c>
      <c r="T99">
        <v>0.15053908024025339</v>
      </c>
      <c r="U99">
        <v>4.4286477380750293</v>
      </c>
      <c r="V99">
        <v>0.20127646963296911</v>
      </c>
      <c r="W99">
        <v>11.81334351638092</v>
      </c>
      <c r="X99">
        <v>0.36764240550768601</v>
      </c>
      <c r="Z99" t="s">
        <v>392</v>
      </c>
      <c r="AA99">
        <v>161</v>
      </c>
      <c r="AB99" t="s">
        <v>4546</v>
      </c>
      <c r="AC99" t="str">
        <f>HYPERLINK("plots/3FT6Y578R04_015_S31P_20251219032831_M5358ACSA301811_RBGEUFRF04/dpll_52046/txpa_53276.png","plot")</f>
        <v>plot</v>
      </c>
    </row>
    <row r="100" spans="1:29" x14ac:dyDescent="0.35">
      <c r="A100" t="s">
        <v>50</v>
      </c>
      <c r="B100">
        <v>52046</v>
      </c>
      <c r="C100" t="s">
        <v>51</v>
      </c>
      <c r="D100">
        <v>53277</v>
      </c>
      <c r="E100" t="s">
        <v>152</v>
      </c>
      <c r="F100">
        <v>11782</v>
      </c>
      <c r="G100">
        <v>0.84531562488265666</v>
      </c>
      <c r="H100">
        <v>0</v>
      </c>
      <c r="I100">
        <v>0</v>
      </c>
      <c r="J100">
        <v>0.73893878269285296</v>
      </c>
      <c r="K100">
        <v>0</v>
      </c>
      <c r="L100">
        <v>0</v>
      </c>
      <c r="M100">
        <v>0.54666755358836205</v>
      </c>
      <c r="N100">
        <v>0</v>
      </c>
      <c r="O100">
        <v>0</v>
      </c>
      <c r="P100">
        <v>0.71455850567075629</v>
      </c>
      <c r="Q100">
        <v>1.5198832926217469</v>
      </c>
      <c r="R100">
        <v>5.0988801653218179</v>
      </c>
      <c r="S100">
        <v>0.19334122803091419</v>
      </c>
      <c r="T100">
        <v>0.1490799191934554</v>
      </c>
      <c r="U100">
        <v>4.4286477380750293</v>
      </c>
      <c r="V100">
        <v>0.20127646963296911</v>
      </c>
      <c r="W100">
        <v>11.82990787132915</v>
      </c>
      <c r="X100">
        <v>0.36189647320845902</v>
      </c>
      <c r="Z100" t="s">
        <v>392</v>
      </c>
      <c r="AA100">
        <v>161</v>
      </c>
      <c r="AB100" t="s">
        <v>4547</v>
      </c>
      <c r="AC100" t="str">
        <f>HYPERLINK("plots/3FT6Y578R04_015_S31P_20251219032831_M5358ACSA301811_RBGEUFRF04/dpll_52046/txpa_53277.png","plot")</f>
        <v>plot</v>
      </c>
    </row>
    <row r="101" spans="1:29" x14ac:dyDescent="0.35">
      <c r="A101" t="s">
        <v>50</v>
      </c>
      <c r="B101">
        <v>52046</v>
      </c>
      <c r="C101" t="s">
        <v>51</v>
      </c>
      <c r="D101">
        <v>53278</v>
      </c>
      <c r="E101" t="s">
        <v>153</v>
      </c>
      <c r="F101">
        <v>11781</v>
      </c>
      <c r="G101">
        <v>0.85354905710152684</v>
      </c>
      <c r="H101">
        <v>0</v>
      </c>
      <c r="I101">
        <v>0</v>
      </c>
      <c r="J101">
        <v>0.74722458400969249</v>
      </c>
      <c r="K101">
        <v>0</v>
      </c>
      <c r="L101">
        <v>0</v>
      </c>
      <c r="M101">
        <v>0.55551634043594245</v>
      </c>
      <c r="N101">
        <v>0</v>
      </c>
      <c r="O101">
        <v>0</v>
      </c>
      <c r="P101">
        <v>0.72854599287890554</v>
      </c>
      <c r="Q101">
        <v>1.5498336650601729</v>
      </c>
      <c r="R101">
        <v>4.9778117462394551</v>
      </c>
      <c r="S101">
        <v>0.19041215831883099</v>
      </c>
      <c r="T101">
        <v>0.1486461085381478</v>
      </c>
      <c r="U101">
        <v>4.4286547017231142</v>
      </c>
      <c r="V101">
        <v>0.20128359324518649</v>
      </c>
      <c r="W101">
        <v>11.84148989389695</v>
      </c>
      <c r="X101">
        <v>0.36548114773274532</v>
      </c>
      <c r="Z101" t="s">
        <v>392</v>
      </c>
      <c r="AA101">
        <v>161</v>
      </c>
      <c r="AB101" t="s">
        <v>4548</v>
      </c>
      <c r="AC101" t="str">
        <f>HYPERLINK("plots/3FT6Y578R04_015_S31P_20251219032831_M5358ACSA301811_RBGEUFRF04/dpll_52046/txpa_53278.png","plot")</f>
        <v>plot</v>
      </c>
    </row>
    <row r="102" spans="1:29" x14ac:dyDescent="0.35">
      <c r="A102" t="s">
        <v>50</v>
      </c>
      <c r="B102">
        <v>52046</v>
      </c>
      <c r="C102" t="s">
        <v>51</v>
      </c>
      <c r="D102">
        <v>53279</v>
      </c>
      <c r="E102" t="s">
        <v>154</v>
      </c>
      <c r="F102">
        <v>11781</v>
      </c>
      <c r="G102">
        <v>0.85524107516875636</v>
      </c>
      <c r="H102">
        <v>0</v>
      </c>
      <c r="I102">
        <v>0</v>
      </c>
      <c r="J102">
        <v>0.74686102773958951</v>
      </c>
      <c r="K102">
        <v>0</v>
      </c>
      <c r="L102">
        <v>0</v>
      </c>
      <c r="M102">
        <v>0.55408499862865901</v>
      </c>
      <c r="N102">
        <v>0</v>
      </c>
      <c r="O102">
        <v>0</v>
      </c>
      <c r="P102">
        <v>0.73143729665581037</v>
      </c>
      <c r="Q102">
        <v>1.5529662106897351</v>
      </c>
      <c r="R102">
        <v>4.939727082611105</v>
      </c>
      <c r="S102">
        <v>0.1893844953984129</v>
      </c>
      <c r="T102">
        <v>0.14810100762925171</v>
      </c>
      <c r="U102">
        <v>4.4286210779220783</v>
      </c>
      <c r="V102">
        <v>0.20126420786155011</v>
      </c>
      <c r="W102">
        <v>11.817225976572439</v>
      </c>
      <c r="X102">
        <v>0.36546012966992819</v>
      </c>
      <c r="Z102" t="s">
        <v>392</v>
      </c>
      <c r="AA102">
        <v>161</v>
      </c>
      <c r="AB102" t="s">
        <v>4549</v>
      </c>
      <c r="AC102" t="str">
        <f>HYPERLINK("plots/3FT6Y578R04_015_S31P_20251219032831_M5358ACSA301811_RBGEUFRF04/dpll_52046/txpa_53279.png","plot")</f>
        <v>plot</v>
      </c>
    </row>
    <row r="103" spans="1:29" x14ac:dyDescent="0.35">
      <c r="A103" t="s">
        <v>50</v>
      </c>
      <c r="B103">
        <v>52046</v>
      </c>
      <c r="C103" t="s">
        <v>51</v>
      </c>
      <c r="D103">
        <v>53280</v>
      </c>
      <c r="E103" t="s">
        <v>155</v>
      </c>
      <c r="F103">
        <v>11781</v>
      </c>
      <c r="G103">
        <v>0.85743951165357912</v>
      </c>
      <c r="H103">
        <v>0</v>
      </c>
      <c r="I103">
        <v>0</v>
      </c>
      <c r="J103">
        <v>0.75491922087374275</v>
      </c>
      <c r="K103">
        <v>0</v>
      </c>
      <c r="L103">
        <v>0</v>
      </c>
      <c r="M103">
        <v>0.56251778506290295</v>
      </c>
      <c r="N103">
        <v>0</v>
      </c>
      <c r="O103">
        <v>0</v>
      </c>
      <c r="P103">
        <v>0.7352025161447282</v>
      </c>
      <c r="Q103">
        <v>1.561939178618118</v>
      </c>
      <c r="R103">
        <v>4.9063549909082793</v>
      </c>
      <c r="S103">
        <v>0.18865112092765501</v>
      </c>
      <c r="T103">
        <v>0.14776962038145949</v>
      </c>
      <c r="U103">
        <v>4.4286192746795683</v>
      </c>
      <c r="V103">
        <v>0.20126129812424351</v>
      </c>
      <c r="W103">
        <v>11.82358894321365</v>
      </c>
      <c r="X103">
        <v>0.36662400368459253</v>
      </c>
      <c r="Z103" t="s">
        <v>392</v>
      </c>
      <c r="AA103">
        <v>161</v>
      </c>
      <c r="AB103" t="s">
        <v>4550</v>
      </c>
      <c r="AC103" t="str">
        <f>HYPERLINK("plots/3FT6Y578R04_015_S31P_20251219032831_M5358ACSA301811_RBGEUFRF04/dpll_52046/txpa_53280.png","plot")</f>
        <v>plot</v>
      </c>
    </row>
    <row r="104" spans="1:29" x14ac:dyDescent="0.35">
      <c r="A104" t="s">
        <v>50</v>
      </c>
      <c r="B104">
        <v>52046</v>
      </c>
      <c r="C104" t="s">
        <v>51</v>
      </c>
      <c r="D104">
        <v>53281</v>
      </c>
      <c r="E104" t="s">
        <v>156</v>
      </c>
      <c r="F104">
        <v>11782</v>
      </c>
      <c r="G104">
        <v>0.85490726225352087</v>
      </c>
      <c r="H104">
        <v>0</v>
      </c>
      <c r="I104">
        <v>0</v>
      </c>
      <c r="J104">
        <v>0.7469356226715812</v>
      </c>
      <c r="K104">
        <v>0</v>
      </c>
      <c r="L104">
        <v>0</v>
      </c>
      <c r="M104">
        <v>0.55538938779967784</v>
      </c>
      <c r="N104">
        <v>0</v>
      </c>
      <c r="O104">
        <v>0</v>
      </c>
      <c r="P104">
        <v>0.73086642705381033</v>
      </c>
      <c r="Q104">
        <v>1.5477836002934069</v>
      </c>
      <c r="R104">
        <v>4.9774752039207266</v>
      </c>
      <c r="S104">
        <v>0.18903827604863771</v>
      </c>
      <c r="T104">
        <v>0.14762885040118751</v>
      </c>
      <c r="U104">
        <v>4.4286477380750293</v>
      </c>
      <c r="V104">
        <v>0.20127646963296911</v>
      </c>
      <c r="W104">
        <v>11.832063544389751</v>
      </c>
      <c r="X104">
        <v>0.3644049273855382</v>
      </c>
      <c r="Z104" t="s">
        <v>392</v>
      </c>
      <c r="AA104">
        <v>161</v>
      </c>
      <c r="AB104" t="s">
        <v>4551</v>
      </c>
      <c r="AC104" t="str">
        <f>HYPERLINK("plots/3FT6Y578R04_015_S31P_20251219032831_M5358ACSA301811_RBGEUFRF04/dpll_52046/txpa_53281.png","plot")</f>
        <v>plot</v>
      </c>
    </row>
    <row r="105" spans="1:29" x14ac:dyDescent="0.35">
      <c r="A105" t="s">
        <v>50</v>
      </c>
      <c r="B105">
        <v>52046</v>
      </c>
      <c r="C105" t="s">
        <v>51</v>
      </c>
      <c r="D105">
        <v>53282</v>
      </c>
      <c r="E105" t="s">
        <v>157</v>
      </c>
      <c r="F105">
        <v>11779</v>
      </c>
      <c r="G105">
        <v>0.85057071572478038</v>
      </c>
      <c r="H105">
        <v>0</v>
      </c>
      <c r="I105">
        <v>0</v>
      </c>
      <c r="J105">
        <v>0.74125098652562338</v>
      </c>
      <c r="K105">
        <v>0</v>
      </c>
      <c r="L105">
        <v>0</v>
      </c>
      <c r="M105">
        <v>0.55009050031260187</v>
      </c>
      <c r="N105">
        <v>0</v>
      </c>
      <c r="O105">
        <v>0</v>
      </c>
      <c r="P105">
        <v>0.72347054244856512</v>
      </c>
      <c r="Q105">
        <v>1.5318885153792601</v>
      </c>
      <c r="R105">
        <v>5.0180127090048092</v>
      </c>
      <c r="S105">
        <v>0.19061803369066971</v>
      </c>
      <c r="T105">
        <v>0.1483959223677713</v>
      </c>
      <c r="U105">
        <v>4.4286952785465656</v>
      </c>
      <c r="V105">
        <v>0.2012773872983499</v>
      </c>
      <c r="W105">
        <v>11.802280144324641</v>
      </c>
      <c r="X105">
        <v>0.36250309622422211</v>
      </c>
      <c r="Z105" t="s">
        <v>392</v>
      </c>
      <c r="AA105">
        <v>161</v>
      </c>
      <c r="AB105" t="s">
        <v>4552</v>
      </c>
      <c r="AC105" t="str">
        <f>HYPERLINK("plots/3FT6Y578R04_015_S31P_20251219032831_M5358ACSA301811_RBGEUFRF04/dpll_52046/txpa_53282.png","plot")</f>
        <v>plot</v>
      </c>
    </row>
    <row r="106" spans="1:29" x14ac:dyDescent="0.35">
      <c r="A106" t="s">
        <v>50</v>
      </c>
      <c r="B106">
        <v>52046</v>
      </c>
      <c r="C106" t="s">
        <v>51</v>
      </c>
      <c r="D106">
        <v>53283</v>
      </c>
      <c r="E106" t="s">
        <v>158</v>
      </c>
      <c r="F106">
        <v>11782</v>
      </c>
      <c r="G106">
        <v>0.83859218502023347</v>
      </c>
      <c r="H106">
        <v>0</v>
      </c>
      <c r="I106">
        <v>0</v>
      </c>
      <c r="J106">
        <v>0.73497386384796082</v>
      </c>
      <c r="K106">
        <v>0</v>
      </c>
      <c r="L106">
        <v>0</v>
      </c>
      <c r="M106">
        <v>0.54124458528113162</v>
      </c>
      <c r="N106">
        <v>0</v>
      </c>
      <c r="O106">
        <v>0</v>
      </c>
      <c r="P106">
        <v>0.70323685277700954</v>
      </c>
      <c r="Q106">
        <v>1.550880237483756</v>
      </c>
      <c r="R106">
        <v>5.4594561715042262</v>
      </c>
      <c r="S106">
        <v>0.2027715450359317</v>
      </c>
      <c r="T106">
        <v>0.1550846224475233</v>
      </c>
      <c r="U106">
        <v>4.4286477380750293</v>
      </c>
      <c r="V106">
        <v>0.20127646963296911</v>
      </c>
      <c r="W106">
        <v>12.327758427261919</v>
      </c>
      <c r="X106">
        <v>0.3722377868531403</v>
      </c>
      <c r="Z106" t="s">
        <v>392</v>
      </c>
      <c r="AA106">
        <v>161</v>
      </c>
      <c r="AB106" t="s">
        <v>4553</v>
      </c>
      <c r="AC106" t="str">
        <f>HYPERLINK("plots/3FT6Y578R04_015_S31P_20251219032831_M5358ACSA301811_RBGEUFRF04/dpll_52046/txpa_53283.png","plot")</f>
        <v>plot</v>
      </c>
    </row>
    <row r="107" spans="1:29" x14ac:dyDescent="0.35">
      <c r="A107" t="s">
        <v>50</v>
      </c>
      <c r="B107">
        <v>52046</v>
      </c>
      <c r="C107" t="s">
        <v>51</v>
      </c>
      <c r="D107">
        <v>53284</v>
      </c>
      <c r="E107" t="s">
        <v>159</v>
      </c>
      <c r="F107">
        <v>11782</v>
      </c>
      <c r="G107">
        <v>0.8505758860152306</v>
      </c>
      <c r="H107">
        <v>0</v>
      </c>
      <c r="I107">
        <v>0</v>
      </c>
      <c r="J107">
        <v>0.74700219623012876</v>
      </c>
      <c r="K107">
        <v>0</v>
      </c>
      <c r="L107">
        <v>0</v>
      </c>
      <c r="M107">
        <v>0.55558674782003048</v>
      </c>
      <c r="N107">
        <v>0</v>
      </c>
      <c r="O107">
        <v>0</v>
      </c>
      <c r="P107">
        <v>0.7234793378705946</v>
      </c>
      <c r="Q107">
        <v>1.585164240801739</v>
      </c>
      <c r="R107">
        <v>5.3442849154968046</v>
      </c>
      <c r="S107">
        <v>0.1972420781646522</v>
      </c>
      <c r="T107">
        <v>0.15255701413511771</v>
      </c>
      <c r="U107">
        <v>4.4286477380750293</v>
      </c>
      <c r="V107">
        <v>0.20127646963296911</v>
      </c>
      <c r="W107">
        <v>12.36441894500085</v>
      </c>
      <c r="X107">
        <v>0.37510616915289158</v>
      </c>
      <c r="Z107" t="s">
        <v>392</v>
      </c>
      <c r="AA107">
        <v>161</v>
      </c>
      <c r="AB107" t="s">
        <v>4554</v>
      </c>
      <c r="AC107" t="str">
        <f>HYPERLINK("plots/3FT6Y578R04_015_S31P_20251219032831_M5358ACSA301811_RBGEUFRF04/dpll_52046/txpa_53284.png","plot")</f>
        <v>plot</v>
      </c>
    </row>
    <row r="108" spans="1:29" x14ac:dyDescent="0.35">
      <c r="A108" t="s">
        <v>50</v>
      </c>
      <c r="B108">
        <v>52046</v>
      </c>
      <c r="C108" t="s">
        <v>51</v>
      </c>
      <c r="D108">
        <v>53285</v>
      </c>
      <c r="E108" t="s">
        <v>160</v>
      </c>
      <c r="F108">
        <v>11782</v>
      </c>
      <c r="G108">
        <v>0.84727801207460629</v>
      </c>
      <c r="H108">
        <v>0</v>
      </c>
      <c r="I108">
        <v>0</v>
      </c>
      <c r="J108">
        <v>0.74032812631814826</v>
      </c>
      <c r="K108">
        <v>0</v>
      </c>
      <c r="L108">
        <v>0</v>
      </c>
      <c r="M108">
        <v>0.54803570816318647</v>
      </c>
      <c r="N108">
        <v>0</v>
      </c>
      <c r="O108">
        <v>0</v>
      </c>
      <c r="P108">
        <v>0.71788002974509668</v>
      </c>
      <c r="Q108">
        <v>1.55470145471503</v>
      </c>
      <c r="R108">
        <v>5.4960674111311754</v>
      </c>
      <c r="S108">
        <v>0.19616095116793411</v>
      </c>
      <c r="T108">
        <v>0.1510121947064012</v>
      </c>
      <c r="U108">
        <v>4.4286477380750293</v>
      </c>
      <c r="V108">
        <v>0.20127646963296911</v>
      </c>
      <c r="W108">
        <v>12.381292491936851</v>
      </c>
      <c r="X108">
        <v>0.36932956559567659</v>
      </c>
      <c r="Z108" t="s">
        <v>392</v>
      </c>
      <c r="AA108">
        <v>161</v>
      </c>
      <c r="AB108" t="s">
        <v>4555</v>
      </c>
      <c r="AC108" t="str">
        <f>HYPERLINK("plots/3FT6Y578R04_015_S31P_20251219032831_M5358ACSA301811_RBGEUFRF04/dpll_52046/txpa_53285.png","plot")</f>
        <v>plot</v>
      </c>
    </row>
    <row r="109" spans="1:29" x14ac:dyDescent="0.35">
      <c r="A109" t="s">
        <v>50</v>
      </c>
      <c r="B109">
        <v>52046</v>
      </c>
      <c r="C109" t="s">
        <v>51</v>
      </c>
      <c r="D109">
        <v>53286</v>
      </c>
      <c r="E109" t="s">
        <v>161</v>
      </c>
      <c r="F109">
        <v>11781</v>
      </c>
      <c r="G109">
        <v>0.85521225698373715</v>
      </c>
      <c r="H109">
        <v>0</v>
      </c>
      <c r="I109">
        <v>0</v>
      </c>
      <c r="J109">
        <v>0.74812313362473848</v>
      </c>
      <c r="K109">
        <v>0</v>
      </c>
      <c r="L109">
        <v>0</v>
      </c>
      <c r="M109">
        <v>0.55647701392982807</v>
      </c>
      <c r="N109">
        <v>0</v>
      </c>
      <c r="O109">
        <v>0</v>
      </c>
      <c r="P109">
        <v>0.73138800449521768</v>
      </c>
      <c r="Q109">
        <v>1.584647793437846</v>
      </c>
      <c r="R109">
        <v>5.3752543832027246</v>
      </c>
      <c r="S109">
        <v>0.1932909315809411</v>
      </c>
      <c r="T109">
        <v>0.15067204556124089</v>
      </c>
      <c r="U109">
        <v>4.4286547017231142</v>
      </c>
      <c r="V109">
        <v>0.20128359324518649</v>
      </c>
      <c r="W109">
        <v>12.393112284186399</v>
      </c>
      <c r="X109">
        <v>0.37296425453042958</v>
      </c>
      <c r="Z109" t="s">
        <v>392</v>
      </c>
      <c r="AA109">
        <v>161</v>
      </c>
      <c r="AB109" t="s">
        <v>4556</v>
      </c>
      <c r="AC109" t="str">
        <f>HYPERLINK("plots/3FT6Y578R04_015_S31P_20251219032831_M5358ACSA301811_RBGEUFRF04/dpll_52046/txpa_53286.png","plot")</f>
        <v>plot</v>
      </c>
    </row>
    <row r="110" spans="1:29" x14ac:dyDescent="0.35">
      <c r="A110" t="s">
        <v>50</v>
      </c>
      <c r="B110">
        <v>52046</v>
      </c>
      <c r="C110" t="s">
        <v>51</v>
      </c>
      <c r="D110">
        <v>53287</v>
      </c>
      <c r="E110" t="s">
        <v>162</v>
      </c>
      <c r="F110">
        <v>11781</v>
      </c>
      <c r="G110">
        <v>0.85678600496371948</v>
      </c>
      <c r="H110">
        <v>0</v>
      </c>
      <c r="I110">
        <v>0</v>
      </c>
      <c r="J110">
        <v>0.74785659134851945</v>
      </c>
      <c r="K110">
        <v>0</v>
      </c>
      <c r="L110">
        <v>0</v>
      </c>
      <c r="M110">
        <v>0.55510869819940878</v>
      </c>
      <c r="N110">
        <v>0</v>
      </c>
      <c r="O110">
        <v>0</v>
      </c>
      <c r="P110">
        <v>0.73408225830169072</v>
      </c>
      <c r="Q110">
        <v>1.588112490349699</v>
      </c>
      <c r="R110">
        <v>5.3347998212219148</v>
      </c>
      <c r="S110">
        <v>0.19236704333108809</v>
      </c>
      <c r="T110">
        <v>0.15024660621932021</v>
      </c>
      <c r="U110">
        <v>4.4286210779220783</v>
      </c>
      <c r="V110">
        <v>0.20126420786155011</v>
      </c>
      <c r="W110">
        <v>12.367948270095919</v>
      </c>
      <c r="X110">
        <v>0.37305721675367531</v>
      </c>
      <c r="Z110" t="s">
        <v>392</v>
      </c>
      <c r="AA110">
        <v>161</v>
      </c>
      <c r="AB110" t="s">
        <v>4557</v>
      </c>
      <c r="AC110" t="str">
        <f>HYPERLINK("plots/3FT6Y578R04_015_S31P_20251219032831_M5358ACSA301811_RBGEUFRF04/dpll_52046/txpa_53287.png","plot")</f>
        <v>plot</v>
      </c>
    </row>
    <row r="111" spans="1:29" x14ac:dyDescent="0.35">
      <c r="A111" t="s">
        <v>50</v>
      </c>
      <c r="B111">
        <v>52046</v>
      </c>
      <c r="C111" t="s">
        <v>51</v>
      </c>
      <c r="D111">
        <v>53288</v>
      </c>
      <c r="E111" t="s">
        <v>163</v>
      </c>
      <c r="F111">
        <v>11781</v>
      </c>
      <c r="G111">
        <v>0.8589934529491674</v>
      </c>
      <c r="H111">
        <v>0</v>
      </c>
      <c r="I111">
        <v>0</v>
      </c>
      <c r="J111">
        <v>0.75588141055568225</v>
      </c>
      <c r="K111">
        <v>0</v>
      </c>
      <c r="L111">
        <v>0</v>
      </c>
      <c r="M111">
        <v>0.56354599530566551</v>
      </c>
      <c r="N111">
        <v>0</v>
      </c>
      <c r="O111">
        <v>0</v>
      </c>
      <c r="P111">
        <v>0.73786975220953344</v>
      </c>
      <c r="Q111">
        <v>1.5970158520386399</v>
      </c>
      <c r="R111">
        <v>5.3019426681671922</v>
      </c>
      <c r="S111">
        <v>0.1915665945944259</v>
      </c>
      <c r="T111">
        <v>0.14976548902083711</v>
      </c>
      <c r="U111">
        <v>4.4286192746795683</v>
      </c>
      <c r="V111">
        <v>0.20126129812424351</v>
      </c>
      <c r="W111">
        <v>12.37451785247433</v>
      </c>
      <c r="X111">
        <v>0.37417920055475912</v>
      </c>
      <c r="Z111" t="s">
        <v>392</v>
      </c>
      <c r="AA111">
        <v>161</v>
      </c>
      <c r="AB111" t="s">
        <v>4558</v>
      </c>
      <c r="AC111" t="str">
        <f>HYPERLINK("plots/3FT6Y578R04_015_S31P_20251219032831_M5358ACSA301811_RBGEUFRF04/dpll_52046/txpa_53288.png","plot")</f>
        <v>plot</v>
      </c>
    </row>
    <row r="112" spans="1:29" x14ac:dyDescent="0.35">
      <c r="A112" t="s">
        <v>50</v>
      </c>
      <c r="B112">
        <v>52046</v>
      </c>
      <c r="C112" t="s">
        <v>51</v>
      </c>
      <c r="D112">
        <v>53289</v>
      </c>
      <c r="E112" t="s">
        <v>164</v>
      </c>
      <c r="F112">
        <v>11782</v>
      </c>
      <c r="G112">
        <v>0.8565760195734976</v>
      </c>
      <c r="H112">
        <v>0</v>
      </c>
      <c r="I112">
        <v>0</v>
      </c>
      <c r="J112">
        <v>0.74812819331727265</v>
      </c>
      <c r="K112">
        <v>0</v>
      </c>
      <c r="L112">
        <v>0</v>
      </c>
      <c r="M112">
        <v>0.5565918070527649</v>
      </c>
      <c r="N112">
        <v>0</v>
      </c>
      <c r="O112">
        <v>0</v>
      </c>
      <c r="P112">
        <v>0.73372247730837692</v>
      </c>
      <c r="Q112">
        <v>1.5829824621570019</v>
      </c>
      <c r="R112">
        <v>5.3728312566090866</v>
      </c>
      <c r="S112">
        <v>0.19193404695504859</v>
      </c>
      <c r="T112">
        <v>0.1496109012545504</v>
      </c>
      <c r="U112">
        <v>4.4286477380750293</v>
      </c>
      <c r="V112">
        <v>0.20127646963296911</v>
      </c>
      <c r="W112">
        <v>12.383302957053131</v>
      </c>
      <c r="X112">
        <v>0.37196596004696769</v>
      </c>
      <c r="Z112" t="s">
        <v>392</v>
      </c>
      <c r="AA112">
        <v>161</v>
      </c>
      <c r="AB112" t="s">
        <v>4559</v>
      </c>
      <c r="AC112" t="str">
        <f>HYPERLINK("plots/3FT6Y578R04_015_S31P_20251219032831_M5358ACSA301811_RBGEUFRF04/dpll_52046/txpa_53289.png","plot")</f>
        <v>plot</v>
      </c>
    </row>
    <row r="113" spans="1:29" x14ac:dyDescent="0.35">
      <c r="A113" t="s">
        <v>50</v>
      </c>
      <c r="B113">
        <v>52046</v>
      </c>
      <c r="C113" t="s">
        <v>51</v>
      </c>
      <c r="D113">
        <v>53290</v>
      </c>
      <c r="E113" t="s">
        <v>165</v>
      </c>
      <c r="F113">
        <v>11778</v>
      </c>
      <c r="G113">
        <v>0.85225970038167809</v>
      </c>
      <c r="H113">
        <v>0</v>
      </c>
      <c r="I113">
        <v>0</v>
      </c>
      <c r="J113">
        <v>0.74186968947150744</v>
      </c>
      <c r="K113">
        <v>0</v>
      </c>
      <c r="L113">
        <v>0</v>
      </c>
      <c r="M113">
        <v>0.55076426571724557</v>
      </c>
      <c r="N113">
        <v>0</v>
      </c>
      <c r="O113">
        <v>0</v>
      </c>
      <c r="P113">
        <v>0.72634659689466774</v>
      </c>
      <c r="Q113">
        <v>1.565142337560637</v>
      </c>
      <c r="R113">
        <v>5.4219767654410518</v>
      </c>
      <c r="S113">
        <v>0.1933461261137305</v>
      </c>
      <c r="T113">
        <v>0.15042762797231671</v>
      </c>
      <c r="U113">
        <v>4.4287210155374428</v>
      </c>
      <c r="V113">
        <v>0.20126654870253249</v>
      </c>
      <c r="W113">
        <v>12.353555528103239</v>
      </c>
      <c r="X113">
        <v>0.36961831747760471</v>
      </c>
      <c r="Z113" t="s">
        <v>392</v>
      </c>
      <c r="AA113">
        <v>161</v>
      </c>
      <c r="AB113" t="s">
        <v>4560</v>
      </c>
      <c r="AC113" t="str">
        <f>HYPERLINK("plots/3FT6Y578R04_015_S31P_20251219032831_M5358ACSA301811_RBGEUFRF04/dpll_52046/txpa_53290.png","plot")</f>
        <v>plot</v>
      </c>
    </row>
    <row r="114" spans="1:29" x14ac:dyDescent="0.35">
      <c r="A114" t="s">
        <v>50</v>
      </c>
      <c r="B114">
        <v>52046</v>
      </c>
      <c r="C114" t="s">
        <v>51</v>
      </c>
      <c r="D114">
        <v>54146</v>
      </c>
      <c r="E114" t="s">
        <v>166</v>
      </c>
      <c r="F114">
        <v>11782</v>
      </c>
      <c r="G114">
        <v>-8.9931007254879063E-3</v>
      </c>
      <c r="H114">
        <v>0.3290289941239668</v>
      </c>
      <c r="I114">
        <v>0.32935380063346731</v>
      </c>
      <c r="J114">
        <v>-1.096115058691109E-2</v>
      </c>
      <c r="K114">
        <v>0.23416954209334509</v>
      </c>
      <c r="L114">
        <v>0.23486440720341439</v>
      </c>
      <c r="M114">
        <v>-7.2791527292471424E-3</v>
      </c>
      <c r="N114">
        <v>0.23602697394322419</v>
      </c>
      <c r="O114">
        <v>0.23672735072050391</v>
      </c>
      <c r="P114">
        <v>8.0875860658771099E-5</v>
      </c>
      <c r="Q114">
        <v>-0.2051284466701768</v>
      </c>
      <c r="R114">
        <v>-10.442808295307071</v>
      </c>
      <c r="S114">
        <v>4.5906422156910853</v>
      </c>
      <c r="T114">
        <v>3.50429706609847</v>
      </c>
      <c r="U114">
        <v>4.4286477380750293</v>
      </c>
      <c r="V114">
        <v>0.20127646963296911</v>
      </c>
      <c r="W114">
        <v>-11.3512499266678</v>
      </c>
      <c r="X114">
        <v>4.5910226992179028</v>
      </c>
      <c r="Z114" t="s">
        <v>392</v>
      </c>
      <c r="AA114">
        <v>161</v>
      </c>
      <c r="AB114" t="s">
        <v>4561</v>
      </c>
      <c r="AC114" t="str">
        <f>HYPERLINK("plots/3FT6Y578R04_015_S31P_20251219032831_M5358ACSA301811_RBGEUFRF04/dpll_52046/txpa_54146.png","plot")</f>
        <v>plot</v>
      </c>
    </row>
    <row r="115" spans="1:29" x14ac:dyDescent="0.35">
      <c r="A115" t="s">
        <v>50</v>
      </c>
      <c r="B115">
        <v>52046</v>
      </c>
      <c r="C115" t="s">
        <v>51</v>
      </c>
      <c r="D115">
        <v>54147</v>
      </c>
      <c r="E115" t="s">
        <v>167</v>
      </c>
      <c r="F115">
        <v>11782</v>
      </c>
      <c r="G115">
        <v>0.27036842322339588</v>
      </c>
      <c r="H115">
        <v>1.8202839865428589E-196</v>
      </c>
      <c r="I115">
        <v>1.871975621049147E-196</v>
      </c>
      <c r="J115">
        <v>0.24350135756853999</v>
      </c>
      <c r="K115">
        <v>1.3359449055392289E-158</v>
      </c>
      <c r="L115">
        <v>1.3697149992080669E-158</v>
      </c>
      <c r="M115">
        <v>0.16443424126261619</v>
      </c>
      <c r="N115">
        <v>6.3026209644049398E-157</v>
      </c>
      <c r="O115">
        <v>6.46193898676098E-157</v>
      </c>
      <c r="P115">
        <v>7.3099084276305348E-2</v>
      </c>
      <c r="Q115">
        <v>1.5397029892747991</v>
      </c>
      <c r="R115">
        <v>-28.848786447807239</v>
      </c>
      <c r="S115">
        <v>1.1034996898642191</v>
      </c>
      <c r="T115">
        <v>0.88975572367891231</v>
      </c>
      <c r="U115">
        <v>4.4286477380750293</v>
      </c>
      <c r="V115">
        <v>0.20127646963296911</v>
      </c>
      <c r="W115">
        <v>-22.029984287048041</v>
      </c>
      <c r="X115">
        <v>1.1462358594609121</v>
      </c>
      <c r="Z115" t="s">
        <v>392</v>
      </c>
      <c r="AA115">
        <v>161</v>
      </c>
      <c r="AB115" t="s">
        <v>4562</v>
      </c>
      <c r="AC115" t="str">
        <f>HYPERLINK("plots/3FT6Y578R04_015_S31P_20251219032831_M5358ACSA301811_RBGEUFRF04/dpll_52046/txpa_54147.png","plot")</f>
        <v>plot</v>
      </c>
    </row>
    <row r="116" spans="1:29" x14ac:dyDescent="0.35">
      <c r="A116" t="s">
        <v>50</v>
      </c>
      <c r="B116">
        <v>52046</v>
      </c>
      <c r="C116" t="s">
        <v>51</v>
      </c>
      <c r="D116">
        <v>54148</v>
      </c>
      <c r="E116" t="s">
        <v>168</v>
      </c>
      <c r="F116">
        <v>11782</v>
      </c>
      <c r="G116">
        <v>0.29110111967858132</v>
      </c>
      <c r="H116">
        <v>7.9305947256315351E-229</v>
      </c>
      <c r="I116">
        <v>8.3679740393240135E-229</v>
      </c>
      <c r="J116">
        <v>0.26225327806388921</v>
      </c>
      <c r="K116">
        <v>1.4927813288809969E-184</v>
      </c>
      <c r="L116">
        <v>1.5718382839930749E-184</v>
      </c>
      <c r="M116">
        <v>0.17747269178116051</v>
      </c>
      <c r="N116">
        <v>1.1843461197433761E-182</v>
      </c>
      <c r="O116">
        <v>1.247068499916701E-182</v>
      </c>
      <c r="P116">
        <v>8.4739861878123698E-2</v>
      </c>
      <c r="Q116">
        <v>1.661246067026882</v>
      </c>
      <c r="R116">
        <v>-29.241660825208161</v>
      </c>
      <c r="S116">
        <v>1.0988462719822201</v>
      </c>
      <c r="T116">
        <v>0.87734893806720915</v>
      </c>
      <c r="U116">
        <v>4.4286477380750293</v>
      </c>
      <c r="V116">
        <v>0.20127646963296911</v>
      </c>
      <c r="W116">
        <v>-21.884587188083511</v>
      </c>
      <c r="X116">
        <v>1.148637778968419</v>
      </c>
      <c r="Z116" t="s">
        <v>392</v>
      </c>
      <c r="AA116">
        <v>161</v>
      </c>
      <c r="AB116" t="s">
        <v>4563</v>
      </c>
      <c r="AC116" t="str">
        <f>HYPERLINK("plots/3FT6Y578R04_015_S31P_20251219032831_M5358ACSA301811_RBGEUFRF04/dpll_52046/txpa_54148.png","plot")</f>
        <v>plot</v>
      </c>
    </row>
    <row r="117" spans="1:29" x14ac:dyDescent="0.35">
      <c r="A117" t="s">
        <v>50</v>
      </c>
      <c r="B117">
        <v>52046</v>
      </c>
      <c r="C117" t="s">
        <v>51</v>
      </c>
      <c r="D117">
        <v>54149</v>
      </c>
      <c r="E117" t="s">
        <v>169</v>
      </c>
      <c r="F117">
        <v>11782</v>
      </c>
      <c r="G117">
        <v>0.28881826584309001</v>
      </c>
      <c r="H117">
        <v>3.9814091837996172E-225</v>
      </c>
      <c r="I117">
        <v>4.1792431805101569E-225</v>
      </c>
      <c r="J117">
        <v>0.25936537060972398</v>
      </c>
      <c r="K117">
        <v>2.0576472936894971E-180</v>
      </c>
      <c r="L117">
        <v>2.153203669557431E-180</v>
      </c>
      <c r="M117">
        <v>0.17544274215689479</v>
      </c>
      <c r="N117">
        <v>1.4321811243864941E-178</v>
      </c>
      <c r="O117">
        <v>1.498691083723328E-178</v>
      </c>
      <c r="P117">
        <v>8.3415990684609809E-2</v>
      </c>
      <c r="Q117">
        <v>1.634312757472361</v>
      </c>
      <c r="R117">
        <v>-29.149592576130349</v>
      </c>
      <c r="S117">
        <v>1.0903633068788789</v>
      </c>
      <c r="T117">
        <v>0.86911732507484951</v>
      </c>
      <c r="U117">
        <v>4.4286477380750293</v>
      </c>
      <c r="V117">
        <v>0.20127646963296911</v>
      </c>
      <c r="W117">
        <v>-21.911797079443222</v>
      </c>
      <c r="X117">
        <v>1.13894701617962</v>
      </c>
      <c r="Z117" t="s">
        <v>392</v>
      </c>
      <c r="AA117">
        <v>161</v>
      </c>
      <c r="AB117" t="s">
        <v>4564</v>
      </c>
      <c r="AC117" t="str">
        <f>HYPERLINK("plots/3FT6Y578R04_015_S31P_20251219032831_M5358ACSA301811_RBGEUFRF04/dpll_52046/txpa_54149.png","plot")</f>
        <v>plot</v>
      </c>
    </row>
    <row r="118" spans="1:29" x14ac:dyDescent="0.35">
      <c r="A118" t="s">
        <v>50</v>
      </c>
      <c r="B118">
        <v>52046</v>
      </c>
      <c r="C118" t="s">
        <v>51</v>
      </c>
      <c r="D118">
        <v>54150</v>
      </c>
      <c r="E118" t="s">
        <v>170</v>
      </c>
      <c r="F118">
        <v>11782</v>
      </c>
      <c r="G118">
        <v>0.28545010734236193</v>
      </c>
      <c r="H118">
        <v>9.941603659563454E-220</v>
      </c>
      <c r="I118">
        <v>1.040328804003854E-219</v>
      </c>
      <c r="J118">
        <v>0.26202359133933922</v>
      </c>
      <c r="K118">
        <v>3.1999029840275098E-184</v>
      </c>
      <c r="L118">
        <v>3.3658730558131689E-184</v>
      </c>
      <c r="M118">
        <v>0.1770850030448653</v>
      </c>
      <c r="N118">
        <v>4.7025985299050043E-182</v>
      </c>
      <c r="O118">
        <v>4.9465092420370059E-182</v>
      </c>
      <c r="P118">
        <v>8.1481763781765942E-2</v>
      </c>
      <c r="Q118">
        <v>1.621849625000686</v>
      </c>
      <c r="R118">
        <v>-28.97781175966011</v>
      </c>
      <c r="S118">
        <v>1.0959704402553789</v>
      </c>
      <c r="T118">
        <v>0.87092622468391523</v>
      </c>
      <c r="U118">
        <v>4.4286477380750293</v>
      </c>
      <c r="V118">
        <v>0.20127646963296911</v>
      </c>
      <c r="W118">
        <v>-21.79521108640299</v>
      </c>
      <c r="X118">
        <v>1.143597982270746</v>
      </c>
      <c r="Z118" t="s">
        <v>392</v>
      </c>
      <c r="AA118">
        <v>161</v>
      </c>
      <c r="AB118" t="s">
        <v>4565</v>
      </c>
      <c r="AC118" t="str">
        <f>HYPERLINK("plots/3FT6Y578R04_015_S31P_20251219032831_M5358ACSA301811_RBGEUFRF04/dpll_52046/txpa_54150.png","plot")</f>
        <v>plot</v>
      </c>
    </row>
    <row r="119" spans="1:29" x14ac:dyDescent="0.35">
      <c r="A119" t="s">
        <v>50</v>
      </c>
      <c r="B119">
        <v>52046</v>
      </c>
      <c r="C119" t="s">
        <v>51</v>
      </c>
      <c r="D119">
        <v>54151</v>
      </c>
      <c r="E119" t="s">
        <v>171</v>
      </c>
      <c r="F119">
        <v>11782</v>
      </c>
      <c r="G119">
        <v>0.28092793757091039</v>
      </c>
      <c r="H119">
        <v>1.3407060820168661E-212</v>
      </c>
      <c r="I119">
        <v>1.392905704062605E-212</v>
      </c>
      <c r="J119">
        <v>0.25364196982498283</v>
      </c>
      <c r="K119">
        <v>2.3052594992621131E-172</v>
      </c>
      <c r="L119">
        <v>2.392562059623114E-172</v>
      </c>
      <c r="M119">
        <v>0.17143493640310051</v>
      </c>
      <c r="N119">
        <v>9.4925796882773562E-171</v>
      </c>
      <c r="O119">
        <v>9.8520734942817194E-171</v>
      </c>
      <c r="P119">
        <v>7.8920506107845331E-2</v>
      </c>
      <c r="Q119">
        <v>1.576628421607168</v>
      </c>
      <c r="R119">
        <v>-28.845587381167981</v>
      </c>
      <c r="S119">
        <v>1.084070564758713</v>
      </c>
      <c r="T119">
        <v>0.86418779959132386</v>
      </c>
      <c r="U119">
        <v>4.4286477380750293</v>
      </c>
      <c r="V119">
        <v>0.20127646963296911</v>
      </c>
      <c r="W119">
        <v>-21.863255488032589</v>
      </c>
      <c r="X119">
        <v>1.1296071347264649</v>
      </c>
      <c r="Z119" t="s">
        <v>392</v>
      </c>
      <c r="AA119">
        <v>161</v>
      </c>
      <c r="AB119" t="s">
        <v>4566</v>
      </c>
      <c r="AC119" t="str">
        <f>HYPERLINK("plots/3FT6Y578R04_015_S31P_20251219032831_M5358ACSA301811_RBGEUFRF04/dpll_52046/txpa_54151.png","plot")</f>
        <v>plot</v>
      </c>
    </row>
    <row r="120" spans="1:29" x14ac:dyDescent="0.35">
      <c r="A120" t="s">
        <v>50</v>
      </c>
      <c r="B120">
        <v>52046</v>
      </c>
      <c r="C120" t="s">
        <v>51</v>
      </c>
      <c r="D120">
        <v>54152</v>
      </c>
      <c r="E120" t="s">
        <v>172</v>
      </c>
      <c r="F120">
        <v>11782</v>
      </c>
      <c r="G120">
        <v>0.27447521584374152</v>
      </c>
      <c r="H120">
        <v>1.1778358130454159E-202</v>
      </c>
      <c r="I120">
        <v>1.2137454414919231E-202</v>
      </c>
      <c r="J120">
        <v>0.25184572654761378</v>
      </c>
      <c r="K120">
        <v>7.0290488166715739E-170</v>
      </c>
      <c r="L120">
        <v>7.2655000001070103E-170</v>
      </c>
      <c r="M120">
        <v>0.16964260375309129</v>
      </c>
      <c r="N120">
        <v>3.4240060417980458E-167</v>
      </c>
      <c r="O120">
        <v>3.5355826134248661E-167</v>
      </c>
      <c r="P120">
        <v>7.5336644112468487E-2</v>
      </c>
      <c r="Q120">
        <v>1.5436747563555999</v>
      </c>
      <c r="R120">
        <v>-28.73475246411105</v>
      </c>
      <c r="S120">
        <v>1.0884765211946601</v>
      </c>
      <c r="T120">
        <v>0.87004753152937375</v>
      </c>
      <c r="U120">
        <v>4.4286477380750293</v>
      </c>
      <c r="V120">
        <v>0.20127646963296911</v>
      </c>
      <c r="W120">
        <v>-21.898360746053299</v>
      </c>
      <c r="X120">
        <v>1.1319980358360411</v>
      </c>
      <c r="Z120" t="s">
        <v>392</v>
      </c>
      <c r="AA120">
        <v>161</v>
      </c>
      <c r="AB120" t="s">
        <v>4567</v>
      </c>
      <c r="AC120" t="str">
        <f>HYPERLINK("plots/3FT6Y578R04_015_S31P_20251219032831_M5358ACSA301811_RBGEUFRF04/dpll_52046/txpa_54152.png","plot")</f>
        <v>plot</v>
      </c>
    </row>
    <row r="121" spans="1:29" x14ac:dyDescent="0.35">
      <c r="A121" t="s">
        <v>50</v>
      </c>
      <c r="B121">
        <v>52046</v>
      </c>
      <c r="C121" t="s">
        <v>51</v>
      </c>
      <c r="D121">
        <v>54153</v>
      </c>
      <c r="E121" t="s">
        <v>173</v>
      </c>
      <c r="F121">
        <v>11782</v>
      </c>
      <c r="G121">
        <v>0.283940179366931</v>
      </c>
      <c r="H121">
        <v>2.471340832531826E-217</v>
      </c>
      <c r="I121">
        <v>2.5781271648017201E-217</v>
      </c>
      <c r="J121">
        <v>0.25366807776745898</v>
      </c>
      <c r="K121">
        <v>2.1206318303539801E-172</v>
      </c>
      <c r="L121">
        <v>2.203197413912844E-172</v>
      </c>
      <c r="M121">
        <v>0.17159204620002089</v>
      </c>
      <c r="N121">
        <v>8.8066492201521164E-171</v>
      </c>
      <c r="O121">
        <v>9.149531054543285E-171</v>
      </c>
      <c r="P121">
        <v>8.0622025458924954E-2</v>
      </c>
      <c r="Q121">
        <v>1.6290847383054829</v>
      </c>
      <c r="R121">
        <v>-29.146543229920049</v>
      </c>
      <c r="S121">
        <v>1.1072315327158979</v>
      </c>
      <c r="T121">
        <v>0.88414024949013637</v>
      </c>
      <c r="U121">
        <v>4.4286477380750293</v>
      </c>
      <c r="V121">
        <v>0.20127646963296911</v>
      </c>
      <c r="W121">
        <v>-21.931900788490921</v>
      </c>
      <c r="X121">
        <v>1.154808120464494</v>
      </c>
      <c r="Z121" t="s">
        <v>392</v>
      </c>
      <c r="AA121">
        <v>161</v>
      </c>
      <c r="AB121" t="s">
        <v>4568</v>
      </c>
      <c r="AC121" t="str">
        <f>HYPERLINK("plots/3FT6Y578R04_015_S31P_20251219032831_M5358ACSA301811_RBGEUFRF04/dpll_52046/txpa_54153.png","plot")</f>
        <v>plot</v>
      </c>
    </row>
    <row r="122" spans="1:29" x14ac:dyDescent="0.35">
      <c r="A122" t="s">
        <v>50</v>
      </c>
      <c r="B122">
        <v>52046</v>
      </c>
      <c r="C122" t="s">
        <v>51</v>
      </c>
      <c r="D122">
        <v>54154</v>
      </c>
      <c r="E122" t="s">
        <v>174</v>
      </c>
      <c r="F122">
        <v>11782</v>
      </c>
      <c r="G122">
        <v>0.25802375297352859</v>
      </c>
      <c r="H122">
        <v>1.654138255068765E-178</v>
      </c>
      <c r="I122">
        <v>1.6789751658055341E-178</v>
      </c>
      <c r="J122">
        <v>0.23106411626449769</v>
      </c>
      <c r="K122">
        <v>1.406021797768858E-142</v>
      </c>
      <c r="L122">
        <v>1.421441777604807E-142</v>
      </c>
      <c r="M122">
        <v>0.15613440120365221</v>
      </c>
      <c r="N122">
        <v>1.8400702178636701E-141</v>
      </c>
      <c r="O122">
        <v>1.8639672336800811E-141</v>
      </c>
      <c r="P122">
        <v>6.6576257098544533E-2</v>
      </c>
      <c r="Q122">
        <v>1.4869816483535121</v>
      </c>
      <c r="R122">
        <v>-28.67136961359078</v>
      </c>
      <c r="S122">
        <v>1.1206239960649369</v>
      </c>
      <c r="T122">
        <v>0.90841156114665123</v>
      </c>
      <c r="U122">
        <v>4.4286477380750293</v>
      </c>
      <c r="V122">
        <v>0.20127646963296911</v>
      </c>
      <c r="W122">
        <v>-22.08605170005093</v>
      </c>
      <c r="X122">
        <v>1.159949086626584</v>
      </c>
      <c r="Z122" t="s">
        <v>392</v>
      </c>
      <c r="AA122">
        <v>161</v>
      </c>
      <c r="AB122" t="s">
        <v>4569</v>
      </c>
      <c r="AC122" t="str">
        <f>HYPERLINK("plots/3FT6Y578R04_015_S31P_20251219032831_M5358ACSA301811_RBGEUFRF04/dpll_52046/txpa_54154.png","plot")</f>
        <v>plot</v>
      </c>
    </row>
    <row r="123" spans="1:29" x14ac:dyDescent="0.35">
      <c r="A123" t="s">
        <v>50</v>
      </c>
      <c r="B123">
        <v>52046</v>
      </c>
      <c r="C123" t="s">
        <v>51</v>
      </c>
      <c r="D123">
        <v>54155</v>
      </c>
      <c r="E123" t="s">
        <v>175</v>
      </c>
      <c r="F123">
        <v>11782</v>
      </c>
      <c r="G123">
        <v>0.60364146619239945</v>
      </c>
      <c r="H123">
        <v>0</v>
      </c>
      <c r="I123">
        <v>0</v>
      </c>
      <c r="J123">
        <v>0.52406202709896754</v>
      </c>
      <c r="K123">
        <v>0</v>
      </c>
      <c r="L123">
        <v>0</v>
      </c>
      <c r="M123">
        <v>0.36664589357023769</v>
      </c>
      <c r="N123">
        <v>0</v>
      </c>
      <c r="O123">
        <v>0</v>
      </c>
      <c r="P123">
        <v>0.36438301970690973</v>
      </c>
      <c r="Q123">
        <v>0.91955851533993527</v>
      </c>
      <c r="R123">
        <v>-15.424584389471629</v>
      </c>
      <c r="S123">
        <v>0.24444019732470099</v>
      </c>
      <c r="T123">
        <v>0.19013210836483599</v>
      </c>
      <c r="U123">
        <v>4.4286477380750293</v>
      </c>
      <c r="V123">
        <v>0.20127646963296911</v>
      </c>
      <c r="W123">
        <v>-11.35218365048379</v>
      </c>
      <c r="X123">
        <v>0.30661493942095103</v>
      </c>
      <c r="Z123" t="s">
        <v>392</v>
      </c>
      <c r="AA123">
        <v>161</v>
      </c>
      <c r="AB123" t="s">
        <v>4570</v>
      </c>
      <c r="AC123" t="str">
        <f>HYPERLINK("plots/3FT6Y578R04_015_S31P_20251219032831_M5358ACSA301811_RBGEUFRF04/dpll_52046/txpa_54155.png","plot")</f>
        <v>plot</v>
      </c>
    </row>
    <row r="124" spans="1:29" x14ac:dyDescent="0.35">
      <c r="A124" t="s">
        <v>50</v>
      </c>
      <c r="B124">
        <v>52046</v>
      </c>
      <c r="C124" t="s">
        <v>51</v>
      </c>
      <c r="D124">
        <v>54156</v>
      </c>
      <c r="E124" t="s">
        <v>176</v>
      </c>
      <c r="F124">
        <v>11782</v>
      </c>
      <c r="G124">
        <v>0.62899479293088811</v>
      </c>
      <c r="H124">
        <v>0</v>
      </c>
      <c r="I124">
        <v>0</v>
      </c>
      <c r="J124">
        <v>0.54642184916065606</v>
      </c>
      <c r="K124">
        <v>0</v>
      </c>
      <c r="L124">
        <v>0</v>
      </c>
      <c r="M124">
        <v>0.38520154995863709</v>
      </c>
      <c r="N124">
        <v>0</v>
      </c>
      <c r="O124">
        <v>0</v>
      </c>
      <c r="P124">
        <v>0.39563444953417082</v>
      </c>
      <c r="Q124">
        <v>0.96204755500163963</v>
      </c>
      <c r="R124">
        <v>-15.54635609741614</v>
      </c>
      <c r="S124">
        <v>0.23931720149459679</v>
      </c>
      <c r="T124">
        <v>0.18623214148753181</v>
      </c>
      <c r="U124">
        <v>4.4286477380750293</v>
      </c>
      <c r="V124">
        <v>0.20127646963296911</v>
      </c>
      <c r="W124">
        <v>-11.28578636903752</v>
      </c>
      <c r="X124">
        <v>0.30785236645200009</v>
      </c>
      <c r="Z124" t="s">
        <v>392</v>
      </c>
      <c r="AA124">
        <v>161</v>
      </c>
      <c r="AB124" t="s">
        <v>4571</v>
      </c>
      <c r="AC124" t="str">
        <f>HYPERLINK("plots/3FT6Y578R04_015_S31P_20251219032831_M5358ACSA301811_RBGEUFRF04/dpll_52046/txpa_54156.png","plot")</f>
        <v>plot</v>
      </c>
    </row>
    <row r="125" spans="1:29" x14ac:dyDescent="0.35">
      <c r="A125" t="s">
        <v>50</v>
      </c>
      <c r="B125">
        <v>52046</v>
      </c>
      <c r="C125" t="s">
        <v>51</v>
      </c>
      <c r="D125">
        <v>54157</v>
      </c>
      <c r="E125" t="s">
        <v>177</v>
      </c>
      <c r="F125">
        <v>11782</v>
      </c>
      <c r="G125">
        <v>0.62349782840084789</v>
      </c>
      <c r="H125">
        <v>0</v>
      </c>
      <c r="I125">
        <v>0</v>
      </c>
      <c r="J125">
        <v>0.53512057546786806</v>
      </c>
      <c r="K125">
        <v>0</v>
      </c>
      <c r="L125">
        <v>0</v>
      </c>
      <c r="M125">
        <v>0.37643584889887621</v>
      </c>
      <c r="N125">
        <v>0</v>
      </c>
      <c r="O125">
        <v>0</v>
      </c>
      <c r="P125">
        <v>0.38874954202057321</v>
      </c>
      <c r="Q125">
        <v>0.93502236300118169</v>
      </c>
      <c r="R125">
        <v>-15.424323242637319</v>
      </c>
      <c r="S125">
        <v>0.23597784283883741</v>
      </c>
      <c r="T125">
        <v>0.18367408331912871</v>
      </c>
      <c r="U125">
        <v>4.4286477380750293</v>
      </c>
      <c r="V125">
        <v>0.20127646963296911</v>
      </c>
      <c r="W125">
        <v>-11.28343856968257</v>
      </c>
      <c r="X125">
        <v>0.30184227062257141</v>
      </c>
      <c r="Z125" t="s">
        <v>392</v>
      </c>
      <c r="AA125">
        <v>161</v>
      </c>
      <c r="AB125" t="s">
        <v>4572</v>
      </c>
      <c r="AC125" t="str">
        <f>HYPERLINK("plots/3FT6Y578R04_015_S31P_20251219032831_M5358ACSA301811_RBGEUFRF04/dpll_52046/txpa_54157.png","plot")</f>
        <v>plot</v>
      </c>
    </row>
    <row r="126" spans="1:29" x14ac:dyDescent="0.35">
      <c r="A126" t="s">
        <v>50</v>
      </c>
      <c r="B126">
        <v>52046</v>
      </c>
      <c r="C126" t="s">
        <v>51</v>
      </c>
      <c r="D126">
        <v>54158</v>
      </c>
      <c r="E126" t="s">
        <v>178</v>
      </c>
      <c r="F126">
        <v>11781</v>
      </c>
      <c r="G126">
        <v>0.6401082516841059</v>
      </c>
      <c r="H126">
        <v>0</v>
      </c>
      <c r="I126">
        <v>0</v>
      </c>
      <c r="J126">
        <v>0.54813849037026496</v>
      </c>
      <c r="K126">
        <v>0</v>
      </c>
      <c r="L126">
        <v>0</v>
      </c>
      <c r="M126">
        <v>0.3864714482474168</v>
      </c>
      <c r="N126">
        <v>0</v>
      </c>
      <c r="O126">
        <v>0</v>
      </c>
      <c r="P126">
        <v>0.40973857387408269</v>
      </c>
      <c r="Q126">
        <v>0.97630638477555154</v>
      </c>
      <c r="R126">
        <v>-15.555233767887859</v>
      </c>
      <c r="S126">
        <v>0.23585487051814069</v>
      </c>
      <c r="T126">
        <v>0.18442933739930739</v>
      </c>
      <c r="U126">
        <v>4.4286547017231142</v>
      </c>
      <c r="V126">
        <v>0.20128359324518649</v>
      </c>
      <c r="W126">
        <v>-11.23150990662932</v>
      </c>
      <c r="X126">
        <v>0.30700191212785799</v>
      </c>
      <c r="Z126" t="s">
        <v>392</v>
      </c>
      <c r="AA126">
        <v>161</v>
      </c>
      <c r="AB126" t="s">
        <v>4573</v>
      </c>
      <c r="AC126" t="str">
        <f>HYPERLINK("plots/3FT6Y578R04_015_S31P_20251219032831_M5358ACSA301811_RBGEUFRF04/dpll_52046/txpa_54158.png","plot")</f>
        <v>plot</v>
      </c>
    </row>
    <row r="127" spans="1:29" x14ac:dyDescent="0.35">
      <c r="A127" t="s">
        <v>50</v>
      </c>
      <c r="B127">
        <v>52046</v>
      </c>
      <c r="C127" t="s">
        <v>51</v>
      </c>
      <c r="D127">
        <v>54159</v>
      </c>
      <c r="E127" t="s">
        <v>179</v>
      </c>
      <c r="F127">
        <v>11781</v>
      </c>
      <c r="G127">
        <v>0.63905744556475585</v>
      </c>
      <c r="H127">
        <v>0</v>
      </c>
      <c r="I127">
        <v>0</v>
      </c>
      <c r="J127">
        <v>0.54177151635210175</v>
      </c>
      <c r="K127">
        <v>0</v>
      </c>
      <c r="L127">
        <v>0</v>
      </c>
      <c r="M127">
        <v>0.38060233234271529</v>
      </c>
      <c r="N127">
        <v>0</v>
      </c>
      <c r="O127">
        <v>0</v>
      </c>
      <c r="P127">
        <v>0.40839441873175092</v>
      </c>
      <c r="Q127">
        <v>0.96957375760055975</v>
      </c>
      <c r="R127">
        <v>-15.54744350372691</v>
      </c>
      <c r="S127">
        <v>0.2348579144968948</v>
      </c>
      <c r="T127">
        <v>0.18451141060709969</v>
      </c>
      <c r="U127">
        <v>4.4286210779220783</v>
      </c>
      <c r="V127">
        <v>0.20126420786155011</v>
      </c>
      <c r="W127">
        <v>-11.25356872421696</v>
      </c>
      <c r="X127">
        <v>0.30535673379780609</v>
      </c>
      <c r="Z127" t="s">
        <v>392</v>
      </c>
      <c r="AA127">
        <v>161</v>
      </c>
      <c r="AB127" t="s">
        <v>4574</v>
      </c>
      <c r="AC127" t="str">
        <f>HYPERLINK("plots/3FT6Y578R04_015_S31P_20251219032831_M5358ACSA301811_RBGEUFRF04/dpll_52046/txpa_54159.png","plot")</f>
        <v>plot</v>
      </c>
    </row>
    <row r="128" spans="1:29" x14ac:dyDescent="0.35">
      <c r="A128" t="s">
        <v>50</v>
      </c>
      <c r="B128">
        <v>52046</v>
      </c>
      <c r="C128" t="s">
        <v>51</v>
      </c>
      <c r="D128">
        <v>54160</v>
      </c>
      <c r="E128" t="s">
        <v>180</v>
      </c>
      <c r="F128">
        <v>11782</v>
      </c>
      <c r="G128">
        <v>0.64212464158686744</v>
      </c>
      <c r="H128">
        <v>0</v>
      </c>
      <c r="I128">
        <v>0</v>
      </c>
      <c r="J128">
        <v>0.55704428296205777</v>
      </c>
      <c r="K128">
        <v>0</v>
      </c>
      <c r="L128">
        <v>0</v>
      </c>
      <c r="M128">
        <v>0.39347478424647958</v>
      </c>
      <c r="N128">
        <v>0</v>
      </c>
      <c r="O128">
        <v>0</v>
      </c>
      <c r="P128">
        <v>0.41232405533306299</v>
      </c>
      <c r="Q128">
        <v>0.97249230848486379</v>
      </c>
      <c r="R128">
        <v>-15.57571370134341</v>
      </c>
      <c r="S128">
        <v>0.2336739882737581</v>
      </c>
      <c r="T128">
        <v>0.18284106625752</v>
      </c>
      <c r="U128">
        <v>4.4286477380750293</v>
      </c>
      <c r="V128">
        <v>0.20127646963296911</v>
      </c>
      <c r="W128">
        <v>-11.268887839076561</v>
      </c>
      <c r="X128">
        <v>0.30483150142521009</v>
      </c>
      <c r="Z128" t="s">
        <v>392</v>
      </c>
      <c r="AA128">
        <v>161</v>
      </c>
      <c r="AB128" t="s">
        <v>4575</v>
      </c>
      <c r="AC128" t="str">
        <f>HYPERLINK("plots/3FT6Y578R04_015_S31P_20251219032831_M5358ACSA301811_RBGEUFRF04/dpll_52046/txpa_54160.png","plot")</f>
        <v>plot</v>
      </c>
    </row>
    <row r="129" spans="1:29" x14ac:dyDescent="0.35">
      <c r="A129" t="s">
        <v>50</v>
      </c>
      <c r="B129">
        <v>52046</v>
      </c>
      <c r="C129" t="s">
        <v>51</v>
      </c>
      <c r="D129">
        <v>54161</v>
      </c>
      <c r="E129" t="s">
        <v>181</v>
      </c>
      <c r="F129">
        <v>11782</v>
      </c>
      <c r="G129">
        <v>0.6403988587000331</v>
      </c>
      <c r="H129">
        <v>0</v>
      </c>
      <c r="I129">
        <v>0</v>
      </c>
      <c r="J129">
        <v>0.55030239679926718</v>
      </c>
      <c r="K129">
        <v>0</v>
      </c>
      <c r="L129">
        <v>0</v>
      </c>
      <c r="M129">
        <v>0.38787849752602582</v>
      </c>
      <c r="N129">
        <v>0</v>
      </c>
      <c r="O129">
        <v>0</v>
      </c>
      <c r="P129">
        <v>0.41011069822430501</v>
      </c>
      <c r="Q129">
        <v>0.96056919079352365</v>
      </c>
      <c r="R129">
        <v>-15.525668738560499</v>
      </c>
      <c r="S129">
        <v>0.2318664639072508</v>
      </c>
      <c r="T129">
        <v>0.18170368431801739</v>
      </c>
      <c r="U129">
        <v>4.4286477380750293</v>
      </c>
      <c r="V129">
        <v>0.20127646963296911</v>
      </c>
      <c r="W129">
        <v>-11.2716461644882</v>
      </c>
      <c r="X129">
        <v>0.30190555922224099</v>
      </c>
      <c r="Z129" t="s">
        <v>392</v>
      </c>
      <c r="AA129">
        <v>161</v>
      </c>
      <c r="AB129" t="s">
        <v>4576</v>
      </c>
      <c r="AC129" t="str">
        <f>HYPERLINK("plots/3FT6Y578R04_015_S31P_20251219032831_M5358ACSA301811_RBGEUFRF04/dpll_52046/txpa_54161.png","plot")</f>
        <v>plot</v>
      </c>
    </row>
    <row r="130" spans="1:29" x14ac:dyDescent="0.35">
      <c r="A130" t="s">
        <v>50</v>
      </c>
      <c r="B130">
        <v>52046</v>
      </c>
      <c r="C130" t="s">
        <v>51</v>
      </c>
      <c r="D130">
        <v>54162</v>
      </c>
      <c r="E130" t="s">
        <v>182</v>
      </c>
      <c r="F130">
        <v>11781</v>
      </c>
      <c r="G130">
        <v>0.62696086038894572</v>
      </c>
      <c r="H130">
        <v>0</v>
      </c>
      <c r="I130">
        <v>0</v>
      </c>
      <c r="J130">
        <v>0.5394336579040454</v>
      </c>
      <c r="K130">
        <v>0</v>
      </c>
      <c r="L130">
        <v>0</v>
      </c>
      <c r="M130">
        <v>0.38029375624201678</v>
      </c>
      <c r="N130">
        <v>0</v>
      </c>
      <c r="O130">
        <v>0</v>
      </c>
      <c r="P130">
        <v>0.39307992045964713</v>
      </c>
      <c r="Q130">
        <v>0.94716524818189363</v>
      </c>
      <c r="R130">
        <v>-15.536778334092929</v>
      </c>
      <c r="S130">
        <v>0.2368711940926061</v>
      </c>
      <c r="T130">
        <v>0.18525047660692201</v>
      </c>
      <c r="U130">
        <v>4.4286701896273666</v>
      </c>
      <c r="V130">
        <v>0.20127025814248481</v>
      </c>
      <c r="W130">
        <v>-11.34209583481878</v>
      </c>
      <c r="X130">
        <v>0.3040639472883459</v>
      </c>
      <c r="Z130" t="s">
        <v>392</v>
      </c>
      <c r="AA130">
        <v>161</v>
      </c>
      <c r="AB130" t="s">
        <v>4577</v>
      </c>
      <c r="AC130" t="str">
        <f>HYPERLINK("plots/3FT6Y578R04_015_S31P_20251219032831_M5358ACSA301811_RBGEUFRF04/dpll_52046/txpa_54162.png","plot")</f>
        <v>plot</v>
      </c>
    </row>
    <row r="131" spans="1:29" x14ac:dyDescent="0.35">
      <c r="A131" t="s">
        <v>50</v>
      </c>
      <c r="B131">
        <v>52046</v>
      </c>
      <c r="C131" t="s">
        <v>51</v>
      </c>
      <c r="D131">
        <v>54163</v>
      </c>
      <c r="E131" t="s">
        <v>183</v>
      </c>
      <c r="F131">
        <v>11782</v>
      </c>
      <c r="G131">
        <v>0.61895205730774083</v>
      </c>
      <c r="H131">
        <v>0</v>
      </c>
      <c r="I131">
        <v>0</v>
      </c>
      <c r="J131">
        <v>0.54300061238428587</v>
      </c>
      <c r="K131">
        <v>0</v>
      </c>
      <c r="L131">
        <v>0</v>
      </c>
      <c r="M131">
        <v>0.38116978999333812</v>
      </c>
      <c r="N131">
        <v>0</v>
      </c>
      <c r="O131">
        <v>0</v>
      </c>
      <c r="P131">
        <v>0.3831016492454849</v>
      </c>
      <c r="Q131">
        <v>0.82399264293665231</v>
      </c>
      <c r="R131">
        <v>-9.0459775529908413</v>
      </c>
      <c r="S131">
        <v>0.21044940539366441</v>
      </c>
      <c r="T131">
        <v>0.16196807438963651</v>
      </c>
      <c r="U131">
        <v>4.4286477380750293</v>
      </c>
      <c r="V131">
        <v>0.20127646963296911</v>
      </c>
      <c r="W131">
        <v>-5.3968043986589711</v>
      </c>
      <c r="X131">
        <v>0.26795343551361489</v>
      </c>
      <c r="Z131" t="s">
        <v>392</v>
      </c>
      <c r="AA131">
        <v>161</v>
      </c>
      <c r="AB131" t="s">
        <v>4578</v>
      </c>
      <c r="AC131" t="str">
        <f>HYPERLINK("plots/3FT6Y578R04_015_S31P_20251219032831_M5358ACSA301811_RBGEUFRF04/dpll_52046/txpa_54163.png","plot")</f>
        <v>plot</v>
      </c>
    </row>
    <row r="132" spans="1:29" x14ac:dyDescent="0.35">
      <c r="A132" t="s">
        <v>50</v>
      </c>
      <c r="B132">
        <v>52046</v>
      </c>
      <c r="C132" t="s">
        <v>51</v>
      </c>
      <c r="D132">
        <v>54164</v>
      </c>
      <c r="E132" t="s">
        <v>184</v>
      </c>
      <c r="F132">
        <v>11782</v>
      </c>
      <c r="G132">
        <v>0.64397700942196812</v>
      </c>
      <c r="H132">
        <v>0</v>
      </c>
      <c r="I132">
        <v>0</v>
      </c>
      <c r="J132">
        <v>0.56052453051746265</v>
      </c>
      <c r="K132">
        <v>0</v>
      </c>
      <c r="L132">
        <v>0</v>
      </c>
      <c r="M132">
        <v>0.39624247623680348</v>
      </c>
      <c r="N132">
        <v>0</v>
      </c>
      <c r="O132">
        <v>0</v>
      </c>
      <c r="P132">
        <v>0.41470638866406162</v>
      </c>
      <c r="Q132">
        <v>0.85940409351437519</v>
      </c>
      <c r="R132">
        <v>-9.1568790227588099</v>
      </c>
      <c r="S132">
        <v>0.20548897320564269</v>
      </c>
      <c r="T132">
        <v>0.15957499189218791</v>
      </c>
      <c r="U132">
        <v>4.4286477380750293</v>
      </c>
      <c r="V132">
        <v>0.20127646963296911</v>
      </c>
      <c r="W132">
        <v>-5.3508810279239514</v>
      </c>
      <c r="X132">
        <v>0.26860869161456541</v>
      </c>
      <c r="Z132" t="s">
        <v>392</v>
      </c>
      <c r="AA132">
        <v>161</v>
      </c>
      <c r="AB132" t="s">
        <v>4579</v>
      </c>
      <c r="AC132" t="str">
        <f>HYPERLINK("plots/3FT6Y578R04_015_S31P_20251219032831_M5358ACSA301811_RBGEUFRF04/dpll_52046/txpa_54164.png","plot")</f>
        <v>plot</v>
      </c>
    </row>
    <row r="133" spans="1:29" x14ac:dyDescent="0.35">
      <c r="A133" t="s">
        <v>50</v>
      </c>
      <c r="B133">
        <v>52046</v>
      </c>
      <c r="C133" t="s">
        <v>51</v>
      </c>
      <c r="D133">
        <v>54165</v>
      </c>
      <c r="E133" t="s">
        <v>185</v>
      </c>
      <c r="F133">
        <v>11782</v>
      </c>
      <c r="G133">
        <v>0.63474216214618717</v>
      </c>
      <c r="H133">
        <v>0</v>
      </c>
      <c r="I133">
        <v>0</v>
      </c>
      <c r="J133">
        <v>0.54916412362028555</v>
      </c>
      <c r="K133">
        <v>0</v>
      </c>
      <c r="L133">
        <v>0</v>
      </c>
      <c r="M133">
        <v>0.38712685605129937</v>
      </c>
      <c r="N133">
        <v>0</v>
      </c>
      <c r="O133">
        <v>0</v>
      </c>
      <c r="P133">
        <v>0.40289761240601663</v>
      </c>
      <c r="Q133">
        <v>0.83224671420071994</v>
      </c>
      <c r="R133">
        <v>-9.0318195398235499</v>
      </c>
      <c r="S133">
        <v>0.20391713528725239</v>
      </c>
      <c r="T133">
        <v>0.15879157180337511</v>
      </c>
      <c r="U133">
        <v>4.4286477380750293</v>
      </c>
      <c r="V133">
        <v>0.20127646963296911</v>
      </c>
      <c r="W133">
        <v>-5.3460920114581567</v>
      </c>
      <c r="X133">
        <v>0.26390507908214228</v>
      </c>
      <c r="Z133" t="s">
        <v>392</v>
      </c>
      <c r="AA133">
        <v>161</v>
      </c>
      <c r="AB133" t="s">
        <v>4580</v>
      </c>
      <c r="AC133" t="str">
        <f>HYPERLINK("plots/3FT6Y578R04_015_S31P_20251219032831_M5358ACSA301811_RBGEUFRF04/dpll_52046/txpa_54165.png","plot")</f>
        <v>plot</v>
      </c>
    </row>
    <row r="134" spans="1:29" x14ac:dyDescent="0.35">
      <c r="A134" t="s">
        <v>50</v>
      </c>
      <c r="B134">
        <v>52046</v>
      </c>
      <c r="C134" t="s">
        <v>51</v>
      </c>
      <c r="D134">
        <v>54166</v>
      </c>
      <c r="E134" t="s">
        <v>186</v>
      </c>
      <c r="F134">
        <v>11781</v>
      </c>
      <c r="G134">
        <v>0.65505737781102147</v>
      </c>
      <c r="H134">
        <v>0</v>
      </c>
      <c r="I134">
        <v>0</v>
      </c>
      <c r="J134">
        <v>0.56325234971808025</v>
      </c>
      <c r="K134">
        <v>0</v>
      </c>
      <c r="L134">
        <v>0</v>
      </c>
      <c r="M134">
        <v>0.39876582613110001</v>
      </c>
      <c r="N134">
        <v>0</v>
      </c>
      <c r="O134">
        <v>0</v>
      </c>
      <c r="P134">
        <v>0.4291001682246513</v>
      </c>
      <c r="Q134">
        <v>0.87517977098053834</v>
      </c>
      <c r="R134">
        <v>-9.189182486088221</v>
      </c>
      <c r="S134">
        <v>0.20318321587675861</v>
      </c>
      <c r="T134">
        <v>0.15878800211260119</v>
      </c>
      <c r="U134">
        <v>4.4286547017231142</v>
      </c>
      <c r="V134">
        <v>0.20128359324518649</v>
      </c>
      <c r="W134">
        <v>-5.3133134784823017</v>
      </c>
      <c r="X134">
        <v>0.26892198302861142</v>
      </c>
      <c r="Z134" t="s">
        <v>392</v>
      </c>
      <c r="AA134">
        <v>161</v>
      </c>
      <c r="AB134" t="s">
        <v>4581</v>
      </c>
      <c r="AC134" t="str">
        <f>HYPERLINK("plots/3FT6Y578R04_015_S31P_20251219032831_M5358ACSA301811_RBGEUFRF04/dpll_52046/txpa_54166.png","plot")</f>
        <v>plot</v>
      </c>
    </row>
    <row r="135" spans="1:29" x14ac:dyDescent="0.35">
      <c r="A135" t="s">
        <v>50</v>
      </c>
      <c r="B135">
        <v>52046</v>
      </c>
      <c r="C135" t="s">
        <v>51</v>
      </c>
      <c r="D135">
        <v>54167</v>
      </c>
      <c r="E135" t="s">
        <v>187</v>
      </c>
      <c r="F135">
        <v>11781</v>
      </c>
      <c r="G135">
        <v>0.65410671986475855</v>
      </c>
      <c r="H135">
        <v>0</v>
      </c>
      <c r="I135">
        <v>0</v>
      </c>
      <c r="J135">
        <v>0.55875904465427817</v>
      </c>
      <c r="K135">
        <v>0</v>
      </c>
      <c r="L135">
        <v>0</v>
      </c>
      <c r="M135">
        <v>0.39398250662638129</v>
      </c>
      <c r="N135">
        <v>0</v>
      </c>
      <c r="O135">
        <v>0</v>
      </c>
      <c r="P135">
        <v>0.42785560097223369</v>
      </c>
      <c r="Q135">
        <v>0.86585091405334147</v>
      </c>
      <c r="R135">
        <v>-9.1686574468683286</v>
      </c>
      <c r="S135">
        <v>0.20150946495302369</v>
      </c>
      <c r="T135">
        <v>0.15816440828500869</v>
      </c>
      <c r="U135">
        <v>4.4286210779220783</v>
      </c>
      <c r="V135">
        <v>0.20126420786155011</v>
      </c>
      <c r="W135">
        <v>-5.3341318385536027</v>
      </c>
      <c r="X135">
        <v>0.26641646240719769</v>
      </c>
      <c r="Z135" t="s">
        <v>392</v>
      </c>
      <c r="AA135">
        <v>161</v>
      </c>
      <c r="AB135" t="s">
        <v>4582</v>
      </c>
      <c r="AC135" t="str">
        <f>HYPERLINK("plots/3FT6Y578R04_015_S31P_20251219032831_M5358ACSA301811_RBGEUFRF04/dpll_52046/txpa_54167.png","plot")</f>
        <v>plot</v>
      </c>
    </row>
    <row r="136" spans="1:29" x14ac:dyDescent="0.35">
      <c r="A136" t="s">
        <v>50</v>
      </c>
      <c r="B136">
        <v>52046</v>
      </c>
      <c r="C136" t="s">
        <v>51</v>
      </c>
      <c r="D136">
        <v>54168</v>
      </c>
      <c r="E136" t="s">
        <v>188</v>
      </c>
      <c r="F136">
        <v>11782</v>
      </c>
      <c r="G136">
        <v>0.65928566480542139</v>
      </c>
      <c r="H136">
        <v>0</v>
      </c>
      <c r="I136">
        <v>0</v>
      </c>
      <c r="J136">
        <v>0.57296033066291396</v>
      </c>
      <c r="K136">
        <v>0</v>
      </c>
      <c r="L136">
        <v>0</v>
      </c>
      <c r="M136">
        <v>0.40604829271816439</v>
      </c>
      <c r="N136">
        <v>0</v>
      </c>
      <c r="O136">
        <v>0</v>
      </c>
      <c r="P136">
        <v>0.43465758781792652</v>
      </c>
      <c r="Q136">
        <v>0.8760818965998981</v>
      </c>
      <c r="R136">
        <v>-9.2161188054679091</v>
      </c>
      <c r="S136">
        <v>0.20109507401812071</v>
      </c>
      <c r="T136">
        <v>0.15723261538864841</v>
      </c>
      <c r="U136">
        <v>4.4286477380750293</v>
      </c>
      <c r="V136">
        <v>0.20127646963296911</v>
      </c>
      <c r="W136">
        <v>-5.3362606957222889</v>
      </c>
      <c r="X136">
        <v>0.26746322674712802</v>
      </c>
      <c r="Z136" t="s">
        <v>392</v>
      </c>
      <c r="AA136">
        <v>161</v>
      </c>
      <c r="AB136" t="s">
        <v>4583</v>
      </c>
      <c r="AC136" t="str">
        <f>HYPERLINK("plots/3FT6Y578R04_015_S31P_20251219032831_M5358ACSA301811_RBGEUFRF04/dpll_52046/txpa_54168.png","plot")</f>
        <v>plot</v>
      </c>
    </row>
    <row r="137" spans="1:29" x14ac:dyDescent="0.35">
      <c r="A137" t="s">
        <v>50</v>
      </c>
      <c r="B137">
        <v>52046</v>
      </c>
      <c r="C137" t="s">
        <v>51</v>
      </c>
      <c r="D137">
        <v>54169</v>
      </c>
      <c r="E137" t="s">
        <v>189</v>
      </c>
      <c r="F137">
        <v>11782</v>
      </c>
      <c r="G137">
        <v>0.6548944968210243</v>
      </c>
      <c r="H137">
        <v>0</v>
      </c>
      <c r="I137">
        <v>0</v>
      </c>
      <c r="J137">
        <v>0.56197734119424259</v>
      </c>
      <c r="K137">
        <v>0</v>
      </c>
      <c r="L137">
        <v>0</v>
      </c>
      <c r="M137">
        <v>0.39650210518011902</v>
      </c>
      <c r="N137">
        <v>0</v>
      </c>
      <c r="O137">
        <v>0</v>
      </c>
      <c r="P137">
        <v>0.42888680196646262</v>
      </c>
      <c r="Q137">
        <v>0.85853801546937902</v>
      </c>
      <c r="R137">
        <v>-9.1377161670465128</v>
      </c>
      <c r="S137">
        <v>0.1993994070820769</v>
      </c>
      <c r="T137">
        <v>0.15668661115707169</v>
      </c>
      <c r="U137">
        <v>4.4286477380750293</v>
      </c>
      <c r="V137">
        <v>0.20127646963296911</v>
      </c>
      <c r="W137">
        <v>-5.3355537267866238</v>
      </c>
      <c r="X137">
        <v>0.26386464024081929</v>
      </c>
      <c r="Z137" t="s">
        <v>392</v>
      </c>
      <c r="AA137">
        <v>161</v>
      </c>
      <c r="AB137" t="s">
        <v>4584</v>
      </c>
      <c r="AC137" t="str">
        <f>HYPERLINK("plots/3FT6Y578R04_015_S31P_20251219032831_M5358ACSA301811_RBGEUFRF04/dpll_52046/txpa_54169.png","plot")</f>
        <v>plot</v>
      </c>
    </row>
    <row r="138" spans="1:29" x14ac:dyDescent="0.35">
      <c r="A138" t="s">
        <v>50</v>
      </c>
      <c r="B138">
        <v>52046</v>
      </c>
      <c r="C138" t="s">
        <v>51</v>
      </c>
      <c r="D138">
        <v>54170</v>
      </c>
      <c r="E138" t="s">
        <v>190</v>
      </c>
      <c r="F138">
        <v>11781</v>
      </c>
      <c r="G138">
        <v>0.64239118919854099</v>
      </c>
      <c r="H138">
        <v>0</v>
      </c>
      <c r="I138">
        <v>0</v>
      </c>
      <c r="J138">
        <v>0.55257074729541766</v>
      </c>
      <c r="K138">
        <v>0</v>
      </c>
      <c r="L138">
        <v>0</v>
      </c>
      <c r="M138">
        <v>0.39073290217764278</v>
      </c>
      <c r="N138">
        <v>0</v>
      </c>
      <c r="O138">
        <v>0</v>
      </c>
      <c r="P138">
        <v>0.4126664399599157</v>
      </c>
      <c r="Q138">
        <v>0.84956208476203954</v>
      </c>
      <c r="R138">
        <v>-9.1428971897269982</v>
      </c>
      <c r="S138">
        <v>0.20398541933542749</v>
      </c>
      <c r="T138">
        <v>0.15887792639512069</v>
      </c>
      <c r="U138">
        <v>4.4286701896273666</v>
      </c>
      <c r="V138">
        <v>0.20127025814248481</v>
      </c>
      <c r="W138">
        <v>-5.3804669107036753</v>
      </c>
      <c r="X138">
        <v>0.26617983400652728</v>
      </c>
      <c r="Z138" t="s">
        <v>392</v>
      </c>
      <c r="AA138">
        <v>161</v>
      </c>
      <c r="AB138" t="s">
        <v>4585</v>
      </c>
      <c r="AC138" t="str">
        <f>HYPERLINK("plots/3FT6Y578R04_015_S31P_20251219032831_M5358ACSA301811_RBGEUFRF04/dpll_52046/txpa_54170.png","plot")</f>
        <v>plot</v>
      </c>
    </row>
    <row r="139" spans="1:29" x14ac:dyDescent="0.35">
      <c r="A139" t="s">
        <v>50</v>
      </c>
      <c r="B139">
        <v>52046</v>
      </c>
      <c r="C139" t="s">
        <v>51</v>
      </c>
      <c r="D139">
        <v>54171</v>
      </c>
      <c r="E139" t="s">
        <v>191</v>
      </c>
      <c r="F139">
        <v>11782</v>
      </c>
      <c r="G139">
        <v>0.63191051290712696</v>
      </c>
      <c r="H139">
        <v>0</v>
      </c>
      <c r="I139">
        <v>0</v>
      </c>
      <c r="J139">
        <v>0.55849505465371196</v>
      </c>
      <c r="K139">
        <v>0</v>
      </c>
      <c r="L139">
        <v>0</v>
      </c>
      <c r="M139">
        <v>0.39275025928300439</v>
      </c>
      <c r="N139">
        <v>0</v>
      </c>
      <c r="O139">
        <v>0</v>
      </c>
      <c r="P139">
        <v>0.39931089632254829</v>
      </c>
      <c r="Q139">
        <v>0.83958974655720631</v>
      </c>
      <c r="R139">
        <v>-6.0576291979665902</v>
      </c>
      <c r="S139">
        <v>0.2072578542953088</v>
      </c>
      <c r="T139">
        <v>0.1595623064973973</v>
      </c>
      <c r="U139">
        <v>4.4286477380750293</v>
      </c>
      <c r="V139">
        <v>0.20127646963296911</v>
      </c>
      <c r="W139">
        <v>-2.339381965965031</v>
      </c>
      <c r="X139">
        <v>0.26742656859692182</v>
      </c>
      <c r="Z139" t="s">
        <v>392</v>
      </c>
      <c r="AA139">
        <v>161</v>
      </c>
      <c r="AB139" t="s">
        <v>4586</v>
      </c>
      <c r="AC139" t="str">
        <f>HYPERLINK("plots/3FT6Y578R04_015_S31P_20251219032831_M5358ACSA301811_RBGEUFRF04/dpll_52046/txpa_54171.png","plot")</f>
        <v>plot</v>
      </c>
    </row>
    <row r="140" spans="1:29" x14ac:dyDescent="0.35">
      <c r="A140" t="s">
        <v>50</v>
      </c>
      <c r="B140">
        <v>52046</v>
      </c>
      <c r="C140" t="s">
        <v>51</v>
      </c>
      <c r="D140">
        <v>54172</v>
      </c>
      <c r="E140" t="s">
        <v>192</v>
      </c>
      <c r="F140">
        <v>11782</v>
      </c>
      <c r="G140">
        <v>0.65715561006156709</v>
      </c>
      <c r="H140">
        <v>0</v>
      </c>
      <c r="I140">
        <v>0</v>
      </c>
      <c r="J140">
        <v>0.57653864629327456</v>
      </c>
      <c r="K140">
        <v>0</v>
      </c>
      <c r="L140">
        <v>0</v>
      </c>
      <c r="M140">
        <v>0.4087443964928148</v>
      </c>
      <c r="N140">
        <v>0</v>
      </c>
      <c r="O140">
        <v>0</v>
      </c>
      <c r="P140">
        <v>0.4318534958353904</v>
      </c>
      <c r="Q140">
        <v>0.87533421417304869</v>
      </c>
      <c r="R140">
        <v>-6.1759499345082842</v>
      </c>
      <c r="S140">
        <v>0.20207399559851921</v>
      </c>
      <c r="T140">
        <v>0.15686903549539469</v>
      </c>
      <c r="U140">
        <v>4.4286477380750293</v>
      </c>
      <c r="V140">
        <v>0.20127646963296911</v>
      </c>
      <c r="W140">
        <v>-2.2994030468511291</v>
      </c>
      <c r="X140">
        <v>0.26810115850824767</v>
      </c>
      <c r="Z140" t="s">
        <v>392</v>
      </c>
      <c r="AA140">
        <v>161</v>
      </c>
      <c r="AB140" t="s">
        <v>4587</v>
      </c>
      <c r="AC140" t="str">
        <f>HYPERLINK("plots/3FT6Y578R04_015_S31P_20251219032831_M5358ACSA301811_RBGEUFRF04/dpll_52046/txpa_54172.png","plot")</f>
        <v>plot</v>
      </c>
    </row>
    <row r="141" spans="1:29" x14ac:dyDescent="0.35">
      <c r="A141" t="s">
        <v>50</v>
      </c>
      <c r="B141">
        <v>52046</v>
      </c>
      <c r="C141" t="s">
        <v>51</v>
      </c>
      <c r="D141">
        <v>54173</v>
      </c>
      <c r="E141" t="s">
        <v>193</v>
      </c>
      <c r="F141">
        <v>11782</v>
      </c>
      <c r="G141">
        <v>0.64655444964162279</v>
      </c>
      <c r="H141">
        <v>0</v>
      </c>
      <c r="I141">
        <v>0</v>
      </c>
      <c r="J141">
        <v>0.56485936198618059</v>
      </c>
      <c r="K141">
        <v>0</v>
      </c>
      <c r="L141">
        <v>0</v>
      </c>
      <c r="M141">
        <v>0.39932995592877629</v>
      </c>
      <c r="N141">
        <v>0</v>
      </c>
      <c r="O141">
        <v>0</v>
      </c>
      <c r="P141">
        <v>0.41803265635138181</v>
      </c>
      <c r="Q141">
        <v>0.84649068928295268</v>
      </c>
      <c r="R141">
        <v>-6.0421297098183882</v>
      </c>
      <c r="S141">
        <v>0.20102078451296251</v>
      </c>
      <c r="T141">
        <v>0.15626742762205831</v>
      </c>
      <c r="U141">
        <v>4.4286477380750293</v>
      </c>
      <c r="V141">
        <v>0.20127646963296911</v>
      </c>
      <c r="W141">
        <v>-2.2933206334238672</v>
      </c>
      <c r="X141">
        <v>0.26351787944617822</v>
      </c>
      <c r="Z141" t="s">
        <v>392</v>
      </c>
      <c r="AA141">
        <v>161</v>
      </c>
      <c r="AB141" t="s">
        <v>4588</v>
      </c>
      <c r="AC141" t="str">
        <f>HYPERLINK("plots/3FT6Y578R04_015_S31P_20251219032831_M5358ACSA301811_RBGEUFRF04/dpll_52046/txpa_54173.png","plot")</f>
        <v>plot</v>
      </c>
    </row>
    <row r="142" spans="1:29" x14ac:dyDescent="0.35">
      <c r="A142" t="s">
        <v>50</v>
      </c>
      <c r="B142">
        <v>52046</v>
      </c>
      <c r="C142" t="s">
        <v>51</v>
      </c>
      <c r="D142">
        <v>54174</v>
      </c>
      <c r="E142" t="s">
        <v>194</v>
      </c>
      <c r="F142">
        <v>11781</v>
      </c>
      <c r="G142">
        <v>0.66593953263113004</v>
      </c>
      <c r="H142">
        <v>0</v>
      </c>
      <c r="I142">
        <v>0</v>
      </c>
      <c r="J142">
        <v>0.57849891599233705</v>
      </c>
      <c r="K142">
        <v>0</v>
      </c>
      <c r="L142">
        <v>0</v>
      </c>
      <c r="M142">
        <v>0.4105839550683279</v>
      </c>
      <c r="N142">
        <v>0</v>
      </c>
      <c r="O142">
        <v>0</v>
      </c>
      <c r="P142">
        <v>0.44347546112096792</v>
      </c>
      <c r="Q142">
        <v>0.88411591280280022</v>
      </c>
      <c r="R142">
        <v>-6.183346713319728</v>
      </c>
      <c r="S142">
        <v>0.19934553539102021</v>
      </c>
      <c r="T142">
        <v>0.15568744784273911</v>
      </c>
      <c r="U142">
        <v>4.4286547017231142</v>
      </c>
      <c r="V142">
        <v>0.20128359324518649</v>
      </c>
      <c r="W142">
        <v>-2.2679026192173839</v>
      </c>
      <c r="X142">
        <v>0.26722850807652571</v>
      </c>
      <c r="Z142" t="s">
        <v>392</v>
      </c>
      <c r="AA142">
        <v>161</v>
      </c>
      <c r="AB142" t="s">
        <v>4589</v>
      </c>
      <c r="AC142" t="str">
        <f>HYPERLINK("plots/3FT6Y578R04_015_S31P_20251219032831_M5358ACSA301811_RBGEUFRF04/dpll_52046/txpa_54174.png","plot")</f>
        <v>plot</v>
      </c>
    </row>
    <row r="143" spans="1:29" x14ac:dyDescent="0.35">
      <c r="A143" t="s">
        <v>50</v>
      </c>
      <c r="B143">
        <v>52046</v>
      </c>
      <c r="C143" t="s">
        <v>51</v>
      </c>
      <c r="D143">
        <v>54175</v>
      </c>
      <c r="E143" t="s">
        <v>195</v>
      </c>
      <c r="F143">
        <v>11781</v>
      </c>
      <c r="G143">
        <v>0.66488276930433576</v>
      </c>
      <c r="H143">
        <v>0</v>
      </c>
      <c r="I143">
        <v>0</v>
      </c>
      <c r="J143">
        <v>0.57212287941364481</v>
      </c>
      <c r="K143">
        <v>0</v>
      </c>
      <c r="L143">
        <v>0</v>
      </c>
      <c r="M143">
        <v>0.40430815385287028</v>
      </c>
      <c r="N143">
        <v>0</v>
      </c>
      <c r="O143">
        <v>0</v>
      </c>
      <c r="P143">
        <v>0.44206909691780261</v>
      </c>
      <c r="Q143">
        <v>0.8766936031223842</v>
      </c>
      <c r="R143">
        <v>-6.1708342533273743</v>
      </c>
      <c r="S143">
        <v>0.19821708432701421</v>
      </c>
      <c r="T143">
        <v>0.1550897216432138</v>
      </c>
      <c r="U143">
        <v>4.4286210779220783</v>
      </c>
      <c r="V143">
        <v>0.20126420786155011</v>
      </c>
      <c r="W143">
        <v>-2.288290483660131</v>
      </c>
      <c r="X143">
        <v>0.26538068320574859</v>
      </c>
      <c r="Z143" t="s">
        <v>392</v>
      </c>
      <c r="AA143">
        <v>161</v>
      </c>
      <c r="AB143" t="s">
        <v>4590</v>
      </c>
      <c r="AC143" t="str">
        <f>HYPERLINK("plots/3FT6Y578R04_015_S31P_20251219032831_M5358ACSA301811_RBGEUFRF04/dpll_52046/txpa_54175.png","plot")</f>
        <v>plot</v>
      </c>
    </row>
    <row r="144" spans="1:29" x14ac:dyDescent="0.35">
      <c r="A144" t="s">
        <v>50</v>
      </c>
      <c r="B144">
        <v>52046</v>
      </c>
      <c r="C144" t="s">
        <v>51</v>
      </c>
      <c r="D144">
        <v>54176</v>
      </c>
      <c r="E144" t="s">
        <v>196</v>
      </c>
      <c r="F144">
        <v>11782</v>
      </c>
      <c r="G144">
        <v>0.67154826151954294</v>
      </c>
      <c r="H144">
        <v>0</v>
      </c>
      <c r="I144">
        <v>0</v>
      </c>
      <c r="J144">
        <v>0.58845883218476347</v>
      </c>
      <c r="K144">
        <v>0</v>
      </c>
      <c r="L144">
        <v>0</v>
      </c>
      <c r="M144">
        <v>0.41786077304213459</v>
      </c>
      <c r="N144">
        <v>0</v>
      </c>
      <c r="O144">
        <v>0</v>
      </c>
      <c r="P144">
        <v>0.45097706754992051</v>
      </c>
      <c r="Q144">
        <v>0.89071726932757511</v>
      </c>
      <c r="R144">
        <v>-6.2308325329729666</v>
      </c>
      <c r="S144">
        <v>0.19780281190503049</v>
      </c>
      <c r="T144">
        <v>0.15478522621208279</v>
      </c>
      <c r="U144">
        <v>4.4286477380750293</v>
      </c>
      <c r="V144">
        <v>0.20127646963296911</v>
      </c>
      <c r="W144">
        <v>-2.286159512901035</v>
      </c>
      <c r="X144">
        <v>0.26696581271122161</v>
      </c>
      <c r="Z144" t="s">
        <v>392</v>
      </c>
      <c r="AA144">
        <v>161</v>
      </c>
      <c r="AB144" t="s">
        <v>4591</v>
      </c>
      <c r="AC144" t="str">
        <f>HYPERLINK("plots/3FT6Y578R04_015_S31P_20251219032831_M5358ACSA301811_RBGEUFRF04/dpll_52046/txpa_54176.png","plot")</f>
        <v>plot</v>
      </c>
    </row>
    <row r="145" spans="1:29" x14ac:dyDescent="0.35">
      <c r="A145" t="s">
        <v>50</v>
      </c>
      <c r="B145">
        <v>52046</v>
      </c>
      <c r="C145" t="s">
        <v>51</v>
      </c>
      <c r="D145">
        <v>54177</v>
      </c>
      <c r="E145" t="s">
        <v>197</v>
      </c>
      <c r="F145">
        <v>11782</v>
      </c>
      <c r="G145">
        <v>0.66759335077672688</v>
      </c>
      <c r="H145">
        <v>0</v>
      </c>
      <c r="I145">
        <v>0</v>
      </c>
      <c r="J145">
        <v>0.5787554643171402</v>
      </c>
      <c r="K145">
        <v>0</v>
      </c>
      <c r="L145">
        <v>0</v>
      </c>
      <c r="M145">
        <v>0.4094878511184985</v>
      </c>
      <c r="N145">
        <v>0</v>
      </c>
      <c r="O145">
        <v>0</v>
      </c>
      <c r="P145">
        <v>0.44568088200129791</v>
      </c>
      <c r="Q145">
        <v>0.87308446358401504</v>
      </c>
      <c r="R145">
        <v>-6.1500626439493491</v>
      </c>
      <c r="S145">
        <v>0.19597413734916519</v>
      </c>
      <c r="T145">
        <v>0.15403933391927599</v>
      </c>
      <c r="U145">
        <v>4.4286477380750293</v>
      </c>
      <c r="V145">
        <v>0.20127646963296911</v>
      </c>
      <c r="W145">
        <v>-2.2834791091495501</v>
      </c>
      <c r="X145">
        <v>0.26323113961085209</v>
      </c>
      <c r="Z145" t="s">
        <v>392</v>
      </c>
      <c r="AA145">
        <v>161</v>
      </c>
      <c r="AB145" t="s">
        <v>4592</v>
      </c>
      <c r="AC145" t="str">
        <f>HYPERLINK("plots/3FT6Y578R04_015_S31P_20251219032831_M5358ACSA301811_RBGEUFRF04/dpll_52046/txpa_54177.png","plot")</f>
        <v>plot</v>
      </c>
    </row>
    <row r="146" spans="1:29" x14ac:dyDescent="0.35">
      <c r="A146" t="s">
        <v>50</v>
      </c>
      <c r="B146">
        <v>52046</v>
      </c>
      <c r="C146" t="s">
        <v>51</v>
      </c>
      <c r="D146">
        <v>54178</v>
      </c>
      <c r="E146" t="s">
        <v>198</v>
      </c>
      <c r="F146">
        <v>11781</v>
      </c>
      <c r="G146">
        <v>0.65517058879040357</v>
      </c>
      <c r="H146">
        <v>0</v>
      </c>
      <c r="I146">
        <v>0</v>
      </c>
      <c r="J146">
        <v>0.56870434515478951</v>
      </c>
      <c r="K146">
        <v>0</v>
      </c>
      <c r="L146">
        <v>0</v>
      </c>
      <c r="M146">
        <v>0.40303756393405332</v>
      </c>
      <c r="N146">
        <v>0</v>
      </c>
      <c r="O146">
        <v>0</v>
      </c>
      <c r="P146">
        <v>0.42924850041596407</v>
      </c>
      <c r="Q146">
        <v>0.86425290529974652</v>
      </c>
      <c r="R146">
        <v>-6.1489316114859527</v>
      </c>
      <c r="S146">
        <v>0.2005723931174829</v>
      </c>
      <c r="T146">
        <v>0.15608300556144819</v>
      </c>
      <c r="U146">
        <v>4.4286701896273666</v>
      </c>
      <c r="V146">
        <v>0.20127025814248481</v>
      </c>
      <c r="W146">
        <v>-2.3214405334861219</v>
      </c>
      <c r="X146">
        <v>0.26550093720052581</v>
      </c>
      <c r="Z146" t="s">
        <v>392</v>
      </c>
      <c r="AA146">
        <v>161</v>
      </c>
      <c r="AB146" t="s">
        <v>4593</v>
      </c>
      <c r="AC146" t="str">
        <f>HYPERLINK("plots/3FT6Y578R04_015_S31P_20251219032831_M5358ACSA301811_RBGEUFRF04/dpll_52046/txpa_54178.png","plot")</f>
        <v>plot</v>
      </c>
    </row>
    <row r="147" spans="1:29" x14ac:dyDescent="0.35">
      <c r="A147" t="s">
        <v>50</v>
      </c>
      <c r="B147">
        <v>52046</v>
      </c>
      <c r="C147" t="s">
        <v>51</v>
      </c>
      <c r="D147">
        <v>54179</v>
      </c>
      <c r="E147" t="s">
        <v>199</v>
      </c>
      <c r="F147">
        <v>11782</v>
      </c>
      <c r="G147">
        <v>0.67186564012833061</v>
      </c>
      <c r="H147">
        <v>0</v>
      </c>
      <c r="I147">
        <v>0</v>
      </c>
      <c r="J147">
        <v>0.60300305721514225</v>
      </c>
      <c r="K147">
        <v>0</v>
      </c>
      <c r="L147">
        <v>0</v>
      </c>
      <c r="M147">
        <v>0.42761268507277927</v>
      </c>
      <c r="N147">
        <v>0</v>
      </c>
      <c r="O147">
        <v>0</v>
      </c>
      <c r="P147">
        <v>0.45140343838505148</v>
      </c>
      <c r="Q147">
        <v>0.91699861074482603</v>
      </c>
      <c r="R147">
        <v>-2.8259530850244721</v>
      </c>
      <c r="S147">
        <v>0.2034638987318432</v>
      </c>
      <c r="T147">
        <v>0.15600540818260389</v>
      </c>
      <c r="U147">
        <v>4.4286477380750293</v>
      </c>
      <c r="V147">
        <v>0.20127646963296911</v>
      </c>
      <c r="W147">
        <v>1.2351107382685449</v>
      </c>
      <c r="X147">
        <v>0.2747130259463807</v>
      </c>
      <c r="Z147" t="s">
        <v>392</v>
      </c>
      <c r="AA147">
        <v>161</v>
      </c>
      <c r="AB147" t="s">
        <v>4594</v>
      </c>
      <c r="AC147" t="str">
        <f>HYPERLINK("plots/3FT6Y578R04_015_S31P_20251219032831_M5358ACSA301811_RBGEUFRF04/dpll_52046/txpa_54179.png","plot")</f>
        <v>plot</v>
      </c>
    </row>
    <row r="148" spans="1:29" x14ac:dyDescent="0.35">
      <c r="A148" t="s">
        <v>50</v>
      </c>
      <c r="B148">
        <v>52046</v>
      </c>
      <c r="C148" t="s">
        <v>51</v>
      </c>
      <c r="D148">
        <v>54180</v>
      </c>
      <c r="E148" t="s">
        <v>200</v>
      </c>
      <c r="F148">
        <v>11782</v>
      </c>
      <c r="G148">
        <v>0.69573801660285917</v>
      </c>
      <c r="H148">
        <v>0</v>
      </c>
      <c r="I148">
        <v>0</v>
      </c>
      <c r="J148">
        <v>0.61972248978817923</v>
      </c>
      <c r="K148">
        <v>0</v>
      </c>
      <c r="L148">
        <v>0</v>
      </c>
      <c r="M148">
        <v>0.44332145751610652</v>
      </c>
      <c r="N148">
        <v>0</v>
      </c>
      <c r="O148">
        <v>0</v>
      </c>
      <c r="P148">
        <v>0.48405138774648032</v>
      </c>
      <c r="Q148">
        <v>0.95095197843951473</v>
      </c>
      <c r="R148">
        <v>-2.9407310324047469</v>
      </c>
      <c r="S148">
        <v>0.19760168837147499</v>
      </c>
      <c r="T148">
        <v>0.15330115375676401</v>
      </c>
      <c r="U148">
        <v>4.4286477380750293</v>
      </c>
      <c r="V148">
        <v>0.20127646963296911</v>
      </c>
      <c r="W148">
        <v>1.270700295929384</v>
      </c>
      <c r="X148">
        <v>0.27510967123139141</v>
      </c>
      <c r="Z148" t="s">
        <v>392</v>
      </c>
      <c r="AA148">
        <v>161</v>
      </c>
      <c r="AB148" t="s">
        <v>4595</v>
      </c>
      <c r="AC148" t="str">
        <f>HYPERLINK("plots/3FT6Y578R04_015_S31P_20251219032831_M5358ACSA301811_RBGEUFRF04/dpll_52046/txpa_54180.png","plot")</f>
        <v>plot</v>
      </c>
    </row>
    <row r="149" spans="1:29" x14ac:dyDescent="0.35">
      <c r="A149" t="s">
        <v>50</v>
      </c>
      <c r="B149">
        <v>52046</v>
      </c>
      <c r="C149" t="s">
        <v>51</v>
      </c>
      <c r="D149">
        <v>54181</v>
      </c>
      <c r="E149" t="s">
        <v>201</v>
      </c>
      <c r="F149">
        <v>11782</v>
      </c>
      <c r="G149">
        <v>0.68561321358031546</v>
      </c>
      <c r="H149">
        <v>0</v>
      </c>
      <c r="I149">
        <v>0</v>
      </c>
      <c r="J149">
        <v>0.60871372241388877</v>
      </c>
      <c r="K149">
        <v>0</v>
      </c>
      <c r="L149">
        <v>0</v>
      </c>
      <c r="M149">
        <v>0.43396364582535291</v>
      </c>
      <c r="N149">
        <v>0</v>
      </c>
      <c r="O149">
        <v>0</v>
      </c>
      <c r="P149">
        <v>0.47006547863592729</v>
      </c>
      <c r="Q149">
        <v>0.92336947229181299</v>
      </c>
      <c r="R149">
        <v>-2.8109495288448318</v>
      </c>
      <c r="S149">
        <v>0.19732495574611639</v>
      </c>
      <c r="T149">
        <v>0.15283212277422989</v>
      </c>
      <c r="U149">
        <v>4.4286477380750293</v>
      </c>
      <c r="V149">
        <v>0.20127646963296911</v>
      </c>
      <c r="W149">
        <v>1.278328596027839</v>
      </c>
      <c r="X149">
        <v>0.27107492076942341</v>
      </c>
      <c r="Z149" t="s">
        <v>392</v>
      </c>
      <c r="AA149">
        <v>161</v>
      </c>
      <c r="AB149" t="s">
        <v>4596</v>
      </c>
      <c r="AC149" t="str">
        <f>HYPERLINK("plots/3FT6Y578R04_015_S31P_20251219032831_M5358ACSA301811_RBGEUFRF04/dpll_52046/txpa_54181.png","plot")</f>
        <v>plot</v>
      </c>
    </row>
    <row r="150" spans="1:29" x14ac:dyDescent="0.35">
      <c r="A150" t="s">
        <v>50</v>
      </c>
      <c r="B150">
        <v>52046</v>
      </c>
      <c r="C150" t="s">
        <v>51</v>
      </c>
      <c r="D150">
        <v>54182</v>
      </c>
      <c r="E150" t="s">
        <v>202</v>
      </c>
      <c r="F150">
        <v>11781</v>
      </c>
      <c r="G150">
        <v>0.70357541948868274</v>
      </c>
      <c r="H150">
        <v>0</v>
      </c>
      <c r="I150">
        <v>0</v>
      </c>
      <c r="J150">
        <v>0.62143611367328044</v>
      </c>
      <c r="K150">
        <v>0</v>
      </c>
      <c r="L150">
        <v>0</v>
      </c>
      <c r="M150">
        <v>0.44502220851071339</v>
      </c>
      <c r="N150">
        <v>0</v>
      </c>
      <c r="O150">
        <v>0</v>
      </c>
      <c r="P150">
        <v>0.4950183709086759</v>
      </c>
      <c r="Q150">
        <v>0.95659782974993657</v>
      </c>
      <c r="R150">
        <v>-2.9400822153072692</v>
      </c>
      <c r="S150">
        <v>0.19446724714362679</v>
      </c>
      <c r="T150">
        <v>0.15174763467295321</v>
      </c>
      <c r="U150">
        <v>4.4286547017231142</v>
      </c>
      <c r="V150">
        <v>0.20128359324518649</v>
      </c>
      <c r="W150">
        <v>1.296359261072914</v>
      </c>
      <c r="X150">
        <v>0.27366994799583338</v>
      </c>
      <c r="Z150" t="s">
        <v>392</v>
      </c>
      <c r="AA150">
        <v>161</v>
      </c>
      <c r="AB150" t="s">
        <v>4597</v>
      </c>
      <c r="AC150" t="str">
        <f>HYPERLINK("plots/3FT6Y578R04_015_S31P_20251219032831_M5358ACSA301811_RBGEUFRF04/dpll_52046/txpa_54182.png","plot")</f>
        <v>plot</v>
      </c>
    </row>
    <row r="151" spans="1:29" x14ac:dyDescent="0.35">
      <c r="A151" t="s">
        <v>50</v>
      </c>
      <c r="B151">
        <v>52046</v>
      </c>
      <c r="C151" t="s">
        <v>51</v>
      </c>
      <c r="D151">
        <v>54183</v>
      </c>
      <c r="E151" t="s">
        <v>203</v>
      </c>
      <c r="F151">
        <v>11781</v>
      </c>
      <c r="G151">
        <v>0.70324434441363526</v>
      </c>
      <c r="H151">
        <v>0</v>
      </c>
      <c r="I151">
        <v>0</v>
      </c>
      <c r="J151">
        <v>0.6154461799445321</v>
      </c>
      <c r="K151">
        <v>0</v>
      </c>
      <c r="L151">
        <v>0</v>
      </c>
      <c r="M151">
        <v>0.43866808920483491</v>
      </c>
      <c r="N151">
        <v>0</v>
      </c>
      <c r="O151">
        <v>0</v>
      </c>
      <c r="P151">
        <v>0.49455260794976358</v>
      </c>
      <c r="Q151">
        <v>0.95082583734443327</v>
      </c>
      <c r="R151">
        <v>-2.935122064424843</v>
      </c>
      <c r="S151">
        <v>0.19345538443718421</v>
      </c>
      <c r="T151">
        <v>0.15128534877173561</v>
      </c>
      <c r="U151">
        <v>4.4286210779220783</v>
      </c>
      <c r="V151">
        <v>0.20126420786155011</v>
      </c>
      <c r="W151">
        <v>1.2757252802716239</v>
      </c>
      <c r="X151">
        <v>0.27212050902021018</v>
      </c>
      <c r="Z151" t="s">
        <v>392</v>
      </c>
      <c r="AA151">
        <v>161</v>
      </c>
      <c r="AB151" t="s">
        <v>4598</v>
      </c>
      <c r="AC151" t="str">
        <f>HYPERLINK("plots/3FT6Y578R04_015_S31P_20251219032831_M5358ACSA301811_RBGEUFRF04/dpll_52046/txpa_54183.png","plot")</f>
        <v>plot</v>
      </c>
    </row>
    <row r="152" spans="1:29" x14ac:dyDescent="0.35">
      <c r="A152" t="s">
        <v>50</v>
      </c>
      <c r="B152">
        <v>52046</v>
      </c>
      <c r="C152" t="s">
        <v>51</v>
      </c>
      <c r="D152">
        <v>54184</v>
      </c>
      <c r="E152" t="s">
        <v>204</v>
      </c>
      <c r="F152">
        <v>11782</v>
      </c>
      <c r="G152">
        <v>0.70862050179912162</v>
      </c>
      <c r="H152">
        <v>0</v>
      </c>
      <c r="I152">
        <v>0</v>
      </c>
      <c r="J152">
        <v>0.63043876529369902</v>
      </c>
      <c r="K152">
        <v>0</v>
      </c>
      <c r="L152">
        <v>0</v>
      </c>
      <c r="M152">
        <v>0.45154621447217891</v>
      </c>
      <c r="N152">
        <v>0</v>
      </c>
      <c r="O152">
        <v>0</v>
      </c>
      <c r="P152">
        <v>0.50214301557003893</v>
      </c>
      <c r="Q152">
        <v>0.96563415978637523</v>
      </c>
      <c r="R152">
        <v>-2.9942605351422449</v>
      </c>
      <c r="S152">
        <v>0.19351996857110401</v>
      </c>
      <c r="T152">
        <v>0.15111250827589351</v>
      </c>
      <c r="U152">
        <v>4.4286477380750293</v>
      </c>
      <c r="V152">
        <v>0.20127646963296911</v>
      </c>
      <c r="W152">
        <v>1.282193002403667</v>
      </c>
      <c r="X152">
        <v>0.274278593612998</v>
      </c>
      <c r="Z152" t="s">
        <v>392</v>
      </c>
      <c r="AA152">
        <v>161</v>
      </c>
      <c r="AB152" t="s">
        <v>4599</v>
      </c>
      <c r="AC152" t="str">
        <f>HYPERLINK("plots/3FT6Y578R04_015_S31P_20251219032831_M5358ACSA301811_RBGEUFRF04/dpll_52046/txpa_54184.png","plot")</f>
        <v>plot</v>
      </c>
    </row>
    <row r="153" spans="1:29" x14ac:dyDescent="0.35">
      <c r="A153" t="s">
        <v>50</v>
      </c>
      <c r="B153">
        <v>52046</v>
      </c>
      <c r="C153" t="s">
        <v>51</v>
      </c>
      <c r="D153">
        <v>54185</v>
      </c>
      <c r="E153" t="s">
        <v>205</v>
      </c>
      <c r="F153">
        <v>11782</v>
      </c>
      <c r="G153">
        <v>0.70563188410844002</v>
      </c>
      <c r="H153">
        <v>0</v>
      </c>
      <c r="I153">
        <v>0</v>
      </c>
      <c r="J153">
        <v>0.62095681043932061</v>
      </c>
      <c r="K153">
        <v>0</v>
      </c>
      <c r="L153">
        <v>0</v>
      </c>
      <c r="M153">
        <v>0.44340307914918747</v>
      </c>
      <c r="N153">
        <v>0</v>
      </c>
      <c r="O153">
        <v>0</v>
      </c>
      <c r="P153">
        <v>0.49791635587042687</v>
      </c>
      <c r="Q153">
        <v>0.94862077774763265</v>
      </c>
      <c r="R153">
        <v>-2.9148177014864882</v>
      </c>
      <c r="S153">
        <v>0.1917242505300974</v>
      </c>
      <c r="T153">
        <v>0.15049832490782189</v>
      </c>
      <c r="U153">
        <v>4.4286477380750293</v>
      </c>
      <c r="V153">
        <v>0.20127646963296911</v>
      </c>
      <c r="W153">
        <v>1.2862895601765409</v>
      </c>
      <c r="X153">
        <v>0.27058732104597238</v>
      </c>
      <c r="Z153" t="s">
        <v>392</v>
      </c>
      <c r="AA153">
        <v>161</v>
      </c>
      <c r="AB153" t="s">
        <v>4600</v>
      </c>
      <c r="AC153" t="str">
        <f>HYPERLINK("plots/3FT6Y578R04_015_S31P_20251219032831_M5358ACSA301811_RBGEUFRF04/dpll_52046/txpa_54185.png","plot")</f>
        <v>plot</v>
      </c>
    </row>
    <row r="154" spans="1:29" x14ac:dyDescent="0.35">
      <c r="A154" t="s">
        <v>50</v>
      </c>
      <c r="B154">
        <v>52046</v>
      </c>
      <c r="C154" t="s">
        <v>51</v>
      </c>
      <c r="D154">
        <v>54186</v>
      </c>
      <c r="E154" t="s">
        <v>206</v>
      </c>
      <c r="F154">
        <v>11781</v>
      </c>
      <c r="G154">
        <v>0.69483975938803866</v>
      </c>
      <c r="H154">
        <v>0</v>
      </c>
      <c r="I154">
        <v>0</v>
      </c>
      <c r="J154">
        <v>0.61200273461204735</v>
      </c>
      <c r="K154">
        <v>0</v>
      </c>
      <c r="L154">
        <v>0</v>
      </c>
      <c r="M154">
        <v>0.43741518642767391</v>
      </c>
      <c r="N154">
        <v>0</v>
      </c>
      <c r="O154">
        <v>0</v>
      </c>
      <c r="P154">
        <v>0.48280229122642748</v>
      </c>
      <c r="Q154">
        <v>0.9413987456545676</v>
      </c>
      <c r="R154">
        <v>-2.9156447893728821</v>
      </c>
      <c r="S154">
        <v>0.19610037359085641</v>
      </c>
      <c r="T154">
        <v>0.15224527314156769</v>
      </c>
      <c r="U154">
        <v>4.4286701896273666</v>
      </c>
      <c r="V154">
        <v>0.20127025814248481</v>
      </c>
      <c r="W154">
        <v>1.2534997720600971</v>
      </c>
      <c r="X154">
        <v>0.27268958920799491</v>
      </c>
      <c r="Z154" t="s">
        <v>392</v>
      </c>
      <c r="AA154">
        <v>161</v>
      </c>
      <c r="AB154" t="s">
        <v>4601</v>
      </c>
      <c r="AC154" t="str">
        <f>HYPERLINK("plots/3FT6Y578R04_015_S31P_20251219032831_M5358ACSA301811_RBGEUFRF04/dpll_52046/txpa_54186.png","plot")</f>
        <v>plot</v>
      </c>
    </row>
    <row r="155" spans="1:29" x14ac:dyDescent="0.35">
      <c r="A155" t="s">
        <v>50</v>
      </c>
      <c r="B155">
        <v>52046</v>
      </c>
      <c r="C155" t="s">
        <v>51</v>
      </c>
      <c r="D155">
        <v>54187</v>
      </c>
      <c r="E155" t="s">
        <v>207</v>
      </c>
      <c r="F155">
        <v>11782</v>
      </c>
      <c r="G155">
        <v>0.70268032228351651</v>
      </c>
      <c r="H155">
        <v>0</v>
      </c>
      <c r="I155">
        <v>0</v>
      </c>
      <c r="J155">
        <v>0.6340430021197343</v>
      </c>
      <c r="K155">
        <v>0</v>
      </c>
      <c r="L155">
        <v>0</v>
      </c>
      <c r="M155">
        <v>0.45264071340054768</v>
      </c>
      <c r="N155">
        <v>0</v>
      </c>
      <c r="O155">
        <v>0</v>
      </c>
      <c r="P155">
        <v>0.49375963532446671</v>
      </c>
      <c r="Q155">
        <v>0.9905398096846596</v>
      </c>
      <c r="R155">
        <v>-1.1396371157778651</v>
      </c>
      <c r="S155">
        <v>0.20186782461820801</v>
      </c>
      <c r="T155">
        <v>0.1544962049917718</v>
      </c>
      <c r="U155">
        <v>4.4286477380750293</v>
      </c>
      <c r="V155">
        <v>0.20127646963296911</v>
      </c>
      <c r="W155">
        <v>3.2471147718553719</v>
      </c>
      <c r="X155">
        <v>0.28373123538785938</v>
      </c>
      <c r="Z155" t="s">
        <v>392</v>
      </c>
      <c r="AA155">
        <v>161</v>
      </c>
      <c r="AB155" t="s">
        <v>4602</v>
      </c>
      <c r="AC155" t="str">
        <f>HYPERLINK("plots/3FT6Y578R04_015_S31P_20251219032831_M5358ACSA301811_RBGEUFRF04/dpll_52046/txpa_54187.png","plot")</f>
        <v>plot</v>
      </c>
    </row>
    <row r="156" spans="1:29" x14ac:dyDescent="0.35">
      <c r="A156" t="s">
        <v>50</v>
      </c>
      <c r="B156">
        <v>52046</v>
      </c>
      <c r="C156" t="s">
        <v>51</v>
      </c>
      <c r="D156">
        <v>54188</v>
      </c>
      <c r="E156" t="s">
        <v>208</v>
      </c>
      <c r="F156">
        <v>11782</v>
      </c>
      <c r="G156">
        <v>0.72507270828991266</v>
      </c>
      <c r="H156">
        <v>0</v>
      </c>
      <c r="I156">
        <v>0</v>
      </c>
      <c r="J156">
        <v>0.6493096402609968</v>
      </c>
      <c r="K156">
        <v>0</v>
      </c>
      <c r="L156">
        <v>0</v>
      </c>
      <c r="M156">
        <v>0.46782902800714848</v>
      </c>
      <c r="N156">
        <v>0</v>
      </c>
      <c r="O156">
        <v>0</v>
      </c>
      <c r="P156">
        <v>0.52573043230686878</v>
      </c>
      <c r="Q156">
        <v>1.02426149359562</v>
      </c>
      <c r="R156">
        <v>-1.2545596745128711</v>
      </c>
      <c r="S156">
        <v>0.19580171514012809</v>
      </c>
      <c r="T156">
        <v>0.1519750882586163</v>
      </c>
      <c r="U156">
        <v>4.4286477380750293</v>
      </c>
      <c r="V156">
        <v>0.20127646963296911</v>
      </c>
      <c r="W156">
        <v>3.2815336722967241</v>
      </c>
      <c r="X156">
        <v>0.2843297438378935</v>
      </c>
      <c r="Z156" t="s">
        <v>392</v>
      </c>
      <c r="AA156">
        <v>161</v>
      </c>
      <c r="AB156" t="s">
        <v>4603</v>
      </c>
      <c r="AC156" t="str">
        <f>HYPERLINK("plots/3FT6Y578R04_015_S31P_20251219032831_M5358ACSA301811_RBGEUFRF04/dpll_52046/txpa_54188.png","plot")</f>
        <v>plot</v>
      </c>
    </row>
    <row r="157" spans="1:29" x14ac:dyDescent="0.35">
      <c r="A157" t="s">
        <v>50</v>
      </c>
      <c r="B157">
        <v>52046</v>
      </c>
      <c r="C157" t="s">
        <v>51</v>
      </c>
      <c r="D157">
        <v>54189</v>
      </c>
      <c r="E157" t="s">
        <v>209</v>
      </c>
      <c r="F157">
        <v>11782</v>
      </c>
      <c r="G157">
        <v>0.71568302724579524</v>
      </c>
      <c r="H157">
        <v>0</v>
      </c>
      <c r="I157">
        <v>0</v>
      </c>
      <c r="J157">
        <v>0.63907856424680365</v>
      </c>
      <c r="K157">
        <v>0</v>
      </c>
      <c r="L157">
        <v>0</v>
      </c>
      <c r="M157">
        <v>0.45871378198488572</v>
      </c>
      <c r="N157">
        <v>0</v>
      </c>
      <c r="O157">
        <v>0</v>
      </c>
      <c r="P157">
        <v>0.51220219548770574</v>
      </c>
      <c r="Q157">
        <v>0.99656403899308732</v>
      </c>
      <c r="R157">
        <v>-1.123333750024502</v>
      </c>
      <c r="S157">
        <v>0.19573973209088691</v>
      </c>
      <c r="T157">
        <v>0.15127566555779931</v>
      </c>
      <c r="U157">
        <v>4.4286477380750293</v>
      </c>
      <c r="V157">
        <v>0.20127646963296911</v>
      </c>
      <c r="W157">
        <v>3.2900973271091489</v>
      </c>
      <c r="X157">
        <v>0.28027057216044882</v>
      </c>
      <c r="Z157" t="s">
        <v>392</v>
      </c>
      <c r="AA157">
        <v>161</v>
      </c>
      <c r="AB157" t="s">
        <v>4604</v>
      </c>
      <c r="AC157" t="str">
        <f>HYPERLINK("plots/3FT6Y578R04_015_S31P_20251219032831_M5358ACSA301811_RBGEUFRF04/dpll_52046/txpa_54189.png","plot")</f>
        <v>plot</v>
      </c>
    </row>
    <row r="158" spans="1:29" x14ac:dyDescent="0.35">
      <c r="A158" t="s">
        <v>50</v>
      </c>
      <c r="B158">
        <v>52046</v>
      </c>
      <c r="C158" t="s">
        <v>51</v>
      </c>
      <c r="D158">
        <v>54190</v>
      </c>
      <c r="E158" t="s">
        <v>210</v>
      </c>
      <c r="F158">
        <v>11781</v>
      </c>
      <c r="G158">
        <v>0.73236778108402822</v>
      </c>
      <c r="H158">
        <v>0</v>
      </c>
      <c r="I158">
        <v>0</v>
      </c>
      <c r="J158">
        <v>0.65136086693710604</v>
      </c>
      <c r="K158">
        <v>0</v>
      </c>
      <c r="L158">
        <v>0</v>
      </c>
      <c r="M158">
        <v>0.46972503788440201</v>
      </c>
      <c r="N158">
        <v>0</v>
      </c>
      <c r="O158">
        <v>0</v>
      </c>
      <c r="P158">
        <v>0.53636256676994309</v>
      </c>
      <c r="Q158">
        <v>1.027928425088946</v>
      </c>
      <c r="R158">
        <v>-1.247921267642448</v>
      </c>
      <c r="S158">
        <v>0.1923591440146557</v>
      </c>
      <c r="T158">
        <v>0.15000306675893249</v>
      </c>
      <c r="U158">
        <v>4.4286547017231142</v>
      </c>
      <c r="V158">
        <v>0.20128359324518649</v>
      </c>
      <c r="W158">
        <v>3.3044187851625502</v>
      </c>
      <c r="X158">
        <v>0.28251533224811459</v>
      </c>
      <c r="Z158" t="s">
        <v>392</v>
      </c>
      <c r="AA158">
        <v>161</v>
      </c>
      <c r="AB158" t="s">
        <v>4605</v>
      </c>
      <c r="AC158" t="str">
        <f>HYPERLINK("plots/3FT6Y578R04_015_S31P_20251219032831_M5358ACSA301811_RBGEUFRF04/dpll_52046/txpa_54190.png","plot")</f>
        <v>plot</v>
      </c>
    </row>
    <row r="159" spans="1:29" x14ac:dyDescent="0.35">
      <c r="A159" t="s">
        <v>50</v>
      </c>
      <c r="B159">
        <v>52046</v>
      </c>
      <c r="C159" t="s">
        <v>51</v>
      </c>
      <c r="D159">
        <v>54191</v>
      </c>
      <c r="E159" t="s">
        <v>211</v>
      </c>
      <c r="F159">
        <v>11781</v>
      </c>
      <c r="G159">
        <v>0.73258233224355673</v>
      </c>
      <c r="H159">
        <v>0</v>
      </c>
      <c r="I159">
        <v>0</v>
      </c>
      <c r="J159">
        <v>0.64565514660031997</v>
      </c>
      <c r="K159">
        <v>0</v>
      </c>
      <c r="L159">
        <v>0</v>
      </c>
      <c r="M159">
        <v>0.46333593275359669</v>
      </c>
      <c r="N159">
        <v>0</v>
      </c>
      <c r="O159">
        <v>0</v>
      </c>
      <c r="P159">
        <v>0.53667687351540894</v>
      </c>
      <c r="Q159">
        <v>1.022611761865601</v>
      </c>
      <c r="R159">
        <v>-1.246161047098139</v>
      </c>
      <c r="S159">
        <v>0.19122490231062581</v>
      </c>
      <c r="T159">
        <v>0.14942689337383039</v>
      </c>
      <c r="U159">
        <v>4.4286210779220783</v>
      </c>
      <c r="V159">
        <v>0.20126420786155011</v>
      </c>
      <c r="W159">
        <v>3.2825989560308968</v>
      </c>
      <c r="X159">
        <v>0.28094473091027039</v>
      </c>
      <c r="Z159" t="s">
        <v>392</v>
      </c>
      <c r="AA159">
        <v>161</v>
      </c>
      <c r="AB159" t="s">
        <v>4606</v>
      </c>
      <c r="AC159" t="str">
        <f>HYPERLINK("plots/3FT6Y578R04_015_S31P_20251219032831_M5358ACSA301811_RBGEUFRF04/dpll_52046/txpa_54191.png","plot")</f>
        <v>plot</v>
      </c>
    </row>
    <row r="160" spans="1:29" x14ac:dyDescent="0.35">
      <c r="A160" t="s">
        <v>50</v>
      </c>
      <c r="B160">
        <v>52046</v>
      </c>
      <c r="C160" t="s">
        <v>51</v>
      </c>
      <c r="D160">
        <v>54192</v>
      </c>
      <c r="E160" t="s">
        <v>212</v>
      </c>
      <c r="F160">
        <v>11781</v>
      </c>
      <c r="G160">
        <v>0.73901168194772127</v>
      </c>
      <c r="H160">
        <v>0</v>
      </c>
      <c r="I160">
        <v>0</v>
      </c>
      <c r="J160">
        <v>0.66052204994214991</v>
      </c>
      <c r="K160">
        <v>0</v>
      </c>
      <c r="L160">
        <v>0</v>
      </c>
      <c r="M160">
        <v>0.47657628232427351</v>
      </c>
      <c r="N160">
        <v>0</v>
      </c>
      <c r="O160">
        <v>0</v>
      </c>
      <c r="P160">
        <v>0.54613826605519988</v>
      </c>
      <c r="Q160">
        <v>1.0398919499641439</v>
      </c>
      <c r="R160">
        <v>-1.312895762208147</v>
      </c>
      <c r="S160">
        <v>0.19078337770415851</v>
      </c>
      <c r="T160">
        <v>0.1493463955994552</v>
      </c>
      <c r="U160">
        <v>4.4286192746795683</v>
      </c>
      <c r="V160">
        <v>0.20126129812424351</v>
      </c>
      <c r="W160">
        <v>3.292389770987183</v>
      </c>
      <c r="X160">
        <v>0.28320256481891443</v>
      </c>
      <c r="Z160" t="s">
        <v>392</v>
      </c>
      <c r="AA160">
        <v>161</v>
      </c>
      <c r="AB160" t="s">
        <v>4607</v>
      </c>
      <c r="AC160" t="str">
        <f>HYPERLINK("plots/3FT6Y578R04_015_S31P_20251219032831_M5358ACSA301811_RBGEUFRF04/dpll_52046/txpa_54192.png","plot")</f>
        <v>plot</v>
      </c>
    </row>
    <row r="161" spans="1:29" x14ac:dyDescent="0.35">
      <c r="A161" t="s">
        <v>50</v>
      </c>
      <c r="B161">
        <v>52046</v>
      </c>
      <c r="C161" t="s">
        <v>51</v>
      </c>
      <c r="D161">
        <v>54193</v>
      </c>
      <c r="E161" t="s">
        <v>213</v>
      </c>
      <c r="F161">
        <v>11782</v>
      </c>
      <c r="G161">
        <v>0.73454635652156752</v>
      </c>
      <c r="H161">
        <v>0</v>
      </c>
      <c r="I161">
        <v>0</v>
      </c>
      <c r="J161">
        <v>0.65048419040331196</v>
      </c>
      <c r="K161">
        <v>0</v>
      </c>
      <c r="L161">
        <v>0</v>
      </c>
      <c r="M161">
        <v>0.46784064660924229</v>
      </c>
      <c r="N161">
        <v>0</v>
      </c>
      <c r="O161">
        <v>0</v>
      </c>
      <c r="P161">
        <v>0.53955834987910978</v>
      </c>
      <c r="Q161">
        <v>1.0220893794151791</v>
      </c>
      <c r="R161">
        <v>-1.2303107877024571</v>
      </c>
      <c r="S161">
        <v>0.19003410184800301</v>
      </c>
      <c r="T161">
        <v>0.14921266438091749</v>
      </c>
      <c r="U161">
        <v>4.4286477380750293</v>
      </c>
      <c r="V161">
        <v>0.20127646963296911</v>
      </c>
      <c r="W161">
        <v>3.2961630305550842</v>
      </c>
      <c r="X161">
        <v>0.28006747308942531</v>
      </c>
      <c r="Z161" t="s">
        <v>392</v>
      </c>
      <c r="AA161">
        <v>161</v>
      </c>
      <c r="AB161" t="s">
        <v>4608</v>
      </c>
      <c r="AC161" t="str">
        <f>HYPERLINK("plots/3FT6Y578R04_015_S31P_20251219032831_M5358ACSA301811_RBGEUFRF04/dpll_52046/txpa_54193.png","plot")</f>
        <v>plot</v>
      </c>
    </row>
    <row r="162" spans="1:29" x14ac:dyDescent="0.35">
      <c r="A162" t="s">
        <v>50</v>
      </c>
      <c r="B162">
        <v>52046</v>
      </c>
      <c r="C162" t="s">
        <v>51</v>
      </c>
      <c r="D162">
        <v>54194</v>
      </c>
      <c r="E162" t="s">
        <v>214</v>
      </c>
      <c r="F162">
        <v>11781</v>
      </c>
      <c r="G162">
        <v>0.72515077720655585</v>
      </c>
      <c r="H162">
        <v>0</v>
      </c>
      <c r="I162">
        <v>0</v>
      </c>
      <c r="J162">
        <v>0.64292563680860249</v>
      </c>
      <c r="K162">
        <v>0</v>
      </c>
      <c r="L162">
        <v>0</v>
      </c>
      <c r="M162">
        <v>0.46269316119431758</v>
      </c>
      <c r="N162">
        <v>0</v>
      </c>
      <c r="O162">
        <v>0</v>
      </c>
      <c r="P162">
        <v>0.52584364968327202</v>
      </c>
      <c r="Q162">
        <v>1.0145731799702531</v>
      </c>
      <c r="R162">
        <v>-1.2275871299160701</v>
      </c>
      <c r="S162">
        <v>0.19389964653917549</v>
      </c>
      <c r="T162">
        <v>0.15039198666915149</v>
      </c>
      <c r="U162">
        <v>4.4286701896273666</v>
      </c>
      <c r="V162">
        <v>0.20127025814248481</v>
      </c>
      <c r="W162">
        <v>3.2656228674136321</v>
      </c>
      <c r="X162">
        <v>0.28160130590177701</v>
      </c>
      <c r="Z162" t="s">
        <v>392</v>
      </c>
      <c r="AA162">
        <v>161</v>
      </c>
      <c r="AB162" t="s">
        <v>4609</v>
      </c>
      <c r="AC162" t="str">
        <f>HYPERLINK("plots/3FT6Y578R04_015_S31P_20251219032831_M5358ACSA301811_RBGEUFRF04/dpll_52046/txpa_54194.png","plot")</f>
        <v>plot</v>
      </c>
    </row>
    <row r="163" spans="1:29" x14ac:dyDescent="0.35">
      <c r="A163" t="s">
        <v>50</v>
      </c>
      <c r="B163">
        <v>52046</v>
      </c>
      <c r="C163" t="s">
        <v>51</v>
      </c>
      <c r="D163">
        <v>54195</v>
      </c>
      <c r="E163" t="s">
        <v>215</v>
      </c>
      <c r="F163">
        <v>11782</v>
      </c>
      <c r="G163">
        <v>0.73983846490544269</v>
      </c>
      <c r="H163">
        <v>0</v>
      </c>
      <c r="I163">
        <v>0</v>
      </c>
      <c r="J163">
        <v>0.66650627600652734</v>
      </c>
      <c r="K163">
        <v>0</v>
      </c>
      <c r="L163">
        <v>0</v>
      </c>
      <c r="M163">
        <v>0.47996944537599329</v>
      </c>
      <c r="N163">
        <v>0</v>
      </c>
      <c r="O163">
        <v>0</v>
      </c>
      <c r="P163">
        <v>0.54736095415364194</v>
      </c>
      <c r="Q163">
        <v>1.105933227788173</v>
      </c>
      <c r="R163">
        <v>0.76647431696202872</v>
      </c>
      <c r="S163">
        <v>0.20241494841864829</v>
      </c>
      <c r="T163">
        <v>0.15426766240479789</v>
      </c>
      <c r="U163">
        <v>4.4286477380750293</v>
      </c>
      <c r="V163">
        <v>0.20127646963296911</v>
      </c>
      <c r="W163">
        <v>5.6642630046681388</v>
      </c>
      <c r="X163">
        <v>0.30087423984835338</v>
      </c>
      <c r="Z163" t="s">
        <v>392</v>
      </c>
      <c r="AA163">
        <v>161</v>
      </c>
      <c r="AB163" t="s">
        <v>4610</v>
      </c>
      <c r="AC163" t="str">
        <f>HYPERLINK("plots/3FT6Y578R04_015_S31P_20251219032831_M5358ACSA301811_RBGEUFRF04/dpll_52046/txpa_54195.png","plot")</f>
        <v>plot</v>
      </c>
    </row>
    <row r="164" spans="1:29" x14ac:dyDescent="0.35">
      <c r="A164" t="s">
        <v>50</v>
      </c>
      <c r="B164">
        <v>52046</v>
      </c>
      <c r="C164" t="s">
        <v>51</v>
      </c>
      <c r="D164">
        <v>54196</v>
      </c>
      <c r="E164" t="s">
        <v>216</v>
      </c>
      <c r="F164">
        <v>11782</v>
      </c>
      <c r="G164">
        <v>0.75949602233967828</v>
      </c>
      <c r="H164">
        <v>0</v>
      </c>
      <c r="I164">
        <v>0</v>
      </c>
      <c r="J164">
        <v>0.67963738432414145</v>
      </c>
      <c r="K164">
        <v>0</v>
      </c>
      <c r="L164">
        <v>0</v>
      </c>
      <c r="M164">
        <v>0.49396114486750098</v>
      </c>
      <c r="N164">
        <v>0</v>
      </c>
      <c r="O164">
        <v>0</v>
      </c>
      <c r="P164">
        <v>0.57683420794979312</v>
      </c>
      <c r="Q164">
        <v>1.137499045807338</v>
      </c>
      <c r="R164">
        <v>0.66074475134123034</v>
      </c>
      <c r="S164">
        <v>0.1960899739859287</v>
      </c>
      <c r="T164">
        <v>0.1517473972433161</v>
      </c>
      <c r="U164">
        <v>4.4286477380750293</v>
      </c>
      <c r="V164">
        <v>0.20127646963296911</v>
      </c>
      <c r="W164">
        <v>5.6983273276184008</v>
      </c>
      <c r="X164">
        <v>0.3014522596782937</v>
      </c>
      <c r="Z164" t="s">
        <v>392</v>
      </c>
      <c r="AA164">
        <v>161</v>
      </c>
      <c r="AB164" t="s">
        <v>4611</v>
      </c>
      <c r="AC164" t="str">
        <f>HYPERLINK("plots/3FT6Y578R04_015_S31P_20251219032831_M5358ACSA301811_RBGEUFRF04/dpll_52046/txpa_54196.png","plot")</f>
        <v>plot</v>
      </c>
    </row>
    <row r="165" spans="1:29" x14ac:dyDescent="0.35">
      <c r="A165" t="s">
        <v>50</v>
      </c>
      <c r="B165">
        <v>52046</v>
      </c>
      <c r="C165" t="s">
        <v>51</v>
      </c>
      <c r="D165">
        <v>54197</v>
      </c>
      <c r="E165" t="s">
        <v>217</v>
      </c>
      <c r="F165">
        <v>11782</v>
      </c>
      <c r="G165">
        <v>0.75138340049057939</v>
      </c>
      <c r="H165">
        <v>0</v>
      </c>
      <c r="I165">
        <v>0</v>
      </c>
      <c r="J165">
        <v>0.67063322976717832</v>
      </c>
      <c r="K165">
        <v>0</v>
      </c>
      <c r="L165">
        <v>0</v>
      </c>
      <c r="M165">
        <v>0.48550186575485821</v>
      </c>
      <c r="N165">
        <v>0</v>
      </c>
      <c r="O165">
        <v>0</v>
      </c>
      <c r="P165">
        <v>0.56457701453278641</v>
      </c>
      <c r="Q165">
        <v>1.109871480466583</v>
      </c>
      <c r="R165">
        <v>0.79249283159260475</v>
      </c>
      <c r="S165">
        <v>0.1961739542229696</v>
      </c>
      <c r="T165">
        <v>0.15096626836229571</v>
      </c>
      <c r="U165">
        <v>4.4286477380750293</v>
      </c>
      <c r="V165">
        <v>0.20127646963296911</v>
      </c>
      <c r="W165">
        <v>5.7077226531149208</v>
      </c>
      <c r="X165">
        <v>0.29730629288426941</v>
      </c>
      <c r="Z165" t="s">
        <v>392</v>
      </c>
      <c r="AA165">
        <v>161</v>
      </c>
      <c r="AB165" t="s">
        <v>4612</v>
      </c>
      <c r="AC165" t="str">
        <f>HYPERLINK("plots/3FT6Y578R04_015_S31P_20251219032831_M5358ACSA301811_RBGEUFRF04/dpll_52046/txpa_54197.png","plot")</f>
        <v>plot</v>
      </c>
    </row>
    <row r="166" spans="1:29" x14ac:dyDescent="0.35">
      <c r="A166" t="s">
        <v>50</v>
      </c>
      <c r="B166">
        <v>52046</v>
      </c>
      <c r="C166" t="s">
        <v>51</v>
      </c>
      <c r="D166">
        <v>54198</v>
      </c>
      <c r="E166" t="s">
        <v>218</v>
      </c>
      <c r="F166">
        <v>11781</v>
      </c>
      <c r="G166">
        <v>0.76643778647435745</v>
      </c>
      <c r="H166">
        <v>0</v>
      </c>
      <c r="I166">
        <v>0</v>
      </c>
      <c r="J166">
        <v>0.68188904198422495</v>
      </c>
      <c r="K166">
        <v>0</v>
      </c>
      <c r="L166">
        <v>0</v>
      </c>
      <c r="M166">
        <v>0.4959501245532576</v>
      </c>
      <c r="N166">
        <v>0</v>
      </c>
      <c r="O166">
        <v>0</v>
      </c>
      <c r="P166">
        <v>0.58742688053571279</v>
      </c>
      <c r="Q166">
        <v>1.140287089763234</v>
      </c>
      <c r="R166">
        <v>0.66853394681232015</v>
      </c>
      <c r="S166">
        <v>0.1923435855838769</v>
      </c>
      <c r="T166">
        <v>0.1495667171934732</v>
      </c>
      <c r="U166">
        <v>4.4286547017231142</v>
      </c>
      <c r="V166">
        <v>0.20128359324518649</v>
      </c>
      <c r="W166">
        <v>5.7184717282064339</v>
      </c>
      <c r="X166">
        <v>0.29946472735177371</v>
      </c>
      <c r="Z166" t="s">
        <v>392</v>
      </c>
      <c r="AA166">
        <v>161</v>
      </c>
      <c r="AB166" t="s">
        <v>4613</v>
      </c>
      <c r="AC166" t="str">
        <f>HYPERLINK("plots/3FT6Y578R04_015_S31P_20251219032831_M5358ACSA301811_RBGEUFRF04/dpll_52046/txpa_54198.png","plot")</f>
        <v>plot</v>
      </c>
    </row>
    <row r="167" spans="1:29" x14ac:dyDescent="0.35">
      <c r="A167" t="s">
        <v>50</v>
      </c>
      <c r="B167">
        <v>52046</v>
      </c>
      <c r="C167" t="s">
        <v>51</v>
      </c>
      <c r="D167">
        <v>54199</v>
      </c>
      <c r="E167" t="s">
        <v>219</v>
      </c>
      <c r="F167">
        <v>11781</v>
      </c>
      <c r="G167">
        <v>0.76750251174600626</v>
      </c>
      <c r="H167">
        <v>0</v>
      </c>
      <c r="I167">
        <v>0</v>
      </c>
      <c r="J167">
        <v>0.6775069196196436</v>
      </c>
      <c r="K167">
        <v>0</v>
      </c>
      <c r="L167">
        <v>0</v>
      </c>
      <c r="M167">
        <v>0.49060658018647701</v>
      </c>
      <c r="N167">
        <v>0</v>
      </c>
      <c r="O167">
        <v>0</v>
      </c>
      <c r="P167">
        <v>0.58906010553642851</v>
      </c>
      <c r="Q167">
        <v>1.1363624045947209</v>
      </c>
      <c r="R167">
        <v>0.66310199678450932</v>
      </c>
      <c r="S167">
        <v>0.19101801149492861</v>
      </c>
      <c r="T167">
        <v>0.14884199294912021</v>
      </c>
      <c r="U167">
        <v>4.4286210779220783</v>
      </c>
      <c r="V167">
        <v>0.20126420786155011</v>
      </c>
      <c r="W167">
        <v>5.6956204939309067</v>
      </c>
      <c r="X167">
        <v>0.29799131039207688</v>
      </c>
      <c r="Z167" t="s">
        <v>392</v>
      </c>
      <c r="AA167">
        <v>161</v>
      </c>
      <c r="AB167" t="s">
        <v>4614</v>
      </c>
      <c r="AC167" t="str">
        <f>HYPERLINK("plots/3FT6Y578R04_015_S31P_20251219032831_M5358ACSA301811_RBGEUFRF04/dpll_52046/txpa_54199.png","plot")</f>
        <v>plot</v>
      </c>
    </row>
    <row r="168" spans="1:29" x14ac:dyDescent="0.35">
      <c r="A168" t="s">
        <v>50</v>
      </c>
      <c r="B168">
        <v>52046</v>
      </c>
      <c r="C168" t="s">
        <v>51</v>
      </c>
      <c r="D168">
        <v>54200</v>
      </c>
      <c r="E168" t="s">
        <v>220</v>
      </c>
      <c r="F168">
        <v>11781</v>
      </c>
      <c r="G168">
        <v>0.77233693107422741</v>
      </c>
      <c r="H168">
        <v>0</v>
      </c>
      <c r="I168">
        <v>0</v>
      </c>
      <c r="J168">
        <v>0.69002484710428336</v>
      </c>
      <c r="K168">
        <v>0</v>
      </c>
      <c r="L168">
        <v>0</v>
      </c>
      <c r="M168">
        <v>0.50234398987371931</v>
      </c>
      <c r="N168">
        <v>0</v>
      </c>
      <c r="O168">
        <v>0</v>
      </c>
      <c r="P168">
        <v>0.59650433510115586</v>
      </c>
      <c r="Q168">
        <v>1.1530565045985539</v>
      </c>
      <c r="R168">
        <v>0.6015680888256032</v>
      </c>
      <c r="S168">
        <v>0.19085566763293549</v>
      </c>
      <c r="T168">
        <v>0.14896723036773341</v>
      </c>
      <c r="U168">
        <v>4.4286192746795683</v>
      </c>
      <c r="V168">
        <v>0.20126129812424351</v>
      </c>
      <c r="W168">
        <v>5.7080163498854093</v>
      </c>
      <c r="X168">
        <v>0.30047203440515591</v>
      </c>
      <c r="Z168" t="s">
        <v>392</v>
      </c>
      <c r="AA168">
        <v>161</v>
      </c>
      <c r="AB168" t="s">
        <v>4615</v>
      </c>
      <c r="AC168" t="str">
        <f>HYPERLINK("plots/3FT6Y578R04_015_S31P_20251219032831_M5358ACSA301811_RBGEUFRF04/dpll_52046/txpa_54200.png","plot")</f>
        <v>plot</v>
      </c>
    </row>
    <row r="169" spans="1:29" x14ac:dyDescent="0.35">
      <c r="A169" t="s">
        <v>50</v>
      </c>
      <c r="B169">
        <v>52046</v>
      </c>
      <c r="C169" t="s">
        <v>51</v>
      </c>
      <c r="D169">
        <v>54201</v>
      </c>
      <c r="E169" t="s">
        <v>221</v>
      </c>
      <c r="F169">
        <v>11782</v>
      </c>
      <c r="G169">
        <v>0.76833815001060668</v>
      </c>
      <c r="H169">
        <v>0</v>
      </c>
      <c r="I169">
        <v>0</v>
      </c>
      <c r="J169">
        <v>0.68026425175494731</v>
      </c>
      <c r="K169">
        <v>0</v>
      </c>
      <c r="L169">
        <v>0</v>
      </c>
      <c r="M169">
        <v>0.49367740169832652</v>
      </c>
      <c r="N169">
        <v>0</v>
      </c>
      <c r="O169">
        <v>0</v>
      </c>
      <c r="P169">
        <v>0.59034351276172159</v>
      </c>
      <c r="Q169">
        <v>1.13534961421132</v>
      </c>
      <c r="R169">
        <v>0.68415670492111857</v>
      </c>
      <c r="S169">
        <v>0.19035387084174821</v>
      </c>
      <c r="T169">
        <v>0.14900317153701989</v>
      </c>
      <c r="U169">
        <v>4.4286477380750293</v>
      </c>
      <c r="V169">
        <v>0.20127646963296911</v>
      </c>
      <c r="W169">
        <v>5.7122202058224403</v>
      </c>
      <c r="X169">
        <v>0.29742003848755039</v>
      </c>
      <c r="Z169" t="s">
        <v>392</v>
      </c>
      <c r="AA169">
        <v>161</v>
      </c>
      <c r="AB169" t="s">
        <v>4616</v>
      </c>
      <c r="AC169" t="str">
        <f>HYPERLINK("plots/3FT6Y578R04_015_S31P_20251219032831_M5358ACSA301811_RBGEUFRF04/dpll_52046/txpa_54201.png","plot")</f>
        <v>plot</v>
      </c>
    </row>
    <row r="170" spans="1:29" x14ac:dyDescent="0.35">
      <c r="A170" t="s">
        <v>50</v>
      </c>
      <c r="B170">
        <v>52046</v>
      </c>
      <c r="C170" t="s">
        <v>51</v>
      </c>
      <c r="D170">
        <v>54202</v>
      </c>
      <c r="E170" t="s">
        <v>222</v>
      </c>
      <c r="F170">
        <v>11781</v>
      </c>
      <c r="G170">
        <v>0.76070605304534111</v>
      </c>
      <c r="H170">
        <v>0</v>
      </c>
      <c r="I170">
        <v>0</v>
      </c>
      <c r="J170">
        <v>0.67401581648295628</v>
      </c>
      <c r="K170">
        <v>0</v>
      </c>
      <c r="L170">
        <v>0</v>
      </c>
      <c r="M170">
        <v>0.48931655268974822</v>
      </c>
      <c r="N170">
        <v>0</v>
      </c>
      <c r="O170">
        <v>0</v>
      </c>
      <c r="P170">
        <v>0.57867369913982136</v>
      </c>
      <c r="Q170">
        <v>1.129165732808022</v>
      </c>
      <c r="R170">
        <v>0.68316137614466488</v>
      </c>
      <c r="S170">
        <v>0.19391494169757881</v>
      </c>
      <c r="T170">
        <v>0.14990044790555879</v>
      </c>
      <c r="U170">
        <v>4.4286701896273666</v>
      </c>
      <c r="V170">
        <v>0.20127025814248481</v>
      </c>
      <c r="W170">
        <v>5.6838639961802908</v>
      </c>
      <c r="X170">
        <v>0.29875860408642319</v>
      </c>
      <c r="Z170" t="s">
        <v>392</v>
      </c>
      <c r="AA170">
        <v>161</v>
      </c>
      <c r="AB170" t="s">
        <v>4617</v>
      </c>
      <c r="AC170" t="str">
        <f>HYPERLINK("plots/3FT6Y578R04_015_S31P_20251219032831_M5358ACSA301811_RBGEUFRF04/dpll_52046/txpa_54202.png","plot")</f>
        <v>plot</v>
      </c>
    </row>
    <row r="171" spans="1:29" x14ac:dyDescent="0.35">
      <c r="A171" t="s">
        <v>50</v>
      </c>
      <c r="B171">
        <v>52046</v>
      </c>
      <c r="C171" t="s">
        <v>51</v>
      </c>
      <c r="D171">
        <v>54203</v>
      </c>
      <c r="E171" t="s">
        <v>223</v>
      </c>
      <c r="F171">
        <v>11782</v>
      </c>
      <c r="G171">
        <v>0.75286857111957839</v>
      </c>
      <c r="H171">
        <v>0</v>
      </c>
      <c r="I171">
        <v>0</v>
      </c>
      <c r="J171">
        <v>0.67631465958125747</v>
      </c>
      <c r="K171">
        <v>0</v>
      </c>
      <c r="L171">
        <v>0</v>
      </c>
      <c r="M171">
        <v>0.48836075833348108</v>
      </c>
      <c r="N171">
        <v>0</v>
      </c>
      <c r="O171">
        <v>0</v>
      </c>
      <c r="P171">
        <v>0.56681108537963565</v>
      </c>
      <c r="Q171">
        <v>1.1620657617686041</v>
      </c>
      <c r="R171">
        <v>1.5826466821924099</v>
      </c>
      <c r="S171">
        <v>0.20446773228648921</v>
      </c>
      <c r="T171">
        <v>0.15545434609682501</v>
      </c>
      <c r="U171">
        <v>4.4286477380750293</v>
      </c>
      <c r="V171">
        <v>0.20127646963296911</v>
      </c>
      <c r="W171">
        <v>6.7290265895433734</v>
      </c>
      <c r="X171">
        <v>0.31067373905953832</v>
      </c>
      <c r="Z171" t="s">
        <v>392</v>
      </c>
      <c r="AA171">
        <v>161</v>
      </c>
      <c r="AB171" t="s">
        <v>4618</v>
      </c>
      <c r="AC171" t="str">
        <f>HYPERLINK("plots/3FT6Y578R04_015_S31P_20251219032831_M5358ACSA301811_RBGEUFRF04/dpll_52046/txpa_54203.png","plot")</f>
        <v>plot</v>
      </c>
    </row>
    <row r="172" spans="1:29" x14ac:dyDescent="0.35">
      <c r="A172" t="s">
        <v>50</v>
      </c>
      <c r="B172">
        <v>52046</v>
      </c>
      <c r="C172" t="s">
        <v>51</v>
      </c>
      <c r="D172">
        <v>54204</v>
      </c>
      <c r="E172" t="s">
        <v>224</v>
      </c>
      <c r="F172">
        <v>11782</v>
      </c>
      <c r="G172">
        <v>0.77134709931126733</v>
      </c>
      <c r="H172">
        <v>0</v>
      </c>
      <c r="I172">
        <v>0</v>
      </c>
      <c r="J172">
        <v>0.68883617387697538</v>
      </c>
      <c r="K172">
        <v>0</v>
      </c>
      <c r="L172">
        <v>0</v>
      </c>
      <c r="M172">
        <v>0.50201335967092509</v>
      </c>
      <c r="N172">
        <v>0</v>
      </c>
      <c r="O172">
        <v>0</v>
      </c>
      <c r="P172">
        <v>0.59497634761590612</v>
      </c>
      <c r="Q172">
        <v>1.192945918830282</v>
      </c>
      <c r="R172">
        <v>1.479253461343</v>
      </c>
      <c r="S172">
        <v>0.1981005462444565</v>
      </c>
      <c r="T172">
        <v>0.15296566584119539</v>
      </c>
      <c r="U172">
        <v>4.4286477380750293</v>
      </c>
      <c r="V172">
        <v>0.20127646963296911</v>
      </c>
      <c r="W172">
        <v>6.7623907064165678</v>
      </c>
      <c r="X172">
        <v>0.31128909827963652</v>
      </c>
      <c r="Z172" t="s">
        <v>392</v>
      </c>
      <c r="AA172">
        <v>161</v>
      </c>
      <c r="AB172" t="s">
        <v>4619</v>
      </c>
      <c r="AC172" t="str">
        <f>HYPERLINK("plots/3FT6Y578R04_015_S31P_20251219032831_M5358ACSA301811_RBGEUFRF04/dpll_52046/txpa_54204.png","plot")</f>
        <v>plot</v>
      </c>
    </row>
    <row r="173" spans="1:29" x14ac:dyDescent="0.35">
      <c r="A173" t="s">
        <v>50</v>
      </c>
      <c r="B173">
        <v>52046</v>
      </c>
      <c r="C173" t="s">
        <v>51</v>
      </c>
      <c r="D173">
        <v>54205</v>
      </c>
      <c r="E173" t="s">
        <v>225</v>
      </c>
      <c r="F173">
        <v>11782</v>
      </c>
      <c r="G173">
        <v>0.76406140596512706</v>
      </c>
      <c r="H173">
        <v>0</v>
      </c>
      <c r="I173">
        <v>0</v>
      </c>
      <c r="J173">
        <v>0.6803987439036242</v>
      </c>
      <c r="K173">
        <v>0</v>
      </c>
      <c r="L173">
        <v>0</v>
      </c>
      <c r="M173">
        <v>0.49390716763752479</v>
      </c>
      <c r="N173">
        <v>0</v>
      </c>
      <c r="O173">
        <v>0</v>
      </c>
      <c r="P173">
        <v>0.58378983208540669</v>
      </c>
      <c r="Q173">
        <v>1.166164630264418</v>
      </c>
      <c r="R173">
        <v>1.6077091612817931</v>
      </c>
      <c r="S173">
        <v>0.19818123016447509</v>
      </c>
      <c r="T173">
        <v>0.15208613460014531</v>
      </c>
      <c r="U173">
        <v>4.4286477380750293</v>
      </c>
      <c r="V173">
        <v>0.20127646963296911</v>
      </c>
      <c r="W173">
        <v>6.7722415133254126</v>
      </c>
      <c r="X173">
        <v>0.3072024027885159</v>
      </c>
      <c r="Z173" t="s">
        <v>392</v>
      </c>
      <c r="AA173">
        <v>161</v>
      </c>
      <c r="AB173" t="s">
        <v>4620</v>
      </c>
      <c r="AC173" t="str">
        <f>HYPERLINK("plots/3FT6Y578R04_015_S31P_20251219032831_M5358ACSA301811_RBGEUFRF04/dpll_52046/txpa_54205.png","plot")</f>
        <v>plot</v>
      </c>
    </row>
    <row r="174" spans="1:29" x14ac:dyDescent="0.35">
      <c r="A174" t="s">
        <v>50</v>
      </c>
      <c r="B174">
        <v>52046</v>
      </c>
      <c r="C174" t="s">
        <v>51</v>
      </c>
      <c r="D174">
        <v>54206</v>
      </c>
      <c r="E174" t="s">
        <v>226</v>
      </c>
      <c r="F174">
        <v>11781</v>
      </c>
      <c r="G174">
        <v>0.77825356507255716</v>
      </c>
      <c r="H174">
        <v>0</v>
      </c>
      <c r="I174">
        <v>0</v>
      </c>
      <c r="J174">
        <v>0.6913413780868144</v>
      </c>
      <c r="K174">
        <v>0</v>
      </c>
      <c r="L174">
        <v>0</v>
      </c>
      <c r="M174">
        <v>0.50418521903986102</v>
      </c>
      <c r="N174">
        <v>0</v>
      </c>
      <c r="O174">
        <v>0</v>
      </c>
      <c r="P174">
        <v>0.60567861154814495</v>
      </c>
      <c r="Q174">
        <v>1.1960376653861871</v>
      </c>
      <c r="R174">
        <v>1.484999235957825</v>
      </c>
      <c r="S174">
        <v>0.19424008028361911</v>
      </c>
      <c r="T174">
        <v>0.15074256479339809</v>
      </c>
      <c r="U174">
        <v>4.4286547017231142</v>
      </c>
      <c r="V174">
        <v>0.20128359324518649</v>
      </c>
      <c r="W174">
        <v>6.7818370662083014</v>
      </c>
      <c r="X174">
        <v>0.30933717460461779</v>
      </c>
      <c r="Z174" t="s">
        <v>392</v>
      </c>
      <c r="AA174">
        <v>161</v>
      </c>
      <c r="AB174" t="s">
        <v>4621</v>
      </c>
      <c r="AC174" t="str">
        <f>HYPERLINK("plots/3FT6Y578R04_015_S31P_20251219032831_M5358ACSA301811_RBGEUFRF04/dpll_52046/txpa_54206.png","plot")</f>
        <v>plot</v>
      </c>
    </row>
    <row r="175" spans="1:29" x14ac:dyDescent="0.35">
      <c r="A175" t="s">
        <v>50</v>
      </c>
      <c r="B175">
        <v>52046</v>
      </c>
      <c r="C175" t="s">
        <v>51</v>
      </c>
      <c r="D175">
        <v>54207</v>
      </c>
      <c r="E175" t="s">
        <v>227</v>
      </c>
      <c r="F175">
        <v>11781</v>
      </c>
      <c r="G175">
        <v>0.77968982101213247</v>
      </c>
      <c r="H175">
        <v>0</v>
      </c>
      <c r="I175">
        <v>0</v>
      </c>
      <c r="J175">
        <v>0.68715691627062958</v>
      </c>
      <c r="K175">
        <v>0</v>
      </c>
      <c r="L175">
        <v>0</v>
      </c>
      <c r="M175">
        <v>0.49898815341342662</v>
      </c>
      <c r="N175">
        <v>0</v>
      </c>
      <c r="O175">
        <v>0</v>
      </c>
      <c r="P175">
        <v>0.60791621698993115</v>
      </c>
      <c r="Q175">
        <v>1.1929907581320169</v>
      </c>
      <c r="R175">
        <v>1.4751258463642349</v>
      </c>
      <c r="S175">
        <v>0.19282030712141959</v>
      </c>
      <c r="T175">
        <v>0.14997976687887141</v>
      </c>
      <c r="U175">
        <v>4.4286210779220783</v>
      </c>
      <c r="V175">
        <v>0.20126420786155011</v>
      </c>
      <c r="W175">
        <v>6.7584298635939239</v>
      </c>
      <c r="X175">
        <v>0.30795110241390988</v>
      </c>
      <c r="Z175" t="s">
        <v>392</v>
      </c>
      <c r="AA175">
        <v>161</v>
      </c>
      <c r="AB175" t="s">
        <v>4622</v>
      </c>
      <c r="AC175" t="str">
        <f>HYPERLINK("plots/3FT6Y578R04_015_S31P_20251219032831_M5358ACSA301811_RBGEUFRF04/dpll_52046/txpa_54207.png","plot")</f>
        <v>plot</v>
      </c>
    </row>
    <row r="176" spans="1:29" x14ac:dyDescent="0.35">
      <c r="A176" t="s">
        <v>50</v>
      </c>
      <c r="B176">
        <v>52046</v>
      </c>
      <c r="C176" t="s">
        <v>51</v>
      </c>
      <c r="D176">
        <v>54208</v>
      </c>
      <c r="E176" t="s">
        <v>228</v>
      </c>
      <c r="F176">
        <v>11781</v>
      </c>
      <c r="G176">
        <v>0.78394420061282566</v>
      </c>
      <c r="H176">
        <v>0</v>
      </c>
      <c r="I176">
        <v>0</v>
      </c>
      <c r="J176">
        <v>0.69878392065720363</v>
      </c>
      <c r="K176">
        <v>0</v>
      </c>
      <c r="L176">
        <v>0</v>
      </c>
      <c r="M176">
        <v>0.5101535252398971</v>
      </c>
      <c r="N176">
        <v>0</v>
      </c>
      <c r="O176">
        <v>0</v>
      </c>
      <c r="P176">
        <v>0.61456850967448229</v>
      </c>
      <c r="Q176">
        <v>1.2087700827501739</v>
      </c>
      <c r="R176">
        <v>1.418280768033171</v>
      </c>
      <c r="S176">
        <v>0.19265220532857269</v>
      </c>
      <c r="T176">
        <v>0.15015380210623841</v>
      </c>
      <c r="U176">
        <v>4.4286192746795683</v>
      </c>
      <c r="V176">
        <v>0.20126129812424351</v>
      </c>
      <c r="W176">
        <v>6.7714632551566094</v>
      </c>
      <c r="X176">
        <v>0.3103264694067171</v>
      </c>
      <c r="Z176" t="s">
        <v>392</v>
      </c>
      <c r="AA176">
        <v>161</v>
      </c>
      <c r="AB176" t="s">
        <v>4623</v>
      </c>
      <c r="AC176" t="str">
        <f>HYPERLINK("plots/3FT6Y578R04_015_S31P_20251219032831_M5358ACSA301811_RBGEUFRF04/dpll_52046/txpa_54208.png","plot")</f>
        <v>plot</v>
      </c>
    </row>
    <row r="177" spans="1:29" x14ac:dyDescent="0.35">
      <c r="A177" t="s">
        <v>50</v>
      </c>
      <c r="B177">
        <v>52046</v>
      </c>
      <c r="C177" t="s">
        <v>51</v>
      </c>
      <c r="D177">
        <v>54209</v>
      </c>
      <c r="E177" t="s">
        <v>229</v>
      </c>
      <c r="F177">
        <v>11782</v>
      </c>
      <c r="G177">
        <v>0.78037804285889512</v>
      </c>
      <c r="H177">
        <v>0</v>
      </c>
      <c r="I177">
        <v>0</v>
      </c>
      <c r="J177">
        <v>0.68943775059252044</v>
      </c>
      <c r="K177">
        <v>0</v>
      </c>
      <c r="L177">
        <v>0</v>
      </c>
      <c r="M177">
        <v>0.50180328735794499</v>
      </c>
      <c r="N177">
        <v>0</v>
      </c>
      <c r="O177">
        <v>0</v>
      </c>
      <c r="P177">
        <v>0.60898988977627955</v>
      </c>
      <c r="Q177">
        <v>1.191756772997596</v>
      </c>
      <c r="R177">
        <v>1.49785140073203</v>
      </c>
      <c r="S177">
        <v>0.19219901431187211</v>
      </c>
      <c r="T177">
        <v>0.1501452198590946</v>
      </c>
      <c r="U177">
        <v>4.4286477380750293</v>
      </c>
      <c r="V177">
        <v>0.20127646963296911</v>
      </c>
      <c r="W177">
        <v>6.7757223378034279</v>
      </c>
      <c r="X177">
        <v>0.30737999117885029</v>
      </c>
      <c r="Z177" t="s">
        <v>392</v>
      </c>
      <c r="AA177">
        <v>161</v>
      </c>
      <c r="AB177" t="s">
        <v>4624</v>
      </c>
      <c r="AC177" t="str">
        <f>HYPERLINK("plots/3FT6Y578R04_015_S31P_20251219032831_M5358ACSA301811_RBGEUFRF04/dpll_52046/txpa_54209.png","plot")</f>
        <v>plot</v>
      </c>
    </row>
    <row r="178" spans="1:29" x14ac:dyDescent="0.35">
      <c r="A178" t="s">
        <v>50</v>
      </c>
      <c r="B178">
        <v>52046</v>
      </c>
      <c r="C178" t="s">
        <v>51</v>
      </c>
      <c r="D178">
        <v>54210</v>
      </c>
      <c r="E178" t="s">
        <v>230</v>
      </c>
      <c r="F178">
        <v>11781</v>
      </c>
      <c r="G178">
        <v>0.77296690958930936</v>
      </c>
      <c r="H178">
        <v>0</v>
      </c>
      <c r="I178">
        <v>0</v>
      </c>
      <c r="J178">
        <v>0.68344415749123721</v>
      </c>
      <c r="K178">
        <v>0</v>
      </c>
      <c r="L178">
        <v>0</v>
      </c>
      <c r="M178">
        <v>0.49753006086612539</v>
      </c>
      <c r="N178">
        <v>0</v>
      </c>
      <c r="O178">
        <v>0</v>
      </c>
      <c r="P178">
        <v>0.5974778433200475</v>
      </c>
      <c r="Q178">
        <v>1.184881565910594</v>
      </c>
      <c r="R178">
        <v>1.5011662288689489</v>
      </c>
      <c r="S178">
        <v>0.19573572862767569</v>
      </c>
      <c r="T178">
        <v>0.1509736550371745</v>
      </c>
      <c r="U178">
        <v>4.4286701896273666</v>
      </c>
      <c r="V178">
        <v>0.20127025814248481</v>
      </c>
      <c r="W178">
        <v>6.7486158980561921</v>
      </c>
      <c r="X178">
        <v>0.30852733238710872</v>
      </c>
      <c r="Z178" t="s">
        <v>392</v>
      </c>
      <c r="AA178">
        <v>161</v>
      </c>
      <c r="AB178" t="s">
        <v>4625</v>
      </c>
      <c r="AC178" t="str">
        <f>HYPERLINK("plots/3FT6Y578R04_015_S31P_20251219032831_M5358ACSA301811_RBGEUFRF04/dpll_52046/txpa_54210.png","plot")</f>
        <v>plot</v>
      </c>
    </row>
    <row r="179" spans="1:29" x14ac:dyDescent="0.35">
      <c r="A179" t="s">
        <v>50</v>
      </c>
      <c r="B179">
        <v>52046</v>
      </c>
      <c r="C179" t="s">
        <v>51</v>
      </c>
      <c r="D179">
        <v>54211</v>
      </c>
      <c r="E179" t="s">
        <v>231</v>
      </c>
      <c r="F179">
        <v>11782</v>
      </c>
      <c r="G179">
        <v>0.76343661248794525</v>
      </c>
      <c r="H179">
        <v>0</v>
      </c>
      <c r="I179">
        <v>0</v>
      </c>
      <c r="J179">
        <v>0.68403954945713563</v>
      </c>
      <c r="K179">
        <v>0</v>
      </c>
      <c r="L179">
        <v>0</v>
      </c>
      <c r="M179">
        <v>0.4950263933514083</v>
      </c>
      <c r="N179">
        <v>0</v>
      </c>
      <c r="O179">
        <v>0</v>
      </c>
      <c r="P179">
        <v>0.58283546128706909</v>
      </c>
      <c r="Q179">
        <v>1.2201505738348759</v>
      </c>
      <c r="R179">
        <v>2.3587959488294268</v>
      </c>
      <c r="S179">
        <v>0.20776324118136921</v>
      </c>
      <c r="T179">
        <v>0.1576203918053351</v>
      </c>
      <c r="U179">
        <v>4.4286477380750293</v>
      </c>
      <c r="V179">
        <v>0.20127646963296911</v>
      </c>
      <c r="W179">
        <v>7.7624130277542003</v>
      </c>
      <c r="X179">
        <v>0.32168695593703012</v>
      </c>
      <c r="Z179" t="s">
        <v>392</v>
      </c>
      <c r="AA179">
        <v>161</v>
      </c>
      <c r="AB179" t="s">
        <v>4626</v>
      </c>
      <c r="AC179" t="str">
        <f>HYPERLINK("plots/3FT6Y578R04_015_S31P_20251219032831_M5358ACSA301811_RBGEUFRF04/dpll_52046/txpa_54211.png","plot")</f>
        <v>plot</v>
      </c>
    </row>
    <row r="180" spans="1:29" x14ac:dyDescent="0.35">
      <c r="A180" t="s">
        <v>50</v>
      </c>
      <c r="B180">
        <v>52046</v>
      </c>
      <c r="C180" t="s">
        <v>51</v>
      </c>
      <c r="D180">
        <v>54212</v>
      </c>
      <c r="E180" t="s">
        <v>232</v>
      </c>
      <c r="F180">
        <v>11782</v>
      </c>
      <c r="G180">
        <v>0.78108108051394542</v>
      </c>
      <c r="H180">
        <v>0</v>
      </c>
      <c r="I180">
        <v>0</v>
      </c>
      <c r="J180">
        <v>0.69626657719099072</v>
      </c>
      <c r="K180">
        <v>0</v>
      </c>
      <c r="L180">
        <v>0</v>
      </c>
      <c r="M180">
        <v>0.50849786632427985</v>
      </c>
      <c r="N180">
        <v>0</v>
      </c>
      <c r="O180">
        <v>0</v>
      </c>
      <c r="P180">
        <v>0.61008765433683254</v>
      </c>
      <c r="Q180">
        <v>1.2506684134527051</v>
      </c>
      <c r="R180">
        <v>2.256496428226034</v>
      </c>
      <c r="S180">
        <v>0.2012352842437026</v>
      </c>
      <c r="T180">
        <v>0.1551158427072539</v>
      </c>
      <c r="U180">
        <v>4.4286477380750293</v>
      </c>
      <c r="V180">
        <v>0.20127646963296911</v>
      </c>
      <c r="W180">
        <v>7.7952662685452392</v>
      </c>
      <c r="X180">
        <v>0.32228424067779288</v>
      </c>
      <c r="Z180" t="s">
        <v>392</v>
      </c>
      <c r="AA180">
        <v>161</v>
      </c>
      <c r="AB180" t="s">
        <v>4627</v>
      </c>
      <c r="AC180" t="str">
        <f>HYPERLINK("plots/3FT6Y578R04_015_S31P_20251219032831_M5358ACSA301811_RBGEUFRF04/dpll_52046/txpa_54212.png","plot")</f>
        <v>plot</v>
      </c>
    </row>
    <row r="181" spans="1:29" x14ac:dyDescent="0.35">
      <c r="A181" t="s">
        <v>50</v>
      </c>
      <c r="B181">
        <v>52046</v>
      </c>
      <c r="C181" t="s">
        <v>51</v>
      </c>
      <c r="D181">
        <v>54213</v>
      </c>
      <c r="E181" t="s">
        <v>233</v>
      </c>
      <c r="F181">
        <v>11782</v>
      </c>
      <c r="G181">
        <v>0.77449013701560698</v>
      </c>
      <c r="H181">
        <v>0</v>
      </c>
      <c r="I181">
        <v>0</v>
      </c>
      <c r="J181">
        <v>0.68837056977805944</v>
      </c>
      <c r="K181">
        <v>0</v>
      </c>
      <c r="L181">
        <v>0</v>
      </c>
      <c r="M181">
        <v>0.50074159834253484</v>
      </c>
      <c r="N181">
        <v>0</v>
      </c>
      <c r="O181">
        <v>0</v>
      </c>
      <c r="P181">
        <v>0.59983497233445371</v>
      </c>
      <c r="Q181">
        <v>1.2241077001076759</v>
      </c>
      <c r="R181">
        <v>2.3843170894494778</v>
      </c>
      <c r="S181">
        <v>0.20123238707294891</v>
      </c>
      <c r="T181">
        <v>0.1540773585040239</v>
      </c>
      <c r="U181">
        <v>4.4286477380750293</v>
      </c>
      <c r="V181">
        <v>0.20127646963296911</v>
      </c>
      <c r="W181">
        <v>7.8054588866915626</v>
      </c>
      <c r="X181">
        <v>0.31812422722078021</v>
      </c>
      <c r="Z181" t="s">
        <v>392</v>
      </c>
      <c r="AA181">
        <v>161</v>
      </c>
      <c r="AB181" t="s">
        <v>4628</v>
      </c>
      <c r="AC181" t="str">
        <f>HYPERLINK("plots/3FT6Y578R04_015_S31P_20251219032831_M5358ACSA301811_RBGEUFRF04/dpll_52046/txpa_54213.png","plot")</f>
        <v>plot</v>
      </c>
    </row>
    <row r="182" spans="1:29" x14ac:dyDescent="0.35">
      <c r="A182" t="s">
        <v>50</v>
      </c>
      <c r="B182">
        <v>52046</v>
      </c>
      <c r="C182" t="s">
        <v>51</v>
      </c>
      <c r="D182">
        <v>54214</v>
      </c>
      <c r="E182" t="s">
        <v>234</v>
      </c>
      <c r="F182">
        <v>11781</v>
      </c>
      <c r="G182">
        <v>0.78795010973368296</v>
      </c>
      <c r="H182">
        <v>0</v>
      </c>
      <c r="I182">
        <v>0</v>
      </c>
      <c r="J182">
        <v>0.69889348665047424</v>
      </c>
      <c r="K182">
        <v>0</v>
      </c>
      <c r="L182">
        <v>0</v>
      </c>
      <c r="M182">
        <v>0.51077613681802259</v>
      </c>
      <c r="N182">
        <v>0</v>
      </c>
      <c r="O182">
        <v>0</v>
      </c>
      <c r="P182">
        <v>0.62086537542932296</v>
      </c>
      <c r="Q182">
        <v>1.253588433385102</v>
      </c>
      <c r="R182">
        <v>2.2623432369364909</v>
      </c>
      <c r="S182">
        <v>0.1971709477912926</v>
      </c>
      <c r="T182">
        <v>0.15276793501770489</v>
      </c>
      <c r="U182">
        <v>4.4286547017231142</v>
      </c>
      <c r="V182">
        <v>0.20128359324518649</v>
      </c>
      <c r="W182">
        <v>7.8140535464731347</v>
      </c>
      <c r="X182">
        <v>0.32023192992211241</v>
      </c>
      <c r="Z182" t="s">
        <v>392</v>
      </c>
      <c r="AA182">
        <v>161</v>
      </c>
      <c r="AB182" t="s">
        <v>4629</v>
      </c>
      <c r="AC182" t="str">
        <f>HYPERLINK("plots/3FT6Y578R04_015_S31P_20251219032831_M5358ACSA301811_RBGEUFRF04/dpll_52046/txpa_54214.png","plot")</f>
        <v>plot</v>
      </c>
    </row>
    <row r="183" spans="1:29" x14ac:dyDescent="0.35">
      <c r="A183" t="s">
        <v>50</v>
      </c>
      <c r="B183">
        <v>52046</v>
      </c>
      <c r="C183" t="s">
        <v>51</v>
      </c>
      <c r="D183">
        <v>54215</v>
      </c>
      <c r="E183" t="s">
        <v>235</v>
      </c>
      <c r="F183">
        <v>11781</v>
      </c>
      <c r="G183">
        <v>0.78948393179598098</v>
      </c>
      <c r="H183">
        <v>0</v>
      </c>
      <c r="I183">
        <v>0</v>
      </c>
      <c r="J183">
        <v>0.69469647092835152</v>
      </c>
      <c r="K183">
        <v>0</v>
      </c>
      <c r="L183">
        <v>0</v>
      </c>
      <c r="M183">
        <v>0.50559808447745147</v>
      </c>
      <c r="N183">
        <v>0</v>
      </c>
      <c r="O183">
        <v>0</v>
      </c>
      <c r="P183">
        <v>0.62328487856404113</v>
      </c>
      <c r="Q183">
        <v>1.2511879291991339</v>
      </c>
      <c r="R183">
        <v>2.2490564273237621</v>
      </c>
      <c r="S183">
        <v>0.19576447891477269</v>
      </c>
      <c r="T183">
        <v>0.15201565035345371</v>
      </c>
      <c r="U183">
        <v>4.4286210779220783</v>
      </c>
      <c r="V183">
        <v>0.20126420786155011</v>
      </c>
      <c r="W183">
        <v>7.7900936630167221</v>
      </c>
      <c r="X183">
        <v>0.31896703316473862</v>
      </c>
      <c r="Z183" t="s">
        <v>392</v>
      </c>
      <c r="AA183">
        <v>161</v>
      </c>
      <c r="AB183" t="s">
        <v>4630</v>
      </c>
      <c r="AC183" t="str">
        <f>HYPERLINK("plots/3FT6Y578R04_015_S31P_20251219032831_M5358ACSA301811_RBGEUFRF04/dpll_52046/txpa_54215.png","plot")</f>
        <v>plot</v>
      </c>
    </row>
    <row r="184" spans="1:29" x14ac:dyDescent="0.35">
      <c r="A184" t="s">
        <v>50</v>
      </c>
      <c r="B184">
        <v>52046</v>
      </c>
      <c r="C184" t="s">
        <v>51</v>
      </c>
      <c r="D184">
        <v>54216</v>
      </c>
      <c r="E184" t="s">
        <v>236</v>
      </c>
      <c r="F184">
        <v>11781</v>
      </c>
      <c r="G184">
        <v>0.79325360441289616</v>
      </c>
      <c r="H184">
        <v>0</v>
      </c>
      <c r="I184">
        <v>0</v>
      </c>
      <c r="J184">
        <v>0.70560578033385468</v>
      </c>
      <c r="K184">
        <v>0</v>
      </c>
      <c r="L184">
        <v>0</v>
      </c>
      <c r="M184">
        <v>0.51625080849105276</v>
      </c>
      <c r="N184">
        <v>0</v>
      </c>
      <c r="O184">
        <v>0</v>
      </c>
      <c r="P184">
        <v>0.62925128091405158</v>
      </c>
      <c r="Q184">
        <v>1.266384829511906</v>
      </c>
      <c r="R184">
        <v>2.195329487514349</v>
      </c>
      <c r="S184">
        <v>0.1956299354211688</v>
      </c>
      <c r="T184">
        <v>0.15221619049863189</v>
      </c>
      <c r="U184">
        <v>4.4286192746795683</v>
      </c>
      <c r="V184">
        <v>0.20126129812424351</v>
      </c>
      <c r="W184">
        <v>7.8036657526525746</v>
      </c>
      <c r="X184">
        <v>0.32130235941512408</v>
      </c>
      <c r="Z184" t="s">
        <v>392</v>
      </c>
      <c r="AA184">
        <v>161</v>
      </c>
      <c r="AB184" t="s">
        <v>4631</v>
      </c>
      <c r="AC184" t="str">
        <f>HYPERLINK("plots/3FT6Y578R04_015_S31P_20251219032831_M5358ACSA301811_RBGEUFRF04/dpll_52046/txpa_54216.png","plot")</f>
        <v>plot</v>
      </c>
    </row>
    <row r="185" spans="1:29" x14ac:dyDescent="0.35">
      <c r="A185" t="s">
        <v>50</v>
      </c>
      <c r="B185">
        <v>52046</v>
      </c>
      <c r="C185" t="s">
        <v>51</v>
      </c>
      <c r="D185">
        <v>54217</v>
      </c>
      <c r="E185" t="s">
        <v>237</v>
      </c>
      <c r="F185">
        <v>11782</v>
      </c>
      <c r="G185">
        <v>0.79027723832511643</v>
      </c>
      <c r="H185">
        <v>0</v>
      </c>
      <c r="I185">
        <v>0</v>
      </c>
      <c r="J185">
        <v>0.69673028098378853</v>
      </c>
      <c r="K185">
        <v>0</v>
      </c>
      <c r="L185">
        <v>0</v>
      </c>
      <c r="M185">
        <v>0.50819604916730488</v>
      </c>
      <c r="N185">
        <v>0</v>
      </c>
      <c r="O185">
        <v>0</v>
      </c>
      <c r="P185">
        <v>0.62453811341477283</v>
      </c>
      <c r="Q185">
        <v>1.2505151286481251</v>
      </c>
      <c r="R185">
        <v>2.2702889170018872</v>
      </c>
      <c r="S185">
        <v>0.19514929236493789</v>
      </c>
      <c r="T185">
        <v>0.1521600342767245</v>
      </c>
      <c r="U185">
        <v>4.4286477380750293</v>
      </c>
      <c r="V185">
        <v>0.20127646963296911</v>
      </c>
      <c r="W185">
        <v>7.80837991291801</v>
      </c>
      <c r="X185">
        <v>0.31849490041033529</v>
      </c>
      <c r="Z185" t="s">
        <v>392</v>
      </c>
      <c r="AA185">
        <v>161</v>
      </c>
      <c r="AB185" t="s">
        <v>4632</v>
      </c>
      <c r="AC185" t="str">
        <f>HYPERLINK("plots/3FT6Y578R04_015_S31P_20251219032831_M5358ACSA301811_RBGEUFRF04/dpll_52046/txpa_54217.png","plot")</f>
        <v>plot</v>
      </c>
    </row>
    <row r="186" spans="1:29" x14ac:dyDescent="0.35">
      <c r="A186" t="s">
        <v>50</v>
      </c>
      <c r="B186">
        <v>52046</v>
      </c>
      <c r="C186" t="s">
        <v>51</v>
      </c>
      <c r="D186">
        <v>54218</v>
      </c>
      <c r="E186" t="s">
        <v>238</v>
      </c>
      <c r="F186">
        <v>11781</v>
      </c>
      <c r="G186">
        <v>0.78293763447136444</v>
      </c>
      <c r="H186">
        <v>0</v>
      </c>
      <c r="I186">
        <v>0</v>
      </c>
      <c r="J186">
        <v>0.69063806674191874</v>
      </c>
      <c r="K186">
        <v>0</v>
      </c>
      <c r="L186">
        <v>0</v>
      </c>
      <c r="M186">
        <v>0.50377086583344854</v>
      </c>
      <c r="N186">
        <v>0</v>
      </c>
      <c r="O186">
        <v>0</v>
      </c>
      <c r="P186">
        <v>0.61299133947161588</v>
      </c>
      <c r="Q186">
        <v>1.2424089463908179</v>
      </c>
      <c r="R186">
        <v>2.2797034194188179</v>
      </c>
      <c r="S186">
        <v>0.19868217855968989</v>
      </c>
      <c r="T186">
        <v>0.15295723186215759</v>
      </c>
      <c r="U186">
        <v>4.4286701896273666</v>
      </c>
      <c r="V186">
        <v>0.20127025814248481</v>
      </c>
      <c r="W186">
        <v>7.7819228836261782</v>
      </c>
      <c r="X186">
        <v>0.31938683025175008</v>
      </c>
      <c r="Z186" t="s">
        <v>392</v>
      </c>
      <c r="AA186">
        <v>161</v>
      </c>
      <c r="AB186" t="s">
        <v>4633</v>
      </c>
      <c r="AC186" t="str">
        <f>HYPERLINK("plots/3FT6Y578R04_015_S31P_20251219032831_M5358ACSA301811_RBGEUFRF04/dpll_52046/txpa_54218.png","plot")</f>
        <v>plot</v>
      </c>
    </row>
    <row r="187" spans="1:29" x14ac:dyDescent="0.35">
      <c r="A187" t="s">
        <v>50</v>
      </c>
      <c r="B187">
        <v>52046</v>
      </c>
      <c r="C187" t="s">
        <v>51</v>
      </c>
      <c r="D187">
        <v>54219</v>
      </c>
      <c r="E187" t="s">
        <v>239</v>
      </c>
      <c r="F187">
        <v>11782</v>
      </c>
      <c r="G187">
        <v>0.77407839112194132</v>
      </c>
      <c r="H187">
        <v>0</v>
      </c>
      <c r="I187">
        <v>0</v>
      </c>
      <c r="J187">
        <v>0.69200123877080888</v>
      </c>
      <c r="K187">
        <v>0</v>
      </c>
      <c r="L187">
        <v>0</v>
      </c>
      <c r="M187">
        <v>0.50194845446396985</v>
      </c>
      <c r="N187">
        <v>0</v>
      </c>
      <c r="O187">
        <v>0</v>
      </c>
      <c r="P187">
        <v>0.59919735560193321</v>
      </c>
      <c r="Q187">
        <v>1.280267013071287</v>
      </c>
      <c r="R187">
        <v>3.1252316989033719</v>
      </c>
      <c r="S187">
        <v>0.2107441247723589</v>
      </c>
      <c r="T187">
        <v>0.15948335474933831</v>
      </c>
      <c r="U187">
        <v>4.4286477380750293</v>
      </c>
      <c r="V187">
        <v>0.20127646963296911</v>
      </c>
      <c r="W187">
        <v>8.7950833104736024</v>
      </c>
      <c r="X187">
        <v>0.33289603163452869</v>
      </c>
      <c r="Z187" t="s">
        <v>392</v>
      </c>
      <c r="AA187">
        <v>161</v>
      </c>
      <c r="AB187" t="s">
        <v>4634</v>
      </c>
      <c r="AC187" t="str">
        <f>HYPERLINK("plots/3FT6Y578R04_015_S31P_20251219032831_M5358ACSA301811_RBGEUFRF04/dpll_52046/txpa_54219.png","plot")</f>
        <v>plot</v>
      </c>
    </row>
    <row r="188" spans="1:29" x14ac:dyDescent="0.35">
      <c r="A188" t="s">
        <v>50</v>
      </c>
      <c r="B188">
        <v>52046</v>
      </c>
      <c r="C188" t="s">
        <v>51</v>
      </c>
      <c r="D188">
        <v>54220</v>
      </c>
      <c r="E188" t="s">
        <v>240</v>
      </c>
      <c r="F188">
        <v>11782</v>
      </c>
      <c r="G188">
        <v>0.79098052194628432</v>
      </c>
      <c r="H188">
        <v>0</v>
      </c>
      <c r="I188">
        <v>0</v>
      </c>
      <c r="J188">
        <v>0.70389412015620645</v>
      </c>
      <c r="K188">
        <v>0</v>
      </c>
      <c r="L188">
        <v>0</v>
      </c>
      <c r="M188">
        <v>0.51527972321048054</v>
      </c>
      <c r="N188">
        <v>0</v>
      </c>
      <c r="O188">
        <v>0</v>
      </c>
      <c r="P188">
        <v>0.62565018609841638</v>
      </c>
      <c r="Q188">
        <v>1.3108307674724651</v>
      </c>
      <c r="R188">
        <v>3.0211336476931558</v>
      </c>
      <c r="S188">
        <v>0.20407707612082659</v>
      </c>
      <c r="T188">
        <v>0.15696457743769729</v>
      </c>
      <c r="U188">
        <v>4.4286477380750293</v>
      </c>
      <c r="V188">
        <v>0.20127646963296911</v>
      </c>
      <c r="W188">
        <v>8.8263413610592423</v>
      </c>
      <c r="X188">
        <v>0.33355990677738911</v>
      </c>
      <c r="Z188" t="s">
        <v>392</v>
      </c>
      <c r="AA188">
        <v>161</v>
      </c>
      <c r="AB188" t="s">
        <v>4635</v>
      </c>
      <c r="AC188" t="str">
        <f>HYPERLINK("plots/3FT6Y578R04_015_S31P_20251219032831_M5358ACSA301811_RBGEUFRF04/dpll_52046/txpa_54220.png","plot")</f>
        <v>plot</v>
      </c>
    </row>
    <row r="189" spans="1:29" x14ac:dyDescent="0.35">
      <c r="A189" t="s">
        <v>50</v>
      </c>
      <c r="B189">
        <v>52046</v>
      </c>
      <c r="C189" t="s">
        <v>51</v>
      </c>
      <c r="D189">
        <v>54221</v>
      </c>
      <c r="E189" t="s">
        <v>241</v>
      </c>
      <c r="F189">
        <v>11782</v>
      </c>
      <c r="G189">
        <v>0.78491858282287652</v>
      </c>
      <c r="H189">
        <v>0</v>
      </c>
      <c r="I189">
        <v>0</v>
      </c>
      <c r="J189">
        <v>0.69615517383998071</v>
      </c>
      <c r="K189">
        <v>0</v>
      </c>
      <c r="L189">
        <v>0</v>
      </c>
      <c r="M189">
        <v>0.50752694697922873</v>
      </c>
      <c r="N189">
        <v>0</v>
      </c>
      <c r="O189">
        <v>0</v>
      </c>
      <c r="P189">
        <v>0.61609718166067284</v>
      </c>
      <c r="Q189">
        <v>1.2841713697204311</v>
      </c>
      <c r="R189">
        <v>3.1496475151908072</v>
      </c>
      <c r="S189">
        <v>0.2040250991102644</v>
      </c>
      <c r="T189">
        <v>0.1558195786660023</v>
      </c>
      <c r="U189">
        <v>4.4286477380750293</v>
      </c>
      <c r="V189">
        <v>0.20127646963296911</v>
      </c>
      <c r="W189">
        <v>8.8367901470039047</v>
      </c>
      <c r="X189">
        <v>0.32929973293725567</v>
      </c>
      <c r="Z189" t="s">
        <v>392</v>
      </c>
      <c r="AA189">
        <v>161</v>
      </c>
      <c r="AB189" t="s">
        <v>4636</v>
      </c>
      <c r="AC189" t="str">
        <f>HYPERLINK("plots/3FT6Y578R04_015_S31P_20251219032831_M5358ACSA301811_RBGEUFRF04/dpll_52046/txpa_54221.png","plot")</f>
        <v>plot</v>
      </c>
    </row>
    <row r="190" spans="1:29" x14ac:dyDescent="0.35">
      <c r="A190" t="s">
        <v>50</v>
      </c>
      <c r="B190">
        <v>52046</v>
      </c>
      <c r="C190" t="s">
        <v>51</v>
      </c>
      <c r="D190">
        <v>54222</v>
      </c>
      <c r="E190" t="s">
        <v>242</v>
      </c>
      <c r="F190">
        <v>11781</v>
      </c>
      <c r="G190">
        <v>0.79768058181360524</v>
      </c>
      <c r="H190">
        <v>0</v>
      </c>
      <c r="I190">
        <v>0</v>
      </c>
      <c r="J190">
        <v>0.70637167129816458</v>
      </c>
      <c r="K190">
        <v>0</v>
      </c>
      <c r="L190">
        <v>0</v>
      </c>
      <c r="M190">
        <v>0.51741119161285776</v>
      </c>
      <c r="N190">
        <v>0</v>
      </c>
      <c r="O190">
        <v>0</v>
      </c>
      <c r="P190">
        <v>0.63629431060249175</v>
      </c>
      <c r="Q190">
        <v>1.3136260082279601</v>
      </c>
      <c r="R190">
        <v>3.0272224634368818</v>
      </c>
      <c r="S190">
        <v>0.19989765970348619</v>
      </c>
      <c r="T190">
        <v>0.15454632812812341</v>
      </c>
      <c r="U190">
        <v>4.4286547017231142</v>
      </c>
      <c r="V190">
        <v>0.20128359324518649</v>
      </c>
      <c r="W190">
        <v>8.8448184610814025</v>
      </c>
      <c r="X190">
        <v>0.33147524102353038</v>
      </c>
      <c r="Z190" t="s">
        <v>392</v>
      </c>
      <c r="AA190">
        <v>161</v>
      </c>
      <c r="AB190" t="s">
        <v>4637</v>
      </c>
      <c r="AC190" t="str">
        <f>HYPERLINK("plots/3FT6Y578R04_015_S31P_20251219032831_M5358ACSA301811_RBGEUFRF04/dpll_52046/txpa_54222.png","plot")</f>
        <v>plot</v>
      </c>
    </row>
    <row r="191" spans="1:29" x14ac:dyDescent="0.35">
      <c r="A191" t="s">
        <v>50</v>
      </c>
      <c r="B191">
        <v>52046</v>
      </c>
      <c r="C191" t="s">
        <v>51</v>
      </c>
      <c r="D191">
        <v>54223</v>
      </c>
      <c r="E191" t="s">
        <v>243</v>
      </c>
      <c r="F191">
        <v>11781</v>
      </c>
      <c r="G191">
        <v>0.79929905767263754</v>
      </c>
      <c r="H191">
        <v>0</v>
      </c>
      <c r="I191">
        <v>0</v>
      </c>
      <c r="J191">
        <v>0.70253329561917188</v>
      </c>
      <c r="K191">
        <v>0</v>
      </c>
      <c r="L191">
        <v>0</v>
      </c>
      <c r="M191">
        <v>0.51258509993127344</v>
      </c>
      <c r="N191">
        <v>0</v>
      </c>
      <c r="O191">
        <v>0</v>
      </c>
      <c r="P191">
        <v>0.6388789835963663</v>
      </c>
      <c r="Q191">
        <v>1.3119325897398799</v>
      </c>
      <c r="R191">
        <v>3.0101784950515889</v>
      </c>
      <c r="S191">
        <v>0.1985074073217627</v>
      </c>
      <c r="T191">
        <v>0.153812780625147</v>
      </c>
      <c r="U191">
        <v>4.4286210779220783</v>
      </c>
      <c r="V191">
        <v>0.20126420786155011</v>
      </c>
      <c r="W191">
        <v>8.8202308147865196</v>
      </c>
      <c r="X191">
        <v>0.33034578348006971</v>
      </c>
      <c r="Z191" t="s">
        <v>392</v>
      </c>
      <c r="AA191">
        <v>161</v>
      </c>
      <c r="AB191" t="s">
        <v>4638</v>
      </c>
      <c r="AC191" t="str">
        <f>HYPERLINK("plots/3FT6Y578R04_015_S31P_20251219032831_M5358ACSA301811_RBGEUFRF04/dpll_52046/txpa_54223.png","plot")</f>
        <v>plot</v>
      </c>
    </row>
    <row r="192" spans="1:29" x14ac:dyDescent="0.35">
      <c r="A192" t="s">
        <v>50</v>
      </c>
      <c r="B192">
        <v>52046</v>
      </c>
      <c r="C192" t="s">
        <v>51</v>
      </c>
      <c r="D192">
        <v>54224</v>
      </c>
      <c r="E192" t="s">
        <v>244</v>
      </c>
      <c r="F192">
        <v>11781</v>
      </c>
      <c r="G192">
        <v>0.80268628622372362</v>
      </c>
      <c r="H192">
        <v>0</v>
      </c>
      <c r="I192">
        <v>0</v>
      </c>
      <c r="J192">
        <v>0.71247740310277519</v>
      </c>
      <c r="K192">
        <v>0</v>
      </c>
      <c r="L192">
        <v>0</v>
      </c>
      <c r="M192">
        <v>0.52252509398872304</v>
      </c>
      <c r="N192">
        <v>0</v>
      </c>
      <c r="O192">
        <v>0</v>
      </c>
      <c r="P192">
        <v>0.64430527409163352</v>
      </c>
      <c r="Q192">
        <v>1.3261592877126349</v>
      </c>
      <c r="R192">
        <v>2.9614342064622878</v>
      </c>
      <c r="S192">
        <v>0.19830350830624349</v>
      </c>
      <c r="T192">
        <v>0.1540062003464685</v>
      </c>
      <c r="U192">
        <v>4.4286192746795683</v>
      </c>
      <c r="V192">
        <v>0.20126129812424351</v>
      </c>
      <c r="W192">
        <v>8.8344887893217887</v>
      </c>
      <c r="X192">
        <v>0.33251413951549152</v>
      </c>
      <c r="Z192" t="s">
        <v>392</v>
      </c>
      <c r="AA192">
        <v>161</v>
      </c>
      <c r="AB192" t="s">
        <v>4639</v>
      </c>
      <c r="AC192" t="str">
        <f>HYPERLINK("plots/3FT6Y578R04_015_S31P_20251219032831_M5358ACSA301811_RBGEUFRF04/dpll_52046/txpa_54224.png","plot")</f>
        <v>plot</v>
      </c>
    </row>
    <row r="193" spans="1:29" x14ac:dyDescent="0.35">
      <c r="A193" t="s">
        <v>50</v>
      </c>
      <c r="B193">
        <v>52046</v>
      </c>
      <c r="C193" t="s">
        <v>51</v>
      </c>
      <c r="D193">
        <v>54225</v>
      </c>
      <c r="E193" t="s">
        <v>245</v>
      </c>
      <c r="F193">
        <v>11782</v>
      </c>
      <c r="G193">
        <v>0.79986506511401623</v>
      </c>
      <c r="H193">
        <v>0</v>
      </c>
      <c r="I193">
        <v>0</v>
      </c>
      <c r="J193">
        <v>0.70374729100734135</v>
      </c>
      <c r="K193">
        <v>0</v>
      </c>
      <c r="L193">
        <v>0</v>
      </c>
      <c r="M193">
        <v>0.51453109962553467</v>
      </c>
      <c r="N193">
        <v>0</v>
      </c>
      <c r="O193">
        <v>0</v>
      </c>
      <c r="P193">
        <v>0.63978412238984939</v>
      </c>
      <c r="Q193">
        <v>1.3103762896640401</v>
      </c>
      <c r="R193">
        <v>3.0363425185977291</v>
      </c>
      <c r="S193">
        <v>0.1978952172637751</v>
      </c>
      <c r="T193">
        <v>0.1538661301212427</v>
      </c>
      <c r="U193">
        <v>4.4286477380750293</v>
      </c>
      <c r="V193">
        <v>0.20127646963296911</v>
      </c>
      <c r="W193">
        <v>8.8395375098455276</v>
      </c>
      <c r="X193">
        <v>0.32974050871534327</v>
      </c>
      <c r="Z193" t="s">
        <v>392</v>
      </c>
      <c r="AA193">
        <v>161</v>
      </c>
      <c r="AB193" t="s">
        <v>4640</v>
      </c>
      <c r="AC193" t="str">
        <f>HYPERLINK("plots/3FT6Y578R04_015_S31P_20251219032831_M5358ACSA301811_RBGEUFRF04/dpll_52046/txpa_54225.png","plot")</f>
        <v>plot</v>
      </c>
    </row>
    <row r="194" spans="1:29" x14ac:dyDescent="0.35">
      <c r="A194" t="s">
        <v>50</v>
      </c>
      <c r="B194">
        <v>52046</v>
      </c>
      <c r="C194" t="s">
        <v>51</v>
      </c>
      <c r="D194">
        <v>54226</v>
      </c>
      <c r="E194" t="s">
        <v>246</v>
      </c>
      <c r="F194">
        <v>11781</v>
      </c>
      <c r="G194">
        <v>0.79279607450750755</v>
      </c>
      <c r="H194">
        <v>0</v>
      </c>
      <c r="I194">
        <v>0</v>
      </c>
      <c r="J194">
        <v>0.69783231717816774</v>
      </c>
      <c r="K194">
        <v>0</v>
      </c>
      <c r="L194">
        <v>0</v>
      </c>
      <c r="M194">
        <v>0.51007572729113493</v>
      </c>
      <c r="N194">
        <v>0</v>
      </c>
      <c r="O194">
        <v>0</v>
      </c>
      <c r="P194">
        <v>0.62852561575451349</v>
      </c>
      <c r="Q194">
        <v>1.30157415041363</v>
      </c>
      <c r="R194">
        <v>3.0506013743094309</v>
      </c>
      <c r="S194">
        <v>0.20138774096710049</v>
      </c>
      <c r="T194">
        <v>0.15474682240597371</v>
      </c>
      <c r="U194">
        <v>4.4286701896273666</v>
      </c>
      <c r="V194">
        <v>0.20127025814248481</v>
      </c>
      <c r="W194">
        <v>8.8148440138358382</v>
      </c>
      <c r="X194">
        <v>0.33043574970785999</v>
      </c>
      <c r="Z194" t="s">
        <v>392</v>
      </c>
      <c r="AA194">
        <v>161</v>
      </c>
      <c r="AB194" t="s">
        <v>4641</v>
      </c>
      <c r="AC194" t="str">
        <f>HYPERLINK("plots/3FT6Y578R04_015_S31P_20251219032831_M5358ACSA301811_RBGEUFRF04/dpll_52046/txpa_54226.png","plot")</f>
        <v>plot</v>
      </c>
    </row>
    <row r="195" spans="1:29" x14ac:dyDescent="0.35">
      <c r="A195" t="s">
        <v>50</v>
      </c>
      <c r="B195">
        <v>52046</v>
      </c>
      <c r="C195" t="s">
        <v>51</v>
      </c>
      <c r="D195">
        <v>54227</v>
      </c>
      <c r="E195" t="s">
        <v>247</v>
      </c>
      <c r="F195">
        <v>11782</v>
      </c>
      <c r="G195">
        <v>0.77713608298211467</v>
      </c>
      <c r="H195">
        <v>0</v>
      </c>
      <c r="I195">
        <v>0</v>
      </c>
      <c r="J195">
        <v>0.69409810835722663</v>
      </c>
      <c r="K195">
        <v>0</v>
      </c>
      <c r="L195">
        <v>0</v>
      </c>
      <c r="M195">
        <v>0.50380884046733554</v>
      </c>
      <c r="N195">
        <v>0</v>
      </c>
      <c r="O195">
        <v>0</v>
      </c>
      <c r="P195">
        <v>0.60394049147278417</v>
      </c>
      <c r="Q195">
        <v>1.3039305265138841</v>
      </c>
      <c r="R195">
        <v>3.5277050054932571</v>
      </c>
      <c r="S195">
        <v>0.2125260526865444</v>
      </c>
      <c r="T195">
        <v>0.1606085581577622</v>
      </c>
      <c r="U195">
        <v>4.4286477380750293</v>
      </c>
      <c r="V195">
        <v>0.20127646963296911</v>
      </c>
      <c r="W195">
        <v>9.3023539823459505</v>
      </c>
      <c r="X195">
        <v>0.33771502671226922</v>
      </c>
      <c r="Z195" t="s">
        <v>392</v>
      </c>
      <c r="AA195">
        <v>161</v>
      </c>
      <c r="AB195" t="s">
        <v>4642</v>
      </c>
      <c r="AC195" t="str">
        <f>HYPERLINK("plots/3FT6Y578R04_015_S31P_20251219032831_M5358ACSA301811_RBGEUFRF04/dpll_52046/txpa_54227.png","plot")</f>
        <v>plot</v>
      </c>
    </row>
    <row r="196" spans="1:29" x14ac:dyDescent="0.35">
      <c r="A196" t="s">
        <v>50</v>
      </c>
      <c r="B196">
        <v>52046</v>
      </c>
      <c r="C196" t="s">
        <v>51</v>
      </c>
      <c r="D196">
        <v>54228</v>
      </c>
      <c r="E196" t="s">
        <v>248</v>
      </c>
      <c r="F196">
        <v>11782</v>
      </c>
      <c r="G196">
        <v>0.79371011709720118</v>
      </c>
      <c r="H196">
        <v>0</v>
      </c>
      <c r="I196">
        <v>0</v>
      </c>
      <c r="J196">
        <v>0.70572645153588842</v>
      </c>
      <c r="K196">
        <v>0</v>
      </c>
      <c r="L196">
        <v>0</v>
      </c>
      <c r="M196">
        <v>0.51693637703022544</v>
      </c>
      <c r="N196">
        <v>0</v>
      </c>
      <c r="O196">
        <v>0</v>
      </c>
      <c r="P196">
        <v>0.62997574998245287</v>
      </c>
      <c r="Q196">
        <v>1.334410559853046</v>
      </c>
      <c r="R196">
        <v>3.4234955552001218</v>
      </c>
      <c r="S196">
        <v>0.20583405157707479</v>
      </c>
      <c r="T196">
        <v>0.15807486754931521</v>
      </c>
      <c r="U196">
        <v>4.4286477380750293</v>
      </c>
      <c r="V196">
        <v>0.20127646963296911</v>
      </c>
      <c r="W196">
        <v>9.3331298627567474</v>
      </c>
      <c r="X196">
        <v>0.33839236862755351</v>
      </c>
      <c r="Z196" t="s">
        <v>392</v>
      </c>
      <c r="AA196">
        <v>161</v>
      </c>
      <c r="AB196" t="s">
        <v>4643</v>
      </c>
      <c r="AC196" t="str">
        <f>HYPERLINK("plots/3FT6Y578R04_015_S31P_20251219032831_M5358ACSA301811_RBGEUFRF04/dpll_52046/txpa_54228.png","plot")</f>
        <v>plot</v>
      </c>
    </row>
    <row r="197" spans="1:29" x14ac:dyDescent="0.35">
      <c r="A197" t="s">
        <v>50</v>
      </c>
      <c r="B197">
        <v>52046</v>
      </c>
      <c r="C197" t="s">
        <v>51</v>
      </c>
      <c r="D197">
        <v>54229</v>
      </c>
      <c r="E197" t="s">
        <v>249</v>
      </c>
      <c r="F197">
        <v>11782</v>
      </c>
      <c r="G197">
        <v>0.78784218626467517</v>
      </c>
      <c r="H197">
        <v>0</v>
      </c>
      <c r="I197">
        <v>0</v>
      </c>
      <c r="J197">
        <v>0.69821286452274856</v>
      </c>
      <c r="K197">
        <v>0</v>
      </c>
      <c r="L197">
        <v>0</v>
      </c>
      <c r="M197">
        <v>0.50933713884016496</v>
      </c>
      <c r="N197">
        <v>0</v>
      </c>
      <c r="O197">
        <v>0</v>
      </c>
      <c r="P197">
        <v>0.62069531045830317</v>
      </c>
      <c r="Q197">
        <v>1.3076317995406319</v>
      </c>
      <c r="R197">
        <v>3.5526997859454932</v>
      </c>
      <c r="S197">
        <v>0.20573819367547469</v>
      </c>
      <c r="T197">
        <v>0.1569122413547992</v>
      </c>
      <c r="U197">
        <v>4.4286477380750293</v>
      </c>
      <c r="V197">
        <v>0.20127646963296911</v>
      </c>
      <c r="W197">
        <v>9.3437403972160915</v>
      </c>
      <c r="X197">
        <v>0.33407136198076631</v>
      </c>
      <c r="Z197" t="s">
        <v>392</v>
      </c>
      <c r="AA197">
        <v>161</v>
      </c>
      <c r="AB197" t="s">
        <v>4644</v>
      </c>
      <c r="AC197" t="str">
        <f>HYPERLINK("plots/3FT6Y578R04_015_S31P_20251219032831_M5358ACSA301811_RBGEUFRF04/dpll_52046/txpa_54229.png","plot")</f>
        <v>plot</v>
      </c>
    </row>
    <row r="198" spans="1:29" x14ac:dyDescent="0.35">
      <c r="A198" t="s">
        <v>50</v>
      </c>
      <c r="B198">
        <v>52046</v>
      </c>
      <c r="C198" t="s">
        <v>51</v>
      </c>
      <c r="D198">
        <v>54230</v>
      </c>
      <c r="E198" t="s">
        <v>250</v>
      </c>
      <c r="F198">
        <v>11781</v>
      </c>
      <c r="G198">
        <v>0.80038024086603621</v>
      </c>
      <c r="H198">
        <v>0</v>
      </c>
      <c r="I198">
        <v>0</v>
      </c>
      <c r="J198">
        <v>0.70822979669725272</v>
      </c>
      <c r="K198">
        <v>0</v>
      </c>
      <c r="L198">
        <v>0</v>
      </c>
      <c r="M198">
        <v>0.51910291861092883</v>
      </c>
      <c r="N198">
        <v>0</v>
      </c>
      <c r="O198">
        <v>0</v>
      </c>
      <c r="P198">
        <v>0.64060852996877415</v>
      </c>
      <c r="Q198">
        <v>1.337035033551484</v>
      </c>
      <c r="R198">
        <v>3.4302202346432451</v>
      </c>
      <c r="S198">
        <v>0.20156738188965101</v>
      </c>
      <c r="T198">
        <v>0.15565892936310249</v>
      </c>
      <c r="U198">
        <v>4.4286547017231142</v>
      </c>
      <c r="V198">
        <v>0.20128359324518649</v>
      </c>
      <c r="W198">
        <v>9.3514867223495468</v>
      </c>
      <c r="X198">
        <v>0.33624420257644239</v>
      </c>
      <c r="Z198" t="s">
        <v>392</v>
      </c>
      <c r="AA198">
        <v>161</v>
      </c>
      <c r="AB198" t="s">
        <v>4645</v>
      </c>
      <c r="AC198" t="str">
        <f>HYPERLINK("plots/3FT6Y578R04_015_S31P_20251219032831_M5358ACSA301811_RBGEUFRF04/dpll_52046/txpa_54230.png","plot")</f>
        <v>plot</v>
      </c>
    </row>
    <row r="199" spans="1:29" x14ac:dyDescent="0.35">
      <c r="A199" t="s">
        <v>50</v>
      </c>
      <c r="B199">
        <v>52046</v>
      </c>
      <c r="C199" t="s">
        <v>51</v>
      </c>
      <c r="D199">
        <v>54231</v>
      </c>
      <c r="E199" t="s">
        <v>251</v>
      </c>
      <c r="F199">
        <v>11781</v>
      </c>
      <c r="G199">
        <v>0.80208394753791989</v>
      </c>
      <c r="H199">
        <v>0</v>
      </c>
      <c r="I199">
        <v>0</v>
      </c>
      <c r="J199">
        <v>0.70446047727569594</v>
      </c>
      <c r="K199">
        <v>0</v>
      </c>
      <c r="L199">
        <v>0</v>
      </c>
      <c r="M199">
        <v>0.51432599298044535</v>
      </c>
      <c r="N199">
        <v>0</v>
      </c>
      <c r="O199">
        <v>0</v>
      </c>
      <c r="P199">
        <v>0.64333865889801267</v>
      </c>
      <c r="Q199">
        <v>1.335806195575221</v>
      </c>
      <c r="R199">
        <v>3.4107137876097</v>
      </c>
      <c r="S199">
        <v>0.20017035684505191</v>
      </c>
      <c r="T199">
        <v>0.15490715870255689</v>
      </c>
      <c r="U199">
        <v>4.4286210779220783</v>
      </c>
      <c r="V199">
        <v>0.20126420786155011</v>
      </c>
      <c r="W199">
        <v>9.3264932613530274</v>
      </c>
      <c r="X199">
        <v>0.3351893235542997</v>
      </c>
      <c r="Z199" t="s">
        <v>392</v>
      </c>
      <c r="AA199">
        <v>161</v>
      </c>
      <c r="AB199" t="s">
        <v>4646</v>
      </c>
      <c r="AC199" t="str">
        <f>HYPERLINK("plots/3FT6Y578R04_015_S31P_20251219032831_M5358ACSA301811_RBGEUFRF04/dpll_52046/txpa_54231.png","plot")</f>
        <v>plot</v>
      </c>
    </row>
    <row r="200" spans="1:29" x14ac:dyDescent="0.35">
      <c r="A200" t="s">
        <v>50</v>
      </c>
      <c r="B200">
        <v>52046</v>
      </c>
      <c r="C200" t="s">
        <v>51</v>
      </c>
      <c r="D200">
        <v>54232</v>
      </c>
      <c r="E200" t="s">
        <v>252</v>
      </c>
      <c r="F200">
        <v>11781</v>
      </c>
      <c r="G200">
        <v>0.80536652378542217</v>
      </c>
      <c r="H200">
        <v>0</v>
      </c>
      <c r="I200">
        <v>0</v>
      </c>
      <c r="J200">
        <v>0.71409806574441881</v>
      </c>
      <c r="K200">
        <v>0</v>
      </c>
      <c r="L200">
        <v>0</v>
      </c>
      <c r="M200">
        <v>0.52407159030655215</v>
      </c>
      <c r="N200">
        <v>0</v>
      </c>
      <c r="O200">
        <v>0</v>
      </c>
      <c r="P200">
        <v>0.64861523763421502</v>
      </c>
      <c r="Q200">
        <v>1.3496437445264451</v>
      </c>
      <c r="R200">
        <v>3.3639949590343838</v>
      </c>
      <c r="S200">
        <v>0.19992120998580359</v>
      </c>
      <c r="T200">
        <v>0.1550918692863206</v>
      </c>
      <c r="U200">
        <v>4.4286192746795683</v>
      </c>
      <c r="V200">
        <v>0.20126129812424351</v>
      </c>
      <c r="W200">
        <v>9.3410532599949061</v>
      </c>
      <c r="X200">
        <v>0.33727631333858288</v>
      </c>
      <c r="Z200" t="s">
        <v>392</v>
      </c>
      <c r="AA200">
        <v>161</v>
      </c>
      <c r="AB200" t="s">
        <v>4647</v>
      </c>
      <c r="AC200" t="str">
        <f>HYPERLINK("plots/3FT6Y578R04_015_S31P_20251219032831_M5358ACSA301811_RBGEUFRF04/dpll_52046/txpa_54232.png","plot")</f>
        <v>plot</v>
      </c>
    </row>
    <row r="201" spans="1:29" x14ac:dyDescent="0.35">
      <c r="A201" t="s">
        <v>50</v>
      </c>
      <c r="B201">
        <v>52046</v>
      </c>
      <c r="C201" t="s">
        <v>51</v>
      </c>
      <c r="D201">
        <v>54233</v>
      </c>
      <c r="E201" t="s">
        <v>253</v>
      </c>
      <c r="F201">
        <v>11782</v>
      </c>
      <c r="G201">
        <v>0.80254057633567311</v>
      </c>
      <c r="H201">
        <v>0</v>
      </c>
      <c r="I201">
        <v>0</v>
      </c>
      <c r="J201">
        <v>0.70554398235304872</v>
      </c>
      <c r="K201">
        <v>0</v>
      </c>
      <c r="L201">
        <v>0</v>
      </c>
      <c r="M201">
        <v>0.51616038851694768</v>
      </c>
      <c r="N201">
        <v>0</v>
      </c>
      <c r="O201">
        <v>0</v>
      </c>
      <c r="P201">
        <v>0.64407137666519432</v>
      </c>
      <c r="Q201">
        <v>1.333846750376021</v>
      </c>
      <c r="R201">
        <v>3.4391300856384501</v>
      </c>
      <c r="S201">
        <v>0.19956986710592539</v>
      </c>
      <c r="T201">
        <v>0.15496334791761029</v>
      </c>
      <c r="U201">
        <v>4.4286477380750293</v>
      </c>
      <c r="V201">
        <v>0.20127646963296911</v>
      </c>
      <c r="W201">
        <v>9.3462674796299439</v>
      </c>
      <c r="X201">
        <v>0.33452759008511718</v>
      </c>
      <c r="Z201" t="s">
        <v>392</v>
      </c>
      <c r="AA201">
        <v>161</v>
      </c>
      <c r="AB201" t="s">
        <v>4648</v>
      </c>
      <c r="AC201" t="str">
        <f>HYPERLINK("plots/3FT6Y578R04_015_S31P_20251219032831_M5358ACSA301811_RBGEUFRF04/dpll_52046/txpa_54233.png","plot")</f>
        <v>plot</v>
      </c>
    </row>
    <row r="202" spans="1:29" x14ac:dyDescent="0.35">
      <c r="A202" t="s">
        <v>50</v>
      </c>
      <c r="B202">
        <v>52046</v>
      </c>
      <c r="C202" t="s">
        <v>51</v>
      </c>
      <c r="D202">
        <v>54234</v>
      </c>
      <c r="E202" t="s">
        <v>254</v>
      </c>
      <c r="F202">
        <v>11781</v>
      </c>
      <c r="G202">
        <v>0.7954926266155582</v>
      </c>
      <c r="H202">
        <v>0</v>
      </c>
      <c r="I202">
        <v>0</v>
      </c>
      <c r="J202">
        <v>0.69949088871296172</v>
      </c>
      <c r="K202">
        <v>0</v>
      </c>
      <c r="L202">
        <v>0</v>
      </c>
      <c r="M202">
        <v>0.51159549333735255</v>
      </c>
      <c r="N202">
        <v>0</v>
      </c>
      <c r="O202">
        <v>0</v>
      </c>
      <c r="P202">
        <v>0.6328085189997199</v>
      </c>
      <c r="Q202">
        <v>1.324506781017212</v>
      </c>
      <c r="R202">
        <v>3.4563786179484981</v>
      </c>
      <c r="S202">
        <v>0.20306052130281971</v>
      </c>
      <c r="T202">
        <v>0.15585473262220989</v>
      </c>
      <c r="U202">
        <v>4.4286701896273666</v>
      </c>
      <c r="V202">
        <v>0.20127025814248481</v>
      </c>
      <c r="W202">
        <v>9.3221823149987255</v>
      </c>
      <c r="X202">
        <v>0.33511790406027142</v>
      </c>
      <c r="Z202" t="s">
        <v>392</v>
      </c>
      <c r="AA202">
        <v>161</v>
      </c>
      <c r="AB202" t="s">
        <v>4649</v>
      </c>
      <c r="AC202" t="str">
        <f>HYPERLINK("plots/3FT6Y578R04_015_S31P_20251219032831_M5358ACSA301811_RBGEUFRF04/dpll_52046/txpa_54234.png","plot")</f>
        <v>plot</v>
      </c>
    </row>
    <row r="203" spans="1:29" x14ac:dyDescent="0.35">
      <c r="A203" t="s">
        <v>50</v>
      </c>
      <c r="B203">
        <v>52046</v>
      </c>
      <c r="C203" t="s">
        <v>51</v>
      </c>
      <c r="D203">
        <v>54235</v>
      </c>
      <c r="E203" t="s">
        <v>255</v>
      </c>
      <c r="F203">
        <v>11782</v>
      </c>
      <c r="G203">
        <v>0.77980484083233736</v>
      </c>
      <c r="H203">
        <v>0</v>
      </c>
      <c r="I203">
        <v>0</v>
      </c>
      <c r="J203">
        <v>0.69587027100492804</v>
      </c>
      <c r="K203">
        <v>0</v>
      </c>
      <c r="L203">
        <v>0</v>
      </c>
      <c r="M203">
        <v>0.50537537225525242</v>
      </c>
      <c r="N203">
        <v>0</v>
      </c>
      <c r="O203">
        <v>0</v>
      </c>
      <c r="P203">
        <v>0.60809558978554701</v>
      </c>
      <c r="Q203">
        <v>1.324290696603549</v>
      </c>
      <c r="R203">
        <v>3.9183082720058828</v>
      </c>
      <c r="S203">
        <v>0.21397451552461649</v>
      </c>
      <c r="T203">
        <v>0.16148922550098341</v>
      </c>
      <c r="U203">
        <v>4.4286477380750293</v>
      </c>
      <c r="V203">
        <v>0.20127646963296911</v>
      </c>
      <c r="W203">
        <v>9.7831252700729934</v>
      </c>
      <c r="X203">
        <v>0.34181444154109469</v>
      </c>
      <c r="Z203" t="s">
        <v>392</v>
      </c>
      <c r="AA203">
        <v>161</v>
      </c>
      <c r="AB203" t="s">
        <v>4650</v>
      </c>
      <c r="AC203" t="str">
        <f>HYPERLINK("plots/3FT6Y578R04_015_S31P_20251219032831_M5358ACSA301811_RBGEUFRF04/dpll_52046/txpa_54235.png","plot")</f>
        <v>plot</v>
      </c>
    </row>
    <row r="204" spans="1:29" x14ac:dyDescent="0.35">
      <c r="A204" t="s">
        <v>50</v>
      </c>
      <c r="B204">
        <v>52046</v>
      </c>
      <c r="C204" t="s">
        <v>51</v>
      </c>
      <c r="D204">
        <v>54236</v>
      </c>
      <c r="E204" t="s">
        <v>256</v>
      </c>
      <c r="F204">
        <v>11782</v>
      </c>
      <c r="G204">
        <v>0.79611214343545778</v>
      </c>
      <c r="H204">
        <v>0</v>
      </c>
      <c r="I204">
        <v>0</v>
      </c>
      <c r="J204">
        <v>0.70728684147969101</v>
      </c>
      <c r="K204">
        <v>0</v>
      </c>
      <c r="L204">
        <v>0</v>
      </c>
      <c r="M204">
        <v>0.51837292862347661</v>
      </c>
      <c r="N204">
        <v>0</v>
      </c>
      <c r="O204">
        <v>0</v>
      </c>
      <c r="P204">
        <v>0.63379454492539888</v>
      </c>
      <c r="Q204">
        <v>1.354858679253135</v>
      </c>
      <c r="R204">
        <v>3.8137743199358058</v>
      </c>
      <c r="S204">
        <v>0.2072796798319323</v>
      </c>
      <c r="T204">
        <v>0.15896221758095011</v>
      </c>
      <c r="U204">
        <v>4.4286477380750293</v>
      </c>
      <c r="V204">
        <v>0.20127646963296911</v>
      </c>
      <c r="W204">
        <v>9.8139661452215243</v>
      </c>
      <c r="X204">
        <v>0.34254115335419011</v>
      </c>
      <c r="Z204" t="s">
        <v>392</v>
      </c>
      <c r="AA204">
        <v>161</v>
      </c>
      <c r="AB204" t="s">
        <v>4651</v>
      </c>
      <c r="AC204" t="str">
        <f>HYPERLINK("plots/3FT6Y578R04_015_S31P_20251219032831_M5358ACSA301811_RBGEUFRF04/dpll_52046/txpa_54236.png","plot")</f>
        <v>plot</v>
      </c>
    </row>
    <row r="205" spans="1:29" x14ac:dyDescent="0.35">
      <c r="A205" t="s">
        <v>50</v>
      </c>
      <c r="B205">
        <v>52046</v>
      </c>
      <c r="C205" t="s">
        <v>51</v>
      </c>
      <c r="D205">
        <v>54237</v>
      </c>
      <c r="E205" t="s">
        <v>257</v>
      </c>
      <c r="F205">
        <v>11782</v>
      </c>
      <c r="G205">
        <v>0.79058624896915275</v>
      </c>
      <c r="H205">
        <v>0</v>
      </c>
      <c r="I205">
        <v>0</v>
      </c>
      <c r="J205">
        <v>0.70005870418677474</v>
      </c>
      <c r="K205">
        <v>0</v>
      </c>
      <c r="L205">
        <v>0</v>
      </c>
      <c r="M205">
        <v>0.51097508158841776</v>
      </c>
      <c r="N205">
        <v>0</v>
      </c>
      <c r="O205">
        <v>0</v>
      </c>
      <c r="P205">
        <v>0.62502661705911522</v>
      </c>
      <c r="Q205">
        <v>1.328561252948856</v>
      </c>
      <c r="R205">
        <v>3.9412180295824211</v>
      </c>
      <c r="S205">
        <v>0.20711288662109051</v>
      </c>
      <c r="T205">
        <v>0.15773868704609001</v>
      </c>
      <c r="U205">
        <v>4.4286477380750293</v>
      </c>
      <c r="V205">
        <v>0.20127646963296911</v>
      </c>
      <c r="W205">
        <v>9.8249478173484981</v>
      </c>
      <c r="X205">
        <v>0.33824028565305031</v>
      </c>
      <c r="Z205" t="s">
        <v>392</v>
      </c>
      <c r="AA205">
        <v>161</v>
      </c>
      <c r="AB205" t="s">
        <v>4652</v>
      </c>
      <c r="AC205" t="str">
        <f>HYPERLINK("plots/3FT6Y578R04_015_S31P_20251219032831_M5358ACSA301811_RBGEUFRF04/dpll_52046/txpa_54237.png","plot")</f>
        <v>plot</v>
      </c>
    </row>
    <row r="206" spans="1:29" x14ac:dyDescent="0.35">
      <c r="A206" t="s">
        <v>50</v>
      </c>
      <c r="B206">
        <v>52046</v>
      </c>
      <c r="C206" t="s">
        <v>51</v>
      </c>
      <c r="D206">
        <v>54238</v>
      </c>
      <c r="E206" t="s">
        <v>258</v>
      </c>
      <c r="F206">
        <v>11781</v>
      </c>
      <c r="G206">
        <v>0.80267037787043483</v>
      </c>
      <c r="H206">
        <v>0</v>
      </c>
      <c r="I206">
        <v>0</v>
      </c>
      <c r="J206">
        <v>0.70970382374381891</v>
      </c>
      <c r="K206">
        <v>0</v>
      </c>
      <c r="L206">
        <v>0</v>
      </c>
      <c r="M206">
        <v>0.52043845790622756</v>
      </c>
      <c r="N206">
        <v>0</v>
      </c>
      <c r="O206">
        <v>0</v>
      </c>
      <c r="P206">
        <v>0.64427973551066664</v>
      </c>
      <c r="Q206">
        <v>1.3574481507162399</v>
      </c>
      <c r="R206">
        <v>3.8204609046252749</v>
      </c>
      <c r="S206">
        <v>0.20301599761019201</v>
      </c>
      <c r="T206">
        <v>0.15656423682305459</v>
      </c>
      <c r="U206">
        <v>4.4286547017231142</v>
      </c>
      <c r="V206">
        <v>0.20128359324518649</v>
      </c>
      <c r="W206">
        <v>9.8321300396400986</v>
      </c>
      <c r="X206">
        <v>0.34040379332934928</v>
      </c>
      <c r="Z206" t="s">
        <v>392</v>
      </c>
      <c r="AA206">
        <v>161</v>
      </c>
      <c r="AB206" t="s">
        <v>4653</v>
      </c>
      <c r="AC206" t="str">
        <f>HYPERLINK("plots/3FT6Y578R04_015_S31P_20251219032831_M5358ACSA301811_RBGEUFRF04/dpll_52046/txpa_54238.png","plot")</f>
        <v>plot</v>
      </c>
    </row>
    <row r="207" spans="1:29" x14ac:dyDescent="0.35">
      <c r="A207" t="s">
        <v>50</v>
      </c>
      <c r="B207">
        <v>52046</v>
      </c>
      <c r="C207" t="s">
        <v>51</v>
      </c>
      <c r="D207">
        <v>54239</v>
      </c>
      <c r="E207" t="s">
        <v>259</v>
      </c>
      <c r="F207">
        <v>11781</v>
      </c>
      <c r="G207">
        <v>0.80443373194769952</v>
      </c>
      <c r="H207">
        <v>0</v>
      </c>
      <c r="I207">
        <v>0</v>
      </c>
      <c r="J207">
        <v>0.70601635316857925</v>
      </c>
      <c r="K207">
        <v>0</v>
      </c>
      <c r="L207">
        <v>0</v>
      </c>
      <c r="M207">
        <v>0.51574745770590835</v>
      </c>
      <c r="N207">
        <v>0</v>
      </c>
      <c r="O207">
        <v>0</v>
      </c>
      <c r="P207">
        <v>0.64711362909530323</v>
      </c>
      <c r="Q207">
        <v>1.3565646228906461</v>
      </c>
      <c r="R207">
        <v>3.7990877083018142</v>
      </c>
      <c r="S207">
        <v>0.20161171875985179</v>
      </c>
      <c r="T207">
        <v>0.1558787179656996</v>
      </c>
      <c r="U207">
        <v>4.4286210779220783</v>
      </c>
      <c r="V207">
        <v>0.20126420786155011</v>
      </c>
      <c r="W207">
        <v>9.8067983907987433</v>
      </c>
      <c r="X207">
        <v>0.33940384819273001</v>
      </c>
      <c r="Z207" t="s">
        <v>392</v>
      </c>
      <c r="AA207">
        <v>161</v>
      </c>
      <c r="AB207" t="s">
        <v>4654</v>
      </c>
      <c r="AC207" t="str">
        <f>HYPERLINK("plots/3FT6Y578R04_015_S31P_20251219032831_M5358ACSA301811_RBGEUFRF04/dpll_52046/txpa_54239.png","plot")</f>
        <v>plot</v>
      </c>
    </row>
    <row r="208" spans="1:29" x14ac:dyDescent="0.35">
      <c r="A208" t="s">
        <v>50</v>
      </c>
      <c r="B208">
        <v>52046</v>
      </c>
      <c r="C208" t="s">
        <v>51</v>
      </c>
      <c r="D208">
        <v>54240</v>
      </c>
      <c r="E208" t="s">
        <v>260</v>
      </c>
      <c r="F208">
        <v>11781</v>
      </c>
      <c r="G208">
        <v>0.80752467855649934</v>
      </c>
      <c r="H208">
        <v>0</v>
      </c>
      <c r="I208">
        <v>0</v>
      </c>
      <c r="J208">
        <v>0.71530817383899392</v>
      </c>
      <c r="K208">
        <v>0</v>
      </c>
      <c r="L208">
        <v>0</v>
      </c>
      <c r="M208">
        <v>0.52521676542291573</v>
      </c>
      <c r="N208">
        <v>0</v>
      </c>
      <c r="O208">
        <v>0</v>
      </c>
      <c r="P208">
        <v>0.6520961064777776</v>
      </c>
      <c r="Q208">
        <v>1.3701617409706841</v>
      </c>
      <c r="R208">
        <v>3.753978348902228</v>
      </c>
      <c r="S208">
        <v>0.2014130074600658</v>
      </c>
      <c r="T208">
        <v>0.15603785727805311</v>
      </c>
      <c r="U208">
        <v>4.4286192746795683</v>
      </c>
      <c r="V208">
        <v>0.20126129812424351</v>
      </c>
      <c r="W208">
        <v>9.8219030443935136</v>
      </c>
      <c r="X208">
        <v>0.34148867266926453</v>
      </c>
      <c r="Z208" t="s">
        <v>392</v>
      </c>
      <c r="AA208">
        <v>161</v>
      </c>
      <c r="AB208" t="s">
        <v>4655</v>
      </c>
      <c r="AC208" t="str">
        <f>HYPERLINK("plots/3FT6Y578R04_015_S31P_20251219032831_M5358ACSA301811_RBGEUFRF04/dpll_52046/txpa_54240.png","plot")</f>
        <v>plot</v>
      </c>
    </row>
    <row r="209" spans="1:29" x14ac:dyDescent="0.35">
      <c r="A209" t="s">
        <v>50</v>
      </c>
      <c r="B209">
        <v>52046</v>
      </c>
      <c r="C209" t="s">
        <v>51</v>
      </c>
      <c r="D209">
        <v>54241</v>
      </c>
      <c r="E209" t="s">
        <v>261</v>
      </c>
      <c r="F209">
        <v>11782</v>
      </c>
      <c r="G209">
        <v>0.80491992068114593</v>
      </c>
      <c r="H209">
        <v>0</v>
      </c>
      <c r="I209">
        <v>0</v>
      </c>
      <c r="J209">
        <v>0.70694007032661099</v>
      </c>
      <c r="K209">
        <v>0</v>
      </c>
      <c r="L209">
        <v>0</v>
      </c>
      <c r="M209">
        <v>0.51743065979335523</v>
      </c>
      <c r="N209">
        <v>0</v>
      </c>
      <c r="O209">
        <v>0</v>
      </c>
      <c r="P209">
        <v>0.64789607870934229</v>
      </c>
      <c r="Q209">
        <v>1.354484588396756</v>
      </c>
      <c r="R209">
        <v>3.8285894577965269</v>
      </c>
      <c r="S209">
        <v>0.20097007666832309</v>
      </c>
      <c r="T209">
        <v>0.1557937838270127</v>
      </c>
      <c r="U209">
        <v>4.4286477380750293</v>
      </c>
      <c r="V209">
        <v>0.20127646963296911</v>
      </c>
      <c r="W209">
        <v>9.8271245664573073</v>
      </c>
      <c r="X209">
        <v>0.33869937756548563</v>
      </c>
      <c r="Z209" t="s">
        <v>392</v>
      </c>
      <c r="AA209">
        <v>161</v>
      </c>
      <c r="AB209" t="s">
        <v>4656</v>
      </c>
      <c r="AC209" t="str">
        <f>HYPERLINK("plots/3FT6Y578R04_015_S31P_20251219032831_M5358ACSA301811_RBGEUFRF04/dpll_52046/txpa_54241.png","plot")</f>
        <v>plot</v>
      </c>
    </row>
    <row r="210" spans="1:29" x14ac:dyDescent="0.35">
      <c r="A210" t="s">
        <v>50</v>
      </c>
      <c r="B210">
        <v>52046</v>
      </c>
      <c r="C210" t="s">
        <v>51</v>
      </c>
      <c r="D210">
        <v>54242</v>
      </c>
      <c r="E210" t="s">
        <v>262</v>
      </c>
      <c r="F210">
        <v>11781</v>
      </c>
      <c r="G210">
        <v>0.79768571089818874</v>
      </c>
      <c r="H210">
        <v>0</v>
      </c>
      <c r="I210">
        <v>0</v>
      </c>
      <c r="J210">
        <v>0.70071313394354695</v>
      </c>
      <c r="K210">
        <v>0</v>
      </c>
      <c r="L210">
        <v>0</v>
      </c>
      <c r="M210">
        <v>0.51271477102638474</v>
      </c>
      <c r="N210">
        <v>0</v>
      </c>
      <c r="O210">
        <v>0</v>
      </c>
      <c r="P210">
        <v>0.63630249337114875</v>
      </c>
      <c r="Q210">
        <v>1.3443219606160599</v>
      </c>
      <c r="R210">
        <v>3.8498074170104259</v>
      </c>
      <c r="S210">
        <v>0.20455156822280021</v>
      </c>
      <c r="T210">
        <v>0.15678238036885569</v>
      </c>
      <c r="U210">
        <v>4.4286701896273666</v>
      </c>
      <c r="V210">
        <v>0.20127025814248481</v>
      </c>
      <c r="W210">
        <v>9.8033660092521853</v>
      </c>
      <c r="X210">
        <v>0.33919628287580011</v>
      </c>
      <c r="Z210" t="s">
        <v>392</v>
      </c>
      <c r="AA210">
        <v>161</v>
      </c>
      <c r="AB210" t="s">
        <v>4657</v>
      </c>
      <c r="AC210" t="str">
        <f>HYPERLINK("plots/3FT6Y578R04_015_S31P_20251219032831_M5358ACSA301811_RBGEUFRF04/dpll_52046/txpa_54242.png","plot")</f>
        <v>plot</v>
      </c>
    </row>
    <row r="211" spans="1:29" x14ac:dyDescent="0.35">
      <c r="A211" t="s">
        <v>50</v>
      </c>
      <c r="B211">
        <v>52046</v>
      </c>
      <c r="C211" t="s">
        <v>51</v>
      </c>
      <c r="D211">
        <v>54243</v>
      </c>
      <c r="E211" t="s">
        <v>263</v>
      </c>
      <c r="F211">
        <v>11782</v>
      </c>
      <c r="G211">
        <v>0.78610160852263178</v>
      </c>
      <c r="H211">
        <v>0</v>
      </c>
      <c r="I211">
        <v>0</v>
      </c>
      <c r="J211">
        <v>0.69985722588435484</v>
      </c>
      <c r="K211">
        <v>0</v>
      </c>
      <c r="L211">
        <v>0</v>
      </c>
      <c r="M211">
        <v>0.50912351033785097</v>
      </c>
      <c r="N211">
        <v>0</v>
      </c>
      <c r="O211">
        <v>0</v>
      </c>
      <c r="P211">
        <v>0.61795573892186906</v>
      </c>
      <c r="Q211">
        <v>1.377847095068673</v>
      </c>
      <c r="R211">
        <v>5.2530535353850034</v>
      </c>
      <c r="S211">
        <v>0.2180488272864243</v>
      </c>
      <c r="T211">
        <v>0.16384691291907391</v>
      </c>
      <c r="U211">
        <v>4.4286477380750293</v>
      </c>
      <c r="V211">
        <v>0.20127646963296911</v>
      </c>
      <c r="W211">
        <v>11.355052956374131</v>
      </c>
      <c r="X211">
        <v>0.35278925266501371</v>
      </c>
      <c r="Z211" t="s">
        <v>392</v>
      </c>
      <c r="AA211">
        <v>161</v>
      </c>
      <c r="AB211" t="s">
        <v>4658</v>
      </c>
      <c r="AC211" t="str">
        <f>HYPERLINK("plots/3FT6Y578R04_015_S31P_20251219032831_M5358ACSA301811_RBGEUFRF04/dpll_52046/txpa_54243.png","plot")</f>
        <v>plot</v>
      </c>
    </row>
    <row r="212" spans="1:29" x14ac:dyDescent="0.35">
      <c r="A212" t="s">
        <v>50</v>
      </c>
      <c r="B212">
        <v>52046</v>
      </c>
      <c r="C212" t="s">
        <v>51</v>
      </c>
      <c r="D212">
        <v>54244</v>
      </c>
      <c r="E212" t="s">
        <v>264</v>
      </c>
      <c r="F212">
        <v>11782</v>
      </c>
      <c r="G212">
        <v>0.8020455944960786</v>
      </c>
      <c r="H212">
        <v>0</v>
      </c>
      <c r="I212">
        <v>0</v>
      </c>
      <c r="J212">
        <v>0.7112572235548229</v>
      </c>
      <c r="K212">
        <v>0</v>
      </c>
      <c r="L212">
        <v>0</v>
      </c>
      <c r="M212">
        <v>0.52222998938502074</v>
      </c>
      <c r="N212">
        <v>0</v>
      </c>
      <c r="O212">
        <v>0</v>
      </c>
      <c r="P212">
        <v>0.6432771356505681</v>
      </c>
      <c r="Q212">
        <v>1.409158840769718</v>
      </c>
      <c r="R212">
        <v>5.1448870288086432</v>
      </c>
      <c r="S212">
        <v>0.21120341709665241</v>
      </c>
      <c r="T212">
        <v>0.16128204914011149</v>
      </c>
      <c r="U212">
        <v>4.4286477380750293</v>
      </c>
      <c r="V212">
        <v>0.20127646963296911</v>
      </c>
      <c r="W212">
        <v>11.38555514157189</v>
      </c>
      <c r="X212">
        <v>0.35363390631229619</v>
      </c>
      <c r="Z212" t="s">
        <v>392</v>
      </c>
      <c r="AA212">
        <v>161</v>
      </c>
      <c r="AB212" t="s">
        <v>4659</v>
      </c>
      <c r="AC212" t="str">
        <f>HYPERLINK("plots/3FT6Y578R04_015_S31P_20251219032831_M5358ACSA301811_RBGEUFRF04/dpll_52046/txpa_54244.png","plot")</f>
        <v>plot</v>
      </c>
    </row>
    <row r="213" spans="1:29" x14ac:dyDescent="0.35">
      <c r="A213" t="s">
        <v>50</v>
      </c>
      <c r="B213">
        <v>52046</v>
      </c>
      <c r="C213" t="s">
        <v>51</v>
      </c>
      <c r="D213">
        <v>54245</v>
      </c>
      <c r="E213" t="s">
        <v>265</v>
      </c>
      <c r="F213">
        <v>11782</v>
      </c>
      <c r="G213">
        <v>0.79696345290195669</v>
      </c>
      <c r="H213">
        <v>0</v>
      </c>
      <c r="I213">
        <v>0</v>
      </c>
      <c r="J213">
        <v>0.70414287805446563</v>
      </c>
      <c r="K213">
        <v>0</v>
      </c>
      <c r="L213">
        <v>0</v>
      </c>
      <c r="M213">
        <v>0.5148936421297291</v>
      </c>
      <c r="N213">
        <v>0</v>
      </c>
      <c r="O213">
        <v>0</v>
      </c>
      <c r="P213">
        <v>0.63515074526140936</v>
      </c>
      <c r="Q213">
        <v>1.3828656233427721</v>
      </c>
      <c r="R213">
        <v>5.2727245888897754</v>
      </c>
      <c r="S213">
        <v>0.2109467707912458</v>
      </c>
      <c r="T213">
        <v>0.16002729625841</v>
      </c>
      <c r="U213">
        <v>4.4286477380750293</v>
      </c>
      <c r="V213">
        <v>0.20127646963296911</v>
      </c>
      <c r="W213">
        <v>11.39694930376846</v>
      </c>
      <c r="X213">
        <v>0.34924852529902611</v>
      </c>
      <c r="Z213" t="s">
        <v>392</v>
      </c>
      <c r="AA213">
        <v>161</v>
      </c>
      <c r="AB213" t="s">
        <v>4660</v>
      </c>
      <c r="AC213" t="str">
        <f>HYPERLINK("plots/3FT6Y578R04_015_S31P_20251219032831_M5358ACSA301811_RBGEUFRF04/dpll_52046/txpa_54245.png","plot")</f>
        <v>plot</v>
      </c>
    </row>
    <row r="214" spans="1:29" x14ac:dyDescent="0.35">
      <c r="A214" t="s">
        <v>50</v>
      </c>
      <c r="B214">
        <v>52046</v>
      </c>
      <c r="C214" t="s">
        <v>51</v>
      </c>
      <c r="D214">
        <v>54246</v>
      </c>
      <c r="E214" t="s">
        <v>266</v>
      </c>
      <c r="F214">
        <v>11781</v>
      </c>
      <c r="G214">
        <v>0.80836551975481241</v>
      </c>
      <c r="H214">
        <v>0</v>
      </c>
      <c r="I214">
        <v>0</v>
      </c>
      <c r="J214">
        <v>0.71326929394452998</v>
      </c>
      <c r="K214">
        <v>0</v>
      </c>
      <c r="L214">
        <v>0</v>
      </c>
      <c r="M214">
        <v>0.52393148467655282</v>
      </c>
      <c r="N214">
        <v>0</v>
      </c>
      <c r="O214">
        <v>0</v>
      </c>
      <c r="P214">
        <v>0.65345481352846801</v>
      </c>
      <c r="Q214">
        <v>1.4111834818909419</v>
      </c>
      <c r="R214">
        <v>5.1537381910236526</v>
      </c>
      <c r="S214">
        <v>0.20684526466307401</v>
      </c>
      <c r="T214">
        <v>0.1589690490037968</v>
      </c>
      <c r="U214">
        <v>4.4286547017231142</v>
      </c>
      <c r="V214">
        <v>0.20128359324518649</v>
      </c>
      <c r="W214">
        <v>11.403382553093969</v>
      </c>
      <c r="X214">
        <v>0.35138569746198212</v>
      </c>
      <c r="Z214" t="s">
        <v>392</v>
      </c>
      <c r="AA214">
        <v>161</v>
      </c>
      <c r="AB214" t="s">
        <v>4661</v>
      </c>
      <c r="AC214" t="str">
        <f>HYPERLINK("plots/3FT6Y578R04_015_S31P_20251219032831_M5358ACSA301811_RBGEUFRF04/dpll_52046/txpa_54246.png","plot")</f>
        <v>plot</v>
      </c>
    </row>
    <row r="215" spans="1:29" x14ac:dyDescent="0.35">
      <c r="A215" t="s">
        <v>50</v>
      </c>
      <c r="B215">
        <v>52046</v>
      </c>
      <c r="C215" t="s">
        <v>51</v>
      </c>
      <c r="D215">
        <v>54247</v>
      </c>
      <c r="E215" t="s">
        <v>267</v>
      </c>
      <c r="F215">
        <v>11781</v>
      </c>
      <c r="G215">
        <v>0.81021886979435864</v>
      </c>
      <c r="H215">
        <v>0</v>
      </c>
      <c r="I215">
        <v>0</v>
      </c>
      <c r="J215">
        <v>0.70971320844689645</v>
      </c>
      <c r="K215">
        <v>0</v>
      </c>
      <c r="L215">
        <v>0</v>
      </c>
      <c r="M215">
        <v>0.51936588770505288</v>
      </c>
      <c r="N215">
        <v>0</v>
      </c>
      <c r="O215">
        <v>0</v>
      </c>
      <c r="P215">
        <v>0.65645461697084784</v>
      </c>
      <c r="Q215">
        <v>1.4117150419201701</v>
      </c>
      <c r="R215">
        <v>5.1246818904123863</v>
      </c>
      <c r="S215">
        <v>0.2055345622202481</v>
      </c>
      <c r="T215">
        <v>0.15834130894711601</v>
      </c>
      <c r="U215">
        <v>4.4286210779220783</v>
      </c>
      <c r="V215">
        <v>0.20126420786155011</v>
      </c>
      <c r="W215">
        <v>11.376632881079701</v>
      </c>
      <c r="X215">
        <v>0.35068019300810932</v>
      </c>
      <c r="Z215" t="s">
        <v>392</v>
      </c>
      <c r="AA215">
        <v>161</v>
      </c>
      <c r="AB215" t="s">
        <v>4662</v>
      </c>
      <c r="AC215" t="str">
        <f>HYPERLINK("plots/3FT6Y578R04_015_S31P_20251219032831_M5358ACSA301811_RBGEUFRF04/dpll_52046/txpa_54247.png","plot")</f>
        <v>plot</v>
      </c>
    </row>
    <row r="216" spans="1:29" x14ac:dyDescent="0.35">
      <c r="A216" t="s">
        <v>50</v>
      </c>
      <c r="B216">
        <v>52046</v>
      </c>
      <c r="C216" t="s">
        <v>51</v>
      </c>
      <c r="D216">
        <v>54248</v>
      </c>
      <c r="E216" t="s">
        <v>268</v>
      </c>
      <c r="F216">
        <v>11781</v>
      </c>
      <c r="G216">
        <v>0.81295343067096248</v>
      </c>
      <c r="H216">
        <v>0</v>
      </c>
      <c r="I216">
        <v>0</v>
      </c>
      <c r="J216">
        <v>0.71849269700301521</v>
      </c>
      <c r="K216">
        <v>0</v>
      </c>
      <c r="L216">
        <v>0</v>
      </c>
      <c r="M216">
        <v>0.52854071636161082</v>
      </c>
      <c r="N216">
        <v>0</v>
      </c>
      <c r="O216">
        <v>0</v>
      </c>
      <c r="P216">
        <v>0.66089328043968742</v>
      </c>
      <c r="Q216">
        <v>1.423933228000408</v>
      </c>
      <c r="R216">
        <v>5.0876831137401259</v>
      </c>
      <c r="S216">
        <v>0.20527402168817299</v>
      </c>
      <c r="T216">
        <v>0.15835568883602319</v>
      </c>
      <c r="U216">
        <v>4.4286192746795683</v>
      </c>
      <c r="V216">
        <v>0.20126129812424351</v>
      </c>
      <c r="W216">
        <v>11.39374125311943</v>
      </c>
      <c r="X216">
        <v>0.35252037705662748</v>
      </c>
      <c r="Z216" t="s">
        <v>392</v>
      </c>
      <c r="AA216">
        <v>161</v>
      </c>
      <c r="AB216" t="s">
        <v>4663</v>
      </c>
      <c r="AC216" t="str">
        <f>HYPERLINK("plots/3FT6Y578R04_015_S31P_20251219032831_M5358ACSA301811_RBGEUFRF04/dpll_52046/txpa_54248.png","plot")</f>
        <v>plot</v>
      </c>
    </row>
    <row r="217" spans="1:29" x14ac:dyDescent="0.35">
      <c r="A217" t="s">
        <v>50</v>
      </c>
      <c r="B217">
        <v>52046</v>
      </c>
      <c r="C217" t="s">
        <v>51</v>
      </c>
      <c r="D217">
        <v>54249</v>
      </c>
      <c r="E217" t="s">
        <v>269</v>
      </c>
      <c r="F217">
        <v>11782</v>
      </c>
      <c r="G217">
        <v>0.81066631306234305</v>
      </c>
      <c r="H217">
        <v>0</v>
      </c>
      <c r="I217">
        <v>0</v>
      </c>
      <c r="J217">
        <v>0.71050867286450381</v>
      </c>
      <c r="K217">
        <v>0</v>
      </c>
      <c r="L217">
        <v>0</v>
      </c>
      <c r="M217">
        <v>0.52097214441569883</v>
      </c>
      <c r="N217">
        <v>0</v>
      </c>
      <c r="O217">
        <v>0</v>
      </c>
      <c r="P217">
        <v>0.65717987113409282</v>
      </c>
      <c r="Q217">
        <v>1.4089028537327311</v>
      </c>
      <c r="R217">
        <v>5.1602581255231303</v>
      </c>
      <c r="S217">
        <v>0.204807876354861</v>
      </c>
      <c r="T217">
        <v>0.15804007341513401</v>
      </c>
      <c r="U217">
        <v>4.4286477380750293</v>
      </c>
      <c r="V217">
        <v>0.20127646963296911</v>
      </c>
      <c r="W217">
        <v>11.39979256187404</v>
      </c>
      <c r="X217">
        <v>0.34980976498690569</v>
      </c>
      <c r="Z217" t="s">
        <v>392</v>
      </c>
      <c r="AA217">
        <v>161</v>
      </c>
      <c r="AB217" t="s">
        <v>4664</v>
      </c>
      <c r="AC217" t="str">
        <f>HYPERLINK("plots/3FT6Y578R04_015_S31P_20251219032831_M5358ACSA301811_RBGEUFRF04/dpll_52046/txpa_54249.png","plot")</f>
        <v>plot</v>
      </c>
    </row>
    <row r="218" spans="1:29" x14ac:dyDescent="0.35">
      <c r="A218" t="s">
        <v>50</v>
      </c>
      <c r="B218">
        <v>52046</v>
      </c>
      <c r="C218" t="s">
        <v>51</v>
      </c>
      <c r="D218">
        <v>54250</v>
      </c>
      <c r="E218" t="s">
        <v>270</v>
      </c>
      <c r="F218">
        <v>11781</v>
      </c>
      <c r="G218">
        <v>0.80302750507984144</v>
      </c>
      <c r="H218">
        <v>0</v>
      </c>
      <c r="I218">
        <v>0</v>
      </c>
      <c r="J218">
        <v>0.70361713575659812</v>
      </c>
      <c r="K218">
        <v>0</v>
      </c>
      <c r="L218">
        <v>0</v>
      </c>
      <c r="M218">
        <v>0.51559097584632052</v>
      </c>
      <c r="N218">
        <v>0</v>
      </c>
      <c r="O218">
        <v>0</v>
      </c>
      <c r="P218">
        <v>0.64485317391475472</v>
      </c>
      <c r="Q218">
        <v>1.3965953887607181</v>
      </c>
      <c r="R218">
        <v>5.1927593380753621</v>
      </c>
      <c r="S218">
        <v>0.2085956860722265</v>
      </c>
      <c r="T218">
        <v>0.15928725314886619</v>
      </c>
      <c r="U218">
        <v>4.4286701896273666</v>
      </c>
      <c r="V218">
        <v>0.20127025814248481</v>
      </c>
      <c r="W218">
        <v>11.377819703250999</v>
      </c>
      <c r="X218">
        <v>0.35004170173290128</v>
      </c>
      <c r="Z218" t="s">
        <v>392</v>
      </c>
      <c r="AA218">
        <v>161</v>
      </c>
      <c r="AB218" t="s">
        <v>4665</v>
      </c>
      <c r="AC218" t="str">
        <f>HYPERLINK("plots/3FT6Y578R04_015_S31P_20251219032831_M5358ACSA301811_RBGEUFRF04/dpll_52046/txpa_54250.png","plot")</f>
        <v>plot</v>
      </c>
    </row>
    <row r="219" spans="1:29" x14ac:dyDescent="0.35">
      <c r="A219" t="s">
        <v>50</v>
      </c>
      <c r="B219">
        <v>52046</v>
      </c>
      <c r="C219" t="s">
        <v>51</v>
      </c>
      <c r="D219">
        <v>54251</v>
      </c>
      <c r="E219" t="s">
        <v>271</v>
      </c>
      <c r="F219">
        <v>11782</v>
      </c>
      <c r="G219">
        <v>0.78810761529212048</v>
      </c>
      <c r="H219">
        <v>0</v>
      </c>
      <c r="I219">
        <v>0</v>
      </c>
      <c r="J219">
        <v>0.70069116669582976</v>
      </c>
      <c r="K219">
        <v>0</v>
      </c>
      <c r="L219">
        <v>0</v>
      </c>
      <c r="M219">
        <v>0.50998043699413032</v>
      </c>
      <c r="N219">
        <v>0</v>
      </c>
      <c r="O219">
        <v>0</v>
      </c>
      <c r="P219">
        <v>0.621113613281433</v>
      </c>
      <c r="Q219">
        <v>1.395105311526059</v>
      </c>
      <c r="R219">
        <v>5.7351897003002836</v>
      </c>
      <c r="S219">
        <v>0.21930601532704899</v>
      </c>
      <c r="T219">
        <v>0.16450285632009631</v>
      </c>
      <c r="U219">
        <v>4.4286477380750293</v>
      </c>
      <c r="V219">
        <v>0.20127646963296911</v>
      </c>
      <c r="W219">
        <v>11.91361968256663</v>
      </c>
      <c r="X219">
        <v>0.35629889423931838</v>
      </c>
      <c r="Z219" t="s">
        <v>392</v>
      </c>
      <c r="AA219">
        <v>161</v>
      </c>
      <c r="AB219" t="s">
        <v>4666</v>
      </c>
      <c r="AC219" t="str">
        <f>HYPERLINK("plots/3FT6Y578R04_015_S31P_20251219032831_M5358ACSA301811_RBGEUFRF04/dpll_52046/txpa_54251.png","plot")</f>
        <v>plot</v>
      </c>
    </row>
    <row r="220" spans="1:29" x14ac:dyDescent="0.35">
      <c r="A220" t="s">
        <v>50</v>
      </c>
      <c r="B220">
        <v>52046</v>
      </c>
      <c r="C220" t="s">
        <v>51</v>
      </c>
      <c r="D220">
        <v>54252</v>
      </c>
      <c r="E220" t="s">
        <v>272</v>
      </c>
      <c r="F220">
        <v>11782</v>
      </c>
      <c r="G220">
        <v>0.80398785818237306</v>
      </c>
      <c r="H220">
        <v>0</v>
      </c>
      <c r="I220">
        <v>0</v>
      </c>
      <c r="J220">
        <v>0.7122393217322579</v>
      </c>
      <c r="K220">
        <v>0</v>
      </c>
      <c r="L220">
        <v>0</v>
      </c>
      <c r="M220">
        <v>0.52321276148775098</v>
      </c>
      <c r="N220">
        <v>0</v>
      </c>
      <c r="O220">
        <v>0</v>
      </c>
      <c r="P220">
        <v>0.64639647610467965</v>
      </c>
      <c r="Q220">
        <v>1.4271407967841589</v>
      </c>
      <c r="R220">
        <v>5.6238317053737941</v>
      </c>
      <c r="S220">
        <v>0.21244680225579149</v>
      </c>
      <c r="T220">
        <v>0.1619388856532939</v>
      </c>
      <c r="U220">
        <v>4.4286477380750293</v>
      </c>
      <c r="V220">
        <v>0.20127646963296911</v>
      </c>
      <c r="W220">
        <v>11.94413556696656</v>
      </c>
      <c r="X220">
        <v>0.35728134240149151</v>
      </c>
      <c r="Z220" t="s">
        <v>392</v>
      </c>
      <c r="AA220">
        <v>161</v>
      </c>
      <c r="AB220" t="s">
        <v>4667</v>
      </c>
      <c r="AC220" t="str">
        <f>HYPERLINK("plots/3FT6Y578R04_015_S31P_20251219032831_M5358ACSA301811_RBGEUFRF04/dpll_52046/txpa_54252.png","plot")</f>
        <v>plot</v>
      </c>
    </row>
    <row r="221" spans="1:29" x14ac:dyDescent="0.35">
      <c r="A221" t="s">
        <v>50</v>
      </c>
      <c r="B221">
        <v>52046</v>
      </c>
      <c r="C221" t="s">
        <v>51</v>
      </c>
      <c r="D221">
        <v>54253</v>
      </c>
      <c r="E221" t="s">
        <v>273</v>
      </c>
      <c r="F221">
        <v>11782</v>
      </c>
      <c r="G221">
        <v>0.79901557454936012</v>
      </c>
      <c r="H221">
        <v>0</v>
      </c>
      <c r="I221">
        <v>0</v>
      </c>
      <c r="J221">
        <v>0.70509557451959182</v>
      </c>
      <c r="K221">
        <v>0</v>
      </c>
      <c r="L221">
        <v>0</v>
      </c>
      <c r="M221">
        <v>0.51586730276678527</v>
      </c>
      <c r="N221">
        <v>0</v>
      </c>
      <c r="O221">
        <v>0</v>
      </c>
      <c r="P221">
        <v>0.63842588837244407</v>
      </c>
      <c r="Q221">
        <v>1.4005020896618541</v>
      </c>
      <c r="R221">
        <v>5.7536167400368434</v>
      </c>
      <c r="S221">
        <v>0.21212983564996629</v>
      </c>
      <c r="T221">
        <v>0.16067072366122029</v>
      </c>
      <c r="U221">
        <v>4.4286477380750293</v>
      </c>
      <c r="V221">
        <v>0.20127646963296911</v>
      </c>
      <c r="W221">
        <v>11.95594715158717</v>
      </c>
      <c r="X221">
        <v>0.35279426997367003</v>
      </c>
      <c r="Z221" t="s">
        <v>392</v>
      </c>
      <c r="AA221">
        <v>161</v>
      </c>
      <c r="AB221" t="s">
        <v>4668</v>
      </c>
      <c r="AC221" t="str">
        <f>HYPERLINK("plots/3FT6Y578R04_015_S31P_20251219032831_M5358ACSA301811_RBGEUFRF04/dpll_52046/txpa_54253.png","plot")</f>
        <v>plot</v>
      </c>
    </row>
    <row r="222" spans="1:29" x14ac:dyDescent="0.35">
      <c r="A222" t="s">
        <v>50</v>
      </c>
      <c r="B222">
        <v>52046</v>
      </c>
      <c r="C222" t="s">
        <v>51</v>
      </c>
      <c r="D222">
        <v>54254</v>
      </c>
      <c r="E222" t="s">
        <v>274</v>
      </c>
      <c r="F222">
        <v>11781</v>
      </c>
      <c r="G222">
        <v>0.81022130428478023</v>
      </c>
      <c r="H222">
        <v>0</v>
      </c>
      <c r="I222">
        <v>0</v>
      </c>
      <c r="J222">
        <v>0.71412381196962937</v>
      </c>
      <c r="K222">
        <v>0</v>
      </c>
      <c r="L222">
        <v>0</v>
      </c>
      <c r="M222">
        <v>0.52481145902495452</v>
      </c>
      <c r="N222">
        <v>0</v>
      </c>
      <c r="O222">
        <v>0</v>
      </c>
      <c r="P222">
        <v>0.65645856191693042</v>
      </c>
      <c r="Q222">
        <v>1.4291385092356239</v>
      </c>
      <c r="R222">
        <v>5.6329257791509653</v>
      </c>
      <c r="S222">
        <v>0.20808950248423419</v>
      </c>
      <c r="T222">
        <v>0.159658539715088</v>
      </c>
      <c r="U222">
        <v>4.4286547017231142</v>
      </c>
      <c r="V222">
        <v>0.20128359324518649</v>
      </c>
      <c r="W222">
        <v>11.962086757490869</v>
      </c>
      <c r="X222">
        <v>0.3550414348064424</v>
      </c>
      <c r="Z222" t="s">
        <v>392</v>
      </c>
      <c r="AA222">
        <v>161</v>
      </c>
      <c r="AB222" t="s">
        <v>4669</v>
      </c>
      <c r="AC222" t="str">
        <f>HYPERLINK("plots/3FT6Y578R04_015_S31P_20251219032831_M5358ACSA301811_RBGEUFRF04/dpll_52046/txpa_54254.png","plot")</f>
        <v>plot</v>
      </c>
    </row>
    <row r="223" spans="1:29" x14ac:dyDescent="0.35">
      <c r="A223" t="s">
        <v>50</v>
      </c>
      <c r="B223">
        <v>52046</v>
      </c>
      <c r="C223" t="s">
        <v>51</v>
      </c>
      <c r="D223">
        <v>54255</v>
      </c>
      <c r="E223" t="s">
        <v>275</v>
      </c>
      <c r="F223">
        <v>11781</v>
      </c>
      <c r="G223">
        <v>0.8119383831090522</v>
      </c>
      <c r="H223">
        <v>0</v>
      </c>
      <c r="I223">
        <v>0</v>
      </c>
      <c r="J223">
        <v>0.71038744463517201</v>
      </c>
      <c r="K223">
        <v>0</v>
      </c>
      <c r="L223">
        <v>0</v>
      </c>
      <c r="M223">
        <v>0.520122564645773</v>
      </c>
      <c r="N223">
        <v>0</v>
      </c>
      <c r="O223">
        <v>0</v>
      </c>
      <c r="P223">
        <v>0.65924393796574199</v>
      </c>
      <c r="Q223">
        <v>1.429658479485848</v>
      </c>
      <c r="R223">
        <v>5.6030299962122632</v>
      </c>
      <c r="S223">
        <v>0.20686124913694681</v>
      </c>
      <c r="T223">
        <v>0.15909574186735059</v>
      </c>
      <c r="U223">
        <v>4.4286210779220783</v>
      </c>
      <c r="V223">
        <v>0.20126420786155011</v>
      </c>
      <c r="W223">
        <v>11.93444567269332</v>
      </c>
      <c r="X223">
        <v>0.35438536639253942</v>
      </c>
      <c r="Z223" t="s">
        <v>392</v>
      </c>
      <c r="AA223">
        <v>161</v>
      </c>
      <c r="AB223" t="s">
        <v>4670</v>
      </c>
      <c r="AC223" t="str">
        <f>HYPERLINK("plots/3FT6Y578R04_015_S31P_20251219032831_M5358ACSA301811_RBGEUFRF04/dpll_52046/txpa_54255.png","plot")</f>
        <v>plot</v>
      </c>
    </row>
    <row r="224" spans="1:29" x14ac:dyDescent="0.35">
      <c r="A224" t="s">
        <v>50</v>
      </c>
      <c r="B224">
        <v>52046</v>
      </c>
      <c r="C224" t="s">
        <v>51</v>
      </c>
      <c r="D224">
        <v>54256</v>
      </c>
      <c r="E224" t="s">
        <v>276</v>
      </c>
      <c r="F224">
        <v>11781</v>
      </c>
      <c r="G224">
        <v>0.81481867207094238</v>
      </c>
      <c r="H224">
        <v>0</v>
      </c>
      <c r="I224">
        <v>0</v>
      </c>
      <c r="J224">
        <v>0.71933748679920162</v>
      </c>
      <c r="K224">
        <v>0</v>
      </c>
      <c r="L224">
        <v>0</v>
      </c>
      <c r="M224">
        <v>0.52952387161659409</v>
      </c>
      <c r="N224">
        <v>0</v>
      </c>
      <c r="O224">
        <v>0</v>
      </c>
      <c r="P224">
        <v>0.66392946835545397</v>
      </c>
      <c r="Q224">
        <v>1.4420793327539769</v>
      </c>
      <c r="R224">
        <v>5.565701503960522</v>
      </c>
      <c r="S224">
        <v>0.20648344312426159</v>
      </c>
      <c r="T224">
        <v>0.1589973879924006</v>
      </c>
      <c r="U224">
        <v>4.4286192746795683</v>
      </c>
      <c r="V224">
        <v>0.20126129812424351</v>
      </c>
      <c r="W224">
        <v>11.95212183261183</v>
      </c>
      <c r="X224">
        <v>0.35619551742788108</v>
      </c>
      <c r="Z224" t="s">
        <v>392</v>
      </c>
      <c r="AA224">
        <v>161</v>
      </c>
      <c r="AB224" t="s">
        <v>4671</v>
      </c>
      <c r="AC224" t="str">
        <f>HYPERLINK("plots/3FT6Y578R04_015_S31P_20251219032831_M5358ACSA301811_RBGEUFRF04/dpll_52046/txpa_54256.png","plot")</f>
        <v>plot</v>
      </c>
    </row>
    <row r="225" spans="1:29" x14ac:dyDescent="0.35">
      <c r="A225" t="s">
        <v>50</v>
      </c>
      <c r="B225">
        <v>52046</v>
      </c>
      <c r="C225" t="s">
        <v>51</v>
      </c>
      <c r="D225">
        <v>54257</v>
      </c>
      <c r="E225" t="s">
        <v>277</v>
      </c>
      <c r="F225">
        <v>11782</v>
      </c>
      <c r="G225">
        <v>0.81246263455627721</v>
      </c>
      <c r="H225">
        <v>0</v>
      </c>
      <c r="I225">
        <v>0</v>
      </c>
      <c r="J225">
        <v>0.71119572012846921</v>
      </c>
      <c r="K225">
        <v>0</v>
      </c>
      <c r="L225">
        <v>0</v>
      </c>
      <c r="M225">
        <v>0.52174113516358278</v>
      </c>
      <c r="N225">
        <v>0</v>
      </c>
      <c r="O225">
        <v>0</v>
      </c>
      <c r="P225">
        <v>0.66009553255012687</v>
      </c>
      <c r="Q225">
        <v>1.426799620108492</v>
      </c>
      <c r="R225">
        <v>5.6397330861554549</v>
      </c>
      <c r="S225">
        <v>0.20606896971772379</v>
      </c>
      <c r="T225">
        <v>0.15871021450130909</v>
      </c>
      <c r="U225">
        <v>4.4286477380750293</v>
      </c>
      <c r="V225">
        <v>0.20127646963296911</v>
      </c>
      <c r="W225">
        <v>11.95852599643524</v>
      </c>
      <c r="X225">
        <v>0.35347002827513591</v>
      </c>
      <c r="Z225" t="s">
        <v>392</v>
      </c>
      <c r="AA225">
        <v>161</v>
      </c>
      <c r="AB225" t="s">
        <v>4672</v>
      </c>
      <c r="AC225" t="str">
        <f>HYPERLINK("plots/3FT6Y578R04_015_S31P_20251219032831_M5358ACSA301811_RBGEUFRF04/dpll_52046/txpa_54257.png","plot")</f>
        <v>plot</v>
      </c>
    </row>
    <row r="226" spans="1:29" x14ac:dyDescent="0.35">
      <c r="A226" t="s">
        <v>50</v>
      </c>
      <c r="B226">
        <v>52046</v>
      </c>
      <c r="C226" t="s">
        <v>51</v>
      </c>
      <c r="D226">
        <v>54258</v>
      </c>
      <c r="E226" t="s">
        <v>278</v>
      </c>
      <c r="F226">
        <v>11781</v>
      </c>
      <c r="G226">
        <v>0.80461944912160022</v>
      </c>
      <c r="H226">
        <v>0</v>
      </c>
      <c r="I226">
        <v>0</v>
      </c>
      <c r="J226">
        <v>0.70402196329706246</v>
      </c>
      <c r="K226">
        <v>0</v>
      </c>
      <c r="L226">
        <v>0</v>
      </c>
      <c r="M226">
        <v>0.51610302242152695</v>
      </c>
      <c r="N226">
        <v>0</v>
      </c>
      <c r="O226">
        <v>0</v>
      </c>
      <c r="P226">
        <v>0.64741245790474744</v>
      </c>
      <c r="Q226">
        <v>1.413768374921228</v>
      </c>
      <c r="R226">
        <v>5.6758951090803391</v>
      </c>
      <c r="S226">
        <v>0.20998215526887981</v>
      </c>
      <c r="T226">
        <v>0.16007003761985911</v>
      </c>
      <c r="U226">
        <v>4.4286701896273666</v>
      </c>
      <c r="V226">
        <v>0.20127025814248481</v>
      </c>
      <c r="W226">
        <v>11.937008966131909</v>
      </c>
      <c r="X226">
        <v>0.35364485171806193</v>
      </c>
      <c r="Z226" t="s">
        <v>392</v>
      </c>
      <c r="AA226">
        <v>161</v>
      </c>
      <c r="AB226" t="s">
        <v>4673</v>
      </c>
      <c r="AC226" t="str">
        <f>HYPERLINK("plots/3FT6Y578R04_015_S31P_20251219032831_M5358ACSA301811_RBGEUFRF04/dpll_52046/txpa_54258.png","plot")</f>
        <v>plot</v>
      </c>
    </row>
    <row r="227" spans="1:29" x14ac:dyDescent="0.35">
      <c r="A227" t="s">
        <v>50</v>
      </c>
      <c r="B227">
        <v>52046</v>
      </c>
      <c r="C227" t="s">
        <v>51</v>
      </c>
      <c r="D227">
        <v>55146</v>
      </c>
      <c r="E227" t="s">
        <v>279</v>
      </c>
      <c r="F227">
        <v>11782</v>
      </c>
      <c r="G227">
        <v>-1.1550890715583319E-2</v>
      </c>
      <c r="H227">
        <v>0.20995131494833649</v>
      </c>
      <c r="I227">
        <v>0.21078280530456761</v>
      </c>
      <c r="J227">
        <v>-1.151854998186135E-2</v>
      </c>
      <c r="K227">
        <v>0.21123054319286139</v>
      </c>
      <c r="L227">
        <v>0.21227727531968429</v>
      </c>
      <c r="M227">
        <v>-7.654637806181583E-3</v>
      </c>
      <c r="N227">
        <v>0.2127271480625206</v>
      </c>
      <c r="O227">
        <v>0.21378129646719121</v>
      </c>
      <c r="P227">
        <v>1.3342307632334901E-4</v>
      </c>
      <c r="Q227">
        <v>-0.26092196737929058</v>
      </c>
      <c r="R227">
        <v>-10.183331333899231</v>
      </c>
      <c r="S227">
        <v>4.5461186921217136</v>
      </c>
      <c r="T227">
        <v>3.490558846219201</v>
      </c>
      <c r="U227">
        <v>4.4286477380750293</v>
      </c>
      <c r="V227">
        <v>0.20127646963296911</v>
      </c>
      <c r="W227">
        <v>-11.33886281454761</v>
      </c>
      <c r="X227">
        <v>4.5466149526409234</v>
      </c>
      <c r="Z227" t="s">
        <v>392</v>
      </c>
      <c r="AA227">
        <v>161</v>
      </c>
      <c r="AB227" t="s">
        <v>4674</v>
      </c>
      <c r="AC227" t="str">
        <f>HYPERLINK("plots/3FT6Y578R04_015_S31P_20251219032831_M5358ACSA301811_RBGEUFRF04/dpll_52046/txpa_55146.png","plot")</f>
        <v>plot</v>
      </c>
    </row>
    <row r="228" spans="1:29" x14ac:dyDescent="0.35">
      <c r="A228" t="s">
        <v>50</v>
      </c>
      <c r="B228">
        <v>52046</v>
      </c>
      <c r="C228" t="s">
        <v>51</v>
      </c>
      <c r="D228">
        <v>55147</v>
      </c>
      <c r="E228" t="s">
        <v>280</v>
      </c>
      <c r="F228">
        <v>11782</v>
      </c>
      <c r="G228">
        <v>0.24691555049778449</v>
      </c>
      <c r="H228">
        <v>3.653346210999501E-163</v>
      </c>
      <c r="I228">
        <v>3.6787418648992002E-163</v>
      </c>
      <c r="J228">
        <v>0.22339275673679021</v>
      </c>
      <c r="K228">
        <v>3.6832622212031609E-133</v>
      </c>
      <c r="L228">
        <v>3.7051864010912752E-133</v>
      </c>
      <c r="M228">
        <v>0.15078813459194779</v>
      </c>
      <c r="N228">
        <v>7.0115037639374093E-132</v>
      </c>
      <c r="O228">
        <v>7.0532389053894174E-132</v>
      </c>
      <c r="P228">
        <v>6.0967289077623991E-2</v>
      </c>
      <c r="Q228">
        <v>1.4165416130474831</v>
      </c>
      <c r="R228">
        <v>-28.449690992654141</v>
      </c>
      <c r="S228">
        <v>1.118911739755557</v>
      </c>
      <c r="T228">
        <v>0.90956632608318488</v>
      </c>
      <c r="U228">
        <v>4.4286477380750293</v>
      </c>
      <c r="V228">
        <v>0.20127646963296911</v>
      </c>
      <c r="W228">
        <v>-22.176327182142249</v>
      </c>
      <c r="X228">
        <v>1.154712590550051</v>
      </c>
      <c r="Z228" t="s">
        <v>392</v>
      </c>
      <c r="AA228">
        <v>161</v>
      </c>
      <c r="AB228" t="s">
        <v>4675</v>
      </c>
      <c r="AC228" t="str">
        <f>HYPERLINK("plots/3FT6Y578R04_015_S31P_20251219032831_M5358ACSA301811_RBGEUFRF04/dpll_52046/txpa_55147.png","plot")</f>
        <v>plot</v>
      </c>
    </row>
    <row r="229" spans="1:29" x14ac:dyDescent="0.35">
      <c r="A229" t="s">
        <v>50</v>
      </c>
      <c r="B229">
        <v>52046</v>
      </c>
      <c r="C229" t="s">
        <v>51</v>
      </c>
      <c r="D229">
        <v>55148</v>
      </c>
      <c r="E229" t="s">
        <v>281</v>
      </c>
      <c r="F229">
        <v>11782</v>
      </c>
      <c r="G229">
        <v>0.28133034637391469</v>
      </c>
      <c r="H229">
        <v>3.1497782557056137E-213</v>
      </c>
      <c r="I229">
        <v>3.2791325988557418E-213</v>
      </c>
      <c r="J229">
        <v>0.25736138364132533</v>
      </c>
      <c r="K229">
        <v>1.4290051589301349E-177</v>
      </c>
      <c r="L229">
        <v>1.4922875707056199E-177</v>
      </c>
      <c r="M229">
        <v>0.17398968531700931</v>
      </c>
      <c r="N229">
        <v>3.1298767805067431E-175</v>
      </c>
      <c r="O229">
        <v>3.2684810045662589E-175</v>
      </c>
      <c r="P229">
        <v>7.9146763790866811E-2</v>
      </c>
      <c r="Q229">
        <v>1.608467262411226</v>
      </c>
      <c r="R229">
        <v>-29.196485587539591</v>
      </c>
      <c r="S229">
        <v>1.1042449698556001</v>
      </c>
      <c r="T229">
        <v>0.89309171067047366</v>
      </c>
      <c r="U229">
        <v>4.4286477380750293</v>
      </c>
      <c r="V229">
        <v>0.20127646963296911</v>
      </c>
      <c r="W229">
        <v>-22.073150684094379</v>
      </c>
      <c r="X229">
        <v>1.150770317781673</v>
      </c>
      <c r="Z229" t="s">
        <v>392</v>
      </c>
      <c r="AA229">
        <v>161</v>
      </c>
      <c r="AB229" t="s">
        <v>4676</v>
      </c>
      <c r="AC229" t="str">
        <f>HYPERLINK("plots/3FT6Y578R04_015_S31P_20251219032831_M5358ACSA301811_RBGEUFRF04/dpll_52046/txpa_55148.png","plot")</f>
        <v>plot</v>
      </c>
    </row>
    <row r="230" spans="1:29" x14ac:dyDescent="0.35">
      <c r="A230" t="s">
        <v>50</v>
      </c>
      <c r="B230">
        <v>52046</v>
      </c>
      <c r="C230" t="s">
        <v>51</v>
      </c>
      <c r="D230">
        <v>55149</v>
      </c>
      <c r="E230" t="s">
        <v>282</v>
      </c>
      <c r="F230">
        <v>11782</v>
      </c>
      <c r="G230">
        <v>0.25606602184957927</v>
      </c>
      <c r="H230">
        <v>9.5170592520019302E-176</v>
      </c>
      <c r="I230">
        <v>9.6502980815299573E-176</v>
      </c>
      <c r="J230">
        <v>0.23068615516365731</v>
      </c>
      <c r="K230">
        <v>4.171261164808102E-142</v>
      </c>
      <c r="L230">
        <v>4.2086157424033987E-142</v>
      </c>
      <c r="M230">
        <v>0.15537464985362709</v>
      </c>
      <c r="N230">
        <v>2.787044835064027E-140</v>
      </c>
      <c r="O230">
        <v>2.8120034455272868E-140</v>
      </c>
      <c r="P230">
        <v>6.5569807545869205E-2</v>
      </c>
      <c r="Q230">
        <v>1.4654330734040291</v>
      </c>
      <c r="R230">
        <v>-28.53233530497555</v>
      </c>
      <c r="S230">
        <v>1.1134277494924021</v>
      </c>
      <c r="T230">
        <v>0.89828476141073299</v>
      </c>
      <c r="U230">
        <v>4.4286477380750293</v>
      </c>
      <c r="V230">
        <v>0.20127646963296911</v>
      </c>
      <c r="W230">
        <v>-22.042448439144462</v>
      </c>
      <c r="X230">
        <v>1.151879477674008</v>
      </c>
      <c r="Z230" t="s">
        <v>392</v>
      </c>
      <c r="AA230">
        <v>161</v>
      </c>
      <c r="AB230" t="s">
        <v>4677</v>
      </c>
      <c r="AC230" t="str">
        <f>HYPERLINK("plots/3FT6Y578R04_015_S31P_20251219032831_M5358ACSA301811_RBGEUFRF04/dpll_52046/txpa_55149.png","plot")</f>
        <v>plot</v>
      </c>
    </row>
    <row r="231" spans="1:29" x14ac:dyDescent="0.35">
      <c r="A231" t="s">
        <v>50</v>
      </c>
      <c r="B231">
        <v>52046</v>
      </c>
      <c r="C231" t="s">
        <v>51</v>
      </c>
      <c r="D231">
        <v>55150</v>
      </c>
      <c r="E231" t="s">
        <v>283</v>
      </c>
      <c r="F231">
        <v>11782</v>
      </c>
      <c r="G231">
        <v>0.27578314040817942</v>
      </c>
      <c r="H231">
        <v>1.1947495493952059E-204</v>
      </c>
      <c r="I231">
        <v>1.23620004396606E-204</v>
      </c>
      <c r="J231">
        <v>0.25061549577949188</v>
      </c>
      <c r="K231">
        <v>3.441514169842116E-168</v>
      </c>
      <c r="L231">
        <v>3.5500461528178079E-168</v>
      </c>
      <c r="M231">
        <v>0.16963364413986651</v>
      </c>
      <c r="N231">
        <v>6.8442860062045443E-167</v>
      </c>
      <c r="O231">
        <v>7.0601281895131305E-167</v>
      </c>
      <c r="P231">
        <v>7.6056340533397604E-2</v>
      </c>
      <c r="Q231">
        <v>1.5785126610378271</v>
      </c>
      <c r="R231">
        <v>-28.970807383067829</v>
      </c>
      <c r="S231">
        <v>1.1073315573180269</v>
      </c>
      <c r="T231">
        <v>0.88847838614580243</v>
      </c>
      <c r="U231">
        <v>4.4286477380750293</v>
      </c>
      <c r="V231">
        <v>0.20127646963296911</v>
      </c>
      <c r="W231">
        <v>-21.98013085723986</v>
      </c>
      <c r="X231">
        <v>1.1520553983626129</v>
      </c>
      <c r="Z231" t="s">
        <v>392</v>
      </c>
      <c r="AA231">
        <v>161</v>
      </c>
      <c r="AB231" t="s">
        <v>4678</v>
      </c>
      <c r="AC231" t="str">
        <f>HYPERLINK("plots/3FT6Y578R04_015_S31P_20251219032831_M5358ACSA301811_RBGEUFRF04/dpll_52046/txpa_55150.png","plot")</f>
        <v>plot</v>
      </c>
    </row>
    <row r="232" spans="1:29" x14ac:dyDescent="0.35">
      <c r="A232" t="s">
        <v>50</v>
      </c>
      <c r="B232">
        <v>52046</v>
      </c>
      <c r="C232" t="s">
        <v>51</v>
      </c>
      <c r="D232">
        <v>55151</v>
      </c>
      <c r="E232" t="s">
        <v>284</v>
      </c>
      <c r="F232">
        <v>11782</v>
      </c>
      <c r="G232">
        <v>0.26615827801070469</v>
      </c>
      <c r="H232">
        <v>3.1130210086396751E-190</v>
      </c>
      <c r="I232">
        <v>3.175657246238058E-190</v>
      </c>
      <c r="J232">
        <v>0.2394477674710801</v>
      </c>
      <c r="K232">
        <v>2.8241874821649658E-153</v>
      </c>
      <c r="L232">
        <v>2.8781166903671111E-153</v>
      </c>
      <c r="M232">
        <v>0.16133420437282789</v>
      </c>
      <c r="N232">
        <v>5.2573546705395951E-151</v>
      </c>
      <c r="O232">
        <v>5.3577463677659787E-151</v>
      </c>
      <c r="P232">
        <v>7.084022895362356E-2</v>
      </c>
      <c r="Q232">
        <v>1.5392006073083631</v>
      </c>
      <c r="R232">
        <v>-28.85858843721056</v>
      </c>
      <c r="S232">
        <v>1.1219539251287081</v>
      </c>
      <c r="T232">
        <v>0.90333391823489728</v>
      </c>
      <c r="U232">
        <v>4.4286477380750293</v>
      </c>
      <c r="V232">
        <v>0.20127646963296911</v>
      </c>
      <c r="W232">
        <v>-22.042011149210659</v>
      </c>
      <c r="X232">
        <v>1.163987333444835</v>
      </c>
      <c r="Z232" t="s">
        <v>392</v>
      </c>
      <c r="AA232">
        <v>161</v>
      </c>
      <c r="AB232" t="s">
        <v>4679</v>
      </c>
      <c r="AC232" t="str">
        <f>HYPERLINK("plots/3FT6Y578R04_015_S31P_20251219032831_M5358ACSA301811_RBGEUFRF04/dpll_52046/txpa_55151.png","plot")</f>
        <v>plot</v>
      </c>
    </row>
    <row r="233" spans="1:29" x14ac:dyDescent="0.35">
      <c r="A233" t="s">
        <v>50</v>
      </c>
      <c r="B233">
        <v>52046</v>
      </c>
      <c r="C233" t="s">
        <v>51</v>
      </c>
      <c r="D233">
        <v>55152</v>
      </c>
      <c r="E233" t="s">
        <v>285</v>
      </c>
      <c r="F233">
        <v>11782</v>
      </c>
      <c r="G233">
        <v>0.26924601395596759</v>
      </c>
      <c r="H233">
        <v>8.5679209997663585E-195</v>
      </c>
      <c r="I233">
        <v>8.7845014092650022E-195</v>
      </c>
      <c r="J233">
        <v>0.24460890849822761</v>
      </c>
      <c r="K233">
        <v>4.5016167530408292E-160</v>
      </c>
      <c r="L233">
        <v>4.6341516625212192E-160</v>
      </c>
      <c r="M233">
        <v>0.165532035564771</v>
      </c>
      <c r="N233">
        <v>6.3653544101451876E-159</v>
      </c>
      <c r="O233">
        <v>6.5527607836418476E-159</v>
      </c>
      <c r="P233">
        <v>7.2493416031177121E-2</v>
      </c>
      <c r="Q233">
        <v>1.5469990041904069</v>
      </c>
      <c r="R233">
        <v>-28.909330423940819</v>
      </c>
      <c r="S233">
        <v>1.11371438040698</v>
      </c>
      <c r="T233">
        <v>0.90295026547517088</v>
      </c>
      <c r="U233">
        <v>4.4286477380750293</v>
      </c>
      <c r="V233">
        <v>0.20127646963296911</v>
      </c>
      <c r="W233">
        <v>-22.058216783228652</v>
      </c>
      <c r="X233">
        <v>1.1564683670306291</v>
      </c>
      <c r="Z233" t="s">
        <v>392</v>
      </c>
      <c r="AA233">
        <v>161</v>
      </c>
      <c r="AB233" t="s">
        <v>4680</v>
      </c>
      <c r="AC233" t="str">
        <f>HYPERLINK("plots/3FT6Y578R04_015_S31P_20251219032831_M5358ACSA301811_RBGEUFRF04/dpll_52046/txpa_55152.png","plot")</f>
        <v>plot</v>
      </c>
    </row>
    <row r="234" spans="1:29" x14ac:dyDescent="0.35">
      <c r="A234" t="s">
        <v>50</v>
      </c>
      <c r="B234">
        <v>52046</v>
      </c>
      <c r="C234" t="s">
        <v>51</v>
      </c>
      <c r="D234">
        <v>55153</v>
      </c>
      <c r="E234" t="s">
        <v>286</v>
      </c>
      <c r="F234">
        <v>11782</v>
      </c>
      <c r="G234">
        <v>0.26696889971968307</v>
      </c>
      <c r="H234">
        <v>2.0036909947991318E-191</v>
      </c>
      <c r="I234">
        <v>2.0501944184927551E-191</v>
      </c>
      <c r="J234">
        <v>0.24216861924399949</v>
      </c>
      <c r="K234">
        <v>7.7203261607519563E-157</v>
      </c>
      <c r="L234">
        <v>7.8915430715750848E-157</v>
      </c>
      <c r="M234">
        <v>0.16359808798883191</v>
      </c>
      <c r="N234">
        <v>3.6193614882852061E-155</v>
      </c>
      <c r="O234">
        <v>3.6996295858076611E-155</v>
      </c>
      <c r="P234">
        <v>7.127239341753823E-2</v>
      </c>
      <c r="Q234">
        <v>1.521041132496824</v>
      </c>
      <c r="R234">
        <v>-28.814588823675638</v>
      </c>
      <c r="S234">
        <v>1.1050935387842129</v>
      </c>
      <c r="T234">
        <v>0.89002884445773256</v>
      </c>
      <c r="U234">
        <v>4.4286477380750293</v>
      </c>
      <c r="V234">
        <v>0.20127646963296911</v>
      </c>
      <c r="W234">
        <v>-22.0784334527245</v>
      </c>
      <c r="X234">
        <v>1.1467619997570899</v>
      </c>
      <c r="Z234" t="s">
        <v>392</v>
      </c>
      <c r="AA234">
        <v>161</v>
      </c>
      <c r="AB234" t="s">
        <v>4681</v>
      </c>
      <c r="AC234" t="str">
        <f>HYPERLINK("plots/3FT6Y578R04_015_S31P_20251219032831_M5358ACSA301811_RBGEUFRF04/dpll_52046/txpa_55153.png","plot")</f>
        <v>plot</v>
      </c>
    </row>
    <row r="235" spans="1:29" x14ac:dyDescent="0.35">
      <c r="A235" t="s">
        <v>50</v>
      </c>
      <c r="B235">
        <v>52046</v>
      </c>
      <c r="C235" t="s">
        <v>51</v>
      </c>
      <c r="D235">
        <v>55154</v>
      </c>
      <c r="E235" t="s">
        <v>287</v>
      </c>
      <c r="F235">
        <v>11782</v>
      </c>
      <c r="G235">
        <v>0.2517911262817053</v>
      </c>
      <c r="H235">
        <v>8.3578496091932452E-170</v>
      </c>
      <c r="I235">
        <v>8.4495109708095219E-170</v>
      </c>
      <c r="J235">
        <v>0.23101887832369819</v>
      </c>
      <c r="K235">
        <v>1.6016351848048349E-142</v>
      </c>
      <c r="L235">
        <v>1.6175877264861591E-142</v>
      </c>
      <c r="M235">
        <v>0.1563163914206161</v>
      </c>
      <c r="N235">
        <v>1.9597477633185771E-141</v>
      </c>
      <c r="O235">
        <v>1.9832177964122119E-141</v>
      </c>
      <c r="P235">
        <v>6.3398771274209662E-2</v>
      </c>
      <c r="Q235">
        <v>1.4568943982557161</v>
      </c>
      <c r="R235">
        <v>-28.652176592568011</v>
      </c>
      <c r="S235">
        <v>1.127040674138482</v>
      </c>
      <c r="T235">
        <v>0.91278260853937443</v>
      </c>
      <c r="U235">
        <v>4.4286477380750293</v>
      </c>
      <c r="V235">
        <v>0.20127646963296911</v>
      </c>
      <c r="W235">
        <v>-22.20010451111866</v>
      </c>
      <c r="X235">
        <v>1.1646103873449549</v>
      </c>
      <c r="Z235" t="s">
        <v>392</v>
      </c>
      <c r="AA235">
        <v>161</v>
      </c>
      <c r="AB235" t="s">
        <v>4682</v>
      </c>
      <c r="AC235" t="str">
        <f>HYPERLINK("plots/3FT6Y578R04_015_S31P_20251219032831_M5358ACSA301811_RBGEUFRF04/dpll_52046/txpa_55154.png","plot")</f>
        <v>plot</v>
      </c>
    </row>
    <row r="236" spans="1:29" x14ac:dyDescent="0.35">
      <c r="A236" t="s">
        <v>50</v>
      </c>
      <c r="B236">
        <v>52046</v>
      </c>
      <c r="C236" t="s">
        <v>51</v>
      </c>
      <c r="D236">
        <v>55155</v>
      </c>
      <c r="E236" t="s">
        <v>288</v>
      </c>
      <c r="F236">
        <v>11782</v>
      </c>
      <c r="G236">
        <v>0.58899988983931595</v>
      </c>
      <c r="H236">
        <v>0</v>
      </c>
      <c r="I236">
        <v>0</v>
      </c>
      <c r="J236">
        <v>0.51730375214428892</v>
      </c>
      <c r="K236">
        <v>0</v>
      </c>
      <c r="L236">
        <v>0</v>
      </c>
      <c r="M236">
        <v>0.36164366029803352</v>
      </c>
      <c r="N236">
        <v>0</v>
      </c>
      <c r="O236">
        <v>0</v>
      </c>
      <c r="P236">
        <v>0.34692087023072632</v>
      </c>
      <c r="Q236">
        <v>0.90075491566704391</v>
      </c>
      <c r="R236">
        <v>-15.420057666102791</v>
      </c>
      <c r="S236">
        <v>0.24874187583391069</v>
      </c>
      <c r="T236">
        <v>0.19242312010979759</v>
      </c>
      <c r="U236">
        <v>4.4286477380750293</v>
      </c>
      <c r="V236">
        <v>0.20127646963296911</v>
      </c>
      <c r="W236">
        <v>-11.430931446273981</v>
      </c>
      <c r="X236">
        <v>0.30781121110135651</v>
      </c>
      <c r="Z236" t="s">
        <v>392</v>
      </c>
      <c r="AA236">
        <v>161</v>
      </c>
      <c r="AB236" t="s">
        <v>4683</v>
      </c>
      <c r="AC236" t="str">
        <f>HYPERLINK("plots/3FT6Y578R04_015_S31P_20251219032831_M5358ACSA301811_RBGEUFRF04/dpll_52046/txpa_55155.png","plot")</f>
        <v>plot</v>
      </c>
    </row>
    <row r="237" spans="1:29" x14ac:dyDescent="0.35">
      <c r="A237" t="s">
        <v>50</v>
      </c>
      <c r="B237">
        <v>52046</v>
      </c>
      <c r="C237" t="s">
        <v>51</v>
      </c>
      <c r="D237">
        <v>55156</v>
      </c>
      <c r="E237" t="s">
        <v>289</v>
      </c>
      <c r="F237">
        <v>11782</v>
      </c>
      <c r="G237">
        <v>0.61446342507601326</v>
      </c>
      <c r="H237">
        <v>0</v>
      </c>
      <c r="I237">
        <v>0</v>
      </c>
      <c r="J237">
        <v>0.5380208277896954</v>
      </c>
      <c r="K237">
        <v>0</v>
      </c>
      <c r="L237">
        <v>0</v>
      </c>
      <c r="M237">
        <v>0.37861793650935521</v>
      </c>
      <c r="N237">
        <v>0</v>
      </c>
      <c r="O237">
        <v>0</v>
      </c>
      <c r="P237">
        <v>0.37756530075614542</v>
      </c>
      <c r="Q237">
        <v>0.94792294345322281</v>
      </c>
      <c r="R237">
        <v>-15.56750740540271</v>
      </c>
      <c r="S237">
        <v>0.2449618597974022</v>
      </c>
      <c r="T237">
        <v>0.190830760159202</v>
      </c>
      <c r="U237">
        <v>4.4286477380750293</v>
      </c>
      <c r="V237">
        <v>0.20127646963296911</v>
      </c>
      <c r="W237">
        <v>-11.369490606009171</v>
      </c>
      <c r="X237">
        <v>0.31050600533100031</v>
      </c>
      <c r="Z237" t="s">
        <v>392</v>
      </c>
      <c r="AA237">
        <v>161</v>
      </c>
      <c r="AB237" t="s">
        <v>4684</v>
      </c>
      <c r="AC237" t="str">
        <f>HYPERLINK("plots/3FT6Y578R04_015_S31P_20251219032831_M5358ACSA301811_RBGEUFRF04/dpll_52046/txpa_55156.png","plot")</f>
        <v>plot</v>
      </c>
    </row>
    <row r="238" spans="1:29" x14ac:dyDescent="0.35">
      <c r="A238" t="s">
        <v>50</v>
      </c>
      <c r="B238">
        <v>52046</v>
      </c>
      <c r="C238" t="s">
        <v>51</v>
      </c>
      <c r="D238">
        <v>55157</v>
      </c>
      <c r="E238" t="s">
        <v>290</v>
      </c>
      <c r="F238">
        <v>11782</v>
      </c>
      <c r="G238">
        <v>0.61395483254258754</v>
      </c>
      <c r="H238">
        <v>0</v>
      </c>
      <c r="I238">
        <v>0</v>
      </c>
      <c r="J238">
        <v>0.53298906172832994</v>
      </c>
      <c r="K238">
        <v>0</v>
      </c>
      <c r="L238">
        <v>0</v>
      </c>
      <c r="M238">
        <v>0.37505211669465321</v>
      </c>
      <c r="N238">
        <v>0</v>
      </c>
      <c r="O238">
        <v>0</v>
      </c>
      <c r="P238">
        <v>0.37694053640239672</v>
      </c>
      <c r="Q238">
        <v>0.92715028379889874</v>
      </c>
      <c r="R238">
        <v>-15.451211242475759</v>
      </c>
      <c r="S238">
        <v>0.2399125887940203</v>
      </c>
      <c r="T238">
        <v>0.18742232626566829</v>
      </c>
      <c r="U238">
        <v>4.4286477380750293</v>
      </c>
      <c r="V238">
        <v>0.20127646963296911</v>
      </c>
      <c r="W238">
        <v>-11.34518923527415</v>
      </c>
      <c r="X238">
        <v>0.3039531998948849</v>
      </c>
      <c r="Z238" t="s">
        <v>392</v>
      </c>
      <c r="AA238">
        <v>161</v>
      </c>
      <c r="AB238" t="s">
        <v>4685</v>
      </c>
      <c r="AC238" t="str">
        <f>HYPERLINK("plots/3FT6Y578R04_015_S31P_20251219032831_M5358ACSA301811_RBGEUFRF04/dpll_52046/txpa_55157.png","plot")</f>
        <v>plot</v>
      </c>
    </row>
    <row r="239" spans="1:29" x14ac:dyDescent="0.35">
      <c r="A239" t="s">
        <v>50</v>
      </c>
      <c r="B239">
        <v>52046</v>
      </c>
      <c r="C239" t="s">
        <v>51</v>
      </c>
      <c r="D239">
        <v>55158</v>
      </c>
      <c r="E239" t="s">
        <v>291</v>
      </c>
      <c r="F239">
        <v>11781</v>
      </c>
      <c r="G239">
        <v>0.62484702586293073</v>
      </c>
      <c r="H239">
        <v>0</v>
      </c>
      <c r="I239">
        <v>0</v>
      </c>
      <c r="J239">
        <v>0.5414006321087198</v>
      </c>
      <c r="K239">
        <v>0</v>
      </c>
      <c r="L239">
        <v>0</v>
      </c>
      <c r="M239">
        <v>0.38136399494760881</v>
      </c>
      <c r="N239">
        <v>0</v>
      </c>
      <c r="O239">
        <v>0</v>
      </c>
      <c r="P239">
        <v>0.39043380572975001</v>
      </c>
      <c r="Q239">
        <v>0.96216523301809864</v>
      </c>
      <c r="R239">
        <v>-15.57378514827227</v>
      </c>
      <c r="S239">
        <v>0.24197825121055311</v>
      </c>
      <c r="T239">
        <v>0.1887864696160603</v>
      </c>
      <c r="U239">
        <v>4.4286547017231142</v>
      </c>
      <c r="V239">
        <v>0.20128359324518649</v>
      </c>
      <c r="W239">
        <v>-11.312687565232149</v>
      </c>
      <c r="X239">
        <v>0.30994478229293693</v>
      </c>
      <c r="Z239" t="s">
        <v>392</v>
      </c>
      <c r="AA239">
        <v>161</v>
      </c>
      <c r="AB239" t="s">
        <v>4686</v>
      </c>
      <c r="AC239" t="str">
        <f>HYPERLINK("plots/3FT6Y578R04_015_S31P_20251219032831_M5358ACSA301811_RBGEUFRF04/dpll_52046/txpa_55158.png","plot")</f>
        <v>plot</v>
      </c>
    </row>
    <row r="240" spans="1:29" x14ac:dyDescent="0.35">
      <c r="A240" t="s">
        <v>50</v>
      </c>
      <c r="B240">
        <v>52046</v>
      </c>
      <c r="C240" t="s">
        <v>51</v>
      </c>
      <c r="D240">
        <v>55159</v>
      </c>
      <c r="E240" t="s">
        <v>292</v>
      </c>
      <c r="F240">
        <v>11781</v>
      </c>
      <c r="G240">
        <v>0.63031089089821724</v>
      </c>
      <c r="H240">
        <v>0</v>
      </c>
      <c r="I240">
        <v>0</v>
      </c>
      <c r="J240">
        <v>0.54390391557624351</v>
      </c>
      <c r="K240">
        <v>0</v>
      </c>
      <c r="L240">
        <v>0</v>
      </c>
      <c r="M240">
        <v>0.38269800645778451</v>
      </c>
      <c r="N240">
        <v>0</v>
      </c>
      <c r="O240">
        <v>0</v>
      </c>
      <c r="P240">
        <v>0.3972918191849043</v>
      </c>
      <c r="Q240">
        <v>0.96950556711513658</v>
      </c>
      <c r="R240">
        <v>-15.62537157417238</v>
      </c>
      <c r="S240">
        <v>0.24032400603117179</v>
      </c>
      <c r="T240">
        <v>0.1888549715701382</v>
      </c>
      <c r="U240">
        <v>4.4286210779220783</v>
      </c>
      <c r="V240">
        <v>0.20126420786155011</v>
      </c>
      <c r="W240">
        <v>-11.331798784483491</v>
      </c>
      <c r="X240">
        <v>0.3095722647354669</v>
      </c>
      <c r="Z240" t="s">
        <v>392</v>
      </c>
      <c r="AA240">
        <v>161</v>
      </c>
      <c r="AB240" t="s">
        <v>4687</v>
      </c>
      <c r="AC240" t="str">
        <f>HYPERLINK("plots/3FT6Y578R04_015_S31P_20251219032831_M5358ACSA301811_RBGEUFRF04/dpll_52046/txpa_55159.png","plot")</f>
        <v>plot</v>
      </c>
    </row>
    <row r="241" spans="1:29" x14ac:dyDescent="0.35">
      <c r="A241" t="s">
        <v>50</v>
      </c>
      <c r="B241">
        <v>52046</v>
      </c>
      <c r="C241" t="s">
        <v>51</v>
      </c>
      <c r="D241">
        <v>55160</v>
      </c>
      <c r="E241" t="s">
        <v>293</v>
      </c>
      <c r="F241">
        <v>11782</v>
      </c>
      <c r="G241">
        <v>0.62979898555628988</v>
      </c>
      <c r="H241">
        <v>0</v>
      </c>
      <c r="I241">
        <v>0</v>
      </c>
      <c r="J241">
        <v>0.5454673687415138</v>
      </c>
      <c r="K241">
        <v>0</v>
      </c>
      <c r="L241">
        <v>0</v>
      </c>
      <c r="M241">
        <v>0.38545628508691948</v>
      </c>
      <c r="N241">
        <v>0</v>
      </c>
      <c r="O241">
        <v>0</v>
      </c>
      <c r="P241">
        <v>0.39664676220773182</v>
      </c>
      <c r="Q241">
        <v>0.95716025196691656</v>
      </c>
      <c r="R241">
        <v>-15.58386940168786</v>
      </c>
      <c r="S241">
        <v>0.2375981733952614</v>
      </c>
      <c r="T241">
        <v>0.18593905504488151</v>
      </c>
      <c r="U241">
        <v>4.4286477380750293</v>
      </c>
      <c r="V241">
        <v>0.20127646963296911</v>
      </c>
      <c r="W241">
        <v>-11.344943816839249</v>
      </c>
      <c r="X241">
        <v>0.30589734313200978</v>
      </c>
      <c r="Z241" t="s">
        <v>392</v>
      </c>
      <c r="AA241">
        <v>161</v>
      </c>
      <c r="AB241" t="s">
        <v>4688</v>
      </c>
      <c r="AC241" t="str">
        <f>HYPERLINK("plots/3FT6Y578R04_015_S31P_20251219032831_M5358ACSA301811_RBGEUFRF04/dpll_52046/txpa_55160.png","plot")</f>
        <v>plot</v>
      </c>
    </row>
    <row r="242" spans="1:29" x14ac:dyDescent="0.35">
      <c r="A242" t="s">
        <v>50</v>
      </c>
      <c r="B242">
        <v>52046</v>
      </c>
      <c r="C242" t="s">
        <v>51</v>
      </c>
      <c r="D242">
        <v>55161</v>
      </c>
      <c r="E242" t="s">
        <v>294</v>
      </c>
      <c r="F242">
        <v>11781</v>
      </c>
      <c r="G242">
        <v>0.62387296604273235</v>
      </c>
      <c r="H242">
        <v>0</v>
      </c>
      <c r="I242">
        <v>0</v>
      </c>
      <c r="J242">
        <v>0.5392444560211942</v>
      </c>
      <c r="K242">
        <v>0</v>
      </c>
      <c r="L242">
        <v>0</v>
      </c>
      <c r="M242">
        <v>0.37968380737353719</v>
      </c>
      <c r="N242">
        <v>0</v>
      </c>
      <c r="O242">
        <v>0</v>
      </c>
      <c r="P242">
        <v>0.38921747775895632</v>
      </c>
      <c r="Q242">
        <v>0.94832385658223262</v>
      </c>
      <c r="R242">
        <v>-15.54057970682519</v>
      </c>
      <c r="S242">
        <v>0.23906837140596451</v>
      </c>
      <c r="T242">
        <v>0.1873080512480855</v>
      </c>
      <c r="U242">
        <v>4.4286821262201856</v>
      </c>
      <c r="V242">
        <v>0.20125039720016169</v>
      </c>
      <c r="W242">
        <v>-11.34075479331127</v>
      </c>
      <c r="X242">
        <v>0.30591252257994322</v>
      </c>
      <c r="Z242" t="s">
        <v>392</v>
      </c>
      <c r="AA242">
        <v>161</v>
      </c>
      <c r="AB242" t="s">
        <v>4689</v>
      </c>
      <c r="AC242" t="str">
        <f>HYPERLINK("plots/3FT6Y578R04_015_S31P_20251219032831_M5358ACSA301811_RBGEUFRF04/dpll_52046/txpa_55161.png","plot")</f>
        <v>plot</v>
      </c>
    </row>
    <row r="243" spans="1:29" x14ac:dyDescent="0.35">
      <c r="A243" t="s">
        <v>50</v>
      </c>
      <c r="B243">
        <v>52046</v>
      </c>
      <c r="C243" t="s">
        <v>51</v>
      </c>
      <c r="D243">
        <v>55162</v>
      </c>
      <c r="E243" t="s">
        <v>295</v>
      </c>
      <c r="F243">
        <v>11781</v>
      </c>
      <c r="G243">
        <v>0.6084429761231398</v>
      </c>
      <c r="H243">
        <v>0</v>
      </c>
      <c r="I243">
        <v>0</v>
      </c>
      <c r="J243">
        <v>0.52323457268452711</v>
      </c>
      <c r="K243">
        <v>0</v>
      </c>
      <c r="L243">
        <v>0</v>
      </c>
      <c r="M243">
        <v>0.36785127488254438</v>
      </c>
      <c r="N243">
        <v>0</v>
      </c>
      <c r="O243">
        <v>0</v>
      </c>
      <c r="P243">
        <v>0.37020285519358359</v>
      </c>
      <c r="Q243">
        <v>0.92581944890695811</v>
      </c>
      <c r="R243">
        <v>-15.50810553114802</v>
      </c>
      <c r="S243">
        <v>0.24303450231641649</v>
      </c>
      <c r="T243">
        <v>0.1899361544298131</v>
      </c>
      <c r="U243">
        <v>4.4286701896273666</v>
      </c>
      <c r="V243">
        <v>0.20127025814248481</v>
      </c>
      <c r="W243">
        <v>-11.407956536796529</v>
      </c>
      <c r="X243">
        <v>0.30625699825175418</v>
      </c>
      <c r="Z243" t="s">
        <v>392</v>
      </c>
      <c r="AA243">
        <v>161</v>
      </c>
      <c r="AB243" t="s">
        <v>4690</v>
      </c>
      <c r="AC243" t="str">
        <f>HYPERLINK("plots/3FT6Y578R04_015_S31P_20251219032831_M5358ACSA301811_RBGEUFRF04/dpll_52046/txpa_55162.png","plot")</f>
        <v>plot</v>
      </c>
    </row>
    <row r="244" spans="1:29" x14ac:dyDescent="0.35">
      <c r="A244" t="s">
        <v>50</v>
      </c>
      <c r="B244">
        <v>52046</v>
      </c>
      <c r="C244" t="s">
        <v>51</v>
      </c>
      <c r="D244">
        <v>55163</v>
      </c>
      <c r="E244" t="s">
        <v>296</v>
      </c>
      <c r="F244">
        <v>11782</v>
      </c>
      <c r="G244">
        <v>0.60227552837990084</v>
      </c>
      <c r="H244">
        <v>0</v>
      </c>
      <c r="I244">
        <v>0</v>
      </c>
      <c r="J244">
        <v>0.53160967980686158</v>
      </c>
      <c r="K244">
        <v>0</v>
      </c>
      <c r="L244">
        <v>0</v>
      </c>
      <c r="M244">
        <v>0.37239645490951728</v>
      </c>
      <c r="N244">
        <v>0</v>
      </c>
      <c r="O244">
        <v>0</v>
      </c>
      <c r="P244">
        <v>0.36273581208528871</v>
      </c>
      <c r="Q244">
        <v>0.81035292238234813</v>
      </c>
      <c r="R244">
        <v>-9.064850032609165</v>
      </c>
      <c r="S244">
        <v>0.21617890721375629</v>
      </c>
      <c r="T244">
        <v>0.165709766709566</v>
      </c>
      <c r="U244">
        <v>4.4286477380750293</v>
      </c>
      <c r="V244">
        <v>0.20127646963296911</v>
      </c>
      <c r="W244">
        <v>-5.4760823958580884</v>
      </c>
      <c r="X244">
        <v>0.27081454863793802</v>
      </c>
      <c r="Z244" t="s">
        <v>392</v>
      </c>
      <c r="AA244">
        <v>161</v>
      </c>
      <c r="AB244" t="s">
        <v>4691</v>
      </c>
      <c r="AC244" t="str">
        <f>HYPERLINK("plots/3FT6Y578R04_015_S31P_20251219032831_M5358ACSA301811_RBGEUFRF04/dpll_52046/txpa_55163.png","plot")</f>
        <v>plot</v>
      </c>
    </row>
    <row r="245" spans="1:29" x14ac:dyDescent="0.35">
      <c r="A245" t="s">
        <v>50</v>
      </c>
      <c r="B245">
        <v>52046</v>
      </c>
      <c r="C245" t="s">
        <v>51</v>
      </c>
      <c r="D245">
        <v>55164</v>
      </c>
      <c r="E245" t="s">
        <v>297</v>
      </c>
      <c r="F245">
        <v>11782</v>
      </c>
      <c r="G245">
        <v>0.62984913242158369</v>
      </c>
      <c r="H245">
        <v>0</v>
      </c>
      <c r="I245">
        <v>0</v>
      </c>
      <c r="J245">
        <v>0.55157242307572552</v>
      </c>
      <c r="K245">
        <v>0</v>
      </c>
      <c r="L245">
        <v>0</v>
      </c>
      <c r="M245">
        <v>0.38978574781513459</v>
      </c>
      <c r="N245">
        <v>0</v>
      </c>
      <c r="O245">
        <v>0</v>
      </c>
      <c r="P245">
        <v>0.39670992961222168</v>
      </c>
      <c r="Q245">
        <v>0.8532229066387248</v>
      </c>
      <c r="R245">
        <v>-9.2112149035037127</v>
      </c>
      <c r="S245">
        <v>0.21176960903501449</v>
      </c>
      <c r="T245">
        <v>0.1641308115990508</v>
      </c>
      <c r="U245">
        <v>4.4286477380750293</v>
      </c>
      <c r="V245">
        <v>0.20127646963296911</v>
      </c>
      <c r="W245">
        <v>-5.4325912079443226</v>
      </c>
      <c r="X245">
        <v>0.27265845996795701</v>
      </c>
      <c r="Z245" t="s">
        <v>392</v>
      </c>
      <c r="AA245">
        <v>161</v>
      </c>
      <c r="AB245" t="s">
        <v>4692</v>
      </c>
      <c r="AC245" t="str">
        <f>HYPERLINK("plots/3FT6Y578R04_015_S31P_20251219032831_M5358ACSA301811_RBGEUFRF04/dpll_52046/txpa_55164.png","plot")</f>
        <v>plot</v>
      </c>
    </row>
    <row r="246" spans="1:29" x14ac:dyDescent="0.35">
      <c r="A246" t="s">
        <v>50</v>
      </c>
      <c r="B246">
        <v>52046</v>
      </c>
      <c r="C246" t="s">
        <v>51</v>
      </c>
      <c r="D246">
        <v>55165</v>
      </c>
      <c r="E246" t="s">
        <v>298</v>
      </c>
      <c r="F246">
        <v>11782</v>
      </c>
      <c r="G246">
        <v>0.62022786525860207</v>
      </c>
      <c r="H246">
        <v>0</v>
      </c>
      <c r="I246">
        <v>0</v>
      </c>
      <c r="J246">
        <v>0.53931369238182314</v>
      </c>
      <c r="K246">
        <v>0</v>
      </c>
      <c r="L246">
        <v>0</v>
      </c>
      <c r="M246">
        <v>0.37991719779093808</v>
      </c>
      <c r="N246">
        <v>0</v>
      </c>
      <c r="O246">
        <v>0</v>
      </c>
      <c r="P246">
        <v>0.38468260484324263</v>
      </c>
      <c r="Q246">
        <v>0.82391901702992287</v>
      </c>
      <c r="R246">
        <v>-9.0636944962360584</v>
      </c>
      <c r="S246">
        <v>0.20972848732877439</v>
      </c>
      <c r="T246">
        <v>0.16295642388120721</v>
      </c>
      <c r="U246">
        <v>4.4286477380750293</v>
      </c>
      <c r="V246">
        <v>0.20127646963296911</v>
      </c>
      <c r="W246">
        <v>-5.414847405109489</v>
      </c>
      <c r="X246">
        <v>0.26737836253471847</v>
      </c>
      <c r="Z246" t="s">
        <v>392</v>
      </c>
      <c r="AA246">
        <v>161</v>
      </c>
      <c r="AB246" t="s">
        <v>4693</v>
      </c>
      <c r="AC246" t="str">
        <f>HYPERLINK("plots/3FT6Y578R04_015_S31P_20251219032831_M5358ACSA301811_RBGEUFRF04/dpll_52046/txpa_55165.png","plot")</f>
        <v>plot</v>
      </c>
    </row>
    <row r="247" spans="1:29" x14ac:dyDescent="0.35">
      <c r="A247" t="s">
        <v>50</v>
      </c>
      <c r="B247">
        <v>52046</v>
      </c>
      <c r="C247" t="s">
        <v>51</v>
      </c>
      <c r="D247">
        <v>55166</v>
      </c>
      <c r="E247" t="s">
        <v>299</v>
      </c>
      <c r="F247">
        <v>11781</v>
      </c>
      <c r="G247">
        <v>0.63987063139532507</v>
      </c>
      <c r="H247">
        <v>0</v>
      </c>
      <c r="I247">
        <v>0</v>
      </c>
      <c r="J247">
        <v>0.55407088832648654</v>
      </c>
      <c r="K247">
        <v>0</v>
      </c>
      <c r="L247">
        <v>0</v>
      </c>
      <c r="M247">
        <v>0.39171580068403</v>
      </c>
      <c r="N247">
        <v>0</v>
      </c>
      <c r="O247">
        <v>0</v>
      </c>
      <c r="P247">
        <v>0.40943442492225202</v>
      </c>
      <c r="Q247">
        <v>0.86313506597944467</v>
      </c>
      <c r="R247">
        <v>-9.215753523829374</v>
      </c>
      <c r="S247">
        <v>0.20864625360332231</v>
      </c>
      <c r="T247">
        <v>0.1626261124574396</v>
      </c>
      <c r="U247">
        <v>4.4286547017231142</v>
      </c>
      <c r="V247">
        <v>0.20128359324518649</v>
      </c>
      <c r="W247">
        <v>-5.3932263556574149</v>
      </c>
      <c r="X247">
        <v>0.27151570803837499</v>
      </c>
      <c r="Z247" t="s">
        <v>392</v>
      </c>
      <c r="AA247">
        <v>161</v>
      </c>
      <c r="AB247" t="s">
        <v>4694</v>
      </c>
      <c r="AC247" t="str">
        <f>HYPERLINK("plots/3FT6Y578R04_015_S31P_20251219032831_M5358ACSA301811_RBGEUFRF04/dpll_52046/txpa_55166.png","plot")</f>
        <v>plot</v>
      </c>
    </row>
    <row r="248" spans="1:29" x14ac:dyDescent="0.35">
      <c r="A248" t="s">
        <v>50</v>
      </c>
      <c r="B248">
        <v>52046</v>
      </c>
      <c r="C248" t="s">
        <v>51</v>
      </c>
      <c r="D248">
        <v>55167</v>
      </c>
      <c r="E248" t="s">
        <v>300</v>
      </c>
      <c r="F248">
        <v>11781</v>
      </c>
      <c r="G248">
        <v>0.64014521700113003</v>
      </c>
      <c r="H248">
        <v>0</v>
      </c>
      <c r="I248">
        <v>0</v>
      </c>
      <c r="J248">
        <v>0.55018418797722635</v>
      </c>
      <c r="K248">
        <v>0</v>
      </c>
      <c r="L248">
        <v>0</v>
      </c>
      <c r="M248">
        <v>0.38743628610053582</v>
      </c>
      <c r="N248">
        <v>0</v>
      </c>
      <c r="O248">
        <v>0</v>
      </c>
      <c r="P248">
        <v>0.40978589884942379</v>
      </c>
      <c r="Q248">
        <v>0.86060723206591838</v>
      </c>
      <c r="R248">
        <v>-9.2229120910870677</v>
      </c>
      <c r="S248">
        <v>0.20786405374609179</v>
      </c>
      <c r="T248">
        <v>0.16256910539821171</v>
      </c>
      <c r="U248">
        <v>4.4286210779220783</v>
      </c>
      <c r="V248">
        <v>0.20126420786155011</v>
      </c>
      <c r="W248">
        <v>-5.411608763347763</v>
      </c>
      <c r="X248">
        <v>0.27057834416555909</v>
      </c>
      <c r="Z248" t="s">
        <v>392</v>
      </c>
      <c r="AA248">
        <v>161</v>
      </c>
      <c r="AB248" t="s">
        <v>4695</v>
      </c>
      <c r="AC248" t="str">
        <f>HYPERLINK("plots/3FT6Y578R04_015_S31P_20251219032831_M5358ACSA301811_RBGEUFRF04/dpll_52046/txpa_55167.png","plot")</f>
        <v>plot</v>
      </c>
    </row>
    <row r="249" spans="1:29" x14ac:dyDescent="0.35">
      <c r="A249" t="s">
        <v>50</v>
      </c>
      <c r="B249">
        <v>52046</v>
      </c>
      <c r="C249" t="s">
        <v>51</v>
      </c>
      <c r="D249">
        <v>55168</v>
      </c>
      <c r="E249" t="s">
        <v>301</v>
      </c>
      <c r="F249">
        <v>11782</v>
      </c>
      <c r="G249">
        <v>0.64453091820791342</v>
      </c>
      <c r="H249">
        <v>0</v>
      </c>
      <c r="I249">
        <v>0</v>
      </c>
      <c r="J249">
        <v>0.56221538346559718</v>
      </c>
      <c r="K249">
        <v>0</v>
      </c>
      <c r="L249">
        <v>0</v>
      </c>
      <c r="M249">
        <v>0.39801814016148152</v>
      </c>
      <c r="N249">
        <v>0</v>
      </c>
      <c r="O249">
        <v>0</v>
      </c>
      <c r="P249">
        <v>0.41542010452593597</v>
      </c>
      <c r="Q249">
        <v>0.86743448299798598</v>
      </c>
      <c r="R249">
        <v>-9.2561092440822659</v>
      </c>
      <c r="S249">
        <v>0.20710445452470319</v>
      </c>
      <c r="T249">
        <v>0.16170891156214981</v>
      </c>
      <c r="U249">
        <v>4.4286477380750293</v>
      </c>
      <c r="V249">
        <v>0.20127646963296911</v>
      </c>
      <c r="W249">
        <v>-5.4145474830249531</v>
      </c>
      <c r="X249">
        <v>0.27088560912048221</v>
      </c>
      <c r="Z249" t="s">
        <v>392</v>
      </c>
      <c r="AA249">
        <v>161</v>
      </c>
      <c r="AB249" t="s">
        <v>4696</v>
      </c>
      <c r="AC249" t="str">
        <f>HYPERLINK("plots/3FT6Y578R04_015_S31P_20251219032831_M5358ACSA301811_RBGEUFRF04/dpll_52046/txpa_55168.png","plot")</f>
        <v>plot</v>
      </c>
    </row>
    <row r="250" spans="1:29" x14ac:dyDescent="0.35">
      <c r="A250" t="s">
        <v>50</v>
      </c>
      <c r="B250">
        <v>52046</v>
      </c>
      <c r="C250" t="s">
        <v>51</v>
      </c>
      <c r="D250">
        <v>55169</v>
      </c>
      <c r="E250" t="s">
        <v>302</v>
      </c>
      <c r="F250">
        <v>11782</v>
      </c>
      <c r="G250">
        <v>0.64028334308133672</v>
      </c>
      <c r="H250">
        <v>0</v>
      </c>
      <c r="I250">
        <v>0</v>
      </c>
      <c r="J250">
        <v>0.55244811081596634</v>
      </c>
      <c r="K250">
        <v>0</v>
      </c>
      <c r="L250">
        <v>0</v>
      </c>
      <c r="M250">
        <v>0.38947446895714649</v>
      </c>
      <c r="N250">
        <v>0</v>
      </c>
      <c r="O250">
        <v>0</v>
      </c>
      <c r="P250">
        <v>0.40996275942741273</v>
      </c>
      <c r="Q250">
        <v>0.8493836848415337</v>
      </c>
      <c r="R250">
        <v>-9.171649894773882</v>
      </c>
      <c r="S250">
        <v>0.20509071429487369</v>
      </c>
      <c r="T250">
        <v>0.16125740234289529</v>
      </c>
      <c r="U250">
        <v>4.4286477380750293</v>
      </c>
      <c r="V250">
        <v>0.20127646963296911</v>
      </c>
      <c r="W250">
        <v>-5.4100287601425903</v>
      </c>
      <c r="X250">
        <v>0.26700827265941968</v>
      </c>
      <c r="Z250" t="s">
        <v>392</v>
      </c>
      <c r="AA250">
        <v>161</v>
      </c>
      <c r="AB250" t="s">
        <v>4697</v>
      </c>
      <c r="AC250" t="str">
        <f>HYPERLINK("plots/3FT6Y578R04_015_S31P_20251219032831_M5358ACSA301811_RBGEUFRF04/dpll_52046/txpa_55169.png","plot")</f>
        <v>plot</v>
      </c>
    </row>
    <row r="251" spans="1:29" x14ac:dyDescent="0.35">
      <c r="A251" t="s">
        <v>50</v>
      </c>
      <c r="B251">
        <v>52046</v>
      </c>
      <c r="C251" t="s">
        <v>51</v>
      </c>
      <c r="D251">
        <v>55170</v>
      </c>
      <c r="E251" t="s">
        <v>303</v>
      </c>
      <c r="F251">
        <v>11781</v>
      </c>
      <c r="G251">
        <v>0.62625906908377171</v>
      </c>
      <c r="H251">
        <v>0</v>
      </c>
      <c r="I251">
        <v>0</v>
      </c>
      <c r="J251">
        <v>0.53991523296369648</v>
      </c>
      <c r="K251">
        <v>0</v>
      </c>
      <c r="L251">
        <v>0</v>
      </c>
      <c r="M251">
        <v>0.38079919890593822</v>
      </c>
      <c r="N251">
        <v>0</v>
      </c>
      <c r="O251">
        <v>0</v>
      </c>
      <c r="P251">
        <v>0.39220042160967228</v>
      </c>
      <c r="Q251">
        <v>0.83780146345151285</v>
      </c>
      <c r="R251">
        <v>-9.1633766306773374</v>
      </c>
      <c r="S251">
        <v>0.2099077408992287</v>
      </c>
      <c r="T251">
        <v>0.16327693779781299</v>
      </c>
      <c r="U251">
        <v>4.4286701896273666</v>
      </c>
      <c r="V251">
        <v>0.20127025814248481</v>
      </c>
      <c r="W251">
        <v>-5.4530302646634414</v>
      </c>
      <c r="X251">
        <v>0.26925680624112691</v>
      </c>
      <c r="Z251" t="s">
        <v>392</v>
      </c>
      <c r="AA251">
        <v>161</v>
      </c>
      <c r="AB251" t="s">
        <v>4698</v>
      </c>
      <c r="AC251" t="str">
        <f>HYPERLINK("plots/3FT6Y578R04_015_S31P_20251219032831_M5358ACSA301811_RBGEUFRF04/dpll_52046/txpa_55170.png","plot")</f>
        <v>plot</v>
      </c>
    </row>
    <row r="252" spans="1:29" x14ac:dyDescent="0.35">
      <c r="A252" t="s">
        <v>50</v>
      </c>
      <c r="B252">
        <v>52046</v>
      </c>
      <c r="C252" t="s">
        <v>51</v>
      </c>
      <c r="D252">
        <v>55171</v>
      </c>
      <c r="E252" t="s">
        <v>304</v>
      </c>
      <c r="F252">
        <v>11782</v>
      </c>
      <c r="G252">
        <v>0.61642232515241491</v>
      </c>
      <c r="H252">
        <v>0</v>
      </c>
      <c r="I252">
        <v>0</v>
      </c>
      <c r="J252">
        <v>0.54855700266929286</v>
      </c>
      <c r="K252">
        <v>0</v>
      </c>
      <c r="L252">
        <v>0</v>
      </c>
      <c r="M252">
        <v>0.38499254746146599</v>
      </c>
      <c r="N252">
        <v>0</v>
      </c>
      <c r="O252">
        <v>0</v>
      </c>
      <c r="P252">
        <v>0.37997648294630948</v>
      </c>
      <c r="Q252">
        <v>0.82944309694401952</v>
      </c>
      <c r="R252">
        <v>-6.092726999352891</v>
      </c>
      <c r="S252">
        <v>0.21324894637132949</v>
      </c>
      <c r="T252">
        <v>0.16329454896477971</v>
      </c>
      <c r="U252">
        <v>4.4286477380750293</v>
      </c>
      <c r="V252">
        <v>0.20127646963296911</v>
      </c>
      <c r="W252">
        <v>-2.4194157042098121</v>
      </c>
      <c r="X252">
        <v>0.27083279028391749</v>
      </c>
      <c r="Z252" t="s">
        <v>392</v>
      </c>
      <c r="AA252">
        <v>161</v>
      </c>
      <c r="AB252" t="s">
        <v>4699</v>
      </c>
      <c r="AC252" t="str">
        <f>HYPERLINK("plots/3FT6Y578R04_015_S31P_20251219032831_M5358ACSA301811_RBGEUFRF04/dpll_52046/txpa_55171.png","plot")</f>
        <v>plot</v>
      </c>
    </row>
    <row r="253" spans="1:29" x14ac:dyDescent="0.35">
      <c r="A253" t="s">
        <v>50</v>
      </c>
      <c r="B253">
        <v>52046</v>
      </c>
      <c r="C253" t="s">
        <v>51</v>
      </c>
      <c r="D253">
        <v>55172</v>
      </c>
      <c r="E253" t="s">
        <v>305</v>
      </c>
      <c r="F253">
        <v>11782</v>
      </c>
      <c r="G253">
        <v>0.64235233741829312</v>
      </c>
      <c r="H253">
        <v>0</v>
      </c>
      <c r="I253">
        <v>0</v>
      </c>
      <c r="J253">
        <v>0.56664778303594177</v>
      </c>
      <c r="K253">
        <v>0</v>
      </c>
      <c r="L253">
        <v>0</v>
      </c>
      <c r="M253">
        <v>0.40135481897854708</v>
      </c>
      <c r="N253">
        <v>0</v>
      </c>
      <c r="O253">
        <v>0</v>
      </c>
      <c r="P253">
        <v>0.4126165253867447</v>
      </c>
      <c r="Q253">
        <v>0.86755841080057172</v>
      </c>
      <c r="R253">
        <v>-6.2238154157414289</v>
      </c>
      <c r="S253">
        <v>0.20833433604283871</v>
      </c>
      <c r="T253">
        <v>0.16138927609164749</v>
      </c>
      <c r="U253">
        <v>4.4286477380750293</v>
      </c>
      <c r="V253">
        <v>0.20127646963296911</v>
      </c>
      <c r="W253">
        <v>-2.38170482210151</v>
      </c>
      <c r="X253">
        <v>0.27184316761132621</v>
      </c>
      <c r="Z253" t="s">
        <v>392</v>
      </c>
      <c r="AA253">
        <v>161</v>
      </c>
      <c r="AB253" t="s">
        <v>4700</v>
      </c>
      <c r="AC253" t="str">
        <f>HYPERLINK("plots/3FT6Y578R04_015_S31P_20251219032831_M5358ACSA301811_RBGEUFRF04/dpll_52046/txpa_55172.png","plot")</f>
        <v>plot</v>
      </c>
    </row>
    <row r="254" spans="1:29" x14ac:dyDescent="0.35">
      <c r="A254" t="s">
        <v>50</v>
      </c>
      <c r="B254">
        <v>52046</v>
      </c>
      <c r="C254" t="s">
        <v>51</v>
      </c>
      <c r="D254">
        <v>55173</v>
      </c>
      <c r="E254" t="s">
        <v>306</v>
      </c>
      <c r="F254">
        <v>11782</v>
      </c>
      <c r="G254">
        <v>0.63169336804599041</v>
      </c>
      <c r="H254">
        <v>0</v>
      </c>
      <c r="I254">
        <v>0</v>
      </c>
      <c r="J254">
        <v>0.55473531539092202</v>
      </c>
      <c r="K254">
        <v>0</v>
      </c>
      <c r="L254">
        <v>0</v>
      </c>
      <c r="M254">
        <v>0.3917270246248275</v>
      </c>
      <c r="N254">
        <v>0</v>
      </c>
      <c r="O254">
        <v>0</v>
      </c>
      <c r="P254">
        <v>0.39903651123328709</v>
      </c>
      <c r="Q254">
        <v>0.83900081637466606</v>
      </c>
      <c r="R254">
        <v>-6.0811661471239873</v>
      </c>
      <c r="S254">
        <v>0.20723098196019341</v>
      </c>
      <c r="T254">
        <v>0.16059314018004081</v>
      </c>
      <c r="U254">
        <v>4.4286477380750293</v>
      </c>
      <c r="V254">
        <v>0.20127646963296911</v>
      </c>
      <c r="W254">
        <v>-2.3655270794432188</v>
      </c>
      <c r="X254">
        <v>0.26733084575739452</v>
      </c>
      <c r="Z254" t="s">
        <v>392</v>
      </c>
      <c r="AA254">
        <v>161</v>
      </c>
      <c r="AB254" t="s">
        <v>4701</v>
      </c>
      <c r="AC254" t="str">
        <f>HYPERLINK("plots/3FT6Y578R04_015_S31P_20251219032831_M5358ACSA301811_RBGEUFRF04/dpll_52046/txpa_55173.png","plot")</f>
        <v>plot</v>
      </c>
    </row>
    <row r="255" spans="1:29" x14ac:dyDescent="0.35">
      <c r="A255" t="s">
        <v>50</v>
      </c>
      <c r="B255">
        <v>52046</v>
      </c>
      <c r="C255" t="s">
        <v>51</v>
      </c>
      <c r="D255">
        <v>55174</v>
      </c>
      <c r="E255" t="s">
        <v>307</v>
      </c>
      <c r="F255">
        <v>11781</v>
      </c>
      <c r="G255">
        <v>0.64993607179371726</v>
      </c>
      <c r="H255">
        <v>0</v>
      </c>
      <c r="I255">
        <v>0</v>
      </c>
      <c r="J255">
        <v>0.56750267999575532</v>
      </c>
      <c r="K255">
        <v>0</v>
      </c>
      <c r="L255">
        <v>0</v>
      </c>
      <c r="M255">
        <v>0.40199626886377071</v>
      </c>
      <c r="N255">
        <v>0</v>
      </c>
      <c r="O255">
        <v>0</v>
      </c>
      <c r="P255">
        <v>0.42241689741864802</v>
      </c>
      <c r="Q255">
        <v>0.87293684295129237</v>
      </c>
      <c r="R255">
        <v>-6.2142817693006647</v>
      </c>
      <c r="S255">
        <v>0.20545152345975951</v>
      </c>
      <c r="T255">
        <v>0.1601721959093505</v>
      </c>
      <c r="U255">
        <v>4.4286547017231142</v>
      </c>
      <c r="V255">
        <v>0.20128359324518649</v>
      </c>
      <c r="W255">
        <v>-2.348345915457092</v>
      </c>
      <c r="X255">
        <v>0.27034638028386432</v>
      </c>
      <c r="Z255" t="s">
        <v>392</v>
      </c>
      <c r="AA255">
        <v>161</v>
      </c>
      <c r="AB255" t="s">
        <v>4702</v>
      </c>
      <c r="AC255" t="str">
        <f>HYPERLINK("plots/3FT6Y578R04_015_S31P_20251219032831_M5358ACSA301811_RBGEUFRF04/dpll_52046/txpa_55174.png","plot")</f>
        <v>plot</v>
      </c>
    </row>
    <row r="256" spans="1:29" x14ac:dyDescent="0.35">
      <c r="A256" t="s">
        <v>50</v>
      </c>
      <c r="B256">
        <v>52046</v>
      </c>
      <c r="C256" t="s">
        <v>51</v>
      </c>
      <c r="D256">
        <v>55175</v>
      </c>
      <c r="E256" t="s">
        <v>308</v>
      </c>
      <c r="F256">
        <v>11781</v>
      </c>
      <c r="G256">
        <v>0.65165551098319907</v>
      </c>
      <c r="H256">
        <v>0</v>
      </c>
      <c r="I256">
        <v>0</v>
      </c>
      <c r="J256">
        <v>0.56370329735220792</v>
      </c>
      <c r="K256">
        <v>0</v>
      </c>
      <c r="L256">
        <v>0</v>
      </c>
      <c r="M256">
        <v>0.39775718332728149</v>
      </c>
      <c r="N256">
        <v>0</v>
      </c>
      <c r="O256">
        <v>0</v>
      </c>
      <c r="P256">
        <v>0.42465490499477432</v>
      </c>
      <c r="Q256">
        <v>0.87154086575432421</v>
      </c>
      <c r="R256">
        <v>-6.2260200800281824</v>
      </c>
      <c r="S256">
        <v>0.20416533526932679</v>
      </c>
      <c r="T256">
        <v>0.15950592263402841</v>
      </c>
      <c r="U256">
        <v>4.4286210779220783</v>
      </c>
      <c r="V256">
        <v>0.20126420786155011</v>
      </c>
      <c r="W256">
        <v>-2.366295831678126</v>
      </c>
      <c r="X256">
        <v>0.26917593576452697</v>
      </c>
      <c r="Z256" t="s">
        <v>392</v>
      </c>
      <c r="AA256">
        <v>161</v>
      </c>
      <c r="AB256" t="s">
        <v>4703</v>
      </c>
      <c r="AC256" t="str">
        <f>HYPERLINK("plots/3FT6Y578R04_015_S31P_20251219032831_M5358ACSA301811_RBGEUFRF04/dpll_52046/txpa_55175.png","plot")</f>
        <v>plot</v>
      </c>
    </row>
    <row r="257" spans="1:29" x14ac:dyDescent="0.35">
      <c r="A257" t="s">
        <v>50</v>
      </c>
      <c r="B257">
        <v>52046</v>
      </c>
      <c r="C257" t="s">
        <v>51</v>
      </c>
      <c r="D257">
        <v>55176</v>
      </c>
      <c r="E257" t="s">
        <v>309</v>
      </c>
      <c r="F257">
        <v>11782</v>
      </c>
      <c r="G257">
        <v>0.65570066046762365</v>
      </c>
      <c r="H257">
        <v>0</v>
      </c>
      <c r="I257">
        <v>0</v>
      </c>
      <c r="J257">
        <v>0.57635087107757277</v>
      </c>
      <c r="K257">
        <v>0</v>
      </c>
      <c r="L257">
        <v>0</v>
      </c>
      <c r="M257">
        <v>0.40883753422027053</v>
      </c>
      <c r="N257">
        <v>0</v>
      </c>
      <c r="O257">
        <v>0</v>
      </c>
      <c r="P257">
        <v>0.42994335613767792</v>
      </c>
      <c r="Q257">
        <v>0.88090448112721864</v>
      </c>
      <c r="R257">
        <v>-6.2669085892555803</v>
      </c>
      <c r="S257">
        <v>0.2041534761317125</v>
      </c>
      <c r="T257">
        <v>0.15915855018878691</v>
      </c>
      <c r="U257">
        <v>4.4286477380750293</v>
      </c>
      <c r="V257">
        <v>0.20127646963296911</v>
      </c>
      <c r="W257">
        <v>-2.3656929514513672</v>
      </c>
      <c r="X257">
        <v>0.27040592565317972</v>
      </c>
      <c r="Z257" t="s">
        <v>392</v>
      </c>
      <c r="AA257">
        <v>161</v>
      </c>
      <c r="AB257" t="s">
        <v>4704</v>
      </c>
      <c r="AC257" t="str">
        <f>HYPERLINK("plots/3FT6Y578R04_015_S31P_20251219032831_M5358ACSA301811_RBGEUFRF04/dpll_52046/txpa_55176.png","plot")</f>
        <v>plot</v>
      </c>
    </row>
    <row r="258" spans="1:29" x14ac:dyDescent="0.35">
      <c r="A258" t="s">
        <v>50</v>
      </c>
      <c r="B258">
        <v>52046</v>
      </c>
      <c r="C258" t="s">
        <v>51</v>
      </c>
      <c r="D258">
        <v>55177</v>
      </c>
      <c r="E258" t="s">
        <v>310</v>
      </c>
      <c r="F258">
        <v>11782</v>
      </c>
      <c r="G258">
        <v>0.6521037386896491</v>
      </c>
      <c r="H258">
        <v>0</v>
      </c>
      <c r="I258">
        <v>0</v>
      </c>
      <c r="J258">
        <v>0.56772405652072166</v>
      </c>
      <c r="K258">
        <v>0</v>
      </c>
      <c r="L258">
        <v>0</v>
      </c>
      <c r="M258">
        <v>0.40099552836723412</v>
      </c>
      <c r="N258">
        <v>0</v>
      </c>
      <c r="O258">
        <v>0</v>
      </c>
      <c r="P258">
        <v>0.42523928601301808</v>
      </c>
      <c r="Q258">
        <v>0.86366832680174588</v>
      </c>
      <c r="R258">
        <v>-6.1847789369197734</v>
      </c>
      <c r="S258">
        <v>0.20209167145924459</v>
      </c>
      <c r="T258">
        <v>0.1586891908427438</v>
      </c>
      <c r="U258">
        <v>4.4286477380750293</v>
      </c>
      <c r="V258">
        <v>0.20127646963296911</v>
      </c>
      <c r="W258">
        <v>-2.359896154982176</v>
      </c>
      <c r="X258">
        <v>0.26657738859430358</v>
      </c>
      <c r="Z258" t="s">
        <v>392</v>
      </c>
      <c r="AA258">
        <v>161</v>
      </c>
      <c r="AB258" t="s">
        <v>4705</v>
      </c>
      <c r="AC258" t="str">
        <f>HYPERLINK("plots/3FT6Y578R04_015_S31P_20251219032831_M5358ACSA301811_RBGEUFRF04/dpll_52046/txpa_55177.png","plot")</f>
        <v>plot</v>
      </c>
    </row>
    <row r="259" spans="1:29" x14ac:dyDescent="0.35">
      <c r="A259" t="s">
        <v>50</v>
      </c>
      <c r="B259">
        <v>52046</v>
      </c>
      <c r="C259" t="s">
        <v>51</v>
      </c>
      <c r="D259">
        <v>55178</v>
      </c>
      <c r="E259" t="s">
        <v>311</v>
      </c>
      <c r="F259">
        <v>11781</v>
      </c>
      <c r="G259">
        <v>0.63866147811830298</v>
      </c>
      <c r="H259">
        <v>0</v>
      </c>
      <c r="I259">
        <v>0</v>
      </c>
      <c r="J259">
        <v>0.55558843274896952</v>
      </c>
      <c r="K259">
        <v>0</v>
      </c>
      <c r="L259">
        <v>0</v>
      </c>
      <c r="M259">
        <v>0.39275796376732369</v>
      </c>
      <c r="N259">
        <v>0</v>
      </c>
      <c r="O259">
        <v>0</v>
      </c>
      <c r="P259">
        <v>0.40788848363225561</v>
      </c>
      <c r="Q259">
        <v>0.85509209709861267</v>
      </c>
      <c r="R259">
        <v>-6.1829812967491096</v>
      </c>
      <c r="S259">
        <v>0.20735050418100959</v>
      </c>
      <c r="T259">
        <v>0.161024489382525</v>
      </c>
      <c r="U259">
        <v>4.4286701896273666</v>
      </c>
      <c r="V259">
        <v>0.20127025814248481</v>
      </c>
      <c r="W259">
        <v>-2.396060416942535</v>
      </c>
      <c r="X259">
        <v>0.26947704380998633</v>
      </c>
      <c r="Z259" t="s">
        <v>392</v>
      </c>
      <c r="AA259">
        <v>161</v>
      </c>
      <c r="AB259" t="s">
        <v>4706</v>
      </c>
      <c r="AC259" t="str">
        <f>HYPERLINK("plots/3FT6Y578R04_015_S31P_20251219032831_M5358ACSA301811_RBGEUFRF04/dpll_52046/txpa_55178.png","plot")</f>
        <v>plot</v>
      </c>
    </row>
    <row r="260" spans="1:29" x14ac:dyDescent="0.35">
      <c r="A260" t="s">
        <v>50</v>
      </c>
      <c r="B260">
        <v>52046</v>
      </c>
      <c r="C260" t="s">
        <v>51</v>
      </c>
      <c r="D260">
        <v>55179</v>
      </c>
      <c r="E260" t="s">
        <v>312</v>
      </c>
      <c r="F260">
        <v>11782</v>
      </c>
      <c r="G260">
        <v>0.65526215997334869</v>
      </c>
      <c r="H260">
        <v>0</v>
      </c>
      <c r="I260">
        <v>0</v>
      </c>
      <c r="J260">
        <v>0.59201243564070116</v>
      </c>
      <c r="K260">
        <v>0</v>
      </c>
      <c r="L260">
        <v>0</v>
      </c>
      <c r="M260">
        <v>0.4189128931949892</v>
      </c>
      <c r="N260">
        <v>0</v>
      </c>
      <c r="O260">
        <v>0</v>
      </c>
      <c r="P260">
        <v>0.42936849829293838</v>
      </c>
      <c r="Q260">
        <v>0.90588173713411613</v>
      </c>
      <c r="R260">
        <v>-2.8559628144826918</v>
      </c>
      <c r="S260">
        <v>0.2101884569395423</v>
      </c>
      <c r="T260">
        <v>0.16035137718549311</v>
      </c>
      <c r="U260">
        <v>4.4286477380750293</v>
      </c>
      <c r="V260">
        <v>0.20127646963296911</v>
      </c>
      <c r="W260">
        <v>1.15586829163979</v>
      </c>
      <c r="X260">
        <v>0.27825912908316303</v>
      </c>
      <c r="Z260" t="s">
        <v>392</v>
      </c>
      <c r="AA260">
        <v>161</v>
      </c>
      <c r="AB260" t="s">
        <v>4707</v>
      </c>
      <c r="AC260" t="str">
        <f>HYPERLINK("plots/3FT6Y578R04_015_S31P_20251219032831_M5358ACSA301811_RBGEUFRF04/dpll_52046/txpa_55179.png","plot")</f>
        <v>plot</v>
      </c>
    </row>
    <row r="261" spans="1:29" x14ac:dyDescent="0.35">
      <c r="A261" t="s">
        <v>50</v>
      </c>
      <c r="B261">
        <v>52046</v>
      </c>
      <c r="C261" t="s">
        <v>51</v>
      </c>
      <c r="D261">
        <v>55180</v>
      </c>
      <c r="E261" t="s">
        <v>313</v>
      </c>
      <c r="F261">
        <v>11782</v>
      </c>
      <c r="G261">
        <v>0.6804462317535791</v>
      </c>
      <c r="H261">
        <v>0</v>
      </c>
      <c r="I261">
        <v>0</v>
      </c>
      <c r="J261">
        <v>0.60917728832055729</v>
      </c>
      <c r="K261">
        <v>0</v>
      </c>
      <c r="L261">
        <v>0</v>
      </c>
      <c r="M261">
        <v>0.43504689180259892</v>
      </c>
      <c r="N261">
        <v>0</v>
      </c>
      <c r="O261">
        <v>0</v>
      </c>
      <c r="P261">
        <v>0.46300707430764548</v>
      </c>
      <c r="Q261">
        <v>0.94146226172516234</v>
      </c>
      <c r="R261">
        <v>-2.979320674617091</v>
      </c>
      <c r="S261">
        <v>0.2040647352654798</v>
      </c>
      <c r="T261">
        <v>0.15780005681292861</v>
      </c>
      <c r="U261">
        <v>4.4286477380750293</v>
      </c>
      <c r="V261">
        <v>0.20127646963296911</v>
      </c>
      <c r="W261">
        <v>1.19008404125505</v>
      </c>
      <c r="X261">
        <v>0.27848519323027948</v>
      </c>
      <c r="Z261" t="s">
        <v>392</v>
      </c>
      <c r="AA261">
        <v>161</v>
      </c>
      <c r="AB261" t="s">
        <v>4708</v>
      </c>
      <c r="AC261" t="str">
        <f>HYPERLINK("plots/3FT6Y578R04_015_S31P_20251219032831_M5358ACSA301811_RBGEUFRF04/dpll_52046/txpa_55180.png","plot")</f>
        <v>plot</v>
      </c>
    </row>
    <row r="262" spans="1:29" x14ac:dyDescent="0.35">
      <c r="A262" t="s">
        <v>50</v>
      </c>
      <c r="B262">
        <v>52046</v>
      </c>
      <c r="C262" t="s">
        <v>51</v>
      </c>
      <c r="D262">
        <v>55181</v>
      </c>
      <c r="E262" t="s">
        <v>314</v>
      </c>
      <c r="F262">
        <v>11782</v>
      </c>
      <c r="G262">
        <v>0.6697741156412067</v>
      </c>
      <c r="H262">
        <v>0</v>
      </c>
      <c r="I262">
        <v>0</v>
      </c>
      <c r="J262">
        <v>0.59721992980463701</v>
      </c>
      <c r="K262">
        <v>0</v>
      </c>
      <c r="L262">
        <v>0</v>
      </c>
      <c r="M262">
        <v>0.42480938090264941</v>
      </c>
      <c r="N262">
        <v>0</v>
      </c>
      <c r="O262">
        <v>0</v>
      </c>
      <c r="P262">
        <v>0.44859736598296052</v>
      </c>
      <c r="Q262">
        <v>0.91385014004309817</v>
      </c>
      <c r="R262">
        <v>-2.8423730831579661</v>
      </c>
      <c r="S262">
        <v>0.20391802510746071</v>
      </c>
      <c r="T262">
        <v>0.1575397853059933</v>
      </c>
      <c r="U262">
        <v>4.4286477380750293</v>
      </c>
      <c r="V262">
        <v>0.20127646963296911</v>
      </c>
      <c r="W262">
        <v>1.2047472724834489</v>
      </c>
      <c r="X262">
        <v>0.27462472147849137</v>
      </c>
      <c r="Z262" t="s">
        <v>392</v>
      </c>
      <c r="AA262">
        <v>161</v>
      </c>
      <c r="AB262" t="s">
        <v>4709</v>
      </c>
      <c r="AC262" t="str">
        <f>HYPERLINK("plots/3FT6Y578R04_015_S31P_20251219032831_M5358ACSA301811_RBGEUFRF04/dpll_52046/txpa_55181.png","plot")</f>
        <v>plot</v>
      </c>
    </row>
    <row r="263" spans="1:29" x14ac:dyDescent="0.35">
      <c r="A263" t="s">
        <v>50</v>
      </c>
      <c r="B263">
        <v>52046</v>
      </c>
      <c r="C263" t="s">
        <v>51</v>
      </c>
      <c r="D263">
        <v>55182</v>
      </c>
      <c r="E263" t="s">
        <v>315</v>
      </c>
      <c r="F263">
        <v>11781</v>
      </c>
      <c r="G263">
        <v>0.68743509817581783</v>
      </c>
      <c r="H263">
        <v>0</v>
      </c>
      <c r="I263">
        <v>0</v>
      </c>
      <c r="J263">
        <v>0.60933842209958744</v>
      </c>
      <c r="K263">
        <v>0</v>
      </c>
      <c r="L263">
        <v>0</v>
      </c>
      <c r="M263">
        <v>0.43526845215949961</v>
      </c>
      <c r="N263">
        <v>0</v>
      </c>
      <c r="O263">
        <v>0</v>
      </c>
      <c r="P263">
        <v>0.47256701420399633</v>
      </c>
      <c r="Q263">
        <v>0.94510926832700615</v>
      </c>
      <c r="R263">
        <v>-2.9683459299199222</v>
      </c>
      <c r="S263">
        <v>0.2009666104547517</v>
      </c>
      <c r="T263">
        <v>0.15641716110592691</v>
      </c>
      <c r="U263">
        <v>4.4286547017231142</v>
      </c>
      <c r="V263">
        <v>0.20128359324518649</v>
      </c>
      <c r="W263">
        <v>1.217216674898566</v>
      </c>
      <c r="X263">
        <v>0.27673156352213868</v>
      </c>
      <c r="Z263" t="s">
        <v>392</v>
      </c>
      <c r="AA263">
        <v>161</v>
      </c>
      <c r="AB263" t="s">
        <v>4710</v>
      </c>
      <c r="AC263" t="str">
        <f>HYPERLINK("plots/3FT6Y578R04_015_S31P_20251219032831_M5358ACSA301811_RBGEUFRF04/dpll_52046/txpa_55182.png","plot")</f>
        <v>plot</v>
      </c>
    </row>
    <row r="264" spans="1:29" x14ac:dyDescent="0.35">
      <c r="A264" t="s">
        <v>50</v>
      </c>
      <c r="B264">
        <v>52046</v>
      </c>
      <c r="C264" t="s">
        <v>51</v>
      </c>
      <c r="D264">
        <v>55183</v>
      </c>
      <c r="E264" t="s">
        <v>316</v>
      </c>
      <c r="F264">
        <v>11781</v>
      </c>
      <c r="G264">
        <v>0.68796440813711635</v>
      </c>
      <c r="H264">
        <v>0</v>
      </c>
      <c r="I264">
        <v>0</v>
      </c>
      <c r="J264">
        <v>0.60460783729417156</v>
      </c>
      <c r="K264">
        <v>0</v>
      </c>
      <c r="L264">
        <v>0</v>
      </c>
      <c r="M264">
        <v>0.43008777218718952</v>
      </c>
      <c r="N264">
        <v>0</v>
      </c>
      <c r="O264">
        <v>0</v>
      </c>
      <c r="P264">
        <v>0.47329502686345282</v>
      </c>
      <c r="Q264">
        <v>0.94239058289256339</v>
      </c>
      <c r="R264">
        <v>-2.9746666281250378</v>
      </c>
      <c r="S264">
        <v>0.2000768273518938</v>
      </c>
      <c r="T264">
        <v>0.15610392364179099</v>
      </c>
      <c r="U264">
        <v>4.4286210779220783</v>
      </c>
      <c r="V264">
        <v>0.20126420786155011</v>
      </c>
      <c r="W264">
        <v>1.1988241709082419</v>
      </c>
      <c r="X264">
        <v>0.27569666674421012</v>
      </c>
      <c r="Z264" t="s">
        <v>392</v>
      </c>
      <c r="AA264">
        <v>161</v>
      </c>
      <c r="AB264" t="s">
        <v>4711</v>
      </c>
      <c r="AC264" t="str">
        <f>HYPERLINK("plots/3FT6Y578R04_015_S31P_20251219032831_M5358ACSA301811_RBGEUFRF04/dpll_52046/txpa_55183.png","plot")</f>
        <v>plot</v>
      </c>
    </row>
    <row r="265" spans="1:29" x14ac:dyDescent="0.35">
      <c r="A265" t="s">
        <v>50</v>
      </c>
      <c r="B265">
        <v>52046</v>
      </c>
      <c r="C265" t="s">
        <v>51</v>
      </c>
      <c r="D265">
        <v>55184</v>
      </c>
      <c r="E265" t="s">
        <v>317</v>
      </c>
      <c r="F265">
        <v>11782</v>
      </c>
      <c r="G265">
        <v>0.69303934465212524</v>
      </c>
      <c r="H265">
        <v>0</v>
      </c>
      <c r="I265">
        <v>0</v>
      </c>
      <c r="J265">
        <v>0.61830663428938337</v>
      </c>
      <c r="K265">
        <v>0</v>
      </c>
      <c r="L265">
        <v>0</v>
      </c>
      <c r="M265">
        <v>0.44201653968390658</v>
      </c>
      <c r="N265">
        <v>0</v>
      </c>
      <c r="O265">
        <v>0</v>
      </c>
      <c r="P265">
        <v>0.48030353323584718</v>
      </c>
      <c r="Q265">
        <v>0.95613422062197917</v>
      </c>
      <c r="R265">
        <v>-3.0311766120854711</v>
      </c>
      <c r="S265">
        <v>0.2001752726324921</v>
      </c>
      <c r="T265">
        <v>0.15586668142725019</v>
      </c>
      <c r="U265">
        <v>4.4286477380750293</v>
      </c>
      <c r="V265">
        <v>0.20127646963296911</v>
      </c>
      <c r="W265">
        <v>1.203205041368189</v>
      </c>
      <c r="X265">
        <v>0.27768599561784241</v>
      </c>
      <c r="Z265" t="s">
        <v>392</v>
      </c>
      <c r="AA265">
        <v>161</v>
      </c>
      <c r="AB265" t="s">
        <v>4712</v>
      </c>
      <c r="AC265" t="str">
        <f>HYPERLINK("plots/3FT6Y578R04_015_S31P_20251219032831_M5358ACSA301811_RBGEUFRF04/dpll_52046/txpa_55184.png","plot")</f>
        <v>plot</v>
      </c>
    </row>
    <row r="266" spans="1:29" x14ac:dyDescent="0.35">
      <c r="A266" t="s">
        <v>50</v>
      </c>
      <c r="B266">
        <v>52046</v>
      </c>
      <c r="C266" t="s">
        <v>51</v>
      </c>
      <c r="D266">
        <v>55185</v>
      </c>
      <c r="E266" t="s">
        <v>318</v>
      </c>
      <c r="F266">
        <v>11782</v>
      </c>
      <c r="G266">
        <v>0.6895260420925311</v>
      </c>
      <c r="H266">
        <v>0</v>
      </c>
      <c r="I266">
        <v>0</v>
      </c>
      <c r="J266">
        <v>0.60881233857431849</v>
      </c>
      <c r="K266">
        <v>0</v>
      </c>
      <c r="L266">
        <v>0</v>
      </c>
      <c r="M266">
        <v>0.43353975983495519</v>
      </c>
      <c r="N266">
        <v>0</v>
      </c>
      <c r="O266">
        <v>0</v>
      </c>
      <c r="P266">
        <v>0.47544616272379098</v>
      </c>
      <c r="Q266">
        <v>0.93822570899234159</v>
      </c>
      <c r="R266">
        <v>-2.9454892306608338</v>
      </c>
      <c r="S266">
        <v>0.19834728730415599</v>
      </c>
      <c r="T266">
        <v>0.15551225832708759</v>
      </c>
      <c r="U266">
        <v>4.4286477380750293</v>
      </c>
      <c r="V266">
        <v>0.20127646963296911</v>
      </c>
      <c r="W266">
        <v>1.20958193327194</v>
      </c>
      <c r="X266">
        <v>0.27387327946567408</v>
      </c>
      <c r="Z266" t="s">
        <v>392</v>
      </c>
      <c r="AA266">
        <v>161</v>
      </c>
      <c r="AB266" t="s">
        <v>4713</v>
      </c>
      <c r="AC266" t="str">
        <f>HYPERLINK("plots/3FT6Y578R04_015_S31P_20251219032831_M5358ACSA301811_RBGEUFRF04/dpll_52046/txpa_55185.png","plot")</f>
        <v>plot</v>
      </c>
    </row>
    <row r="267" spans="1:29" x14ac:dyDescent="0.35">
      <c r="A267" t="s">
        <v>50</v>
      </c>
      <c r="B267">
        <v>52046</v>
      </c>
      <c r="C267" t="s">
        <v>51</v>
      </c>
      <c r="D267">
        <v>55186</v>
      </c>
      <c r="E267" t="s">
        <v>319</v>
      </c>
      <c r="F267">
        <v>11781</v>
      </c>
      <c r="G267">
        <v>0.67748781793392832</v>
      </c>
      <c r="H267">
        <v>0</v>
      </c>
      <c r="I267">
        <v>0</v>
      </c>
      <c r="J267">
        <v>0.59832108584841148</v>
      </c>
      <c r="K267">
        <v>0</v>
      </c>
      <c r="L267">
        <v>0</v>
      </c>
      <c r="M267">
        <v>0.42633693655472082</v>
      </c>
      <c r="N267">
        <v>0</v>
      </c>
      <c r="O267">
        <v>0</v>
      </c>
      <c r="P267">
        <v>0.45898974344887561</v>
      </c>
      <c r="Q267">
        <v>0.93035010879815416</v>
      </c>
      <c r="R267">
        <v>-2.9415038187501978</v>
      </c>
      <c r="S267">
        <v>0.2032866421944523</v>
      </c>
      <c r="T267">
        <v>0.15752323458438189</v>
      </c>
      <c r="U267">
        <v>4.4286701896273666</v>
      </c>
      <c r="V267">
        <v>0.20127025814248481</v>
      </c>
      <c r="W267">
        <v>1.178709974000764</v>
      </c>
      <c r="X267">
        <v>0.27639140011659208</v>
      </c>
      <c r="Z267" t="s">
        <v>392</v>
      </c>
      <c r="AA267">
        <v>161</v>
      </c>
      <c r="AB267" t="s">
        <v>4714</v>
      </c>
      <c r="AC267" t="str">
        <f>HYPERLINK("plots/3FT6Y578R04_015_S31P_20251219032831_M5358ACSA301811_RBGEUFRF04/dpll_52046/txpa_55186.png","plot")</f>
        <v>plot</v>
      </c>
    </row>
    <row r="268" spans="1:29" x14ac:dyDescent="0.35">
      <c r="A268" t="s">
        <v>50</v>
      </c>
      <c r="B268">
        <v>52046</v>
      </c>
      <c r="C268" t="s">
        <v>51</v>
      </c>
      <c r="D268">
        <v>55187</v>
      </c>
      <c r="E268" t="s">
        <v>320</v>
      </c>
      <c r="F268">
        <v>11782</v>
      </c>
      <c r="G268">
        <v>0.68706058296808237</v>
      </c>
      <c r="H268">
        <v>0</v>
      </c>
      <c r="I268">
        <v>0</v>
      </c>
      <c r="J268">
        <v>0.62374267906659164</v>
      </c>
      <c r="K268">
        <v>0</v>
      </c>
      <c r="L268">
        <v>0</v>
      </c>
      <c r="M268">
        <v>0.44430205556489311</v>
      </c>
      <c r="N268">
        <v>0</v>
      </c>
      <c r="O268">
        <v>0</v>
      </c>
      <c r="P268">
        <v>0.4720522446684412</v>
      </c>
      <c r="Q268">
        <v>0.97945903858615457</v>
      </c>
      <c r="R268">
        <v>-1.168815006034829</v>
      </c>
      <c r="S268">
        <v>0.2084785096739509</v>
      </c>
      <c r="T268">
        <v>0.1588019788619944</v>
      </c>
      <c r="U268">
        <v>4.4286477380750293</v>
      </c>
      <c r="V268">
        <v>0.20127646963296911</v>
      </c>
      <c r="W268">
        <v>3.1688640497368872</v>
      </c>
      <c r="X268">
        <v>0.28693547894288313</v>
      </c>
      <c r="Z268" t="s">
        <v>392</v>
      </c>
      <c r="AA268">
        <v>161</v>
      </c>
      <c r="AB268" t="s">
        <v>4715</v>
      </c>
      <c r="AC268" t="str">
        <f>HYPERLINK("plots/3FT6Y578R04_015_S31P_20251219032831_M5358ACSA301811_RBGEUFRF04/dpll_52046/txpa_55187.png","plot")</f>
        <v>plot</v>
      </c>
    </row>
    <row r="269" spans="1:29" x14ac:dyDescent="0.35">
      <c r="A269" t="s">
        <v>50</v>
      </c>
      <c r="B269">
        <v>52046</v>
      </c>
      <c r="C269" t="s">
        <v>51</v>
      </c>
      <c r="D269">
        <v>55188</v>
      </c>
      <c r="E269" t="s">
        <v>321</v>
      </c>
      <c r="F269">
        <v>11782</v>
      </c>
      <c r="G269">
        <v>0.71068892594543298</v>
      </c>
      <c r="H269">
        <v>0</v>
      </c>
      <c r="I269">
        <v>0</v>
      </c>
      <c r="J269">
        <v>0.63953352268100139</v>
      </c>
      <c r="K269">
        <v>0</v>
      </c>
      <c r="L269">
        <v>0</v>
      </c>
      <c r="M269">
        <v>0.45996771574861678</v>
      </c>
      <c r="N269">
        <v>0</v>
      </c>
      <c r="O269">
        <v>0</v>
      </c>
      <c r="P269">
        <v>0.50507874946147313</v>
      </c>
      <c r="Q269">
        <v>1.013767908732355</v>
      </c>
      <c r="R269">
        <v>-1.287304348149048</v>
      </c>
      <c r="S269">
        <v>0.20197686036684809</v>
      </c>
      <c r="T269">
        <v>0.1561833913194941</v>
      </c>
      <c r="U269">
        <v>4.4286477380750293</v>
      </c>
      <c r="V269">
        <v>0.20127646963296911</v>
      </c>
      <c r="W269">
        <v>3.202316607791547</v>
      </c>
      <c r="X269">
        <v>0.28711243168085199</v>
      </c>
      <c r="Z269" t="s">
        <v>392</v>
      </c>
      <c r="AA269">
        <v>161</v>
      </c>
      <c r="AB269" t="s">
        <v>4716</v>
      </c>
      <c r="AC269" t="str">
        <f>HYPERLINK("plots/3FT6Y578R04_015_S31P_20251219032831_M5358ACSA301811_RBGEUFRF04/dpll_52046/txpa_55188.png","plot")</f>
        <v>plot</v>
      </c>
    </row>
    <row r="270" spans="1:29" x14ac:dyDescent="0.35">
      <c r="A270" t="s">
        <v>50</v>
      </c>
      <c r="B270">
        <v>52046</v>
      </c>
      <c r="C270" t="s">
        <v>51</v>
      </c>
      <c r="D270">
        <v>55189</v>
      </c>
      <c r="E270" t="s">
        <v>322</v>
      </c>
      <c r="F270">
        <v>11782</v>
      </c>
      <c r="G270">
        <v>0.70050574893684114</v>
      </c>
      <c r="H270">
        <v>0</v>
      </c>
      <c r="I270">
        <v>0</v>
      </c>
      <c r="J270">
        <v>0.6287188815340119</v>
      </c>
      <c r="K270">
        <v>0</v>
      </c>
      <c r="L270">
        <v>0</v>
      </c>
      <c r="M270">
        <v>0.4502684647896763</v>
      </c>
      <c r="N270">
        <v>0</v>
      </c>
      <c r="O270">
        <v>0</v>
      </c>
      <c r="P270">
        <v>0.49070830429356471</v>
      </c>
      <c r="Q270">
        <v>0.98657861494718513</v>
      </c>
      <c r="R270">
        <v>-1.152633067577441</v>
      </c>
      <c r="S270">
        <v>0.20229160782542141</v>
      </c>
      <c r="T270">
        <v>0.15585660628644091</v>
      </c>
      <c r="U270">
        <v>4.4286477380750293</v>
      </c>
      <c r="V270">
        <v>0.20127646963296911</v>
      </c>
      <c r="W270">
        <v>3.216576083941606</v>
      </c>
      <c r="X270">
        <v>0.28347384862055958</v>
      </c>
      <c r="Z270" t="s">
        <v>392</v>
      </c>
      <c r="AA270">
        <v>161</v>
      </c>
      <c r="AB270" t="s">
        <v>4717</v>
      </c>
      <c r="AC270" t="str">
        <f>HYPERLINK("plots/3FT6Y578R04_015_S31P_20251219032831_M5358ACSA301811_RBGEUFRF04/dpll_52046/txpa_55189.png","plot")</f>
        <v>plot</v>
      </c>
    </row>
    <row r="271" spans="1:29" x14ac:dyDescent="0.35">
      <c r="A271" t="s">
        <v>50</v>
      </c>
      <c r="B271">
        <v>52046</v>
      </c>
      <c r="C271" t="s">
        <v>51</v>
      </c>
      <c r="D271">
        <v>55190</v>
      </c>
      <c r="E271" t="s">
        <v>323</v>
      </c>
      <c r="F271">
        <v>11781</v>
      </c>
      <c r="G271">
        <v>0.71676652673565666</v>
      </c>
      <c r="H271">
        <v>0</v>
      </c>
      <c r="I271">
        <v>0</v>
      </c>
      <c r="J271">
        <v>0.63971808956654119</v>
      </c>
      <c r="K271">
        <v>0</v>
      </c>
      <c r="L271">
        <v>0</v>
      </c>
      <c r="M271">
        <v>0.46001524120226461</v>
      </c>
      <c r="N271">
        <v>0</v>
      </c>
      <c r="O271">
        <v>0</v>
      </c>
      <c r="P271">
        <v>0.51375425384869677</v>
      </c>
      <c r="Q271">
        <v>1.015744065687876</v>
      </c>
      <c r="R271">
        <v>-1.272127422095535</v>
      </c>
      <c r="S271">
        <v>0.19889525836831601</v>
      </c>
      <c r="T271">
        <v>0.15472798964426621</v>
      </c>
      <c r="U271">
        <v>4.4286547017231142</v>
      </c>
      <c r="V271">
        <v>0.20128359324518649</v>
      </c>
      <c r="W271">
        <v>3.2262523101604281</v>
      </c>
      <c r="X271">
        <v>0.28524297345505439</v>
      </c>
      <c r="Z271" t="s">
        <v>392</v>
      </c>
      <c r="AA271">
        <v>161</v>
      </c>
      <c r="AB271" t="s">
        <v>4718</v>
      </c>
      <c r="AC271" t="str">
        <f>HYPERLINK("plots/3FT6Y578R04_015_S31P_20251219032831_M5358ACSA301811_RBGEUFRF04/dpll_52046/txpa_55190.png","plot")</f>
        <v>plot</v>
      </c>
    </row>
    <row r="272" spans="1:29" x14ac:dyDescent="0.35">
      <c r="A272" t="s">
        <v>50</v>
      </c>
      <c r="B272">
        <v>52046</v>
      </c>
      <c r="C272" t="s">
        <v>51</v>
      </c>
      <c r="D272">
        <v>55191</v>
      </c>
      <c r="E272" t="s">
        <v>324</v>
      </c>
      <c r="F272">
        <v>11781</v>
      </c>
      <c r="G272">
        <v>0.71802720786084195</v>
      </c>
      <c r="H272">
        <v>0</v>
      </c>
      <c r="I272">
        <v>0</v>
      </c>
      <c r="J272">
        <v>0.63526543169561533</v>
      </c>
      <c r="K272">
        <v>0</v>
      </c>
      <c r="L272">
        <v>0</v>
      </c>
      <c r="M272">
        <v>0.45485329059111018</v>
      </c>
      <c r="N272">
        <v>0</v>
      </c>
      <c r="O272">
        <v>0</v>
      </c>
      <c r="P272">
        <v>0.5155630712284367</v>
      </c>
      <c r="Q272">
        <v>1.013131707189999</v>
      </c>
      <c r="R272">
        <v>-1.280124590035554</v>
      </c>
      <c r="S272">
        <v>0.19764768998776039</v>
      </c>
      <c r="T272">
        <v>0.15401316466775711</v>
      </c>
      <c r="U272">
        <v>4.4286210779220783</v>
      </c>
      <c r="V272">
        <v>0.20126420786155011</v>
      </c>
      <c r="W272">
        <v>3.206651843137255</v>
      </c>
      <c r="X272">
        <v>0.28398248461154912</v>
      </c>
      <c r="Z272" t="s">
        <v>392</v>
      </c>
      <c r="AA272">
        <v>161</v>
      </c>
      <c r="AB272" t="s">
        <v>4719</v>
      </c>
      <c r="AC272" t="str">
        <f>HYPERLINK("plots/3FT6Y578R04_015_S31P_20251219032831_M5358ACSA301811_RBGEUFRF04/dpll_52046/txpa_55191.png","plot")</f>
        <v>plot</v>
      </c>
    </row>
    <row r="273" spans="1:29" x14ac:dyDescent="0.35">
      <c r="A273" t="s">
        <v>50</v>
      </c>
      <c r="B273">
        <v>52046</v>
      </c>
      <c r="C273" t="s">
        <v>51</v>
      </c>
      <c r="D273">
        <v>55192</v>
      </c>
      <c r="E273" t="s">
        <v>325</v>
      </c>
      <c r="F273">
        <v>11782</v>
      </c>
      <c r="G273">
        <v>0.72228683910857794</v>
      </c>
      <c r="H273">
        <v>0</v>
      </c>
      <c r="I273">
        <v>0</v>
      </c>
      <c r="J273">
        <v>0.64892114850338434</v>
      </c>
      <c r="K273">
        <v>0</v>
      </c>
      <c r="L273">
        <v>0</v>
      </c>
      <c r="M273">
        <v>0.46721103247382362</v>
      </c>
      <c r="N273">
        <v>0</v>
      </c>
      <c r="O273">
        <v>0</v>
      </c>
      <c r="P273">
        <v>0.52169827794946078</v>
      </c>
      <c r="Q273">
        <v>1.0283212023420889</v>
      </c>
      <c r="R273">
        <v>-1.339919665612582</v>
      </c>
      <c r="S273">
        <v>0.19817306947456889</v>
      </c>
      <c r="T273">
        <v>0.1541925142915844</v>
      </c>
      <c r="U273">
        <v>4.4286477380750293</v>
      </c>
      <c r="V273">
        <v>0.20127646963296911</v>
      </c>
      <c r="W273">
        <v>3.214152701154303</v>
      </c>
      <c r="X273">
        <v>0.28655770816977583</v>
      </c>
      <c r="Z273" t="s">
        <v>392</v>
      </c>
      <c r="AA273">
        <v>161</v>
      </c>
      <c r="AB273" t="s">
        <v>4720</v>
      </c>
      <c r="AC273" t="str">
        <f>HYPERLINK("plots/3FT6Y578R04_015_S31P_20251219032831_M5358ACSA301811_RBGEUFRF04/dpll_52046/txpa_55192.png","plot")</f>
        <v>plot</v>
      </c>
    </row>
    <row r="274" spans="1:29" x14ac:dyDescent="0.35">
      <c r="A274" t="s">
        <v>50</v>
      </c>
      <c r="B274">
        <v>52046</v>
      </c>
      <c r="C274" t="s">
        <v>51</v>
      </c>
      <c r="D274">
        <v>55193</v>
      </c>
      <c r="E274" t="s">
        <v>326</v>
      </c>
      <c r="F274">
        <v>11782</v>
      </c>
      <c r="G274">
        <v>0.71912378732812665</v>
      </c>
      <c r="H274">
        <v>0</v>
      </c>
      <c r="I274">
        <v>0</v>
      </c>
      <c r="J274">
        <v>0.63877242666676837</v>
      </c>
      <c r="K274">
        <v>0</v>
      </c>
      <c r="L274">
        <v>0</v>
      </c>
      <c r="M274">
        <v>0.45802895526448228</v>
      </c>
      <c r="N274">
        <v>0</v>
      </c>
      <c r="O274">
        <v>0</v>
      </c>
      <c r="P274">
        <v>0.51713902150114877</v>
      </c>
      <c r="Q274">
        <v>1.010380856647038</v>
      </c>
      <c r="R274">
        <v>-1.2544679361243269</v>
      </c>
      <c r="S274">
        <v>0.19650204965325949</v>
      </c>
      <c r="T274">
        <v>0.15393153864136749</v>
      </c>
      <c r="U274">
        <v>4.4286477380750293</v>
      </c>
      <c r="V274">
        <v>0.20127646963296911</v>
      </c>
      <c r="W274">
        <v>3.2201529592598881</v>
      </c>
      <c r="X274">
        <v>0.28279678046285739</v>
      </c>
      <c r="Z274" t="s">
        <v>392</v>
      </c>
      <c r="AA274">
        <v>161</v>
      </c>
      <c r="AB274" t="s">
        <v>4721</v>
      </c>
      <c r="AC274" t="str">
        <f>HYPERLINK("plots/3FT6Y578R04_015_S31P_20251219032831_M5358ACSA301811_RBGEUFRF04/dpll_52046/txpa_55193.png","plot")</f>
        <v>plot</v>
      </c>
    </row>
    <row r="275" spans="1:29" x14ac:dyDescent="0.35">
      <c r="A275" t="s">
        <v>50</v>
      </c>
      <c r="B275">
        <v>52046</v>
      </c>
      <c r="C275" t="s">
        <v>51</v>
      </c>
      <c r="D275">
        <v>55194</v>
      </c>
      <c r="E275" t="s">
        <v>327</v>
      </c>
      <c r="F275">
        <v>11781</v>
      </c>
      <c r="G275">
        <v>0.70878079243967296</v>
      </c>
      <c r="H275">
        <v>0</v>
      </c>
      <c r="I275">
        <v>0</v>
      </c>
      <c r="J275">
        <v>0.62988696177522441</v>
      </c>
      <c r="K275">
        <v>0</v>
      </c>
      <c r="L275">
        <v>0</v>
      </c>
      <c r="M275">
        <v>0.45188710612185351</v>
      </c>
      <c r="N275">
        <v>0</v>
      </c>
      <c r="O275">
        <v>0</v>
      </c>
      <c r="P275">
        <v>0.50237021173141072</v>
      </c>
      <c r="Q275">
        <v>1.0033341368846229</v>
      </c>
      <c r="R275">
        <v>-1.2521575396794049</v>
      </c>
      <c r="S275">
        <v>0.2009777613307227</v>
      </c>
      <c r="T275">
        <v>0.15547141282108939</v>
      </c>
      <c r="U275">
        <v>4.4286701896273666</v>
      </c>
      <c r="V275">
        <v>0.20127025814248481</v>
      </c>
      <c r="W275">
        <v>3.1912784425770311</v>
      </c>
      <c r="X275">
        <v>0.28491364733352792</v>
      </c>
      <c r="Z275" t="s">
        <v>392</v>
      </c>
      <c r="AA275">
        <v>161</v>
      </c>
      <c r="AB275" t="s">
        <v>4722</v>
      </c>
      <c r="AC275" t="str">
        <f>HYPERLINK("plots/3FT6Y578R04_015_S31P_20251219032831_M5358ACSA301811_RBGEUFRF04/dpll_52046/txpa_55194.png","plot")</f>
        <v>plot</v>
      </c>
    </row>
    <row r="276" spans="1:29" x14ac:dyDescent="0.35">
      <c r="A276" t="s">
        <v>50</v>
      </c>
      <c r="B276">
        <v>52046</v>
      </c>
      <c r="C276" t="s">
        <v>51</v>
      </c>
      <c r="D276">
        <v>55195</v>
      </c>
      <c r="E276" t="s">
        <v>328</v>
      </c>
      <c r="F276">
        <v>11782</v>
      </c>
      <c r="G276">
        <v>0.72518594135734671</v>
      </c>
      <c r="H276">
        <v>0</v>
      </c>
      <c r="I276">
        <v>0</v>
      </c>
      <c r="J276">
        <v>0.65703152499418083</v>
      </c>
      <c r="K276">
        <v>0</v>
      </c>
      <c r="L276">
        <v>0</v>
      </c>
      <c r="M276">
        <v>0.47211202242367539</v>
      </c>
      <c r="N276">
        <v>0</v>
      </c>
      <c r="O276">
        <v>0</v>
      </c>
      <c r="P276">
        <v>0.52589464954234111</v>
      </c>
      <c r="Q276">
        <v>1.0922317268357</v>
      </c>
      <c r="R276">
        <v>0.74979691592612152</v>
      </c>
      <c r="S276">
        <v>0.20872641547491769</v>
      </c>
      <c r="T276">
        <v>0.1583696552220088</v>
      </c>
      <c r="U276">
        <v>4.4286477380750293</v>
      </c>
      <c r="V276">
        <v>0.20127646963296911</v>
      </c>
      <c r="W276">
        <v>5.5869064824308268</v>
      </c>
      <c r="X276">
        <v>0.30315059002265088</v>
      </c>
      <c r="Z276" t="s">
        <v>392</v>
      </c>
      <c r="AA276">
        <v>161</v>
      </c>
      <c r="AB276" t="s">
        <v>4723</v>
      </c>
      <c r="AC276" t="str">
        <f>HYPERLINK("plots/3FT6Y578R04_015_S31P_20251219032831_M5358ACSA301811_RBGEUFRF04/dpll_52046/txpa_55195.png","plot")</f>
        <v>plot</v>
      </c>
    </row>
    <row r="277" spans="1:29" x14ac:dyDescent="0.35">
      <c r="A277" t="s">
        <v>50</v>
      </c>
      <c r="B277">
        <v>52046</v>
      </c>
      <c r="C277" t="s">
        <v>51</v>
      </c>
      <c r="D277">
        <v>55196</v>
      </c>
      <c r="E277" t="s">
        <v>329</v>
      </c>
      <c r="F277">
        <v>11782</v>
      </c>
      <c r="G277">
        <v>0.74615376116095444</v>
      </c>
      <c r="H277">
        <v>0</v>
      </c>
      <c r="I277">
        <v>0</v>
      </c>
      <c r="J277">
        <v>0.67057749683365864</v>
      </c>
      <c r="K277">
        <v>0</v>
      </c>
      <c r="L277">
        <v>0</v>
      </c>
      <c r="M277">
        <v>0.4864085761143489</v>
      </c>
      <c r="N277">
        <v>0</v>
      </c>
      <c r="O277">
        <v>0</v>
      </c>
      <c r="P277">
        <v>0.5567454352946386</v>
      </c>
      <c r="Q277">
        <v>1.124629327878246</v>
      </c>
      <c r="R277">
        <v>0.63940547166606887</v>
      </c>
      <c r="S277">
        <v>0.20196785626612179</v>
      </c>
      <c r="T277">
        <v>0.1557538875772351</v>
      </c>
      <c r="U277">
        <v>4.4286477380750293</v>
      </c>
      <c r="V277">
        <v>0.20127646963296911</v>
      </c>
      <c r="W277">
        <v>5.6199926007469019</v>
      </c>
      <c r="X277">
        <v>0.30337101083405682</v>
      </c>
      <c r="Z277" t="s">
        <v>392</v>
      </c>
      <c r="AA277">
        <v>161</v>
      </c>
      <c r="AB277" t="s">
        <v>4724</v>
      </c>
      <c r="AC277" t="str">
        <f>HYPERLINK("plots/3FT6Y578R04_015_S31P_20251219032831_M5358ACSA301811_RBGEUFRF04/dpll_52046/txpa_55196.png","plot")</f>
        <v>plot</v>
      </c>
    </row>
    <row r="278" spans="1:29" x14ac:dyDescent="0.35">
      <c r="A278" t="s">
        <v>50</v>
      </c>
      <c r="B278">
        <v>52046</v>
      </c>
      <c r="C278" t="s">
        <v>51</v>
      </c>
      <c r="D278">
        <v>55197</v>
      </c>
      <c r="E278" t="s">
        <v>330</v>
      </c>
      <c r="F278">
        <v>11782</v>
      </c>
      <c r="G278">
        <v>0.73720410034107109</v>
      </c>
      <c r="H278">
        <v>0</v>
      </c>
      <c r="I278">
        <v>0</v>
      </c>
      <c r="J278">
        <v>0.66099865647550748</v>
      </c>
      <c r="K278">
        <v>0</v>
      </c>
      <c r="L278">
        <v>0</v>
      </c>
      <c r="M278">
        <v>0.47738742266345752</v>
      </c>
      <c r="N278">
        <v>0</v>
      </c>
      <c r="O278">
        <v>0</v>
      </c>
      <c r="P278">
        <v>0.543469885559688</v>
      </c>
      <c r="Q278">
        <v>1.0974116712168269</v>
      </c>
      <c r="R278">
        <v>0.77375746497320907</v>
      </c>
      <c r="S278">
        <v>0.202437573483783</v>
      </c>
      <c r="T278">
        <v>0.15525013233942889</v>
      </c>
      <c r="U278">
        <v>4.4286477380750293</v>
      </c>
      <c r="V278">
        <v>0.20127646963296911</v>
      </c>
      <c r="W278">
        <v>5.6338071804447463</v>
      </c>
      <c r="X278">
        <v>0.29962278670770659</v>
      </c>
      <c r="Z278" t="s">
        <v>392</v>
      </c>
      <c r="AA278">
        <v>161</v>
      </c>
      <c r="AB278" t="s">
        <v>4725</v>
      </c>
      <c r="AC278" t="str">
        <f>HYPERLINK("plots/3FT6Y578R04_015_S31P_20251219032831_M5358ACSA301811_RBGEUFRF04/dpll_52046/txpa_55197.png","plot")</f>
        <v>plot</v>
      </c>
    </row>
    <row r="279" spans="1:29" x14ac:dyDescent="0.35">
      <c r="A279" t="s">
        <v>50</v>
      </c>
      <c r="B279">
        <v>52046</v>
      </c>
      <c r="C279" t="s">
        <v>51</v>
      </c>
      <c r="D279">
        <v>55198</v>
      </c>
      <c r="E279" t="s">
        <v>331</v>
      </c>
      <c r="F279">
        <v>11781</v>
      </c>
      <c r="G279">
        <v>0.75223834210689222</v>
      </c>
      <c r="H279">
        <v>0</v>
      </c>
      <c r="I279">
        <v>0</v>
      </c>
      <c r="J279">
        <v>0.671927063443024</v>
      </c>
      <c r="K279">
        <v>0</v>
      </c>
      <c r="L279">
        <v>0</v>
      </c>
      <c r="M279">
        <v>0.48742472239763412</v>
      </c>
      <c r="N279">
        <v>0</v>
      </c>
      <c r="O279">
        <v>0</v>
      </c>
      <c r="P279">
        <v>0.56586252333572584</v>
      </c>
      <c r="Q279">
        <v>1.126145871415601</v>
      </c>
      <c r="R279">
        <v>0.65362014959358028</v>
      </c>
      <c r="S279">
        <v>0.1985375991671616</v>
      </c>
      <c r="T279">
        <v>0.15398011772986611</v>
      </c>
      <c r="U279">
        <v>4.4286547017231142</v>
      </c>
      <c r="V279">
        <v>0.20128359324518649</v>
      </c>
      <c r="W279">
        <v>5.640931357864357</v>
      </c>
      <c r="X279">
        <v>0.3013335997762181</v>
      </c>
      <c r="Z279" t="s">
        <v>392</v>
      </c>
      <c r="AA279">
        <v>161</v>
      </c>
      <c r="AB279" t="s">
        <v>4726</v>
      </c>
      <c r="AC279" t="str">
        <f>HYPERLINK("plots/3FT6Y578R04_015_S31P_20251219032831_M5358ACSA301811_RBGEUFRF04/dpll_52046/txpa_55198.png","plot")</f>
        <v>plot</v>
      </c>
    </row>
    <row r="280" spans="1:29" x14ac:dyDescent="0.35">
      <c r="A280" t="s">
        <v>50</v>
      </c>
      <c r="B280">
        <v>52046</v>
      </c>
      <c r="C280" t="s">
        <v>51</v>
      </c>
      <c r="D280">
        <v>55199</v>
      </c>
      <c r="E280" t="s">
        <v>332</v>
      </c>
      <c r="F280">
        <v>11781</v>
      </c>
      <c r="G280">
        <v>0.75377219111374583</v>
      </c>
      <c r="H280">
        <v>0</v>
      </c>
      <c r="I280">
        <v>0</v>
      </c>
      <c r="J280">
        <v>0.6678370655323369</v>
      </c>
      <c r="K280">
        <v>0</v>
      </c>
      <c r="L280">
        <v>0</v>
      </c>
      <c r="M280">
        <v>0.48245288778433221</v>
      </c>
      <c r="N280">
        <v>0</v>
      </c>
      <c r="O280">
        <v>0</v>
      </c>
      <c r="P280">
        <v>0.56817251609641739</v>
      </c>
      <c r="Q280">
        <v>1.1236774896946431</v>
      </c>
      <c r="R280">
        <v>0.64393066936998533</v>
      </c>
      <c r="S280">
        <v>0.19715365159208981</v>
      </c>
      <c r="T280">
        <v>0.15322199928556099</v>
      </c>
      <c r="U280">
        <v>4.4286210779220783</v>
      </c>
      <c r="V280">
        <v>0.20126420786155011</v>
      </c>
      <c r="W280">
        <v>5.6202724850182486</v>
      </c>
      <c r="X280">
        <v>0.30003237386761061</v>
      </c>
      <c r="Z280" t="s">
        <v>392</v>
      </c>
      <c r="AA280">
        <v>161</v>
      </c>
      <c r="AB280" t="s">
        <v>4727</v>
      </c>
      <c r="AC280" t="str">
        <f>HYPERLINK("plots/3FT6Y578R04_015_S31P_20251219032831_M5358ACSA301811_RBGEUFRF04/dpll_52046/txpa_55199.png","plot")</f>
        <v>plot</v>
      </c>
    </row>
    <row r="281" spans="1:29" x14ac:dyDescent="0.35">
      <c r="A281" t="s">
        <v>50</v>
      </c>
      <c r="B281">
        <v>52046</v>
      </c>
      <c r="C281" t="s">
        <v>51</v>
      </c>
      <c r="D281">
        <v>55200</v>
      </c>
      <c r="E281" t="s">
        <v>333</v>
      </c>
      <c r="F281">
        <v>11781</v>
      </c>
      <c r="G281">
        <v>0.75859333170133592</v>
      </c>
      <c r="H281">
        <v>0</v>
      </c>
      <c r="I281">
        <v>0</v>
      </c>
      <c r="J281">
        <v>0.67973584326662673</v>
      </c>
      <c r="K281">
        <v>0</v>
      </c>
      <c r="L281">
        <v>0</v>
      </c>
      <c r="M281">
        <v>0.49367042828509738</v>
      </c>
      <c r="N281">
        <v>0</v>
      </c>
      <c r="O281">
        <v>0</v>
      </c>
      <c r="P281">
        <v>0.57546384290173302</v>
      </c>
      <c r="Q281">
        <v>1.139891058497088</v>
      </c>
      <c r="R281">
        <v>0.58244037033690166</v>
      </c>
      <c r="S281">
        <v>0.19703959453723779</v>
      </c>
      <c r="T281">
        <v>0.15328171836338769</v>
      </c>
      <c r="U281">
        <v>4.4286192746795683</v>
      </c>
      <c r="V281">
        <v>0.20126129812424351</v>
      </c>
      <c r="W281">
        <v>5.6305838830320019</v>
      </c>
      <c r="X281">
        <v>0.30242284576746697</v>
      </c>
      <c r="Z281" t="s">
        <v>392</v>
      </c>
      <c r="AA281">
        <v>161</v>
      </c>
      <c r="AB281" t="s">
        <v>4728</v>
      </c>
      <c r="AC281" t="str">
        <f>HYPERLINK("plots/3FT6Y578R04_015_S31P_20251219032831_M5358ACSA301811_RBGEUFRF04/dpll_52046/txpa_55200.png","plot")</f>
        <v>plot</v>
      </c>
    </row>
    <row r="282" spans="1:29" x14ac:dyDescent="0.35">
      <c r="A282" t="s">
        <v>50</v>
      </c>
      <c r="B282">
        <v>52046</v>
      </c>
      <c r="C282" t="s">
        <v>51</v>
      </c>
      <c r="D282">
        <v>55201</v>
      </c>
      <c r="E282" t="s">
        <v>334</v>
      </c>
      <c r="F282">
        <v>11782</v>
      </c>
      <c r="G282">
        <v>0.7546472119927099</v>
      </c>
      <c r="H282">
        <v>0</v>
      </c>
      <c r="I282">
        <v>0</v>
      </c>
      <c r="J282">
        <v>0.67020871279194461</v>
      </c>
      <c r="K282">
        <v>0</v>
      </c>
      <c r="L282">
        <v>0</v>
      </c>
      <c r="M282">
        <v>0.48499166074407829</v>
      </c>
      <c r="N282">
        <v>0</v>
      </c>
      <c r="O282">
        <v>0</v>
      </c>
      <c r="P282">
        <v>0.56949241456837008</v>
      </c>
      <c r="Q282">
        <v>1.1220426494438049</v>
      </c>
      <c r="R282">
        <v>0.66739847182541645</v>
      </c>
      <c r="S282">
        <v>0.19634975886391359</v>
      </c>
      <c r="T282">
        <v>0.15333961183784289</v>
      </c>
      <c r="U282">
        <v>4.4286477380750293</v>
      </c>
      <c r="V282">
        <v>0.20127646963296911</v>
      </c>
      <c r="W282">
        <v>5.6365301133084378</v>
      </c>
      <c r="X282">
        <v>0.29926670326034949</v>
      </c>
      <c r="Z282" t="s">
        <v>392</v>
      </c>
      <c r="AA282">
        <v>161</v>
      </c>
      <c r="AB282" t="s">
        <v>4729</v>
      </c>
      <c r="AC282" t="str">
        <f>HYPERLINK("plots/3FT6Y578R04_015_S31P_20251219032831_M5358ACSA301811_RBGEUFRF04/dpll_52046/txpa_55201.png","plot")</f>
        <v>plot</v>
      </c>
    </row>
    <row r="283" spans="1:29" x14ac:dyDescent="0.35">
      <c r="A283" t="s">
        <v>50</v>
      </c>
      <c r="B283">
        <v>52046</v>
      </c>
      <c r="C283" t="s">
        <v>51</v>
      </c>
      <c r="D283">
        <v>55202</v>
      </c>
      <c r="E283" t="s">
        <v>335</v>
      </c>
      <c r="F283">
        <v>11781</v>
      </c>
      <c r="G283">
        <v>0.74594522113893147</v>
      </c>
      <c r="H283">
        <v>0</v>
      </c>
      <c r="I283">
        <v>0</v>
      </c>
      <c r="J283">
        <v>0.66288999923723491</v>
      </c>
      <c r="K283">
        <v>0</v>
      </c>
      <c r="L283">
        <v>0</v>
      </c>
      <c r="M283">
        <v>0.47977989187471631</v>
      </c>
      <c r="N283">
        <v>0</v>
      </c>
      <c r="O283">
        <v>0</v>
      </c>
      <c r="P283">
        <v>0.55643427294000936</v>
      </c>
      <c r="Q283">
        <v>1.1164236889152921</v>
      </c>
      <c r="R283">
        <v>0.66548452990363316</v>
      </c>
      <c r="S283">
        <v>0.20061447654463979</v>
      </c>
      <c r="T283">
        <v>0.15464840396618129</v>
      </c>
      <c r="U283">
        <v>4.4286701896273666</v>
      </c>
      <c r="V283">
        <v>0.20127025814248481</v>
      </c>
      <c r="W283">
        <v>5.6097568399966038</v>
      </c>
      <c r="X283">
        <v>0.30123241988370542</v>
      </c>
      <c r="Z283" t="s">
        <v>392</v>
      </c>
      <c r="AA283">
        <v>161</v>
      </c>
      <c r="AB283" t="s">
        <v>4730</v>
      </c>
      <c r="AC283" t="str">
        <f>HYPERLINK("plots/3FT6Y578R04_015_S31P_20251219032831_M5358ACSA301811_RBGEUFRF04/dpll_52046/txpa_55202.png","plot")</f>
        <v>plot</v>
      </c>
    </row>
    <row r="284" spans="1:29" x14ac:dyDescent="0.35">
      <c r="A284" t="s">
        <v>50</v>
      </c>
      <c r="B284">
        <v>52046</v>
      </c>
      <c r="C284" t="s">
        <v>51</v>
      </c>
      <c r="D284">
        <v>55203</v>
      </c>
      <c r="E284" t="s">
        <v>336</v>
      </c>
      <c r="F284">
        <v>11782</v>
      </c>
      <c r="G284">
        <v>0.73841442730470275</v>
      </c>
      <c r="H284">
        <v>0</v>
      </c>
      <c r="I284">
        <v>0</v>
      </c>
      <c r="J284">
        <v>0.66702620453464678</v>
      </c>
      <c r="K284">
        <v>0</v>
      </c>
      <c r="L284">
        <v>0</v>
      </c>
      <c r="M284">
        <v>0.48066442050488328</v>
      </c>
      <c r="N284">
        <v>0</v>
      </c>
      <c r="O284">
        <v>0</v>
      </c>
      <c r="P284">
        <v>0.54525586645173219</v>
      </c>
      <c r="Q284">
        <v>1.14651179879467</v>
      </c>
      <c r="R284">
        <v>1.574209808428181</v>
      </c>
      <c r="S284">
        <v>0.21073490836091299</v>
      </c>
      <c r="T284">
        <v>0.1595128744729114</v>
      </c>
      <c r="U284">
        <v>4.4286477380750293</v>
      </c>
      <c r="V284">
        <v>0.20127646963296911</v>
      </c>
      <c r="W284">
        <v>6.6517066928365303</v>
      </c>
      <c r="X284">
        <v>0.31251535549793902</v>
      </c>
      <c r="Z284" t="s">
        <v>392</v>
      </c>
      <c r="AA284">
        <v>161</v>
      </c>
      <c r="AB284" t="s">
        <v>4731</v>
      </c>
      <c r="AC284" t="str">
        <f>HYPERLINK("plots/3FT6Y578R04_015_S31P_20251219032831_M5358ACSA301811_RBGEUFRF04/dpll_52046/txpa_55203.png","plot")</f>
        <v>plot</v>
      </c>
    </row>
    <row r="285" spans="1:29" x14ac:dyDescent="0.35">
      <c r="A285" t="s">
        <v>50</v>
      </c>
      <c r="B285">
        <v>52046</v>
      </c>
      <c r="C285" t="s">
        <v>51</v>
      </c>
      <c r="D285">
        <v>55204</v>
      </c>
      <c r="E285" t="s">
        <v>337</v>
      </c>
      <c r="F285">
        <v>11782</v>
      </c>
      <c r="G285">
        <v>0.75853388117913734</v>
      </c>
      <c r="H285">
        <v>0</v>
      </c>
      <c r="I285">
        <v>0</v>
      </c>
      <c r="J285">
        <v>0.68052563343109651</v>
      </c>
      <c r="K285">
        <v>0</v>
      </c>
      <c r="L285">
        <v>0</v>
      </c>
      <c r="M285">
        <v>0.49507846462095217</v>
      </c>
      <c r="N285">
        <v>0</v>
      </c>
      <c r="O285">
        <v>0</v>
      </c>
      <c r="P285">
        <v>0.57537364889668563</v>
      </c>
      <c r="Q285">
        <v>1.1781257610386551</v>
      </c>
      <c r="R285">
        <v>1.466709376474236</v>
      </c>
      <c r="S285">
        <v>0.203701728599162</v>
      </c>
      <c r="T285">
        <v>0.15667423764046229</v>
      </c>
      <c r="U285">
        <v>4.4286477380750293</v>
      </c>
      <c r="V285">
        <v>0.20127646963296911</v>
      </c>
      <c r="W285">
        <v>6.6842133632659984</v>
      </c>
      <c r="X285">
        <v>0.31261490073047188</v>
      </c>
      <c r="Z285" t="s">
        <v>392</v>
      </c>
      <c r="AA285">
        <v>161</v>
      </c>
      <c r="AB285" t="s">
        <v>4732</v>
      </c>
      <c r="AC285" t="str">
        <f>HYPERLINK("plots/3FT6Y578R04_015_S31P_20251219032831_M5358ACSA301811_RBGEUFRF04/dpll_52046/txpa_55204.png","plot")</f>
        <v>plot</v>
      </c>
    </row>
    <row r="286" spans="1:29" x14ac:dyDescent="0.35">
      <c r="A286" t="s">
        <v>50</v>
      </c>
      <c r="B286">
        <v>52046</v>
      </c>
      <c r="C286" t="s">
        <v>51</v>
      </c>
      <c r="D286">
        <v>55205</v>
      </c>
      <c r="E286" t="s">
        <v>338</v>
      </c>
      <c r="F286">
        <v>11782</v>
      </c>
      <c r="G286">
        <v>0.75016884813113094</v>
      </c>
      <c r="H286">
        <v>0</v>
      </c>
      <c r="I286">
        <v>0</v>
      </c>
      <c r="J286">
        <v>0.67100044415741378</v>
      </c>
      <c r="K286">
        <v>0</v>
      </c>
      <c r="L286">
        <v>0</v>
      </c>
      <c r="M286">
        <v>0.48598309149240471</v>
      </c>
      <c r="N286">
        <v>0</v>
      </c>
      <c r="O286">
        <v>0</v>
      </c>
      <c r="P286">
        <v>0.56275330070638785</v>
      </c>
      <c r="Q286">
        <v>1.1514125906004291</v>
      </c>
      <c r="R286">
        <v>1.598810362444026</v>
      </c>
      <c r="S286">
        <v>0.20427244807443889</v>
      </c>
      <c r="T286">
        <v>0.1562310431960624</v>
      </c>
      <c r="U286">
        <v>4.4286477380750293</v>
      </c>
      <c r="V286">
        <v>0.20127646963296911</v>
      </c>
      <c r="W286">
        <v>6.6980111273977254</v>
      </c>
      <c r="X286">
        <v>0.30893346465180688</v>
      </c>
      <c r="Z286" t="s">
        <v>392</v>
      </c>
      <c r="AA286">
        <v>161</v>
      </c>
      <c r="AB286" t="s">
        <v>4733</v>
      </c>
      <c r="AC286" t="str">
        <f>HYPERLINK("plots/3FT6Y578R04_015_S31P_20251219032831_M5358ACSA301811_RBGEUFRF04/dpll_52046/txpa_55205.png","plot")</f>
        <v>plot</v>
      </c>
    </row>
    <row r="287" spans="1:29" x14ac:dyDescent="0.35">
      <c r="A287" t="s">
        <v>50</v>
      </c>
      <c r="B287">
        <v>52046</v>
      </c>
      <c r="C287" t="s">
        <v>51</v>
      </c>
      <c r="D287">
        <v>55206</v>
      </c>
      <c r="E287" t="s">
        <v>339</v>
      </c>
      <c r="F287">
        <v>11781</v>
      </c>
      <c r="G287">
        <v>0.76459626472263131</v>
      </c>
      <c r="H287">
        <v>0</v>
      </c>
      <c r="I287">
        <v>0</v>
      </c>
      <c r="J287">
        <v>0.68172695185810228</v>
      </c>
      <c r="K287">
        <v>0</v>
      </c>
      <c r="L287">
        <v>0</v>
      </c>
      <c r="M287">
        <v>0.49589701645795797</v>
      </c>
      <c r="N287">
        <v>0</v>
      </c>
      <c r="O287">
        <v>0</v>
      </c>
      <c r="P287">
        <v>0.58460744802780007</v>
      </c>
      <c r="Q287">
        <v>1.179763159249307</v>
      </c>
      <c r="R287">
        <v>1.4794872596092361</v>
      </c>
      <c r="S287">
        <v>0.20016214886590669</v>
      </c>
      <c r="T287">
        <v>0.1549099719790562</v>
      </c>
      <c r="U287">
        <v>4.4286547017231142</v>
      </c>
      <c r="V287">
        <v>0.20128359324518649</v>
      </c>
      <c r="W287">
        <v>6.7042509217383923</v>
      </c>
      <c r="X287">
        <v>0.31057824740765438</v>
      </c>
      <c r="Z287" t="s">
        <v>392</v>
      </c>
      <c r="AA287">
        <v>161</v>
      </c>
      <c r="AB287" t="s">
        <v>4734</v>
      </c>
      <c r="AC287" t="str">
        <f>HYPERLINK("plots/3FT6Y578R04_015_S31P_20251219032831_M5358ACSA301811_RBGEUFRF04/dpll_52046/txpa_55206.png","plot")</f>
        <v>plot</v>
      </c>
    </row>
    <row r="288" spans="1:29" x14ac:dyDescent="0.35">
      <c r="A288" t="s">
        <v>50</v>
      </c>
      <c r="B288">
        <v>52046</v>
      </c>
      <c r="C288" t="s">
        <v>51</v>
      </c>
      <c r="D288">
        <v>55207</v>
      </c>
      <c r="E288" t="s">
        <v>340</v>
      </c>
      <c r="F288">
        <v>11781</v>
      </c>
      <c r="G288">
        <v>0.7662809568109672</v>
      </c>
      <c r="H288">
        <v>0</v>
      </c>
      <c r="I288">
        <v>0</v>
      </c>
      <c r="J288">
        <v>0.67777861030594755</v>
      </c>
      <c r="K288">
        <v>0</v>
      </c>
      <c r="L288">
        <v>0</v>
      </c>
      <c r="M288">
        <v>0.49099438829955971</v>
      </c>
      <c r="N288">
        <v>0</v>
      </c>
      <c r="O288">
        <v>0</v>
      </c>
      <c r="P288">
        <v>0.58718650477113132</v>
      </c>
      <c r="Q288">
        <v>1.1778307715233229</v>
      </c>
      <c r="R288">
        <v>1.466884082566557</v>
      </c>
      <c r="S288">
        <v>0.19875585093107639</v>
      </c>
      <c r="T288">
        <v>0.15419292204601939</v>
      </c>
      <c r="U288">
        <v>4.4286210779220783</v>
      </c>
      <c r="V288">
        <v>0.20126420786155011</v>
      </c>
      <c r="W288">
        <v>6.6830502635599691</v>
      </c>
      <c r="X288">
        <v>0.30935804305010128</v>
      </c>
      <c r="Z288" t="s">
        <v>392</v>
      </c>
      <c r="AA288">
        <v>161</v>
      </c>
      <c r="AB288" t="s">
        <v>4735</v>
      </c>
      <c r="AC288" t="str">
        <f>HYPERLINK("plots/3FT6Y578R04_015_S31P_20251219032831_M5358ACSA301811_RBGEUFRF04/dpll_52046/txpa_55207.png","plot")</f>
        <v>plot</v>
      </c>
    </row>
    <row r="289" spans="1:29" x14ac:dyDescent="0.35">
      <c r="A289" t="s">
        <v>50</v>
      </c>
      <c r="B289">
        <v>52046</v>
      </c>
      <c r="C289" t="s">
        <v>51</v>
      </c>
      <c r="D289">
        <v>55208</v>
      </c>
      <c r="E289" t="s">
        <v>341</v>
      </c>
      <c r="F289">
        <v>11781</v>
      </c>
      <c r="G289">
        <v>0.77053736714769672</v>
      </c>
      <c r="H289">
        <v>0</v>
      </c>
      <c r="I289">
        <v>0</v>
      </c>
      <c r="J289">
        <v>0.68882255594860509</v>
      </c>
      <c r="K289">
        <v>0</v>
      </c>
      <c r="L289">
        <v>0</v>
      </c>
      <c r="M289">
        <v>0.50168125051339285</v>
      </c>
      <c r="N289">
        <v>0</v>
      </c>
      <c r="O289">
        <v>0</v>
      </c>
      <c r="P289">
        <v>0.59372783417090436</v>
      </c>
      <c r="Q289">
        <v>1.193640961588275</v>
      </c>
      <c r="R289">
        <v>1.407795373863501</v>
      </c>
      <c r="S289">
        <v>0.1987148762699511</v>
      </c>
      <c r="T289">
        <v>0.15433638623466961</v>
      </c>
      <c r="U289">
        <v>4.4286192746795683</v>
      </c>
      <c r="V289">
        <v>0.20126129812424351</v>
      </c>
      <c r="W289">
        <v>6.6939767434003903</v>
      </c>
      <c r="X289">
        <v>0.31177427554591081</v>
      </c>
      <c r="Z289" t="s">
        <v>392</v>
      </c>
      <c r="AA289">
        <v>161</v>
      </c>
      <c r="AB289" t="s">
        <v>4736</v>
      </c>
      <c r="AC289" t="str">
        <f>HYPERLINK("plots/3FT6Y578R04_015_S31P_20251219032831_M5358ACSA301811_RBGEUFRF04/dpll_52046/txpa_55208.png","plot")</f>
        <v>plot</v>
      </c>
    </row>
    <row r="290" spans="1:29" x14ac:dyDescent="0.35">
      <c r="A290" t="s">
        <v>50</v>
      </c>
      <c r="B290">
        <v>52046</v>
      </c>
      <c r="C290" t="s">
        <v>51</v>
      </c>
      <c r="D290">
        <v>55209</v>
      </c>
      <c r="E290" t="s">
        <v>342</v>
      </c>
      <c r="F290">
        <v>11782</v>
      </c>
      <c r="G290">
        <v>0.76701433170950606</v>
      </c>
      <c r="H290">
        <v>0</v>
      </c>
      <c r="I290">
        <v>0</v>
      </c>
      <c r="J290">
        <v>0.67972831328812489</v>
      </c>
      <c r="K290">
        <v>0</v>
      </c>
      <c r="L290">
        <v>0</v>
      </c>
      <c r="M290">
        <v>0.49330268440651731</v>
      </c>
      <c r="N290">
        <v>0</v>
      </c>
      <c r="O290">
        <v>0</v>
      </c>
      <c r="P290">
        <v>0.58831098504778023</v>
      </c>
      <c r="Q290">
        <v>1.176368870963999</v>
      </c>
      <c r="R290">
        <v>1.490122560565261</v>
      </c>
      <c r="S290">
        <v>0.1980611331758155</v>
      </c>
      <c r="T290">
        <v>0.15436313566459711</v>
      </c>
      <c r="U290">
        <v>4.4286477380750293</v>
      </c>
      <c r="V290">
        <v>0.20127646963296911</v>
      </c>
      <c r="W290">
        <v>6.6998459001018498</v>
      </c>
      <c r="X290">
        <v>0.30869745654691372</v>
      </c>
      <c r="Z290" t="s">
        <v>392</v>
      </c>
      <c r="AA290">
        <v>161</v>
      </c>
      <c r="AB290" t="s">
        <v>4737</v>
      </c>
      <c r="AC290" t="str">
        <f>HYPERLINK("plots/3FT6Y578R04_015_S31P_20251219032831_M5358ACSA301811_RBGEUFRF04/dpll_52046/txpa_55209.png","plot")</f>
        <v>plot</v>
      </c>
    </row>
    <row r="291" spans="1:29" x14ac:dyDescent="0.35">
      <c r="A291" t="s">
        <v>50</v>
      </c>
      <c r="B291">
        <v>52046</v>
      </c>
      <c r="C291" t="s">
        <v>51</v>
      </c>
      <c r="D291">
        <v>55210</v>
      </c>
      <c r="E291" t="s">
        <v>343</v>
      </c>
      <c r="F291">
        <v>11781</v>
      </c>
      <c r="G291">
        <v>0.75870601894278322</v>
      </c>
      <c r="H291">
        <v>0</v>
      </c>
      <c r="I291">
        <v>0</v>
      </c>
      <c r="J291">
        <v>0.67285039722522344</v>
      </c>
      <c r="K291">
        <v>0</v>
      </c>
      <c r="L291">
        <v>0</v>
      </c>
      <c r="M291">
        <v>0.48836233546579438</v>
      </c>
      <c r="N291">
        <v>0</v>
      </c>
      <c r="O291">
        <v>0</v>
      </c>
      <c r="P291">
        <v>0.57563482318000692</v>
      </c>
      <c r="Q291">
        <v>1.1700558954799041</v>
      </c>
      <c r="R291">
        <v>1.4925389429091189</v>
      </c>
      <c r="S291">
        <v>0.20219207069109621</v>
      </c>
      <c r="T291">
        <v>0.1554533974556625</v>
      </c>
      <c r="U291">
        <v>4.4286701896273666</v>
      </c>
      <c r="V291">
        <v>0.20127025814248481</v>
      </c>
      <c r="W291">
        <v>6.6743306074187254</v>
      </c>
      <c r="X291">
        <v>0.31039354670275288</v>
      </c>
      <c r="Z291" t="s">
        <v>392</v>
      </c>
      <c r="AA291">
        <v>161</v>
      </c>
      <c r="AB291" t="s">
        <v>4738</v>
      </c>
      <c r="AC291" t="str">
        <f>HYPERLINK("plots/3FT6Y578R04_015_S31P_20251219032831_M5358ACSA301811_RBGEUFRF04/dpll_52046/txpa_55210.png","plot")</f>
        <v>plot</v>
      </c>
    </row>
    <row r="292" spans="1:29" x14ac:dyDescent="0.35">
      <c r="A292" t="s">
        <v>50</v>
      </c>
      <c r="B292">
        <v>52046</v>
      </c>
      <c r="C292" t="s">
        <v>51</v>
      </c>
      <c r="D292">
        <v>55211</v>
      </c>
      <c r="E292" t="s">
        <v>344</v>
      </c>
      <c r="F292">
        <v>11782</v>
      </c>
      <c r="G292">
        <v>0.7495161284088564</v>
      </c>
      <c r="H292">
        <v>0</v>
      </c>
      <c r="I292">
        <v>0</v>
      </c>
      <c r="J292">
        <v>0.67545186297141879</v>
      </c>
      <c r="K292">
        <v>0</v>
      </c>
      <c r="L292">
        <v>0</v>
      </c>
      <c r="M292">
        <v>0.48782115212719612</v>
      </c>
      <c r="N292">
        <v>0</v>
      </c>
      <c r="O292">
        <v>0</v>
      </c>
      <c r="P292">
        <v>0.56177442674500133</v>
      </c>
      <c r="Q292">
        <v>1.2025508804291529</v>
      </c>
      <c r="R292">
        <v>2.3596675303999048</v>
      </c>
      <c r="S292">
        <v>0.2137695839793505</v>
      </c>
      <c r="T292">
        <v>0.161448283109212</v>
      </c>
      <c r="U292">
        <v>4.4286477380750293</v>
      </c>
      <c r="V292">
        <v>0.20127646963296911</v>
      </c>
      <c r="W292">
        <v>7.6853417669326101</v>
      </c>
      <c r="X292">
        <v>0.32293527329509952</v>
      </c>
      <c r="Z292" t="s">
        <v>392</v>
      </c>
      <c r="AA292">
        <v>161</v>
      </c>
      <c r="AB292" t="s">
        <v>4739</v>
      </c>
      <c r="AC292" t="str">
        <f>HYPERLINK("plots/3FT6Y578R04_015_S31P_20251219032831_M5358ACSA301811_RBGEUFRF04/dpll_52046/txpa_55211.png","plot")</f>
        <v>plot</v>
      </c>
    </row>
    <row r="293" spans="1:29" x14ac:dyDescent="0.35">
      <c r="A293" t="s">
        <v>50</v>
      </c>
      <c r="B293">
        <v>52046</v>
      </c>
      <c r="C293" t="s">
        <v>51</v>
      </c>
      <c r="D293">
        <v>55212</v>
      </c>
      <c r="E293" t="s">
        <v>345</v>
      </c>
      <c r="F293">
        <v>11782</v>
      </c>
      <c r="G293">
        <v>0.76859174487979276</v>
      </c>
      <c r="H293">
        <v>0</v>
      </c>
      <c r="I293">
        <v>0</v>
      </c>
      <c r="J293">
        <v>0.68820015175405225</v>
      </c>
      <c r="K293">
        <v>0</v>
      </c>
      <c r="L293">
        <v>0</v>
      </c>
      <c r="M293">
        <v>0.50172845607049354</v>
      </c>
      <c r="N293">
        <v>0</v>
      </c>
      <c r="O293">
        <v>0</v>
      </c>
      <c r="P293">
        <v>0.59073327029736444</v>
      </c>
      <c r="Q293">
        <v>1.2332067206118931</v>
      </c>
      <c r="R293">
        <v>2.2556894711195579</v>
      </c>
      <c r="S293">
        <v>0.20659412303194721</v>
      </c>
      <c r="T293">
        <v>0.15864220925913439</v>
      </c>
      <c r="U293">
        <v>4.4286477380750293</v>
      </c>
      <c r="V293">
        <v>0.20127646963296911</v>
      </c>
      <c r="W293">
        <v>7.7171276249363423</v>
      </c>
      <c r="X293">
        <v>0.32294842704982968</v>
      </c>
      <c r="Z293" t="s">
        <v>392</v>
      </c>
      <c r="AA293">
        <v>161</v>
      </c>
      <c r="AB293" t="s">
        <v>4740</v>
      </c>
      <c r="AC293" t="str">
        <f>HYPERLINK("plots/3FT6Y578R04_015_S31P_20251219032831_M5358ACSA301811_RBGEUFRF04/dpll_52046/txpa_55212.png","plot")</f>
        <v>plot</v>
      </c>
    </row>
    <row r="294" spans="1:29" x14ac:dyDescent="0.35">
      <c r="A294" t="s">
        <v>50</v>
      </c>
      <c r="B294">
        <v>52046</v>
      </c>
      <c r="C294" t="s">
        <v>51</v>
      </c>
      <c r="D294">
        <v>55213</v>
      </c>
      <c r="E294" t="s">
        <v>346</v>
      </c>
      <c r="F294">
        <v>11782</v>
      </c>
      <c r="G294">
        <v>0.76071567482356273</v>
      </c>
      <c r="H294">
        <v>0</v>
      </c>
      <c r="I294">
        <v>0</v>
      </c>
      <c r="J294">
        <v>0.67897729181515498</v>
      </c>
      <c r="K294">
        <v>0</v>
      </c>
      <c r="L294">
        <v>0</v>
      </c>
      <c r="M294">
        <v>0.49275949433190791</v>
      </c>
      <c r="N294">
        <v>0</v>
      </c>
      <c r="O294">
        <v>0</v>
      </c>
      <c r="P294">
        <v>0.57868833792226848</v>
      </c>
      <c r="Q294">
        <v>1.2063623089389941</v>
      </c>
      <c r="R294">
        <v>2.3883512487328691</v>
      </c>
      <c r="S294">
        <v>0.20717231080616391</v>
      </c>
      <c r="T294">
        <v>0.15810579066025479</v>
      </c>
      <c r="U294">
        <v>4.4286477380750293</v>
      </c>
      <c r="V294">
        <v>0.20127646963296911</v>
      </c>
      <c r="W294">
        <v>7.730904959514513</v>
      </c>
      <c r="X294">
        <v>0.319189356388423</v>
      </c>
      <c r="Z294" t="s">
        <v>392</v>
      </c>
      <c r="AA294">
        <v>161</v>
      </c>
      <c r="AB294" t="s">
        <v>4741</v>
      </c>
      <c r="AC294" t="str">
        <f>HYPERLINK("plots/3FT6Y578R04_015_S31P_20251219032831_M5358ACSA301811_RBGEUFRF04/dpll_52046/txpa_55213.png","plot")</f>
        <v>plot</v>
      </c>
    </row>
    <row r="295" spans="1:29" x14ac:dyDescent="0.35">
      <c r="A295" t="s">
        <v>50</v>
      </c>
      <c r="B295">
        <v>52046</v>
      </c>
      <c r="C295" t="s">
        <v>51</v>
      </c>
      <c r="D295">
        <v>55214</v>
      </c>
      <c r="E295" t="s">
        <v>347</v>
      </c>
      <c r="F295">
        <v>11781</v>
      </c>
      <c r="G295">
        <v>0.77455663727188917</v>
      </c>
      <c r="H295">
        <v>0</v>
      </c>
      <c r="I295">
        <v>0</v>
      </c>
      <c r="J295">
        <v>0.68949325551159313</v>
      </c>
      <c r="K295">
        <v>0</v>
      </c>
      <c r="L295">
        <v>0</v>
      </c>
      <c r="M295">
        <v>0.50261730215467515</v>
      </c>
      <c r="N295">
        <v>0</v>
      </c>
      <c r="O295">
        <v>0</v>
      </c>
      <c r="P295">
        <v>0.5999379843419369</v>
      </c>
      <c r="Q295">
        <v>1.2343731414344421</v>
      </c>
      <c r="R295">
        <v>2.269703588853222</v>
      </c>
      <c r="S295">
        <v>0.20288357404379509</v>
      </c>
      <c r="T295">
        <v>0.1567449275076799</v>
      </c>
      <c r="U295">
        <v>4.4286547017231142</v>
      </c>
      <c r="V295">
        <v>0.20128359324518649</v>
      </c>
      <c r="W295">
        <v>7.736316005347593</v>
      </c>
      <c r="X295">
        <v>0.32077584692629513</v>
      </c>
      <c r="Z295" t="s">
        <v>392</v>
      </c>
      <c r="AA295">
        <v>161</v>
      </c>
      <c r="AB295" t="s">
        <v>4742</v>
      </c>
      <c r="AC295" t="str">
        <f>HYPERLINK("plots/3FT6Y578R04_015_S31P_20251219032831_M5358ACSA301811_RBGEUFRF04/dpll_52046/txpa_55214.png","plot")</f>
        <v>plot</v>
      </c>
    </row>
    <row r="296" spans="1:29" x14ac:dyDescent="0.35">
      <c r="A296" t="s">
        <v>50</v>
      </c>
      <c r="B296">
        <v>52046</v>
      </c>
      <c r="C296" t="s">
        <v>51</v>
      </c>
      <c r="D296">
        <v>55215</v>
      </c>
      <c r="E296" t="s">
        <v>348</v>
      </c>
      <c r="F296">
        <v>11781</v>
      </c>
      <c r="G296">
        <v>0.77646025536141039</v>
      </c>
      <c r="H296">
        <v>0</v>
      </c>
      <c r="I296">
        <v>0</v>
      </c>
      <c r="J296">
        <v>0.68561991368196218</v>
      </c>
      <c r="K296">
        <v>0</v>
      </c>
      <c r="L296">
        <v>0</v>
      </c>
      <c r="M296">
        <v>0.49782222303118417</v>
      </c>
      <c r="N296">
        <v>0</v>
      </c>
      <c r="O296">
        <v>0</v>
      </c>
      <c r="P296">
        <v>0.6028905281559066</v>
      </c>
      <c r="Q296">
        <v>1.2334139198172911</v>
      </c>
      <c r="R296">
        <v>2.2522600776789661</v>
      </c>
      <c r="S296">
        <v>0.2014618666018356</v>
      </c>
      <c r="T296">
        <v>0.15600697687307541</v>
      </c>
      <c r="U296">
        <v>4.4286210779220783</v>
      </c>
      <c r="V296">
        <v>0.20126420786155011</v>
      </c>
      <c r="W296">
        <v>7.7145829607843126</v>
      </c>
      <c r="X296">
        <v>0.31970995788044559</v>
      </c>
      <c r="Z296" t="s">
        <v>392</v>
      </c>
      <c r="AA296">
        <v>161</v>
      </c>
      <c r="AB296" t="s">
        <v>4743</v>
      </c>
      <c r="AC296" t="str">
        <f>HYPERLINK("plots/3FT6Y578R04_015_S31P_20251219032831_M5358ACSA301811_RBGEUFRF04/dpll_52046/txpa_55215.png","plot")</f>
        <v>plot</v>
      </c>
    </row>
    <row r="297" spans="1:29" x14ac:dyDescent="0.35">
      <c r="A297" t="s">
        <v>50</v>
      </c>
      <c r="B297">
        <v>52046</v>
      </c>
      <c r="C297" t="s">
        <v>51</v>
      </c>
      <c r="D297">
        <v>55216</v>
      </c>
      <c r="E297" t="s">
        <v>349</v>
      </c>
      <c r="F297">
        <v>11781</v>
      </c>
      <c r="G297">
        <v>0.78034261594953114</v>
      </c>
      <c r="H297">
        <v>0</v>
      </c>
      <c r="I297">
        <v>0</v>
      </c>
      <c r="J297">
        <v>0.69617413841157172</v>
      </c>
      <c r="K297">
        <v>0</v>
      </c>
      <c r="L297">
        <v>0</v>
      </c>
      <c r="M297">
        <v>0.50818007055305536</v>
      </c>
      <c r="N297">
        <v>0</v>
      </c>
      <c r="O297">
        <v>0</v>
      </c>
      <c r="P297">
        <v>0.60893459826695739</v>
      </c>
      <c r="Q297">
        <v>1.2487603004412731</v>
      </c>
      <c r="R297">
        <v>2.1958669960202988</v>
      </c>
      <c r="S297">
        <v>0.20140038319918871</v>
      </c>
      <c r="T297">
        <v>0.1561614424375565</v>
      </c>
      <c r="U297">
        <v>4.4286192746795683</v>
      </c>
      <c r="V297">
        <v>0.20126129812424351</v>
      </c>
      <c r="W297">
        <v>7.7261509320091672</v>
      </c>
      <c r="X297">
        <v>0.32207278441023329</v>
      </c>
      <c r="Z297" t="s">
        <v>392</v>
      </c>
      <c r="AA297">
        <v>161</v>
      </c>
      <c r="AB297" t="s">
        <v>4744</v>
      </c>
      <c r="AC297" t="str">
        <f>HYPERLINK("plots/3FT6Y578R04_015_S31P_20251219032831_M5358ACSA301811_RBGEUFRF04/dpll_52046/txpa_55216.png","plot")</f>
        <v>plot</v>
      </c>
    </row>
    <row r="298" spans="1:29" x14ac:dyDescent="0.35">
      <c r="A298" t="s">
        <v>50</v>
      </c>
      <c r="B298">
        <v>52046</v>
      </c>
      <c r="C298" t="s">
        <v>51</v>
      </c>
      <c r="D298">
        <v>55217</v>
      </c>
      <c r="E298" t="s">
        <v>350</v>
      </c>
      <c r="F298">
        <v>11782</v>
      </c>
      <c r="G298">
        <v>0.77723300482423507</v>
      </c>
      <c r="H298">
        <v>0</v>
      </c>
      <c r="I298">
        <v>0</v>
      </c>
      <c r="J298">
        <v>0.6873621914853012</v>
      </c>
      <c r="K298">
        <v>0</v>
      </c>
      <c r="L298">
        <v>0</v>
      </c>
      <c r="M298">
        <v>0.4999936600423317</v>
      </c>
      <c r="N298">
        <v>0</v>
      </c>
      <c r="O298">
        <v>0</v>
      </c>
      <c r="P298">
        <v>0.60409114378810946</v>
      </c>
      <c r="Q298">
        <v>1.2319846672557471</v>
      </c>
      <c r="R298">
        <v>2.2762682662666269</v>
      </c>
      <c r="S298">
        <v>0.2007364557674067</v>
      </c>
      <c r="T298">
        <v>0.1561034260182555</v>
      </c>
      <c r="U298">
        <v>4.4286477380750293</v>
      </c>
      <c r="V298">
        <v>0.20127646963296911</v>
      </c>
      <c r="W298">
        <v>7.7322943762519092</v>
      </c>
      <c r="X298">
        <v>0.31904142377903932</v>
      </c>
      <c r="Z298" t="s">
        <v>392</v>
      </c>
      <c r="AA298">
        <v>161</v>
      </c>
      <c r="AB298" t="s">
        <v>4745</v>
      </c>
      <c r="AC298" t="str">
        <f>HYPERLINK("plots/3FT6Y578R04_015_S31P_20251219032831_M5358ACSA301811_RBGEUFRF04/dpll_52046/txpa_55217.png","plot")</f>
        <v>plot</v>
      </c>
    </row>
    <row r="299" spans="1:29" x14ac:dyDescent="0.35">
      <c r="A299" t="s">
        <v>50</v>
      </c>
      <c r="B299">
        <v>52046</v>
      </c>
      <c r="C299" t="s">
        <v>51</v>
      </c>
      <c r="D299">
        <v>55218</v>
      </c>
      <c r="E299" t="s">
        <v>351</v>
      </c>
      <c r="F299">
        <v>11781</v>
      </c>
      <c r="G299">
        <v>0.76904636212352417</v>
      </c>
      <c r="H299">
        <v>0</v>
      </c>
      <c r="I299">
        <v>0</v>
      </c>
      <c r="J299">
        <v>0.68043290161004866</v>
      </c>
      <c r="K299">
        <v>0</v>
      </c>
      <c r="L299">
        <v>0</v>
      </c>
      <c r="M299">
        <v>0.49488830543054407</v>
      </c>
      <c r="N299">
        <v>0</v>
      </c>
      <c r="O299">
        <v>0</v>
      </c>
      <c r="P299">
        <v>0.59143230709542671</v>
      </c>
      <c r="Q299">
        <v>1.225104380277674</v>
      </c>
      <c r="R299">
        <v>2.281996790079456</v>
      </c>
      <c r="S299">
        <v>0.20493387522774639</v>
      </c>
      <c r="T299">
        <v>0.15729153263018</v>
      </c>
      <c r="U299">
        <v>4.4286701896273666</v>
      </c>
      <c r="V299">
        <v>0.20127025814248481</v>
      </c>
      <c r="W299">
        <v>7.7075800381970971</v>
      </c>
      <c r="X299">
        <v>0.32062706101244298</v>
      </c>
      <c r="Z299" t="s">
        <v>392</v>
      </c>
      <c r="AA299">
        <v>161</v>
      </c>
      <c r="AB299" t="s">
        <v>4746</v>
      </c>
      <c r="AC299" t="str">
        <f>HYPERLINK("plots/3FT6Y578R04_015_S31P_20251219032831_M5358ACSA301811_RBGEUFRF04/dpll_52046/txpa_55218.png","plot")</f>
        <v>plot</v>
      </c>
    </row>
    <row r="300" spans="1:29" x14ac:dyDescent="0.35">
      <c r="A300" t="s">
        <v>50</v>
      </c>
      <c r="B300">
        <v>52046</v>
      </c>
      <c r="C300" t="s">
        <v>51</v>
      </c>
      <c r="D300">
        <v>55219</v>
      </c>
      <c r="E300" t="s">
        <v>352</v>
      </c>
      <c r="F300">
        <v>11782</v>
      </c>
      <c r="G300">
        <v>0.76042369613077798</v>
      </c>
      <c r="H300">
        <v>0</v>
      </c>
      <c r="I300">
        <v>0</v>
      </c>
      <c r="J300">
        <v>0.68362811702429904</v>
      </c>
      <c r="K300">
        <v>0</v>
      </c>
      <c r="L300">
        <v>0</v>
      </c>
      <c r="M300">
        <v>0.49491622716105782</v>
      </c>
      <c r="N300">
        <v>0</v>
      </c>
      <c r="O300">
        <v>0</v>
      </c>
      <c r="P300">
        <v>0.57824419763719381</v>
      </c>
      <c r="Q300">
        <v>1.259542701891029</v>
      </c>
      <c r="R300">
        <v>3.1405426210799199</v>
      </c>
      <c r="S300">
        <v>0.2165022241631695</v>
      </c>
      <c r="T300">
        <v>0.16308969711707419</v>
      </c>
      <c r="U300">
        <v>4.4286477380750293</v>
      </c>
      <c r="V300">
        <v>0.20127646963296911</v>
      </c>
      <c r="W300">
        <v>8.7186135588185358</v>
      </c>
      <c r="X300">
        <v>0.33338822774533522</v>
      </c>
      <c r="Z300" t="s">
        <v>392</v>
      </c>
      <c r="AA300">
        <v>161</v>
      </c>
      <c r="AB300" t="s">
        <v>4747</v>
      </c>
      <c r="AC300" t="str">
        <f>HYPERLINK("plots/3FT6Y578R04_015_S31P_20251219032831_M5358ACSA301811_RBGEUFRF04/dpll_52046/txpa_55219.png","plot")</f>
        <v>plot</v>
      </c>
    </row>
    <row r="301" spans="1:29" x14ac:dyDescent="0.35">
      <c r="A301" t="s">
        <v>50</v>
      </c>
      <c r="B301">
        <v>52046</v>
      </c>
      <c r="C301" t="s">
        <v>51</v>
      </c>
      <c r="D301">
        <v>55220</v>
      </c>
      <c r="E301" t="s">
        <v>353</v>
      </c>
      <c r="F301">
        <v>11782</v>
      </c>
      <c r="G301">
        <v>0.77864873991737915</v>
      </c>
      <c r="H301">
        <v>0</v>
      </c>
      <c r="I301">
        <v>0</v>
      </c>
      <c r="J301">
        <v>0.69588607609276509</v>
      </c>
      <c r="K301">
        <v>0</v>
      </c>
      <c r="L301">
        <v>0</v>
      </c>
      <c r="M301">
        <v>0.50852946789203846</v>
      </c>
      <c r="N301">
        <v>0</v>
      </c>
      <c r="O301">
        <v>0</v>
      </c>
      <c r="P301">
        <v>0.60629386017492237</v>
      </c>
      <c r="Q301">
        <v>1.2899251670252541</v>
      </c>
      <c r="R301">
        <v>3.0360487612438738</v>
      </c>
      <c r="S301">
        <v>0.2092105590404213</v>
      </c>
      <c r="T301">
        <v>0.16029425201432579</v>
      </c>
      <c r="U301">
        <v>4.4286477380750293</v>
      </c>
      <c r="V301">
        <v>0.20127646963296911</v>
      </c>
      <c r="W301">
        <v>8.7486729344763194</v>
      </c>
      <c r="X301">
        <v>0.33343864877648161</v>
      </c>
      <c r="Z301" t="s">
        <v>392</v>
      </c>
      <c r="AA301">
        <v>161</v>
      </c>
      <c r="AB301" t="s">
        <v>4748</v>
      </c>
      <c r="AC301" t="str">
        <f>HYPERLINK("plots/3FT6Y578R04_015_S31P_20251219032831_M5358ACSA301811_RBGEUFRF04/dpll_52046/txpa_55220.png","plot")</f>
        <v>plot</v>
      </c>
    </row>
    <row r="302" spans="1:29" x14ac:dyDescent="0.35">
      <c r="A302" t="s">
        <v>50</v>
      </c>
      <c r="B302">
        <v>52046</v>
      </c>
      <c r="C302" t="s">
        <v>51</v>
      </c>
      <c r="D302">
        <v>55221</v>
      </c>
      <c r="E302" t="s">
        <v>354</v>
      </c>
      <c r="F302">
        <v>11782</v>
      </c>
      <c r="G302">
        <v>0.77146287513844125</v>
      </c>
      <c r="H302">
        <v>0</v>
      </c>
      <c r="I302">
        <v>0</v>
      </c>
      <c r="J302">
        <v>0.68725702125670951</v>
      </c>
      <c r="K302">
        <v>0</v>
      </c>
      <c r="L302">
        <v>0</v>
      </c>
      <c r="M302">
        <v>0.49997797227724411</v>
      </c>
      <c r="N302">
        <v>0</v>
      </c>
      <c r="O302">
        <v>0</v>
      </c>
      <c r="P302">
        <v>0.59515496771687015</v>
      </c>
      <c r="Q302">
        <v>1.2628862076687011</v>
      </c>
      <c r="R302">
        <v>3.1694867734337611</v>
      </c>
      <c r="S302">
        <v>0.2096371134572183</v>
      </c>
      <c r="T302">
        <v>0.1595158989818681</v>
      </c>
      <c r="U302">
        <v>4.4286477380750293</v>
      </c>
      <c r="V302">
        <v>0.20127646963296911</v>
      </c>
      <c r="W302">
        <v>8.7623649204719065</v>
      </c>
      <c r="X302">
        <v>0.32948996720303608</v>
      </c>
      <c r="Z302" t="s">
        <v>392</v>
      </c>
      <c r="AA302">
        <v>161</v>
      </c>
      <c r="AB302" t="s">
        <v>4749</v>
      </c>
      <c r="AC302" t="str">
        <f>HYPERLINK("plots/3FT6Y578R04_015_S31P_20251219032831_M5358ACSA301811_RBGEUFRF04/dpll_52046/txpa_55221.png","plot")</f>
        <v>plot</v>
      </c>
    </row>
    <row r="303" spans="1:29" x14ac:dyDescent="0.35">
      <c r="A303" t="s">
        <v>50</v>
      </c>
      <c r="B303">
        <v>52046</v>
      </c>
      <c r="C303" t="s">
        <v>51</v>
      </c>
      <c r="D303">
        <v>55222</v>
      </c>
      <c r="E303" t="s">
        <v>355</v>
      </c>
      <c r="F303">
        <v>11781</v>
      </c>
      <c r="G303">
        <v>0.78446268053493073</v>
      </c>
      <c r="H303">
        <v>0</v>
      </c>
      <c r="I303">
        <v>0</v>
      </c>
      <c r="J303">
        <v>0.6970732425675783</v>
      </c>
      <c r="K303">
        <v>0</v>
      </c>
      <c r="L303">
        <v>0</v>
      </c>
      <c r="M303">
        <v>0.50931529681962995</v>
      </c>
      <c r="N303">
        <v>0</v>
      </c>
      <c r="O303">
        <v>0</v>
      </c>
      <c r="P303">
        <v>0.61538169715204882</v>
      </c>
      <c r="Q303">
        <v>1.2909769768328889</v>
      </c>
      <c r="R303">
        <v>3.0500295182372761</v>
      </c>
      <c r="S303">
        <v>0.2054239742614643</v>
      </c>
      <c r="T303">
        <v>0.15834078612924721</v>
      </c>
      <c r="U303">
        <v>4.4286547017231142</v>
      </c>
      <c r="V303">
        <v>0.20128359324518649</v>
      </c>
      <c r="W303">
        <v>8.7673207765045422</v>
      </c>
      <c r="X303">
        <v>0.33124900794074319</v>
      </c>
      <c r="Z303" t="s">
        <v>392</v>
      </c>
      <c r="AA303">
        <v>161</v>
      </c>
      <c r="AB303" t="s">
        <v>4750</v>
      </c>
      <c r="AC303" t="str">
        <f>HYPERLINK("plots/3FT6Y578R04_015_S31P_20251219032831_M5358ACSA301811_RBGEUFRF04/dpll_52046/txpa_55222.png","plot")</f>
        <v>plot</v>
      </c>
    </row>
    <row r="304" spans="1:29" x14ac:dyDescent="0.35">
      <c r="A304" t="s">
        <v>50</v>
      </c>
      <c r="B304">
        <v>52046</v>
      </c>
      <c r="C304" t="s">
        <v>51</v>
      </c>
      <c r="D304">
        <v>55223</v>
      </c>
      <c r="E304" t="s">
        <v>356</v>
      </c>
      <c r="F304">
        <v>11781</v>
      </c>
      <c r="G304">
        <v>0.78655961524095608</v>
      </c>
      <c r="H304">
        <v>0</v>
      </c>
      <c r="I304">
        <v>0</v>
      </c>
      <c r="J304">
        <v>0.69346865613527975</v>
      </c>
      <c r="K304">
        <v>0</v>
      </c>
      <c r="L304">
        <v>0</v>
      </c>
      <c r="M304">
        <v>0.50475428351805374</v>
      </c>
      <c r="N304">
        <v>0</v>
      </c>
      <c r="O304">
        <v>0</v>
      </c>
      <c r="P304">
        <v>0.61867602832800084</v>
      </c>
      <c r="Q304">
        <v>1.290509993503234</v>
      </c>
      <c r="R304">
        <v>3.0298402736729382</v>
      </c>
      <c r="S304">
        <v>0.20390360164445159</v>
      </c>
      <c r="T304">
        <v>0.15755107453718081</v>
      </c>
      <c r="U304">
        <v>4.4286210779220783</v>
      </c>
      <c r="V304">
        <v>0.20126420786155011</v>
      </c>
      <c r="W304">
        <v>8.7450200321704443</v>
      </c>
      <c r="X304">
        <v>0.33021460363214211</v>
      </c>
      <c r="Z304" t="s">
        <v>392</v>
      </c>
      <c r="AA304">
        <v>161</v>
      </c>
      <c r="AB304" t="s">
        <v>4751</v>
      </c>
      <c r="AC304" t="str">
        <f>HYPERLINK("plots/3FT6Y578R04_015_S31P_20251219032831_M5358ACSA301811_RBGEUFRF04/dpll_52046/txpa_55223.png","plot")</f>
        <v>plot</v>
      </c>
    </row>
    <row r="305" spans="1:29" x14ac:dyDescent="0.35">
      <c r="A305" t="s">
        <v>50</v>
      </c>
      <c r="B305">
        <v>52046</v>
      </c>
      <c r="C305" t="s">
        <v>51</v>
      </c>
      <c r="D305">
        <v>55224</v>
      </c>
      <c r="E305" t="s">
        <v>357</v>
      </c>
      <c r="F305">
        <v>11781</v>
      </c>
      <c r="G305">
        <v>0.78994065625621379</v>
      </c>
      <c r="H305">
        <v>0</v>
      </c>
      <c r="I305">
        <v>0</v>
      </c>
      <c r="J305">
        <v>0.70323706502304584</v>
      </c>
      <c r="K305">
        <v>0</v>
      </c>
      <c r="L305">
        <v>0</v>
      </c>
      <c r="M305">
        <v>0.51454492069386371</v>
      </c>
      <c r="N305">
        <v>0</v>
      </c>
      <c r="O305">
        <v>0</v>
      </c>
      <c r="P305">
        <v>0.62400624040649777</v>
      </c>
      <c r="Q305">
        <v>1.305201245466985</v>
      </c>
      <c r="R305">
        <v>2.977186707829468</v>
      </c>
      <c r="S305">
        <v>0.20389903404009241</v>
      </c>
      <c r="T305">
        <v>0.157815206551947</v>
      </c>
      <c r="U305">
        <v>4.4286192746795683</v>
      </c>
      <c r="V305">
        <v>0.20126129812424351</v>
      </c>
      <c r="W305">
        <v>8.7574261008403358</v>
      </c>
      <c r="X305">
        <v>0.332539533059384</v>
      </c>
      <c r="Z305" t="s">
        <v>392</v>
      </c>
      <c r="AA305">
        <v>161</v>
      </c>
      <c r="AB305" t="s">
        <v>4752</v>
      </c>
      <c r="AC305" t="str">
        <f>HYPERLINK("plots/3FT6Y578R04_015_S31P_20251219032831_M5358ACSA301811_RBGEUFRF04/dpll_52046/txpa_55224.png","plot")</f>
        <v>plot</v>
      </c>
    </row>
    <row r="306" spans="1:29" x14ac:dyDescent="0.35">
      <c r="A306" t="s">
        <v>50</v>
      </c>
      <c r="B306">
        <v>52046</v>
      </c>
      <c r="C306" t="s">
        <v>51</v>
      </c>
      <c r="D306">
        <v>55225</v>
      </c>
      <c r="E306" t="s">
        <v>358</v>
      </c>
      <c r="F306">
        <v>11782</v>
      </c>
      <c r="G306">
        <v>0.78724091746754488</v>
      </c>
      <c r="H306">
        <v>0</v>
      </c>
      <c r="I306">
        <v>0</v>
      </c>
      <c r="J306">
        <v>0.69473047214632966</v>
      </c>
      <c r="K306">
        <v>0</v>
      </c>
      <c r="L306">
        <v>0</v>
      </c>
      <c r="M306">
        <v>0.50654913150142356</v>
      </c>
      <c r="N306">
        <v>0</v>
      </c>
      <c r="O306">
        <v>0</v>
      </c>
      <c r="P306">
        <v>0.61974826213514178</v>
      </c>
      <c r="Q306">
        <v>1.2887137654034611</v>
      </c>
      <c r="R306">
        <v>3.056505215643607</v>
      </c>
      <c r="S306">
        <v>0.20316972258437099</v>
      </c>
      <c r="T306">
        <v>0.15759121930182951</v>
      </c>
      <c r="U306">
        <v>4.4286477380750293</v>
      </c>
      <c r="V306">
        <v>0.20127646963296911</v>
      </c>
      <c r="W306">
        <v>8.7637645178237982</v>
      </c>
      <c r="X306">
        <v>0.32948967884219832</v>
      </c>
      <c r="Z306" t="s">
        <v>392</v>
      </c>
      <c r="AA306">
        <v>161</v>
      </c>
      <c r="AB306" t="s">
        <v>4753</v>
      </c>
      <c r="AC306" t="str">
        <f>HYPERLINK("plots/3FT6Y578R04_015_S31P_20251219032831_M5358ACSA301811_RBGEUFRF04/dpll_52046/txpa_55225.png","plot")</f>
        <v>plot</v>
      </c>
    </row>
    <row r="307" spans="1:29" x14ac:dyDescent="0.35">
      <c r="A307" t="s">
        <v>50</v>
      </c>
      <c r="B307">
        <v>52046</v>
      </c>
      <c r="C307" t="s">
        <v>51</v>
      </c>
      <c r="D307">
        <v>55226</v>
      </c>
      <c r="E307" t="s">
        <v>359</v>
      </c>
      <c r="F307">
        <v>11781</v>
      </c>
      <c r="G307">
        <v>0.77931675585849181</v>
      </c>
      <c r="H307">
        <v>0</v>
      </c>
      <c r="I307">
        <v>0</v>
      </c>
      <c r="J307">
        <v>0.68791277630633796</v>
      </c>
      <c r="K307">
        <v>0</v>
      </c>
      <c r="L307">
        <v>0</v>
      </c>
      <c r="M307">
        <v>0.50142800722101111</v>
      </c>
      <c r="N307">
        <v>0</v>
      </c>
      <c r="O307">
        <v>0</v>
      </c>
      <c r="P307">
        <v>0.60733460596180411</v>
      </c>
      <c r="Q307">
        <v>1.281192783232378</v>
      </c>
      <c r="R307">
        <v>3.0667539022569481</v>
      </c>
      <c r="S307">
        <v>0.20733515924689541</v>
      </c>
      <c r="T307">
        <v>0.15881270155452179</v>
      </c>
      <c r="U307">
        <v>4.4286701896273666</v>
      </c>
      <c r="V307">
        <v>0.20127025814248481</v>
      </c>
      <c r="W307">
        <v>8.7407341885238949</v>
      </c>
      <c r="X307">
        <v>0.33088728077892449</v>
      </c>
      <c r="Z307" t="s">
        <v>392</v>
      </c>
      <c r="AA307">
        <v>161</v>
      </c>
      <c r="AB307" t="s">
        <v>4754</v>
      </c>
      <c r="AC307" t="str">
        <f>HYPERLINK("plots/3FT6Y578R04_015_S31P_20251219032831_M5358ACSA301811_RBGEUFRF04/dpll_52046/txpa_55226.png","plot")</f>
        <v>plot</v>
      </c>
    </row>
    <row r="308" spans="1:29" x14ac:dyDescent="0.35">
      <c r="A308" t="s">
        <v>50</v>
      </c>
      <c r="B308">
        <v>52046</v>
      </c>
      <c r="C308" t="s">
        <v>51</v>
      </c>
      <c r="D308">
        <v>55227</v>
      </c>
      <c r="E308" t="s">
        <v>360</v>
      </c>
      <c r="F308">
        <v>11782</v>
      </c>
      <c r="G308">
        <v>0.76351911304127573</v>
      </c>
      <c r="H308">
        <v>0</v>
      </c>
      <c r="I308">
        <v>0</v>
      </c>
      <c r="J308">
        <v>0.68568443396783574</v>
      </c>
      <c r="K308">
        <v>0</v>
      </c>
      <c r="L308">
        <v>0</v>
      </c>
      <c r="M308">
        <v>0.49673696390372563</v>
      </c>
      <c r="N308">
        <v>0</v>
      </c>
      <c r="O308">
        <v>0</v>
      </c>
      <c r="P308">
        <v>0.58296143597933636</v>
      </c>
      <c r="Q308">
        <v>1.2814036409093821</v>
      </c>
      <c r="R308">
        <v>3.5514583549250842</v>
      </c>
      <c r="S308">
        <v>0.2181366925245985</v>
      </c>
      <c r="T308">
        <v>0.16409343975733751</v>
      </c>
      <c r="U308">
        <v>4.4286477380750293</v>
      </c>
      <c r="V308">
        <v>0.20127646963296911</v>
      </c>
      <c r="W308">
        <v>9.2263436907995242</v>
      </c>
      <c r="X308">
        <v>0.33779953456532558</v>
      </c>
      <c r="Z308" t="s">
        <v>392</v>
      </c>
      <c r="AA308">
        <v>161</v>
      </c>
      <c r="AB308" t="s">
        <v>4755</v>
      </c>
      <c r="AC308" t="str">
        <f>HYPERLINK("plots/3FT6Y578R04_015_S31P_20251219032831_M5358ACSA301811_RBGEUFRF04/dpll_52046/txpa_55227.png","plot")</f>
        <v>plot</v>
      </c>
    </row>
    <row r="309" spans="1:29" x14ac:dyDescent="0.35">
      <c r="A309" t="s">
        <v>50</v>
      </c>
      <c r="B309">
        <v>52046</v>
      </c>
      <c r="C309" t="s">
        <v>51</v>
      </c>
      <c r="D309">
        <v>55228</v>
      </c>
      <c r="E309" t="s">
        <v>361</v>
      </c>
      <c r="F309">
        <v>11782</v>
      </c>
      <c r="G309">
        <v>0.78137473496335474</v>
      </c>
      <c r="H309">
        <v>0</v>
      </c>
      <c r="I309">
        <v>0</v>
      </c>
      <c r="J309">
        <v>0.69786188648110115</v>
      </c>
      <c r="K309">
        <v>0</v>
      </c>
      <c r="L309">
        <v>0</v>
      </c>
      <c r="M309">
        <v>0.5103155448795309</v>
      </c>
      <c r="N309">
        <v>0</v>
      </c>
      <c r="O309">
        <v>0</v>
      </c>
      <c r="P309">
        <v>0.61054647643905291</v>
      </c>
      <c r="Q309">
        <v>1.3116507371386721</v>
      </c>
      <c r="R309">
        <v>3.4470185779336591</v>
      </c>
      <c r="S309">
        <v>0.21084399521653771</v>
      </c>
      <c r="T309">
        <v>0.16131428013969071</v>
      </c>
      <c r="U309">
        <v>4.4286477380750293</v>
      </c>
      <c r="V309">
        <v>0.20127646963296911</v>
      </c>
      <c r="W309">
        <v>9.2558576481072823</v>
      </c>
      <c r="X309">
        <v>0.33787172524222281</v>
      </c>
      <c r="Z309" t="s">
        <v>392</v>
      </c>
      <c r="AA309">
        <v>161</v>
      </c>
      <c r="AB309" t="s">
        <v>4756</v>
      </c>
      <c r="AC309" t="str">
        <f>HYPERLINK("plots/3FT6Y578R04_015_S31P_20251219032831_M5358ACSA301811_RBGEUFRF04/dpll_52046/txpa_55228.png","plot")</f>
        <v>plot</v>
      </c>
    </row>
    <row r="310" spans="1:29" x14ac:dyDescent="0.35">
      <c r="A310" t="s">
        <v>50</v>
      </c>
      <c r="B310">
        <v>52046</v>
      </c>
      <c r="C310" t="s">
        <v>51</v>
      </c>
      <c r="D310">
        <v>55229</v>
      </c>
      <c r="E310" t="s">
        <v>362</v>
      </c>
      <c r="F310">
        <v>11782</v>
      </c>
      <c r="G310">
        <v>0.77441725553738283</v>
      </c>
      <c r="H310">
        <v>0</v>
      </c>
      <c r="I310">
        <v>0</v>
      </c>
      <c r="J310">
        <v>0.68926544752212004</v>
      </c>
      <c r="K310">
        <v>0</v>
      </c>
      <c r="L310">
        <v>0</v>
      </c>
      <c r="M310">
        <v>0.50174628099418395</v>
      </c>
      <c r="N310">
        <v>0</v>
      </c>
      <c r="O310">
        <v>0</v>
      </c>
      <c r="P310">
        <v>0.59972208567405205</v>
      </c>
      <c r="Q310">
        <v>1.284933213187353</v>
      </c>
      <c r="R310">
        <v>3.5790225879259019</v>
      </c>
      <c r="S310">
        <v>0.21128123310656061</v>
      </c>
      <c r="T310">
        <v>0.16054415750281259</v>
      </c>
      <c r="U310">
        <v>4.4286477380750293</v>
      </c>
      <c r="V310">
        <v>0.20127646963296911</v>
      </c>
      <c r="W310">
        <v>9.2695391560855533</v>
      </c>
      <c r="X310">
        <v>0.33396314327349469</v>
      </c>
      <c r="Z310" t="s">
        <v>392</v>
      </c>
      <c r="AA310">
        <v>161</v>
      </c>
      <c r="AB310" t="s">
        <v>4757</v>
      </c>
      <c r="AC310" t="str">
        <f>HYPERLINK("plots/3FT6Y578R04_015_S31P_20251219032831_M5358ACSA301811_RBGEUFRF04/dpll_52046/txpa_55229.png","plot")</f>
        <v>plot</v>
      </c>
    </row>
    <row r="311" spans="1:29" x14ac:dyDescent="0.35">
      <c r="A311" t="s">
        <v>50</v>
      </c>
      <c r="B311">
        <v>52046</v>
      </c>
      <c r="C311" t="s">
        <v>51</v>
      </c>
      <c r="D311">
        <v>55230</v>
      </c>
      <c r="E311" t="s">
        <v>363</v>
      </c>
      <c r="F311">
        <v>11781</v>
      </c>
      <c r="G311">
        <v>0.78721045931957079</v>
      </c>
      <c r="H311">
        <v>0</v>
      </c>
      <c r="I311">
        <v>0</v>
      </c>
      <c r="J311">
        <v>0.69905293504667632</v>
      </c>
      <c r="K311">
        <v>0</v>
      </c>
      <c r="L311">
        <v>0</v>
      </c>
      <c r="M311">
        <v>0.51111687952092344</v>
      </c>
      <c r="N311">
        <v>0</v>
      </c>
      <c r="O311">
        <v>0</v>
      </c>
      <c r="P311">
        <v>0.61970030726212966</v>
      </c>
      <c r="Q311">
        <v>1.312746760314313</v>
      </c>
      <c r="R311">
        <v>3.46061704479474</v>
      </c>
      <c r="S311">
        <v>0.20698698120835851</v>
      </c>
      <c r="T311">
        <v>0.159334382776435</v>
      </c>
      <c r="U311">
        <v>4.4286547017231142</v>
      </c>
      <c r="V311">
        <v>0.20128359324518649</v>
      </c>
      <c r="W311">
        <v>9.2743191570325099</v>
      </c>
      <c r="X311">
        <v>0.33565913893653671</v>
      </c>
      <c r="Z311" t="s">
        <v>392</v>
      </c>
      <c r="AA311">
        <v>161</v>
      </c>
      <c r="AB311" t="s">
        <v>4758</v>
      </c>
      <c r="AC311" t="str">
        <f>HYPERLINK("plots/3FT6Y578R04_015_S31P_20251219032831_M5358ACSA301811_RBGEUFRF04/dpll_52046/txpa_55230.png","plot")</f>
        <v>plot</v>
      </c>
    </row>
    <row r="312" spans="1:29" x14ac:dyDescent="0.35">
      <c r="A312" t="s">
        <v>50</v>
      </c>
      <c r="B312">
        <v>52046</v>
      </c>
      <c r="C312" t="s">
        <v>51</v>
      </c>
      <c r="D312">
        <v>55231</v>
      </c>
      <c r="E312" t="s">
        <v>364</v>
      </c>
      <c r="F312">
        <v>11781</v>
      </c>
      <c r="G312">
        <v>0.78934267980073591</v>
      </c>
      <c r="H312">
        <v>0</v>
      </c>
      <c r="I312">
        <v>0</v>
      </c>
      <c r="J312">
        <v>0.69546997077445483</v>
      </c>
      <c r="K312">
        <v>0</v>
      </c>
      <c r="L312">
        <v>0</v>
      </c>
      <c r="M312">
        <v>0.5065759949698494</v>
      </c>
      <c r="N312">
        <v>0</v>
      </c>
      <c r="O312">
        <v>0</v>
      </c>
      <c r="P312">
        <v>0.62306186615500714</v>
      </c>
      <c r="Q312">
        <v>1.312596786199407</v>
      </c>
      <c r="R312">
        <v>3.4386079179032989</v>
      </c>
      <c r="S312">
        <v>0.2054702287413615</v>
      </c>
      <c r="T312">
        <v>0.15857810898303951</v>
      </c>
      <c r="U312">
        <v>4.4286210779220783</v>
      </c>
      <c r="V312">
        <v>0.20126420786155011</v>
      </c>
      <c r="W312">
        <v>9.2516017120787719</v>
      </c>
      <c r="X312">
        <v>0.33468195648907528</v>
      </c>
      <c r="Z312" t="s">
        <v>392</v>
      </c>
      <c r="AA312">
        <v>161</v>
      </c>
      <c r="AB312" t="s">
        <v>4759</v>
      </c>
      <c r="AC312" t="str">
        <f>HYPERLINK("plots/3FT6Y578R04_015_S31P_20251219032831_M5358ACSA301811_RBGEUFRF04/dpll_52046/txpa_55231.png","plot")</f>
        <v>plot</v>
      </c>
    </row>
    <row r="313" spans="1:29" x14ac:dyDescent="0.35">
      <c r="A313" t="s">
        <v>50</v>
      </c>
      <c r="B313">
        <v>52046</v>
      </c>
      <c r="C313" t="s">
        <v>51</v>
      </c>
      <c r="D313">
        <v>55232</v>
      </c>
      <c r="E313" t="s">
        <v>365</v>
      </c>
      <c r="F313">
        <v>11781</v>
      </c>
      <c r="G313">
        <v>0.79259559201046725</v>
      </c>
      <c r="H313">
        <v>0</v>
      </c>
      <c r="I313">
        <v>0</v>
      </c>
      <c r="J313">
        <v>0.70487858384705215</v>
      </c>
      <c r="K313">
        <v>0</v>
      </c>
      <c r="L313">
        <v>0</v>
      </c>
      <c r="M313">
        <v>0.51609230266373907</v>
      </c>
      <c r="N313">
        <v>0</v>
      </c>
      <c r="O313">
        <v>0</v>
      </c>
      <c r="P313">
        <v>0.62820777247442305</v>
      </c>
      <c r="Q313">
        <v>1.32695951736635</v>
      </c>
      <c r="R313">
        <v>3.3876848253577361</v>
      </c>
      <c r="S313">
        <v>0.20544615182270451</v>
      </c>
      <c r="T313">
        <v>0.15880181386552231</v>
      </c>
      <c r="U313">
        <v>4.4286192746795683</v>
      </c>
      <c r="V313">
        <v>0.20126129812424351</v>
      </c>
      <c r="W313">
        <v>9.2642833206858501</v>
      </c>
      <c r="X313">
        <v>0.33695064382839041</v>
      </c>
      <c r="Z313" t="s">
        <v>392</v>
      </c>
      <c r="AA313">
        <v>161</v>
      </c>
      <c r="AB313" t="s">
        <v>4760</v>
      </c>
      <c r="AC313" t="str">
        <f>HYPERLINK("plots/3FT6Y578R04_015_S31P_20251219032831_M5358ACSA301811_RBGEUFRF04/dpll_52046/txpa_55232.png","plot")</f>
        <v>plot</v>
      </c>
    </row>
    <row r="314" spans="1:29" x14ac:dyDescent="0.35">
      <c r="A314" t="s">
        <v>50</v>
      </c>
      <c r="B314">
        <v>52046</v>
      </c>
      <c r="C314" t="s">
        <v>51</v>
      </c>
      <c r="D314">
        <v>55233</v>
      </c>
      <c r="E314" t="s">
        <v>366</v>
      </c>
      <c r="F314">
        <v>11782</v>
      </c>
      <c r="G314">
        <v>0.79002282502186949</v>
      </c>
      <c r="H314">
        <v>0</v>
      </c>
      <c r="I314">
        <v>0</v>
      </c>
      <c r="J314">
        <v>0.69672199654860834</v>
      </c>
      <c r="K314">
        <v>0</v>
      </c>
      <c r="L314">
        <v>0</v>
      </c>
      <c r="M314">
        <v>0.50837403359447975</v>
      </c>
      <c r="N314">
        <v>0</v>
      </c>
      <c r="O314">
        <v>0</v>
      </c>
      <c r="P314">
        <v>0.62413606405553546</v>
      </c>
      <c r="Q314">
        <v>1.3107024449602991</v>
      </c>
      <c r="R314">
        <v>3.4661216398069472</v>
      </c>
      <c r="S314">
        <v>0.2047172195637561</v>
      </c>
      <c r="T314">
        <v>0.15855749192659099</v>
      </c>
      <c r="U314">
        <v>4.4286477380750293</v>
      </c>
      <c r="V314">
        <v>0.20127646963296911</v>
      </c>
      <c r="W314">
        <v>9.2707610579697857</v>
      </c>
      <c r="X314">
        <v>0.33393156818425718</v>
      </c>
      <c r="Z314" t="s">
        <v>392</v>
      </c>
      <c r="AA314">
        <v>161</v>
      </c>
      <c r="AB314" t="s">
        <v>4761</v>
      </c>
      <c r="AC314" t="str">
        <f>HYPERLINK("plots/3FT6Y578R04_015_S31P_20251219032831_M5358ACSA301811_RBGEUFRF04/dpll_52046/txpa_55233.png","plot")</f>
        <v>plot</v>
      </c>
    </row>
    <row r="315" spans="1:29" x14ac:dyDescent="0.35">
      <c r="A315" t="s">
        <v>50</v>
      </c>
      <c r="B315">
        <v>52046</v>
      </c>
      <c r="C315" t="s">
        <v>51</v>
      </c>
      <c r="D315">
        <v>55234</v>
      </c>
      <c r="E315" t="s">
        <v>367</v>
      </c>
      <c r="F315">
        <v>11781</v>
      </c>
      <c r="G315">
        <v>0.78206557208878247</v>
      </c>
      <c r="H315">
        <v>0</v>
      </c>
      <c r="I315">
        <v>0</v>
      </c>
      <c r="J315">
        <v>0.68952345846596286</v>
      </c>
      <c r="K315">
        <v>0</v>
      </c>
      <c r="L315">
        <v>0</v>
      </c>
      <c r="M315">
        <v>0.50291066112572202</v>
      </c>
      <c r="N315">
        <v>0</v>
      </c>
      <c r="O315">
        <v>0</v>
      </c>
      <c r="P315">
        <v>0.61162655904655461</v>
      </c>
      <c r="Q315">
        <v>1.302655712305635</v>
      </c>
      <c r="R315">
        <v>3.4793461250102888</v>
      </c>
      <c r="S315">
        <v>0.20891634182485719</v>
      </c>
      <c r="T315">
        <v>0.15978954536912929</v>
      </c>
      <c r="U315">
        <v>4.4286701896273666</v>
      </c>
      <c r="V315">
        <v>0.20127025814248481</v>
      </c>
      <c r="W315">
        <v>9.2483786454460581</v>
      </c>
      <c r="X315">
        <v>0.3352479137858963</v>
      </c>
      <c r="Z315" t="s">
        <v>392</v>
      </c>
      <c r="AA315">
        <v>161</v>
      </c>
      <c r="AB315" t="s">
        <v>4762</v>
      </c>
      <c r="AC315" t="str">
        <f>HYPERLINK("plots/3FT6Y578R04_015_S31P_20251219032831_M5358ACSA301811_RBGEUFRF04/dpll_52046/txpa_55234.png","plot")</f>
        <v>plot</v>
      </c>
    </row>
    <row r="316" spans="1:29" x14ac:dyDescent="0.35">
      <c r="A316" t="s">
        <v>50</v>
      </c>
      <c r="B316">
        <v>52046</v>
      </c>
      <c r="C316" t="s">
        <v>51</v>
      </c>
      <c r="D316">
        <v>55235</v>
      </c>
      <c r="E316" t="s">
        <v>368</v>
      </c>
      <c r="F316">
        <v>11782</v>
      </c>
      <c r="G316">
        <v>0.76609526790238058</v>
      </c>
      <c r="H316">
        <v>0</v>
      </c>
      <c r="I316">
        <v>0</v>
      </c>
      <c r="J316">
        <v>0.68739530673820159</v>
      </c>
      <c r="K316">
        <v>0</v>
      </c>
      <c r="L316">
        <v>0</v>
      </c>
      <c r="M316">
        <v>0.49822661567847137</v>
      </c>
      <c r="N316">
        <v>0</v>
      </c>
      <c r="O316">
        <v>0</v>
      </c>
      <c r="P316">
        <v>0.5869019595024203</v>
      </c>
      <c r="Q316">
        <v>1.3000708937961689</v>
      </c>
      <c r="R316">
        <v>3.9500239832180579</v>
      </c>
      <c r="S316">
        <v>0.21952571392449721</v>
      </c>
      <c r="T316">
        <v>0.1649011065133652</v>
      </c>
      <c r="U316">
        <v>4.4286477380750293</v>
      </c>
      <c r="V316">
        <v>0.20127646963296911</v>
      </c>
      <c r="W316">
        <v>9.7075800063656423</v>
      </c>
      <c r="X316">
        <v>0.3415680669746875</v>
      </c>
      <c r="Z316" t="s">
        <v>392</v>
      </c>
      <c r="AA316">
        <v>161</v>
      </c>
      <c r="AB316" t="s">
        <v>4763</v>
      </c>
      <c r="AC316" t="str">
        <f>HYPERLINK("plots/3FT6Y578R04_015_S31P_20251219032831_M5358ACSA301811_RBGEUFRF04/dpll_52046/txpa_55235.png","plot")</f>
        <v>plot</v>
      </c>
    </row>
    <row r="317" spans="1:29" x14ac:dyDescent="0.35">
      <c r="A317" t="s">
        <v>50</v>
      </c>
      <c r="B317">
        <v>52046</v>
      </c>
      <c r="C317" t="s">
        <v>51</v>
      </c>
      <c r="D317">
        <v>55236</v>
      </c>
      <c r="E317" t="s">
        <v>369</v>
      </c>
      <c r="F317">
        <v>11782</v>
      </c>
      <c r="G317">
        <v>0.78370697093062802</v>
      </c>
      <c r="H317">
        <v>0</v>
      </c>
      <c r="I317">
        <v>0</v>
      </c>
      <c r="J317">
        <v>0.69936523936235884</v>
      </c>
      <c r="K317">
        <v>0</v>
      </c>
      <c r="L317">
        <v>0</v>
      </c>
      <c r="M317">
        <v>0.51165741086760264</v>
      </c>
      <c r="N317">
        <v>0</v>
      </c>
      <c r="O317">
        <v>0</v>
      </c>
      <c r="P317">
        <v>0.61419661628526023</v>
      </c>
      <c r="Q317">
        <v>1.3304744692571679</v>
      </c>
      <c r="R317">
        <v>3.844951081322324</v>
      </c>
      <c r="S317">
        <v>0.21223178499830761</v>
      </c>
      <c r="T317">
        <v>0.16216283437925449</v>
      </c>
      <c r="U317">
        <v>4.4286477380750293</v>
      </c>
      <c r="V317">
        <v>0.20127646963296911</v>
      </c>
      <c r="W317">
        <v>9.7371538301646581</v>
      </c>
      <c r="X317">
        <v>0.34170067900619128</v>
      </c>
      <c r="Z317" t="s">
        <v>392</v>
      </c>
      <c r="AA317">
        <v>161</v>
      </c>
      <c r="AB317" t="s">
        <v>4764</v>
      </c>
      <c r="AC317" t="str">
        <f>HYPERLINK("plots/3FT6Y578R04_015_S31P_20251219032831_M5358ACSA301811_RBGEUFRF04/dpll_52046/txpa_55236.png","plot")</f>
        <v>plot</v>
      </c>
    </row>
    <row r="318" spans="1:29" x14ac:dyDescent="0.35">
      <c r="A318" t="s">
        <v>50</v>
      </c>
      <c r="B318">
        <v>52046</v>
      </c>
      <c r="C318" t="s">
        <v>51</v>
      </c>
      <c r="D318">
        <v>55237</v>
      </c>
      <c r="E318" t="s">
        <v>370</v>
      </c>
      <c r="F318">
        <v>11782</v>
      </c>
      <c r="G318">
        <v>0.77705500044578457</v>
      </c>
      <c r="H318">
        <v>0</v>
      </c>
      <c r="I318">
        <v>0</v>
      </c>
      <c r="J318">
        <v>0.69096512602479832</v>
      </c>
      <c r="K318">
        <v>0</v>
      </c>
      <c r="L318">
        <v>0</v>
      </c>
      <c r="M318">
        <v>0.50321857602809739</v>
      </c>
      <c r="N318">
        <v>0</v>
      </c>
      <c r="O318">
        <v>0</v>
      </c>
      <c r="P318">
        <v>0.60381447371779828</v>
      </c>
      <c r="Q318">
        <v>1.303675916708845</v>
      </c>
      <c r="R318">
        <v>3.9775770048847221</v>
      </c>
      <c r="S318">
        <v>0.2125405309277405</v>
      </c>
      <c r="T318">
        <v>0.16128322490295721</v>
      </c>
      <c r="U318">
        <v>4.4286477380750293</v>
      </c>
      <c r="V318">
        <v>0.20127646963296911</v>
      </c>
      <c r="W318">
        <v>9.7510984046002385</v>
      </c>
      <c r="X318">
        <v>0.33768431566638979</v>
      </c>
      <c r="Z318" t="s">
        <v>392</v>
      </c>
      <c r="AA318">
        <v>161</v>
      </c>
      <c r="AB318" t="s">
        <v>4765</v>
      </c>
      <c r="AC318" t="str">
        <f>HYPERLINK("plots/3FT6Y578R04_015_S31P_20251219032831_M5358ACSA301811_RBGEUFRF04/dpll_52046/txpa_55237.png","plot")</f>
        <v>plot</v>
      </c>
    </row>
    <row r="319" spans="1:29" x14ac:dyDescent="0.35">
      <c r="A319" t="s">
        <v>50</v>
      </c>
      <c r="B319">
        <v>52046</v>
      </c>
      <c r="C319" t="s">
        <v>51</v>
      </c>
      <c r="D319">
        <v>55238</v>
      </c>
      <c r="E319" t="s">
        <v>371</v>
      </c>
      <c r="F319">
        <v>11781</v>
      </c>
      <c r="G319">
        <v>0.78962982187475239</v>
      </c>
      <c r="H319">
        <v>0</v>
      </c>
      <c r="I319">
        <v>0</v>
      </c>
      <c r="J319">
        <v>0.70064484917891456</v>
      </c>
      <c r="K319">
        <v>0</v>
      </c>
      <c r="L319">
        <v>0</v>
      </c>
      <c r="M319">
        <v>0.51254169503670155</v>
      </c>
      <c r="N319">
        <v>0</v>
      </c>
      <c r="O319">
        <v>0</v>
      </c>
      <c r="P319">
        <v>0.62351525559395315</v>
      </c>
      <c r="Q319">
        <v>1.331523989045917</v>
      </c>
      <c r="R319">
        <v>3.8585238418539731</v>
      </c>
      <c r="S319">
        <v>0.2082519557131296</v>
      </c>
      <c r="T319">
        <v>0.16009597031399569</v>
      </c>
      <c r="U319">
        <v>4.4286547017231142</v>
      </c>
      <c r="V319">
        <v>0.20128359324518649</v>
      </c>
      <c r="W319">
        <v>9.7553838163992879</v>
      </c>
      <c r="X319">
        <v>0.33941718712067281</v>
      </c>
      <c r="Z319" t="s">
        <v>392</v>
      </c>
      <c r="AA319">
        <v>161</v>
      </c>
      <c r="AB319" t="s">
        <v>4766</v>
      </c>
      <c r="AC319" t="str">
        <f>HYPERLINK("plots/3FT6Y578R04_015_S31P_20251219032831_M5358ACSA301811_RBGEUFRF04/dpll_52046/txpa_55238.png","plot")</f>
        <v>plot</v>
      </c>
    </row>
    <row r="320" spans="1:29" x14ac:dyDescent="0.35">
      <c r="A320" t="s">
        <v>50</v>
      </c>
      <c r="B320">
        <v>52046</v>
      </c>
      <c r="C320" t="s">
        <v>51</v>
      </c>
      <c r="D320">
        <v>55239</v>
      </c>
      <c r="E320" t="s">
        <v>372</v>
      </c>
      <c r="F320">
        <v>11781</v>
      </c>
      <c r="G320">
        <v>0.79178452906117658</v>
      </c>
      <c r="H320">
        <v>0</v>
      </c>
      <c r="I320">
        <v>0</v>
      </c>
      <c r="J320">
        <v>0.69710006797724156</v>
      </c>
      <c r="K320">
        <v>0</v>
      </c>
      <c r="L320">
        <v>0</v>
      </c>
      <c r="M320">
        <v>0.50800782641200826</v>
      </c>
      <c r="N320">
        <v>0</v>
      </c>
      <c r="O320">
        <v>0</v>
      </c>
      <c r="P320">
        <v>0.62692274046062912</v>
      </c>
      <c r="Q320">
        <v>1.3316656120996839</v>
      </c>
      <c r="R320">
        <v>3.8348376186575872</v>
      </c>
      <c r="S320">
        <v>0.2067453154513435</v>
      </c>
      <c r="T320">
        <v>0.15936946321228401</v>
      </c>
      <c r="U320">
        <v>4.4286210779220783</v>
      </c>
      <c r="V320">
        <v>0.20126420786155011</v>
      </c>
      <c r="W320">
        <v>9.7322800171462536</v>
      </c>
      <c r="X320">
        <v>0.33849692020820099</v>
      </c>
      <c r="Z320" t="s">
        <v>392</v>
      </c>
      <c r="AA320">
        <v>161</v>
      </c>
      <c r="AB320" t="s">
        <v>4767</v>
      </c>
      <c r="AC320" t="str">
        <f>HYPERLINK("plots/3FT6Y578R04_015_S31P_20251219032831_M5358ACSA301811_RBGEUFRF04/dpll_52046/txpa_55239.png","plot")</f>
        <v>plot</v>
      </c>
    </row>
    <row r="321" spans="1:29" x14ac:dyDescent="0.35">
      <c r="A321" t="s">
        <v>50</v>
      </c>
      <c r="B321">
        <v>52046</v>
      </c>
      <c r="C321" t="s">
        <v>51</v>
      </c>
      <c r="D321">
        <v>55240</v>
      </c>
      <c r="E321" t="s">
        <v>373</v>
      </c>
      <c r="F321">
        <v>11781</v>
      </c>
      <c r="G321">
        <v>0.79480144997345215</v>
      </c>
      <c r="H321">
        <v>0</v>
      </c>
      <c r="I321">
        <v>0</v>
      </c>
      <c r="J321">
        <v>0.70620710025631528</v>
      </c>
      <c r="K321">
        <v>0</v>
      </c>
      <c r="L321">
        <v>0</v>
      </c>
      <c r="M321">
        <v>0.51731735779666033</v>
      </c>
      <c r="N321">
        <v>0</v>
      </c>
      <c r="O321">
        <v>0</v>
      </c>
      <c r="P321">
        <v>0.63170934487990194</v>
      </c>
      <c r="Q321">
        <v>1.345547836113161</v>
      </c>
      <c r="R321">
        <v>3.7866526339692319</v>
      </c>
      <c r="S321">
        <v>0.20676531046959881</v>
      </c>
      <c r="T321">
        <v>0.15960709715688801</v>
      </c>
      <c r="U321">
        <v>4.4286192746795683</v>
      </c>
      <c r="V321">
        <v>0.20126129812424351</v>
      </c>
      <c r="W321">
        <v>9.7455717159833615</v>
      </c>
      <c r="X321">
        <v>0.34072245866366652</v>
      </c>
      <c r="Z321" t="s">
        <v>392</v>
      </c>
      <c r="AA321">
        <v>161</v>
      </c>
      <c r="AB321" t="s">
        <v>4768</v>
      </c>
      <c r="AC321" t="str">
        <f>HYPERLINK("plots/3FT6Y578R04_015_S31P_20251219032831_M5358ACSA301811_RBGEUFRF04/dpll_52046/txpa_55240.png","plot")</f>
        <v>plot</v>
      </c>
    </row>
    <row r="322" spans="1:29" x14ac:dyDescent="0.35">
      <c r="A322" t="s">
        <v>50</v>
      </c>
      <c r="B322">
        <v>52046</v>
      </c>
      <c r="C322" t="s">
        <v>51</v>
      </c>
      <c r="D322">
        <v>55241</v>
      </c>
      <c r="E322" t="s">
        <v>374</v>
      </c>
      <c r="F322">
        <v>11782</v>
      </c>
      <c r="G322">
        <v>0.79234573319035206</v>
      </c>
      <c r="H322">
        <v>0</v>
      </c>
      <c r="I322">
        <v>0</v>
      </c>
      <c r="J322">
        <v>0.69815508735699106</v>
      </c>
      <c r="K322">
        <v>0</v>
      </c>
      <c r="L322">
        <v>0</v>
      </c>
      <c r="M322">
        <v>0.50966735984908285</v>
      </c>
      <c r="N322">
        <v>0</v>
      </c>
      <c r="O322">
        <v>0</v>
      </c>
      <c r="P322">
        <v>0.62781176090495661</v>
      </c>
      <c r="Q322">
        <v>1.329723141666632</v>
      </c>
      <c r="R322">
        <v>3.8630888018444351</v>
      </c>
      <c r="S322">
        <v>0.20606413073034779</v>
      </c>
      <c r="T322">
        <v>0.1593743209020782</v>
      </c>
      <c r="U322">
        <v>4.4286477380750293</v>
      </c>
      <c r="V322">
        <v>0.20127646963296911</v>
      </c>
      <c r="W322">
        <v>9.7519641854523851</v>
      </c>
      <c r="X322">
        <v>0.337784338746003</v>
      </c>
      <c r="Z322" t="s">
        <v>392</v>
      </c>
      <c r="AA322">
        <v>161</v>
      </c>
      <c r="AB322" t="s">
        <v>4769</v>
      </c>
      <c r="AC322" t="str">
        <f>HYPERLINK("plots/3FT6Y578R04_015_S31P_20251219032831_M5358ACSA301811_RBGEUFRF04/dpll_52046/txpa_55241.png","plot")</f>
        <v>plot</v>
      </c>
    </row>
    <row r="323" spans="1:29" x14ac:dyDescent="0.35">
      <c r="A323" t="s">
        <v>50</v>
      </c>
      <c r="B323">
        <v>52046</v>
      </c>
      <c r="C323" t="s">
        <v>51</v>
      </c>
      <c r="D323">
        <v>55242</v>
      </c>
      <c r="E323" t="s">
        <v>375</v>
      </c>
      <c r="F323">
        <v>11781</v>
      </c>
      <c r="G323">
        <v>0.78432448896581342</v>
      </c>
      <c r="H323">
        <v>0</v>
      </c>
      <c r="I323">
        <v>0</v>
      </c>
      <c r="J323">
        <v>0.69101203298230118</v>
      </c>
      <c r="K323">
        <v>0</v>
      </c>
      <c r="L323">
        <v>0</v>
      </c>
      <c r="M323">
        <v>0.50425705517372221</v>
      </c>
      <c r="N323">
        <v>0</v>
      </c>
      <c r="O323">
        <v>0</v>
      </c>
      <c r="P323">
        <v>0.61516490399148438</v>
      </c>
      <c r="Q323">
        <v>1.321037798715309</v>
      </c>
      <c r="R323">
        <v>3.8794838370141078</v>
      </c>
      <c r="S323">
        <v>0.21028968754998101</v>
      </c>
      <c r="T323">
        <v>0.16059506669272389</v>
      </c>
      <c r="U323">
        <v>4.4286701896273666</v>
      </c>
      <c r="V323">
        <v>0.20127025814248481</v>
      </c>
      <c r="W323">
        <v>9.7299245555555558</v>
      </c>
      <c r="X323">
        <v>0.33899951168680081</v>
      </c>
      <c r="Z323" t="s">
        <v>392</v>
      </c>
      <c r="AA323">
        <v>161</v>
      </c>
      <c r="AB323" t="s">
        <v>4770</v>
      </c>
      <c r="AC323" t="str">
        <f>HYPERLINK("plots/3FT6Y578R04_015_S31P_20251219032831_M5358ACSA301811_RBGEUFRF04/dpll_52046/txpa_55242.png","plot")</f>
        <v>plot</v>
      </c>
    </row>
    <row r="324" spans="1:29" x14ac:dyDescent="0.35">
      <c r="A324" t="s">
        <v>50</v>
      </c>
      <c r="B324">
        <v>52046</v>
      </c>
      <c r="C324" t="s">
        <v>51</v>
      </c>
      <c r="D324">
        <v>55243</v>
      </c>
      <c r="E324" t="s">
        <v>376</v>
      </c>
      <c r="F324">
        <v>11782</v>
      </c>
      <c r="G324">
        <v>0.77212384548667212</v>
      </c>
      <c r="H324">
        <v>0</v>
      </c>
      <c r="I324">
        <v>0</v>
      </c>
      <c r="J324">
        <v>0.69110760750184619</v>
      </c>
      <c r="K324">
        <v>0</v>
      </c>
      <c r="L324">
        <v>0</v>
      </c>
      <c r="M324">
        <v>0.50178469716560259</v>
      </c>
      <c r="N324">
        <v>0</v>
      </c>
      <c r="O324">
        <v>0</v>
      </c>
      <c r="P324">
        <v>0.59617523276912632</v>
      </c>
      <c r="Q324">
        <v>1.348160704484197</v>
      </c>
      <c r="R324">
        <v>5.3123806333023884</v>
      </c>
      <c r="S324">
        <v>0.22331903898670871</v>
      </c>
      <c r="T324">
        <v>0.16702414834353471</v>
      </c>
      <c r="U324">
        <v>4.4286477380750293</v>
      </c>
      <c r="V324">
        <v>0.20127646963296911</v>
      </c>
      <c r="W324">
        <v>11.282909487777969</v>
      </c>
      <c r="X324">
        <v>0.35143718029513921</v>
      </c>
      <c r="Z324" t="s">
        <v>392</v>
      </c>
      <c r="AA324">
        <v>161</v>
      </c>
      <c r="AB324" t="s">
        <v>4771</v>
      </c>
      <c r="AC324" t="str">
        <f>HYPERLINK("plots/3FT6Y578R04_015_S31P_20251219032831_M5358ACSA301811_RBGEUFRF04/dpll_52046/txpa_55243.png","plot")</f>
        <v>plot</v>
      </c>
    </row>
    <row r="325" spans="1:29" x14ac:dyDescent="0.35">
      <c r="A325" t="s">
        <v>50</v>
      </c>
      <c r="B325">
        <v>52046</v>
      </c>
      <c r="C325" t="s">
        <v>51</v>
      </c>
      <c r="D325">
        <v>55244</v>
      </c>
      <c r="E325" t="s">
        <v>377</v>
      </c>
      <c r="F325">
        <v>11782</v>
      </c>
      <c r="G325">
        <v>0.7893649142004272</v>
      </c>
      <c r="H325">
        <v>0</v>
      </c>
      <c r="I325">
        <v>0</v>
      </c>
      <c r="J325">
        <v>0.7030692532801448</v>
      </c>
      <c r="K325">
        <v>0</v>
      </c>
      <c r="L325">
        <v>0</v>
      </c>
      <c r="M325">
        <v>0.5152723705350194</v>
      </c>
      <c r="N325">
        <v>0</v>
      </c>
      <c r="O325">
        <v>0</v>
      </c>
      <c r="P325">
        <v>0.62309696777064782</v>
      </c>
      <c r="Q325">
        <v>1.379089691419227</v>
      </c>
      <c r="R325">
        <v>5.2043465506187561</v>
      </c>
      <c r="S325">
        <v>0.21587586169354031</v>
      </c>
      <c r="T325">
        <v>0.16425674343954971</v>
      </c>
      <c r="U325">
        <v>4.4286477380750293</v>
      </c>
      <c r="V325">
        <v>0.20127646963296911</v>
      </c>
      <c r="W325">
        <v>11.31184899312511</v>
      </c>
      <c r="X325">
        <v>0.35164763394285198</v>
      </c>
      <c r="Z325" t="s">
        <v>392</v>
      </c>
      <c r="AA325">
        <v>161</v>
      </c>
      <c r="AB325" t="s">
        <v>4772</v>
      </c>
      <c r="AC325" t="str">
        <f>HYPERLINK("plots/3FT6Y578R04_015_S31P_20251219032831_M5358ACSA301811_RBGEUFRF04/dpll_52046/txpa_55244.png","plot")</f>
        <v>plot</v>
      </c>
    </row>
    <row r="326" spans="1:29" x14ac:dyDescent="0.35">
      <c r="A326" t="s">
        <v>50</v>
      </c>
      <c r="B326">
        <v>52046</v>
      </c>
      <c r="C326" t="s">
        <v>51</v>
      </c>
      <c r="D326">
        <v>55245</v>
      </c>
      <c r="E326" t="s">
        <v>378</v>
      </c>
      <c r="F326">
        <v>11782</v>
      </c>
      <c r="G326">
        <v>0.78314324337084573</v>
      </c>
      <c r="H326">
        <v>0</v>
      </c>
      <c r="I326">
        <v>0</v>
      </c>
      <c r="J326">
        <v>0.69493243416953643</v>
      </c>
      <c r="K326">
        <v>0</v>
      </c>
      <c r="L326">
        <v>0</v>
      </c>
      <c r="M326">
        <v>0.507043347386545</v>
      </c>
      <c r="N326">
        <v>0</v>
      </c>
      <c r="O326">
        <v>0</v>
      </c>
      <c r="P326">
        <v>0.61331333963740775</v>
      </c>
      <c r="Q326">
        <v>1.3521842450132331</v>
      </c>
      <c r="R326">
        <v>5.3375732175803474</v>
      </c>
      <c r="S326">
        <v>0.21609704907761559</v>
      </c>
      <c r="T326">
        <v>0.1632670642355544</v>
      </c>
      <c r="U326">
        <v>4.4286477380750293</v>
      </c>
      <c r="V326">
        <v>0.20127646963296911</v>
      </c>
      <c r="W326">
        <v>11.325920915718889</v>
      </c>
      <c r="X326">
        <v>0.34752629666844559</v>
      </c>
      <c r="Z326" t="s">
        <v>392</v>
      </c>
      <c r="AA326">
        <v>161</v>
      </c>
      <c r="AB326" t="s">
        <v>4773</v>
      </c>
      <c r="AC326" t="str">
        <f>HYPERLINK("plots/3FT6Y578R04_015_S31P_20251219032831_M5358ACSA301811_RBGEUFRF04/dpll_52046/txpa_55245.png","plot")</f>
        <v>plot</v>
      </c>
    </row>
    <row r="327" spans="1:29" x14ac:dyDescent="0.35">
      <c r="A327" t="s">
        <v>50</v>
      </c>
      <c r="B327">
        <v>52046</v>
      </c>
      <c r="C327" t="s">
        <v>51</v>
      </c>
      <c r="D327">
        <v>55246</v>
      </c>
      <c r="E327" t="s">
        <v>379</v>
      </c>
      <c r="F327">
        <v>11781</v>
      </c>
      <c r="G327">
        <v>0.79510735779151742</v>
      </c>
      <c r="H327">
        <v>0</v>
      </c>
      <c r="I327">
        <v>0</v>
      </c>
      <c r="J327">
        <v>0.70405061494174426</v>
      </c>
      <c r="K327">
        <v>0</v>
      </c>
      <c r="L327">
        <v>0</v>
      </c>
      <c r="M327">
        <v>0.51588485469396017</v>
      </c>
      <c r="N327">
        <v>0</v>
      </c>
      <c r="O327">
        <v>0</v>
      </c>
      <c r="P327">
        <v>0.63219571041420808</v>
      </c>
      <c r="Q327">
        <v>1.3793878642824431</v>
      </c>
      <c r="R327">
        <v>5.2207397005977683</v>
      </c>
      <c r="S327">
        <v>0.21176733310230239</v>
      </c>
      <c r="T327">
        <v>0.1621760608822749</v>
      </c>
      <c r="U327">
        <v>4.4286547017231142</v>
      </c>
      <c r="V327">
        <v>0.20128359324518649</v>
      </c>
      <c r="W327">
        <v>11.329572251252021</v>
      </c>
      <c r="X327">
        <v>0.34919579485815189</v>
      </c>
      <c r="Z327" t="s">
        <v>392</v>
      </c>
      <c r="AA327">
        <v>161</v>
      </c>
      <c r="AB327" t="s">
        <v>4774</v>
      </c>
      <c r="AC327" t="str">
        <f>HYPERLINK("plots/3FT6Y578R04_015_S31P_20251219032831_M5358ACSA301811_RBGEUFRF04/dpll_52046/txpa_55246.png","plot")</f>
        <v>plot</v>
      </c>
    </row>
    <row r="328" spans="1:29" x14ac:dyDescent="0.35">
      <c r="A328" t="s">
        <v>50</v>
      </c>
      <c r="B328">
        <v>52046</v>
      </c>
      <c r="C328" t="s">
        <v>51</v>
      </c>
      <c r="D328">
        <v>55247</v>
      </c>
      <c r="E328" t="s">
        <v>380</v>
      </c>
      <c r="F328">
        <v>11781</v>
      </c>
      <c r="G328">
        <v>0.79715935965340889</v>
      </c>
      <c r="H328">
        <v>0</v>
      </c>
      <c r="I328">
        <v>0</v>
      </c>
      <c r="J328">
        <v>0.70049424148844597</v>
      </c>
      <c r="K328">
        <v>0</v>
      </c>
      <c r="L328">
        <v>0</v>
      </c>
      <c r="M328">
        <v>0.51139408372232886</v>
      </c>
      <c r="N328">
        <v>0</v>
      </c>
      <c r="O328">
        <v>0</v>
      </c>
      <c r="P328">
        <v>0.63546304468303294</v>
      </c>
      <c r="Q328">
        <v>1.3802496523481551</v>
      </c>
      <c r="R328">
        <v>5.1925220634745166</v>
      </c>
      <c r="S328">
        <v>0.21039305185022431</v>
      </c>
      <c r="T328">
        <v>0.16156437905017371</v>
      </c>
      <c r="U328">
        <v>4.4286210779220783</v>
      </c>
      <c r="V328">
        <v>0.20126420786155011</v>
      </c>
      <c r="W328">
        <v>11.30512476665818</v>
      </c>
      <c r="X328">
        <v>0.34848095248083372</v>
      </c>
      <c r="Z328" t="s">
        <v>392</v>
      </c>
      <c r="AA328">
        <v>161</v>
      </c>
      <c r="AB328" t="s">
        <v>4775</v>
      </c>
      <c r="AC328" t="str">
        <f>HYPERLINK("plots/3FT6Y578R04_015_S31P_20251219032831_M5358ACSA301811_RBGEUFRF04/dpll_52046/txpa_55247.png","plot")</f>
        <v>plot</v>
      </c>
    </row>
    <row r="329" spans="1:29" x14ac:dyDescent="0.35">
      <c r="A329" t="s">
        <v>50</v>
      </c>
      <c r="B329">
        <v>52046</v>
      </c>
      <c r="C329" t="s">
        <v>51</v>
      </c>
      <c r="D329">
        <v>55248</v>
      </c>
      <c r="E329" t="s">
        <v>381</v>
      </c>
      <c r="F329">
        <v>11781</v>
      </c>
      <c r="G329">
        <v>0.80010470935865674</v>
      </c>
      <c r="H329">
        <v>0</v>
      </c>
      <c r="I329">
        <v>0</v>
      </c>
      <c r="J329">
        <v>0.70926637769582068</v>
      </c>
      <c r="K329">
        <v>0</v>
      </c>
      <c r="L329">
        <v>0</v>
      </c>
      <c r="M329">
        <v>0.52053509297293354</v>
      </c>
      <c r="N329">
        <v>0</v>
      </c>
      <c r="O329">
        <v>0</v>
      </c>
      <c r="P329">
        <v>0.6401675459379006</v>
      </c>
      <c r="Q329">
        <v>1.393740619359072</v>
      </c>
      <c r="R329">
        <v>5.1481528432591048</v>
      </c>
      <c r="S329">
        <v>0.21029412156555399</v>
      </c>
      <c r="T329">
        <v>0.16164235560444079</v>
      </c>
      <c r="U329">
        <v>4.4286192746795683</v>
      </c>
      <c r="V329">
        <v>0.20126129812424351</v>
      </c>
      <c r="W329">
        <v>11.320499414056529</v>
      </c>
      <c r="X329">
        <v>0.35058667074405853</v>
      </c>
      <c r="Z329" t="s">
        <v>392</v>
      </c>
      <c r="AA329">
        <v>161</v>
      </c>
      <c r="AB329" t="s">
        <v>4776</v>
      </c>
      <c r="AC329" t="str">
        <f>HYPERLINK("plots/3FT6Y578R04_015_S31P_20251219032831_M5358ACSA301811_RBGEUFRF04/dpll_52046/txpa_55248.png","plot")</f>
        <v>plot</v>
      </c>
    </row>
    <row r="330" spans="1:29" x14ac:dyDescent="0.35">
      <c r="A330" t="s">
        <v>50</v>
      </c>
      <c r="B330">
        <v>52046</v>
      </c>
      <c r="C330" t="s">
        <v>51</v>
      </c>
      <c r="D330">
        <v>55249</v>
      </c>
      <c r="E330" t="s">
        <v>382</v>
      </c>
      <c r="F330">
        <v>11782</v>
      </c>
      <c r="G330">
        <v>0.79788272122739956</v>
      </c>
      <c r="H330">
        <v>0</v>
      </c>
      <c r="I330">
        <v>0</v>
      </c>
      <c r="J330">
        <v>0.70148782216218419</v>
      </c>
      <c r="K330">
        <v>0</v>
      </c>
      <c r="L330">
        <v>0</v>
      </c>
      <c r="M330">
        <v>0.51300695254496109</v>
      </c>
      <c r="N330">
        <v>0</v>
      </c>
      <c r="O330">
        <v>0</v>
      </c>
      <c r="P330">
        <v>0.63661683683324022</v>
      </c>
      <c r="Q330">
        <v>1.378179482195933</v>
      </c>
      <c r="R330">
        <v>5.2240172669727798</v>
      </c>
      <c r="S330">
        <v>0.2095673855944864</v>
      </c>
      <c r="T330">
        <v>0.16132308900770331</v>
      </c>
      <c r="U330">
        <v>4.4286477380750293</v>
      </c>
      <c r="V330">
        <v>0.20127646963296911</v>
      </c>
      <c r="W330">
        <v>11.327488713461211</v>
      </c>
      <c r="X330">
        <v>0.34766400288787802</v>
      </c>
      <c r="Z330" t="s">
        <v>392</v>
      </c>
      <c r="AA330">
        <v>161</v>
      </c>
      <c r="AB330" t="s">
        <v>4777</v>
      </c>
      <c r="AC330" t="str">
        <f>HYPERLINK("plots/3FT6Y578R04_015_S31P_20251219032831_M5358ACSA301811_RBGEUFRF04/dpll_52046/txpa_55249.png","plot")</f>
        <v>plot</v>
      </c>
    </row>
    <row r="331" spans="1:29" x14ac:dyDescent="0.35">
      <c r="A331" t="s">
        <v>50</v>
      </c>
      <c r="B331">
        <v>52046</v>
      </c>
      <c r="C331" t="s">
        <v>51</v>
      </c>
      <c r="D331">
        <v>55250</v>
      </c>
      <c r="E331" t="s">
        <v>383</v>
      </c>
      <c r="F331">
        <v>11781</v>
      </c>
      <c r="G331">
        <v>0.78952804972240087</v>
      </c>
      <c r="H331">
        <v>0</v>
      </c>
      <c r="I331">
        <v>0</v>
      </c>
      <c r="J331">
        <v>0.69374433849363848</v>
      </c>
      <c r="K331">
        <v>0</v>
      </c>
      <c r="L331">
        <v>0</v>
      </c>
      <c r="M331">
        <v>0.50700600166911558</v>
      </c>
      <c r="N331">
        <v>0</v>
      </c>
      <c r="O331">
        <v>0</v>
      </c>
      <c r="P331">
        <v>0.62335454129845791</v>
      </c>
      <c r="Q331">
        <v>1.3679155618963099</v>
      </c>
      <c r="R331">
        <v>5.2493553902857064</v>
      </c>
      <c r="S331">
        <v>0.2140027060099389</v>
      </c>
      <c r="T331">
        <v>0.16281917576028729</v>
      </c>
      <c r="U331">
        <v>4.4286701896273666</v>
      </c>
      <c r="V331">
        <v>0.20127025814248481</v>
      </c>
      <c r="W331">
        <v>11.30740226118326</v>
      </c>
      <c r="X331">
        <v>0.34871556286923022</v>
      </c>
      <c r="Z331" t="s">
        <v>392</v>
      </c>
      <c r="AA331">
        <v>161</v>
      </c>
      <c r="AB331" t="s">
        <v>4778</v>
      </c>
      <c r="AC331" t="str">
        <f>HYPERLINK("plots/3FT6Y578R04_015_S31P_20251219032831_M5358ACSA301811_RBGEUFRF04/dpll_52046/txpa_55250.png","plot")</f>
        <v>plot</v>
      </c>
    </row>
    <row r="332" spans="1:29" x14ac:dyDescent="0.35">
      <c r="A332" t="s">
        <v>50</v>
      </c>
      <c r="B332">
        <v>52046</v>
      </c>
      <c r="C332" t="s">
        <v>51</v>
      </c>
      <c r="D332">
        <v>55251</v>
      </c>
      <c r="E332" t="s">
        <v>384</v>
      </c>
      <c r="F332">
        <v>11782</v>
      </c>
      <c r="G332">
        <v>0.77401774718704541</v>
      </c>
      <c r="H332">
        <v>0</v>
      </c>
      <c r="I332">
        <v>0</v>
      </c>
      <c r="J332">
        <v>0.69185162221824525</v>
      </c>
      <c r="K332">
        <v>0</v>
      </c>
      <c r="L332">
        <v>0</v>
      </c>
      <c r="M332">
        <v>0.50255577586977085</v>
      </c>
      <c r="N332">
        <v>0</v>
      </c>
      <c r="O332">
        <v>0</v>
      </c>
      <c r="P332">
        <v>0.59910347296050892</v>
      </c>
      <c r="Q332">
        <v>1.3630547963799939</v>
      </c>
      <c r="R332">
        <v>5.8070004761144673</v>
      </c>
      <c r="S332">
        <v>0.2244156391430274</v>
      </c>
      <c r="T332">
        <v>0.16755056171321689</v>
      </c>
      <c r="U332">
        <v>4.4286477380750293</v>
      </c>
      <c r="V332">
        <v>0.20127646963296911</v>
      </c>
      <c r="W332">
        <v>11.84349001697505</v>
      </c>
      <c r="X332">
        <v>0.35445034474817089</v>
      </c>
      <c r="Z332" t="s">
        <v>392</v>
      </c>
      <c r="AA332">
        <v>161</v>
      </c>
      <c r="AB332" t="s">
        <v>4779</v>
      </c>
      <c r="AC332" t="str">
        <f>HYPERLINK("plots/3FT6Y578R04_015_S31P_20251219032831_M5358ACSA301811_RBGEUFRF04/dpll_52046/txpa_55251.png","plot")</f>
        <v>plot</v>
      </c>
    </row>
    <row r="333" spans="1:29" x14ac:dyDescent="0.35">
      <c r="A333" t="s">
        <v>50</v>
      </c>
      <c r="B333">
        <v>52046</v>
      </c>
      <c r="C333" t="s">
        <v>51</v>
      </c>
      <c r="D333">
        <v>55252</v>
      </c>
      <c r="E333" t="s">
        <v>385</v>
      </c>
      <c r="F333">
        <v>11782</v>
      </c>
      <c r="G333">
        <v>0.79113664189006194</v>
      </c>
      <c r="H333">
        <v>0</v>
      </c>
      <c r="I333">
        <v>0</v>
      </c>
      <c r="J333">
        <v>0.70388221261556128</v>
      </c>
      <c r="K333">
        <v>0</v>
      </c>
      <c r="L333">
        <v>0</v>
      </c>
      <c r="M333">
        <v>0.5161425715897896</v>
      </c>
      <c r="N333">
        <v>0</v>
      </c>
      <c r="O333">
        <v>0</v>
      </c>
      <c r="P333">
        <v>0.62589718614108414</v>
      </c>
      <c r="Q333">
        <v>1.3943045777638481</v>
      </c>
      <c r="R333">
        <v>5.6974655922205946</v>
      </c>
      <c r="S333">
        <v>0.2169582735280286</v>
      </c>
      <c r="T333">
        <v>0.16475908635135811</v>
      </c>
      <c r="U333">
        <v>4.4286477380750293</v>
      </c>
      <c r="V333">
        <v>0.20127646963296911</v>
      </c>
      <c r="W333">
        <v>11.872349406722121</v>
      </c>
      <c r="X333">
        <v>0.35473101376638477</v>
      </c>
      <c r="Z333" t="s">
        <v>392</v>
      </c>
      <c r="AA333">
        <v>161</v>
      </c>
      <c r="AB333" t="s">
        <v>4780</v>
      </c>
      <c r="AC333" t="str">
        <f>HYPERLINK("plots/3FT6Y578R04_015_S31P_20251219032831_M5358ACSA301811_RBGEUFRF04/dpll_52046/txpa_55252.png","plot")</f>
        <v>plot</v>
      </c>
    </row>
    <row r="334" spans="1:29" x14ac:dyDescent="0.35">
      <c r="A334" t="s">
        <v>50</v>
      </c>
      <c r="B334">
        <v>52046</v>
      </c>
      <c r="C334" t="s">
        <v>51</v>
      </c>
      <c r="D334">
        <v>55253</v>
      </c>
      <c r="E334" t="s">
        <v>386</v>
      </c>
      <c r="F334">
        <v>11782</v>
      </c>
      <c r="G334">
        <v>0.78506035360179705</v>
      </c>
      <c r="H334">
        <v>0</v>
      </c>
      <c r="I334">
        <v>0</v>
      </c>
      <c r="J334">
        <v>0.69575031290683864</v>
      </c>
      <c r="K334">
        <v>0</v>
      </c>
      <c r="L334">
        <v>0</v>
      </c>
      <c r="M334">
        <v>0.50790941515973675</v>
      </c>
      <c r="N334">
        <v>0</v>
      </c>
      <c r="O334">
        <v>0</v>
      </c>
      <c r="P334">
        <v>0.61631975879737866</v>
      </c>
      <c r="Q334">
        <v>1.3672948027741789</v>
      </c>
      <c r="R334">
        <v>5.8313906897561312</v>
      </c>
      <c r="S334">
        <v>0.21712928877756069</v>
      </c>
      <c r="T334">
        <v>0.16377979481138119</v>
      </c>
      <c r="U334">
        <v>4.4286477380750293</v>
      </c>
      <c r="V334">
        <v>0.20127646963296911</v>
      </c>
      <c r="W334">
        <v>11.88665772534374</v>
      </c>
      <c r="X334">
        <v>0.35055173731201339</v>
      </c>
      <c r="Z334" t="s">
        <v>392</v>
      </c>
      <c r="AA334">
        <v>161</v>
      </c>
      <c r="AB334" t="s">
        <v>4781</v>
      </c>
      <c r="AC334" t="str">
        <f>HYPERLINK("plots/3FT6Y578R04_015_S31P_20251219032831_M5358ACSA301811_RBGEUFRF04/dpll_52046/txpa_55253.png","plot")</f>
        <v>plot</v>
      </c>
    </row>
    <row r="335" spans="1:29" x14ac:dyDescent="0.35">
      <c r="A335" t="s">
        <v>50</v>
      </c>
      <c r="B335">
        <v>52046</v>
      </c>
      <c r="C335" t="s">
        <v>51</v>
      </c>
      <c r="D335">
        <v>55254</v>
      </c>
      <c r="E335" t="s">
        <v>387</v>
      </c>
      <c r="F335">
        <v>11781</v>
      </c>
      <c r="G335">
        <v>0.79681700536100097</v>
      </c>
      <c r="H335">
        <v>0</v>
      </c>
      <c r="I335">
        <v>0</v>
      </c>
      <c r="J335">
        <v>0.70471628688995824</v>
      </c>
      <c r="K335">
        <v>0</v>
      </c>
      <c r="L335">
        <v>0</v>
      </c>
      <c r="M335">
        <v>0.5166207160440025</v>
      </c>
      <c r="N335">
        <v>0</v>
      </c>
      <c r="O335">
        <v>0</v>
      </c>
      <c r="P335">
        <v>0.63491734003247347</v>
      </c>
      <c r="Q335">
        <v>1.3942201087638619</v>
      </c>
      <c r="R335">
        <v>5.7154723477101497</v>
      </c>
      <c r="S335">
        <v>0.21279346929861881</v>
      </c>
      <c r="T335">
        <v>0.16268521523520549</v>
      </c>
      <c r="U335">
        <v>4.4286547017231142</v>
      </c>
      <c r="V335">
        <v>0.20128359324518649</v>
      </c>
      <c r="W335">
        <v>11.88999178762414</v>
      </c>
      <c r="X335">
        <v>0.35219332842870599</v>
      </c>
      <c r="Z335" t="s">
        <v>392</v>
      </c>
      <c r="AA335">
        <v>161</v>
      </c>
      <c r="AB335" t="s">
        <v>4782</v>
      </c>
      <c r="AC335" t="str">
        <f>HYPERLINK("plots/3FT6Y578R04_015_S31P_20251219032831_M5358ACSA301811_RBGEUFRF04/dpll_52046/txpa_55254.png","plot")</f>
        <v>plot</v>
      </c>
    </row>
    <row r="336" spans="1:29" x14ac:dyDescent="0.35">
      <c r="A336" t="s">
        <v>50</v>
      </c>
      <c r="B336">
        <v>52046</v>
      </c>
      <c r="C336" t="s">
        <v>51</v>
      </c>
      <c r="D336">
        <v>55255</v>
      </c>
      <c r="E336" t="s">
        <v>388</v>
      </c>
      <c r="F336">
        <v>11781</v>
      </c>
      <c r="G336">
        <v>0.79886569097834348</v>
      </c>
      <c r="H336">
        <v>0</v>
      </c>
      <c r="I336">
        <v>0</v>
      </c>
      <c r="J336">
        <v>0.70112961424780895</v>
      </c>
      <c r="K336">
        <v>0</v>
      </c>
      <c r="L336">
        <v>0</v>
      </c>
      <c r="M336">
        <v>0.5121243459965612</v>
      </c>
      <c r="N336">
        <v>0</v>
      </c>
      <c r="O336">
        <v>0</v>
      </c>
      <c r="P336">
        <v>0.63818639222230622</v>
      </c>
      <c r="Q336">
        <v>1.3958020415104551</v>
      </c>
      <c r="R336">
        <v>5.6832761503387426</v>
      </c>
      <c r="S336">
        <v>0.2115147328885435</v>
      </c>
      <c r="T336">
        <v>0.16214852459352599</v>
      </c>
      <c r="U336">
        <v>4.4286210779220783</v>
      </c>
      <c r="V336">
        <v>0.20126420786155011</v>
      </c>
      <c r="W336">
        <v>11.86475449197861</v>
      </c>
      <c r="X336">
        <v>0.35165484685178661</v>
      </c>
      <c r="Z336" t="s">
        <v>392</v>
      </c>
      <c r="AA336">
        <v>161</v>
      </c>
      <c r="AB336" t="s">
        <v>4783</v>
      </c>
      <c r="AC336" t="str">
        <f>HYPERLINK("plots/3FT6Y578R04_015_S31P_20251219032831_M5358ACSA301811_RBGEUFRF04/dpll_52046/txpa_55255.png","plot")</f>
        <v>plot</v>
      </c>
    </row>
    <row r="337" spans="1:29" x14ac:dyDescent="0.35">
      <c r="A337" t="s">
        <v>50</v>
      </c>
      <c r="B337">
        <v>52046</v>
      </c>
      <c r="C337" t="s">
        <v>51</v>
      </c>
      <c r="D337">
        <v>55256</v>
      </c>
      <c r="E337" t="s">
        <v>389</v>
      </c>
      <c r="F337">
        <v>11781</v>
      </c>
      <c r="G337">
        <v>0.80180710449244397</v>
      </c>
      <c r="H337">
        <v>0</v>
      </c>
      <c r="I337">
        <v>0</v>
      </c>
      <c r="J337">
        <v>0.7099326252101652</v>
      </c>
      <c r="K337">
        <v>0</v>
      </c>
      <c r="L337">
        <v>0</v>
      </c>
      <c r="M337">
        <v>0.52132215626701961</v>
      </c>
      <c r="N337">
        <v>0</v>
      </c>
      <c r="O337">
        <v>0</v>
      </c>
      <c r="P337">
        <v>0.64289463281455694</v>
      </c>
      <c r="Q337">
        <v>1.4090015163361489</v>
      </c>
      <c r="R337">
        <v>5.6408409871203116</v>
      </c>
      <c r="S337">
        <v>0.21133994301861991</v>
      </c>
      <c r="T337">
        <v>0.1621410755958998</v>
      </c>
      <c r="U337">
        <v>4.4286192746795683</v>
      </c>
      <c r="V337">
        <v>0.20126129812424351</v>
      </c>
      <c r="W337">
        <v>11.88077226041932</v>
      </c>
      <c r="X337">
        <v>0.3536729378524896</v>
      </c>
      <c r="Z337" t="s">
        <v>392</v>
      </c>
      <c r="AA337">
        <v>161</v>
      </c>
      <c r="AB337" t="s">
        <v>4784</v>
      </c>
      <c r="AC337" t="str">
        <f>HYPERLINK("plots/3FT6Y578R04_015_S31P_20251219032831_M5358ACSA301811_RBGEUFRF04/dpll_52046/txpa_55256.png","plot")</f>
        <v>plot</v>
      </c>
    </row>
    <row r="338" spans="1:29" x14ac:dyDescent="0.35">
      <c r="A338" t="s">
        <v>50</v>
      </c>
      <c r="B338">
        <v>52046</v>
      </c>
      <c r="C338" t="s">
        <v>51</v>
      </c>
      <c r="D338">
        <v>55257</v>
      </c>
      <c r="E338" t="s">
        <v>390</v>
      </c>
      <c r="F338">
        <v>11782</v>
      </c>
      <c r="G338">
        <v>0.79963098145627687</v>
      </c>
      <c r="H338">
        <v>0</v>
      </c>
      <c r="I338">
        <v>0</v>
      </c>
      <c r="J338">
        <v>0.70212589698403871</v>
      </c>
      <c r="K338">
        <v>0</v>
      </c>
      <c r="L338">
        <v>0</v>
      </c>
      <c r="M338">
        <v>0.51375939233507095</v>
      </c>
      <c r="N338">
        <v>0</v>
      </c>
      <c r="O338">
        <v>0</v>
      </c>
      <c r="P338">
        <v>0.63940970650472861</v>
      </c>
      <c r="Q338">
        <v>1.3935736481795129</v>
      </c>
      <c r="R338">
        <v>5.7163655178139168</v>
      </c>
      <c r="S338">
        <v>0.21063081308142381</v>
      </c>
      <c r="T338">
        <v>0.16180950400358679</v>
      </c>
      <c r="U338">
        <v>4.4286477380750293</v>
      </c>
      <c r="V338">
        <v>0.20127646963296911</v>
      </c>
      <c r="W338">
        <v>11.88801230266508</v>
      </c>
      <c r="X338">
        <v>0.35077878494437348</v>
      </c>
      <c r="Z338" t="s">
        <v>392</v>
      </c>
      <c r="AA338">
        <v>161</v>
      </c>
      <c r="AB338" t="s">
        <v>4785</v>
      </c>
      <c r="AC338" t="str">
        <f>HYPERLINK("plots/3FT6Y578R04_015_S31P_20251219032831_M5358ACSA301811_RBGEUFRF04/dpll_52046/txpa_55257.png","plot")</f>
        <v>plot</v>
      </c>
    </row>
    <row r="339" spans="1:29" x14ac:dyDescent="0.35">
      <c r="A339" t="s">
        <v>50</v>
      </c>
      <c r="B339">
        <v>52046</v>
      </c>
      <c r="C339" t="s">
        <v>51</v>
      </c>
      <c r="D339">
        <v>55258</v>
      </c>
      <c r="E339" t="s">
        <v>391</v>
      </c>
      <c r="F339">
        <v>11781</v>
      </c>
      <c r="G339">
        <v>0.79104108763411118</v>
      </c>
      <c r="H339">
        <v>0</v>
      </c>
      <c r="I339">
        <v>0</v>
      </c>
      <c r="J339">
        <v>0.69416268206447695</v>
      </c>
      <c r="K339">
        <v>0</v>
      </c>
      <c r="L339">
        <v>0</v>
      </c>
      <c r="M339">
        <v>0.50751868338053263</v>
      </c>
      <c r="N339">
        <v>0</v>
      </c>
      <c r="O339">
        <v>0</v>
      </c>
      <c r="P339">
        <v>0.6257460023253576</v>
      </c>
      <c r="Q339">
        <v>1.3824133390205311</v>
      </c>
      <c r="R339">
        <v>5.7462359349658092</v>
      </c>
      <c r="S339">
        <v>0.21517076736606441</v>
      </c>
      <c r="T339">
        <v>0.16345281684320179</v>
      </c>
      <c r="U339">
        <v>4.4286701896273666</v>
      </c>
      <c r="V339">
        <v>0.20127025814248481</v>
      </c>
      <c r="W339">
        <v>11.868488679229269</v>
      </c>
      <c r="X339">
        <v>0.35173734203421508</v>
      </c>
      <c r="Z339" t="s">
        <v>392</v>
      </c>
      <c r="AA339">
        <v>161</v>
      </c>
      <c r="AB339" t="s">
        <v>4786</v>
      </c>
      <c r="AC339" t="str">
        <f>HYPERLINK("plots/3FT6Y578R04_015_S31P_20251219032831_M5358ACSA301811_RBGEUFRF04/dpll_52046/txpa_55258.png","plot")</f>
        <v>plot</v>
      </c>
    </row>
    <row r="340" spans="1:29" x14ac:dyDescent="0.35">
      <c r="A340" t="s">
        <v>50</v>
      </c>
      <c r="B340">
        <v>52084</v>
      </c>
      <c r="C340" t="s">
        <v>52</v>
      </c>
      <c r="D340">
        <v>53179</v>
      </c>
      <c r="E340" t="s">
        <v>54</v>
      </c>
      <c r="F340">
        <v>11782</v>
      </c>
      <c r="G340">
        <v>0.32102296861475232</v>
      </c>
      <c r="H340">
        <v>1.4060905522245539E-280</v>
      </c>
      <c r="I340">
        <v>1.502398124294729E-280</v>
      </c>
      <c r="J340">
        <v>0.27776079744744703</v>
      </c>
      <c r="K340">
        <v>1.100485047419637E-207</v>
      </c>
      <c r="L340">
        <v>1.1709253285241469E-207</v>
      </c>
      <c r="M340">
        <v>0.18875945061623781</v>
      </c>
      <c r="N340">
        <v>5.6557376828556433E-207</v>
      </c>
      <c r="O340">
        <v>6.0177523718946723E-207</v>
      </c>
      <c r="P340">
        <v>0.1030557463782283</v>
      </c>
      <c r="Q340">
        <v>1.8511979225511619</v>
      </c>
      <c r="R340">
        <v>-29.296249408609189</v>
      </c>
      <c r="S340">
        <v>1.055727088899717</v>
      </c>
      <c r="T340">
        <v>0.82106544503827994</v>
      </c>
      <c r="U340">
        <v>4.2695416864708866</v>
      </c>
      <c r="V340">
        <v>0.1933172563537221</v>
      </c>
      <c r="W340">
        <v>-21.3924827083687</v>
      </c>
      <c r="X340">
        <v>1.114775384763093</v>
      </c>
      <c r="Z340" t="s">
        <v>392</v>
      </c>
      <c r="AA340">
        <v>161</v>
      </c>
      <c r="AB340" t="s">
        <v>4787</v>
      </c>
      <c r="AC340" t="str">
        <f>HYPERLINK("plots/3FT6Y578R04_015_S31P_20251219032831_M5358ACSA301811_RBGEUFRF04/dpll_52084/txpa_53179.png","plot")</f>
        <v>plot</v>
      </c>
    </row>
    <row r="341" spans="1:29" x14ac:dyDescent="0.35">
      <c r="A341" t="s">
        <v>50</v>
      </c>
      <c r="B341">
        <v>52084</v>
      </c>
      <c r="C341" t="s">
        <v>52</v>
      </c>
      <c r="D341">
        <v>53180</v>
      </c>
      <c r="E341" t="s">
        <v>55</v>
      </c>
      <c r="F341">
        <v>11782</v>
      </c>
      <c r="G341">
        <v>0.30940482376882461</v>
      </c>
      <c r="H341">
        <v>9.2816073045407905E-260</v>
      </c>
      <c r="I341">
        <v>9.8139205493267593E-260</v>
      </c>
      <c r="J341">
        <v>0.27144674423291898</v>
      </c>
      <c r="K341">
        <v>4.4211278147215691E-198</v>
      </c>
      <c r="L341">
        <v>4.6893552344431708E-198</v>
      </c>
      <c r="M341">
        <v>0.18405930491537201</v>
      </c>
      <c r="N341">
        <v>5.8119985817505089E-197</v>
      </c>
      <c r="O341">
        <v>6.1646093743671719E-197</v>
      </c>
      <c r="P341">
        <v>9.5731344971417387E-2</v>
      </c>
      <c r="Q341">
        <v>1.7347491810947799</v>
      </c>
      <c r="R341">
        <v>-28.708064040164409</v>
      </c>
      <c r="S341">
        <v>1.030648418010961</v>
      </c>
      <c r="T341">
        <v>0.79713014242122293</v>
      </c>
      <c r="U341">
        <v>4.2695416864708866</v>
      </c>
      <c r="V341">
        <v>0.1933172563537221</v>
      </c>
      <c r="W341">
        <v>-21.30148009590901</v>
      </c>
      <c r="X341">
        <v>1.083877581694314</v>
      </c>
      <c r="Z341" t="s">
        <v>392</v>
      </c>
      <c r="AA341">
        <v>161</v>
      </c>
      <c r="AB341" t="s">
        <v>4788</v>
      </c>
      <c r="AC341" t="str">
        <f>HYPERLINK("plots/3FT6Y578R04_015_S31P_20251219032831_M5358ACSA301811_RBGEUFRF04/dpll_52084/txpa_53180.png","plot")</f>
        <v>plot</v>
      </c>
    </row>
    <row r="342" spans="1:29" x14ac:dyDescent="0.35">
      <c r="A342" t="s">
        <v>50</v>
      </c>
      <c r="B342">
        <v>52084</v>
      </c>
      <c r="C342" t="s">
        <v>52</v>
      </c>
      <c r="D342">
        <v>53181</v>
      </c>
      <c r="E342" t="s">
        <v>56</v>
      </c>
      <c r="F342">
        <v>11782</v>
      </c>
      <c r="G342">
        <v>0.32034623755652147</v>
      </c>
      <c r="H342">
        <v>2.4347330445188501E-279</v>
      </c>
      <c r="I342">
        <v>2.5932975915358342E-279</v>
      </c>
      <c r="J342">
        <v>0.28614074112139898</v>
      </c>
      <c r="K342">
        <v>7.884973265877259E-221</v>
      </c>
      <c r="L342">
        <v>8.460701472592106E-221</v>
      </c>
      <c r="M342">
        <v>0.19373233224518061</v>
      </c>
      <c r="N342">
        <v>5.183897798730028E-218</v>
      </c>
      <c r="O342">
        <v>5.5624046221293634E-218</v>
      </c>
      <c r="P342">
        <v>0.1026217119166193</v>
      </c>
      <c r="Q342">
        <v>1.7902618768435219</v>
      </c>
      <c r="R342">
        <v>-28.892200013001851</v>
      </c>
      <c r="S342">
        <v>1.0233799555417999</v>
      </c>
      <c r="T342">
        <v>0.79147587104824846</v>
      </c>
      <c r="U342">
        <v>4.2695416864708866</v>
      </c>
      <c r="V342">
        <v>0.1933172563537221</v>
      </c>
      <c r="W342">
        <v>-21.248602300118829</v>
      </c>
      <c r="X342">
        <v>1.080357668084025</v>
      </c>
      <c r="Z342" t="s">
        <v>392</v>
      </c>
      <c r="AA342">
        <v>161</v>
      </c>
      <c r="AB342" t="s">
        <v>4789</v>
      </c>
      <c r="AC342" t="str">
        <f>HYPERLINK("plots/3FT6Y578R04_015_S31P_20251219032831_M5358ACSA301811_RBGEUFRF04/dpll_52084/txpa_53181.png","plot")</f>
        <v>plot</v>
      </c>
    </row>
    <row r="343" spans="1:29" x14ac:dyDescent="0.35">
      <c r="A343" t="s">
        <v>50</v>
      </c>
      <c r="B343">
        <v>52084</v>
      </c>
      <c r="C343" t="s">
        <v>52</v>
      </c>
      <c r="D343">
        <v>53182</v>
      </c>
      <c r="E343" t="s">
        <v>57</v>
      </c>
      <c r="F343">
        <v>11782</v>
      </c>
      <c r="G343">
        <v>0.32259337458275489</v>
      </c>
      <c r="H343">
        <v>1.827033873518925E-283</v>
      </c>
      <c r="I343">
        <v>1.9583640039621459E-283</v>
      </c>
      <c r="J343">
        <v>0.28345764796485368</v>
      </c>
      <c r="K343">
        <v>1.429938673466678E-216</v>
      </c>
      <c r="L343">
        <v>1.529491365923218E-216</v>
      </c>
      <c r="M343">
        <v>0.19211206025088731</v>
      </c>
      <c r="N343">
        <v>1.9092326697442968E-214</v>
      </c>
      <c r="O343">
        <v>2.042153931561938E-214</v>
      </c>
      <c r="P343">
        <v>0.10406648532468959</v>
      </c>
      <c r="Q343">
        <v>1.7911894321225721</v>
      </c>
      <c r="R343">
        <v>-28.783067195121369</v>
      </c>
      <c r="S343">
        <v>1.0159589432157521</v>
      </c>
      <c r="T343">
        <v>0.78016660114234693</v>
      </c>
      <c r="U343">
        <v>4.2695416864708866</v>
      </c>
      <c r="V343">
        <v>0.1933172563537221</v>
      </c>
      <c r="W343">
        <v>-21.135509246307929</v>
      </c>
      <c r="X343">
        <v>1.073387905364092</v>
      </c>
      <c r="Z343" t="s">
        <v>392</v>
      </c>
      <c r="AA343">
        <v>161</v>
      </c>
      <c r="AB343" t="s">
        <v>4790</v>
      </c>
      <c r="AC343" t="str">
        <f>HYPERLINK("plots/3FT6Y578R04_015_S31P_20251219032831_M5358ACSA301811_RBGEUFRF04/dpll_52084/txpa_53182.png","plot")</f>
        <v>plot</v>
      </c>
    </row>
    <row r="344" spans="1:29" x14ac:dyDescent="0.35">
      <c r="A344" t="s">
        <v>50</v>
      </c>
      <c r="B344">
        <v>52084</v>
      </c>
      <c r="C344" t="s">
        <v>52</v>
      </c>
      <c r="D344">
        <v>53183</v>
      </c>
      <c r="E344" t="s">
        <v>58</v>
      </c>
      <c r="F344">
        <v>11782</v>
      </c>
      <c r="G344">
        <v>0.325601162389341</v>
      </c>
      <c r="H344">
        <v>4.8443106016520452E-289</v>
      </c>
      <c r="I344">
        <v>5.2256712234842269E-289</v>
      </c>
      <c r="J344">
        <v>0.27960711787462361</v>
      </c>
      <c r="K344">
        <v>1.529930233420512E-210</v>
      </c>
      <c r="L344">
        <v>1.631282078536697E-210</v>
      </c>
      <c r="M344">
        <v>0.18953987971063399</v>
      </c>
      <c r="N344">
        <v>8.8112712422879491E-209</v>
      </c>
      <c r="O344">
        <v>9.3949832173291068E-209</v>
      </c>
      <c r="P344">
        <v>0.10601611694929</v>
      </c>
      <c r="Q344">
        <v>1.8264199355271169</v>
      </c>
      <c r="R344">
        <v>-28.98848785448445</v>
      </c>
      <c r="S344">
        <v>1.025254604653822</v>
      </c>
      <c r="T344">
        <v>0.7934285286128635</v>
      </c>
      <c r="U344">
        <v>4.2695416864708866</v>
      </c>
      <c r="V344">
        <v>0.1933172563537221</v>
      </c>
      <c r="W344">
        <v>-21.19051180274996</v>
      </c>
      <c r="X344">
        <v>1.0843895282647891</v>
      </c>
      <c r="Z344" t="s">
        <v>392</v>
      </c>
      <c r="AA344">
        <v>161</v>
      </c>
      <c r="AB344" t="s">
        <v>4791</v>
      </c>
      <c r="AC344" t="str">
        <f>HYPERLINK("plots/3FT6Y578R04_015_S31P_20251219032831_M5358ACSA301811_RBGEUFRF04/dpll_52084/txpa_53183.png","plot")</f>
        <v>plot</v>
      </c>
    </row>
    <row r="345" spans="1:29" x14ac:dyDescent="0.35">
      <c r="A345" t="s">
        <v>50</v>
      </c>
      <c r="B345">
        <v>52084</v>
      </c>
      <c r="C345" t="s">
        <v>52</v>
      </c>
      <c r="D345">
        <v>53184</v>
      </c>
      <c r="E345" t="s">
        <v>59</v>
      </c>
      <c r="F345">
        <v>11782</v>
      </c>
      <c r="G345">
        <v>0.32594640361252603</v>
      </c>
      <c r="H345">
        <v>1.0991523826985549E-289</v>
      </c>
      <c r="I345">
        <v>1.1894776051828539E-289</v>
      </c>
      <c r="J345">
        <v>0.29725988464334119</v>
      </c>
      <c r="K345">
        <v>5.5316733449409428E-239</v>
      </c>
      <c r="L345">
        <v>5.9798686266205932E-239</v>
      </c>
      <c r="M345">
        <v>0.2020627062431726</v>
      </c>
      <c r="N345">
        <v>5.9500133676685406E-237</v>
      </c>
      <c r="O345">
        <v>6.4321040030020264E-237</v>
      </c>
      <c r="P345">
        <v>0.10624105802793971</v>
      </c>
      <c r="Q345">
        <v>1.840183675147208</v>
      </c>
      <c r="R345">
        <v>-29.133397754445529</v>
      </c>
      <c r="S345">
        <v>1.0317568754806219</v>
      </c>
      <c r="T345">
        <v>0.79655988873435424</v>
      </c>
      <c r="U345">
        <v>4.2695416864708866</v>
      </c>
      <c r="V345">
        <v>0.1933172563537221</v>
      </c>
      <c r="W345">
        <v>-21.276656842641319</v>
      </c>
      <c r="X345">
        <v>1.091404155172879</v>
      </c>
      <c r="Z345" t="s">
        <v>392</v>
      </c>
      <c r="AA345">
        <v>161</v>
      </c>
      <c r="AB345" t="s">
        <v>4792</v>
      </c>
      <c r="AC345" t="str">
        <f>HYPERLINK("plots/3FT6Y578R04_015_S31P_20251219032831_M5358ACSA301811_RBGEUFRF04/dpll_52084/txpa_53184.png","plot")</f>
        <v>plot</v>
      </c>
    </row>
    <row r="346" spans="1:29" x14ac:dyDescent="0.35">
      <c r="A346" t="s">
        <v>50</v>
      </c>
      <c r="B346">
        <v>52084</v>
      </c>
      <c r="C346" t="s">
        <v>52</v>
      </c>
      <c r="D346">
        <v>53185</v>
      </c>
      <c r="E346" t="s">
        <v>60</v>
      </c>
      <c r="F346">
        <v>11782</v>
      </c>
      <c r="G346">
        <v>0.3248091958150236</v>
      </c>
      <c r="H346">
        <v>1.4446098284633149E-287</v>
      </c>
      <c r="I346">
        <v>1.5533768463009559E-287</v>
      </c>
      <c r="J346">
        <v>0.28841883249265932</v>
      </c>
      <c r="K346">
        <v>1.7539699065744789E-224</v>
      </c>
      <c r="L346">
        <v>1.8900377101663361E-224</v>
      </c>
      <c r="M346">
        <v>0.19513070818941111</v>
      </c>
      <c r="N346">
        <v>3.9468370857162879E-221</v>
      </c>
      <c r="O346">
        <v>4.248506162331546E-221</v>
      </c>
      <c r="P346">
        <v>0.1055010136860023</v>
      </c>
      <c r="Q346">
        <v>1.8181819461084789</v>
      </c>
      <c r="R346">
        <v>-29.027422123787321</v>
      </c>
      <c r="S346">
        <v>1.023413503001146</v>
      </c>
      <c r="T346">
        <v>0.79085893486021197</v>
      </c>
      <c r="U346">
        <v>4.2695416864708866</v>
      </c>
      <c r="V346">
        <v>0.1933172563537221</v>
      </c>
      <c r="W346">
        <v>-21.264618511288411</v>
      </c>
      <c r="X346">
        <v>1.08213052432706</v>
      </c>
      <c r="Z346" t="s">
        <v>392</v>
      </c>
      <c r="AA346">
        <v>161</v>
      </c>
      <c r="AB346" t="s">
        <v>4793</v>
      </c>
      <c r="AC346" t="str">
        <f>HYPERLINK("plots/3FT6Y578R04_015_S31P_20251219032831_M5358ACSA301811_RBGEUFRF04/dpll_52084/txpa_53185.png","plot")</f>
        <v>plot</v>
      </c>
    </row>
    <row r="347" spans="1:29" x14ac:dyDescent="0.35">
      <c r="A347" t="s">
        <v>50</v>
      </c>
      <c r="B347">
        <v>52084</v>
      </c>
      <c r="C347" t="s">
        <v>52</v>
      </c>
      <c r="D347">
        <v>53186</v>
      </c>
      <c r="E347" t="s">
        <v>61</v>
      </c>
      <c r="F347">
        <v>11782</v>
      </c>
      <c r="G347">
        <v>0.31245644798512789</v>
      </c>
      <c r="H347">
        <v>3.8864421879505482E-265</v>
      </c>
      <c r="I347">
        <v>4.1265469932794297E-265</v>
      </c>
      <c r="J347">
        <v>0.26926789105044119</v>
      </c>
      <c r="K347">
        <v>7.949660596019855E-195</v>
      </c>
      <c r="L347">
        <v>8.4143589189604728E-195</v>
      </c>
      <c r="M347">
        <v>0.18191572945119661</v>
      </c>
      <c r="N347">
        <v>2.0791353516110431E-192</v>
      </c>
      <c r="O347">
        <v>2.2006714473210831E-192</v>
      </c>
      <c r="P347">
        <v>9.7629031887482967E-2</v>
      </c>
      <c r="Q347">
        <v>1.8035709456523159</v>
      </c>
      <c r="R347">
        <v>-29.11312350213748</v>
      </c>
      <c r="S347">
        <v>1.0599575871806799</v>
      </c>
      <c r="T347">
        <v>0.83090139174303956</v>
      </c>
      <c r="U347">
        <v>4.2695416864708866</v>
      </c>
      <c r="V347">
        <v>0.1933172563537221</v>
      </c>
      <c r="W347">
        <v>-21.4127021651672</v>
      </c>
      <c r="X347">
        <v>1.1158719530390011</v>
      </c>
      <c r="Z347" t="s">
        <v>392</v>
      </c>
      <c r="AA347">
        <v>161</v>
      </c>
      <c r="AB347" t="s">
        <v>4794</v>
      </c>
      <c r="AC347" t="str">
        <f>HYPERLINK("plots/3FT6Y578R04_015_S31P_20251219032831_M5358ACSA301811_RBGEUFRF04/dpll_52084/txpa_53186.png","plot")</f>
        <v>plot</v>
      </c>
    </row>
    <row r="348" spans="1:29" x14ac:dyDescent="0.35">
      <c r="A348" t="s">
        <v>50</v>
      </c>
      <c r="B348">
        <v>52084</v>
      </c>
      <c r="C348" t="s">
        <v>52</v>
      </c>
      <c r="D348">
        <v>53187</v>
      </c>
      <c r="E348" t="s">
        <v>62</v>
      </c>
      <c r="F348">
        <v>11782</v>
      </c>
      <c r="G348">
        <v>0.66451231694722057</v>
      </c>
      <c r="H348">
        <v>0</v>
      </c>
      <c r="I348">
        <v>0</v>
      </c>
      <c r="J348">
        <v>0.55203634756552433</v>
      </c>
      <c r="K348">
        <v>0</v>
      </c>
      <c r="L348">
        <v>0</v>
      </c>
      <c r="M348">
        <v>0.38807730139418811</v>
      </c>
      <c r="N348">
        <v>0</v>
      </c>
      <c r="O348">
        <v>0</v>
      </c>
      <c r="P348">
        <v>0.44157661937456327</v>
      </c>
      <c r="Q348">
        <v>1.0081426742499691</v>
      </c>
      <c r="R348">
        <v>-15.19168571206896</v>
      </c>
      <c r="S348">
        <v>0.21915579142122599</v>
      </c>
      <c r="T348">
        <v>0.1718391506187068</v>
      </c>
      <c r="U348">
        <v>4.2695416864708866</v>
      </c>
      <c r="V348">
        <v>0.1933172563537221</v>
      </c>
      <c r="W348">
        <v>-10.88737853844848</v>
      </c>
      <c r="X348">
        <v>0.29328482080579338</v>
      </c>
      <c r="Z348" t="s">
        <v>392</v>
      </c>
      <c r="AA348">
        <v>161</v>
      </c>
      <c r="AB348" t="s">
        <v>4795</v>
      </c>
      <c r="AC348" t="str">
        <f>HYPERLINK("plots/3FT6Y578R04_015_S31P_20251219032831_M5358ACSA301811_RBGEUFRF04/dpll_52084/txpa_53187.png","plot")</f>
        <v>plot</v>
      </c>
    </row>
    <row r="349" spans="1:29" x14ac:dyDescent="0.35">
      <c r="A349" t="s">
        <v>50</v>
      </c>
      <c r="B349">
        <v>52084</v>
      </c>
      <c r="C349" t="s">
        <v>52</v>
      </c>
      <c r="D349">
        <v>53188</v>
      </c>
      <c r="E349" t="s">
        <v>63</v>
      </c>
      <c r="F349">
        <v>11782</v>
      </c>
      <c r="G349">
        <v>0.68631058614442009</v>
      </c>
      <c r="H349">
        <v>0</v>
      </c>
      <c r="I349">
        <v>0</v>
      </c>
      <c r="J349">
        <v>0.57270014093195365</v>
      </c>
      <c r="K349">
        <v>0</v>
      </c>
      <c r="L349">
        <v>0</v>
      </c>
      <c r="M349">
        <v>0.40607034623397081</v>
      </c>
      <c r="N349">
        <v>0</v>
      </c>
      <c r="O349">
        <v>0</v>
      </c>
      <c r="P349">
        <v>0.47102222065389748</v>
      </c>
      <c r="Q349">
        <v>1.0330608581107319</v>
      </c>
      <c r="R349">
        <v>-15.232156232858451</v>
      </c>
      <c r="S349">
        <v>0.2116294557749395</v>
      </c>
      <c r="T349">
        <v>0.16661282554193141</v>
      </c>
      <c r="U349">
        <v>4.2695416864708866</v>
      </c>
      <c r="V349">
        <v>0.1933172563537221</v>
      </c>
      <c r="W349">
        <v>-10.82145983449329</v>
      </c>
      <c r="X349">
        <v>0.29098850399251142</v>
      </c>
      <c r="Z349" t="s">
        <v>392</v>
      </c>
      <c r="AA349">
        <v>161</v>
      </c>
      <c r="AB349" t="s">
        <v>4796</v>
      </c>
      <c r="AC349" t="str">
        <f>HYPERLINK("plots/3FT6Y578R04_015_S31P_20251219032831_M5358ACSA301811_RBGEUFRF04/dpll_52084/txpa_53188.png","plot")</f>
        <v>plot</v>
      </c>
    </row>
    <row r="350" spans="1:29" x14ac:dyDescent="0.35">
      <c r="A350" t="s">
        <v>50</v>
      </c>
      <c r="B350">
        <v>52084</v>
      </c>
      <c r="C350" t="s">
        <v>52</v>
      </c>
      <c r="D350">
        <v>53189</v>
      </c>
      <c r="E350" t="s">
        <v>64</v>
      </c>
      <c r="F350">
        <v>11782</v>
      </c>
      <c r="G350">
        <v>0.67377832694885054</v>
      </c>
      <c r="H350">
        <v>0</v>
      </c>
      <c r="I350">
        <v>0</v>
      </c>
      <c r="J350">
        <v>0.55613940035344167</v>
      </c>
      <c r="K350">
        <v>0</v>
      </c>
      <c r="L350">
        <v>0</v>
      </c>
      <c r="M350">
        <v>0.39194109825663392</v>
      </c>
      <c r="N350">
        <v>0</v>
      </c>
      <c r="O350">
        <v>0</v>
      </c>
      <c r="P350">
        <v>0.45397723386599209</v>
      </c>
      <c r="Q350">
        <v>0.99127019771407199</v>
      </c>
      <c r="R350">
        <v>-15.034052690735679</v>
      </c>
      <c r="S350">
        <v>0.21015154114210391</v>
      </c>
      <c r="T350">
        <v>0.16497133227492869</v>
      </c>
      <c r="U350">
        <v>4.2695416864708866</v>
      </c>
      <c r="V350">
        <v>0.1933172563537221</v>
      </c>
      <c r="W350">
        <v>-10.80178325903921</v>
      </c>
      <c r="X350">
        <v>0.28441050604146773</v>
      </c>
      <c r="Z350" t="s">
        <v>392</v>
      </c>
      <c r="AA350">
        <v>161</v>
      </c>
      <c r="AB350" t="s">
        <v>4797</v>
      </c>
      <c r="AC350" t="str">
        <f>HYPERLINK("plots/3FT6Y578R04_015_S31P_20251219032831_M5358ACSA301811_RBGEUFRF04/dpll_52084/txpa_53189.png","plot")</f>
        <v>plot</v>
      </c>
    </row>
    <row r="351" spans="1:29" x14ac:dyDescent="0.35">
      <c r="A351" t="s">
        <v>50</v>
      </c>
      <c r="B351">
        <v>52084</v>
      </c>
      <c r="C351" t="s">
        <v>52</v>
      </c>
      <c r="D351">
        <v>53190</v>
      </c>
      <c r="E351" t="s">
        <v>65</v>
      </c>
      <c r="F351">
        <v>11781</v>
      </c>
      <c r="G351">
        <v>0.69197821564088158</v>
      </c>
      <c r="H351">
        <v>0</v>
      </c>
      <c r="I351">
        <v>0</v>
      </c>
      <c r="J351">
        <v>0.56944435484427025</v>
      </c>
      <c r="K351">
        <v>0</v>
      </c>
      <c r="L351">
        <v>0</v>
      </c>
      <c r="M351">
        <v>0.40322821128344599</v>
      </c>
      <c r="N351">
        <v>0</v>
      </c>
      <c r="O351">
        <v>0</v>
      </c>
      <c r="P351">
        <v>0.47883385092153841</v>
      </c>
      <c r="Q351">
        <v>1.0289438245763789</v>
      </c>
      <c r="R351">
        <v>-15.149431452910401</v>
      </c>
      <c r="S351">
        <v>0.2075173097862269</v>
      </c>
      <c r="T351">
        <v>0.16392218953748941</v>
      </c>
      <c r="U351">
        <v>4.2695489746201511</v>
      </c>
      <c r="V351">
        <v>0.19332384277072681</v>
      </c>
      <c r="W351">
        <v>-10.75630540174858</v>
      </c>
      <c r="X351">
        <v>0.28746479248350809</v>
      </c>
      <c r="Z351" t="s">
        <v>392</v>
      </c>
      <c r="AA351">
        <v>161</v>
      </c>
      <c r="AB351" t="s">
        <v>4798</v>
      </c>
      <c r="AC351" t="str">
        <f>HYPERLINK("plots/3FT6Y578R04_015_S31P_20251219032831_M5358ACSA301811_RBGEUFRF04/dpll_52084/txpa_53190.png","plot")</f>
        <v>plot</v>
      </c>
    </row>
    <row r="352" spans="1:29" x14ac:dyDescent="0.35">
      <c r="A352" t="s">
        <v>50</v>
      </c>
      <c r="B352">
        <v>52084</v>
      </c>
      <c r="C352" t="s">
        <v>52</v>
      </c>
      <c r="D352">
        <v>53191</v>
      </c>
      <c r="E352" t="s">
        <v>66</v>
      </c>
      <c r="F352">
        <v>11781</v>
      </c>
      <c r="G352">
        <v>0.69916250416288817</v>
      </c>
      <c r="H352">
        <v>0</v>
      </c>
      <c r="I352">
        <v>0</v>
      </c>
      <c r="J352">
        <v>0.56997339318669193</v>
      </c>
      <c r="K352">
        <v>0</v>
      </c>
      <c r="L352">
        <v>0</v>
      </c>
      <c r="M352">
        <v>0.40294064874950802</v>
      </c>
      <c r="N352">
        <v>0</v>
      </c>
      <c r="O352">
        <v>0</v>
      </c>
      <c r="P352">
        <v>0.48882820722732062</v>
      </c>
      <c r="Q352">
        <v>1.047770130859627</v>
      </c>
      <c r="R352">
        <v>-15.243266384382819</v>
      </c>
      <c r="S352">
        <v>0.20711023988674959</v>
      </c>
      <c r="T352">
        <v>0.1636996836628726</v>
      </c>
      <c r="U352">
        <v>4.2695174021729896</v>
      </c>
      <c r="V352">
        <v>0.19330748901132719</v>
      </c>
      <c r="W352">
        <v>-10.769793577200581</v>
      </c>
      <c r="X352">
        <v>0.28969204133744092</v>
      </c>
      <c r="Z352" t="s">
        <v>392</v>
      </c>
      <c r="AA352">
        <v>161</v>
      </c>
      <c r="AB352" t="s">
        <v>4799</v>
      </c>
      <c r="AC352" t="str">
        <f>HYPERLINK("plots/3FT6Y578R04_015_S31P_20251219032831_M5358ACSA301811_RBGEUFRF04/dpll_52084/txpa_53191.png","plot")</f>
        <v>plot</v>
      </c>
    </row>
    <row r="353" spans="1:29" x14ac:dyDescent="0.35">
      <c r="A353" t="s">
        <v>50</v>
      </c>
      <c r="B353">
        <v>52084</v>
      </c>
      <c r="C353" t="s">
        <v>52</v>
      </c>
      <c r="D353">
        <v>53192</v>
      </c>
      <c r="E353" t="s">
        <v>67</v>
      </c>
      <c r="F353">
        <v>11782</v>
      </c>
      <c r="G353">
        <v>0.69664584354942438</v>
      </c>
      <c r="H353">
        <v>0</v>
      </c>
      <c r="I353">
        <v>0</v>
      </c>
      <c r="J353">
        <v>0.5848012360488577</v>
      </c>
      <c r="K353">
        <v>0</v>
      </c>
      <c r="L353">
        <v>0</v>
      </c>
      <c r="M353">
        <v>0.41512705282338702</v>
      </c>
      <c r="N353">
        <v>0</v>
      </c>
      <c r="O353">
        <v>0</v>
      </c>
      <c r="P353">
        <v>0.48531543133468907</v>
      </c>
      <c r="Q353">
        <v>1.037035052488865</v>
      </c>
      <c r="R353">
        <v>-15.234103743323841</v>
      </c>
      <c r="S353">
        <v>0.20644489644446279</v>
      </c>
      <c r="T353">
        <v>0.16182888052994221</v>
      </c>
      <c r="U353">
        <v>4.2695416864708866</v>
      </c>
      <c r="V353">
        <v>0.1933172563537221</v>
      </c>
      <c r="W353">
        <v>-10.806439356391101</v>
      </c>
      <c r="X353">
        <v>0.28777430159972323</v>
      </c>
      <c r="Z353" t="s">
        <v>392</v>
      </c>
      <c r="AA353">
        <v>161</v>
      </c>
      <c r="AB353" t="s">
        <v>4800</v>
      </c>
      <c r="AC353" t="str">
        <f>HYPERLINK("plots/3FT6Y578R04_015_S31P_20251219032831_M5358ACSA301811_RBGEUFRF04/dpll_52084/txpa_53192.png","plot")</f>
        <v>plot</v>
      </c>
    </row>
    <row r="354" spans="1:29" x14ac:dyDescent="0.35">
      <c r="A354" t="s">
        <v>50</v>
      </c>
      <c r="B354">
        <v>52084</v>
      </c>
      <c r="C354" t="s">
        <v>52</v>
      </c>
      <c r="D354">
        <v>53193</v>
      </c>
      <c r="E354" t="s">
        <v>68</v>
      </c>
      <c r="F354">
        <v>11782</v>
      </c>
      <c r="G354">
        <v>0.69601373625197804</v>
      </c>
      <c r="H354">
        <v>0</v>
      </c>
      <c r="I354">
        <v>0</v>
      </c>
      <c r="J354">
        <v>0.5811443462123177</v>
      </c>
      <c r="K354">
        <v>0</v>
      </c>
      <c r="L354">
        <v>0</v>
      </c>
      <c r="M354">
        <v>0.41215338971746962</v>
      </c>
      <c r="N354">
        <v>0</v>
      </c>
      <c r="O354">
        <v>0</v>
      </c>
      <c r="P354">
        <v>0.48443512105143799</v>
      </c>
      <c r="Q354">
        <v>1.0339536210143401</v>
      </c>
      <c r="R354">
        <v>-15.20946062762323</v>
      </c>
      <c r="S354">
        <v>0.2061945118647811</v>
      </c>
      <c r="T354">
        <v>0.1623068692272697</v>
      </c>
      <c r="U354">
        <v>4.2695416864708866</v>
      </c>
      <c r="V354">
        <v>0.1933172563537221</v>
      </c>
      <c r="W354">
        <v>-10.79495254082499</v>
      </c>
      <c r="X354">
        <v>0.28717978798499649</v>
      </c>
      <c r="Z354" t="s">
        <v>392</v>
      </c>
      <c r="AA354">
        <v>161</v>
      </c>
      <c r="AB354" t="s">
        <v>4801</v>
      </c>
      <c r="AC354" t="str">
        <f>HYPERLINK("plots/3FT6Y578R04_015_S31P_20251219032831_M5358ACSA301811_RBGEUFRF04/dpll_52084/txpa_53193.png","plot")</f>
        <v>plot</v>
      </c>
    </row>
    <row r="355" spans="1:29" x14ac:dyDescent="0.35">
      <c r="A355" t="s">
        <v>50</v>
      </c>
      <c r="B355">
        <v>52084</v>
      </c>
      <c r="C355" t="s">
        <v>52</v>
      </c>
      <c r="D355">
        <v>53194</v>
      </c>
      <c r="E355" t="s">
        <v>69</v>
      </c>
      <c r="F355">
        <v>11781</v>
      </c>
      <c r="G355">
        <v>0.68714764412599294</v>
      </c>
      <c r="H355">
        <v>0</v>
      </c>
      <c r="I355">
        <v>0</v>
      </c>
      <c r="J355">
        <v>0.56832685578261988</v>
      </c>
      <c r="K355">
        <v>0</v>
      </c>
      <c r="L355">
        <v>0</v>
      </c>
      <c r="M355">
        <v>0.40302761607088639</v>
      </c>
      <c r="N355">
        <v>0</v>
      </c>
      <c r="O355">
        <v>0</v>
      </c>
      <c r="P355">
        <v>0.47217188482790218</v>
      </c>
      <c r="Q355">
        <v>1.030935153848898</v>
      </c>
      <c r="R355">
        <v>-15.26819813391571</v>
      </c>
      <c r="S355">
        <v>0.21070079761867219</v>
      </c>
      <c r="T355">
        <v>0.1653653691531721</v>
      </c>
      <c r="U355">
        <v>4.2695633024361257</v>
      </c>
      <c r="V355">
        <v>0.19331122175495491</v>
      </c>
      <c r="W355">
        <v>-10.86655523385112</v>
      </c>
      <c r="X355">
        <v>0.29002694813011892</v>
      </c>
      <c r="Z355" t="s">
        <v>392</v>
      </c>
      <c r="AA355">
        <v>161</v>
      </c>
      <c r="AB355" t="s">
        <v>4802</v>
      </c>
      <c r="AC355" t="str">
        <f>HYPERLINK("plots/3FT6Y578R04_015_S31P_20251219032831_M5358ACSA301811_RBGEUFRF04/dpll_52084/txpa_53194.png","plot")</f>
        <v>plot</v>
      </c>
    </row>
    <row r="356" spans="1:29" x14ac:dyDescent="0.35">
      <c r="A356" t="s">
        <v>50</v>
      </c>
      <c r="B356">
        <v>52084</v>
      </c>
      <c r="C356" t="s">
        <v>52</v>
      </c>
      <c r="D356">
        <v>53195</v>
      </c>
      <c r="E356" t="s">
        <v>70</v>
      </c>
      <c r="F356">
        <v>11782</v>
      </c>
      <c r="G356">
        <v>0.68866305709967701</v>
      </c>
      <c r="H356">
        <v>0</v>
      </c>
      <c r="I356">
        <v>0</v>
      </c>
      <c r="J356">
        <v>0.58020979433175934</v>
      </c>
      <c r="K356">
        <v>0</v>
      </c>
      <c r="L356">
        <v>0</v>
      </c>
      <c r="M356">
        <v>0.41046131263249241</v>
      </c>
      <c r="N356">
        <v>0</v>
      </c>
      <c r="O356">
        <v>0</v>
      </c>
      <c r="P356">
        <v>0.47425680621387301</v>
      </c>
      <c r="Q356">
        <v>0.90728082146680011</v>
      </c>
      <c r="R356">
        <v>-8.7913936813057596</v>
      </c>
      <c r="S356">
        <v>0.18466048234529581</v>
      </c>
      <c r="T356">
        <v>0.1443626631212078</v>
      </c>
      <c r="U356">
        <v>4.2695416864708866</v>
      </c>
      <c r="V356">
        <v>0.1933172563537221</v>
      </c>
      <c r="W356">
        <v>-4.9177203927177047</v>
      </c>
      <c r="X356">
        <v>0.25468629010968802</v>
      </c>
      <c r="Z356" t="s">
        <v>392</v>
      </c>
      <c r="AA356">
        <v>161</v>
      </c>
      <c r="AB356" t="s">
        <v>4803</v>
      </c>
      <c r="AC356" t="str">
        <f>HYPERLINK("plots/3FT6Y578R04_015_S31P_20251219032831_M5358ACSA301811_RBGEUFRF04/dpll_52084/txpa_53195.png","plot")</f>
        <v>plot</v>
      </c>
    </row>
    <row r="357" spans="1:29" x14ac:dyDescent="0.35">
      <c r="A357" t="s">
        <v>50</v>
      </c>
      <c r="B357">
        <v>52084</v>
      </c>
      <c r="C357" t="s">
        <v>52</v>
      </c>
      <c r="D357">
        <v>53196</v>
      </c>
      <c r="E357" t="s">
        <v>71</v>
      </c>
      <c r="F357">
        <v>11782</v>
      </c>
      <c r="G357">
        <v>0.70979901233357123</v>
      </c>
      <c r="H357">
        <v>0</v>
      </c>
      <c r="I357">
        <v>0</v>
      </c>
      <c r="J357">
        <v>0.59918485701507129</v>
      </c>
      <c r="K357">
        <v>0</v>
      </c>
      <c r="L357">
        <v>0</v>
      </c>
      <c r="M357">
        <v>0.42738610902723168</v>
      </c>
      <c r="N357">
        <v>0</v>
      </c>
      <c r="O357">
        <v>0</v>
      </c>
      <c r="P357">
        <v>0.50381463790971326</v>
      </c>
      <c r="Q357">
        <v>0.93565767850000447</v>
      </c>
      <c r="R357">
        <v>-8.8665369740804998</v>
      </c>
      <c r="S357">
        <v>0.17949640751081061</v>
      </c>
      <c r="T357">
        <v>0.14105163236354859</v>
      </c>
      <c r="U357">
        <v>4.2695416864708866</v>
      </c>
      <c r="V357">
        <v>0.1933172563537221</v>
      </c>
      <c r="W357">
        <v>-4.8717075114581556</v>
      </c>
      <c r="X357">
        <v>0.25483097630588081</v>
      </c>
      <c r="Z357" t="s">
        <v>392</v>
      </c>
      <c r="AA357">
        <v>161</v>
      </c>
      <c r="AB357" t="s">
        <v>4804</v>
      </c>
      <c r="AC357" t="str">
        <f>HYPERLINK("plots/3FT6Y578R04_015_S31P_20251219032831_M5358ACSA301811_RBGEUFRF04/dpll_52084/txpa_53196.png","plot")</f>
        <v>plot</v>
      </c>
    </row>
    <row r="358" spans="1:29" x14ac:dyDescent="0.35">
      <c r="A358" t="s">
        <v>50</v>
      </c>
      <c r="B358">
        <v>52084</v>
      </c>
      <c r="C358" t="s">
        <v>52</v>
      </c>
      <c r="D358">
        <v>53197</v>
      </c>
      <c r="E358" t="s">
        <v>72</v>
      </c>
      <c r="F358">
        <v>11782</v>
      </c>
      <c r="G358">
        <v>0.69843735120361439</v>
      </c>
      <c r="H358">
        <v>0</v>
      </c>
      <c r="I358">
        <v>0</v>
      </c>
      <c r="J358">
        <v>0.58479860333201095</v>
      </c>
      <c r="K358">
        <v>0</v>
      </c>
      <c r="L358">
        <v>0</v>
      </c>
      <c r="M358">
        <v>0.41522881514462839</v>
      </c>
      <c r="N358">
        <v>0</v>
      </c>
      <c r="O358">
        <v>0</v>
      </c>
      <c r="P358">
        <v>0.48781473355632099</v>
      </c>
      <c r="Q358">
        <v>0.90059111635779976</v>
      </c>
      <c r="R358">
        <v>-8.6996935956256305</v>
      </c>
      <c r="S358">
        <v>0.17838812236383231</v>
      </c>
      <c r="T358">
        <v>0.14034855732957929</v>
      </c>
      <c r="U358">
        <v>4.2695416864708866</v>
      </c>
      <c r="V358">
        <v>0.1933172563537221</v>
      </c>
      <c r="W358">
        <v>-4.854582281870651</v>
      </c>
      <c r="X358">
        <v>0.24927046557690541</v>
      </c>
      <c r="Z358" t="s">
        <v>392</v>
      </c>
      <c r="AA358">
        <v>161</v>
      </c>
      <c r="AB358" t="s">
        <v>4805</v>
      </c>
      <c r="AC358" t="str">
        <f>HYPERLINK("plots/3FT6Y578R04_015_S31P_20251219032831_M5358ACSA301811_RBGEUFRF04/dpll_52084/txpa_53197.png","plot")</f>
        <v>plot</v>
      </c>
    </row>
    <row r="359" spans="1:29" x14ac:dyDescent="0.35">
      <c r="A359" t="s">
        <v>50</v>
      </c>
      <c r="B359">
        <v>52084</v>
      </c>
      <c r="C359" t="s">
        <v>52</v>
      </c>
      <c r="D359">
        <v>53198</v>
      </c>
      <c r="E359" t="s">
        <v>73</v>
      </c>
      <c r="F359">
        <v>11781</v>
      </c>
      <c r="G359">
        <v>0.71623327423245686</v>
      </c>
      <c r="H359">
        <v>0</v>
      </c>
      <c r="I359">
        <v>0</v>
      </c>
      <c r="J359">
        <v>0.59860459564444801</v>
      </c>
      <c r="K359">
        <v>0</v>
      </c>
      <c r="L359">
        <v>0</v>
      </c>
      <c r="M359">
        <v>0.42713149332036637</v>
      </c>
      <c r="N359">
        <v>0</v>
      </c>
      <c r="O359">
        <v>0</v>
      </c>
      <c r="P359">
        <v>0.51299010311774573</v>
      </c>
      <c r="Q359">
        <v>0.93895392507958153</v>
      </c>
      <c r="R359">
        <v>-8.833627253651521</v>
      </c>
      <c r="S359">
        <v>0.1768583904808492</v>
      </c>
      <c r="T359">
        <v>0.13951049059359399</v>
      </c>
      <c r="U359">
        <v>4.2695489746201511</v>
      </c>
      <c r="V359">
        <v>0.19332384277072681</v>
      </c>
      <c r="W359">
        <v>-4.8247174856124273</v>
      </c>
      <c r="X359">
        <v>0.25344002786741232</v>
      </c>
      <c r="Z359" t="s">
        <v>392</v>
      </c>
      <c r="AA359">
        <v>161</v>
      </c>
      <c r="AB359" t="s">
        <v>4806</v>
      </c>
      <c r="AC359" t="str">
        <f>HYPERLINK("plots/3FT6Y578R04_015_S31P_20251219032831_M5358ACSA301811_RBGEUFRF04/dpll_52084/txpa_53198.png","plot")</f>
        <v>plot</v>
      </c>
    </row>
    <row r="360" spans="1:29" x14ac:dyDescent="0.35">
      <c r="A360" t="s">
        <v>50</v>
      </c>
      <c r="B360">
        <v>52084</v>
      </c>
      <c r="C360" t="s">
        <v>52</v>
      </c>
      <c r="D360">
        <v>53199</v>
      </c>
      <c r="E360" t="s">
        <v>74</v>
      </c>
      <c r="F360">
        <v>11781</v>
      </c>
      <c r="G360">
        <v>0.71885479691371046</v>
      </c>
      <c r="H360">
        <v>0</v>
      </c>
      <c r="I360">
        <v>0</v>
      </c>
      <c r="J360">
        <v>0.59467033158561367</v>
      </c>
      <c r="K360">
        <v>0</v>
      </c>
      <c r="L360">
        <v>0</v>
      </c>
      <c r="M360">
        <v>0.42305835549816823</v>
      </c>
      <c r="N360">
        <v>0</v>
      </c>
      <c r="O360">
        <v>0</v>
      </c>
      <c r="P360">
        <v>0.51675221904585189</v>
      </c>
      <c r="Q360">
        <v>0.94409826755843529</v>
      </c>
      <c r="R360">
        <v>-8.8707308809280683</v>
      </c>
      <c r="S360">
        <v>0.17647825732222319</v>
      </c>
      <c r="T360">
        <v>0.1396148931516282</v>
      </c>
      <c r="U360">
        <v>4.2695174021729896</v>
      </c>
      <c r="V360">
        <v>0.19330748901132719</v>
      </c>
      <c r="W360">
        <v>-4.8398868982259566</v>
      </c>
      <c r="X360">
        <v>0.25387778764947472</v>
      </c>
      <c r="Z360" t="s">
        <v>392</v>
      </c>
      <c r="AA360">
        <v>161</v>
      </c>
      <c r="AB360" t="s">
        <v>4807</v>
      </c>
      <c r="AC360" t="str">
        <f>HYPERLINK("plots/3FT6Y578R04_015_S31P_20251219032831_M5358ACSA301811_RBGEUFRF04/dpll_52084/txpa_53199.png","plot")</f>
        <v>plot</v>
      </c>
    </row>
    <row r="361" spans="1:29" x14ac:dyDescent="0.35">
      <c r="A361" t="s">
        <v>50</v>
      </c>
      <c r="B361">
        <v>52084</v>
      </c>
      <c r="C361" t="s">
        <v>52</v>
      </c>
      <c r="D361">
        <v>53200</v>
      </c>
      <c r="E361" t="s">
        <v>75</v>
      </c>
      <c r="F361">
        <v>11781</v>
      </c>
      <c r="G361">
        <v>0.7249157473524086</v>
      </c>
      <c r="H361">
        <v>0</v>
      </c>
      <c r="I361">
        <v>0</v>
      </c>
      <c r="J361">
        <v>0.61629051957687497</v>
      </c>
      <c r="K361">
        <v>0</v>
      </c>
      <c r="L361">
        <v>0</v>
      </c>
      <c r="M361">
        <v>0.44072544512109818</v>
      </c>
      <c r="N361">
        <v>0</v>
      </c>
      <c r="O361">
        <v>0</v>
      </c>
      <c r="P361">
        <v>0.52550284075950104</v>
      </c>
      <c r="Q361">
        <v>0.95041978795056559</v>
      </c>
      <c r="R361">
        <v>-8.9143136389213531</v>
      </c>
      <c r="S361">
        <v>0.17456565472507979</v>
      </c>
      <c r="T361">
        <v>0.13809277541821471</v>
      </c>
      <c r="U361">
        <v>4.2695129435531793</v>
      </c>
      <c r="V361">
        <v>0.1933002831720991</v>
      </c>
      <c r="W361">
        <v>-4.856484052457346</v>
      </c>
      <c r="X361">
        <v>0.25343140194456182</v>
      </c>
      <c r="Z361" t="s">
        <v>392</v>
      </c>
      <c r="AA361">
        <v>161</v>
      </c>
      <c r="AB361" t="s">
        <v>4808</v>
      </c>
      <c r="AC361" t="str">
        <f>HYPERLINK("plots/3FT6Y578R04_015_S31P_20251219032831_M5358ACSA301811_RBGEUFRF04/dpll_52084/txpa_53200.png","plot")</f>
        <v>plot</v>
      </c>
    </row>
    <row r="362" spans="1:29" x14ac:dyDescent="0.35">
      <c r="A362" t="s">
        <v>50</v>
      </c>
      <c r="B362">
        <v>52084</v>
      </c>
      <c r="C362" t="s">
        <v>52</v>
      </c>
      <c r="D362">
        <v>53201</v>
      </c>
      <c r="E362" t="s">
        <v>76</v>
      </c>
      <c r="F362">
        <v>11782</v>
      </c>
      <c r="G362">
        <v>0.7192494722171483</v>
      </c>
      <c r="H362">
        <v>0</v>
      </c>
      <c r="I362">
        <v>0</v>
      </c>
      <c r="J362">
        <v>0.60530428442874118</v>
      </c>
      <c r="K362">
        <v>0</v>
      </c>
      <c r="L362">
        <v>0</v>
      </c>
      <c r="M362">
        <v>0.43196680604306459</v>
      </c>
      <c r="N362">
        <v>0</v>
      </c>
      <c r="O362">
        <v>0</v>
      </c>
      <c r="P362">
        <v>0.51731980328464644</v>
      </c>
      <c r="Q362">
        <v>0.93400399698712966</v>
      </c>
      <c r="R362">
        <v>-8.8357132002632781</v>
      </c>
      <c r="S362">
        <v>0.1744018610550836</v>
      </c>
      <c r="T362">
        <v>0.13792161732954339</v>
      </c>
      <c r="U362">
        <v>4.2695416864708866</v>
      </c>
      <c r="V362">
        <v>0.1933172563537221</v>
      </c>
      <c r="W362">
        <v>-4.8479441997963004</v>
      </c>
      <c r="X362">
        <v>0.25103819619689549</v>
      </c>
      <c r="Z362" t="s">
        <v>392</v>
      </c>
      <c r="AA362">
        <v>161</v>
      </c>
      <c r="AB362" t="s">
        <v>4809</v>
      </c>
      <c r="AC362" t="str">
        <f>HYPERLINK("plots/3FT6Y578R04_015_S31P_20251219032831_M5358ACSA301811_RBGEUFRF04/dpll_52084/txpa_53201.png","plot")</f>
        <v>plot</v>
      </c>
    </row>
    <row r="363" spans="1:29" x14ac:dyDescent="0.35">
      <c r="A363" t="s">
        <v>50</v>
      </c>
      <c r="B363">
        <v>52084</v>
      </c>
      <c r="C363" t="s">
        <v>52</v>
      </c>
      <c r="D363">
        <v>53202</v>
      </c>
      <c r="E363" t="s">
        <v>77</v>
      </c>
      <c r="F363">
        <v>11781</v>
      </c>
      <c r="G363">
        <v>0.71160284891857317</v>
      </c>
      <c r="H363">
        <v>0</v>
      </c>
      <c r="I363">
        <v>0</v>
      </c>
      <c r="J363">
        <v>0.59775392725175491</v>
      </c>
      <c r="K363">
        <v>0</v>
      </c>
      <c r="L363">
        <v>0</v>
      </c>
      <c r="M363">
        <v>0.42621416994501882</v>
      </c>
      <c r="N363">
        <v>0</v>
      </c>
      <c r="O363">
        <v>0</v>
      </c>
      <c r="P363">
        <v>0.50637861458902966</v>
      </c>
      <c r="Q363">
        <v>0.93270674741985116</v>
      </c>
      <c r="R363">
        <v>-8.877390918679481</v>
      </c>
      <c r="S363">
        <v>0.1780094492893127</v>
      </c>
      <c r="T363">
        <v>0.14011996376851091</v>
      </c>
      <c r="U363">
        <v>4.2695633024361257</v>
      </c>
      <c r="V363">
        <v>0.19331122175495491</v>
      </c>
      <c r="W363">
        <v>-4.895140417961124</v>
      </c>
      <c r="X363">
        <v>0.25337543428448678</v>
      </c>
      <c r="Z363" t="s">
        <v>392</v>
      </c>
      <c r="AA363">
        <v>161</v>
      </c>
      <c r="AB363" t="s">
        <v>4810</v>
      </c>
      <c r="AC363" t="str">
        <f>HYPERLINK("plots/3FT6Y578R04_015_S31P_20251219032831_M5358ACSA301811_RBGEUFRF04/dpll_52084/txpa_53202.png","plot")</f>
        <v>plot</v>
      </c>
    </row>
    <row r="364" spans="1:29" x14ac:dyDescent="0.35">
      <c r="A364" t="s">
        <v>50</v>
      </c>
      <c r="B364">
        <v>52084</v>
      </c>
      <c r="C364" t="s">
        <v>52</v>
      </c>
      <c r="D364">
        <v>53203</v>
      </c>
      <c r="E364" t="s">
        <v>78</v>
      </c>
      <c r="F364">
        <v>11782</v>
      </c>
      <c r="G364">
        <v>0.7071288612372556</v>
      </c>
      <c r="H364">
        <v>0</v>
      </c>
      <c r="I364">
        <v>0</v>
      </c>
      <c r="J364">
        <v>0.60471942805742473</v>
      </c>
      <c r="K364">
        <v>0</v>
      </c>
      <c r="L364">
        <v>0</v>
      </c>
      <c r="M364">
        <v>0.42996009066177981</v>
      </c>
      <c r="N364">
        <v>0</v>
      </c>
      <c r="O364">
        <v>0</v>
      </c>
      <c r="P364">
        <v>0.50003122639469788</v>
      </c>
      <c r="Q364">
        <v>0.93090370655689569</v>
      </c>
      <c r="R364">
        <v>-5.8332546281879081</v>
      </c>
      <c r="S364">
        <v>0.17994087509560611</v>
      </c>
      <c r="T364">
        <v>0.14059246152920499</v>
      </c>
      <c r="U364">
        <v>4.2695416864708866</v>
      </c>
      <c r="V364">
        <v>0.1933172563537221</v>
      </c>
      <c r="W364">
        <v>-1.8587224469529791</v>
      </c>
      <c r="X364">
        <v>0.2544935730189487</v>
      </c>
      <c r="Z364" t="s">
        <v>392</v>
      </c>
      <c r="AA364">
        <v>161</v>
      </c>
      <c r="AB364" t="s">
        <v>4811</v>
      </c>
      <c r="AC364" t="str">
        <f>HYPERLINK("plots/3FT6Y578R04_015_S31P_20251219032831_M5358ACSA301811_RBGEUFRF04/dpll_52084/txpa_53203.png","plot")</f>
        <v>plot</v>
      </c>
    </row>
    <row r="365" spans="1:29" x14ac:dyDescent="0.35">
      <c r="A365" t="s">
        <v>50</v>
      </c>
      <c r="B365">
        <v>52084</v>
      </c>
      <c r="C365" t="s">
        <v>52</v>
      </c>
      <c r="D365">
        <v>53204</v>
      </c>
      <c r="E365" t="s">
        <v>79</v>
      </c>
      <c r="F365">
        <v>11782</v>
      </c>
      <c r="G365">
        <v>0.72825291223348987</v>
      </c>
      <c r="H365">
        <v>0</v>
      </c>
      <c r="I365">
        <v>0</v>
      </c>
      <c r="J365">
        <v>0.62340281033198508</v>
      </c>
      <c r="K365">
        <v>0</v>
      </c>
      <c r="L365">
        <v>0</v>
      </c>
      <c r="M365">
        <v>0.44697069289024782</v>
      </c>
      <c r="N365">
        <v>0</v>
      </c>
      <c r="O365">
        <v>0</v>
      </c>
      <c r="P365">
        <v>0.5303523041765591</v>
      </c>
      <c r="Q365">
        <v>0.9629175115586267</v>
      </c>
      <c r="R365">
        <v>-5.9285044103997429</v>
      </c>
      <c r="S365">
        <v>0.17516411709457691</v>
      </c>
      <c r="T365">
        <v>0.13771141042433849</v>
      </c>
      <c r="U365">
        <v>4.2695416864708866</v>
      </c>
      <c r="V365">
        <v>0.1933172563537221</v>
      </c>
      <c r="W365">
        <v>-1.8172879541673741</v>
      </c>
      <c r="X365">
        <v>0.25560978652123112</v>
      </c>
      <c r="Z365" t="s">
        <v>392</v>
      </c>
      <c r="AA365">
        <v>161</v>
      </c>
      <c r="AB365" t="s">
        <v>4812</v>
      </c>
      <c r="AC365" t="str">
        <f>HYPERLINK("plots/3FT6Y578R04_015_S31P_20251219032831_M5358ACSA301811_RBGEUFRF04/dpll_52084/txpa_53204.png","plot")</f>
        <v>plot</v>
      </c>
    </row>
    <row r="366" spans="1:29" x14ac:dyDescent="0.35">
      <c r="A366" t="s">
        <v>50</v>
      </c>
      <c r="B366">
        <v>52084</v>
      </c>
      <c r="C366" t="s">
        <v>52</v>
      </c>
      <c r="D366">
        <v>53205</v>
      </c>
      <c r="E366" t="s">
        <v>80</v>
      </c>
      <c r="F366">
        <v>11782</v>
      </c>
      <c r="G366">
        <v>0.71733857507735155</v>
      </c>
      <c r="H366">
        <v>0</v>
      </c>
      <c r="I366">
        <v>0</v>
      </c>
      <c r="J366">
        <v>0.61041662781450423</v>
      </c>
      <c r="K366">
        <v>0</v>
      </c>
      <c r="L366">
        <v>0</v>
      </c>
      <c r="M366">
        <v>0.43581071169920182</v>
      </c>
      <c r="N366">
        <v>0</v>
      </c>
      <c r="O366">
        <v>0</v>
      </c>
      <c r="P366">
        <v>0.51457463129400516</v>
      </c>
      <c r="Q366">
        <v>0.92734117572819963</v>
      </c>
      <c r="R366">
        <v>-5.7606862506558167</v>
      </c>
      <c r="S366">
        <v>0.17411203203459169</v>
      </c>
      <c r="T366">
        <v>0.13678785288840381</v>
      </c>
      <c r="U366">
        <v>4.2695416864708866</v>
      </c>
      <c r="V366">
        <v>0.1933172563537221</v>
      </c>
      <c r="W366">
        <v>-1.801364443303344</v>
      </c>
      <c r="X366">
        <v>0.24991135012679239</v>
      </c>
      <c r="Z366" t="s">
        <v>392</v>
      </c>
      <c r="AA366">
        <v>161</v>
      </c>
      <c r="AB366" t="s">
        <v>4813</v>
      </c>
      <c r="AC366" t="str">
        <f>HYPERLINK("plots/3FT6Y578R04_015_S31P_20251219032831_M5358ACSA301811_RBGEUFRF04/dpll_52084/txpa_53205.png","plot")</f>
        <v>plot</v>
      </c>
    </row>
    <row r="367" spans="1:29" x14ac:dyDescent="0.35">
      <c r="A367" t="s">
        <v>50</v>
      </c>
      <c r="B367">
        <v>52084</v>
      </c>
      <c r="C367" t="s">
        <v>52</v>
      </c>
      <c r="D367">
        <v>53206</v>
      </c>
      <c r="E367" t="s">
        <v>81</v>
      </c>
      <c r="F367">
        <v>11781</v>
      </c>
      <c r="G367">
        <v>0.73306470851019223</v>
      </c>
      <c r="H367">
        <v>0</v>
      </c>
      <c r="I367">
        <v>0</v>
      </c>
      <c r="J367">
        <v>0.62201162257316822</v>
      </c>
      <c r="K367">
        <v>0</v>
      </c>
      <c r="L367">
        <v>0</v>
      </c>
      <c r="M367">
        <v>0.44616445445895048</v>
      </c>
      <c r="N367">
        <v>0</v>
      </c>
      <c r="O367">
        <v>0</v>
      </c>
      <c r="P367">
        <v>0.53738386686313311</v>
      </c>
      <c r="Q367">
        <v>0.96336635648750635</v>
      </c>
      <c r="R367">
        <v>-5.890839587423943</v>
      </c>
      <c r="S367">
        <v>0.17279315598884901</v>
      </c>
      <c r="T367">
        <v>0.13628000513277089</v>
      </c>
      <c r="U367">
        <v>4.2695489746201511</v>
      </c>
      <c r="V367">
        <v>0.19332384277072681</v>
      </c>
      <c r="W367">
        <v>-1.7776997478991601</v>
      </c>
      <c r="X367">
        <v>0.25405899898072798</v>
      </c>
      <c r="Z367" t="s">
        <v>392</v>
      </c>
      <c r="AA367">
        <v>161</v>
      </c>
      <c r="AB367" t="s">
        <v>4814</v>
      </c>
      <c r="AC367" t="str">
        <f>HYPERLINK("plots/3FT6Y578R04_015_S31P_20251219032831_M5358ACSA301811_RBGEUFRF04/dpll_52084/txpa_53206.png","plot")</f>
        <v>plot</v>
      </c>
    </row>
    <row r="368" spans="1:29" x14ac:dyDescent="0.35">
      <c r="A368" t="s">
        <v>50</v>
      </c>
      <c r="B368">
        <v>52084</v>
      </c>
      <c r="C368" t="s">
        <v>52</v>
      </c>
      <c r="D368">
        <v>53207</v>
      </c>
      <c r="E368" t="s">
        <v>82</v>
      </c>
      <c r="F368">
        <v>11781</v>
      </c>
      <c r="G368">
        <v>0.73586290868678617</v>
      </c>
      <c r="H368">
        <v>0</v>
      </c>
      <c r="I368">
        <v>0</v>
      </c>
      <c r="J368">
        <v>0.61820232539513964</v>
      </c>
      <c r="K368">
        <v>0</v>
      </c>
      <c r="L368">
        <v>0</v>
      </c>
      <c r="M368">
        <v>0.44199731547434129</v>
      </c>
      <c r="N368">
        <v>0</v>
      </c>
      <c r="O368">
        <v>0</v>
      </c>
      <c r="P368">
        <v>0.54149422038097739</v>
      </c>
      <c r="Q368">
        <v>0.96589847150903874</v>
      </c>
      <c r="R368">
        <v>-5.9167340328655982</v>
      </c>
      <c r="S368">
        <v>0.1718055622226651</v>
      </c>
      <c r="T368">
        <v>0.1357168599579775</v>
      </c>
      <c r="U368">
        <v>4.2695174021729896</v>
      </c>
      <c r="V368">
        <v>0.19330748901132719</v>
      </c>
      <c r="W368">
        <v>-1.7928137000254649</v>
      </c>
      <c r="X368">
        <v>0.25373667562685248</v>
      </c>
      <c r="Z368" t="s">
        <v>392</v>
      </c>
      <c r="AA368">
        <v>161</v>
      </c>
      <c r="AB368" t="s">
        <v>4815</v>
      </c>
      <c r="AC368" t="str">
        <f>HYPERLINK("plots/3FT6Y578R04_015_S31P_20251219032831_M5358ACSA301811_RBGEUFRF04/dpll_52084/txpa_53207.png","plot")</f>
        <v>plot</v>
      </c>
    </row>
    <row r="369" spans="1:29" x14ac:dyDescent="0.35">
      <c r="A369" t="s">
        <v>50</v>
      </c>
      <c r="B369">
        <v>52084</v>
      </c>
      <c r="C369" t="s">
        <v>52</v>
      </c>
      <c r="D369">
        <v>53208</v>
      </c>
      <c r="E369" t="s">
        <v>83</v>
      </c>
      <c r="F369">
        <v>11781</v>
      </c>
      <c r="G369">
        <v>0.74232806938459461</v>
      </c>
      <c r="H369">
        <v>0</v>
      </c>
      <c r="I369">
        <v>0</v>
      </c>
      <c r="J369">
        <v>0.63946117160014537</v>
      </c>
      <c r="K369">
        <v>0</v>
      </c>
      <c r="L369">
        <v>0</v>
      </c>
      <c r="M369">
        <v>0.45966452379821748</v>
      </c>
      <c r="N369">
        <v>0</v>
      </c>
      <c r="O369">
        <v>0</v>
      </c>
      <c r="P369">
        <v>0.55105096259625952</v>
      </c>
      <c r="Q369">
        <v>0.97606998108429033</v>
      </c>
      <c r="R369">
        <v>-5.9705872722250568</v>
      </c>
      <c r="S369">
        <v>0.17029333606873251</v>
      </c>
      <c r="T369">
        <v>0.13490491459561299</v>
      </c>
      <c r="U369">
        <v>4.2695129435531793</v>
      </c>
      <c r="V369">
        <v>0.1933002831720991</v>
      </c>
      <c r="W369">
        <v>-1.803243854171972</v>
      </c>
      <c r="X369">
        <v>0.25416606419826482</v>
      </c>
      <c r="Z369" t="s">
        <v>392</v>
      </c>
      <c r="AA369">
        <v>161</v>
      </c>
      <c r="AB369" t="s">
        <v>4816</v>
      </c>
      <c r="AC369" t="str">
        <f>HYPERLINK("plots/3FT6Y578R04_015_S31P_20251219032831_M5358ACSA301811_RBGEUFRF04/dpll_52084/txpa_53208.png","plot")</f>
        <v>plot</v>
      </c>
    </row>
    <row r="370" spans="1:29" x14ac:dyDescent="0.35">
      <c r="A370" t="s">
        <v>50</v>
      </c>
      <c r="B370">
        <v>52084</v>
      </c>
      <c r="C370" t="s">
        <v>52</v>
      </c>
      <c r="D370">
        <v>53209</v>
      </c>
      <c r="E370" t="s">
        <v>84</v>
      </c>
      <c r="F370">
        <v>11782</v>
      </c>
      <c r="G370">
        <v>0.73709868091730979</v>
      </c>
      <c r="H370">
        <v>0</v>
      </c>
      <c r="I370">
        <v>0</v>
      </c>
      <c r="J370">
        <v>0.62857985701937513</v>
      </c>
      <c r="K370">
        <v>0</v>
      </c>
      <c r="L370">
        <v>0</v>
      </c>
      <c r="M370">
        <v>0.45077971124732702</v>
      </c>
      <c r="N370">
        <v>0</v>
      </c>
      <c r="O370">
        <v>0</v>
      </c>
      <c r="P370">
        <v>0.54331446541003803</v>
      </c>
      <c r="Q370">
        <v>0.95909620518473904</v>
      </c>
      <c r="R370">
        <v>-5.8895328595708856</v>
      </c>
      <c r="S370">
        <v>0.16997981728052561</v>
      </c>
      <c r="T370">
        <v>0.13449525396592049</v>
      </c>
      <c r="U370">
        <v>4.2695416864708866</v>
      </c>
      <c r="V370">
        <v>0.1933172563537221</v>
      </c>
      <c r="W370">
        <v>-1.7946316301986081</v>
      </c>
      <c r="X370">
        <v>0.25154006073493462</v>
      </c>
      <c r="Z370" t="s">
        <v>392</v>
      </c>
      <c r="AA370">
        <v>161</v>
      </c>
      <c r="AB370" t="s">
        <v>4817</v>
      </c>
      <c r="AC370" t="str">
        <f>HYPERLINK("plots/3FT6Y578R04_015_S31P_20251219032831_M5358ACSA301811_RBGEUFRF04/dpll_52084/txpa_53209.png","plot")</f>
        <v>plot</v>
      </c>
    </row>
    <row r="371" spans="1:29" x14ac:dyDescent="0.35">
      <c r="A371" t="s">
        <v>50</v>
      </c>
      <c r="B371">
        <v>52084</v>
      </c>
      <c r="C371" t="s">
        <v>52</v>
      </c>
      <c r="D371">
        <v>53210</v>
      </c>
      <c r="E371" t="s">
        <v>85</v>
      </c>
      <c r="F371">
        <v>11781</v>
      </c>
      <c r="G371">
        <v>0.72869648738041837</v>
      </c>
      <c r="H371">
        <v>0</v>
      </c>
      <c r="I371">
        <v>0</v>
      </c>
      <c r="J371">
        <v>0.62075247289619828</v>
      </c>
      <c r="K371">
        <v>0</v>
      </c>
      <c r="L371">
        <v>0</v>
      </c>
      <c r="M371">
        <v>0.44511009164671211</v>
      </c>
      <c r="N371">
        <v>0</v>
      </c>
      <c r="O371">
        <v>0</v>
      </c>
      <c r="P371">
        <v>0.53099857072056023</v>
      </c>
      <c r="Q371">
        <v>0.95528731372292097</v>
      </c>
      <c r="R371">
        <v>-5.9142228454594754</v>
      </c>
      <c r="S371">
        <v>0.17354537743224169</v>
      </c>
      <c r="T371">
        <v>0.13646885967973879</v>
      </c>
      <c r="U371">
        <v>4.2695633024361257</v>
      </c>
      <c r="V371">
        <v>0.19331122175495491</v>
      </c>
      <c r="W371">
        <v>-1.8355631875053049</v>
      </c>
      <c r="X371">
        <v>0.25342205011395952</v>
      </c>
      <c r="Z371" t="s">
        <v>392</v>
      </c>
      <c r="AA371">
        <v>161</v>
      </c>
      <c r="AB371" t="s">
        <v>4818</v>
      </c>
      <c r="AC371" t="str">
        <f>HYPERLINK("plots/3FT6Y578R04_015_S31P_20251219032831_M5358ACSA301811_RBGEUFRF04/dpll_52084/txpa_53210.png","plot")</f>
        <v>plot</v>
      </c>
    </row>
    <row r="372" spans="1:29" x14ac:dyDescent="0.35">
      <c r="A372" t="s">
        <v>50</v>
      </c>
      <c r="B372">
        <v>52084</v>
      </c>
      <c r="C372" t="s">
        <v>52</v>
      </c>
      <c r="D372">
        <v>53211</v>
      </c>
      <c r="E372" t="s">
        <v>86</v>
      </c>
      <c r="F372">
        <v>11782</v>
      </c>
      <c r="G372">
        <v>0.74684996039214135</v>
      </c>
      <c r="H372">
        <v>0</v>
      </c>
      <c r="I372">
        <v>0</v>
      </c>
      <c r="J372">
        <v>0.65186526407988765</v>
      </c>
      <c r="K372">
        <v>0</v>
      </c>
      <c r="L372">
        <v>0</v>
      </c>
      <c r="M372">
        <v>0.46860185246848729</v>
      </c>
      <c r="N372">
        <v>0</v>
      </c>
      <c r="O372">
        <v>0</v>
      </c>
      <c r="P372">
        <v>0.55778486333774313</v>
      </c>
      <c r="Q372">
        <v>1.0193076292271961</v>
      </c>
      <c r="R372">
        <v>-2.6470896857628081</v>
      </c>
      <c r="S372">
        <v>0.17544496377570179</v>
      </c>
      <c r="T372">
        <v>0.13674860604737579</v>
      </c>
      <c r="U372">
        <v>4.2695416864708866</v>
      </c>
      <c r="V372">
        <v>0.1933172563537221</v>
      </c>
      <c r="W372">
        <v>1.704886728560516</v>
      </c>
      <c r="X372">
        <v>0.26384115245738993</v>
      </c>
      <c r="Z372" t="s">
        <v>392</v>
      </c>
      <c r="AA372">
        <v>161</v>
      </c>
      <c r="AB372" t="s">
        <v>4819</v>
      </c>
      <c r="AC372" t="str">
        <f>HYPERLINK("plots/3FT6Y578R04_015_S31P_20251219032831_M5358ACSA301811_RBGEUFRF04/dpll_52084/txpa_53211.png","plot")</f>
        <v>plot</v>
      </c>
    </row>
    <row r="373" spans="1:29" x14ac:dyDescent="0.35">
      <c r="A373" t="s">
        <v>50</v>
      </c>
      <c r="B373">
        <v>52084</v>
      </c>
      <c r="C373" t="s">
        <v>52</v>
      </c>
      <c r="D373">
        <v>53212</v>
      </c>
      <c r="E373" t="s">
        <v>87</v>
      </c>
      <c r="F373">
        <v>11782</v>
      </c>
      <c r="G373">
        <v>0.76701036097648523</v>
      </c>
      <c r="H373">
        <v>0</v>
      </c>
      <c r="I373">
        <v>0</v>
      </c>
      <c r="J373">
        <v>0.66953002710018239</v>
      </c>
      <c r="K373">
        <v>0</v>
      </c>
      <c r="L373">
        <v>0</v>
      </c>
      <c r="M373">
        <v>0.48574305564543541</v>
      </c>
      <c r="N373">
        <v>0</v>
      </c>
      <c r="O373">
        <v>0</v>
      </c>
      <c r="P373">
        <v>0.58830489384527818</v>
      </c>
      <c r="Q373">
        <v>1.0543805248987019</v>
      </c>
      <c r="R373">
        <v>-2.758634225439224</v>
      </c>
      <c r="S373">
        <v>0.1705046348369573</v>
      </c>
      <c r="T373">
        <v>0.13395609001503461</v>
      </c>
      <c r="U373">
        <v>4.2695416864708866</v>
      </c>
      <c r="V373">
        <v>0.1933172563537221</v>
      </c>
      <c r="W373">
        <v>1.7430873790188419</v>
      </c>
      <c r="X373">
        <v>0.26574601934544601</v>
      </c>
      <c r="Z373" t="s">
        <v>392</v>
      </c>
      <c r="AA373">
        <v>161</v>
      </c>
      <c r="AB373" t="s">
        <v>4820</v>
      </c>
      <c r="AC373" t="str">
        <f>HYPERLINK("plots/3FT6Y578R04_015_S31P_20251219032831_M5358ACSA301811_RBGEUFRF04/dpll_52084/txpa_53212.png","plot")</f>
        <v>plot</v>
      </c>
    </row>
    <row r="374" spans="1:29" x14ac:dyDescent="0.35">
      <c r="A374" t="s">
        <v>50</v>
      </c>
      <c r="B374">
        <v>52084</v>
      </c>
      <c r="C374" t="s">
        <v>52</v>
      </c>
      <c r="D374">
        <v>53213</v>
      </c>
      <c r="E374" t="s">
        <v>88</v>
      </c>
      <c r="F374">
        <v>11782</v>
      </c>
      <c r="G374">
        <v>0.75762833471520774</v>
      </c>
      <c r="H374">
        <v>0</v>
      </c>
      <c r="I374">
        <v>0</v>
      </c>
      <c r="J374">
        <v>0.65755277185004446</v>
      </c>
      <c r="K374">
        <v>0</v>
      </c>
      <c r="L374">
        <v>0</v>
      </c>
      <c r="M374">
        <v>0.47481734677891102</v>
      </c>
      <c r="N374">
        <v>0</v>
      </c>
      <c r="O374">
        <v>0</v>
      </c>
      <c r="P374">
        <v>0.57400069356333883</v>
      </c>
      <c r="Q374">
        <v>1.0198826834790939</v>
      </c>
      <c r="R374">
        <v>-2.5964840340533901</v>
      </c>
      <c r="S374">
        <v>0.16984417116519851</v>
      </c>
      <c r="T374">
        <v>0.13334380781084551</v>
      </c>
      <c r="U374">
        <v>4.2695416864708866</v>
      </c>
      <c r="V374">
        <v>0.1933172563537221</v>
      </c>
      <c r="W374">
        <v>1.757947598370396</v>
      </c>
      <c r="X374">
        <v>0.26023435652913213</v>
      </c>
      <c r="Z374" t="s">
        <v>392</v>
      </c>
      <c r="AA374">
        <v>161</v>
      </c>
      <c r="AB374" t="s">
        <v>4821</v>
      </c>
      <c r="AC374" t="str">
        <f>HYPERLINK("plots/3FT6Y578R04_015_S31P_20251219032831_M5358ACSA301811_RBGEUFRF04/dpll_52084/txpa_53213.png","plot")</f>
        <v>plot</v>
      </c>
    </row>
    <row r="375" spans="1:29" x14ac:dyDescent="0.35">
      <c r="A375" t="s">
        <v>50</v>
      </c>
      <c r="B375">
        <v>52084</v>
      </c>
      <c r="C375" t="s">
        <v>52</v>
      </c>
      <c r="D375">
        <v>53214</v>
      </c>
      <c r="E375" t="s">
        <v>89</v>
      </c>
      <c r="F375">
        <v>11781</v>
      </c>
      <c r="G375">
        <v>0.7717581529265668</v>
      </c>
      <c r="H375">
        <v>0</v>
      </c>
      <c r="I375">
        <v>0</v>
      </c>
      <c r="J375">
        <v>0.66920577646429791</v>
      </c>
      <c r="K375">
        <v>0</v>
      </c>
      <c r="L375">
        <v>0</v>
      </c>
      <c r="M375">
        <v>0.48556739230183782</v>
      </c>
      <c r="N375">
        <v>0</v>
      </c>
      <c r="O375">
        <v>0</v>
      </c>
      <c r="P375">
        <v>0.59561064660862606</v>
      </c>
      <c r="Q375">
        <v>1.052642874031019</v>
      </c>
      <c r="R375">
        <v>-2.718547663438279</v>
      </c>
      <c r="S375">
        <v>0.16767436553558651</v>
      </c>
      <c r="T375">
        <v>0.13226228715330449</v>
      </c>
      <c r="U375">
        <v>4.2695489746201511</v>
      </c>
      <c r="V375">
        <v>0.19332384277072681</v>
      </c>
      <c r="W375">
        <v>1.775762640022069</v>
      </c>
      <c r="X375">
        <v>0.26368489234769638</v>
      </c>
      <c r="Z375" t="s">
        <v>392</v>
      </c>
      <c r="AA375">
        <v>161</v>
      </c>
      <c r="AB375" t="s">
        <v>4822</v>
      </c>
      <c r="AC375" t="str">
        <f>HYPERLINK("plots/3FT6Y578R04_015_S31P_20251219032831_M5358ACSA301811_RBGEUFRF04/dpll_52084/txpa_53214.png","plot")</f>
        <v>plot</v>
      </c>
    </row>
    <row r="376" spans="1:29" x14ac:dyDescent="0.35">
      <c r="A376" t="s">
        <v>50</v>
      </c>
      <c r="B376">
        <v>52084</v>
      </c>
      <c r="C376" t="s">
        <v>52</v>
      </c>
      <c r="D376">
        <v>53215</v>
      </c>
      <c r="E376" t="s">
        <v>90</v>
      </c>
      <c r="F376">
        <v>11781</v>
      </c>
      <c r="G376">
        <v>0.77432367635538213</v>
      </c>
      <c r="H376">
        <v>0</v>
      </c>
      <c r="I376">
        <v>0</v>
      </c>
      <c r="J376">
        <v>0.66656537949122319</v>
      </c>
      <c r="K376">
        <v>0</v>
      </c>
      <c r="L376">
        <v>0</v>
      </c>
      <c r="M376">
        <v>0.48238620630058071</v>
      </c>
      <c r="N376">
        <v>0</v>
      </c>
      <c r="O376">
        <v>0</v>
      </c>
      <c r="P376">
        <v>0.59957715576451454</v>
      </c>
      <c r="Q376">
        <v>1.0545240779595031</v>
      </c>
      <c r="R376">
        <v>-2.7426445111276858</v>
      </c>
      <c r="S376">
        <v>0.16658029677508079</v>
      </c>
      <c r="T376">
        <v>0.13149105191483759</v>
      </c>
      <c r="U376">
        <v>4.2695174021729896</v>
      </c>
      <c r="V376">
        <v>0.19330748901132719</v>
      </c>
      <c r="W376">
        <v>1.759664390730838</v>
      </c>
      <c r="X376">
        <v>0.2632586447205304</v>
      </c>
      <c r="Z376" t="s">
        <v>392</v>
      </c>
      <c r="AA376">
        <v>161</v>
      </c>
      <c r="AB376" t="s">
        <v>4823</v>
      </c>
      <c r="AC376" t="str">
        <f>HYPERLINK("plots/3FT6Y578R04_015_S31P_20251219032831_M5358ACSA301811_RBGEUFRF04/dpll_52084/txpa_53215.png","plot")</f>
        <v>plot</v>
      </c>
    </row>
    <row r="377" spans="1:29" x14ac:dyDescent="0.35">
      <c r="A377" t="s">
        <v>50</v>
      </c>
      <c r="B377">
        <v>52084</v>
      </c>
      <c r="C377" t="s">
        <v>52</v>
      </c>
      <c r="D377">
        <v>53216</v>
      </c>
      <c r="E377" t="s">
        <v>91</v>
      </c>
      <c r="F377">
        <v>11781</v>
      </c>
      <c r="G377">
        <v>0.77929139898946509</v>
      </c>
      <c r="H377">
        <v>0</v>
      </c>
      <c r="I377">
        <v>0</v>
      </c>
      <c r="J377">
        <v>0.68392707228783245</v>
      </c>
      <c r="K377">
        <v>0</v>
      </c>
      <c r="L377">
        <v>0</v>
      </c>
      <c r="M377">
        <v>0.49736446303717557</v>
      </c>
      <c r="N377">
        <v>0</v>
      </c>
      <c r="O377">
        <v>0</v>
      </c>
      <c r="P377">
        <v>0.60729508453895764</v>
      </c>
      <c r="Q377">
        <v>1.067318185056044</v>
      </c>
      <c r="R377">
        <v>-2.8013745814893971</v>
      </c>
      <c r="S377">
        <v>0.16589803889773469</v>
      </c>
      <c r="T377">
        <v>0.13131891661302431</v>
      </c>
      <c r="U377">
        <v>4.2695129435531793</v>
      </c>
      <c r="V377">
        <v>0.1933002831720991</v>
      </c>
      <c r="W377">
        <v>1.755554224497071</v>
      </c>
      <c r="X377">
        <v>0.26474423774418337</v>
      </c>
      <c r="Z377" t="s">
        <v>392</v>
      </c>
      <c r="AA377">
        <v>161</v>
      </c>
      <c r="AB377" t="s">
        <v>4824</v>
      </c>
      <c r="AC377" t="str">
        <f>HYPERLINK("plots/3FT6Y578R04_015_S31P_20251219032831_M5358ACSA301811_RBGEUFRF04/dpll_52084/txpa_53216.png","plot")</f>
        <v>plot</v>
      </c>
    </row>
    <row r="378" spans="1:29" x14ac:dyDescent="0.35">
      <c r="A378" t="s">
        <v>50</v>
      </c>
      <c r="B378">
        <v>52084</v>
      </c>
      <c r="C378" t="s">
        <v>52</v>
      </c>
      <c r="D378">
        <v>53217</v>
      </c>
      <c r="E378" t="s">
        <v>92</v>
      </c>
      <c r="F378">
        <v>11782</v>
      </c>
      <c r="G378">
        <v>0.7740385533458336</v>
      </c>
      <c r="H378">
        <v>0</v>
      </c>
      <c r="I378">
        <v>0</v>
      </c>
      <c r="J378">
        <v>0.67256345582249222</v>
      </c>
      <c r="K378">
        <v>0</v>
      </c>
      <c r="L378">
        <v>0</v>
      </c>
      <c r="M378">
        <v>0.48806878225375921</v>
      </c>
      <c r="N378">
        <v>0</v>
      </c>
      <c r="O378">
        <v>0</v>
      </c>
      <c r="P378">
        <v>0.59913568206571088</v>
      </c>
      <c r="Q378">
        <v>1.049050562122616</v>
      </c>
      <c r="R378">
        <v>-2.7153495665360312</v>
      </c>
      <c r="S378">
        <v>0.1658764452955841</v>
      </c>
      <c r="T378">
        <v>0.13116133662566451</v>
      </c>
      <c r="U378">
        <v>4.2695416864708866</v>
      </c>
      <c r="V378">
        <v>0.1933172563537221</v>
      </c>
      <c r="W378">
        <v>1.763615539662196</v>
      </c>
      <c r="X378">
        <v>0.26200190619609232</v>
      </c>
      <c r="Z378" t="s">
        <v>392</v>
      </c>
      <c r="AA378">
        <v>161</v>
      </c>
      <c r="AB378" t="s">
        <v>4825</v>
      </c>
      <c r="AC378" t="str">
        <f>HYPERLINK("plots/3FT6Y578R04_015_S31P_20251219032831_M5358ACSA301811_RBGEUFRF04/dpll_52084/txpa_53217.png","plot")</f>
        <v>plot</v>
      </c>
    </row>
    <row r="379" spans="1:29" x14ac:dyDescent="0.35">
      <c r="A379" t="s">
        <v>50</v>
      </c>
      <c r="B379">
        <v>52084</v>
      </c>
      <c r="C379" t="s">
        <v>52</v>
      </c>
      <c r="D379">
        <v>53218</v>
      </c>
      <c r="E379" t="s">
        <v>93</v>
      </c>
      <c r="F379">
        <v>11781</v>
      </c>
      <c r="G379">
        <v>0.76747001834566642</v>
      </c>
      <c r="H379">
        <v>0</v>
      </c>
      <c r="I379">
        <v>0</v>
      </c>
      <c r="J379">
        <v>0.66723413946958543</v>
      </c>
      <c r="K379">
        <v>0</v>
      </c>
      <c r="L379">
        <v>0</v>
      </c>
      <c r="M379">
        <v>0.48399622186029068</v>
      </c>
      <c r="N379">
        <v>0</v>
      </c>
      <c r="O379">
        <v>0</v>
      </c>
      <c r="P379">
        <v>0.58901022905949751</v>
      </c>
      <c r="Q379">
        <v>1.0436474309372159</v>
      </c>
      <c r="R379">
        <v>-2.7283926023689551</v>
      </c>
      <c r="S379">
        <v>0.168518090406269</v>
      </c>
      <c r="T379">
        <v>0.1324046105397568</v>
      </c>
      <c r="U379">
        <v>4.2695633024361257</v>
      </c>
      <c r="V379">
        <v>0.19331122175495491</v>
      </c>
      <c r="W379">
        <v>1.727526169442323</v>
      </c>
      <c r="X379">
        <v>0.26287510278352783</v>
      </c>
      <c r="Z379" t="s">
        <v>392</v>
      </c>
      <c r="AA379">
        <v>161</v>
      </c>
      <c r="AB379" t="s">
        <v>4826</v>
      </c>
      <c r="AC379" t="str">
        <f>HYPERLINK("plots/3FT6Y578R04_015_S31P_20251219032831_M5358ACSA301811_RBGEUFRF04/dpll_52084/txpa_53218.png","plot")</f>
        <v>plot</v>
      </c>
    </row>
    <row r="380" spans="1:29" x14ac:dyDescent="0.35">
      <c r="A380" t="s">
        <v>50</v>
      </c>
      <c r="B380">
        <v>52084</v>
      </c>
      <c r="C380" t="s">
        <v>52</v>
      </c>
      <c r="D380">
        <v>53219</v>
      </c>
      <c r="E380" t="s">
        <v>94</v>
      </c>
      <c r="F380">
        <v>11782</v>
      </c>
      <c r="G380">
        <v>0.77241398919536031</v>
      </c>
      <c r="H380">
        <v>0</v>
      </c>
      <c r="I380">
        <v>0</v>
      </c>
      <c r="J380">
        <v>0.67914229510089485</v>
      </c>
      <c r="K380">
        <v>0</v>
      </c>
      <c r="L380">
        <v>0</v>
      </c>
      <c r="M380">
        <v>0.49163438484606081</v>
      </c>
      <c r="N380">
        <v>0</v>
      </c>
      <c r="O380">
        <v>0</v>
      </c>
      <c r="P380">
        <v>0.59662337070469018</v>
      </c>
      <c r="Q380">
        <v>1.1005895431707451</v>
      </c>
      <c r="R380">
        <v>-0.99148242441591838</v>
      </c>
      <c r="S380">
        <v>0.1749374571453631</v>
      </c>
      <c r="T380">
        <v>0.13612510655177121</v>
      </c>
      <c r="U380">
        <v>4.2695416864708866</v>
      </c>
      <c r="V380">
        <v>0.1933172563537221</v>
      </c>
      <c r="W380">
        <v>3.7075305098455269</v>
      </c>
      <c r="X380">
        <v>0.27545196466341099</v>
      </c>
      <c r="Z380" t="s">
        <v>392</v>
      </c>
      <c r="AA380">
        <v>161</v>
      </c>
      <c r="AB380" t="s">
        <v>4827</v>
      </c>
      <c r="AC380" t="str">
        <f>HYPERLINK("plots/3FT6Y578R04_015_S31P_20251219032831_M5358ACSA301811_RBGEUFRF04/dpll_52084/txpa_53219.png","plot")</f>
        <v>plot</v>
      </c>
    </row>
    <row r="381" spans="1:29" x14ac:dyDescent="0.35">
      <c r="A381" t="s">
        <v>50</v>
      </c>
      <c r="B381">
        <v>52084</v>
      </c>
      <c r="C381" t="s">
        <v>52</v>
      </c>
      <c r="D381">
        <v>53220</v>
      </c>
      <c r="E381" t="s">
        <v>95</v>
      </c>
      <c r="F381">
        <v>11782</v>
      </c>
      <c r="G381">
        <v>0.79080308750429773</v>
      </c>
      <c r="H381">
        <v>0</v>
      </c>
      <c r="I381">
        <v>0</v>
      </c>
      <c r="J381">
        <v>0.69539912970881168</v>
      </c>
      <c r="K381">
        <v>0</v>
      </c>
      <c r="L381">
        <v>0</v>
      </c>
      <c r="M381">
        <v>0.50824123507245789</v>
      </c>
      <c r="N381">
        <v>0</v>
      </c>
      <c r="O381">
        <v>0</v>
      </c>
      <c r="P381">
        <v>0.62536952320632999</v>
      </c>
      <c r="Q381">
        <v>1.1350245674902699</v>
      </c>
      <c r="R381">
        <v>-1.1013992398486381</v>
      </c>
      <c r="S381">
        <v>0.16982070901499899</v>
      </c>
      <c r="T381">
        <v>0.13342250055302499</v>
      </c>
      <c r="U381">
        <v>4.2695416864708866</v>
      </c>
      <c r="V381">
        <v>0.1933172563537221</v>
      </c>
      <c r="W381">
        <v>3.7446354662196581</v>
      </c>
      <c r="X381">
        <v>0.27746456576662842</v>
      </c>
      <c r="Z381" t="s">
        <v>392</v>
      </c>
      <c r="AA381">
        <v>161</v>
      </c>
      <c r="AB381" t="s">
        <v>4828</v>
      </c>
      <c r="AC381" t="str">
        <f>HYPERLINK("plots/3FT6Y578R04_015_S31P_20251219032831_M5358ACSA301811_RBGEUFRF04/dpll_52084/txpa_53220.png","plot")</f>
        <v>plot</v>
      </c>
    </row>
    <row r="382" spans="1:29" x14ac:dyDescent="0.35">
      <c r="A382" t="s">
        <v>50</v>
      </c>
      <c r="B382">
        <v>52084</v>
      </c>
      <c r="C382" t="s">
        <v>52</v>
      </c>
      <c r="D382">
        <v>53221</v>
      </c>
      <c r="E382" t="s">
        <v>96</v>
      </c>
      <c r="F382">
        <v>11782</v>
      </c>
      <c r="G382">
        <v>0.782388227573938</v>
      </c>
      <c r="H382">
        <v>0</v>
      </c>
      <c r="I382">
        <v>0</v>
      </c>
      <c r="J382">
        <v>0.6842413676101774</v>
      </c>
      <c r="K382">
        <v>0</v>
      </c>
      <c r="L382">
        <v>0</v>
      </c>
      <c r="M382">
        <v>0.49771502059119682</v>
      </c>
      <c r="N382">
        <v>0</v>
      </c>
      <c r="O382">
        <v>0</v>
      </c>
      <c r="P382">
        <v>0.61213133864628821</v>
      </c>
      <c r="Q382">
        <v>1.1019982446611321</v>
      </c>
      <c r="R382">
        <v>-0.94532213530722142</v>
      </c>
      <c r="S382">
        <v>0.16957160582137659</v>
      </c>
      <c r="T382">
        <v>0.1329074992191614</v>
      </c>
      <c r="U382">
        <v>4.2695416864708866</v>
      </c>
      <c r="V382">
        <v>0.1933172563537221</v>
      </c>
      <c r="W382">
        <v>3.759705308691224</v>
      </c>
      <c r="X382">
        <v>0.27228844920775008</v>
      </c>
      <c r="Z382" t="s">
        <v>392</v>
      </c>
      <c r="AA382">
        <v>161</v>
      </c>
      <c r="AB382" t="s">
        <v>4829</v>
      </c>
      <c r="AC382" t="str">
        <f>HYPERLINK("plots/3FT6Y578R04_015_S31P_20251219032831_M5358ACSA301811_RBGEUFRF04/dpll_52084/txpa_53221.png","plot")</f>
        <v>plot</v>
      </c>
    </row>
    <row r="383" spans="1:29" x14ac:dyDescent="0.35">
      <c r="A383" t="s">
        <v>50</v>
      </c>
      <c r="B383">
        <v>52084</v>
      </c>
      <c r="C383" t="s">
        <v>52</v>
      </c>
      <c r="D383">
        <v>53222</v>
      </c>
      <c r="E383" t="s">
        <v>97</v>
      </c>
      <c r="F383">
        <v>11781</v>
      </c>
      <c r="G383">
        <v>0.79553364107280933</v>
      </c>
      <c r="H383">
        <v>0</v>
      </c>
      <c r="I383">
        <v>0</v>
      </c>
      <c r="J383">
        <v>0.6955354238329029</v>
      </c>
      <c r="K383">
        <v>0</v>
      </c>
      <c r="L383">
        <v>0</v>
      </c>
      <c r="M383">
        <v>0.50841558771832285</v>
      </c>
      <c r="N383">
        <v>0</v>
      </c>
      <c r="O383">
        <v>0</v>
      </c>
      <c r="P383">
        <v>0.63287377407856138</v>
      </c>
      <c r="Q383">
        <v>1.132968784557099</v>
      </c>
      <c r="R383">
        <v>-1.06291971374052</v>
      </c>
      <c r="S383">
        <v>0.16681461063534159</v>
      </c>
      <c r="T383">
        <v>0.13153280988818741</v>
      </c>
      <c r="U383">
        <v>4.2695489746201511</v>
      </c>
      <c r="V383">
        <v>0.19332384277072681</v>
      </c>
      <c r="W383">
        <v>3.774345998641881</v>
      </c>
      <c r="X383">
        <v>0.2753244713504352</v>
      </c>
      <c r="Z383" t="s">
        <v>392</v>
      </c>
      <c r="AA383">
        <v>161</v>
      </c>
      <c r="AB383" t="s">
        <v>4830</v>
      </c>
      <c r="AC383" t="str">
        <f>HYPERLINK("plots/3FT6Y578R04_015_S31P_20251219032831_M5358ACSA301811_RBGEUFRF04/dpll_52084/txpa_53222.png","plot")</f>
        <v>plot</v>
      </c>
    </row>
    <row r="384" spans="1:29" x14ac:dyDescent="0.35">
      <c r="A384" t="s">
        <v>50</v>
      </c>
      <c r="B384">
        <v>52084</v>
      </c>
      <c r="C384" t="s">
        <v>52</v>
      </c>
      <c r="D384">
        <v>53223</v>
      </c>
      <c r="E384" t="s">
        <v>98</v>
      </c>
      <c r="F384">
        <v>11781</v>
      </c>
      <c r="G384">
        <v>0.79821274159522815</v>
      </c>
      <c r="H384">
        <v>0</v>
      </c>
      <c r="I384">
        <v>0</v>
      </c>
      <c r="J384">
        <v>0.69370064167842094</v>
      </c>
      <c r="K384">
        <v>0</v>
      </c>
      <c r="L384">
        <v>0</v>
      </c>
      <c r="M384">
        <v>0.50577892340343977</v>
      </c>
      <c r="N384">
        <v>0</v>
      </c>
      <c r="O384">
        <v>0</v>
      </c>
      <c r="P384">
        <v>0.63714358084497047</v>
      </c>
      <c r="Q384">
        <v>1.134433407441831</v>
      </c>
      <c r="R384">
        <v>-1.086812457847113</v>
      </c>
      <c r="S384">
        <v>0.16548475959406889</v>
      </c>
      <c r="T384">
        <v>0.13047970631967129</v>
      </c>
      <c r="U384">
        <v>4.2695174021729896</v>
      </c>
      <c r="V384">
        <v>0.19330748901132719</v>
      </c>
      <c r="W384">
        <v>3.7566707168321871</v>
      </c>
      <c r="X384">
        <v>0.27473186284258538</v>
      </c>
      <c r="Z384" t="s">
        <v>392</v>
      </c>
      <c r="AA384">
        <v>161</v>
      </c>
      <c r="AB384" t="s">
        <v>4831</v>
      </c>
      <c r="AC384" t="str">
        <f>HYPERLINK("plots/3FT6Y578R04_015_S31P_20251219032831_M5358ACSA301811_RBGEUFRF04/dpll_52084/txpa_53223.png","plot")</f>
        <v>plot</v>
      </c>
    </row>
    <row r="385" spans="1:29" x14ac:dyDescent="0.35">
      <c r="A385" t="s">
        <v>50</v>
      </c>
      <c r="B385">
        <v>52084</v>
      </c>
      <c r="C385" t="s">
        <v>52</v>
      </c>
      <c r="D385">
        <v>53224</v>
      </c>
      <c r="E385" t="s">
        <v>99</v>
      </c>
      <c r="F385">
        <v>11781</v>
      </c>
      <c r="G385">
        <v>0.80210093113668479</v>
      </c>
      <c r="H385">
        <v>0</v>
      </c>
      <c r="I385">
        <v>0</v>
      </c>
      <c r="J385">
        <v>0.70921143633958195</v>
      </c>
      <c r="K385">
        <v>0</v>
      </c>
      <c r="L385">
        <v>0</v>
      </c>
      <c r="M385">
        <v>0.51979551011595149</v>
      </c>
      <c r="N385">
        <v>0</v>
      </c>
      <c r="O385">
        <v>0</v>
      </c>
      <c r="P385">
        <v>0.64336590373033675</v>
      </c>
      <c r="Q385">
        <v>1.1476322972098509</v>
      </c>
      <c r="R385">
        <v>-1.1432073202656761</v>
      </c>
      <c r="S385">
        <v>0.16515785346630771</v>
      </c>
      <c r="T385">
        <v>0.1306654342777134</v>
      </c>
      <c r="U385">
        <v>4.2695129435531793</v>
      </c>
      <c r="V385">
        <v>0.1933002831720991</v>
      </c>
      <c r="W385">
        <v>3.756623627111451</v>
      </c>
      <c r="X385">
        <v>0.27657073993635339</v>
      </c>
      <c r="Z385" t="s">
        <v>392</v>
      </c>
      <c r="AA385">
        <v>161</v>
      </c>
      <c r="AB385" t="s">
        <v>4832</v>
      </c>
      <c r="AC385" t="str">
        <f>HYPERLINK("plots/3FT6Y578R04_015_S31P_20251219032831_M5358ACSA301811_RBGEUFRF04/dpll_52084/txpa_53224.png","plot")</f>
        <v>plot</v>
      </c>
    </row>
    <row r="386" spans="1:29" x14ac:dyDescent="0.35">
      <c r="A386" t="s">
        <v>50</v>
      </c>
      <c r="B386">
        <v>52084</v>
      </c>
      <c r="C386" t="s">
        <v>52</v>
      </c>
      <c r="D386">
        <v>53225</v>
      </c>
      <c r="E386" t="s">
        <v>100</v>
      </c>
      <c r="F386">
        <v>11782</v>
      </c>
      <c r="G386">
        <v>0.79743457326402845</v>
      </c>
      <c r="H386">
        <v>0</v>
      </c>
      <c r="I386">
        <v>0</v>
      </c>
      <c r="J386">
        <v>0.69827823775515518</v>
      </c>
      <c r="K386">
        <v>0</v>
      </c>
      <c r="L386">
        <v>0</v>
      </c>
      <c r="M386">
        <v>0.51056108458248328</v>
      </c>
      <c r="N386">
        <v>0</v>
      </c>
      <c r="O386">
        <v>0</v>
      </c>
      <c r="P386">
        <v>0.63590189863678315</v>
      </c>
      <c r="Q386">
        <v>1.1302181724599401</v>
      </c>
      <c r="R386">
        <v>-1.06151290461999</v>
      </c>
      <c r="S386">
        <v>0.165321228480652</v>
      </c>
      <c r="T386">
        <v>0.13080792884850981</v>
      </c>
      <c r="U386">
        <v>4.2695416864708866</v>
      </c>
      <c r="V386">
        <v>0.1933172563537221</v>
      </c>
      <c r="W386">
        <v>3.764000697504668</v>
      </c>
      <c r="X386">
        <v>0.27399197815910581</v>
      </c>
      <c r="Z386" t="s">
        <v>392</v>
      </c>
      <c r="AA386">
        <v>161</v>
      </c>
      <c r="AB386" t="s">
        <v>4833</v>
      </c>
      <c r="AC386" t="str">
        <f>HYPERLINK("plots/3FT6Y578R04_015_S31P_20251219032831_M5358ACSA301811_RBGEUFRF04/dpll_52084/txpa_53225.png","plot")</f>
        <v>plot</v>
      </c>
    </row>
    <row r="387" spans="1:29" x14ac:dyDescent="0.35">
      <c r="A387" t="s">
        <v>50</v>
      </c>
      <c r="B387">
        <v>52084</v>
      </c>
      <c r="C387" t="s">
        <v>52</v>
      </c>
      <c r="D387">
        <v>53226</v>
      </c>
      <c r="E387" t="s">
        <v>101</v>
      </c>
      <c r="F387">
        <v>11781</v>
      </c>
      <c r="G387">
        <v>0.79220245001181899</v>
      </c>
      <c r="H387">
        <v>0</v>
      </c>
      <c r="I387">
        <v>0</v>
      </c>
      <c r="J387">
        <v>0.69414093691518242</v>
      </c>
      <c r="K387">
        <v>0</v>
      </c>
      <c r="L387">
        <v>0</v>
      </c>
      <c r="M387">
        <v>0.50729434923377437</v>
      </c>
      <c r="N387">
        <v>0</v>
      </c>
      <c r="O387">
        <v>0</v>
      </c>
      <c r="P387">
        <v>0.62758472180472857</v>
      </c>
      <c r="Q387">
        <v>1.1247529940026371</v>
      </c>
      <c r="R387">
        <v>-1.072371681134334</v>
      </c>
      <c r="S387">
        <v>0.1674840114724197</v>
      </c>
      <c r="T387">
        <v>0.1314175728526262</v>
      </c>
      <c r="U387">
        <v>4.2695633024361257</v>
      </c>
      <c r="V387">
        <v>0.19331122175495491</v>
      </c>
      <c r="W387">
        <v>3.7298324263644851</v>
      </c>
      <c r="X387">
        <v>0.2744593575038165</v>
      </c>
      <c r="Z387" t="s">
        <v>392</v>
      </c>
      <c r="AA387">
        <v>161</v>
      </c>
      <c r="AB387" t="s">
        <v>4834</v>
      </c>
      <c r="AC387" t="str">
        <f>HYPERLINK("plots/3FT6Y578R04_015_S31P_20251219032831_M5358ACSA301811_RBGEUFRF04/dpll_52084/txpa_53226.png","plot")</f>
        <v>plot</v>
      </c>
    </row>
    <row r="388" spans="1:29" x14ac:dyDescent="0.35">
      <c r="A388" t="s">
        <v>50</v>
      </c>
      <c r="B388">
        <v>52084</v>
      </c>
      <c r="C388" t="s">
        <v>52</v>
      </c>
      <c r="D388">
        <v>53227</v>
      </c>
      <c r="E388" t="s">
        <v>102</v>
      </c>
      <c r="F388">
        <v>11782</v>
      </c>
      <c r="G388">
        <v>0.80077926978919967</v>
      </c>
      <c r="H388">
        <v>0</v>
      </c>
      <c r="I388">
        <v>0</v>
      </c>
      <c r="J388">
        <v>0.70479358633951206</v>
      </c>
      <c r="K388">
        <v>0</v>
      </c>
      <c r="L388">
        <v>0</v>
      </c>
      <c r="M388">
        <v>0.51412378369184308</v>
      </c>
      <c r="N388">
        <v>0</v>
      </c>
      <c r="O388">
        <v>0</v>
      </c>
      <c r="P388">
        <v>0.64124743892412384</v>
      </c>
      <c r="Q388">
        <v>1.2300348893448081</v>
      </c>
      <c r="R388">
        <v>0.86301610931631156</v>
      </c>
      <c r="S388">
        <v>0.1778501783452241</v>
      </c>
      <c r="T388">
        <v>0.1377978703186282</v>
      </c>
      <c r="U388">
        <v>4.2695416864708866</v>
      </c>
      <c r="V388">
        <v>0.1933172563537221</v>
      </c>
      <c r="W388">
        <v>6.1147013451875738</v>
      </c>
      <c r="X388">
        <v>0.29694446272327768</v>
      </c>
      <c r="Z388" t="s">
        <v>392</v>
      </c>
      <c r="AA388">
        <v>161</v>
      </c>
      <c r="AB388" t="s">
        <v>4835</v>
      </c>
      <c r="AC388" t="str">
        <f>HYPERLINK("plots/3FT6Y578R04_015_S31P_20251219032831_M5358ACSA301811_RBGEUFRF04/dpll_52084/txpa_53227.png","plot")</f>
        <v>plot</v>
      </c>
    </row>
    <row r="389" spans="1:29" x14ac:dyDescent="0.35">
      <c r="A389" t="s">
        <v>50</v>
      </c>
      <c r="B389">
        <v>52084</v>
      </c>
      <c r="C389" t="s">
        <v>52</v>
      </c>
      <c r="D389">
        <v>53228</v>
      </c>
      <c r="E389" t="s">
        <v>103</v>
      </c>
      <c r="F389">
        <v>11782</v>
      </c>
      <c r="G389">
        <v>0.81638101789359563</v>
      </c>
      <c r="H389">
        <v>0</v>
      </c>
      <c r="I389">
        <v>0</v>
      </c>
      <c r="J389">
        <v>0.71874837615588449</v>
      </c>
      <c r="K389">
        <v>0</v>
      </c>
      <c r="L389">
        <v>0</v>
      </c>
      <c r="M389">
        <v>0.52918406529296536</v>
      </c>
      <c r="N389">
        <v>0</v>
      </c>
      <c r="O389">
        <v>0</v>
      </c>
      <c r="P389">
        <v>0.66647796637698331</v>
      </c>
      <c r="Q389">
        <v>1.2627820519466251</v>
      </c>
      <c r="R389">
        <v>0.75996369027271982</v>
      </c>
      <c r="S389">
        <v>0.1726831487680888</v>
      </c>
      <c r="T389">
        <v>0.13529396812006511</v>
      </c>
      <c r="U389">
        <v>4.2695416864708866</v>
      </c>
      <c r="V389">
        <v>0.1933172563537221</v>
      </c>
      <c r="W389">
        <v>6.1514643019860804</v>
      </c>
      <c r="X389">
        <v>0.29902405409291682</v>
      </c>
      <c r="Z389" t="s">
        <v>392</v>
      </c>
      <c r="AA389">
        <v>161</v>
      </c>
      <c r="AB389" t="s">
        <v>4836</v>
      </c>
      <c r="AC389" t="str">
        <f>HYPERLINK("plots/3FT6Y578R04_015_S31P_20251219032831_M5358ACSA301811_RBGEUFRF04/dpll_52084/txpa_53228.png","plot")</f>
        <v>plot</v>
      </c>
    </row>
    <row r="390" spans="1:29" x14ac:dyDescent="0.35">
      <c r="A390" t="s">
        <v>50</v>
      </c>
      <c r="B390">
        <v>52084</v>
      </c>
      <c r="C390" t="s">
        <v>52</v>
      </c>
      <c r="D390">
        <v>53229</v>
      </c>
      <c r="E390" t="s">
        <v>104</v>
      </c>
      <c r="F390">
        <v>11782</v>
      </c>
      <c r="G390">
        <v>0.80966048174269445</v>
      </c>
      <c r="H390">
        <v>0</v>
      </c>
      <c r="I390">
        <v>0</v>
      </c>
      <c r="J390">
        <v>0.70914959668499278</v>
      </c>
      <c r="K390">
        <v>0</v>
      </c>
      <c r="L390">
        <v>0</v>
      </c>
      <c r="M390">
        <v>0.51961313393429231</v>
      </c>
      <c r="N390">
        <v>0</v>
      </c>
      <c r="O390">
        <v>0</v>
      </c>
      <c r="P390">
        <v>0.65555009569581202</v>
      </c>
      <c r="Q390">
        <v>1.230179770222797</v>
      </c>
      <c r="R390">
        <v>0.91427327049106388</v>
      </c>
      <c r="S390">
        <v>0.17237761367241711</v>
      </c>
      <c r="T390">
        <v>0.13463543698242661</v>
      </c>
      <c r="U390">
        <v>4.2695416864708866</v>
      </c>
      <c r="V390">
        <v>0.1933172563537221</v>
      </c>
      <c r="W390">
        <v>6.1665770813104741</v>
      </c>
      <c r="X390">
        <v>0.29372185423877423</v>
      </c>
      <c r="Z390" t="s">
        <v>392</v>
      </c>
      <c r="AA390">
        <v>161</v>
      </c>
      <c r="AB390" t="s">
        <v>4837</v>
      </c>
      <c r="AC390" t="str">
        <f>HYPERLINK("plots/3FT6Y578R04_015_S31P_20251219032831_M5358ACSA301811_RBGEUFRF04/dpll_52084/txpa_53229.png","plot")</f>
        <v>plot</v>
      </c>
    </row>
    <row r="391" spans="1:29" x14ac:dyDescent="0.35">
      <c r="A391" t="s">
        <v>50</v>
      </c>
      <c r="B391">
        <v>52084</v>
      </c>
      <c r="C391" t="s">
        <v>52</v>
      </c>
      <c r="D391">
        <v>53230</v>
      </c>
      <c r="E391" t="s">
        <v>105</v>
      </c>
      <c r="F391">
        <v>11781</v>
      </c>
      <c r="G391">
        <v>0.8212764285550096</v>
      </c>
      <c r="H391">
        <v>0</v>
      </c>
      <c r="I391">
        <v>0</v>
      </c>
      <c r="J391">
        <v>0.71984068461206996</v>
      </c>
      <c r="K391">
        <v>0</v>
      </c>
      <c r="L391">
        <v>0</v>
      </c>
      <c r="M391">
        <v>0.53014263877642831</v>
      </c>
      <c r="N391">
        <v>0</v>
      </c>
      <c r="O391">
        <v>0</v>
      </c>
      <c r="P391">
        <v>0.67449497210007181</v>
      </c>
      <c r="Q391">
        <v>1.2610189806213059</v>
      </c>
      <c r="R391">
        <v>0.7945910739747708</v>
      </c>
      <c r="S391">
        <v>0.16934723193073339</v>
      </c>
      <c r="T391">
        <v>0.1331689915434176</v>
      </c>
      <c r="U391">
        <v>4.2695489746201511</v>
      </c>
      <c r="V391">
        <v>0.19332384277072681</v>
      </c>
      <c r="W391">
        <v>6.1785733696630167</v>
      </c>
      <c r="X391">
        <v>0.2968367612467116</v>
      </c>
      <c r="Z391" t="s">
        <v>392</v>
      </c>
      <c r="AA391">
        <v>161</v>
      </c>
      <c r="AB391" t="s">
        <v>4838</v>
      </c>
      <c r="AC391" t="str">
        <f>HYPERLINK("plots/3FT6Y578R04_015_S31P_20251219032831_M5358ACSA301811_RBGEUFRF04/dpll_52084/txpa_53230.png","plot")</f>
        <v>plot</v>
      </c>
    </row>
    <row r="392" spans="1:29" x14ac:dyDescent="0.35">
      <c r="A392" t="s">
        <v>50</v>
      </c>
      <c r="B392">
        <v>52084</v>
      </c>
      <c r="C392" t="s">
        <v>52</v>
      </c>
      <c r="D392">
        <v>53231</v>
      </c>
      <c r="E392" t="s">
        <v>106</v>
      </c>
      <c r="F392">
        <v>11781</v>
      </c>
      <c r="G392">
        <v>0.8239240271837085</v>
      </c>
      <c r="H392">
        <v>0</v>
      </c>
      <c r="I392">
        <v>0</v>
      </c>
      <c r="J392">
        <v>0.71896417457195627</v>
      </c>
      <c r="K392">
        <v>0</v>
      </c>
      <c r="L392">
        <v>0</v>
      </c>
      <c r="M392">
        <v>0.52830752467202124</v>
      </c>
      <c r="N392">
        <v>0</v>
      </c>
      <c r="O392">
        <v>0</v>
      </c>
      <c r="P392">
        <v>0.67885080257062047</v>
      </c>
      <c r="Q392">
        <v>1.262314088349757</v>
      </c>
      <c r="R392">
        <v>0.77002708422133548</v>
      </c>
      <c r="S392">
        <v>0.1678278104732876</v>
      </c>
      <c r="T392">
        <v>0.1320746826635284</v>
      </c>
      <c r="U392">
        <v>4.2695174021729896</v>
      </c>
      <c r="V392">
        <v>0.19330748901132719</v>
      </c>
      <c r="W392">
        <v>6.1594990514387584</v>
      </c>
      <c r="X392">
        <v>0.29616173180019029</v>
      </c>
      <c r="Z392" t="s">
        <v>392</v>
      </c>
      <c r="AA392">
        <v>161</v>
      </c>
      <c r="AB392" t="s">
        <v>4839</v>
      </c>
      <c r="AC392" t="str">
        <f>HYPERLINK("plots/3FT6Y578R04_015_S31P_20251219032831_M5358ACSA301811_RBGEUFRF04/dpll_52084/txpa_53231.png","plot")</f>
        <v>plot</v>
      </c>
    </row>
    <row r="393" spans="1:29" x14ac:dyDescent="0.35">
      <c r="A393" t="s">
        <v>50</v>
      </c>
      <c r="B393">
        <v>52084</v>
      </c>
      <c r="C393" t="s">
        <v>52</v>
      </c>
      <c r="D393">
        <v>53232</v>
      </c>
      <c r="E393" t="s">
        <v>107</v>
      </c>
      <c r="F393">
        <v>11781</v>
      </c>
      <c r="G393">
        <v>0.82658275871017728</v>
      </c>
      <c r="H393">
        <v>0</v>
      </c>
      <c r="I393">
        <v>0</v>
      </c>
      <c r="J393">
        <v>0.73131938260890872</v>
      </c>
      <c r="K393">
        <v>0</v>
      </c>
      <c r="L393">
        <v>0</v>
      </c>
      <c r="M393">
        <v>0.54004874359770849</v>
      </c>
      <c r="N393">
        <v>0</v>
      </c>
      <c r="O393">
        <v>0</v>
      </c>
      <c r="P393">
        <v>0.68323905699692711</v>
      </c>
      <c r="Q393">
        <v>1.2754919473953561</v>
      </c>
      <c r="R393">
        <v>0.716913084316257</v>
      </c>
      <c r="S393">
        <v>0.1678692885644458</v>
      </c>
      <c r="T393">
        <v>0.13260357273462101</v>
      </c>
      <c r="U393">
        <v>4.2695129435531793</v>
      </c>
      <c r="V393">
        <v>0.1933002831720991</v>
      </c>
      <c r="W393">
        <v>6.1626424631185817</v>
      </c>
      <c r="X393">
        <v>0.29827981774018952</v>
      </c>
      <c r="Z393" t="s">
        <v>392</v>
      </c>
      <c r="AA393">
        <v>161</v>
      </c>
      <c r="AB393" t="s">
        <v>4840</v>
      </c>
      <c r="AC393" t="str">
        <f>HYPERLINK("plots/3FT6Y578R04_015_S31P_20251219032831_M5358ACSA301811_RBGEUFRF04/dpll_52084/txpa_53232.png","plot")</f>
        <v>plot</v>
      </c>
    </row>
    <row r="394" spans="1:29" x14ac:dyDescent="0.35">
      <c r="A394" t="s">
        <v>50</v>
      </c>
      <c r="B394">
        <v>52084</v>
      </c>
      <c r="C394" t="s">
        <v>52</v>
      </c>
      <c r="D394">
        <v>53233</v>
      </c>
      <c r="E394" t="s">
        <v>108</v>
      </c>
      <c r="F394">
        <v>11782</v>
      </c>
      <c r="G394">
        <v>0.8227085677864846</v>
      </c>
      <c r="H394">
        <v>0</v>
      </c>
      <c r="I394">
        <v>0</v>
      </c>
      <c r="J394">
        <v>0.72065471500673361</v>
      </c>
      <c r="K394">
        <v>0</v>
      </c>
      <c r="L394">
        <v>0</v>
      </c>
      <c r="M394">
        <v>0.5308785715082619</v>
      </c>
      <c r="N394">
        <v>0</v>
      </c>
      <c r="O394">
        <v>0</v>
      </c>
      <c r="P394">
        <v>0.67684938750928869</v>
      </c>
      <c r="Q394">
        <v>1.2589210591414131</v>
      </c>
      <c r="R394">
        <v>0.79474015689930155</v>
      </c>
      <c r="S394">
        <v>0.16815398411939869</v>
      </c>
      <c r="T394">
        <v>0.13283584534369419</v>
      </c>
      <c r="U394">
        <v>4.2695416864708866</v>
      </c>
      <c r="V394">
        <v>0.1933172563537221</v>
      </c>
      <c r="W394">
        <v>6.1697560988796472</v>
      </c>
      <c r="X394">
        <v>0.29581698142993151</v>
      </c>
      <c r="Z394" t="s">
        <v>392</v>
      </c>
      <c r="AA394">
        <v>161</v>
      </c>
      <c r="AB394" t="s">
        <v>4841</v>
      </c>
      <c r="AC394" t="str">
        <f>HYPERLINK("plots/3FT6Y578R04_015_S31P_20251219032831_M5358ACSA301811_RBGEUFRF04/dpll_52084/txpa_53233.png","plot")</f>
        <v>plot</v>
      </c>
    </row>
    <row r="395" spans="1:29" x14ac:dyDescent="0.35">
      <c r="A395" t="s">
        <v>50</v>
      </c>
      <c r="B395">
        <v>52084</v>
      </c>
      <c r="C395" t="s">
        <v>52</v>
      </c>
      <c r="D395">
        <v>53234</v>
      </c>
      <c r="E395" t="s">
        <v>109</v>
      </c>
      <c r="F395">
        <v>11781</v>
      </c>
      <c r="G395">
        <v>0.81837132420186287</v>
      </c>
      <c r="H395">
        <v>0</v>
      </c>
      <c r="I395">
        <v>0</v>
      </c>
      <c r="J395">
        <v>0.71771765748958605</v>
      </c>
      <c r="K395">
        <v>0</v>
      </c>
      <c r="L395">
        <v>0</v>
      </c>
      <c r="M395">
        <v>0.52839385316028153</v>
      </c>
      <c r="N395">
        <v>0</v>
      </c>
      <c r="O395">
        <v>0</v>
      </c>
      <c r="P395">
        <v>0.6697316242759106</v>
      </c>
      <c r="Q395">
        <v>1.2528477195220351</v>
      </c>
      <c r="R395">
        <v>0.78826843153442194</v>
      </c>
      <c r="S395">
        <v>0.1700669846987054</v>
      </c>
      <c r="T395">
        <v>0.13316125007806501</v>
      </c>
      <c r="U395">
        <v>4.2695633024361257</v>
      </c>
      <c r="V395">
        <v>0.19331122175495491</v>
      </c>
      <c r="W395">
        <v>6.1373810783464897</v>
      </c>
      <c r="X395">
        <v>0.29594087203619318</v>
      </c>
      <c r="Z395" t="s">
        <v>392</v>
      </c>
      <c r="AA395">
        <v>161</v>
      </c>
      <c r="AB395" t="s">
        <v>4842</v>
      </c>
      <c r="AC395" t="str">
        <f>HYPERLINK("plots/3FT6Y578R04_015_S31P_20251219032831_M5358ACSA301811_RBGEUFRF04/dpll_52084/txpa_53234.png","plot")</f>
        <v>plot</v>
      </c>
    </row>
    <row r="396" spans="1:29" x14ac:dyDescent="0.35">
      <c r="A396" t="s">
        <v>50</v>
      </c>
      <c r="B396">
        <v>52084</v>
      </c>
      <c r="C396" t="s">
        <v>52</v>
      </c>
      <c r="D396">
        <v>53235</v>
      </c>
      <c r="E396" t="s">
        <v>110</v>
      </c>
      <c r="F396">
        <v>11782</v>
      </c>
      <c r="G396">
        <v>0.81024170956793473</v>
      </c>
      <c r="H396">
        <v>0</v>
      </c>
      <c r="I396">
        <v>0</v>
      </c>
      <c r="J396">
        <v>0.71183427881879002</v>
      </c>
      <c r="K396">
        <v>0</v>
      </c>
      <c r="L396">
        <v>0</v>
      </c>
      <c r="M396">
        <v>0.52027808218864602</v>
      </c>
      <c r="N396">
        <v>0</v>
      </c>
      <c r="O396">
        <v>0</v>
      </c>
      <c r="P396">
        <v>0.65649162792356952</v>
      </c>
      <c r="Q396">
        <v>1.2954686712885091</v>
      </c>
      <c r="R396">
        <v>1.6445814754742081</v>
      </c>
      <c r="S396">
        <v>0.18114784567745201</v>
      </c>
      <c r="T396">
        <v>0.140025193439622</v>
      </c>
      <c r="U396">
        <v>4.2695416864708866</v>
      </c>
      <c r="V396">
        <v>0.1933172563537221</v>
      </c>
      <c r="W396">
        <v>7.1756389710575474</v>
      </c>
      <c r="X396">
        <v>0.30908856736003237</v>
      </c>
      <c r="Z396" t="s">
        <v>392</v>
      </c>
      <c r="AA396">
        <v>161</v>
      </c>
      <c r="AB396" t="s">
        <v>4843</v>
      </c>
      <c r="AC396" t="str">
        <f>HYPERLINK("plots/3FT6Y578R04_015_S31P_20251219032831_M5358ACSA301811_RBGEUFRF04/dpll_52084/txpa_53235.png","plot")</f>
        <v>plot</v>
      </c>
    </row>
    <row r="397" spans="1:29" x14ac:dyDescent="0.35">
      <c r="A397" t="s">
        <v>50</v>
      </c>
      <c r="B397">
        <v>52084</v>
      </c>
      <c r="C397" t="s">
        <v>52</v>
      </c>
      <c r="D397">
        <v>53236</v>
      </c>
      <c r="E397" t="s">
        <v>111</v>
      </c>
      <c r="F397">
        <v>11782</v>
      </c>
      <c r="G397">
        <v>0.8251878530101221</v>
      </c>
      <c r="H397">
        <v>0</v>
      </c>
      <c r="I397">
        <v>0</v>
      </c>
      <c r="J397">
        <v>0.72557638837729144</v>
      </c>
      <c r="K397">
        <v>0</v>
      </c>
      <c r="L397">
        <v>0</v>
      </c>
      <c r="M397">
        <v>0.53537424786266463</v>
      </c>
      <c r="N397">
        <v>0</v>
      </c>
      <c r="O397">
        <v>0</v>
      </c>
      <c r="P397">
        <v>0.68093499275545488</v>
      </c>
      <c r="Q397">
        <v>1.3283679715157981</v>
      </c>
      <c r="R397">
        <v>1.540591916252479</v>
      </c>
      <c r="S397">
        <v>0.17577509816695999</v>
      </c>
      <c r="T397">
        <v>0.1374632365352767</v>
      </c>
      <c r="U397">
        <v>4.2695416864708866</v>
      </c>
      <c r="V397">
        <v>0.1933172563537221</v>
      </c>
      <c r="W397">
        <v>7.2121143456119512</v>
      </c>
      <c r="X397">
        <v>0.31119756640242691</v>
      </c>
      <c r="Z397" t="s">
        <v>392</v>
      </c>
      <c r="AA397">
        <v>161</v>
      </c>
      <c r="AB397" t="s">
        <v>4844</v>
      </c>
      <c r="AC397" t="str">
        <f>HYPERLINK("plots/3FT6Y578R04_015_S31P_20251219032831_M5358ACSA301811_RBGEUFRF04/dpll_52084/txpa_53236.png","plot")</f>
        <v>plot</v>
      </c>
    </row>
    <row r="398" spans="1:29" x14ac:dyDescent="0.35">
      <c r="A398" t="s">
        <v>50</v>
      </c>
      <c r="B398">
        <v>52084</v>
      </c>
      <c r="C398" t="s">
        <v>52</v>
      </c>
      <c r="D398">
        <v>53237</v>
      </c>
      <c r="E398" t="s">
        <v>112</v>
      </c>
      <c r="F398">
        <v>11782</v>
      </c>
      <c r="G398">
        <v>0.8190654500929333</v>
      </c>
      <c r="H398">
        <v>0</v>
      </c>
      <c r="I398">
        <v>0</v>
      </c>
      <c r="J398">
        <v>0.716417203917047</v>
      </c>
      <c r="K398">
        <v>0</v>
      </c>
      <c r="L398">
        <v>0</v>
      </c>
      <c r="M398">
        <v>0.52605979079134291</v>
      </c>
      <c r="N398">
        <v>0</v>
      </c>
      <c r="O398">
        <v>0</v>
      </c>
      <c r="P398">
        <v>0.67086821153593945</v>
      </c>
      <c r="Q398">
        <v>1.296238768826016</v>
      </c>
      <c r="R398">
        <v>1.693081310101864</v>
      </c>
      <c r="S398">
        <v>0.175510662712658</v>
      </c>
      <c r="T398">
        <v>0.13677940478219039</v>
      </c>
      <c r="U398">
        <v>4.2695416864708866</v>
      </c>
      <c r="V398">
        <v>0.1933172563537221</v>
      </c>
      <c r="W398">
        <v>7.2274267692242393</v>
      </c>
      <c r="X398">
        <v>0.30594053544846778</v>
      </c>
      <c r="Z398" t="s">
        <v>392</v>
      </c>
      <c r="AA398">
        <v>161</v>
      </c>
      <c r="AB398" t="s">
        <v>4845</v>
      </c>
      <c r="AC398" t="str">
        <f>HYPERLINK("plots/3FT6Y578R04_015_S31P_20251219032831_M5358ACSA301811_RBGEUFRF04/dpll_52084/txpa_53237.png","plot")</f>
        <v>plot</v>
      </c>
    </row>
    <row r="399" spans="1:29" x14ac:dyDescent="0.35">
      <c r="A399" t="s">
        <v>50</v>
      </c>
      <c r="B399">
        <v>52084</v>
      </c>
      <c r="C399" t="s">
        <v>52</v>
      </c>
      <c r="D399">
        <v>53238</v>
      </c>
      <c r="E399" t="s">
        <v>113</v>
      </c>
      <c r="F399">
        <v>11781</v>
      </c>
      <c r="G399">
        <v>0.83006888593784811</v>
      </c>
      <c r="H399">
        <v>0</v>
      </c>
      <c r="I399">
        <v>0</v>
      </c>
      <c r="J399">
        <v>0.72721944576734354</v>
      </c>
      <c r="K399">
        <v>0</v>
      </c>
      <c r="L399">
        <v>0</v>
      </c>
      <c r="M399">
        <v>0.53674315578294285</v>
      </c>
      <c r="N399">
        <v>0</v>
      </c>
      <c r="O399">
        <v>0</v>
      </c>
      <c r="P399">
        <v>0.68901435540210032</v>
      </c>
      <c r="Q399">
        <v>1.3269583706530399</v>
      </c>
      <c r="R399">
        <v>1.573368383838232</v>
      </c>
      <c r="S399">
        <v>0.17233771112024271</v>
      </c>
      <c r="T399">
        <v>0.13532059972021049</v>
      </c>
      <c r="U399">
        <v>4.2695489746201511</v>
      </c>
      <c r="V399">
        <v>0.19332384277072681</v>
      </c>
      <c r="W399">
        <v>7.2388821346235463</v>
      </c>
      <c r="X399">
        <v>0.30904988219331481</v>
      </c>
      <c r="Z399" t="s">
        <v>392</v>
      </c>
      <c r="AA399">
        <v>161</v>
      </c>
      <c r="AB399" t="s">
        <v>4846</v>
      </c>
      <c r="AC399" t="str">
        <f>HYPERLINK("plots/3FT6Y578R04_015_S31P_20251219032831_M5358ACSA301811_RBGEUFRF04/dpll_52084/txpa_53238.png","plot")</f>
        <v>plot</v>
      </c>
    </row>
    <row r="400" spans="1:29" x14ac:dyDescent="0.35">
      <c r="A400" t="s">
        <v>50</v>
      </c>
      <c r="B400">
        <v>52084</v>
      </c>
      <c r="C400" t="s">
        <v>52</v>
      </c>
      <c r="D400">
        <v>53239</v>
      </c>
      <c r="E400" t="s">
        <v>114</v>
      </c>
      <c r="F400">
        <v>11781</v>
      </c>
      <c r="G400">
        <v>0.83238719457662791</v>
      </c>
      <c r="H400">
        <v>0</v>
      </c>
      <c r="I400">
        <v>0</v>
      </c>
      <c r="J400">
        <v>0.72594934625461616</v>
      </c>
      <c r="K400">
        <v>0</v>
      </c>
      <c r="L400">
        <v>0</v>
      </c>
      <c r="M400">
        <v>0.53462399636866864</v>
      </c>
      <c r="N400">
        <v>0</v>
      </c>
      <c r="O400">
        <v>0</v>
      </c>
      <c r="P400">
        <v>0.69286844169514905</v>
      </c>
      <c r="Q400">
        <v>1.3281931874123889</v>
      </c>
      <c r="R400">
        <v>1.548285141225556</v>
      </c>
      <c r="S400">
        <v>0.17093394911136961</v>
      </c>
      <c r="T400">
        <v>0.13436420330267279</v>
      </c>
      <c r="U400">
        <v>4.2695174021729896</v>
      </c>
      <c r="V400">
        <v>0.19330748901132719</v>
      </c>
      <c r="W400">
        <v>7.2190290683303626</v>
      </c>
      <c r="X400">
        <v>0.30844983158496209</v>
      </c>
      <c r="Z400" t="s">
        <v>392</v>
      </c>
      <c r="AA400">
        <v>161</v>
      </c>
      <c r="AB400" t="s">
        <v>4847</v>
      </c>
      <c r="AC400" t="str">
        <f>HYPERLINK("plots/3FT6Y578R04_015_S31P_20251219032831_M5358ACSA301811_RBGEUFRF04/dpll_52084/txpa_53239.png","plot")</f>
        <v>plot</v>
      </c>
    </row>
    <row r="401" spans="1:29" x14ac:dyDescent="0.35">
      <c r="A401" t="s">
        <v>50</v>
      </c>
      <c r="B401">
        <v>52084</v>
      </c>
      <c r="C401" t="s">
        <v>52</v>
      </c>
      <c r="D401">
        <v>53240</v>
      </c>
      <c r="E401" t="s">
        <v>115</v>
      </c>
      <c r="F401">
        <v>11781</v>
      </c>
      <c r="G401">
        <v>0.83504565394327146</v>
      </c>
      <c r="H401">
        <v>0</v>
      </c>
      <c r="I401">
        <v>0</v>
      </c>
      <c r="J401">
        <v>0.73760852673841593</v>
      </c>
      <c r="K401">
        <v>0</v>
      </c>
      <c r="L401">
        <v>0</v>
      </c>
      <c r="M401">
        <v>0.54590330742267812</v>
      </c>
      <c r="N401">
        <v>0</v>
      </c>
      <c r="O401">
        <v>0</v>
      </c>
      <c r="P401">
        <v>0.69730124416954586</v>
      </c>
      <c r="Q401">
        <v>1.341292941295821</v>
      </c>
      <c r="R401">
        <v>1.4961079227730021</v>
      </c>
      <c r="S401">
        <v>0.17081767030134609</v>
      </c>
      <c r="T401">
        <v>0.13472604405911839</v>
      </c>
      <c r="U401">
        <v>4.2695129435531793</v>
      </c>
      <c r="V401">
        <v>0.1933002831720991</v>
      </c>
      <c r="W401">
        <v>7.2227754967320248</v>
      </c>
      <c r="X401">
        <v>0.31048877884086751</v>
      </c>
      <c r="Z401" t="s">
        <v>392</v>
      </c>
      <c r="AA401">
        <v>161</v>
      </c>
      <c r="AB401" t="s">
        <v>4848</v>
      </c>
      <c r="AC401" t="str">
        <f>HYPERLINK("plots/3FT6Y578R04_015_S31P_20251219032831_M5358ACSA301811_RBGEUFRF04/dpll_52084/txpa_53240.png","plot")</f>
        <v>plot</v>
      </c>
    </row>
    <row r="402" spans="1:29" x14ac:dyDescent="0.35">
      <c r="A402" t="s">
        <v>50</v>
      </c>
      <c r="B402">
        <v>52084</v>
      </c>
      <c r="C402" t="s">
        <v>52</v>
      </c>
      <c r="D402">
        <v>53241</v>
      </c>
      <c r="E402" t="s">
        <v>116</v>
      </c>
      <c r="F402">
        <v>11782</v>
      </c>
      <c r="G402">
        <v>0.83144520397151778</v>
      </c>
      <c r="H402">
        <v>0</v>
      </c>
      <c r="I402">
        <v>0</v>
      </c>
      <c r="J402">
        <v>0.72742946561795141</v>
      </c>
      <c r="K402">
        <v>0</v>
      </c>
      <c r="L402">
        <v>0</v>
      </c>
      <c r="M402">
        <v>0.53696633527192128</v>
      </c>
      <c r="N402">
        <v>0</v>
      </c>
      <c r="O402">
        <v>0</v>
      </c>
      <c r="P402">
        <v>0.6913011272072388</v>
      </c>
      <c r="Q402">
        <v>1.325063271515998</v>
      </c>
      <c r="R402">
        <v>1.572328874159763</v>
      </c>
      <c r="S402">
        <v>0.1711680476711627</v>
      </c>
      <c r="T402">
        <v>0.13498809924560529</v>
      </c>
      <c r="U402">
        <v>4.2695416864708866</v>
      </c>
      <c r="V402">
        <v>0.1933172563537221</v>
      </c>
      <c r="W402">
        <v>7.2297417491088094</v>
      </c>
      <c r="X402">
        <v>0.30808716548124432</v>
      </c>
      <c r="Z402" t="s">
        <v>392</v>
      </c>
      <c r="AA402">
        <v>161</v>
      </c>
      <c r="AB402" t="s">
        <v>4849</v>
      </c>
      <c r="AC402" t="str">
        <f>HYPERLINK("plots/3FT6Y578R04_015_S31P_20251219032831_M5358ACSA301811_RBGEUFRF04/dpll_52084/txpa_53241.png","plot")</f>
        <v>plot</v>
      </c>
    </row>
    <row r="403" spans="1:29" x14ac:dyDescent="0.35">
      <c r="A403" t="s">
        <v>50</v>
      </c>
      <c r="B403">
        <v>52084</v>
      </c>
      <c r="C403" t="s">
        <v>52</v>
      </c>
      <c r="D403">
        <v>53242</v>
      </c>
      <c r="E403" t="s">
        <v>117</v>
      </c>
      <c r="F403">
        <v>11781</v>
      </c>
      <c r="G403">
        <v>0.8271834877881945</v>
      </c>
      <c r="H403">
        <v>0</v>
      </c>
      <c r="I403">
        <v>0</v>
      </c>
      <c r="J403">
        <v>0.72439788609172628</v>
      </c>
      <c r="K403">
        <v>0</v>
      </c>
      <c r="L403">
        <v>0</v>
      </c>
      <c r="M403">
        <v>0.53446446378644852</v>
      </c>
      <c r="N403">
        <v>0</v>
      </c>
      <c r="O403">
        <v>0</v>
      </c>
      <c r="P403">
        <v>0.68423252246944211</v>
      </c>
      <c r="Q403">
        <v>1.318142795586686</v>
      </c>
      <c r="R403">
        <v>1.5702831754208031</v>
      </c>
      <c r="S403">
        <v>0.17309436729840891</v>
      </c>
      <c r="T403">
        <v>0.13525859270170409</v>
      </c>
      <c r="U403">
        <v>4.2695633024361257</v>
      </c>
      <c r="V403">
        <v>0.19331122175495491</v>
      </c>
      <c r="W403">
        <v>7.198177282828282</v>
      </c>
      <c r="X403">
        <v>0.3080474864696528</v>
      </c>
      <c r="Z403" t="s">
        <v>392</v>
      </c>
      <c r="AA403">
        <v>161</v>
      </c>
      <c r="AB403" t="s">
        <v>4850</v>
      </c>
      <c r="AC403" t="str">
        <f>HYPERLINK("plots/3FT6Y578R04_015_S31P_20251219032831_M5358ACSA301811_RBGEUFRF04/dpll_52084/txpa_53242.png","plot")</f>
        <v>plot</v>
      </c>
    </row>
    <row r="404" spans="1:29" x14ac:dyDescent="0.35">
      <c r="A404" t="s">
        <v>50</v>
      </c>
      <c r="B404">
        <v>52084</v>
      </c>
      <c r="C404" t="s">
        <v>52</v>
      </c>
      <c r="D404">
        <v>53243</v>
      </c>
      <c r="E404" t="s">
        <v>118</v>
      </c>
      <c r="F404">
        <v>11782</v>
      </c>
      <c r="G404">
        <v>0.8182642543825186</v>
      </c>
      <c r="H404">
        <v>0</v>
      </c>
      <c r="I404">
        <v>0</v>
      </c>
      <c r="J404">
        <v>0.71822038307614477</v>
      </c>
      <c r="K404">
        <v>0</v>
      </c>
      <c r="L404">
        <v>0</v>
      </c>
      <c r="M404">
        <v>0.52584342106166526</v>
      </c>
      <c r="N404">
        <v>0</v>
      </c>
      <c r="O404">
        <v>0</v>
      </c>
      <c r="P404">
        <v>0.66955639000017908</v>
      </c>
      <c r="Q404">
        <v>1.365216861966785</v>
      </c>
      <c r="R404">
        <v>2.376798931185236</v>
      </c>
      <c r="S404">
        <v>0.185399660579006</v>
      </c>
      <c r="T404">
        <v>0.14303950651434499</v>
      </c>
      <c r="U404">
        <v>4.2695416864708866</v>
      </c>
      <c r="V404">
        <v>0.1933172563537221</v>
      </c>
      <c r="W404">
        <v>8.2056492344253957</v>
      </c>
      <c r="X404">
        <v>0.32253636483536391</v>
      </c>
      <c r="Z404" t="s">
        <v>392</v>
      </c>
      <c r="AA404">
        <v>161</v>
      </c>
      <c r="AB404" t="s">
        <v>4851</v>
      </c>
      <c r="AC404" t="str">
        <f>HYPERLINK("plots/3FT6Y578R04_015_S31P_20251219032831_M5358ACSA301811_RBGEUFRF04/dpll_52084/txpa_53243.png","plot")</f>
        <v>plot</v>
      </c>
    </row>
    <row r="405" spans="1:29" x14ac:dyDescent="0.35">
      <c r="A405" t="s">
        <v>50</v>
      </c>
      <c r="B405">
        <v>52084</v>
      </c>
      <c r="C405" t="s">
        <v>52</v>
      </c>
      <c r="D405">
        <v>53244</v>
      </c>
      <c r="E405" t="s">
        <v>119</v>
      </c>
      <c r="F405">
        <v>11782</v>
      </c>
      <c r="G405">
        <v>0.83226183428460832</v>
      </c>
      <c r="H405">
        <v>0</v>
      </c>
      <c r="I405">
        <v>0</v>
      </c>
      <c r="J405">
        <v>0.73123638648273404</v>
      </c>
      <c r="K405">
        <v>0</v>
      </c>
      <c r="L405">
        <v>0</v>
      </c>
      <c r="M405">
        <v>0.54049172953307345</v>
      </c>
      <c r="N405">
        <v>0</v>
      </c>
      <c r="O405">
        <v>0</v>
      </c>
      <c r="P405">
        <v>0.69265976080678082</v>
      </c>
      <c r="Q405">
        <v>1.3976571303032439</v>
      </c>
      <c r="R405">
        <v>2.2745205015643308</v>
      </c>
      <c r="S405">
        <v>0.17997101634168411</v>
      </c>
      <c r="T405">
        <v>0.1404931659039432</v>
      </c>
      <c r="U405">
        <v>4.2695416864708866</v>
      </c>
      <c r="V405">
        <v>0.1933172563537221</v>
      </c>
      <c r="W405">
        <v>8.2418758827873031</v>
      </c>
      <c r="X405">
        <v>0.32464692074422608</v>
      </c>
      <c r="Z405" t="s">
        <v>392</v>
      </c>
      <c r="AA405">
        <v>161</v>
      </c>
      <c r="AB405" t="s">
        <v>4852</v>
      </c>
      <c r="AC405" t="str">
        <f>HYPERLINK("plots/3FT6Y578R04_015_S31P_20251219032831_M5358ACSA301811_RBGEUFRF04/dpll_52084/txpa_53244.png","plot")</f>
        <v>plot</v>
      </c>
    </row>
    <row r="406" spans="1:29" x14ac:dyDescent="0.35">
      <c r="A406" t="s">
        <v>50</v>
      </c>
      <c r="B406">
        <v>52084</v>
      </c>
      <c r="C406" t="s">
        <v>52</v>
      </c>
      <c r="D406">
        <v>53245</v>
      </c>
      <c r="E406" t="s">
        <v>120</v>
      </c>
      <c r="F406">
        <v>11782</v>
      </c>
      <c r="G406">
        <v>0.82696427062660538</v>
      </c>
      <c r="H406">
        <v>0</v>
      </c>
      <c r="I406">
        <v>0</v>
      </c>
      <c r="J406">
        <v>0.72266022704628952</v>
      </c>
      <c r="K406">
        <v>0</v>
      </c>
      <c r="L406">
        <v>0</v>
      </c>
      <c r="M406">
        <v>0.53158124188587619</v>
      </c>
      <c r="N406">
        <v>0</v>
      </c>
      <c r="O406">
        <v>0</v>
      </c>
      <c r="P406">
        <v>0.68386990489299337</v>
      </c>
      <c r="Q406">
        <v>1.3663656927425749</v>
      </c>
      <c r="R406">
        <v>2.423711115294751</v>
      </c>
      <c r="S406">
        <v>0.1795830385545629</v>
      </c>
      <c r="T406">
        <v>0.13970042831853799</v>
      </c>
      <c r="U406">
        <v>4.2695416864708866</v>
      </c>
      <c r="V406">
        <v>0.1933172563537221</v>
      </c>
      <c r="W406">
        <v>8.2574663994228494</v>
      </c>
      <c r="X406">
        <v>0.31941170408330022</v>
      </c>
      <c r="Z406" t="s">
        <v>392</v>
      </c>
      <c r="AA406">
        <v>161</v>
      </c>
      <c r="AB406" t="s">
        <v>4853</v>
      </c>
      <c r="AC406" t="str">
        <f>HYPERLINK("plots/3FT6Y578R04_015_S31P_20251219032831_M5358ACSA301811_RBGEUFRF04/dpll_52084/txpa_53245.png","plot")</f>
        <v>plot</v>
      </c>
    </row>
    <row r="407" spans="1:29" x14ac:dyDescent="0.35">
      <c r="A407" t="s">
        <v>50</v>
      </c>
      <c r="B407">
        <v>52084</v>
      </c>
      <c r="C407" t="s">
        <v>52</v>
      </c>
      <c r="D407">
        <v>53246</v>
      </c>
      <c r="E407" t="s">
        <v>121</v>
      </c>
      <c r="F407">
        <v>11781</v>
      </c>
      <c r="G407">
        <v>0.83726920960134898</v>
      </c>
      <c r="H407">
        <v>0</v>
      </c>
      <c r="I407">
        <v>0</v>
      </c>
      <c r="J407">
        <v>0.73305191122738167</v>
      </c>
      <c r="K407">
        <v>0</v>
      </c>
      <c r="L407">
        <v>0</v>
      </c>
      <c r="M407">
        <v>0.54198722715832881</v>
      </c>
      <c r="N407">
        <v>0</v>
      </c>
      <c r="O407">
        <v>0</v>
      </c>
      <c r="P407">
        <v>0.70101972934646761</v>
      </c>
      <c r="Q407">
        <v>1.397025562247693</v>
      </c>
      <c r="R407">
        <v>2.3037248549094862</v>
      </c>
      <c r="S407">
        <v>0.1763711245909024</v>
      </c>
      <c r="T407">
        <v>0.13832468295648581</v>
      </c>
      <c r="U407">
        <v>4.2695489746201511</v>
      </c>
      <c r="V407">
        <v>0.19332384277072681</v>
      </c>
      <c r="W407">
        <v>8.2683939117222653</v>
      </c>
      <c r="X407">
        <v>0.32257050306585661</v>
      </c>
      <c r="Z407" t="s">
        <v>392</v>
      </c>
      <c r="AA407">
        <v>161</v>
      </c>
      <c r="AB407" t="s">
        <v>4854</v>
      </c>
      <c r="AC407" t="str">
        <f>HYPERLINK("plots/3FT6Y578R04_015_S31P_20251219032831_M5358ACSA301811_RBGEUFRF04/dpll_52084/txpa_53246.png","plot")</f>
        <v>plot</v>
      </c>
    </row>
    <row r="408" spans="1:29" x14ac:dyDescent="0.35">
      <c r="A408" t="s">
        <v>50</v>
      </c>
      <c r="B408">
        <v>52084</v>
      </c>
      <c r="C408" t="s">
        <v>52</v>
      </c>
      <c r="D408">
        <v>53247</v>
      </c>
      <c r="E408" t="s">
        <v>122</v>
      </c>
      <c r="F408">
        <v>11781</v>
      </c>
      <c r="G408">
        <v>0.83961417367688718</v>
      </c>
      <c r="H408">
        <v>0</v>
      </c>
      <c r="I408">
        <v>0</v>
      </c>
      <c r="J408">
        <v>0.73211778296874652</v>
      </c>
      <c r="K408">
        <v>0</v>
      </c>
      <c r="L408">
        <v>0</v>
      </c>
      <c r="M408">
        <v>0.54020046378177511</v>
      </c>
      <c r="N408">
        <v>0</v>
      </c>
      <c r="O408">
        <v>0</v>
      </c>
      <c r="P408">
        <v>0.70495196063912202</v>
      </c>
      <c r="Q408">
        <v>1.398817921870593</v>
      </c>
      <c r="R408">
        <v>2.275606987517373</v>
      </c>
      <c r="S408">
        <v>0.17492748003600281</v>
      </c>
      <c r="T408">
        <v>0.13737890015424581</v>
      </c>
      <c r="U408">
        <v>4.2695174021729896</v>
      </c>
      <c r="V408">
        <v>0.19330748901132719</v>
      </c>
      <c r="W408">
        <v>8.2478844474153288</v>
      </c>
      <c r="X408">
        <v>0.32205504449345701</v>
      </c>
      <c r="Z408" t="s">
        <v>392</v>
      </c>
      <c r="AA408">
        <v>161</v>
      </c>
      <c r="AB408" t="s">
        <v>4855</v>
      </c>
      <c r="AC408" t="str">
        <f>HYPERLINK("plots/3FT6Y578R04_015_S31P_20251219032831_M5358ACSA301811_RBGEUFRF04/dpll_52084/txpa_53247.png","plot")</f>
        <v>plot</v>
      </c>
    </row>
    <row r="409" spans="1:29" x14ac:dyDescent="0.35">
      <c r="A409" t="s">
        <v>50</v>
      </c>
      <c r="B409">
        <v>52084</v>
      </c>
      <c r="C409" t="s">
        <v>52</v>
      </c>
      <c r="D409">
        <v>53248</v>
      </c>
      <c r="E409" t="s">
        <v>123</v>
      </c>
      <c r="F409">
        <v>11781</v>
      </c>
      <c r="G409">
        <v>0.84184386152510471</v>
      </c>
      <c r="H409">
        <v>0</v>
      </c>
      <c r="I409">
        <v>0</v>
      </c>
      <c r="J409">
        <v>0.74268080831020078</v>
      </c>
      <c r="K409">
        <v>0</v>
      </c>
      <c r="L409">
        <v>0</v>
      </c>
      <c r="M409">
        <v>0.55059607057009585</v>
      </c>
      <c r="N409">
        <v>0</v>
      </c>
      <c r="O409">
        <v>0</v>
      </c>
      <c r="P409">
        <v>0.70870108718749969</v>
      </c>
      <c r="Q409">
        <v>1.410761835367023</v>
      </c>
      <c r="R409">
        <v>2.2288039942484459</v>
      </c>
      <c r="S409">
        <v>0.17482584750679639</v>
      </c>
      <c r="T409">
        <v>0.1377028153775621</v>
      </c>
      <c r="U409">
        <v>4.2695129435531793</v>
      </c>
      <c r="V409">
        <v>0.1933002831720991</v>
      </c>
      <c r="W409">
        <v>8.2520699106187916</v>
      </c>
      <c r="X409">
        <v>0.32393258979260697</v>
      </c>
      <c r="Z409" t="s">
        <v>392</v>
      </c>
      <c r="AA409">
        <v>161</v>
      </c>
      <c r="AB409" t="s">
        <v>4856</v>
      </c>
      <c r="AC409" t="str">
        <f>HYPERLINK("plots/3FT6Y578R04_015_S31P_20251219032831_M5358ACSA301811_RBGEUFRF04/dpll_52084/txpa_53248.png","plot")</f>
        <v>plot</v>
      </c>
    </row>
    <row r="410" spans="1:29" x14ac:dyDescent="0.35">
      <c r="A410" t="s">
        <v>50</v>
      </c>
      <c r="B410">
        <v>52084</v>
      </c>
      <c r="C410" t="s">
        <v>52</v>
      </c>
      <c r="D410">
        <v>53249</v>
      </c>
      <c r="E410" t="s">
        <v>124</v>
      </c>
      <c r="F410">
        <v>11782</v>
      </c>
      <c r="G410">
        <v>0.83877699869100031</v>
      </c>
      <c r="H410">
        <v>0</v>
      </c>
      <c r="I410">
        <v>0</v>
      </c>
      <c r="J410">
        <v>0.73303948411703113</v>
      </c>
      <c r="K410">
        <v>0</v>
      </c>
      <c r="L410">
        <v>0</v>
      </c>
      <c r="M410">
        <v>0.54208233697284203</v>
      </c>
      <c r="N410">
        <v>0</v>
      </c>
      <c r="O410">
        <v>0</v>
      </c>
      <c r="P410">
        <v>0.70354685353308233</v>
      </c>
      <c r="Q410">
        <v>1.395550247972446</v>
      </c>
      <c r="R410">
        <v>2.3010262286306231</v>
      </c>
      <c r="S410">
        <v>0.17511735517659671</v>
      </c>
      <c r="T410">
        <v>0.13790729773788571</v>
      </c>
      <c r="U410">
        <v>4.2695416864708866</v>
      </c>
      <c r="V410">
        <v>0.1933172563537221</v>
      </c>
      <c r="W410">
        <v>8.2593861879137673</v>
      </c>
      <c r="X410">
        <v>0.32163965566868918</v>
      </c>
      <c r="Z410" t="s">
        <v>392</v>
      </c>
      <c r="AA410">
        <v>161</v>
      </c>
      <c r="AB410" t="s">
        <v>4857</v>
      </c>
      <c r="AC410" t="str">
        <f>HYPERLINK("plots/3FT6Y578R04_015_S31P_20251219032831_M5358ACSA301811_RBGEUFRF04/dpll_52084/txpa_53249.png","plot")</f>
        <v>plot</v>
      </c>
    </row>
    <row r="411" spans="1:29" x14ac:dyDescent="0.35">
      <c r="A411" t="s">
        <v>50</v>
      </c>
      <c r="B411">
        <v>52084</v>
      </c>
      <c r="C411" t="s">
        <v>52</v>
      </c>
      <c r="D411">
        <v>53250</v>
      </c>
      <c r="E411" t="s">
        <v>125</v>
      </c>
      <c r="F411">
        <v>11781</v>
      </c>
      <c r="G411">
        <v>0.83453266595483322</v>
      </c>
      <c r="H411">
        <v>0</v>
      </c>
      <c r="I411">
        <v>0</v>
      </c>
      <c r="J411">
        <v>0.72993505294232863</v>
      </c>
      <c r="K411">
        <v>0</v>
      </c>
      <c r="L411">
        <v>0</v>
      </c>
      <c r="M411">
        <v>0.53945019072478384</v>
      </c>
      <c r="N411">
        <v>0</v>
      </c>
      <c r="O411">
        <v>0</v>
      </c>
      <c r="P411">
        <v>0.69644477054568121</v>
      </c>
      <c r="Q411">
        <v>1.386821100754674</v>
      </c>
      <c r="R411">
        <v>2.306702701803601</v>
      </c>
      <c r="S411">
        <v>0.17698423885130679</v>
      </c>
      <c r="T411">
        <v>0.13821352809937551</v>
      </c>
      <c r="U411">
        <v>4.2695633024361257</v>
      </c>
      <c r="V411">
        <v>0.19331122175495491</v>
      </c>
      <c r="W411">
        <v>8.2278231806298283</v>
      </c>
      <c r="X411">
        <v>0.32124336443523549</v>
      </c>
      <c r="Z411" t="s">
        <v>392</v>
      </c>
      <c r="AA411">
        <v>161</v>
      </c>
      <c r="AB411" t="s">
        <v>4858</v>
      </c>
      <c r="AC411" t="str">
        <f>HYPERLINK("plots/3FT6Y578R04_015_S31P_20251219032831_M5358ACSA301811_RBGEUFRF04/dpll_52084/txpa_53250.png","plot")</f>
        <v>plot</v>
      </c>
    </row>
    <row r="412" spans="1:29" x14ac:dyDescent="0.35">
      <c r="A412" t="s">
        <v>50</v>
      </c>
      <c r="B412">
        <v>52084</v>
      </c>
      <c r="C412" t="s">
        <v>52</v>
      </c>
      <c r="D412">
        <v>53251</v>
      </c>
      <c r="E412" t="s">
        <v>126</v>
      </c>
      <c r="F412">
        <v>11782</v>
      </c>
      <c r="G412">
        <v>0.8263035506753823</v>
      </c>
      <c r="H412">
        <v>0</v>
      </c>
      <c r="I412">
        <v>0</v>
      </c>
      <c r="J412">
        <v>0.72483392133823676</v>
      </c>
      <c r="K412">
        <v>0</v>
      </c>
      <c r="L412">
        <v>0</v>
      </c>
      <c r="M412">
        <v>0.53179222284607797</v>
      </c>
      <c r="N412">
        <v>0</v>
      </c>
      <c r="O412">
        <v>0</v>
      </c>
      <c r="P412">
        <v>0.68277755785874406</v>
      </c>
      <c r="Q412">
        <v>1.4385864376469171</v>
      </c>
      <c r="R412">
        <v>3.091833706017256</v>
      </c>
      <c r="S412">
        <v>0.18955292324528281</v>
      </c>
      <c r="T412">
        <v>0.1459370203814927</v>
      </c>
      <c r="U412">
        <v>4.2695416864708866</v>
      </c>
      <c r="V412">
        <v>0.1933172563537221</v>
      </c>
      <c r="W412">
        <v>9.2339384711424213</v>
      </c>
      <c r="X412">
        <v>0.33656346136509752</v>
      </c>
      <c r="Z412" t="s">
        <v>392</v>
      </c>
      <c r="AA412">
        <v>161</v>
      </c>
      <c r="AB412" t="s">
        <v>4859</v>
      </c>
      <c r="AC412" t="str">
        <f>HYPERLINK("plots/3FT6Y578R04_015_S31P_20251219032831_M5358ACSA301811_RBGEUFRF04/dpll_52084/txpa_53251.png","plot")</f>
        <v>plot</v>
      </c>
    </row>
    <row r="413" spans="1:29" x14ac:dyDescent="0.35">
      <c r="A413" t="s">
        <v>50</v>
      </c>
      <c r="B413">
        <v>52084</v>
      </c>
      <c r="C413" t="s">
        <v>52</v>
      </c>
      <c r="D413">
        <v>53252</v>
      </c>
      <c r="E413" t="s">
        <v>127</v>
      </c>
      <c r="F413">
        <v>11782</v>
      </c>
      <c r="G413">
        <v>0.83951440805254451</v>
      </c>
      <c r="H413">
        <v>0</v>
      </c>
      <c r="I413">
        <v>0</v>
      </c>
      <c r="J413">
        <v>0.73729586762316002</v>
      </c>
      <c r="K413">
        <v>0</v>
      </c>
      <c r="L413">
        <v>0</v>
      </c>
      <c r="M413">
        <v>0.54609079229238477</v>
      </c>
      <c r="N413">
        <v>0</v>
      </c>
      <c r="O413">
        <v>0</v>
      </c>
      <c r="P413">
        <v>0.70478444132781426</v>
      </c>
      <c r="Q413">
        <v>1.471471878827938</v>
      </c>
      <c r="R413">
        <v>2.9866560858434141</v>
      </c>
      <c r="S413">
        <v>0.18409653965609721</v>
      </c>
      <c r="T413">
        <v>0.14348310676697529</v>
      </c>
      <c r="U413">
        <v>4.2695416864708866</v>
      </c>
      <c r="V413">
        <v>0.1933172563537221</v>
      </c>
      <c r="W413">
        <v>9.2691666129689345</v>
      </c>
      <c r="X413">
        <v>0.33883981464540808</v>
      </c>
      <c r="Z413" t="s">
        <v>392</v>
      </c>
      <c r="AA413">
        <v>161</v>
      </c>
      <c r="AB413" t="s">
        <v>4860</v>
      </c>
      <c r="AC413" t="str">
        <f>HYPERLINK("plots/3FT6Y578R04_015_S31P_20251219032831_M5358ACSA301811_RBGEUFRF04/dpll_52084/txpa_53252.png","plot")</f>
        <v>plot</v>
      </c>
    </row>
    <row r="414" spans="1:29" x14ac:dyDescent="0.35">
      <c r="A414" t="s">
        <v>50</v>
      </c>
      <c r="B414">
        <v>52084</v>
      </c>
      <c r="C414" t="s">
        <v>52</v>
      </c>
      <c r="D414">
        <v>53253</v>
      </c>
      <c r="E414" t="s">
        <v>128</v>
      </c>
      <c r="F414">
        <v>11782</v>
      </c>
      <c r="G414">
        <v>0.83486560763045958</v>
      </c>
      <c r="H414">
        <v>0</v>
      </c>
      <c r="I414">
        <v>0</v>
      </c>
      <c r="J414">
        <v>0.72929534750112512</v>
      </c>
      <c r="K414">
        <v>0</v>
      </c>
      <c r="L414">
        <v>0</v>
      </c>
      <c r="M414">
        <v>0.53757062907847208</v>
      </c>
      <c r="N414">
        <v>0</v>
      </c>
      <c r="O414">
        <v>0</v>
      </c>
      <c r="P414">
        <v>0.69700058280417654</v>
      </c>
      <c r="Q414">
        <v>1.440137704704902</v>
      </c>
      <c r="R414">
        <v>3.1361346259809202</v>
      </c>
      <c r="S414">
        <v>0.18355259910772931</v>
      </c>
      <c r="T414">
        <v>0.14249596099558279</v>
      </c>
      <c r="U414">
        <v>4.2695416864708866</v>
      </c>
      <c r="V414">
        <v>0.1933172563537221</v>
      </c>
      <c r="W414">
        <v>9.2848625904769992</v>
      </c>
      <c r="X414">
        <v>0.33347100096178539</v>
      </c>
      <c r="Z414" t="s">
        <v>392</v>
      </c>
      <c r="AA414">
        <v>161</v>
      </c>
      <c r="AB414" t="s">
        <v>4861</v>
      </c>
      <c r="AC414" t="str">
        <f>HYPERLINK("plots/3FT6Y578R04_015_S31P_20251219032831_M5358ACSA301811_RBGEUFRF04/dpll_52084/txpa_53253.png","plot")</f>
        <v>plot</v>
      </c>
    </row>
    <row r="415" spans="1:29" x14ac:dyDescent="0.35">
      <c r="A415" t="s">
        <v>50</v>
      </c>
      <c r="B415">
        <v>52084</v>
      </c>
      <c r="C415" t="s">
        <v>52</v>
      </c>
      <c r="D415">
        <v>53254</v>
      </c>
      <c r="E415" t="s">
        <v>129</v>
      </c>
      <c r="F415">
        <v>11781</v>
      </c>
      <c r="G415">
        <v>0.84435190120082915</v>
      </c>
      <c r="H415">
        <v>0</v>
      </c>
      <c r="I415">
        <v>0</v>
      </c>
      <c r="J415">
        <v>0.73898244672260849</v>
      </c>
      <c r="K415">
        <v>0</v>
      </c>
      <c r="L415">
        <v>0</v>
      </c>
      <c r="M415">
        <v>0.54743613151987214</v>
      </c>
      <c r="N415">
        <v>0</v>
      </c>
      <c r="O415">
        <v>0</v>
      </c>
      <c r="P415">
        <v>0.7129301330614547</v>
      </c>
      <c r="Q415">
        <v>1.4707770099787369</v>
      </c>
      <c r="R415">
        <v>3.0164261261180489</v>
      </c>
      <c r="S415">
        <v>0.1804197752643496</v>
      </c>
      <c r="T415">
        <v>0.14130184995367201</v>
      </c>
      <c r="U415">
        <v>4.2695489746201511</v>
      </c>
      <c r="V415">
        <v>0.19332384277072681</v>
      </c>
      <c r="W415">
        <v>9.2959806009676598</v>
      </c>
      <c r="X415">
        <v>0.33675090092596333</v>
      </c>
      <c r="Z415" t="s">
        <v>392</v>
      </c>
      <c r="AA415">
        <v>161</v>
      </c>
      <c r="AB415" t="s">
        <v>4862</v>
      </c>
      <c r="AC415" t="str">
        <f>HYPERLINK("plots/3FT6Y578R04_015_S31P_20251219032831_M5358ACSA301811_RBGEUFRF04/dpll_52084/txpa_53254.png","plot")</f>
        <v>plot</v>
      </c>
    </row>
    <row r="416" spans="1:29" x14ac:dyDescent="0.35">
      <c r="A416" t="s">
        <v>50</v>
      </c>
      <c r="B416">
        <v>52084</v>
      </c>
      <c r="C416" t="s">
        <v>52</v>
      </c>
      <c r="D416">
        <v>53255</v>
      </c>
      <c r="E416" t="s">
        <v>130</v>
      </c>
      <c r="F416">
        <v>11781</v>
      </c>
      <c r="G416">
        <v>0.84652455322373377</v>
      </c>
      <c r="H416">
        <v>0</v>
      </c>
      <c r="I416">
        <v>0</v>
      </c>
      <c r="J416">
        <v>0.73829492811882302</v>
      </c>
      <c r="K416">
        <v>0</v>
      </c>
      <c r="L416">
        <v>0</v>
      </c>
      <c r="M416">
        <v>0.54587955922784115</v>
      </c>
      <c r="N416">
        <v>0</v>
      </c>
      <c r="O416">
        <v>0</v>
      </c>
      <c r="P416">
        <v>0.71660381921064209</v>
      </c>
      <c r="Q416">
        <v>1.472934019296932</v>
      </c>
      <c r="R416">
        <v>2.985871892620577</v>
      </c>
      <c r="S416">
        <v>0.17904861955628931</v>
      </c>
      <c r="T416">
        <v>0.14048572662698511</v>
      </c>
      <c r="U416">
        <v>4.2695174021729896</v>
      </c>
      <c r="V416">
        <v>0.19330748901132719</v>
      </c>
      <c r="W416">
        <v>9.2745893202614376</v>
      </c>
      <c r="X416">
        <v>0.33635075989863089</v>
      </c>
      <c r="Z416" t="s">
        <v>392</v>
      </c>
      <c r="AA416">
        <v>161</v>
      </c>
      <c r="AB416" t="s">
        <v>4863</v>
      </c>
      <c r="AC416" t="str">
        <f>HYPERLINK("plots/3FT6Y578R04_015_S31P_20251219032831_M5358ACSA301811_RBGEUFRF04/dpll_52084/txpa_53255.png","plot")</f>
        <v>plot</v>
      </c>
    </row>
    <row r="417" spans="1:29" x14ac:dyDescent="0.35">
      <c r="A417" t="s">
        <v>50</v>
      </c>
      <c r="B417">
        <v>52084</v>
      </c>
      <c r="C417" t="s">
        <v>52</v>
      </c>
      <c r="D417">
        <v>53256</v>
      </c>
      <c r="E417" t="s">
        <v>131</v>
      </c>
      <c r="F417">
        <v>11781</v>
      </c>
      <c r="G417">
        <v>0.84873720130445451</v>
      </c>
      <c r="H417">
        <v>0</v>
      </c>
      <c r="I417">
        <v>0</v>
      </c>
      <c r="J417">
        <v>0.74808780251520435</v>
      </c>
      <c r="K417">
        <v>0</v>
      </c>
      <c r="L417">
        <v>0</v>
      </c>
      <c r="M417">
        <v>0.55563119151745055</v>
      </c>
      <c r="N417">
        <v>0</v>
      </c>
      <c r="O417">
        <v>0</v>
      </c>
      <c r="P417">
        <v>0.72035483687811819</v>
      </c>
      <c r="Q417">
        <v>1.484305259294024</v>
      </c>
      <c r="R417">
        <v>2.94200477491616</v>
      </c>
      <c r="S417">
        <v>0.1787589114713177</v>
      </c>
      <c r="T417">
        <v>0.14062815682635699</v>
      </c>
      <c r="U417">
        <v>4.2695129435531793</v>
      </c>
      <c r="V417">
        <v>0.1933002831720991</v>
      </c>
      <c r="W417">
        <v>9.2792652916560563</v>
      </c>
      <c r="X417">
        <v>0.33805119711307419</v>
      </c>
      <c r="Z417" t="s">
        <v>392</v>
      </c>
      <c r="AA417">
        <v>161</v>
      </c>
      <c r="AB417" t="s">
        <v>4864</v>
      </c>
      <c r="AC417" t="str">
        <f>HYPERLINK("plots/3FT6Y578R04_015_S31P_20251219032831_M5358ACSA301811_RBGEUFRF04/dpll_52084/txpa_53256.png","plot")</f>
        <v>plot</v>
      </c>
    </row>
    <row r="418" spans="1:29" x14ac:dyDescent="0.35">
      <c r="A418" t="s">
        <v>50</v>
      </c>
      <c r="B418">
        <v>52084</v>
      </c>
      <c r="C418" t="s">
        <v>52</v>
      </c>
      <c r="D418">
        <v>53257</v>
      </c>
      <c r="E418" t="s">
        <v>132</v>
      </c>
      <c r="F418">
        <v>11782</v>
      </c>
      <c r="G418">
        <v>0.84580641415014346</v>
      </c>
      <c r="H418">
        <v>0</v>
      </c>
      <c r="I418">
        <v>0</v>
      </c>
      <c r="J418">
        <v>0.73887908879482833</v>
      </c>
      <c r="K418">
        <v>0</v>
      </c>
      <c r="L418">
        <v>0</v>
      </c>
      <c r="M418">
        <v>0.54743805266807521</v>
      </c>
      <c r="N418">
        <v>0</v>
      </c>
      <c r="O418">
        <v>0</v>
      </c>
      <c r="P418">
        <v>0.71538849021752404</v>
      </c>
      <c r="Q418">
        <v>1.468854358629351</v>
      </c>
      <c r="R418">
        <v>3.0155237577927561</v>
      </c>
      <c r="S418">
        <v>0.17909612244820439</v>
      </c>
      <c r="T418">
        <v>0.14075686383634961</v>
      </c>
      <c r="U418">
        <v>4.2695416864708866</v>
      </c>
      <c r="V418">
        <v>0.1933172563537221</v>
      </c>
      <c r="W418">
        <v>9.2868586733152263</v>
      </c>
      <c r="X418">
        <v>0.33572090474006022</v>
      </c>
      <c r="Z418" t="s">
        <v>392</v>
      </c>
      <c r="AA418">
        <v>161</v>
      </c>
      <c r="AB418" t="s">
        <v>4865</v>
      </c>
      <c r="AC418" t="str">
        <f>HYPERLINK("plots/3FT6Y578R04_015_S31P_20251219032831_M5358ACSA301811_RBGEUFRF04/dpll_52084/txpa_53257.png","plot")</f>
        <v>plot</v>
      </c>
    </row>
    <row r="419" spans="1:29" x14ac:dyDescent="0.35">
      <c r="A419" t="s">
        <v>50</v>
      </c>
      <c r="B419">
        <v>52084</v>
      </c>
      <c r="C419" t="s">
        <v>52</v>
      </c>
      <c r="D419">
        <v>53258</v>
      </c>
      <c r="E419" t="s">
        <v>133</v>
      </c>
      <c r="F419">
        <v>11781</v>
      </c>
      <c r="G419">
        <v>0.84164154118870915</v>
      </c>
      <c r="H419">
        <v>0</v>
      </c>
      <c r="I419">
        <v>0</v>
      </c>
      <c r="J419">
        <v>0.73550602628062411</v>
      </c>
      <c r="K419">
        <v>0</v>
      </c>
      <c r="L419">
        <v>0</v>
      </c>
      <c r="M419">
        <v>0.54450009814178779</v>
      </c>
      <c r="N419">
        <v>0</v>
      </c>
      <c r="O419">
        <v>0</v>
      </c>
      <c r="P419">
        <v>0.70836048385450556</v>
      </c>
      <c r="Q419">
        <v>1.458920842089577</v>
      </c>
      <c r="R419">
        <v>3.0273215756771852</v>
      </c>
      <c r="S419">
        <v>0.1809532481007671</v>
      </c>
      <c r="T419">
        <v>0.14115227962731811</v>
      </c>
      <c r="U419">
        <v>4.2695633024361257</v>
      </c>
      <c r="V419">
        <v>0.19331122175495491</v>
      </c>
      <c r="W419">
        <v>9.2562764642220525</v>
      </c>
      <c r="X419">
        <v>0.33509012640913488</v>
      </c>
      <c r="Z419" t="s">
        <v>392</v>
      </c>
      <c r="AA419">
        <v>161</v>
      </c>
      <c r="AB419" t="s">
        <v>4866</v>
      </c>
      <c r="AC419" t="str">
        <f>HYPERLINK("plots/3FT6Y578R04_015_S31P_20251219032831_M5358ACSA301811_RBGEUFRF04/dpll_52084/txpa_53258.png","plot")</f>
        <v>plot</v>
      </c>
    </row>
    <row r="420" spans="1:29" x14ac:dyDescent="0.35">
      <c r="A420" t="s">
        <v>50</v>
      </c>
      <c r="B420">
        <v>52084</v>
      </c>
      <c r="C420" t="s">
        <v>52</v>
      </c>
      <c r="D420">
        <v>53259</v>
      </c>
      <c r="E420" t="s">
        <v>134</v>
      </c>
      <c r="F420">
        <v>11782</v>
      </c>
      <c r="G420">
        <v>0.82879035117736655</v>
      </c>
      <c r="H420">
        <v>0</v>
      </c>
      <c r="I420">
        <v>0</v>
      </c>
      <c r="J420">
        <v>0.72693294212561288</v>
      </c>
      <c r="K420">
        <v>0</v>
      </c>
      <c r="L420">
        <v>0</v>
      </c>
      <c r="M420">
        <v>0.5337021368715098</v>
      </c>
      <c r="N420">
        <v>0</v>
      </c>
      <c r="O420">
        <v>0</v>
      </c>
      <c r="P420">
        <v>0.68689344620470261</v>
      </c>
      <c r="Q420">
        <v>1.468518475094015</v>
      </c>
      <c r="R420">
        <v>3.4690207363262981</v>
      </c>
      <c r="S420">
        <v>0.19166066866527989</v>
      </c>
      <c r="T420">
        <v>0.14739121476482631</v>
      </c>
      <c r="U420">
        <v>4.2695416864708866</v>
      </c>
      <c r="V420">
        <v>0.1933172563537221</v>
      </c>
      <c r="W420">
        <v>9.7389215830928535</v>
      </c>
      <c r="X420">
        <v>0.34253531319064839</v>
      </c>
      <c r="Z420" t="s">
        <v>392</v>
      </c>
      <c r="AA420">
        <v>161</v>
      </c>
      <c r="AB420" t="s">
        <v>4867</v>
      </c>
      <c r="AC420" t="str">
        <f>HYPERLINK("plots/3FT6Y578R04_015_S31P_20251219032831_M5358ACSA301811_RBGEUFRF04/dpll_52084/txpa_53259.png","plot")</f>
        <v>plot</v>
      </c>
    </row>
    <row r="421" spans="1:29" x14ac:dyDescent="0.35">
      <c r="A421" t="s">
        <v>50</v>
      </c>
      <c r="B421">
        <v>52084</v>
      </c>
      <c r="C421" t="s">
        <v>52</v>
      </c>
      <c r="D421">
        <v>53260</v>
      </c>
      <c r="E421" t="s">
        <v>135</v>
      </c>
      <c r="F421">
        <v>11782</v>
      </c>
      <c r="G421">
        <v>0.84171677615822027</v>
      </c>
      <c r="H421">
        <v>0</v>
      </c>
      <c r="I421">
        <v>0</v>
      </c>
      <c r="J421">
        <v>0.73903211992007589</v>
      </c>
      <c r="K421">
        <v>0</v>
      </c>
      <c r="L421">
        <v>0</v>
      </c>
      <c r="M421">
        <v>0.547697052324151</v>
      </c>
      <c r="N421">
        <v>0</v>
      </c>
      <c r="O421">
        <v>0</v>
      </c>
      <c r="P421">
        <v>0.70848713126618745</v>
      </c>
      <c r="Q421">
        <v>1.501936269749752</v>
      </c>
      <c r="R421">
        <v>3.3613916058944322</v>
      </c>
      <c r="S421">
        <v>0.18623726243085151</v>
      </c>
      <c r="T421">
        <v>0.14502278031817839</v>
      </c>
      <c r="U421">
        <v>4.2695416864708866</v>
      </c>
      <c r="V421">
        <v>0.1933172563537221</v>
      </c>
      <c r="W421">
        <v>9.7739711200135808</v>
      </c>
      <c r="X421">
        <v>0.3449499963769142</v>
      </c>
      <c r="Z421" t="s">
        <v>392</v>
      </c>
      <c r="AA421">
        <v>161</v>
      </c>
      <c r="AB421" t="s">
        <v>4868</v>
      </c>
      <c r="AC421" t="str">
        <f>HYPERLINK("plots/3FT6Y578R04_015_S31P_20251219032831_M5358ACSA301811_RBGEUFRF04/dpll_52084/txpa_53260.png","plot")</f>
        <v>plot</v>
      </c>
    </row>
    <row r="422" spans="1:29" x14ac:dyDescent="0.35">
      <c r="A422" t="s">
        <v>50</v>
      </c>
      <c r="B422">
        <v>52084</v>
      </c>
      <c r="C422" t="s">
        <v>52</v>
      </c>
      <c r="D422">
        <v>53261</v>
      </c>
      <c r="E422" t="s">
        <v>136</v>
      </c>
      <c r="F422">
        <v>11782</v>
      </c>
      <c r="G422">
        <v>0.83741401956771533</v>
      </c>
      <c r="H422">
        <v>0</v>
      </c>
      <c r="I422">
        <v>0</v>
      </c>
      <c r="J422">
        <v>0.73145527410013844</v>
      </c>
      <c r="K422">
        <v>0</v>
      </c>
      <c r="L422">
        <v>0</v>
      </c>
      <c r="M422">
        <v>0.53951492326824257</v>
      </c>
      <c r="N422">
        <v>0</v>
      </c>
      <c r="O422">
        <v>0</v>
      </c>
      <c r="P422">
        <v>0.70126224016855787</v>
      </c>
      <c r="Q422">
        <v>1.470583337173448</v>
      </c>
      <c r="R422">
        <v>3.5111095095830129</v>
      </c>
      <c r="S422">
        <v>0.18554389320723561</v>
      </c>
      <c r="T422">
        <v>0.14385630943982261</v>
      </c>
      <c r="U422">
        <v>4.2695416864708866</v>
      </c>
      <c r="V422">
        <v>0.1933172563537221</v>
      </c>
      <c r="W422">
        <v>9.7898263710745201</v>
      </c>
      <c r="X422">
        <v>0.33948456717816289</v>
      </c>
      <c r="Z422" t="s">
        <v>392</v>
      </c>
      <c r="AA422">
        <v>161</v>
      </c>
      <c r="AB422" t="s">
        <v>4869</v>
      </c>
      <c r="AC422" t="str">
        <f>HYPERLINK("plots/3FT6Y578R04_015_S31P_20251219032831_M5358ACSA301811_RBGEUFRF04/dpll_52084/txpa_53261.png","plot")</f>
        <v>plot</v>
      </c>
    </row>
    <row r="423" spans="1:29" x14ac:dyDescent="0.35">
      <c r="A423" t="s">
        <v>50</v>
      </c>
      <c r="B423">
        <v>52084</v>
      </c>
      <c r="C423" t="s">
        <v>52</v>
      </c>
      <c r="D423">
        <v>53262</v>
      </c>
      <c r="E423" t="s">
        <v>137</v>
      </c>
      <c r="F423">
        <v>11781</v>
      </c>
      <c r="G423">
        <v>0.84650457339762142</v>
      </c>
      <c r="H423">
        <v>0</v>
      </c>
      <c r="I423">
        <v>0</v>
      </c>
      <c r="J423">
        <v>0.74068470038326728</v>
      </c>
      <c r="K423">
        <v>0</v>
      </c>
      <c r="L423">
        <v>0</v>
      </c>
      <c r="M423">
        <v>0.54898698151396597</v>
      </c>
      <c r="N423">
        <v>0</v>
      </c>
      <c r="O423">
        <v>0</v>
      </c>
      <c r="P423">
        <v>0.71656999278308897</v>
      </c>
      <c r="Q423">
        <v>1.5010265846796449</v>
      </c>
      <c r="R423">
        <v>3.3922676701413268</v>
      </c>
      <c r="S423">
        <v>0.1824941618843795</v>
      </c>
      <c r="T423">
        <v>0.14284445402693091</v>
      </c>
      <c r="U423">
        <v>4.2695489746201511</v>
      </c>
      <c r="V423">
        <v>0.19332384277072681</v>
      </c>
      <c r="W423">
        <v>9.8009741856378909</v>
      </c>
      <c r="X423">
        <v>0.34280290570265209</v>
      </c>
      <c r="Z423" t="s">
        <v>392</v>
      </c>
      <c r="AA423">
        <v>161</v>
      </c>
      <c r="AB423" t="s">
        <v>4870</v>
      </c>
      <c r="AC423" t="str">
        <f>HYPERLINK("plots/3FT6Y578R04_015_S31P_20251219032831_M5358ACSA301811_RBGEUFRF04/dpll_52084/txpa_53262.png","plot")</f>
        <v>plot</v>
      </c>
    </row>
    <row r="424" spans="1:29" x14ac:dyDescent="0.35">
      <c r="A424" t="s">
        <v>50</v>
      </c>
      <c r="B424">
        <v>52084</v>
      </c>
      <c r="C424" t="s">
        <v>52</v>
      </c>
      <c r="D424">
        <v>53263</v>
      </c>
      <c r="E424" t="s">
        <v>138</v>
      </c>
      <c r="F424">
        <v>11781</v>
      </c>
      <c r="G424">
        <v>0.8486556292164168</v>
      </c>
      <c r="H424">
        <v>0</v>
      </c>
      <c r="I424">
        <v>0</v>
      </c>
      <c r="J424">
        <v>0.74010696335300652</v>
      </c>
      <c r="K424">
        <v>0</v>
      </c>
      <c r="L424">
        <v>0</v>
      </c>
      <c r="M424">
        <v>0.54753748791642809</v>
      </c>
      <c r="N424">
        <v>0</v>
      </c>
      <c r="O424">
        <v>0</v>
      </c>
      <c r="P424">
        <v>0.72021637700071228</v>
      </c>
      <c r="Q424">
        <v>1.503586734051821</v>
      </c>
      <c r="R424">
        <v>3.359556219558717</v>
      </c>
      <c r="S424">
        <v>0.1811500176440167</v>
      </c>
      <c r="T424">
        <v>0.14204780430878969</v>
      </c>
      <c r="U424">
        <v>4.2695174021729896</v>
      </c>
      <c r="V424">
        <v>0.19330748901132719</v>
      </c>
      <c r="W424">
        <v>9.7791459462694164</v>
      </c>
      <c r="X424">
        <v>0.34248824383415399</v>
      </c>
      <c r="Z424" t="s">
        <v>392</v>
      </c>
      <c r="AA424">
        <v>161</v>
      </c>
      <c r="AB424" t="s">
        <v>4871</v>
      </c>
      <c r="AC424" t="str">
        <f>HYPERLINK("plots/3FT6Y578R04_015_S31P_20251219032831_M5358ACSA301811_RBGEUFRF04/dpll_52084/txpa_53263.png","plot")</f>
        <v>plot</v>
      </c>
    </row>
    <row r="425" spans="1:29" x14ac:dyDescent="0.35">
      <c r="A425" t="s">
        <v>50</v>
      </c>
      <c r="B425">
        <v>52084</v>
      </c>
      <c r="C425" t="s">
        <v>52</v>
      </c>
      <c r="D425">
        <v>53264</v>
      </c>
      <c r="E425" t="s">
        <v>139</v>
      </c>
      <c r="F425">
        <v>11781</v>
      </c>
      <c r="G425">
        <v>0.850860809369825</v>
      </c>
      <c r="H425">
        <v>0</v>
      </c>
      <c r="I425">
        <v>0</v>
      </c>
      <c r="J425">
        <v>0.74973185684998589</v>
      </c>
      <c r="K425">
        <v>0</v>
      </c>
      <c r="L425">
        <v>0</v>
      </c>
      <c r="M425">
        <v>0.55721127484687583</v>
      </c>
      <c r="N425">
        <v>0</v>
      </c>
      <c r="O425">
        <v>0</v>
      </c>
      <c r="P425">
        <v>0.72396411692147367</v>
      </c>
      <c r="Q425">
        <v>1.5144501716698699</v>
      </c>
      <c r="R425">
        <v>3.3179283025997721</v>
      </c>
      <c r="S425">
        <v>0.18075623904669161</v>
      </c>
      <c r="T425">
        <v>0.1420960543108192</v>
      </c>
      <c r="U425">
        <v>4.2695129435531793</v>
      </c>
      <c r="V425">
        <v>0.1933002831720991</v>
      </c>
      <c r="W425">
        <v>9.783892912910618</v>
      </c>
      <c r="X425">
        <v>0.34405585944266909</v>
      </c>
      <c r="Z425" t="s">
        <v>392</v>
      </c>
      <c r="AA425">
        <v>161</v>
      </c>
      <c r="AB425" t="s">
        <v>4872</v>
      </c>
      <c r="AC425" t="str">
        <f>HYPERLINK("plots/3FT6Y578R04_015_S31P_20251219032831_M5358ACSA301811_RBGEUFRF04/dpll_52084/txpa_53264.png","plot")</f>
        <v>plot</v>
      </c>
    </row>
    <row r="426" spans="1:29" x14ac:dyDescent="0.35">
      <c r="A426" t="s">
        <v>50</v>
      </c>
      <c r="B426">
        <v>52084</v>
      </c>
      <c r="C426" t="s">
        <v>52</v>
      </c>
      <c r="D426">
        <v>53265</v>
      </c>
      <c r="E426" t="s">
        <v>140</v>
      </c>
      <c r="F426">
        <v>11782</v>
      </c>
      <c r="G426">
        <v>0.84804779463023805</v>
      </c>
      <c r="H426">
        <v>0</v>
      </c>
      <c r="I426">
        <v>0</v>
      </c>
      <c r="J426">
        <v>0.74078647804295406</v>
      </c>
      <c r="K426">
        <v>0</v>
      </c>
      <c r="L426">
        <v>0</v>
      </c>
      <c r="M426">
        <v>0.54918679259564129</v>
      </c>
      <c r="N426">
        <v>0</v>
      </c>
      <c r="O426">
        <v>0</v>
      </c>
      <c r="P426">
        <v>0.71918506197721044</v>
      </c>
      <c r="Q426">
        <v>1.4993588147887229</v>
      </c>
      <c r="R426">
        <v>3.3900112839293941</v>
      </c>
      <c r="S426">
        <v>0.1811121319944114</v>
      </c>
      <c r="T426">
        <v>0.14218143348138451</v>
      </c>
      <c r="U426">
        <v>4.2695416864708866</v>
      </c>
      <c r="V426">
        <v>0.1933172563537221</v>
      </c>
      <c r="W426">
        <v>9.7915862466474284</v>
      </c>
      <c r="X426">
        <v>0.34178726034079748</v>
      </c>
      <c r="Z426" t="s">
        <v>392</v>
      </c>
      <c r="AA426">
        <v>161</v>
      </c>
      <c r="AB426" t="s">
        <v>4873</v>
      </c>
      <c r="AC426" t="str">
        <f>HYPERLINK("plots/3FT6Y578R04_015_S31P_20251219032831_M5358ACSA301811_RBGEUFRF04/dpll_52084/txpa_53265.png","plot")</f>
        <v>plot</v>
      </c>
    </row>
    <row r="427" spans="1:29" x14ac:dyDescent="0.35">
      <c r="A427" t="s">
        <v>50</v>
      </c>
      <c r="B427">
        <v>52084</v>
      </c>
      <c r="C427" t="s">
        <v>52</v>
      </c>
      <c r="D427">
        <v>53266</v>
      </c>
      <c r="E427" t="s">
        <v>141</v>
      </c>
      <c r="F427">
        <v>11781</v>
      </c>
      <c r="G427">
        <v>0.84371981420350417</v>
      </c>
      <c r="H427">
        <v>0</v>
      </c>
      <c r="I427">
        <v>0</v>
      </c>
      <c r="J427">
        <v>0.73706830992800032</v>
      </c>
      <c r="K427">
        <v>0</v>
      </c>
      <c r="L427">
        <v>0</v>
      </c>
      <c r="M427">
        <v>0.54594804752057369</v>
      </c>
      <c r="N427">
        <v>0</v>
      </c>
      <c r="O427">
        <v>0</v>
      </c>
      <c r="P427">
        <v>0.71186312487959558</v>
      </c>
      <c r="Q427">
        <v>1.4883007623555169</v>
      </c>
      <c r="R427">
        <v>3.406793352375789</v>
      </c>
      <c r="S427">
        <v>0.18303346848977009</v>
      </c>
      <c r="T427">
        <v>0.14260046410478469</v>
      </c>
      <c r="U427">
        <v>4.2695633024361257</v>
      </c>
      <c r="V427">
        <v>0.19331122175495491</v>
      </c>
      <c r="W427">
        <v>9.7611876703166125</v>
      </c>
      <c r="X427">
        <v>0.34099618601629927</v>
      </c>
      <c r="Z427" t="s">
        <v>392</v>
      </c>
      <c r="AA427">
        <v>161</v>
      </c>
      <c r="AB427" t="s">
        <v>4874</v>
      </c>
      <c r="AC427" t="str">
        <f>HYPERLINK("plots/3FT6Y578R04_015_S31P_20251219032831_M5358ACSA301811_RBGEUFRF04/dpll_52084/txpa_53266.png","plot")</f>
        <v>plot</v>
      </c>
    </row>
    <row r="428" spans="1:29" x14ac:dyDescent="0.35">
      <c r="A428" t="s">
        <v>50</v>
      </c>
      <c r="B428">
        <v>52084</v>
      </c>
      <c r="C428" t="s">
        <v>52</v>
      </c>
      <c r="D428">
        <v>53267</v>
      </c>
      <c r="E428" t="s">
        <v>142</v>
      </c>
      <c r="F428">
        <v>11782</v>
      </c>
      <c r="G428">
        <v>0.83097062086980933</v>
      </c>
      <c r="H428">
        <v>0</v>
      </c>
      <c r="I428">
        <v>0</v>
      </c>
      <c r="J428">
        <v>0.72859636936785344</v>
      </c>
      <c r="K428">
        <v>0</v>
      </c>
      <c r="L428">
        <v>0</v>
      </c>
      <c r="M428">
        <v>0.53521559091089166</v>
      </c>
      <c r="N428">
        <v>0</v>
      </c>
      <c r="O428">
        <v>0</v>
      </c>
      <c r="P428">
        <v>0.69051217274875643</v>
      </c>
      <c r="Q428">
        <v>1.495748085959512</v>
      </c>
      <c r="R428">
        <v>3.8313099921093912</v>
      </c>
      <c r="S428">
        <v>0.19357388390149069</v>
      </c>
      <c r="T428">
        <v>0.14869301905883431</v>
      </c>
      <c r="U428">
        <v>4.2695416864708866</v>
      </c>
      <c r="V428">
        <v>0.1933172563537221</v>
      </c>
      <c r="W428">
        <v>10.21746879757257</v>
      </c>
      <c r="X428">
        <v>0.34797128672413868</v>
      </c>
      <c r="Z428" t="s">
        <v>392</v>
      </c>
      <c r="AA428">
        <v>161</v>
      </c>
      <c r="AB428" t="s">
        <v>4875</v>
      </c>
      <c r="AC428" t="str">
        <f>HYPERLINK("plots/3FT6Y578R04_015_S31P_20251219032831_M5358ACSA301811_RBGEUFRF04/dpll_52084/txpa_53267.png","plot")</f>
        <v>plot</v>
      </c>
    </row>
    <row r="429" spans="1:29" x14ac:dyDescent="0.35">
      <c r="A429" t="s">
        <v>50</v>
      </c>
      <c r="B429">
        <v>52084</v>
      </c>
      <c r="C429" t="s">
        <v>52</v>
      </c>
      <c r="D429">
        <v>53268</v>
      </c>
      <c r="E429" t="s">
        <v>143</v>
      </c>
      <c r="F429">
        <v>11782</v>
      </c>
      <c r="G429">
        <v>0.84367784759742193</v>
      </c>
      <c r="H429">
        <v>0</v>
      </c>
      <c r="I429">
        <v>0</v>
      </c>
      <c r="J429">
        <v>0.74067576311563121</v>
      </c>
      <c r="K429">
        <v>0</v>
      </c>
      <c r="L429">
        <v>0</v>
      </c>
      <c r="M429">
        <v>0.54923865520149251</v>
      </c>
      <c r="N429">
        <v>0</v>
      </c>
      <c r="O429">
        <v>0</v>
      </c>
      <c r="P429">
        <v>0.71179231052661873</v>
      </c>
      <c r="Q429">
        <v>1.5294977360129629</v>
      </c>
      <c r="R429">
        <v>3.722647322745769</v>
      </c>
      <c r="S429">
        <v>0.18813827854494261</v>
      </c>
      <c r="T429">
        <v>0.14634275347698181</v>
      </c>
      <c r="U429">
        <v>4.2695416864708866</v>
      </c>
      <c r="V429">
        <v>0.1933172563537221</v>
      </c>
      <c r="W429">
        <v>10.25290166601596</v>
      </c>
      <c r="X429">
        <v>0.35046351728597769</v>
      </c>
      <c r="Z429" t="s">
        <v>392</v>
      </c>
      <c r="AA429">
        <v>161</v>
      </c>
      <c r="AB429" t="s">
        <v>4876</v>
      </c>
      <c r="AC429" t="str">
        <f>HYPERLINK("plots/3FT6Y578R04_015_S31P_20251219032831_M5358ACSA301811_RBGEUFRF04/dpll_52084/txpa_53268.png","plot")</f>
        <v>plot</v>
      </c>
    </row>
    <row r="430" spans="1:29" x14ac:dyDescent="0.35">
      <c r="A430" t="s">
        <v>50</v>
      </c>
      <c r="B430">
        <v>52084</v>
      </c>
      <c r="C430" t="s">
        <v>52</v>
      </c>
      <c r="D430">
        <v>53269</v>
      </c>
      <c r="E430" t="s">
        <v>144</v>
      </c>
      <c r="F430">
        <v>11782</v>
      </c>
      <c r="G430">
        <v>0.83954394730803306</v>
      </c>
      <c r="H430">
        <v>0</v>
      </c>
      <c r="I430">
        <v>0</v>
      </c>
      <c r="J430">
        <v>0.73312614973708501</v>
      </c>
      <c r="K430">
        <v>0</v>
      </c>
      <c r="L430">
        <v>0</v>
      </c>
      <c r="M430">
        <v>0.54102718548486006</v>
      </c>
      <c r="N430">
        <v>0</v>
      </c>
      <c r="O430">
        <v>0</v>
      </c>
      <c r="P430">
        <v>0.70483403946155343</v>
      </c>
      <c r="Q430">
        <v>1.498176298809663</v>
      </c>
      <c r="R430">
        <v>3.8725601293320291</v>
      </c>
      <c r="S430">
        <v>0.18741520177638549</v>
      </c>
      <c r="T430">
        <v>0.14513260989102261</v>
      </c>
      <c r="U430">
        <v>4.2695416864708866</v>
      </c>
      <c r="V430">
        <v>0.1933172563537221</v>
      </c>
      <c r="W430">
        <v>10.26908629078255</v>
      </c>
      <c r="X430">
        <v>0.34497697535516142</v>
      </c>
      <c r="Z430" t="s">
        <v>392</v>
      </c>
      <c r="AA430">
        <v>161</v>
      </c>
      <c r="AB430" t="s">
        <v>4877</v>
      </c>
      <c r="AC430" t="str">
        <f>HYPERLINK("plots/3FT6Y578R04_015_S31P_20251219032831_M5358ACSA301811_RBGEUFRF04/dpll_52084/txpa_53269.png","plot")</f>
        <v>plot</v>
      </c>
    </row>
    <row r="431" spans="1:29" x14ac:dyDescent="0.35">
      <c r="A431" t="s">
        <v>50</v>
      </c>
      <c r="B431">
        <v>52084</v>
      </c>
      <c r="C431" t="s">
        <v>52</v>
      </c>
      <c r="D431">
        <v>53270</v>
      </c>
      <c r="E431" t="s">
        <v>145</v>
      </c>
      <c r="F431">
        <v>11781</v>
      </c>
      <c r="G431">
        <v>0.84849915590636915</v>
      </c>
      <c r="H431">
        <v>0</v>
      </c>
      <c r="I431">
        <v>0</v>
      </c>
      <c r="J431">
        <v>0.74225072348911736</v>
      </c>
      <c r="K431">
        <v>0</v>
      </c>
      <c r="L431">
        <v>0</v>
      </c>
      <c r="M431">
        <v>0.55047496442026833</v>
      </c>
      <c r="N431">
        <v>0</v>
      </c>
      <c r="O431">
        <v>0</v>
      </c>
      <c r="P431">
        <v>0.71995081757382096</v>
      </c>
      <c r="Q431">
        <v>1.5290798101804239</v>
      </c>
      <c r="R431">
        <v>3.7516178918337042</v>
      </c>
      <c r="S431">
        <v>0.18435837877343661</v>
      </c>
      <c r="T431">
        <v>0.14418326020055361</v>
      </c>
      <c r="U431">
        <v>4.2695489746201511</v>
      </c>
      <c r="V431">
        <v>0.19332384277072681</v>
      </c>
      <c r="W431">
        <v>10.28009902750191</v>
      </c>
      <c r="X431">
        <v>0.34838877888033259</v>
      </c>
      <c r="Z431" t="s">
        <v>392</v>
      </c>
      <c r="AA431">
        <v>161</v>
      </c>
      <c r="AB431" t="s">
        <v>4878</v>
      </c>
      <c r="AC431" t="str">
        <f>HYPERLINK("plots/3FT6Y578R04_015_S31P_20251219032831_M5358ACSA301811_RBGEUFRF04/dpll_52084/txpa_53270.png","plot")</f>
        <v>plot</v>
      </c>
    </row>
    <row r="432" spans="1:29" x14ac:dyDescent="0.35">
      <c r="A432" t="s">
        <v>50</v>
      </c>
      <c r="B432">
        <v>52084</v>
      </c>
      <c r="C432" t="s">
        <v>52</v>
      </c>
      <c r="D432">
        <v>53271</v>
      </c>
      <c r="E432" t="s">
        <v>146</v>
      </c>
      <c r="F432">
        <v>11781</v>
      </c>
      <c r="G432">
        <v>0.85059034197507566</v>
      </c>
      <c r="H432">
        <v>0</v>
      </c>
      <c r="I432">
        <v>0</v>
      </c>
      <c r="J432">
        <v>0.74166604180179407</v>
      </c>
      <c r="K432">
        <v>0</v>
      </c>
      <c r="L432">
        <v>0</v>
      </c>
      <c r="M432">
        <v>0.54900152658156975</v>
      </c>
      <c r="N432">
        <v>0</v>
      </c>
      <c r="O432">
        <v>0</v>
      </c>
      <c r="P432">
        <v>0.72350392986127621</v>
      </c>
      <c r="Q432">
        <v>1.5314291686241901</v>
      </c>
      <c r="R432">
        <v>3.7193352508037361</v>
      </c>
      <c r="S432">
        <v>0.18300004468653491</v>
      </c>
      <c r="T432">
        <v>0.14339954604174551</v>
      </c>
      <c r="U432">
        <v>4.2695174021729896</v>
      </c>
      <c r="V432">
        <v>0.19330748901132719</v>
      </c>
      <c r="W432">
        <v>10.25779873644003</v>
      </c>
      <c r="X432">
        <v>0.34803678407404381</v>
      </c>
      <c r="Z432" t="s">
        <v>392</v>
      </c>
      <c r="AA432">
        <v>161</v>
      </c>
      <c r="AB432" t="s">
        <v>4879</v>
      </c>
      <c r="AC432" t="str">
        <f>HYPERLINK("plots/3FT6Y578R04_015_S31P_20251219032831_M5358ACSA301811_RBGEUFRF04/dpll_52084/txpa_53271.png","plot")</f>
        <v>plot</v>
      </c>
    </row>
    <row r="433" spans="1:29" x14ac:dyDescent="0.35">
      <c r="A433" t="s">
        <v>50</v>
      </c>
      <c r="B433">
        <v>52084</v>
      </c>
      <c r="C433" t="s">
        <v>52</v>
      </c>
      <c r="D433">
        <v>53272</v>
      </c>
      <c r="E433" t="s">
        <v>147</v>
      </c>
      <c r="F433">
        <v>11781</v>
      </c>
      <c r="G433">
        <v>0.85264078537130916</v>
      </c>
      <c r="H433">
        <v>0</v>
      </c>
      <c r="I433">
        <v>0</v>
      </c>
      <c r="J433">
        <v>0.75086057194284839</v>
      </c>
      <c r="K433">
        <v>0</v>
      </c>
      <c r="L433">
        <v>0</v>
      </c>
      <c r="M433">
        <v>0.55828990345515672</v>
      </c>
      <c r="N433">
        <v>0</v>
      </c>
      <c r="O433">
        <v>0</v>
      </c>
      <c r="P433">
        <v>0.72699630887860289</v>
      </c>
      <c r="Q433">
        <v>1.541771100331411</v>
      </c>
      <c r="R433">
        <v>3.680275764463659</v>
      </c>
      <c r="S433">
        <v>0.1826215879568486</v>
      </c>
      <c r="T433">
        <v>0.14341928946819729</v>
      </c>
      <c r="U433">
        <v>4.2695129435531793</v>
      </c>
      <c r="V433">
        <v>0.1933002831720991</v>
      </c>
      <c r="W433">
        <v>10.262887433324851</v>
      </c>
      <c r="X433">
        <v>0.34953147373877541</v>
      </c>
      <c r="Z433" t="s">
        <v>392</v>
      </c>
      <c r="AA433">
        <v>161</v>
      </c>
      <c r="AB433" t="s">
        <v>4880</v>
      </c>
      <c r="AC433" t="str">
        <f>HYPERLINK("plots/3FT6Y578R04_015_S31P_20251219032831_M5358ACSA301811_RBGEUFRF04/dpll_52084/txpa_53272.png","plot")</f>
        <v>plot</v>
      </c>
    </row>
    <row r="434" spans="1:29" x14ac:dyDescent="0.35">
      <c r="A434" t="s">
        <v>50</v>
      </c>
      <c r="B434">
        <v>52084</v>
      </c>
      <c r="C434" t="s">
        <v>52</v>
      </c>
      <c r="D434">
        <v>53273</v>
      </c>
      <c r="E434" t="s">
        <v>148</v>
      </c>
      <c r="F434">
        <v>11782</v>
      </c>
      <c r="G434">
        <v>0.84997715258631357</v>
      </c>
      <c r="H434">
        <v>0</v>
      </c>
      <c r="I434">
        <v>0</v>
      </c>
      <c r="J434">
        <v>0.7421595053485085</v>
      </c>
      <c r="K434">
        <v>0</v>
      </c>
      <c r="L434">
        <v>0</v>
      </c>
      <c r="M434">
        <v>0.55051670289702748</v>
      </c>
      <c r="N434">
        <v>0</v>
      </c>
      <c r="O434">
        <v>0</v>
      </c>
      <c r="P434">
        <v>0.72246115991873738</v>
      </c>
      <c r="Q434">
        <v>1.526907258223724</v>
      </c>
      <c r="R434">
        <v>3.751354001541745</v>
      </c>
      <c r="S434">
        <v>0.1829445531121765</v>
      </c>
      <c r="T434">
        <v>0.14345735919994951</v>
      </c>
      <c r="U434">
        <v>4.2695416864708866</v>
      </c>
      <c r="V434">
        <v>0.1933172563537221</v>
      </c>
      <c r="W434">
        <v>10.2705481919029</v>
      </c>
      <c r="X434">
        <v>0.3472770073504064</v>
      </c>
      <c r="Z434" t="s">
        <v>392</v>
      </c>
      <c r="AA434">
        <v>161</v>
      </c>
      <c r="AB434" t="s">
        <v>4881</v>
      </c>
      <c r="AC434" t="str">
        <f>HYPERLINK("plots/3FT6Y578R04_015_S31P_20251219032831_M5358ACSA301811_RBGEUFRF04/dpll_52084/txpa_53273.png","plot")</f>
        <v>plot</v>
      </c>
    </row>
    <row r="435" spans="1:29" x14ac:dyDescent="0.35">
      <c r="A435" t="s">
        <v>50</v>
      </c>
      <c r="B435">
        <v>52084</v>
      </c>
      <c r="C435" t="s">
        <v>52</v>
      </c>
      <c r="D435">
        <v>53274</v>
      </c>
      <c r="E435" t="s">
        <v>149</v>
      </c>
      <c r="F435">
        <v>11781</v>
      </c>
      <c r="G435">
        <v>0.84558973392459214</v>
      </c>
      <c r="H435">
        <v>0</v>
      </c>
      <c r="I435">
        <v>0</v>
      </c>
      <c r="J435">
        <v>0.7384028248023653</v>
      </c>
      <c r="K435">
        <v>0</v>
      </c>
      <c r="L435">
        <v>0</v>
      </c>
      <c r="M435">
        <v>0.54720405397044636</v>
      </c>
      <c r="N435">
        <v>0</v>
      </c>
      <c r="O435">
        <v>0</v>
      </c>
      <c r="P435">
        <v>0.71502199811866252</v>
      </c>
      <c r="Q435">
        <v>1.5151890897039391</v>
      </c>
      <c r="R435">
        <v>3.7709548881123198</v>
      </c>
      <c r="S435">
        <v>0.184906183268118</v>
      </c>
      <c r="T435">
        <v>0.14397006360784581</v>
      </c>
      <c r="U435">
        <v>4.2695633024361257</v>
      </c>
      <c r="V435">
        <v>0.19331122175495491</v>
      </c>
      <c r="W435">
        <v>10.24015062176386</v>
      </c>
      <c r="X435">
        <v>0.34638908488281939</v>
      </c>
      <c r="Z435" t="s">
        <v>392</v>
      </c>
      <c r="AA435">
        <v>161</v>
      </c>
      <c r="AB435" t="s">
        <v>4882</v>
      </c>
      <c r="AC435" t="str">
        <f>HYPERLINK("plots/3FT6Y578R04_015_S31P_20251219032831_M5358ACSA301811_RBGEUFRF04/dpll_52084/txpa_53274.png","plot")</f>
        <v>plot</v>
      </c>
    </row>
    <row r="436" spans="1:29" x14ac:dyDescent="0.35">
      <c r="A436" t="s">
        <v>50</v>
      </c>
      <c r="B436">
        <v>52084</v>
      </c>
      <c r="C436" t="s">
        <v>52</v>
      </c>
      <c r="D436">
        <v>53275</v>
      </c>
      <c r="E436" t="s">
        <v>150</v>
      </c>
      <c r="F436">
        <v>11782</v>
      </c>
      <c r="G436">
        <v>0.8370260354194301</v>
      </c>
      <c r="H436">
        <v>0</v>
      </c>
      <c r="I436">
        <v>0</v>
      </c>
      <c r="J436">
        <v>0.73366418314936555</v>
      </c>
      <c r="K436">
        <v>0</v>
      </c>
      <c r="L436">
        <v>0</v>
      </c>
      <c r="M436">
        <v>0.53995170656606861</v>
      </c>
      <c r="N436">
        <v>0</v>
      </c>
      <c r="O436">
        <v>0</v>
      </c>
      <c r="P436">
        <v>0.70061258396996906</v>
      </c>
      <c r="Q436">
        <v>1.57983905152726</v>
      </c>
      <c r="R436">
        <v>5.0319534962782413</v>
      </c>
      <c r="S436">
        <v>0.19963783000816709</v>
      </c>
      <c r="T436">
        <v>0.1528094623742372</v>
      </c>
      <c r="U436">
        <v>4.2695416864708866</v>
      </c>
      <c r="V436">
        <v>0.1933172563537221</v>
      </c>
      <c r="W436">
        <v>11.777142184688509</v>
      </c>
      <c r="X436">
        <v>0.36487533003519651</v>
      </c>
      <c r="Z436" t="s">
        <v>392</v>
      </c>
      <c r="AA436">
        <v>161</v>
      </c>
      <c r="AB436" t="s">
        <v>4883</v>
      </c>
      <c r="AC436" t="str">
        <f>HYPERLINK("plots/3FT6Y578R04_015_S31P_20251219032831_M5358ACSA301811_RBGEUFRF04/dpll_52084/txpa_53275.png","plot")</f>
        <v>plot</v>
      </c>
    </row>
    <row r="437" spans="1:29" x14ac:dyDescent="0.35">
      <c r="A437" t="s">
        <v>50</v>
      </c>
      <c r="B437">
        <v>52084</v>
      </c>
      <c r="C437" t="s">
        <v>52</v>
      </c>
      <c r="D437">
        <v>53276</v>
      </c>
      <c r="E437" t="s">
        <v>151</v>
      </c>
      <c r="F437">
        <v>11782</v>
      </c>
      <c r="G437">
        <v>0.84904353462803139</v>
      </c>
      <c r="H437">
        <v>0</v>
      </c>
      <c r="I437">
        <v>0</v>
      </c>
      <c r="J437">
        <v>0.745237460469659</v>
      </c>
      <c r="K437">
        <v>0</v>
      </c>
      <c r="L437">
        <v>0</v>
      </c>
      <c r="M437">
        <v>0.55372448349977144</v>
      </c>
      <c r="N437">
        <v>0</v>
      </c>
      <c r="O437">
        <v>0</v>
      </c>
      <c r="P437">
        <v>0.72087492369366113</v>
      </c>
      <c r="Q437">
        <v>1.614674309675965</v>
      </c>
      <c r="R437">
        <v>4.9194242411457836</v>
      </c>
      <c r="S437">
        <v>0.1942256552382427</v>
      </c>
      <c r="T437">
        <v>0.1505964177451703</v>
      </c>
      <c r="U437">
        <v>4.2695416864708866</v>
      </c>
      <c r="V437">
        <v>0.1933172563537221</v>
      </c>
      <c r="W437">
        <v>11.81334351638092</v>
      </c>
      <c r="X437">
        <v>0.36764240550768601</v>
      </c>
      <c r="Z437" t="s">
        <v>392</v>
      </c>
      <c r="AA437">
        <v>161</v>
      </c>
      <c r="AB437" t="s">
        <v>4884</v>
      </c>
      <c r="AC437" t="str">
        <f>HYPERLINK("plots/3FT6Y578R04_015_S31P_20251219032831_M5358ACSA301811_RBGEUFRF04/dpll_52084/txpa_53276.png","plot")</f>
        <v>plot</v>
      </c>
    </row>
    <row r="438" spans="1:29" x14ac:dyDescent="0.35">
      <c r="A438" t="s">
        <v>50</v>
      </c>
      <c r="B438">
        <v>52084</v>
      </c>
      <c r="C438" t="s">
        <v>52</v>
      </c>
      <c r="D438">
        <v>53277</v>
      </c>
      <c r="E438" t="s">
        <v>152</v>
      </c>
      <c r="F438">
        <v>11782</v>
      </c>
      <c r="G438">
        <v>0.84558036783128154</v>
      </c>
      <c r="H438">
        <v>0</v>
      </c>
      <c r="I438">
        <v>0</v>
      </c>
      <c r="J438">
        <v>0.73841557946162384</v>
      </c>
      <c r="K438">
        <v>0</v>
      </c>
      <c r="L438">
        <v>0</v>
      </c>
      <c r="M438">
        <v>0.5460601251062126</v>
      </c>
      <c r="N438">
        <v>0</v>
      </c>
      <c r="O438">
        <v>0</v>
      </c>
      <c r="P438">
        <v>0.71500615846168536</v>
      </c>
      <c r="Q438">
        <v>1.5829551831240869</v>
      </c>
      <c r="R438">
        <v>5.0714147291657001</v>
      </c>
      <c r="S438">
        <v>0.1931895617485285</v>
      </c>
      <c r="T438">
        <v>0.14900733871252961</v>
      </c>
      <c r="U438">
        <v>4.2695416864708866</v>
      </c>
      <c r="V438">
        <v>0.1933172563537221</v>
      </c>
      <c r="W438">
        <v>11.82990787132915</v>
      </c>
      <c r="X438">
        <v>0.36189647320845902</v>
      </c>
      <c r="Z438" t="s">
        <v>392</v>
      </c>
      <c r="AA438">
        <v>161</v>
      </c>
      <c r="AB438" t="s">
        <v>4885</v>
      </c>
      <c r="AC438" t="str">
        <f>HYPERLINK("plots/3FT6Y578R04_015_S31P_20251219032831_M5358ACSA301811_RBGEUFRF04/dpll_52084/txpa_53277.png","plot")</f>
        <v>plot</v>
      </c>
    </row>
    <row r="439" spans="1:29" x14ac:dyDescent="0.35">
      <c r="A439" t="s">
        <v>50</v>
      </c>
      <c r="B439">
        <v>52084</v>
      </c>
      <c r="C439" t="s">
        <v>52</v>
      </c>
      <c r="D439">
        <v>53278</v>
      </c>
      <c r="E439" t="s">
        <v>153</v>
      </c>
      <c r="F439">
        <v>11781</v>
      </c>
      <c r="G439">
        <v>0.85377924017935247</v>
      </c>
      <c r="H439">
        <v>0</v>
      </c>
      <c r="I439">
        <v>0</v>
      </c>
      <c r="J439">
        <v>0.74666118073500842</v>
      </c>
      <c r="K439">
        <v>0</v>
      </c>
      <c r="L439">
        <v>0</v>
      </c>
      <c r="M439">
        <v>0.55474936736711722</v>
      </c>
      <c r="N439">
        <v>0</v>
      </c>
      <c r="O439">
        <v>0</v>
      </c>
      <c r="P439">
        <v>0.72893899096123238</v>
      </c>
      <c r="Q439">
        <v>1.614080354181695</v>
      </c>
      <c r="R439">
        <v>4.9500947727459694</v>
      </c>
      <c r="S439">
        <v>0.1902742736033079</v>
      </c>
      <c r="T439">
        <v>0.1484312461789298</v>
      </c>
      <c r="U439">
        <v>4.2695489746201511</v>
      </c>
      <c r="V439">
        <v>0.19332384277072681</v>
      </c>
      <c r="W439">
        <v>11.84148989389695</v>
      </c>
      <c r="X439">
        <v>0.36548114773274532</v>
      </c>
      <c r="Z439" t="s">
        <v>392</v>
      </c>
      <c r="AA439">
        <v>161</v>
      </c>
      <c r="AB439" t="s">
        <v>4886</v>
      </c>
      <c r="AC439" t="str">
        <f>HYPERLINK("plots/3FT6Y578R04_015_S31P_20251219032831_M5358ACSA301811_RBGEUFRF04/dpll_52084/txpa_53278.png","plot")</f>
        <v>plot</v>
      </c>
    </row>
    <row r="440" spans="1:29" x14ac:dyDescent="0.35">
      <c r="A440" t="s">
        <v>50</v>
      </c>
      <c r="B440">
        <v>52084</v>
      </c>
      <c r="C440" t="s">
        <v>52</v>
      </c>
      <c r="D440">
        <v>53279</v>
      </c>
      <c r="E440" t="s">
        <v>154</v>
      </c>
      <c r="F440">
        <v>11781</v>
      </c>
      <c r="G440">
        <v>0.85559169278409597</v>
      </c>
      <c r="H440">
        <v>0</v>
      </c>
      <c r="I440">
        <v>0</v>
      </c>
      <c r="J440">
        <v>0.74622814828259998</v>
      </c>
      <c r="K440">
        <v>0</v>
      </c>
      <c r="L440">
        <v>0</v>
      </c>
      <c r="M440">
        <v>0.55338840105319897</v>
      </c>
      <c r="N440">
        <v>0</v>
      </c>
      <c r="O440">
        <v>0</v>
      </c>
      <c r="P440">
        <v>0.73203714476115489</v>
      </c>
      <c r="Q440">
        <v>1.6175506318385151</v>
      </c>
      <c r="R440">
        <v>4.9110654050419873</v>
      </c>
      <c r="S440">
        <v>0.18917287734021501</v>
      </c>
      <c r="T440">
        <v>0.14790710834592791</v>
      </c>
      <c r="U440">
        <v>4.2695174021729896</v>
      </c>
      <c r="V440">
        <v>0.19330748901132719</v>
      </c>
      <c r="W440">
        <v>11.817225976572439</v>
      </c>
      <c r="X440">
        <v>0.36546012966992819</v>
      </c>
      <c r="Z440" t="s">
        <v>392</v>
      </c>
      <c r="AA440">
        <v>161</v>
      </c>
      <c r="AB440" t="s">
        <v>4887</v>
      </c>
      <c r="AC440" t="str">
        <f>HYPERLINK("plots/3FT6Y578R04_015_S31P_20251219032831_M5358ACSA301811_RBGEUFRF04/dpll_52084/txpa_53279.png","plot")</f>
        <v>plot</v>
      </c>
    </row>
    <row r="441" spans="1:29" x14ac:dyDescent="0.35">
      <c r="A441" t="s">
        <v>50</v>
      </c>
      <c r="B441">
        <v>52084</v>
      </c>
      <c r="C441" t="s">
        <v>52</v>
      </c>
      <c r="D441">
        <v>53280</v>
      </c>
      <c r="E441" t="s">
        <v>155</v>
      </c>
      <c r="F441">
        <v>11781</v>
      </c>
      <c r="G441">
        <v>0.85772665471524479</v>
      </c>
      <c r="H441">
        <v>0</v>
      </c>
      <c r="I441">
        <v>0</v>
      </c>
      <c r="J441">
        <v>0.7547726538402808</v>
      </c>
      <c r="K441">
        <v>0</v>
      </c>
      <c r="L441">
        <v>0</v>
      </c>
      <c r="M441">
        <v>0.56223225545935074</v>
      </c>
      <c r="N441">
        <v>0</v>
      </c>
      <c r="O441">
        <v>0</v>
      </c>
      <c r="P441">
        <v>0.73569501420900474</v>
      </c>
      <c r="Q441">
        <v>1.626811792814199</v>
      </c>
      <c r="R441">
        <v>4.8778949370684712</v>
      </c>
      <c r="S441">
        <v>0.18847560273195979</v>
      </c>
      <c r="T441">
        <v>0.14752558666126309</v>
      </c>
      <c r="U441">
        <v>4.2695129435531793</v>
      </c>
      <c r="V441">
        <v>0.1933002831720991</v>
      </c>
      <c r="W441">
        <v>11.82358894321365</v>
      </c>
      <c r="X441">
        <v>0.36662400368459253</v>
      </c>
      <c r="Z441" t="s">
        <v>392</v>
      </c>
      <c r="AA441">
        <v>161</v>
      </c>
      <c r="AB441" t="s">
        <v>4888</v>
      </c>
      <c r="AC441" t="str">
        <f>HYPERLINK("plots/3FT6Y578R04_015_S31P_20251219032831_M5358ACSA301811_RBGEUFRF04/dpll_52084/txpa_53280.png","plot")</f>
        <v>plot</v>
      </c>
    </row>
    <row r="442" spans="1:29" x14ac:dyDescent="0.35">
      <c r="A442" t="s">
        <v>50</v>
      </c>
      <c r="B442">
        <v>52084</v>
      </c>
      <c r="C442" t="s">
        <v>52</v>
      </c>
      <c r="D442">
        <v>53281</v>
      </c>
      <c r="E442" t="s">
        <v>156</v>
      </c>
      <c r="F442">
        <v>11782</v>
      </c>
      <c r="G442">
        <v>0.85520242910798872</v>
      </c>
      <c r="H442">
        <v>0</v>
      </c>
      <c r="I442">
        <v>0</v>
      </c>
      <c r="J442">
        <v>0.74658788356357819</v>
      </c>
      <c r="K442">
        <v>0</v>
      </c>
      <c r="L442">
        <v>0</v>
      </c>
      <c r="M442">
        <v>0.55478379961775903</v>
      </c>
      <c r="N442">
        <v>0</v>
      </c>
      <c r="O442">
        <v>0</v>
      </c>
      <c r="P442">
        <v>0.73137119475220447</v>
      </c>
      <c r="Q442">
        <v>1.612064980421662</v>
      </c>
      <c r="R442">
        <v>4.9492849091795863</v>
      </c>
      <c r="S442">
        <v>0.1888609195089121</v>
      </c>
      <c r="T442">
        <v>0.1475565612859335</v>
      </c>
      <c r="U442">
        <v>4.2695416864708866</v>
      </c>
      <c r="V442">
        <v>0.1933172563537221</v>
      </c>
      <c r="W442">
        <v>11.832063544389751</v>
      </c>
      <c r="X442">
        <v>0.3644049273855382</v>
      </c>
      <c r="Z442" t="s">
        <v>392</v>
      </c>
      <c r="AA442">
        <v>161</v>
      </c>
      <c r="AB442" t="s">
        <v>4889</v>
      </c>
      <c r="AC442" t="str">
        <f>HYPERLINK("plots/3FT6Y578R04_015_S31P_20251219032831_M5358ACSA301811_RBGEUFRF04/dpll_52084/txpa_53281.png","plot")</f>
        <v>plot</v>
      </c>
    </row>
    <row r="443" spans="1:29" x14ac:dyDescent="0.35">
      <c r="A443" t="s">
        <v>50</v>
      </c>
      <c r="B443">
        <v>52084</v>
      </c>
      <c r="C443" t="s">
        <v>52</v>
      </c>
      <c r="D443">
        <v>53282</v>
      </c>
      <c r="E443" t="s">
        <v>157</v>
      </c>
      <c r="F443">
        <v>11779</v>
      </c>
      <c r="G443">
        <v>0.85140562219845473</v>
      </c>
      <c r="H443">
        <v>0</v>
      </c>
      <c r="I443">
        <v>0</v>
      </c>
      <c r="J443">
        <v>0.74166792931479009</v>
      </c>
      <c r="K443">
        <v>0</v>
      </c>
      <c r="L443">
        <v>0</v>
      </c>
      <c r="M443">
        <v>0.55044009142605443</v>
      </c>
      <c r="N443">
        <v>0</v>
      </c>
      <c r="O443">
        <v>0</v>
      </c>
      <c r="P443">
        <v>0.72489153351113778</v>
      </c>
      <c r="Q443">
        <v>1.5965280531407171</v>
      </c>
      <c r="R443">
        <v>4.9857631867449079</v>
      </c>
      <c r="S443">
        <v>0.1901276421888568</v>
      </c>
      <c r="T443">
        <v>0.14803519245752669</v>
      </c>
      <c r="U443">
        <v>4.2695879625604887</v>
      </c>
      <c r="V443">
        <v>0.19331772691528579</v>
      </c>
      <c r="W443">
        <v>11.802280144324641</v>
      </c>
      <c r="X443">
        <v>0.36250309622422211</v>
      </c>
      <c r="Z443" t="s">
        <v>392</v>
      </c>
      <c r="AA443">
        <v>161</v>
      </c>
      <c r="AB443" t="s">
        <v>4890</v>
      </c>
      <c r="AC443" t="str">
        <f>HYPERLINK("plots/3FT6Y578R04_015_S31P_20251219032831_M5358ACSA301811_RBGEUFRF04/dpll_52084/txpa_53282.png","plot")</f>
        <v>plot</v>
      </c>
    </row>
    <row r="444" spans="1:29" x14ac:dyDescent="0.35">
      <c r="A444" t="s">
        <v>50</v>
      </c>
      <c r="B444">
        <v>52084</v>
      </c>
      <c r="C444" t="s">
        <v>52</v>
      </c>
      <c r="D444">
        <v>53283</v>
      </c>
      <c r="E444" t="s">
        <v>158</v>
      </c>
      <c r="F444">
        <v>11782</v>
      </c>
      <c r="G444">
        <v>0.83909160096069058</v>
      </c>
      <c r="H444">
        <v>0</v>
      </c>
      <c r="I444">
        <v>0</v>
      </c>
      <c r="J444">
        <v>0.73504718268075775</v>
      </c>
      <c r="K444">
        <v>0</v>
      </c>
      <c r="L444">
        <v>0</v>
      </c>
      <c r="M444">
        <v>0.54132726332758929</v>
      </c>
      <c r="N444">
        <v>0</v>
      </c>
      <c r="O444">
        <v>0</v>
      </c>
      <c r="P444">
        <v>0.70407471480277484</v>
      </c>
      <c r="Q444">
        <v>1.6156943585892769</v>
      </c>
      <c r="R444">
        <v>5.4294840106691664</v>
      </c>
      <c r="S444">
        <v>0.20248509662408051</v>
      </c>
      <c r="T444">
        <v>0.15471310901307939</v>
      </c>
      <c r="U444">
        <v>4.2695416864708866</v>
      </c>
      <c r="V444">
        <v>0.1933172563537221</v>
      </c>
      <c r="W444">
        <v>12.327758427261919</v>
      </c>
      <c r="X444">
        <v>0.3722377868531403</v>
      </c>
      <c r="Z444" t="s">
        <v>392</v>
      </c>
      <c r="AA444">
        <v>161</v>
      </c>
      <c r="AB444" t="s">
        <v>4891</v>
      </c>
      <c r="AC444" t="str">
        <f>HYPERLINK("plots/3FT6Y578R04_015_S31P_20251219032831_M5358ACSA301811_RBGEUFRF04/dpll_52084/txpa_53283.png","plot")</f>
        <v>plot</v>
      </c>
    </row>
    <row r="445" spans="1:29" x14ac:dyDescent="0.35">
      <c r="A445" t="s">
        <v>50</v>
      </c>
      <c r="B445">
        <v>52084</v>
      </c>
      <c r="C445" t="s">
        <v>52</v>
      </c>
      <c r="D445">
        <v>53284</v>
      </c>
      <c r="E445" t="s">
        <v>159</v>
      </c>
      <c r="F445">
        <v>11782</v>
      </c>
      <c r="G445">
        <v>0.85084795037906891</v>
      </c>
      <c r="H445">
        <v>0</v>
      </c>
      <c r="I445">
        <v>0</v>
      </c>
      <c r="J445">
        <v>0.74642861319021403</v>
      </c>
      <c r="K445">
        <v>0</v>
      </c>
      <c r="L445">
        <v>0</v>
      </c>
      <c r="M445">
        <v>0.55491173729478116</v>
      </c>
      <c r="N445">
        <v>0</v>
      </c>
      <c r="O445">
        <v>0</v>
      </c>
      <c r="P445">
        <v>0.72394223466426255</v>
      </c>
      <c r="Q445">
        <v>1.650956159931747</v>
      </c>
      <c r="R445">
        <v>5.3155927976363584</v>
      </c>
      <c r="S445">
        <v>0.19707691696627891</v>
      </c>
      <c r="T445">
        <v>0.1525675829699473</v>
      </c>
      <c r="U445">
        <v>4.2695416864708866</v>
      </c>
      <c r="V445">
        <v>0.1933172563537221</v>
      </c>
      <c r="W445">
        <v>12.36441894500085</v>
      </c>
      <c r="X445">
        <v>0.37510616915289158</v>
      </c>
      <c r="Z445" t="s">
        <v>392</v>
      </c>
      <c r="AA445">
        <v>161</v>
      </c>
      <c r="AB445" t="s">
        <v>4892</v>
      </c>
      <c r="AC445" t="str">
        <f>HYPERLINK("plots/3FT6Y578R04_015_S31P_20251219032831_M5358ACSA301811_RBGEUFRF04/dpll_52084/txpa_53284.png","plot")</f>
        <v>plot</v>
      </c>
    </row>
    <row r="446" spans="1:29" x14ac:dyDescent="0.35">
      <c r="A446" t="s">
        <v>50</v>
      </c>
      <c r="B446">
        <v>52084</v>
      </c>
      <c r="C446" t="s">
        <v>52</v>
      </c>
      <c r="D446">
        <v>53285</v>
      </c>
      <c r="E446" t="s">
        <v>160</v>
      </c>
      <c r="F446">
        <v>11782</v>
      </c>
      <c r="G446">
        <v>0.847646679551468</v>
      </c>
      <c r="H446">
        <v>0</v>
      </c>
      <c r="I446">
        <v>0</v>
      </c>
      <c r="J446">
        <v>0.73984307593955001</v>
      </c>
      <c r="K446">
        <v>0</v>
      </c>
      <c r="L446">
        <v>0</v>
      </c>
      <c r="M446">
        <v>0.54747355219853666</v>
      </c>
      <c r="N446">
        <v>0</v>
      </c>
      <c r="O446">
        <v>0</v>
      </c>
      <c r="P446">
        <v>0.71850489335462908</v>
      </c>
      <c r="Q446">
        <v>1.6194155961149079</v>
      </c>
      <c r="R446">
        <v>5.4671300966031504</v>
      </c>
      <c r="S446">
        <v>0.1959435936605442</v>
      </c>
      <c r="T446">
        <v>0.15086125313898011</v>
      </c>
      <c r="U446">
        <v>4.2695416864708866</v>
      </c>
      <c r="V446">
        <v>0.1933172563537221</v>
      </c>
      <c r="W446">
        <v>12.381292491936851</v>
      </c>
      <c r="X446">
        <v>0.36932956559567659</v>
      </c>
      <c r="Z446" t="s">
        <v>392</v>
      </c>
      <c r="AA446">
        <v>161</v>
      </c>
      <c r="AB446" t="s">
        <v>4893</v>
      </c>
      <c r="AC446" t="str">
        <f>HYPERLINK("plots/3FT6Y578R04_015_S31P_20251219032831_M5358ACSA301811_RBGEUFRF04/dpll_52084/txpa_53285.png","plot")</f>
        <v>plot</v>
      </c>
    </row>
    <row r="447" spans="1:29" x14ac:dyDescent="0.35">
      <c r="A447" t="s">
        <v>50</v>
      </c>
      <c r="B447">
        <v>52084</v>
      </c>
      <c r="C447" t="s">
        <v>52</v>
      </c>
      <c r="D447">
        <v>53286</v>
      </c>
      <c r="E447" t="s">
        <v>161</v>
      </c>
      <c r="F447">
        <v>11781</v>
      </c>
      <c r="G447">
        <v>0.85554704631890854</v>
      </c>
      <c r="H447">
        <v>0</v>
      </c>
      <c r="I447">
        <v>0</v>
      </c>
      <c r="J447">
        <v>0.74759952216732728</v>
      </c>
      <c r="K447">
        <v>0</v>
      </c>
      <c r="L447">
        <v>0</v>
      </c>
      <c r="M447">
        <v>0.55574955660541581</v>
      </c>
      <c r="N447">
        <v>0</v>
      </c>
      <c r="O447">
        <v>0</v>
      </c>
      <c r="P447">
        <v>0.73196074846500869</v>
      </c>
      <c r="Q447">
        <v>1.650538608031225</v>
      </c>
      <c r="R447">
        <v>5.346056862695713</v>
      </c>
      <c r="S447">
        <v>0.19308475074528431</v>
      </c>
      <c r="T447">
        <v>0.1504106499630983</v>
      </c>
      <c r="U447">
        <v>4.2695489746201511</v>
      </c>
      <c r="V447">
        <v>0.19332384277072681</v>
      </c>
      <c r="W447">
        <v>12.393112284186399</v>
      </c>
      <c r="X447">
        <v>0.37296425453042958</v>
      </c>
      <c r="Z447" t="s">
        <v>392</v>
      </c>
      <c r="AA447">
        <v>161</v>
      </c>
      <c r="AB447" t="s">
        <v>4894</v>
      </c>
      <c r="AC447" t="str">
        <f>HYPERLINK("plots/3FT6Y578R04_015_S31P_20251219032831_M5358ACSA301811_RBGEUFRF04/dpll_52084/txpa_53286.png","plot")</f>
        <v>plot</v>
      </c>
    </row>
    <row r="448" spans="1:29" x14ac:dyDescent="0.35">
      <c r="A448" t="s">
        <v>50</v>
      </c>
      <c r="B448">
        <v>52084</v>
      </c>
      <c r="C448" t="s">
        <v>52</v>
      </c>
      <c r="D448">
        <v>53287</v>
      </c>
      <c r="E448" t="s">
        <v>162</v>
      </c>
      <c r="F448">
        <v>11781</v>
      </c>
      <c r="G448">
        <v>0.85723396729912282</v>
      </c>
      <c r="H448">
        <v>0</v>
      </c>
      <c r="I448">
        <v>0</v>
      </c>
      <c r="J448">
        <v>0.7472612169387608</v>
      </c>
      <c r="K448">
        <v>0</v>
      </c>
      <c r="L448">
        <v>0</v>
      </c>
      <c r="M448">
        <v>0.55444345907859727</v>
      </c>
      <c r="N448">
        <v>0</v>
      </c>
      <c r="O448">
        <v>0</v>
      </c>
      <c r="P448">
        <v>0.73485007469139363</v>
      </c>
      <c r="Q448">
        <v>1.654345207125332</v>
      </c>
      <c r="R448">
        <v>5.3046926190728314</v>
      </c>
      <c r="S448">
        <v>0.19208912027519459</v>
      </c>
      <c r="T448">
        <v>0.14999497004105919</v>
      </c>
      <c r="U448">
        <v>4.2695174021729896</v>
      </c>
      <c r="V448">
        <v>0.19330748901132719</v>
      </c>
      <c r="W448">
        <v>12.367948270095919</v>
      </c>
      <c r="X448">
        <v>0.37305721675367531</v>
      </c>
      <c r="Z448" t="s">
        <v>392</v>
      </c>
      <c r="AA448">
        <v>161</v>
      </c>
      <c r="AB448" t="s">
        <v>4895</v>
      </c>
      <c r="AC448" t="str">
        <f>HYPERLINK("plots/3FT6Y578R04_015_S31P_20251219032831_M5358ACSA301811_RBGEUFRF04/dpll_52084/txpa_53287.png","plot")</f>
        <v>plot</v>
      </c>
    </row>
    <row r="449" spans="1:29" x14ac:dyDescent="0.35">
      <c r="A449" t="s">
        <v>50</v>
      </c>
      <c r="B449">
        <v>52084</v>
      </c>
      <c r="C449" t="s">
        <v>52</v>
      </c>
      <c r="D449">
        <v>53288</v>
      </c>
      <c r="E449" t="s">
        <v>163</v>
      </c>
      <c r="F449">
        <v>11781</v>
      </c>
      <c r="G449">
        <v>0.85937896133229175</v>
      </c>
      <c r="H449">
        <v>0</v>
      </c>
      <c r="I449">
        <v>0</v>
      </c>
      <c r="J449">
        <v>0.7557656584484761</v>
      </c>
      <c r="K449">
        <v>0</v>
      </c>
      <c r="L449">
        <v>0</v>
      </c>
      <c r="M449">
        <v>0.56329966437446721</v>
      </c>
      <c r="N449">
        <v>0</v>
      </c>
      <c r="O449">
        <v>0</v>
      </c>
      <c r="P449">
        <v>0.73853219918056856</v>
      </c>
      <c r="Q449">
        <v>1.6635347214603049</v>
      </c>
      <c r="R449">
        <v>5.2720348271494197</v>
      </c>
      <c r="S449">
        <v>0.19132438105941241</v>
      </c>
      <c r="T449">
        <v>0.1494670015475546</v>
      </c>
      <c r="U449">
        <v>4.2695129435531793</v>
      </c>
      <c r="V449">
        <v>0.1933002831720991</v>
      </c>
      <c r="W449">
        <v>12.37451785247433</v>
      </c>
      <c r="X449">
        <v>0.37417920055475912</v>
      </c>
      <c r="Z449" t="s">
        <v>392</v>
      </c>
      <c r="AA449">
        <v>161</v>
      </c>
      <c r="AB449" t="s">
        <v>4896</v>
      </c>
      <c r="AC449" t="str">
        <f>HYPERLINK("plots/3FT6Y578R04_015_S31P_20251219032831_M5358ACSA301811_RBGEUFRF04/dpll_52084/txpa_53288.png","plot")</f>
        <v>plot</v>
      </c>
    </row>
    <row r="450" spans="1:29" x14ac:dyDescent="0.35">
      <c r="A450" t="s">
        <v>50</v>
      </c>
      <c r="B450">
        <v>52084</v>
      </c>
      <c r="C450" t="s">
        <v>52</v>
      </c>
      <c r="D450">
        <v>53289</v>
      </c>
      <c r="E450" t="s">
        <v>164</v>
      </c>
      <c r="F450">
        <v>11782</v>
      </c>
      <c r="G450">
        <v>0.85697261290193061</v>
      </c>
      <c r="H450">
        <v>0</v>
      </c>
      <c r="I450">
        <v>0</v>
      </c>
      <c r="J450">
        <v>0.74781514602172006</v>
      </c>
      <c r="K450">
        <v>0</v>
      </c>
      <c r="L450">
        <v>0</v>
      </c>
      <c r="M450">
        <v>0.55603558371081796</v>
      </c>
      <c r="N450">
        <v>0</v>
      </c>
      <c r="O450">
        <v>0</v>
      </c>
      <c r="P450">
        <v>0.73440205926396218</v>
      </c>
      <c r="Q450">
        <v>1.6489197431437039</v>
      </c>
      <c r="R450">
        <v>5.3431713760562181</v>
      </c>
      <c r="S450">
        <v>0.1916889676058669</v>
      </c>
      <c r="T450">
        <v>0.14947692430740561</v>
      </c>
      <c r="U450">
        <v>4.2695416864708866</v>
      </c>
      <c r="V450">
        <v>0.1933172563537221</v>
      </c>
      <c r="W450">
        <v>12.383302957053131</v>
      </c>
      <c r="X450">
        <v>0.37196596004696769</v>
      </c>
      <c r="Z450" t="s">
        <v>392</v>
      </c>
      <c r="AA450">
        <v>161</v>
      </c>
      <c r="AB450" t="s">
        <v>4897</v>
      </c>
      <c r="AC450" t="str">
        <f>HYPERLINK("plots/3FT6Y578R04_015_S31P_20251219032831_M5358ACSA301811_RBGEUFRF04/dpll_52084/txpa_53289.png","plot")</f>
        <v>plot</v>
      </c>
    </row>
    <row r="451" spans="1:29" x14ac:dyDescent="0.35">
      <c r="A451" t="s">
        <v>50</v>
      </c>
      <c r="B451">
        <v>52084</v>
      </c>
      <c r="C451" t="s">
        <v>52</v>
      </c>
      <c r="D451">
        <v>53290</v>
      </c>
      <c r="E451" t="s">
        <v>165</v>
      </c>
      <c r="F451">
        <v>11778</v>
      </c>
      <c r="G451">
        <v>0.85319603597637683</v>
      </c>
      <c r="H451">
        <v>0</v>
      </c>
      <c r="I451">
        <v>0</v>
      </c>
      <c r="J451">
        <v>0.74232797976505638</v>
      </c>
      <c r="K451">
        <v>0</v>
      </c>
      <c r="L451">
        <v>0</v>
      </c>
      <c r="M451">
        <v>0.55114529123405742</v>
      </c>
      <c r="N451">
        <v>0</v>
      </c>
      <c r="O451">
        <v>0</v>
      </c>
      <c r="P451">
        <v>0.72794347580580288</v>
      </c>
      <c r="Q451">
        <v>1.6313715398683899</v>
      </c>
      <c r="R451">
        <v>5.3882314662730861</v>
      </c>
      <c r="S451">
        <v>0.19278117408351769</v>
      </c>
      <c r="T451">
        <v>0.1500324258054693</v>
      </c>
      <c r="U451">
        <v>4.2696123425029713</v>
      </c>
      <c r="V451">
        <v>0.19330782448343539</v>
      </c>
      <c r="W451">
        <v>12.353555528103239</v>
      </c>
      <c r="X451">
        <v>0.36961831747760471</v>
      </c>
      <c r="Z451" t="s">
        <v>392</v>
      </c>
      <c r="AA451">
        <v>161</v>
      </c>
      <c r="AB451" t="s">
        <v>4898</v>
      </c>
      <c r="AC451" t="str">
        <f>HYPERLINK("plots/3FT6Y578R04_015_S31P_20251219032831_M5358ACSA301811_RBGEUFRF04/dpll_52084/txpa_53290.png","plot")</f>
        <v>plot</v>
      </c>
    </row>
    <row r="452" spans="1:29" x14ac:dyDescent="0.35">
      <c r="A452" t="s">
        <v>50</v>
      </c>
      <c r="B452">
        <v>52084</v>
      </c>
      <c r="C452" t="s">
        <v>52</v>
      </c>
      <c r="D452">
        <v>54146</v>
      </c>
      <c r="E452" t="s">
        <v>166</v>
      </c>
      <c r="F452">
        <v>11782</v>
      </c>
      <c r="G452">
        <v>-8.4396239944875759E-3</v>
      </c>
      <c r="H452">
        <v>0.35966823715892998</v>
      </c>
      <c r="I452">
        <v>0.35966823715892998</v>
      </c>
      <c r="J452">
        <v>-1.026396711428423E-2</v>
      </c>
      <c r="K452">
        <v>0.26527376351326942</v>
      </c>
      <c r="L452">
        <v>0.26527376351326942</v>
      </c>
      <c r="M452">
        <v>-6.8039524276742661E-3</v>
      </c>
      <c r="N452">
        <v>0.26802666297507022</v>
      </c>
      <c r="O452">
        <v>0.26802666297507022</v>
      </c>
      <c r="P452">
        <v>7.122725316833043E-5</v>
      </c>
      <c r="Q452">
        <v>-0.20042962569601169</v>
      </c>
      <c r="R452">
        <v>-10.49550728455492</v>
      </c>
      <c r="S452">
        <v>4.5906643640813636</v>
      </c>
      <c r="T452">
        <v>3.5043288175039029</v>
      </c>
      <c r="U452">
        <v>4.2695416864708866</v>
      </c>
      <c r="V452">
        <v>0.1933172563537221</v>
      </c>
      <c r="W452">
        <v>-11.3512499266678</v>
      </c>
      <c r="X452">
        <v>4.5910226992179028</v>
      </c>
      <c r="Z452" t="s">
        <v>392</v>
      </c>
      <c r="AA452">
        <v>161</v>
      </c>
      <c r="AB452" t="s">
        <v>4899</v>
      </c>
      <c r="AC452" t="str">
        <f>HYPERLINK("plots/3FT6Y578R04_015_S31P_20251219032831_M5358ACSA301811_RBGEUFRF04/dpll_52084/txpa_54146.png","plot")</f>
        <v>plot</v>
      </c>
    </row>
    <row r="453" spans="1:29" x14ac:dyDescent="0.35">
      <c r="A453" t="s">
        <v>50</v>
      </c>
      <c r="B453">
        <v>52084</v>
      </c>
      <c r="C453" t="s">
        <v>52</v>
      </c>
      <c r="D453">
        <v>54147</v>
      </c>
      <c r="E453" t="s">
        <v>167</v>
      </c>
      <c r="F453">
        <v>11782</v>
      </c>
      <c r="G453">
        <v>0.27062413532903767</v>
      </c>
      <c r="H453">
        <v>7.54961534374175E-197</v>
      </c>
      <c r="I453">
        <v>7.7718882827960755E-197</v>
      </c>
      <c r="J453">
        <v>0.24334472515741271</v>
      </c>
      <c r="K453">
        <v>2.154843352592885E-158</v>
      </c>
      <c r="L453">
        <v>2.2070819793224101E-158</v>
      </c>
      <c r="M453">
        <v>0.1643351950280694</v>
      </c>
      <c r="N453">
        <v>9.6810354817370255E-157</v>
      </c>
      <c r="O453">
        <v>9.9157272509912555E-157</v>
      </c>
      <c r="P453">
        <v>7.3237422622589324E-2</v>
      </c>
      <c r="Q453">
        <v>1.6046114775297611</v>
      </c>
      <c r="R453">
        <v>-28.880939880951001</v>
      </c>
      <c r="S453">
        <v>1.1034173390886519</v>
      </c>
      <c r="T453">
        <v>0.88966000434946846</v>
      </c>
      <c r="U453">
        <v>4.2695416864708866</v>
      </c>
      <c r="V453">
        <v>0.1933172563537221</v>
      </c>
      <c r="W453">
        <v>-22.029984287048041</v>
      </c>
      <c r="X453">
        <v>1.1462358594609121</v>
      </c>
      <c r="Z453" t="s">
        <v>392</v>
      </c>
      <c r="AA453">
        <v>161</v>
      </c>
      <c r="AB453" t="s">
        <v>4900</v>
      </c>
      <c r="AC453" t="str">
        <f>HYPERLINK("plots/3FT6Y578R04_015_S31P_20251219032831_M5358ACSA301811_RBGEUFRF04/dpll_52084/txpa_54147.png","plot")</f>
        <v>plot</v>
      </c>
    </row>
    <row r="454" spans="1:29" x14ac:dyDescent="0.35">
      <c r="A454" t="s">
        <v>50</v>
      </c>
      <c r="B454">
        <v>52084</v>
      </c>
      <c r="C454" t="s">
        <v>52</v>
      </c>
      <c r="D454">
        <v>54148</v>
      </c>
      <c r="E454" t="s">
        <v>168</v>
      </c>
      <c r="F454">
        <v>11782</v>
      </c>
      <c r="G454">
        <v>0.29081962256285498</v>
      </c>
      <c r="H454">
        <v>2.277729274227645E-228</v>
      </c>
      <c r="I454">
        <v>2.4008497755372469E-228</v>
      </c>
      <c r="J454">
        <v>0.26143019872394818</v>
      </c>
      <c r="K454">
        <v>2.2861084498527222E-183</v>
      </c>
      <c r="L454">
        <v>2.3997039007770808E-183</v>
      </c>
      <c r="M454">
        <v>0.1768985044547477</v>
      </c>
      <c r="N454">
        <v>1.7375716431563039E-181</v>
      </c>
      <c r="O454">
        <v>1.8239106067913999E-181</v>
      </c>
      <c r="P454">
        <v>8.4576052867601462E-2</v>
      </c>
      <c r="Q454">
        <v>1.727969926956809</v>
      </c>
      <c r="R454">
        <v>-29.262226824193661</v>
      </c>
      <c r="S454">
        <v>1.098944600785049</v>
      </c>
      <c r="T454">
        <v>0.8774953951549973</v>
      </c>
      <c r="U454">
        <v>4.2695416864708866</v>
      </c>
      <c r="V454">
        <v>0.1933172563537221</v>
      </c>
      <c r="W454">
        <v>-21.884587188083511</v>
      </c>
      <c r="X454">
        <v>1.148637778968419</v>
      </c>
      <c r="Z454" t="s">
        <v>392</v>
      </c>
      <c r="AA454">
        <v>161</v>
      </c>
      <c r="AB454" t="s">
        <v>4901</v>
      </c>
      <c r="AC454" t="str">
        <f>HYPERLINK("plots/3FT6Y578R04_015_S31P_20251219032831_M5358ACSA301811_RBGEUFRF04/dpll_52084/txpa_54148.png","plot")</f>
        <v>plot</v>
      </c>
    </row>
    <row r="455" spans="1:29" x14ac:dyDescent="0.35">
      <c r="A455" t="s">
        <v>50</v>
      </c>
      <c r="B455">
        <v>52084</v>
      </c>
      <c r="C455" t="s">
        <v>52</v>
      </c>
      <c r="D455">
        <v>54149</v>
      </c>
      <c r="E455" t="s">
        <v>169</v>
      </c>
      <c r="F455">
        <v>11782</v>
      </c>
      <c r="G455">
        <v>0.28933736669648941</v>
      </c>
      <c r="H455">
        <v>5.7749219720106037E-226</v>
      </c>
      <c r="I455">
        <v>6.0681563519365313E-226</v>
      </c>
      <c r="J455">
        <v>0.260309570700064</v>
      </c>
      <c r="K455">
        <v>9.2420706082751941E-182</v>
      </c>
      <c r="L455">
        <v>9.6812599140403369E-182</v>
      </c>
      <c r="M455">
        <v>0.17608529482646301</v>
      </c>
      <c r="N455">
        <v>7.2539030481217576E-180</v>
      </c>
      <c r="O455">
        <v>7.5986133169374601E-180</v>
      </c>
      <c r="P455">
        <v>8.3716111766858781E-2</v>
      </c>
      <c r="Q455">
        <v>1.704658635674301</v>
      </c>
      <c r="R455">
        <v>-29.189908185657242</v>
      </c>
      <c r="S455">
        <v>1.0901847810676859</v>
      </c>
      <c r="T455">
        <v>0.86888362413835074</v>
      </c>
      <c r="U455">
        <v>4.2695416864708866</v>
      </c>
      <c r="V455">
        <v>0.1933172563537221</v>
      </c>
      <c r="W455">
        <v>-21.911797079443222</v>
      </c>
      <c r="X455">
        <v>1.13894701617962</v>
      </c>
      <c r="Z455" t="s">
        <v>392</v>
      </c>
      <c r="AA455">
        <v>161</v>
      </c>
      <c r="AB455" t="s">
        <v>4902</v>
      </c>
      <c r="AC455" t="str">
        <f>HYPERLINK("plots/3FT6Y578R04_015_S31P_20251219032831_M5358ACSA301811_RBGEUFRF04/dpll_52084/txpa_54149.png","plot")</f>
        <v>plot</v>
      </c>
    </row>
    <row r="456" spans="1:29" x14ac:dyDescent="0.35">
      <c r="A456" t="s">
        <v>50</v>
      </c>
      <c r="B456">
        <v>52084</v>
      </c>
      <c r="C456" t="s">
        <v>52</v>
      </c>
      <c r="D456">
        <v>54150</v>
      </c>
      <c r="E456" t="s">
        <v>170</v>
      </c>
      <c r="F456">
        <v>11782</v>
      </c>
      <c r="G456">
        <v>0.28545784097093052</v>
      </c>
      <c r="H456">
        <v>9.6638181393819415E-220</v>
      </c>
      <c r="I456">
        <v>1.0123049166666619E-219</v>
      </c>
      <c r="J456">
        <v>0.2616966692574042</v>
      </c>
      <c r="K456">
        <v>9.459960188109349E-184</v>
      </c>
      <c r="L456">
        <v>9.9403104981791497E-184</v>
      </c>
      <c r="M456">
        <v>0.17686331605501429</v>
      </c>
      <c r="N456">
        <v>1.3259670238242091E-181</v>
      </c>
      <c r="O456">
        <v>1.393295919334453E-181</v>
      </c>
      <c r="P456">
        <v>8.1486178971785062E-2</v>
      </c>
      <c r="Q456">
        <v>1.6886697913837529</v>
      </c>
      <c r="R456">
        <v>-29.005057155400021</v>
      </c>
      <c r="S456">
        <v>1.0959678061631131</v>
      </c>
      <c r="T456">
        <v>0.87096091536923148</v>
      </c>
      <c r="U456">
        <v>4.2695416864708866</v>
      </c>
      <c r="V456">
        <v>0.1933172563537221</v>
      </c>
      <c r="W456">
        <v>-21.79521108640299</v>
      </c>
      <c r="X456">
        <v>1.143597982270746</v>
      </c>
      <c r="Z456" t="s">
        <v>392</v>
      </c>
      <c r="AA456">
        <v>161</v>
      </c>
      <c r="AB456" t="s">
        <v>4903</v>
      </c>
      <c r="AC456" t="str">
        <f>HYPERLINK("plots/3FT6Y578R04_015_S31P_20251219032831_M5358ACSA301811_RBGEUFRF04/dpll_52084/txpa_54150.png","plot")</f>
        <v>plot</v>
      </c>
    </row>
    <row r="457" spans="1:29" x14ac:dyDescent="0.35">
      <c r="A457" t="s">
        <v>50</v>
      </c>
      <c r="B457">
        <v>52084</v>
      </c>
      <c r="C457" t="s">
        <v>52</v>
      </c>
      <c r="D457">
        <v>54151</v>
      </c>
      <c r="E457" t="s">
        <v>171</v>
      </c>
      <c r="F457">
        <v>11782</v>
      </c>
      <c r="G457">
        <v>0.28073274638682799</v>
      </c>
      <c r="H457">
        <v>2.7044640266929082E-212</v>
      </c>
      <c r="I457">
        <v>2.8068848751961192E-212</v>
      </c>
      <c r="J457">
        <v>0.25340904321656899</v>
      </c>
      <c r="K457">
        <v>4.8527030200255297E-172</v>
      </c>
      <c r="L457">
        <v>5.031330125057145E-172</v>
      </c>
      <c r="M457">
        <v>0.17131272787162241</v>
      </c>
      <c r="N457">
        <v>1.6506598255011969E-170</v>
      </c>
      <c r="O457">
        <v>1.711420309875475E-170</v>
      </c>
      <c r="P457">
        <v>7.8810874893891089E-2</v>
      </c>
      <c r="Q457">
        <v>1.640400444591817</v>
      </c>
      <c r="R457">
        <v>-28.867013568722729</v>
      </c>
      <c r="S457">
        <v>1.0841350784280339</v>
      </c>
      <c r="T457">
        <v>0.86418790377224741</v>
      </c>
      <c r="U457">
        <v>4.2695416864708866</v>
      </c>
      <c r="V457">
        <v>0.1933172563537221</v>
      </c>
      <c r="W457">
        <v>-21.863255488032589</v>
      </c>
      <c r="X457">
        <v>1.1296071347264649</v>
      </c>
      <c r="Z457" t="s">
        <v>392</v>
      </c>
      <c r="AA457">
        <v>161</v>
      </c>
      <c r="AB457" t="s">
        <v>4904</v>
      </c>
      <c r="AC457" t="str">
        <f>HYPERLINK("plots/3FT6Y578R04_015_S31P_20251219032831_M5358ACSA301811_RBGEUFRF04/dpll_52084/txpa_54151.png","plot")</f>
        <v>plot</v>
      </c>
    </row>
    <row r="458" spans="1:29" x14ac:dyDescent="0.35">
      <c r="A458" t="s">
        <v>50</v>
      </c>
      <c r="B458">
        <v>52084</v>
      </c>
      <c r="C458" t="s">
        <v>52</v>
      </c>
      <c r="D458">
        <v>54152</v>
      </c>
      <c r="E458" t="s">
        <v>172</v>
      </c>
      <c r="F458">
        <v>11782</v>
      </c>
      <c r="G458">
        <v>0.27508158982924658</v>
      </c>
      <c r="H458">
        <v>1.406350483498141E-203</v>
      </c>
      <c r="I458">
        <v>1.4521786051599951E-203</v>
      </c>
      <c r="J458">
        <v>0.2528380316147294</v>
      </c>
      <c r="K458">
        <v>2.999361381639141E-171</v>
      </c>
      <c r="L458">
        <v>3.103420858144989E-171</v>
      </c>
      <c r="M458">
        <v>0.17034162323479701</v>
      </c>
      <c r="N458">
        <v>1.4812496583486211E-168</v>
      </c>
      <c r="O458">
        <v>1.532639952617858E-168</v>
      </c>
      <c r="P458">
        <v>7.5669881062985889E-2</v>
      </c>
      <c r="Q458">
        <v>1.6107812890308859</v>
      </c>
      <c r="R458">
        <v>-28.775658607357979</v>
      </c>
      <c r="S458">
        <v>1.088280366950962</v>
      </c>
      <c r="T458">
        <v>0.86973947293707243</v>
      </c>
      <c r="U458">
        <v>4.2695416864708866</v>
      </c>
      <c r="V458">
        <v>0.1933172563537221</v>
      </c>
      <c r="W458">
        <v>-21.898360746053299</v>
      </c>
      <c r="X458">
        <v>1.1319980358360411</v>
      </c>
      <c r="Z458" t="s">
        <v>392</v>
      </c>
      <c r="AA458">
        <v>161</v>
      </c>
      <c r="AB458" t="s">
        <v>4905</v>
      </c>
      <c r="AC458" t="str">
        <f>HYPERLINK("plots/3FT6Y578R04_015_S31P_20251219032831_M5358ACSA301811_RBGEUFRF04/dpll_52084/txpa_54152.png","plot")</f>
        <v>plot</v>
      </c>
    </row>
    <row r="459" spans="1:29" x14ac:dyDescent="0.35">
      <c r="A459" t="s">
        <v>50</v>
      </c>
      <c r="B459">
        <v>52084</v>
      </c>
      <c r="C459" t="s">
        <v>52</v>
      </c>
      <c r="D459">
        <v>54153</v>
      </c>
      <c r="E459" t="s">
        <v>173</v>
      </c>
      <c r="F459">
        <v>11782</v>
      </c>
      <c r="G459">
        <v>0.28417992166719669</v>
      </c>
      <c r="H459">
        <v>1.03176656758158E-217</v>
      </c>
      <c r="I459">
        <v>1.0774575690295799E-217</v>
      </c>
      <c r="J459">
        <v>0.25386012450136891</v>
      </c>
      <c r="K459">
        <v>1.1472319970601599E-172</v>
      </c>
      <c r="L459">
        <v>1.1931212769425659E-172</v>
      </c>
      <c r="M459">
        <v>0.17169809679172821</v>
      </c>
      <c r="N459">
        <v>5.4454258496267314E-171</v>
      </c>
      <c r="O459">
        <v>5.6632428836118009E-171</v>
      </c>
      <c r="P459">
        <v>8.0758227878774083E-2</v>
      </c>
      <c r="Q459">
        <v>1.6975891723487311</v>
      </c>
      <c r="R459">
        <v>-29.179828526335442</v>
      </c>
      <c r="S459">
        <v>1.107149513565953</v>
      </c>
      <c r="T459">
        <v>0.88408964905269638</v>
      </c>
      <c r="U459">
        <v>4.2695416864708866</v>
      </c>
      <c r="V459">
        <v>0.1933172563537221</v>
      </c>
      <c r="W459">
        <v>-21.931900788490921</v>
      </c>
      <c r="X459">
        <v>1.154808120464494</v>
      </c>
      <c r="Z459" t="s">
        <v>392</v>
      </c>
      <c r="AA459">
        <v>161</v>
      </c>
      <c r="AB459" t="s">
        <v>4906</v>
      </c>
      <c r="AC459" t="str">
        <f>HYPERLINK("plots/3FT6Y578R04_015_S31P_20251219032831_M5358ACSA301811_RBGEUFRF04/dpll_52084/txpa_54153.png","plot")</f>
        <v>plot</v>
      </c>
    </row>
    <row r="460" spans="1:29" x14ac:dyDescent="0.35">
      <c r="A460" t="s">
        <v>50</v>
      </c>
      <c r="B460">
        <v>52084</v>
      </c>
      <c r="C460" t="s">
        <v>52</v>
      </c>
      <c r="D460">
        <v>54154</v>
      </c>
      <c r="E460" t="s">
        <v>174</v>
      </c>
      <c r="F460">
        <v>11782</v>
      </c>
      <c r="G460">
        <v>0.25873088715385878</v>
      </c>
      <c r="H460">
        <v>1.643582701962223E-179</v>
      </c>
      <c r="I460">
        <v>1.6716076828382092E-179</v>
      </c>
      <c r="J460">
        <v>0.23153540426381339</v>
      </c>
      <c r="K460">
        <v>3.6132629496121391E-143</v>
      </c>
      <c r="L460">
        <v>3.6675161470537619E-143</v>
      </c>
      <c r="M460">
        <v>0.1564089586560371</v>
      </c>
      <c r="N460">
        <v>5.9407694846288423E-142</v>
      </c>
      <c r="O460">
        <v>6.0299702276412867E-142</v>
      </c>
      <c r="P460">
        <v>6.6941671967422803E-2</v>
      </c>
      <c r="Q460">
        <v>1.552446283879954</v>
      </c>
      <c r="R460">
        <v>-28.714285825083209</v>
      </c>
      <c r="S460">
        <v>1.1204046247673951</v>
      </c>
      <c r="T460">
        <v>0.90827722147301493</v>
      </c>
      <c r="U460">
        <v>4.2695416864708866</v>
      </c>
      <c r="V460">
        <v>0.1933172563537221</v>
      </c>
      <c r="W460">
        <v>-22.08605170005093</v>
      </c>
      <c r="X460">
        <v>1.159949086626584</v>
      </c>
      <c r="Z460" t="s">
        <v>392</v>
      </c>
      <c r="AA460">
        <v>161</v>
      </c>
      <c r="AB460" t="s">
        <v>4907</v>
      </c>
      <c r="AC460" t="str">
        <f>HYPERLINK("plots/3FT6Y578R04_015_S31P_20251219032831_M5358ACSA301811_RBGEUFRF04/dpll_52084/txpa_54154.png","plot")</f>
        <v>plot</v>
      </c>
    </row>
    <row r="461" spans="1:29" x14ac:dyDescent="0.35">
      <c r="A461" t="s">
        <v>50</v>
      </c>
      <c r="B461">
        <v>52084</v>
      </c>
      <c r="C461" t="s">
        <v>52</v>
      </c>
      <c r="D461">
        <v>54155</v>
      </c>
      <c r="E461" t="s">
        <v>175</v>
      </c>
      <c r="F461">
        <v>11782</v>
      </c>
      <c r="G461">
        <v>0.60449796619056206</v>
      </c>
      <c r="H461">
        <v>0</v>
      </c>
      <c r="I461">
        <v>0</v>
      </c>
      <c r="J461">
        <v>0.5248065310719594</v>
      </c>
      <c r="K461">
        <v>0</v>
      </c>
      <c r="L461">
        <v>0</v>
      </c>
      <c r="M461">
        <v>0.36746450314711449</v>
      </c>
      <c r="N461">
        <v>0</v>
      </c>
      <c r="O461">
        <v>0</v>
      </c>
      <c r="P461">
        <v>0.3654177911285259</v>
      </c>
      <c r="Q461">
        <v>0.9587768354443581</v>
      </c>
      <c r="R461">
        <v>-15.44572131743611</v>
      </c>
      <c r="S461">
        <v>0.24424114446158721</v>
      </c>
      <c r="T461">
        <v>0.18998898054777269</v>
      </c>
      <c r="U461">
        <v>4.2695416864708866</v>
      </c>
      <c r="V461">
        <v>0.1933172563537221</v>
      </c>
      <c r="W461">
        <v>-11.35218365048379</v>
      </c>
      <c r="X461">
        <v>0.30661493942095103</v>
      </c>
      <c r="Z461" t="s">
        <v>392</v>
      </c>
      <c r="AA461">
        <v>161</v>
      </c>
      <c r="AB461" t="s">
        <v>4908</v>
      </c>
      <c r="AC461" t="str">
        <f>HYPERLINK("plots/3FT6Y578R04_015_S31P_20251219032831_M5358ACSA301811_RBGEUFRF04/dpll_52084/txpa_54155.png","plot")</f>
        <v>plot</v>
      </c>
    </row>
    <row r="462" spans="1:29" x14ac:dyDescent="0.35">
      <c r="A462" t="s">
        <v>50</v>
      </c>
      <c r="B462">
        <v>52084</v>
      </c>
      <c r="C462" t="s">
        <v>52</v>
      </c>
      <c r="D462">
        <v>54156</v>
      </c>
      <c r="E462" t="s">
        <v>176</v>
      </c>
      <c r="F462">
        <v>11782</v>
      </c>
      <c r="G462">
        <v>0.62942902409744217</v>
      </c>
      <c r="H462">
        <v>0</v>
      </c>
      <c r="I462">
        <v>0</v>
      </c>
      <c r="J462">
        <v>0.54651166218365554</v>
      </c>
      <c r="K462">
        <v>0</v>
      </c>
      <c r="L462">
        <v>0</v>
      </c>
      <c r="M462">
        <v>0.38537843156286522</v>
      </c>
      <c r="N462">
        <v>0</v>
      </c>
      <c r="O462">
        <v>0</v>
      </c>
      <c r="P462">
        <v>0.39618089637625842</v>
      </c>
      <c r="Q462">
        <v>1.0023482550746421</v>
      </c>
      <c r="R462">
        <v>-15.56535402844005</v>
      </c>
      <c r="S462">
        <v>0.2392089857775791</v>
      </c>
      <c r="T462">
        <v>0.18622012816085559</v>
      </c>
      <c r="U462">
        <v>4.2695416864708866</v>
      </c>
      <c r="V462">
        <v>0.1933172563537221</v>
      </c>
      <c r="W462">
        <v>-11.28578636903752</v>
      </c>
      <c r="X462">
        <v>0.30785236645200009</v>
      </c>
      <c r="Z462" t="s">
        <v>392</v>
      </c>
      <c r="AA462">
        <v>161</v>
      </c>
      <c r="AB462" t="s">
        <v>4909</v>
      </c>
      <c r="AC462" t="str">
        <f>HYPERLINK("plots/3FT6Y578R04_015_S31P_20251219032831_M5358ACSA301811_RBGEUFRF04/dpll_52084/txpa_54156.png","plot")</f>
        <v>plot</v>
      </c>
    </row>
    <row r="463" spans="1:29" x14ac:dyDescent="0.35">
      <c r="A463" t="s">
        <v>50</v>
      </c>
      <c r="B463">
        <v>52084</v>
      </c>
      <c r="C463" t="s">
        <v>52</v>
      </c>
      <c r="D463">
        <v>54157</v>
      </c>
      <c r="E463" t="s">
        <v>177</v>
      </c>
      <c r="F463">
        <v>11782</v>
      </c>
      <c r="G463">
        <v>0.62452730989773619</v>
      </c>
      <c r="H463">
        <v>0</v>
      </c>
      <c r="I463">
        <v>0</v>
      </c>
      <c r="J463">
        <v>0.53600362863820739</v>
      </c>
      <c r="K463">
        <v>0</v>
      </c>
      <c r="L463">
        <v>0</v>
      </c>
      <c r="M463">
        <v>0.37734930881042872</v>
      </c>
      <c r="N463">
        <v>0</v>
      </c>
      <c r="O463">
        <v>0</v>
      </c>
      <c r="P463">
        <v>0.390034360808103</v>
      </c>
      <c r="Q463">
        <v>0.97512630191903416</v>
      </c>
      <c r="R463">
        <v>-15.44678096530008</v>
      </c>
      <c r="S463">
        <v>0.23572970539236129</v>
      </c>
      <c r="T463">
        <v>0.18345068530581979</v>
      </c>
      <c r="U463">
        <v>4.2695416864708866</v>
      </c>
      <c r="V463">
        <v>0.1933172563537221</v>
      </c>
      <c r="W463">
        <v>-11.28343856968257</v>
      </c>
      <c r="X463">
        <v>0.30184227062257141</v>
      </c>
      <c r="Z463" t="s">
        <v>392</v>
      </c>
      <c r="AA463">
        <v>161</v>
      </c>
      <c r="AB463" t="s">
        <v>4910</v>
      </c>
      <c r="AC463" t="str">
        <f>HYPERLINK("plots/3FT6Y578R04_015_S31P_20251219032831_M5358ACSA301811_RBGEUFRF04/dpll_52084/txpa_54157.png","plot")</f>
        <v>plot</v>
      </c>
    </row>
    <row r="464" spans="1:29" x14ac:dyDescent="0.35">
      <c r="A464" t="s">
        <v>50</v>
      </c>
      <c r="B464">
        <v>52084</v>
      </c>
      <c r="C464" t="s">
        <v>52</v>
      </c>
      <c r="D464">
        <v>54158</v>
      </c>
      <c r="E464" t="s">
        <v>178</v>
      </c>
      <c r="F464">
        <v>11781</v>
      </c>
      <c r="G464">
        <v>0.640700015648903</v>
      </c>
      <c r="H464">
        <v>0</v>
      </c>
      <c r="I464">
        <v>0</v>
      </c>
      <c r="J464">
        <v>0.54823038794298917</v>
      </c>
      <c r="K464">
        <v>0</v>
      </c>
      <c r="L464">
        <v>0</v>
      </c>
      <c r="M464">
        <v>0.38667640511958751</v>
      </c>
      <c r="N464">
        <v>0</v>
      </c>
      <c r="O464">
        <v>0</v>
      </c>
      <c r="P464">
        <v>0.41049651005250448</v>
      </c>
      <c r="Q464">
        <v>1.0174437207822029</v>
      </c>
      <c r="R464">
        <v>-15.575535701428681</v>
      </c>
      <c r="S464">
        <v>0.2357033949565068</v>
      </c>
      <c r="T464">
        <v>0.1843183525918598</v>
      </c>
      <c r="U464">
        <v>4.2695489746201511</v>
      </c>
      <c r="V464">
        <v>0.19332384277072681</v>
      </c>
      <c r="W464">
        <v>-11.23150990662932</v>
      </c>
      <c r="X464">
        <v>0.30700191212785799</v>
      </c>
      <c r="Z464" t="s">
        <v>392</v>
      </c>
      <c r="AA464">
        <v>161</v>
      </c>
      <c r="AB464" t="s">
        <v>4911</v>
      </c>
      <c r="AC464" t="str">
        <f>HYPERLINK("plots/3FT6Y578R04_015_S31P_20251219032831_M5358ACSA301811_RBGEUFRF04/dpll_52084/txpa_54158.png","plot")</f>
        <v>plot</v>
      </c>
    </row>
    <row r="465" spans="1:29" x14ac:dyDescent="0.35">
      <c r="A465" t="s">
        <v>50</v>
      </c>
      <c r="B465">
        <v>52084</v>
      </c>
      <c r="C465" t="s">
        <v>52</v>
      </c>
      <c r="D465">
        <v>54159</v>
      </c>
      <c r="E465" t="s">
        <v>179</v>
      </c>
      <c r="F465">
        <v>11781</v>
      </c>
      <c r="G465">
        <v>0.64000858886650336</v>
      </c>
      <c r="H465">
        <v>0</v>
      </c>
      <c r="I465">
        <v>0</v>
      </c>
      <c r="J465">
        <v>0.54206762984636969</v>
      </c>
      <c r="K465">
        <v>0</v>
      </c>
      <c r="L465">
        <v>0</v>
      </c>
      <c r="M465">
        <v>0.38113908303329402</v>
      </c>
      <c r="N465">
        <v>0</v>
      </c>
      <c r="O465">
        <v>0</v>
      </c>
      <c r="P465">
        <v>0.4096109938228929</v>
      </c>
      <c r="Q465">
        <v>1.0109847957694329</v>
      </c>
      <c r="R465">
        <v>-15.569985903086859</v>
      </c>
      <c r="S465">
        <v>0.23461630983787601</v>
      </c>
      <c r="T465">
        <v>0.18438061395400951</v>
      </c>
      <c r="U465">
        <v>4.2695174021729896</v>
      </c>
      <c r="V465">
        <v>0.19330748901132719</v>
      </c>
      <c r="W465">
        <v>-11.25356872421696</v>
      </c>
      <c r="X465">
        <v>0.30535673379780609</v>
      </c>
      <c r="Z465" t="s">
        <v>392</v>
      </c>
      <c r="AA465">
        <v>161</v>
      </c>
      <c r="AB465" t="s">
        <v>4912</v>
      </c>
      <c r="AC465" t="str">
        <f>HYPERLINK("plots/3FT6Y578R04_015_S31P_20251219032831_M5358ACSA301811_RBGEUFRF04/dpll_52084/txpa_54159.png","plot")</f>
        <v>plot</v>
      </c>
    </row>
    <row r="466" spans="1:29" x14ac:dyDescent="0.35">
      <c r="A466" t="s">
        <v>50</v>
      </c>
      <c r="B466">
        <v>52084</v>
      </c>
      <c r="C466" t="s">
        <v>52</v>
      </c>
      <c r="D466">
        <v>54160</v>
      </c>
      <c r="E466" t="s">
        <v>180</v>
      </c>
      <c r="F466">
        <v>11782</v>
      </c>
      <c r="G466">
        <v>0.64277230476184</v>
      </c>
      <c r="H466">
        <v>0</v>
      </c>
      <c r="I466">
        <v>0</v>
      </c>
      <c r="J466">
        <v>0.55756492142797698</v>
      </c>
      <c r="K466">
        <v>0</v>
      </c>
      <c r="L466">
        <v>0</v>
      </c>
      <c r="M466">
        <v>0.3941552630720444</v>
      </c>
      <c r="N466">
        <v>0</v>
      </c>
      <c r="O466">
        <v>0</v>
      </c>
      <c r="P466">
        <v>0.41315623576884769</v>
      </c>
      <c r="Q466">
        <v>1.0135528013938819</v>
      </c>
      <c r="R466">
        <v>-15.596293776067091</v>
      </c>
      <c r="S466">
        <v>0.2335084822555262</v>
      </c>
      <c r="T466">
        <v>0.18276987362942201</v>
      </c>
      <c r="U466">
        <v>4.2695416864708866</v>
      </c>
      <c r="V466">
        <v>0.1933172563537221</v>
      </c>
      <c r="W466">
        <v>-11.268887839076561</v>
      </c>
      <c r="X466">
        <v>0.30483150142521009</v>
      </c>
      <c r="Z466" t="s">
        <v>392</v>
      </c>
      <c r="AA466">
        <v>161</v>
      </c>
      <c r="AB466" t="s">
        <v>4913</v>
      </c>
      <c r="AC466" t="str">
        <f>HYPERLINK("plots/3FT6Y578R04_015_S31P_20251219032831_M5358ACSA301811_RBGEUFRF04/dpll_52084/txpa_54160.png","plot")</f>
        <v>plot</v>
      </c>
    </row>
    <row r="467" spans="1:29" x14ac:dyDescent="0.35">
      <c r="A467" t="s">
        <v>50</v>
      </c>
      <c r="B467">
        <v>52084</v>
      </c>
      <c r="C467" t="s">
        <v>52</v>
      </c>
      <c r="D467">
        <v>54161</v>
      </c>
      <c r="E467" t="s">
        <v>181</v>
      </c>
      <c r="F467">
        <v>11782</v>
      </c>
      <c r="G467">
        <v>0.64119985128156387</v>
      </c>
      <c r="H467">
        <v>0</v>
      </c>
      <c r="I467">
        <v>0</v>
      </c>
      <c r="J467">
        <v>0.55062784214661054</v>
      </c>
      <c r="K467">
        <v>0</v>
      </c>
      <c r="L467">
        <v>0</v>
      </c>
      <c r="M467">
        <v>0.38824363262043732</v>
      </c>
      <c r="N467">
        <v>0</v>
      </c>
      <c r="O467">
        <v>0</v>
      </c>
      <c r="P467">
        <v>0.41113724928349971</v>
      </c>
      <c r="Q467">
        <v>1.0013684413158239</v>
      </c>
      <c r="R467">
        <v>-15.54703046820249</v>
      </c>
      <c r="S467">
        <v>0.23166462399593379</v>
      </c>
      <c r="T467">
        <v>0.18161234072394569</v>
      </c>
      <c r="U467">
        <v>4.2695416864708866</v>
      </c>
      <c r="V467">
        <v>0.1933172563537221</v>
      </c>
      <c r="W467">
        <v>-11.2716461644882</v>
      </c>
      <c r="X467">
        <v>0.30190555922224099</v>
      </c>
      <c r="Z467" t="s">
        <v>392</v>
      </c>
      <c r="AA467">
        <v>161</v>
      </c>
      <c r="AB467" t="s">
        <v>4914</v>
      </c>
      <c r="AC467" t="str">
        <f>HYPERLINK("plots/3FT6Y578R04_015_S31P_20251219032831_M5358ACSA301811_RBGEUFRF04/dpll_52084/txpa_54161.png","plot")</f>
        <v>plot</v>
      </c>
    </row>
    <row r="468" spans="1:29" x14ac:dyDescent="0.35">
      <c r="A468" t="s">
        <v>50</v>
      </c>
      <c r="B468">
        <v>52084</v>
      </c>
      <c r="C468" t="s">
        <v>52</v>
      </c>
      <c r="D468">
        <v>54162</v>
      </c>
      <c r="E468" t="s">
        <v>182</v>
      </c>
      <c r="F468">
        <v>11781</v>
      </c>
      <c r="G468">
        <v>0.62872808451380791</v>
      </c>
      <c r="H468">
        <v>0</v>
      </c>
      <c r="I468">
        <v>0</v>
      </c>
      <c r="J468">
        <v>0.54082649364534963</v>
      </c>
      <c r="K468">
        <v>0</v>
      </c>
      <c r="L468">
        <v>0</v>
      </c>
      <c r="M468">
        <v>0.381668495004996</v>
      </c>
      <c r="N468">
        <v>0</v>
      </c>
      <c r="O468">
        <v>0</v>
      </c>
      <c r="P468">
        <v>0.39529900425640202</v>
      </c>
      <c r="Q468">
        <v>0.98894177695821772</v>
      </c>
      <c r="R468">
        <v>-15.564445353965549</v>
      </c>
      <c r="S468">
        <v>0.23643776109299591</v>
      </c>
      <c r="T468">
        <v>0.1849270610557594</v>
      </c>
      <c r="U468">
        <v>4.2695633024361257</v>
      </c>
      <c r="V468">
        <v>0.19331122175495491</v>
      </c>
      <c r="W468">
        <v>-11.34209583481878</v>
      </c>
      <c r="X468">
        <v>0.3040639472883459</v>
      </c>
      <c r="Z468" t="s">
        <v>392</v>
      </c>
      <c r="AA468">
        <v>161</v>
      </c>
      <c r="AB468" t="s">
        <v>4915</v>
      </c>
      <c r="AC468" t="str">
        <f>HYPERLINK("plots/3FT6Y578R04_015_S31P_20251219032831_M5358ACSA301811_RBGEUFRF04/dpll_52084/txpa_54162.png","plot")</f>
        <v>plot</v>
      </c>
    </row>
    <row r="469" spans="1:29" x14ac:dyDescent="0.35">
      <c r="A469" t="s">
        <v>50</v>
      </c>
      <c r="B469">
        <v>52084</v>
      </c>
      <c r="C469" t="s">
        <v>52</v>
      </c>
      <c r="D469">
        <v>54163</v>
      </c>
      <c r="E469" t="s">
        <v>183</v>
      </c>
      <c r="F469">
        <v>11782</v>
      </c>
      <c r="G469">
        <v>0.62012114277207897</v>
      </c>
      <c r="H469">
        <v>0</v>
      </c>
      <c r="I469">
        <v>0</v>
      </c>
      <c r="J469">
        <v>0.54411179320153225</v>
      </c>
      <c r="K469">
        <v>0</v>
      </c>
      <c r="L469">
        <v>0</v>
      </c>
      <c r="M469">
        <v>0.38247497575718448</v>
      </c>
      <c r="N469">
        <v>0</v>
      </c>
      <c r="O469">
        <v>0</v>
      </c>
      <c r="P469">
        <v>0.38455023171294922</v>
      </c>
      <c r="Q469">
        <v>0.85953832458893198</v>
      </c>
      <c r="R469">
        <v>-9.0666391066107614</v>
      </c>
      <c r="S469">
        <v>0.21020217463767249</v>
      </c>
      <c r="T469">
        <v>0.16176649851633121</v>
      </c>
      <c r="U469">
        <v>4.2695416864708866</v>
      </c>
      <c r="V469">
        <v>0.1933172563537221</v>
      </c>
      <c r="W469">
        <v>-5.3968043986589711</v>
      </c>
      <c r="X469">
        <v>0.26795343551361489</v>
      </c>
      <c r="Z469" t="s">
        <v>392</v>
      </c>
      <c r="AA469">
        <v>161</v>
      </c>
      <c r="AB469" t="s">
        <v>4916</v>
      </c>
      <c r="AC469" t="str">
        <f>HYPERLINK("plots/3FT6Y578R04_015_S31P_20251219032831_M5358ACSA301811_RBGEUFRF04/dpll_52084/txpa_54163.png","plot")</f>
        <v>plot</v>
      </c>
    </row>
    <row r="470" spans="1:29" x14ac:dyDescent="0.35">
      <c r="A470" t="s">
        <v>50</v>
      </c>
      <c r="B470">
        <v>52084</v>
      </c>
      <c r="C470" t="s">
        <v>52</v>
      </c>
      <c r="D470">
        <v>54164</v>
      </c>
      <c r="E470" t="s">
        <v>184</v>
      </c>
      <c r="F470">
        <v>11782</v>
      </c>
      <c r="G470">
        <v>0.64465292808834174</v>
      </c>
      <c r="H470">
        <v>0</v>
      </c>
      <c r="I470">
        <v>0</v>
      </c>
      <c r="J470">
        <v>0.56091209361499117</v>
      </c>
      <c r="K470">
        <v>0</v>
      </c>
      <c r="L470">
        <v>0</v>
      </c>
      <c r="M470">
        <v>0.39675120300479921</v>
      </c>
      <c r="N470">
        <v>0</v>
      </c>
      <c r="O470">
        <v>0</v>
      </c>
      <c r="P470">
        <v>0.41557739769287272</v>
      </c>
      <c r="Q470">
        <v>0.89572644897499376</v>
      </c>
      <c r="R470">
        <v>-9.1752224414972261</v>
      </c>
      <c r="S470">
        <v>0.20533601630868031</v>
      </c>
      <c r="T470">
        <v>0.15955259611430819</v>
      </c>
      <c r="U470">
        <v>4.2695416864708866</v>
      </c>
      <c r="V470">
        <v>0.1933172563537221</v>
      </c>
      <c r="W470">
        <v>-5.3508810279239514</v>
      </c>
      <c r="X470">
        <v>0.26860869161456541</v>
      </c>
      <c r="Z470" t="s">
        <v>392</v>
      </c>
      <c r="AA470">
        <v>161</v>
      </c>
      <c r="AB470" t="s">
        <v>4917</v>
      </c>
      <c r="AC470" t="str">
        <f>HYPERLINK("plots/3FT6Y578R04_015_S31P_20251219032831_M5358ACSA301811_RBGEUFRF04/dpll_52084/txpa_54164.png","plot")</f>
        <v>plot</v>
      </c>
    </row>
    <row r="471" spans="1:29" x14ac:dyDescent="0.35">
      <c r="A471" t="s">
        <v>50</v>
      </c>
      <c r="B471">
        <v>52084</v>
      </c>
      <c r="C471" t="s">
        <v>52</v>
      </c>
      <c r="D471">
        <v>54165</v>
      </c>
      <c r="E471" t="s">
        <v>185</v>
      </c>
      <c r="F471">
        <v>11782</v>
      </c>
      <c r="G471">
        <v>0.63565356110448179</v>
      </c>
      <c r="H471">
        <v>0</v>
      </c>
      <c r="I471">
        <v>0</v>
      </c>
      <c r="J471">
        <v>0.54968070633778821</v>
      </c>
      <c r="K471">
        <v>0</v>
      </c>
      <c r="L471">
        <v>0</v>
      </c>
      <c r="M471">
        <v>0.38784495999421131</v>
      </c>
      <c r="N471">
        <v>0</v>
      </c>
      <c r="O471">
        <v>0</v>
      </c>
      <c r="P471">
        <v>0.40405544974480923</v>
      </c>
      <c r="Q471">
        <v>0.86775597003704219</v>
      </c>
      <c r="R471">
        <v>-9.0510122992152908</v>
      </c>
      <c r="S471">
        <v>0.20371933215863211</v>
      </c>
      <c r="T471">
        <v>0.15869246009154059</v>
      </c>
      <c r="U471">
        <v>4.2695416864708866</v>
      </c>
      <c r="V471">
        <v>0.1933172563537221</v>
      </c>
      <c r="W471">
        <v>-5.3460920114581567</v>
      </c>
      <c r="X471">
        <v>0.26390507908214228</v>
      </c>
      <c r="Z471" t="s">
        <v>392</v>
      </c>
      <c r="AA471">
        <v>161</v>
      </c>
      <c r="AB471" t="s">
        <v>4918</v>
      </c>
      <c r="AC471" t="str">
        <f>HYPERLINK("plots/3FT6Y578R04_015_S31P_20251219032831_M5358ACSA301811_RBGEUFRF04/dpll_52084/txpa_54165.png","plot")</f>
        <v>plot</v>
      </c>
    </row>
    <row r="472" spans="1:29" x14ac:dyDescent="0.35">
      <c r="A472" t="s">
        <v>50</v>
      </c>
      <c r="B472">
        <v>52084</v>
      </c>
      <c r="C472" t="s">
        <v>52</v>
      </c>
      <c r="D472">
        <v>54166</v>
      </c>
      <c r="E472" t="s">
        <v>186</v>
      </c>
      <c r="F472">
        <v>11781</v>
      </c>
      <c r="G472">
        <v>0.65600406513835319</v>
      </c>
      <c r="H472">
        <v>0</v>
      </c>
      <c r="I472">
        <v>0</v>
      </c>
      <c r="J472">
        <v>0.56374930311786597</v>
      </c>
      <c r="K472">
        <v>0</v>
      </c>
      <c r="L472">
        <v>0</v>
      </c>
      <c r="M472">
        <v>0.39935932094219811</v>
      </c>
      <c r="N472">
        <v>0</v>
      </c>
      <c r="O472">
        <v>0</v>
      </c>
      <c r="P472">
        <v>0.43034133347804471</v>
      </c>
      <c r="Q472">
        <v>0.91253055775978476</v>
      </c>
      <c r="R472">
        <v>-9.2094073856751457</v>
      </c>
      <c r="S472">
        <v>0.2029622303833748</v>
      </c>
      <c r="T472">
        <v>0.15865453251426431</v>
      </c>
      <c r="U472">
        <v>4.2695489746201511</v>
      </c>
      <c r="V472">
        <v>0.19332384277072681</v>
      </c>
      <c r="W472">
        <v>-5.3133134784823017</v>
      </c>
      <c r="X472">
        <v>0.26892198302861142</v>
      </c>
      <c r="Z472" t="s">
        <v>392</v>
      </c>
      <c r="AA472">
        <v>161</v>
      </c>
      <c r="AB472" t="s">
        <v>4919</v>
      </c>
      <c r="AC472" t="str">
        <f>HYPERLINK("plots/3FT6Y578R04_015_S31P_20251219032831_M5358ACSA301811_RBGEUFRF04/dpll_52084/txpa_54166.png","plot")</f>
        <v>plot</v>
      </c>
    </row>
    <row r="473" spans="1:29" x14ac:dyDescent="0.35">
      <c r="A473" t="s">
        <v>50</v>
      </c>
      <c r="B473">
        <v>52084</v>
      </c>
      <c r="C473" t="s">
        <v>52</v>
      </c>
      <c r="D473">
        <v>54167</v>
      </c>
      <c r="E473" t="s">
        <v>187</v>
      </c>
      <c r="F473">
        <v>11781</v>
      </c>
      <c r="G473">
        <v>0.65499295385242817</v>
      </c>
      <c r="H473">
        <v>0</v>
      </c>
      <c r="I473">
        <v>0</v>
      </c>
      <c r="J473">
        <v>0.55897588306753798</v>
      </c>
      <c r="K473">
        <v>0</v>
      </c>
      <c r="L473">
        <v>0</v>
      </c>
      <c r="M473">
        <v>0.39451660038022879</v>
      </c>
      <c r="N473">
        <v>0</v>
      </c>
      <c r="O473">
        <v>0</v>
      </c>
      <c r="P473">
        <v>0.42901576959632909</v>
      </c>
      <c r="Q473">
        <v>0.90271156363103777</v>
      </c>
      <c r="R473">
        <v>-9.188274568619109</v>
      </c>
      <c r="S473">
        <v>0.2013050553721063</v>
      </c>
      <c r="T473">
        <v>0.15802944774006589</v>
      </c>
      <c r="U473">
        <v>4.2695174021729896</v>
      </c>
      <c r="V473">
        <v>0.19330748901132719</v>
      </c>
      <c r="W473">
        <v>-5.3341318385536027</v>
      </c>
      <c r="X473">
        <v>0.26641646240719769</v>
      </c>
      <c r="Z473" t="s">
        <v>392</v>
      </c>
      <c r="AA473">
        <v>161</v>
      </c>
      <c r="AB473" t="s">
        <v>4920</v>
      </c>
      <c r="AC473" t="str">
        <f>HYPERLINK("plots/3FT6Y578R04_015_S31P_20251219032831_M5358ACSA301811_RBGEUFRF04/dpll_52084/txpa_54167.png","plot")</f>
        <v>plot</v>
      </c>
    </row>
    <row r="474" spans="1:29" x14ac:dyDescent="0.35">
      <c r="A474" t="s">
        <v>50</v>
      </c>
      <c r="B474">
        <v>52084</v>
      </c>
      <c r="C474" t="s">
        <v>52</v>
      </c>
      <c r="D474">
        <v>54168</v>
      </c>
      <c r="E474" t="s">
        <v>188</v>
      </c>
      <c r="F474">
        <v>11782</v>
      </c>
      <c r="G474">
        <v>0.66011481262317961</v>
      </c>
      <c r="H474">
        <v>0</v>
      </c>
      <c r="I474">
        <v>0</v>
      </c>
      <c r="J474">
        <v>0.57376670331893964</v>
      </c>
      <c r="K474">
        <v>0</v>
      </c>
      <c r="L474">
        <v>0</v>
      </c>
      <c r="M474">
        <v>0.40710389163324062</v>
      </c>
      <c r="N474">
        <v>0</v>
      </c>
      <c r="O474">
        <v>0</v>
      </c>
      <c r="P474">
        <v>0.43575156584453562</v>
      </c>
      <c r="Q474">
        <v>0.91329890118405821</v>
      </c>
      <c r="R474">
        <v>-9.2356284265356816</v>
      </c>
      <c r="S474">
        <v>0.20090041312197679</v>
      </c>
      <c r="T474">
        <v>0.1571530229125945</v>
      </c>
      <c r="U474">
        <v>4.2695416864708866</v>
      </c>
      <c r="V474">
        <v>0.1933172563537221</v>
      </c>
      <c r="W474">
        <v>-5.3362606957222889</v>
      </c>
      <c r="X474">
        <v>0.26746322674712802</v>
      </c>
      <c r="Z474" t="s">
        <v>392</v>
      </c>
      <c r="AA474">
        <v>161</v>
      </c>
      <c r="AB474" t="s">
        <v>4921</v>
      </c>
      <c r="AC474" t="str">
        <f>HYPERLINK("plots/3FT6Y578R04_015_S31P_20251219032831_M5358ACSA301811_RBGEUFRF04/dpll_52084/txpa_54168.png","plot")</f>
        <v>plot</v>
      </c>
    </row>
    <row r="475" spans="1:29" x14ac:dyDescent="0.35">
      <c r="A475" t="s">
        <v>50</v>
      </c>
      <c r="B475">
        <v>52084</v>
      </c>
      <c r="C475" t="s">
        <v>52</v>
      </c>
      <c r="D475">
        <v>54169</v>
      </c>
      <c r="E475" t="s">
        <v>189</v>
      </c>
      <c r="F475">
        <v>11782</v>
      </c>
      <c r="G475">
        <v>0.65570042778280113</v>
      </c>
      <c r="H475">
        <v>0</v>
      </c>
      <c r="I475">
        <v>0</v>
      </c>
      <c r="J475">
        <v>0.56250497595777438</v>
      </c>
      <c r="K475">
        <v>0</v>
      </c>
      <c r="L475">
        <v>0</v>
      </c>
      <c r="M475">
        <v>0.39715386319158319</v>
      </c>
      <c r="N475">
        <v>0</v>
      </c>
      <c r="O475">
        <v>0</v>
      </c>
      <c r="P475">
        <v>0.42994305099454838</v>
      </c>
      <c r="Q475">
        <v>0.89498558352226898</v>
      </c>
      <c r="R475">
        <v>-9.1567319844254236</v>
      </c>
      <c r="S475">
        <v>0.19921493148088951</v>
      </c>
      <c r="T475">
        <v>0.1566018297730751</v>
      </c>
      <c r="U475">
        <v>4.2695416864708866</v>
      </c>
      <c r="V475">
        <v>0.1933172563537221</v>
      </c>
      <c r="W475">
        <v>-5.3355537267866238</v>
      </c>
      <c r="X475">
        <v>0.26386464024081929</v>
      </c>
      <c r="Z475" t="s">
        <v>392</v>
      </c>
      <c r="AA475">
        <v>161</v>
      </c>
      <c r="AB475" t="s">
        <v>4922</v>
      </c>
      <c r="AC475" t="str">
        <f>HYPERLINK("plots/3FT6Y578R04_015_S31P_20251219032831_M5358ACSA301811_RBGEUFRF04/dpll_52084/txpa_54169.png","plot")</f>
        <v>plot</v>
      </c>
    </row>
    <row r="476" spans="1:29" x14ac:dyDescent="0.35">
      <c r="A476" t="s">
        <v>50</v>
      </c>
      <c r="B476">
        <v>52084</v>
      </c>
      <c r="C476" t="s">
        <v>52</v>
      </c>
      <c r="D476">
        <v>54170</v>
      </c>
      <c r="E476" t="s">
        <v>190</v>
      </c>
      <c r="F476">
        <v>11781</v>
      </c>
      <c r="G476">
        <v>0.64424121043624882</v>
      </c>
      <c r="H476">
        <v>0</v>
      </c>
      <c r="I476">
        <v>0</v>
      </c>
      <c r="J476">
        <v>0.55406023780681479</v>
      </c>
      <c r="K476">
        <v>0</v>
      </c>
      <c r="L476">
        <v>0</v>
      </c>
      <c r="M476">
        <v>0.39230262605035759</v>
      </c>
      <c r="N476">
        <v>0</v>
      </c>
      <c r="O476">
        <v>0</v>
      </c>
      <c r="P476">
        <v>0.41504673722436303</v>
      </c>
      <c r="Q476">
        <v>0.887087758782372</v>
      </c>
      <c r="R476">
        <v>-9.1679442516412006</v>
      </c>
      <c r="S476">
        <v>0.20357165200347849</v>
      </c>
      <c r="T476">
        <v>0.15869821001849449</v>
      </c>
      <c r="U476">
        <v>4.2695633024361257</v>
      </c>
      <c r="V476">
        <v>0.19331122175495491</v>
      </c>
      <c r="W476">
        <v>-5.3804669107036753</v>
      </c>
      <c r="X476">
        <v>0.26617983400652728</v>
      </c>
      <c r="Z476" t="s">
        <v>392</v>
      </c>
      <c r="AA476">
        <v>161</v>
      </c>
      <c r="AB476" t="s">
        <v>4923</v>
      </c>
      <c r="AC476" t="str">
        <f>HYPERLINK("plots/3FT6Y578R04_015_S31P_20251219032831_M5358ACSA301811_RBGEUFRF04/dpll_52084/txpa_54170.png","plot")</f>
        <v>plot</v>
      </c>
    </row>
    <row r="477" spans="1:29" x14ac:dyDescent="0.35">
      <c r="A477" t="s">
        <v>50</v>
      </c>
      <c r="B477">
        <v>52084</v>
      </c>
      <c r="C477" t="s">
        <v>52</v>
      </c>
      <c r="D477">
        <v>54171</v>
      </c>
      <c r="E477" t="s">
        <v>191</v>
      </c>
      <c r="F477">
        <v>11782</v>
      </c>
      <c r="G477">
        <v>0.63285442473189468</v>
      </c>
      <c r="H477">
        <v>0</v>
      </c>
      <c r="I477">
        <v>0</v>
      </c>
      <c r="J477">
        <v>0.55946265756181812</v>
      </c>
      <c r="K477">
        <v>0</v>
      </c>
      <c r="L477">
        <v>0</v>
      </c>
      <c r="M477">
        <v>0.39396912623004632</v>
      </c>
      <c r="N477">
        <v>0</v>
      </c>
      <c r="O477">
        <v>0</v>
      </c>
      <c r="P477">
        <v>0.40050472290273742</v>
      </c>
      <c r="Q477">
        <v>0.87546290703484297</v>
      </c>
      <c r="R477">
        <v>-6.077207342509281</v>
      </c>
      <c r="S477">
        <v>0.20705179679107619</v>
      </c>
      <c r="T477">
        <v>0.15935372896748051</v>
      </c>
      <c r="U477">
        <v>4.2695416864708866</v>
      </c>
      <c r="V477">
        <v>0.1933172563537221</v>
      </c>
      <c r="W477">
        <v>-2.339381965965031</v>
      </c>
      <c r="X477">
        <v>0.26742656859692182</v>
      </c>
      <c r="Z477" t="s">
        <v>392</v>
      </c>
      <c r="AA477">
        <v>161</v>
      </c>
      <c r="AB477" t="s">
        <v>4924</v>
      </c>
      <c r="AC477" t="str">
        <f>HYPERLINK("plots/3FT6Y578R04_015_S31P_20251219032831_M5358ACSA301811_RBGEUFRF04/dpll_52084/txpa_54171.png","plot")</f>
        <v>plot</v>
      </c>
    </row>
    <row r="478" spans="1:29" x14ac:dyDescent="0.35">
      <c r="A478" t="s">
        <v>50</v>
      </c>
      <c r="B478">
        <v>52084</v>
      </c>
      <c r="C478" t="s">
        <v>52</v>
      </c>
      <c r="D478">
        <v>54172</v>
      </c>
      <c r="E478" t="s">
        <v>192</v>
      </c>
      <c r="F478">
        <v>11782</v>
      </c>
      <c r="G478">
        <v>0.65777741367302067</v>
      </c>
      <c r="H478">
        <v>0</v>
      </c>
      <c r="I478">
        <v>0</v>
      </c>
      <c r="J478">
        <v>0.57693460278919517</v>
      </c>
      <c r="K478">
        <v>0</v>
      </c>
      <c r="L478">
        <v>0</v>
      </c>
      <c r="M478">
        <v>0.40928944603982342</v>
      </c>
      <c r="N478">
        <v>0</v>
      </c>
      <c r="O478">
        <v>0</v>
      </c>
      <c r="P478">
        <v>0.43267112593836821</v>
      </c>
      <c r="Q478">
        <v>0.91223561710196166</v>
      </c>
      <c r="R478">
        <v>-6.1942310419514488</v>
      </c>
      <c r="S478">
        <v>0.20192853904210459</v>
      </c>
      <c r="T478">
        <v>0.15683309433050091</v>
      </c>
      <c r="U478">
        <v>4.2695416864708866</v>
      </c>
      <c r="V478">
        <v>0.1933172563537221</v>
      </c>
      <c r="W478">
        <v>-2.2994030468511291</v>
      </c>
      <c r="X478">
        <v>0.26810115850824767</v>
      </c>
      <c r="Z478" t="s">
        <v>392</v>
      </c>
      <c r="AA478">
        <v>161</v>
      </c>
      <c r="AB478" t="s">
        <v>4925</v>
      </c>
      <c r="AC478" t="str">
        <f>HYPERLINK("plots/3FT6Y578R04_015_S31P_20251219032831_M5358ACSA301811_RBGEUFRF04/dpll_52084/txpa_54172.png","plot")</f>
        <v>plot</v>
      </c>
    </row>
    <row r="479" spans="1:29" x14ac:dyDescent="0.35">
      <c r="A479" t="s">
        <v>50</v>
      </c>
      <c r="B479">
        <v>52084</v>
      </c>
      <c r="C479" t="s">
        <v>52</v>
      </c>
      <c r="D479">
        <v>54173</v>
      </c>
      <c r="E479" t="s">
        <v>193</v>
      </c>
      <c r="F479">
        <v>11782</v>
      </c>
      <c r="G479">
        <v>0.64733482578156676</v>
      </c>
      <c r="H479">
        <v>0</v>
      </c>
      <c r="I479">
        <v>0</v>
      </c>
      <c r="J479">
        <v>0.56535221395245039</v>
      </c>
      <c r="K479">
        <v>0</v>
      </c>
      <c r="L479">
        <v>0</v>
      </c>
      <c r="M479">
        <v>0.40002993991069019</v>
      </c>
      <c r="N479">
        <v>0</v>
      </c>
      <c r="O479">
        <v>0</v>
      </c>
      <c r="P479">
        <v>0.41904237666965138</v>
      </c>
      <c r="Q479">
        <v>0.88240596726395315</v>
      </c>
      <c r="R479">
        <v>-6.0607896950479798</v>
      </c>
      <c r="S479">
        <v>0.20084632207094799</v>
      </c>
      <c r="T479">
        <v>0.1562210860811406</v>
      </c>
      <c r="U479">
        <v>4.2695416864708866</v>
      </c>
      <c r="V479">
        <v>0.1933172563537221</v>
      </c>
      <c r="W479">
        <v>-2.2933206334238672</v>
      </c>
      <c r="X479">
        <v>0.26351787944617822</v>
      </c>
      <c r="Z479" t="s">
        <v>392</v>
      </c>
      <c r="AA479">
        <v>161</v>
      </c>
      <c r="AB479" t="s">
        <v>4926</v>
      </c>
      <c r="AC479" t="str">
        <f>HYPERLINK("plots/3FT6Y578R04_015_S31P_20251219032831_M5358ACSA301811_RBGEUFRF04/dpll_52084/txpa_54173.png","plot")</f>
        <v>plot</v>
      </c>
    </row>
    <row r="480" spans="1:29" x14ac:dyDescent="0.35">
      <c r="A480" t="s">
        <v>50</v>
      </c>
      <c r="B480">
        <v>52084</v>
      </c>
      <c r="C480" t="s">
        <v>52</v>
      </c>
      <c r="D480">
        <v>54174</v>
      </c>
      <c r="E480" t="s">
        <v>194</v>
      </c>
      <c r="F480">
        <v>11781</v>
      </c>
      <c r="G480">
        <v>0.66665038836723967</v>
      </c>
      <c r="H480">
        <v>0</v>
      </c>
      <c r="I480">
        <v>0</v>
      </c>
      <c r="J480">
        <v>0.57882500724261698</v>
      </c>
      <c r="K480">
        <v>0</v>
      </c>
      <c r="L480">
        <v>0</v>
      </c>
      <c r="M480">
        <v>0.41106183364891102</v>
      </c>
      <c r="N480">
        <v>0</v>
      </c>
      <c r="O480">
        <v>0</v>
      </c>
      <c r="P480">
        <v>0.44442274031019152</v>
      </c>
      <c r="Q480">
        <v>0.92150034956262117</v>
      </c>
      <c r="R480">
        <v>-6.2022934918045838</v>
      </c>
      <c r="S480">
        <v>0.19917580675518931</v>
      </c>
      <c r="T480">
        <v>0.15562010747043409</v>
      </c>
      <c r="U480">
        <v>4.2695489746201511</v>
      </c>
      <c r="V480">
        <v>0.19332384277072681</v>
      </c>
      <c r="W480">
        <v>-2.2679026192173839</v>
      </c>
      <c r="X480">
        <v>0.26722850807652571</v>
      </c>
      <c r="Z480" t="s">
        <v>392</v>
      </c>
      <c r="AA480">
        <v>161</v>
      </c>
      <c r="AB480" t="s">
        <v>4927</v>
      </c>
      <c r="AC480" t="str">
        <f>HYPERLINK("plots/3FT6Y578R04_015_S31P_20251219032831_M5358ACSA301811_RBGEUFRF04/dpll_52084/txpa_54174.png","plot")</f>
        <v>plot</v>
      </c>
    </row>
    <row r="481" spans="1:29" x14ac:dyDescent="0.35">
      <c r="A481" t="s">
        <v>50</v>
      </c>
      <c r="B481">
        <v>52084</v>
      </c>
      <c r="C481" t="s">
        <v>52</v>
      </c>
      <c r="D481">
        <v>54175</v>
      </c>
      <c r="E481" t="s">
        <v>195</v>
      </c>
      <c r="F481">
        <v>11781</v>
      </c>
      <c r="G481">
        <v>0.66568299625424443</v>
      </c>
      <c r="H481">
        <v>0</v>
      </c>
      <c r="I481">
        <v>0</v>
      </c>
      <c r="J481">
        <v>0.57234851842802814</v>
      </c>
      <c r="K481">
        <v>0</v>
      </c>
      <c r="L481">
        <v>0</v>
      </c>
      <c r="M481">
        <v>0.4048471298886458</v>
      </c>
      <c r="N481">
        <v>0</v>
      </c>
      <c r="O481">
        <v>0</v>
      </c>
      <c r="P481">
        <v>0.44313385150202839</v>
      </c>
      <c r="Q481">
        <v>0.91387772531694089</v>
      </c>
      <c r="R481">
        <v>-6.1901073353590776</v>
      </c>
      <c r="S481">
        <v>0.19802785539441811</v>
      </c>
      <c r="T481">
        <v>0.1549896155290032</v>
      </c>
      <c r="U481">
        <v>4.2695174021729896</v>
      </c>
      <c r="V481">
        <v>0.19330748901132719</v>
      </c>
      <c r="W481">
        <v>-2.288290483660131</v>
      </c>
      <c r="X481">
        <v>0.26538068320574859</v>
      </c>
      <c r="Z481" t="s">
        <v>392</v>
      </c>
      <c r="AA481">
        <v>161</v>
      </c>
      <c r="AB481" t="s">
        <v>4928</v>
      </c>
      <c r="AC481" t="str">
        <f>HYPERLINK("plots/3FT6Y578R04_015_S31P_20251219032831_M5358ACSA301811_RBGEUFRF04/dpll_52084/txpa_54175.png","plot")</f>
        <v>plot</v>
      </c>
    </row>
    <row r="482" spans="1:29" x14ac:dyDescent="0.35">
      <c r="A482" t="s">
        <v>50</v>
      </c>
      <c r="B482">
        <v>52084</v>
      </c>
      <c r="C482" t="s">
        <v>52</v>
      </c>
      <c r="D482">
        <v>54176</v>
      </c>
      <c r="E482" t="s">
        <v>196</v>
      </c>
      <c r="F482">
        <v>11782</v>
      </c>
      <c r="G482">
        <v>0.67222835586121454</v>
      </c>
      <c r="H482">
        <v>0</v>
      </c>
      <c r="I482">
        <v>0</v>
      </c>
      <c r="J482">
        <v>0.58927576008998139</v>
      </c>
      <c r="K482">
        <v>0</v>
      </c>
      <c r="L482">
        <v>0</v>
      </c>
      <c r="M482">
        <v>0.41890351760665129</v>
      </c>
      <c r="N482">
        <v>0</v>
      </c>
      <c r="O482">
        <v>0</v>
      </c>
      <c r="P482">
        <v>0.45189096242387172</v>
      </c>
      <c r="Q482">
        <v>0.92832886590138108</v>
      </c>
      <c r="R482">
        <v>-6.2496983046212247</v>
      </c>
      <c r="S482">
        <v>0.1976381136247167</v>
      </c>
      <c r="T482">
        <v>0.15467741154944531</v>
      </c>
      <c r="U482">
        <v>4.2695416864708866</v>
      </c>
      <c r="V482">
        <v>0.1933172563537221</v>
      </c>
      <c r="W482">
        <v>-2.286159512901035</v>
      </c>
      <c r="X482">
        <v>0.26696581271122161</v>
      </c>
      <c r="Z482" t="s">
        <v>392</v>
      </c>
      <c r="AA482">
        <v>161</v>
      </c>
      <c r="AB482" t="s">
        <v>4929</v>
      </c>
      <c r="AC482" t="str">
        <f>HYPERLINK("plots/3FT6Y578R04_015_S31P_20251219032831_M5358ACSA301811_RBGEUFRF04/dpll_52084/txpa_54176.png","plot")</f>
        <v>plot</v>
      </c>
    </row>
    <row r="483" spans="1:29" x14ac:dyDescent="0.35">
      <c r="A483" t="s">
        <v>50</v>
      </c>
      <c r="B483">
        <v>52084</v>
      </c>
      <c r="C483" t="s">
        <v>52</v>
      </c>
      <c r="D483">
        <v>54177</v>
      </c>
      <c r="E483" t="s">
        <v>197</v>
      </c>
      <c r="F483">
        <v>11782</v>
      </c>
      <c r="G483">
        <v>0.66828068694308707</v>
      </c>
      <c r="H483">
        <v>0</v>
      </c>
      <c r="I483">
        <v>0</v>
      </c>
      <c r="J483">
        <v>0.57927904235336591</v>
      </c>
      <c r="K483">
        <v>0</v>
      </c>
      <c r="L483">
        <v>0</v>
      </c>
      <c r="M483">
        <v>0.41012488965995231</v>
      </c>
      <c r="N483">
        <v>0</v>
      </c>
      <c r="O483">
        <v>0</v>
      </c>
      <c r="P483">
        <v>0.44659907654112441</v>
      </c>
      <c r="Q483">
        <v>0.90996680856093148</v>
      </c>
      <c r="R483">
        <v>-6.1686203316053208</v>
      </c>
      <c r="S483">
        <v>0.19581176070132111</v>
      </c>
      <c r="T483">
        <v>0.15395608068737179</v>
      </c>
      <c r="U483">
        <v>4.2695416864708866</v>
      </c>
      <c r="V483">
        <v>0.1933172563537221</v>
      </c>
      <c r="W483">
        <v>-2.2834791091495501</v>
      </c>
      <c r="X483">
        <v>0.26323113961085209</v>
      </c>
      <c r="Z483" t="s">
        <v>392</v>
      </c>
      <c r="AA483">
        <v>161</v>
      </c>
      <c r="AB483" t="s">
        <v>4930</v>
      </c>
      <c r="AC483" t="str">
        <f>HYPERLINK("plots/3FT6Y578R04_015_S31P_20251219032831_M5358ACSA301811_RBGEUFRF04/dpll_52084/txpa_54177.png","plot")</f>
        <v>plot</v>
      </c>
    </row>
    <row r="484" spans="1:29" x14ac:dyDescent="0.35">
      <c r="A484" t="s">
        <v>50</v>
      </c>
      <c r="B484">
        <v>52084</v>
      </c>
      <c r="C484" t="s">
        <v>52</v>
      </c>
      <c r="D484">
        <v>54178</v>
      </c>
      <c r="E484" t="s">
        <v>198</v>
      </c>
      <c r="F484">
        <v>11781</v>
      </c>
      <c r="G484">
        <v>0.6568744361035298</v>
      </c>
      <c r="H484">
        <v>0</v>
      </c>
      <c r="I484">
        <v>0</v>
      </c>
      <c r="J484">
        <v>0.57017091258777453</v>
      </c>
      <c r="K484">
        <v>0</v>
      </c>
      <c r="L484">
        <v>0</v>
      </c>
      <c r="M484">
        <v>0.4046147951299412</v>
      </c>
      <c r="N484">
        <v>0</v>
      </c>
      <c r="O484">
        <v>0</v>
      </c>
      <c r="P484">
        <v>0.43148402480633019</v>
      </c>
      <c r="Q484">
        <v>0.90217617386758786</v>
      </c>
      <c r="R484">
        <v>-6.1733388177634083</v>
      </c>
      <c r="S484">
        <v>0.2001792058913551</v>
      </c>
      <c r="T484">
        <v>0.15589714408764019</v>
      </c>
      <c r="U484">
        <v>4.2695633024361257</v>
      </c>
      <c r="V484">
        <v>0.19331122175495491</v>
      </c>
      <c r="W484">
        <v>-2.3214405334861219</v>
      </c>
      <c r="X484">
        <v>0.26550093720052581</v>
      </c>
      <c r="Z484" t="s">
        <v>392</v>
      </c>
      <c r="AA484">
        <v>161</v>
      </c>
      <c r="AB484" t="s">
        <v>4931</v>
      </c>
      <c r="AC484" t="str">
        <f>HYPERLINK("plots/3FT6Y578R04_015_S31P_20251219032831_M5358ACSA301811_RBGEUFRF04/dpll_52084/txpa_54178.png","plot")</f>
        <v>plot</v>
      </c>
    </row>
    <row r="485" spans="1:29" x14ac:dyDescent="0.35">
      <c r="A485" t="s">
        <v>50</v>
      </c>
      <c r="B485">
        <v>52084</v>
      </c>
      <c r="C485" t="s">
        <v>52</v>
      </c>
      <c r="D485">
        <v>54179</v>
      </c>
      <c r="E485" t="s">
        <v>199</v>
      </c>
      <c r="F485">
        <v>11782</v>
      </c>
      <c r="G485">
        <v>0.67244864036649199</v>
      </c>
      <c r="H485">
        <v>0</v>
      </c>
      <c r="I485">
        <v>0</v>
      </c>
      <c r="J485">
        <v>0.60379113163395204</v>
      </c>
      <c r="K485">
        <v>0</v>
      </c>
      <c r="L485">
        <v>0</v>
      </c>
      <c r="M485">
        <v>0.42873601495667552</v>
      </c>
      <c r="N485">
        <v>0</v>
      </c>
      <c r="O485">
        <v>0</v>
      </c>
      <c r="P485">
        <v>0.4521871739307437</v>
      </c>
      <c r="Q485">
        <v>0.95558153613869945</v>
      </c>
      <c r="R485">
        <v>-2.844784465097518</v>
      </c>
      <c r="S485">
        <v>0.20331851057763509</v>
      </c>
      <c r="T485">
        <v>0.15586672541244101</v>
      </c>
      <c r="U485">
        <v>4.2695416864708866</v>
      </c>
      <c r="V485">
        <v>0.1933172563537221</v>
      </c>
      <c r="W485">
        <v>1.2351107382685449</v>
      </c>
      <c r="X485">
        <v>0.2747130259463807</v>
      </c>
      <c r="Z485" t="s">
        <v>392</v>
      </c>
      <c r="AA485">
        <v>161</v>
      </c>
      <c r="AB485" t="s">
        <v>4932</v>
      </c>
      <c r="AC485" t="str">
        <f>HYPERLINK("plots/3FT6Y578R04_015_S31P_20251219032831_M5358ACSA301811_RBGEUFRF04/dpll_52084/txpa_54179.png","plot")</f>
        <v>plot</v>
      </c>
    </row>
    <row r="486" spans="1:29" x14ac:dyDescent="0.35">
      <c r="A486" t="s">
        <v>50</v>
      </c>
      <c r="B486">
        <v>52084</v>
      </c>
      <c r="C486" t="s">
        <v>52</v>
      </c>
      <c r="D486">
        <v>54180</v>
      </c>
      <c r="E486" t="s">
        <v>200</v>
      </c>
      <c r="F486">
        <v>11782</v>
      </c>
      <c r="G486">
        <v>0.69596190343410602</v>
      </c>
      <c r="H486">
        <v>0</v>
      </c>
      <c r="I486">
        <v>0</v>
      </c>
      <c r="J486">
        <v>0.61992414048324818</v>
      </c>
      <c r="K486">
        <v>0</v>
      </c>
      <c r="L486">
        <v>0</v>
      </c>
      <c r="M486">
        <v>0.44368213286026681</v>
      </c>
      <c r="N486">
        <v>0</v>
      </c>
      <c r="O486">
        <v>0</v>
      </c>
      <c r="P486">
        <v>0.4843629710316239</v>
      </c>
      <c r="Q486">
        <v>0.99042296613705116</v>
      </c>
      <c r="R486">
        <v>-2.9579518452308999</v>
      </c>
      <c r="S486">
        <v>0.1975420131634669</v>
      </c>
      <c r="T486">
        <v>0.15336948906061351</v>
      </c>
      <c r="U486">
        <v>4.2695416864708866</v>
      </c>
      <c r="V486">
        <v>0.1933172563537221</v>
      </c>
      <c r="W486">
        <v>1.270700295929384</v>
      </c>
      <c r="X486">
        <v>0.27510967123139141</v>
      </c>
      <c r="Z486" t="s">
        <v>392</v>
      </c>
      <c r="AA486">
        <v>161</v>
      </c>
      <c r="AB486" t="s">
        <v>4933</v>
      </c>
      <c r="AC486" t="str">
        <f>HYPERLINK("plots/3FT6Y578R04_015_S31P_20251219032831_M5358ACSA301811_RBGEUFRF04/dpll_52084/txpa_54180.png","plot")</f>
        <v>plot</v>
      </c>
    </row>
    <row r="487" spans="1:29" x14ac:dyDescent="0.35">
      <c r="A487" t="s">
        <v>50</v>
      </c>
      <c r="B487">
        <v>52084</v>
      </c>
      <c r="C487" t="s">
        <v>52</v>
      </c>
      <c r="D487">
        <v>54181</v>
      </c>
      <c r="E487" t="s">
        <v>201</v>
      </c>
      <c r="F487">
        <v>11782</v>
      </c>
      <c r="G487">
        <v>0.68592076564306559</v>
      </c>
      <c r="H487">
        <v>0</v>
      </c>
      <c r="I487">
        <v>0</v>
      </c>
      <c r="J487">
        <v>0.6088908492379892</v>
      </c>
      <c r="K487">
        <v>0</v>
      </c>
      <c r="L487">
        <v>0</v>
      </c>
      <c r="M487">
        <v>0.43444654424644391</v>
      </c>
      <c r="N487">
        <v>0</v>
      </c>
      <c r="O487">
        <v>0</v>
      </c>
      <c r="P487">
        <v>0.47048729674036932</v>
      </c>
      <c r="Q487">
        <v>0.9618174844183599</v>
      </c>
      <c r="R487">
        <v>-2.8281912484729119</v>
      </c>
      <c r="S487">
        <v>0.19724640659951451</v>
      </c>
      <c r="T487">
        <v>0.15286935199229279</v>
      </c>
      <c r="U487">
        <v>4.2695416864708866</v>
      </c>
      <c r="V487">
        <v>0.1933172563537221</v>
      </c>
      <c r="W487">
        <v>1.278328596027839</v>
      </c>
      <c r="X487">
        <v>0.27107492076942341</v>
      </c>
      <c r="Z487" t="s">
        <v>392</v>
      </c>
      <c r="AA487">
        <v>161</v>
      </c>
      <c r="AB487" t="s">
        <v>4934</v>
      </c>
      <c r="AC487" t="str">
        <f>HYPERLINK("plots/3FT6Y578R04_015_S31P_20251219032831_M5358ACSA301811_RBGEUFRF04/dpll_52084/txpa_54181.png","plot")</f>
        <v>plot</v>
      </c>
    </row>
    <row r="488" spans="1:29" x14ac:dyDescent="0.35">
      <c r="A488" t="s">
        <v>50</v>
      </c>
      <c r="B488">
        <v>52084</v>
      </c>
      <c r="C488" t="s">
        <v>52</v>
      </c>
      <c r="D488">
        <v>54182</v>
      </c>
      <c r="E488" t="s">
        <v>202</v>
      </c>
      <c r="F488">
        <v>11781</v>
      </c>
      <c r="G488">
        <v>0.70389130864066263</v>
      </c>
      <c r="H488">
        <v>0</v>
      </c>
      <c r="I488">
        <v>0</v>
      </c>
      <c r="J488">
        <v>0.62158587441132807</v>
      </c>
      <c r="K488">
        <v>0</v>
      </c>
      <c r="L488">
        <v>0</v>
      </c>
      <c r="M488">
        <v>0.44533773235574009</v>
      </c>
      <c r="N488">
        <v>0</v>
      </c>
      <c r="O488">
        <v>0</v>
      </c>
      <c r="P488">
        <v>0.49546297437986458</v>
      </c>
      <c r="Q488">
        <v>0.99643114408223465</v>
      </c>
      <c r="R488">
        <v>-2.9579523084229749</v>
      </c>
      <c r="S488">
        <v>0.19438162041258039</v>
      </c>
      <c r="T488">
        <v>0.15173430727862061</v>
      </c>
      <c r="U488">
        <v>4.2695489746201511</v>
      </c>
      <c r="V488">
        <v>0.19332384277072681</v>
      </c>
      <c r="W488">
        <v>1.296359261072914</v>
      </c>
      <c r="X488">
        <v>0.27366994799583338</v>
      </c>
      <c r="Z488" t="s">
        <v>392</v>
      </c>
      <c r="AA488">
        <v>161</v>
      </c>
      <c r="AB488" t="s">
        <v>4935</v>
      </c>
      <c r="AC488" t="str">
        <f>HYPERLINK("plots/3FT6Y578R04_015_S31P_20251219032831_M5358ACSA301811_RBGEUFRF04/dpll_52084/txpa_54182.png","plot")</f>
        <v>plot</v>
      </c>
    </row>
    <row r="489" spans="1:29" x14ac:dyDescent="0.35">
      <c r="A489" t="s">
        <v>50</v>
      </c>
      <c r="B489">
        <v>52084</v>
      </c>
      <c r="C489" t="s">
        <v>52</v>
      </c>
      <c r="D489">
        <v>54183</v>
      </c>
      <c r="E489" t="s">
        <v>203</v>
      </c>
      <c r="F489">
        <v>11781</v>
      </c>
      <c r="G489">
        <v>0.70363425181119554</v>
      </c>
      <c r="H489">
        <v>0</v>
      </c>
      <c r="I489">
        <v>0</v>
      </c>
      <c r="J489">
        <v>0.61544510187675594</v>
      </c>
      <c r="K489">
        <v>0</v>
      </c>
      <c r="L489">
        <v>0</v>
      </c>
      <c r="M489">
        <v>0.43903139360306259</v>
      </c>
      <c r="N489">
        <v>0</v>
      </c>
      <c r="O489">
        <v>0</v>
      </c>
      <c r="P489">
        <v>0.49510116032190088</v>
      </c>
      <c r="Q489">
        <v>0.99051160276412076</v>
      </c>
      <c r="R489">
        <v>-2.95328124478405</v>
      </c>
      <c r="S489">
        <v>0.1933503792279854</v>
      </c>
      <c r="T489">
        <v>0.1512981411053794</v>
      </c>
      <c r="U489">
        <v>4.2695174021729896</v>
      </c>
      <c r="V489">
        <v>0.19330748901132719</v>
      </c>
      <c r="W489">
        <v>1.2757252802716239</v>
      </c>
      <c r="X489">
        <v>0.27212050902021018</v>
      </c>
      <c r="Z489" t="s">
        <v>392</v>
      </c>
      <c r="AA489">
        <v>161</v>
      </c>
      <c r="AB489" t="s">
        <v>4936</v>
      </c>
      <c r="AC489" t="str">
        <f>HYPERLINK("plots/3FT6Y578R04_015_S31P_20251219032831_M5358ACSA301811_RBGEUFRF04/dpll_52084/txpa_54183.png","plot")</f>
        <v>plot</v>
      </c>
    </row>
    <row r="490" spans="1:29" x14ac:dyDescent="0.35">
      <c r="A490" t="s">
        <v>50</v>
      </c>
      <c r="B490">
        <v>52084</v>
      </c>
      <c r="C490" t="s">
        <v>52</v>
      </c>
      <c r="D490">
        <v>54184</v>
      </c>
      <c r="E490" t="s">
        <v>204</v>
      </c>
      <c r="F490">
        <v>11782</v>
      </c>
      <c r="G490">
        <v>0.70893168660515515</v>
      </c>
      <c r="H490">
        <v>0</v>
      </c>
      <c r="I490">
        <v>0</v>
      </c>
      <c r="J490">
        <v>0.631027548799451</v>
      </c>
      <c r="K490">
        <v>0</v>
      </c>
      <c r="L490">
        <v>0</v>
      </c>
      <c r="M490">
        <v>0.45240855500261518</v>
      </c>
      <c r="N490">
        <v>0</v>
      </c>
      <c r="O490">
        <v>0</v>
      </c>
      <c r="P490">
        <v>0.50258413627282994</v>
      </c>
      <c r="Q490">
        <v>1.005832534752962</v>
      </c>
      <c r="R490">
        <v>-3.012250934332783</v>
      </c>
      <c r="S490">
        <v>0.19343421645260481</v>
      </c>
      <c r="T490">
        <v>0.15108568784046861</v>
      </c>
      <c r="U490">
        <v>4.2695416864708866</v>
      </c>
      <c r="V490">
        <v>0.1933172563537221</v>
      </c>
      <c r="W490">
        <v>1.282193002403667</v>
      </c>
      <c r="X490">
        <v>0.274278593612998</v>
      </c>
      <c r="Z490" t="s">
        <v>392</v>
      </c>
      <c r="AA490">
        <v>161</v>
      </c>
      <c r="AB490" t="s">
        <v>4937</v>
      </c>
      <c r="AC490" t="str">
        <f>HYPERLINK("plots/3FT6Y578R04_015_S31P_20251219032831_M5358ACSA301811_RBGEUFRF04/dpll_52084/txpa_54184.png","plot")</f>
        <v>plot</v>
      </c>
    </row>
    <row r="491" spans="1:29" x14ac:dyDescent="0.35">
      <c r="A491" t="s">
        <v>50</v>
      </c>
      <c r="B491">
        <v>52084</v>
      </c>
      <c r="C491" t="s">
        <v>52</v>
      </c>
      <c r="D491">
        <v>54185</v>
      </c>
      <c r="E491" t="s">
        <v>205</v>
      </c>
      <c r="F491">
        <v>11782</v>
      </c>
      <c r="G491">
        <v>0.70595076033092818</v>
      </c>
      <c r="H491">
        <v>0</v>
      </c>
      <c r="I491">
        <v>0</v>
      </c>
      <c r="J491">
        <v>0.62125077948516905</v>
      </c>
      <c r="K491">
        <v>0</v>
      </c>
      <c r="L491">
        <v>0</v>
      </c>
      <c r="M491">
        <v>0.44384997922665731</v>
      </c>
      <c r="N491">
        <v>0</v>
      </c>
      <c r="O491">
        <v>0</v>
      </c>
      <c r="P491">
        <v>0.49836647601181561</v>
      </c>
      <c r="Q491">
        <v>0.98812350553326767</v>
      </c>
      <c r="R491">
        <v>-2.9325449380794919</v>
      </c>
      <c r="S491">
        <v>0.19163829045324129</v>
      </c>
      <c r="T491">
        <v>0.150486363683282</v>
      </c>
      <c r="U491">
        <v>4.2695416864708866</v>
      </c>
      <c r="V491">
        <v>0.1933172563537221</v>
      </c>
      <c r="W491">
        <v>1.2862895601765409</v>
      </c>
      <c r="X491">
        <v>0.27058732104597238</v>
      </c>
      <c r="Z491" t="s">
        <v>392</v>
      </c>
      <c r="AA491">
        <v>161</v>
      </c>
      <c r="AB491" t="s">
        <v>4938</v>
      </c>
      <c r="AC491" t="str">
        <f>HYPERLINK("plots/3FT6Y578R04_015_S31P_20251219032831_M5358ACSA301811_RBGEUFRF04/dpll_52084/txpa_54185.png","plot")</f>
        <v>plot</v>
      </c>
    </row>
    <row r="492" spans="1:29" x14ac:dyDescent="0.35">
      <c r="A492" t="s">
        <v>50</v>
      </c>
      <c r="B492">
        <v>52084</v>
      </c>
      <c r="C492" t="s">
        <v>52</v>
      </c>
      <c r="D492">
        <v>54186</v>
      </c>
      <c r="E492" t="s">
        <v>206</v>
      </c>
      <c r="F492">
        <v>11781</v>
      </c>
      <c r="G492">
        <v>0.69607042898907756</v>
      </c>
      <c r="H492">
        <v>0</v>
      </c>
      <c r="I492">
        <v>0</v>
      </c>
      <c r="J492">
        <v>0.61320975991323601</v>
      </c>
      <c r="K492">
        <v>0</v>
      </c>
      <c r="L492">
        <v>0</v>
      </c>
      <c r="M492">
        <v>0.43882653108735881</v>
      </c>
      <c r="N492">
        <v>0</v>
      </c>
      <c r="O492">
        <v>0</v>
      </c>
      <c r="P492">
        <v>0.48451404211303839</v>
      </c>
      <c r="Q492">
        <v>0.98189415812328107</v>
      </c>
      <c r="R492">
        <v>-2.9387594923394782</v>
      </c>
      <c r="S492">
        <v>0.19577559141749479</v>
      </c>
      <c r="T492">
        <v>0.15212158450389721</v>
      </c>
      <c r="U492">
        <v>4.2695633024361257</v>
      </c>
      <c r="V492">
        <v>0.19331122175495491</v>
      </c>
      <c r="W492">
        <v>1.2534997720600971</v>
      </c>
      <c r="X492">
        <v>0.27268958920799491</v>
      </c>
      <c r="Z492" t="s">
        <v>392</v>
      </c>
      <c r="AA492">
        <v>161</v>
      </c>
      <c r="AB492" t="s">
        <v>4939</v>
      </c>
      <c r="AC492" t="str">
        <f>HYPERLINK("plots/3FT6Y578R04_015_S31P_20251219032831_M5358ACSA301811_RBGEUFRF04/dpll_52084/txpa_54186.png","plot")</f>
        <v>plot</v>
      </c>
    </row>
    <row r="493" spans="1:29" x14ac:dyDescent="0.35">
      <c r="A493" t="s">
        <v>50</v>
      </c>
      <c r="B493">
        <v>52084</v>
      </c>
      <c r="C493" t="s">
        <v>52</v>
      </c>
      <c r="D493">
        <v>54187</v>
      </c>
      <c r="E493" t="s">
        <v>207</v>
      </c>
      <c r="F493">
        <v>11782</v>
      </c>
      <c r="G493">
        <v>0.7029594285270172</v>
      </c>
      <c r="H493">
        <v>0</v>
      </c>
      <c r="I493">
        <v>0</v>
      </c>
      <c r="J493">
        <v>0.63461876598958034</v>
      </c>
      <c r="K493">
        <v>0</v>
      </c>
      <c r="L493">
        <v>0</v>
      </c>
      <c r="M493">
        <v>0.45355918707202231</v>
      </c>
      <c r="N493">
        <v>0</v>
      </c>
      <c r="O493">
        <v>0</v>
      </c>
      <c r="P493">
        <v>0.4941519581550306</v>
      </c>
      <c r="Q493">
        <v>1.0317317286904171</v>
      </c>
      <c r="R493">
        <v>-1.1579068530430361</v>
      </c>
      <c r="S493">
        <v>0.2017895883575386</v>
      </c>
      <c r="T493">
        <v>0.15441116729335419</v>
      </c>
      <c r="U493">
        <v>4.2695416864708866</v>
      </c>
      <c r="V493">
        <v>0.1933172563537221</v>
      </c>
      <c r="W493">
        <v>3.2471147718553719</v>
      </c>
      <c r="X493">
        <v>0.28373123538785938</v>
      </c>
      <c r="Z493" t="s">
        <v>392</v>
      </c>
      <c r="AA493">
        <v>161</v>
      </c>
      <c r="AB493" t="s">
        <v>4940</v>
      </c>
      <c r="AC493" t="str">
        <f>HYPERLINK("plots/3FT6Y578R04_015_S31P_20251219032831_M5358ACSA301811_RBGEUFRF04/dpll_52084/txpa_54187.png","plot")</f>
        <v>plot</v>
      </c>
    </row>
    <row r="494" spans="1:29" x14ac:dyDescent="0.35">
      <c r="A494" t="s">
        <v>50</v>
      </c>
      <c r="B494">
        <v>52084</v>
      </c>
      <c r="C494" t="s">
        <v>52</v>
      </c>
      <c r="D494">
        <v>54188</v>
      </c>
      <c r="E494" t="s">
        <v>208</v>
      </c>
      <c r="F494">
        <v>11782</v>
      </c>
      <c r="G494">
        <v>0.72501411750402966</v>
      </c>
      <c r="H494">
        <v>0</v>
      </c>
      <c r="I494">
        <v>0</v>
      </c>
      <c r="J494">
        <v>0.64931041390576283</v>
      </c>
      <c r="K494">
        <v>0</v>
      </c>
      <c r="L494">
        <v>0</v>
      </c>
      <c r="M494">
        <v>0.46799064391320261</v>
      </c>
      <c r="N494">
        <v>0</v>
      </c>
      <c r="O494">
        <v>0</v>
      </c>
      <c r="P494">
        <v>0.52564547058014699</v>
      </c>
      <c r="Q494">
        <v>1.0663459755066409</v>
      </c>
      <c r="R494">
        <v>-1.2712749223293429</v>
      </c>
      <c r="S494">
        <v>0.1958192525365543</v>
      </c>
      <c r="T494">
        <v>0.15210303659641619</v>
      </c>
      <c r="U494">
        <v>4.2695416864708866</v>
      </c>
      <c r="V494">
        <v>0.1933172563537221</v>
      </c>
      <c r="W494">
        <v>3.2815336722967241</v>
      </c>
      <c r="X494">
        <v>0.2843297438378935</v>
      </c>
      <c r="Z494" t="s">
        <v>392</v>
      </c>
      <c r="AA494">
        <v>161</v>
      </c>
      <c r="AB494" t="s">
        <v>4941</v>
      </c>
      <c r="AC494" t="str">
        <f>HYPERLINK("plots/3FT6Y578R04_015_S31P_20251219032831_M5358ACSA301811_RBGEUFRF04/dpll_52084/txpa_54188.png","plot")</f>
        <v>plot</v>
      </c>
    </row>
    <row r="495" spans="1:29" x14ac:dyDescent="0.35">
      <c r="A495" t="s">
        <v>50</v>
      </c>
      <c r="B495">
        <v>52084</v>
      </c>
      <c r="C495" t="s">
        <v>52</v>
      </c>
      <c r="D495">
        <v>54189</v>
      </c>
      <c r="E495" t="s">
        <v>209</v>
      </c>
      <c r="F495">
        <v>11782</v>
      </c>
      <c r="G495">
        <v>0.71571885579047168</v>
      </c>
      <c r="H495">
        <v>0</v>
      </c>
      <c r="I495">
        <v>0</v>
      </c>
      <c r="J495">
        <v>0.63908232188990122</v>
      </c>
      <c r="K495">
        <v>0</v>
      </c>
      <c r="L495">
        <v>0</v>
      </c>
      <c r="M495">
        <v>0.45901231710242552</v>
      </c>
      <c r="N495">
        <v>0</v>
      </c>
      <c r="O495">
        <v>0</v>
      </c>
      <c r="P495">
        <v>0.51225348053402198</v>
      </c>
      <c r="Q495">
        <v>1.0376462867411009</v>
      </c>
      <c r="R495">
        <v>-1.140176749943705</v>
      </c>
      <c r="S495">
        <v>0.19572944218695601</v>
      </c>
      <c r="T495">
        <v>0.1514305293963393</v>
      </c>
      <c r="U495">
        <v>4.2695416864708866</v>
      </c>
      <c r="V495">
        <v>0.1933172563537221</v>
      </c>
      <c r="W495">
        <v>3.2900973271091489</v>
      </c>
      <c r="X495">
        <v>0.28027057216044882</v>
      </c>
      <c r="Z495" t="s">
        <v>392</v>
      </c>
      <c r="AA495">
        <v>161</v>
      </c>
      <c r="AB495" t="s">
        <v>4942</v>
      </c>
      <c r="AC495" t="str">
        <f>HYPERLINK("plots/3FT6Y578R04_015_S31P_20251219032831_M5358ACSA301811_RBGEUFRF04/dpll_52084/txpa_54189.png","plot")</f>
        <v>plot</v>
      </c>
    </row>
    <row r="496" spans="1:29" x14ac:dyDescent="0.35">
      <c r="A496" t="s">
        <v>50</v>
      </c>
      <c r="B496">
        <v>52084</v>
      </c>
      <c r="C496" t="s">
        <v>52</v>
      </c>
      <c r="D496">
        <v>54190</v>
      </c>
      <c r="E496" t="s">
        <v>210</v>
      </c>
      <c r="F496">
        <v>11781</v>
      </c>
      <c r="G496">
        <v>0.73240456696528966</v>
      </c>
      <c r="H496">
        <v>0</v>
      </c>
      <c r="I496">
        <v>0</v>
      </c>
      <c r="J496">
        <v>0.65133834875371377</v>
      </c>
      <c r="K496">
        <v>0</v>
      </c>
      <c r="L496">
        <v>0</v>
      </c>
      <c r="M496">
        <v>0.46989971937504532</v>
      </c>
      <c r="N496">
        <v>0</v>
      </c>
      <c r="O496">
        <v>0</v>
      </c>
      <c r="P496">
        <v>0.53641644971161351</v>
      </c>
      <c r="Q496">
        <v>1.0703052278017651</v>
      </c>
      <c r="R496">
        <v>-1.265301802729063</v>
      </c>
      <c r="S496">
        <v>0.1923479659076294</v>
      </c>
      <c r="T496">
        <v>0.15003957383342689</v>
      </c>
      <c r="U496">
        <v>4.2695489746201511</v>
      </c>
      <c r="V496">
        <v>0.19332384277072681</v>
      </c>
      <c r="W496">
        <v>3.3044187851625502</v>
      </c>
      <c r="X496">
        <v>0.28251533224811459</v>
      </c>
      <c r="Z496" t="s">
        <v>392</v>
      </c>
      <c r="AA496">
        <v>161</v>
      </c>
      <c r="AB496" t="s">
        <v>4943</v>
      </c>
      <c r="AC496" t="str">
        <f>HYPERLINK("plots/3FT6Y578R04_015_S31P_20251219032831_M5358ACSA301811_RBGEUFRF04/dpll_52084/txpa_54190.png","plot")</f>
        <v>plot</v>
      </c>
    </row>
    <row r="497" spans="1:29" x14ac:dyDescent="0.35">
      <c r="A497" t="s">
        <v>50</v>
      </c>
      <c r="B497">
        <v>52084</v>
      </c>
      <c r="C497" t="s">
        <v>52</v>
      </c>
      <c r="D497">
        <v>54191</v>
      </c>
      <c r="E497" t="s">
        <v>211</v>
      </c>
      <c r="F497">
        <v>11781</v>
      </c>
      <c r="G497">
        <v>0.73270037696287982</v>
      </c>
      <c r="H497">
        <v>0</v>
      </c>
      <c r="I497">
        <v>0</v>
      </c>
      <c r="J497">
        <v>0.64552695585702602</v>
      </c>
      <c r="K497">
        <v>0</v>
      </c>
      <c r="L497">
        <v>0</v>
      </c>
      <c r="M497">
        <v>0.4635466928133779</v>
      </c>
      <c r="N497">
        <v>0</v>
      </c>
      <c r="O497">
        <v>0</v>
      </c>
      <c r="P497">
        <v>0.53684984240154621</v>
      </c>
      <c r="Q497">
        <v>1.064874989047258</v>
      </c>
      <c r="R497">
        <v>-1.2639033408451421</v>
      </c>
      <c r="S497">
        <v>0.1911892047120832</v>
      </c>
      <c r="T497">
        <v>0.1495013431806595</v>
      </c>
      <c r="U497">
        <v>4.2695174021729896</v>
      </c>
      <c r="V497">
        <v>0.19330748901132719</v>
      </c>
      <c r="W497">
        <v>3.2825989560308968</v>
      </c>
      <c r="X497">
        <v>0.28094473091027039</v>
      </c>
      <c r="Z497" t="s">
        <v>392</v>
      </c>
      <c r="AA497">
        <v>161</v>
      </c>
      <c r="AB497" t="s">
        <v>4944</v>
      </c>
      <c r="AC497" t="str">
        <f>HYPERLINK("plots/3FT6Y578R04_015_S31P_20251219032831_M5358ACSA301811_RBGEUFRF04/dpll_52084/txpa_54191.png","plot")</f>
        <v>plot</v>
      </c>
    </row>
    <row r="498" spans="1:29" x14ac:dyDescent="0.35">
      <c r="A498" t="s">
        <v>50</v>
      </c>
      <c r="B498">
        <v>52084</v>
      </c>
      <c r="C498" t="s">
        <v>52</v>
      </c>
      <c r="D498">
        <v>54192</v>
      </c>
      <c r="E498" t="s">
        <v>212</v>
      </c>
      <c r="F498">
        <v>11781</v>
      </c>
      <c r="G498">
        <v>0.73907953931473536</v>
      </c>
      <c r="H498">
        <v>0</v>
      </c>
      <c r="I498">
        <v>0</v>
      </c>
      <c r="J498">
        <v>0.66092373272271865</v>
      </c>
      <c r="K498">
        <v>0</v>
      </c>
      <c r="L498">
        <v>0</v>
      </c>
      <c r="M498">
        <v>0.47723794377378193</v>
      </c>
      <c r="N498">
        <v>0</v>
      </c>
      <c r="O498">
        <v>0</v>
      </c>
      <c r="P498">
        <v>0.54623856543368143</v>
      </c>
      <c r="Q498">
        <v>1.082819009389461</v>
      </c>
      <c r="R498">
        <v>-1.330720005126552</v>
      </c>
      <c r="S498">
        <v>0.19076229583044579</v>
      </c>
      <c r="T498">
        <v>0.149376214532006</v>
      </c>
      <c r="U498">
        <v>4.2695129435531793</v>
      </c>
      <c r="V498">
        <v>0.1933002831720991</v>
      </c>
      <c r="W498">
        <v>3.292389770987183</v>
      </c>
      <c r="X498">
        <v>0.28320256481891443</v>
      </c>
      <c r="Z498" t="s">
        <v>392</v>
      </c>
      <c r="AA498">
        <v>161</v>
      </c>
      <c r="AB498" t="s">
        <v>4945</v>
      </c>
      <c r="AC498" t="str">
        <f>HYPERLINK("plots/3FT6Y578R04_015_S31P_20251219032831_M5358ACSA301811_RBGEUFRF04/dpll_52084/txpa_54192.png","plot")</f>
        <v>plot</v>
      </c>
    </row>
    <row r="499" spans="1:29" x14ac:dyDescent="0.35">
      <c r="A499" t="s">
        <v>50</v>
      </c>
      <c r="B499">
        <v>52084</v>
      </c>
      <c r="C499" t="s">
        <v>52</v>
      </c>
      <c r="D499">
        <v>54193</v>
      </c>
      <c r="E499" t="s">
        <v>213</v>
      </c>
      <c r="F499">
        <v>11782</v>
      </c>
      <c r="G499">
        <v>0.73462788913637644</v>
      </c>
      <c r="H499">
        <v>0</v>
      </c>
      <c r="I499">
        <v>0</v>
      </c>
      <c r="J499">
        <v>0.65067861060043497</v>
      </c>
      <c r="K499">
        <v>0</v>
      </c>
      <c r="L499">
        <v>0</v>
      </c>
      <c r="M499">
        <v>0.46815289493213441</v>
      </c>
      <c r="N499">
        <v>0</v>
      </c>
      <c r="O499">
        <v>0</v>
      </c>
      <c r="P499">
        <v>0.53967813549696819</v>
      </c>
      <c r="Q499">
        <v>1.0642887264806871</v>
      </c>
      <c r="R499">
        <v>-1.247862053595221</v>
      </c>
      <c r="S499">
        <v>0.19000938119883551</v>
      </c>
      <c r="T499">
        <v>0.1492739339966562</v>
      </c>
      <c r="U499">
        <v>4.2695416864708866</v>
      </c>
      <c r="V499">
        <v>0.1933172563537221</v>
      </c>
      <c r="W499">
        <v>3.2961630305550842</v>
      </c>
      <c r="X499">
        <v>0.28006747308942531</v>
      </c>
      <c r="Z499" t="s">
        <v>392</v>
      </c>
      <c r="AA499">
        <v>161</v>
      </c>
      <c r="AB499" t="s">
        <v>4946</v>
      </c>
      <c r="AC499" t="str">
        <f>HYPERLINK("plots/3FT6Y578R04_015_S31P_20251219032831_M5358ACSA301811_RBGEUFRF04/dpll_52084/txpa_54193.png","plot")</f>
        <v>plot</v>
      </c>
    </row>
    <row r="500" spans="1:29" x14ac:dyDescent="0.35">
      <c r="A500" t="s">
        <v>50</v>
      </c>
      <c r="B500">
        <v>52084</v>
      </c>
      <c r="C500" t="s">
        <v>52</v>
      </c>
      <c r="D500">
        <v>54194</v>
      </c>
      <c r="E500" t="s">
        <v>214</v>
      </c>
      <c r="F500">
        <v>11781</v>
      </c>
      <c r="G500">
        <v>0.7260367044307976</v>
      </c>
      <c r="H500">
        <v>0</v>
      </c>
      <c r="I500">
        <v>0</v>
      </c>
      <c r="J500">
        <v>0.64391355019403707</v>
      </c>
      <c r="K500">
        <v>0</v>
      </c>
      <c r="L500">
        <v>0</v>
      </c>
      <c r="M500">
        <v>0.46388231882945391</v>
      </c>
      <c r="N500">
        <v>0</v>
      </c>
      <c r="O500">
        <v>0</v>
      </c>
      <c r="P500">
        <v>0.52712929618073334</v>
      </c>
      <c r="Q500">
        <v>1.05763587982235</v>
      </c>
      <c r="R500">
        <v>-1.2500204724156181</v>
      </c>
      <c r="S500">
        <v>0.19363659447625761</v>
      </c>
      <c r="T500">
        <v>0.15024437035622309</v>
      </c>
      <c r="U500">
        <v>4.2695633024361257</v>
      </c>
      <c r="V500">
        <v>0.19331122175495491</v>
      </c>
      <c r="W500">
        <v>3.2656228674136321</v>
      </c>
      <c r="X500">
        <v>0.28160130590177701</v>
      </c>
      <c r="Z500" t="s">
        <v>392</v>
      </c>
      <c r="AA500">
        <v>161</v>
      </c>
      <c r="AB500" t="s">
        <v>4947</v>
      </c>
      <c r="AC500" t="str">
        <f>HYPERLINK("plots/3FT6Y578R04_015_S31P_20251219032831_M5358ACSA301811_RBGEUFRF04/dpll_52084/txpa_54194.png","plot")</f>
        <v>plot</v>
      </c>
    </row>
    <row r="501" spans="1:29" x14ac:dyDescent="0.35">
      <c r="A501" t="s">
        <v>50</v>
      </c>
      <c r="B501">
        <v>52084</v>
      </c>
      <c r="C501" t="s">
        <v>52</v>
      </c>
      <c r="D501">
        <v>54195</v>
      </c>
      <c r="E501" t="s">
        <v>215</v>
      </c>
      <c r="F501">
        <v>11782</v>
      </c>
      <c r="G501">
        <v>0.7399214131152827</v>
      </c>
      <c r="H501">
        <v>0</v>
      </c>
      <c r="I501">
        <v>0</v>
      </c>
      <c r="J501">
        <v>0.6669303189559499</v>
      </c>
      <c r="K501">
        <v>0</v>
      </c>
      <c r="L501">
        <v>0</v>
      </c>
      <c r="M501">
        <v>0.48069430373736338</v>
      </c>
      <c r="N501">
        <v>0</v>
      </c>
      <c r="O501">
        <v>0</v>
      </c>
      <c r="P501">
        <v>0.54748369758651683</v>
      </c>
      <c r="Q501">
        <v>1.151595552914507</v>
      </c>
      <c r="R501">
        <v>0.74747778554515953</v>
      </c>
      <c r="S501">
        <v>0.20238750183574719</v>
      </c>
      <c r="T501">
        <v>0.15424339578833191</v>
      </c>
      <c r="U501">
        <v>4.2695416864708866</v>
      </c>
      <c r="V501">
        <v>0.1933172563537221</v>
      </c>
      <c r="W501">
        <v>5.6642630046681388</v>
      </c>
      <c r="X501">
        <v>0.30087423984835338</v>
      </c>
      <c r="Z501" t="s">
        <v>392</v>
      </c>
      <c r="AA501">
        <v>161</v>
      </c>
      <c r="AB501" t="s">
        <v>4948</v>
      </c>
      <c r="AC501" t="str">
        <f>HYPERLINK("plots/3FT6Y578R04_015_S31P_20251219032831_M5358ACSA301811_RBGEUFRF04/dpll_52084/txpa_54195.png","plot")</f>
        <v>plot</v>
      </c>
    </row>
    <row r="502" spans="1:29" x14ac:dyDescent="0.35">
      <c r="A502" t="s">
        <v>50</v>
      </c>
      <c r="B502">
        <v>52084</v>
      </c>
      <c r="C502" t="s">
        <v>52</v>
      </c>
      <c r="D502">
        <v>54196</v>
      </c>
      <c r="E502" t="s">
        <v>216</v>
      </c>
      <c r="F502">
        <v>11782</v>
      </c>
      <c r="G502">
        <v>0.75926404004696113</v>
      </c>
      <c r="H502">
        <v>0</v>
      </c>
      <c r="I502">
        <v>0</v>
      </c>
      <c r="J502">
        <v>0.67944999133336992</v>
      </c>
      <c r="K502">
        <v>0</v>
      </c>
      <c r="L502">
        <v>0</v>
      </c>
      <c r="M502">
        <v>0.4938848554543106</v>
      </c>
      <c r="N502">
        <v>0</v>
      </c>
      <c r="O502">
        <v>0</v>
      </c>
      <c r="P502">
        <v>0.57648188250843335</v>
      </c>
      <c r="Q502">
        <v>1.1839701477338911</v>
      </c>
      <c r="R502">
        <v>0.64331742633145783</v>
      </c>
      <c r="S502">
        <v>0.19617158870225199</v>
      </c>
      <c r="T502">
        <v>0.1519185859155549</v>
      </c>
      <c r="U502">
        <v>4.2695416864708866</v>
      </c>
      <c r="V502">
        <v>0.1933172563537221</v>
      </c>
      <c r="W502">
        <v>5.6983273276184008</v>
      </c>
      <c r="X502">
        <v>0.3014522596782937</v>
      </c>
      <c r="Z502" t="s">
        <v>392</v>
      </c>
      <c r="AA502">
        <v>161</v>
      </c>
      <c r="AB502" t="s">
        <v>4949</v>
      </c>
      <c r="AC502" t="str">
        <f>HYPERLINK("plots/3FT6Y578R04_015_S31P_20251219032831_M5358ACSA301811_RBGEUFRF04/dpll_52084/txpa_54196.png","plot")</f>
        <v>plot</v>
      </c>
    </row>
    <row r="503" spans="1:29" x14ac:dyDescent="0.35">
      <c r="A503" t="s">
        <v>50</v>
      </c>
      <c r="B503">
        <v>52084</v>
      </c>
      <c r="C503" t="s">
        <v>52</v>
      </c>
      <c r="D503">
        <v>54197</v>
      </c>
      <c r="E503" t="s">
        <v>217</v>
      </c>
      <c r="F503">
        <v>11782</v>
      </c>
      <c r="G503">
        <v>0.75123296519107907</v>
      </c>
      <c r="H503">
        <v>0</v>
      </c>
      <c r="I503">
        <v>0</v>
      </c>
      <c r="J503">
        <v>0.6704592545247976</v>
      </c>
      <c r="K503">
        <v>0</v>
      </c>
      <c r="L503">
        <v>0</v>
      </c>
      <c r="M503">
        <v>0.48556967038802512</v>
      </c>
      <c r="N503">
        <v>0</v>
      </c>
      <c r="O503">
        <v>0</v>
      </c>
      <c r="P503">
        <v>0.56435096798978102</v>
      </c>
      <c r="Q503">
        <v>1.1553354945445189</v>
      </c>
      <c r="R503">
        <v>0.7749695972976367</v>
      </c>
      <c r="S503">
        <v>0.19622486872666209</v>
      </c>
      <c r="T503">
        <v>0.15112451428396051</v>
      </c>
      <c r="U503">
        <v>4.2695416864708866</v>
      </c>
      <c r="V503">
        <v>0.1933172563537221</v>
      </c>
      <c r="W503">
        <v>5.7077226531149208</v>
      </c>
      <c r="X503">
        <v>0.29730629288426941</v>
      </c>
      <c r="Z503" t="s">
        <v>392</v>
      </c>
      <c r="AA503">
        <v>161</v>
      </c>
      <c r="AB503" t="s">
        <v>4950</v>
      </c>
      <c r="AC503" t="str">
        <f>HYPERLINK("plots/3FT6Y578R04_015_S31P_20251219032831_M5358ACSA301811_RBGEUFRF04/dpll_52084/txpa_54197.png","plot")</f>
        <v>plot</v>
      </c>
    </row>
    <row r="504" spans="1:29" x14ac:dyDescent="0.35">
      <c r="A504" t="s">
        <v>50</v>
      </c>
      <c r="B504">
        <v>52084</v>
      </c>
      <c r="C504" t="s">
        <v>52</v>
      </c>
      <c r="D504">
        <v>54198</v>
      </c>
      <c r="E504" t="s">
        <v>218</v>
      </c>
      <c r="F504">
        <v>11781</v>
      </c>
      <c r="G504">
        <v>0.76628916606056208</v>
      </c>
      <c r="H504">
        <v>0</v>
      </c>
      <c r="I504">
        <v>0</v>
      </c>
      <c r="J504">
        <v>0.68171044359799682</v>
      </c>
      <c r="K504">
        <v>0</v>
      </c>
      <c r="L504">
        <v>0</v>
      </c>
      <c r="M504">
        <v>0.49589095295039881</v>
      </c>
      <c r="N504">
        <v>0</v>
      </c>
      <c r="O504">
        <v>0</v>
      </c>
      <c r="P504">
        <v>0.58719908602179172</v>
      </c>
      <c r="Q504">
        <v>1.187006076943613</v>
      </c>
      <c r="R504">
        <v>0.65049114952394138</v>
      </c>
      <c r="S504">
        <v>0.19239667770901081</v>
      </c>
      <c r="T504">
        <v>0.149654316281737</v>
      </c>
      <c r="U504">
        <v>4.2695489746201511</v>
      </c>
      <c r="V504">
        <v>0.19332384277072681</v>
      </c>
      <c r="W504">
        <v>5.7184717282064339</v>
      </c>
      <c r="X504">
        <v>0.29946472735177371</v>
      </c>
      <c r="Z504" t="s">
        <v>392</v>
      </c>
      <c r="AA504">
        <v>161</v>
      </c>
      <c r="AB504" t="s">
        <v>4951</v>
      </c>
      <c r="AC504" t="str">
        <f>HYPERLINK("plots/3FT6Y578R04_015_S31P_20251219032831_M5358ACSA301811_RBGEUFRF04/dpll_52084/txpa_54198.png","plot")</f>
        <v>plot</v>
      </c>
    </row>
    <row r="505" spans="1:29" x14ac:dyDescent="0.35">
      <c r="A505" t="s">
        <v>50</v>
      </c>
      <c r="B505">
        <v>52084</v>
      </c>
      <c r="C505" t="s">
        <v>52</v>
      </c>
      <c r="D505">
        <v>54199</v>
      </c>
      <c r="E505" t="s">
        <v>219</v>
      </c>
      <c r="F505">
        <v>11781</v>
      </c>
      <c r="G505">
        <v>0.76742810065924183</v>
      </c>
      <c r="H505">
        <v>0</v>
      </c>
      <c r="I505">
        <v>0</v>
      </c>
      <c r="J505">
        <v>0.67722173524220231</v>
      </c>
      <c r="K505">
        <v>0</v>
      </c>
      <c r="L505">
        <v>0</v>
      </c>
      <c r="M505">
        <v>0.49060645835097272</v>
      </c>
      <c r="N505">
        <v>0</v>
      </c>
      <c r="O505">
        <v>0</v>
      </c>
      <c r="P505">
        <v>0.58894588968145145</v>
      </c>
      <c r="Q505">
        <v>1.1830214469018829</v>
      </c>
      <c r="R505">
        <v>0.64468983923944645</v>
      </c>
      <c r="S505">
        <v>0.19104455524261491</v>
      </c>
      <c r="T505">
        <v>0.14901441421881259</v>
      </c>
      <c r="U505">
        <v>4.2695174021729896</v>
      </c>
      <c r="V505">
        <v>0.19330748901132719</v>
      </c>
      <c r="W505">
        <v>5.6956204939309067</v>
      </c>
      <c r="X505">
        <v>0.29799131039207688</v>
      </c>
      <c r="Z505" t="s">
        <v>392</v>
      </c>
      <c r="AA505">
        <v>161</v>
      </c>
      <c r="AB505" t="s">
        <v>4952</v>
      </c>
      <c r="AC505" t="str">
        <f>HYPERLINK("plots/3FT6Y578R04_015_S31P_20251219032831_M5358ACSA301811_RBGEUFRF04/dpll_52084/txpa_54199.png","plot")</f>
        <v>plot</v>
      </c>
    </row>
    <row r="506" spans="1:29" x14ac:dyDescent="0.35">
      <c r="A506" t="s">
        <v>50</v>
      </c>
      <c r="B506">
        <v>52084</v>
      </c>
      <c r="C506" t="s">
        <v>52</v>
      </c>
      <c r="D506">
        <v>54200</v>
      </c>
      <c r="E506" t="s">
        <v>220</v>
      </c>
      <c r="F506">
        <v>11781</v>
      </c>
      <c r="G506">
        <v>0.77225978132495687</v>
      </c>
      <c r="H506">
        <v>0</v>
      </c>
      <c r="I506">
        <v>0</v>
      </c>
      <c r="J506">
        <v>0.69030916505657325</v>
      </c>
      <c r="K506">
        <v>0</v>
      </c>
      <c r="L506">
        <v>0</v>
      </c>
      <c r="M506">
        <v>0.50281569408500904</v>
      </c>
      <c r="N506">
        <v>0</v>
      </c>
      <c r="O506">
        <v>0</v>
      </c>
      <c r="P506">
        <v>0.59638516985207024</v>
      </c>
      <c r="Q506">
        <v>1.200424871480392</v>
      </c>
      <c r="R506">
        <v>0.58278682333671483</v>
      </c>
      <c r="S506">
        <v>0.190883848461365</v>
      </c>
      <c r="T506">
        <v>0.14903208931023659</v>
      </c>
      <c r="U506">
        <v>4.2695129435531793</v>
      </c>
      <c r="V506">
        <v>0.1933002831720991</v>
      </c>
      <c r="W506">
        <v>5.7080163498854093</v>
      </c>
      <c r="X506">
        <v>0.30047203440515591</v>
      </c>
      <c r="Z506" t="s">
        <v>392</v>
      </c>
      <c r="AA506">
        <v>161</v>
      </c>
      <c r="AB506" t="s">
        <v>4953</v>
      </c>
      <c r="AC506" t="str">
        <f>HYPERLINK("plots/3FT6Y578R04_015_S31P_20251219032831_M5358ACSA301811_RBGEUFRF04/dpll_52084/txpa_54200.png","plot")</f>
        <v>plot</v>
      </c>
    </row>
    <row r="507" spans="1:29" x14ac:dyDescent="0.35">
      <c r="A507" t="s">
        <v>50</v>
      </c>
      <c r="B507">
        <v>52084</v>
      </c>
      <c r="C507" t="s">
        <v>52</v>
      </c>
      <c r="D507">
        <v>54201</v>
      </c>
      <c r="E507" t="s">
        <v>221</v>
      </c>
      <c r="F507">
        <v>11782</v>
      </c>
      <c r="G507">
        <v>0.76823982333517626</v>
      </c>
      <c r="H507">
        <v>0</v>
      </c>
      <c r="I507">
        <v>0</v>
      </c>
      <c r="J507">
        <v>0.6802811294386123</v>
      </c>
      <c r="K507">
        <v>0</v>
      </c>
      <c r="L507">
        <v>0</v>
      </c>
      <c r="M507">
        <v>0.49377295444181668</v>
      </c>
      <c r="N507">
        <v>0</v>
      </c>
      <c r="O507">
        <v>0</v>
      </c>
      <c r="P507">
        <v>0.59019242615806289</v>
      </c>
      <c r="Q507">
        <v>1.1819426890992999</v>
      </c>
      <c r="R507">
        <v>0.6658666236934776</v>
      </c>
      <c r="S507">
        <v>0.19038897008888089</v>
      </c>
      <c r="T507">
        <v>0.14913785711748609</v>
      </c>
      <c r="U507">
        <v>4.2695416864708866</v>
      </c>
      <c r="V507">
        <v>0.1933172563537221</v>
      </c>
      <c r="W507">
        <v>5.7122202058224403</v>
      </c>
      <c r="X507">
        <v>0.29742003848755039</v>
      </c>
      <c r="Z507" t="s">
        <v>392</v>
      </c>
      <c r="AA507">
        <v>161</v>
      </c>
      <c r="AB507" t="s">
        <v>4954</v>
      </c>
      <c r="AC507" t="str">
        <f>HYPERLINK("plots/3FT6Y578R04_015_S31P_20251219032831_M5358ACSA301811_RBGEUFRF04/dpll_52084/txpa_54201.png","plot")</f>
        <v>plot</v>
      </c>
    </row>
    <row r="508" spans="1:29" x14ac:dyDescent="0.35">
      <c r="A508" t="s">
        <v>50</v>
      </c>
      <c r="B508">
        <v>52084</v>
      </c>
      <c r="C508" t="s">
        <v>52</v>
      </c>
      <c r="D508">
        <v>54202</v>
      </c>
      <c r="E508" t="s">
        <v>222</v>
      </c>
      <c r="F508">
        <v>11781</v>
      </c>
      <c r="G508">
        <v>0.76135514454713737</v>
      </c>
      <c r="H508">
        <v>0</v>
      </c>
      <c r="I508">
        <v>0</v>
      </c>
      <c r="J508">
        <v>0.67479140235311208</v>
      </c>
      <c r="K508">
        <v>0</v>
      </c>
      <c r="L508">
        <v>0</v>
      </c>
      <c r="M508">
        <v>0.49027629233814202</v>
      </c>
      <c r="N508">
        <v>0</v>
      </c>
      <c r="O508">
        <v>0</v>
      </c>
      <c r="P508">
        <v>0.57966165612839249</v>
      </c>
      <c r="Q508">
        <v>1.176659058558196</v>
      </c>
      <c r="R508">
        <v>0.660043660281179</v>
      </c>
      <c r="S508">
        <v>0.193687455233025</v>
      </c>
      <c r="T508">
        <v>0.14974960901829579</v>
      </c>
      <c r="U508">
        <v>4.2695633024361257</v>
      </c>
      <c r="V508">
        <v>0.19331122175495491</v>
      </c>
      <c r="W508">
        <v>5.6838639961802908</v>
      </c>
      <c r="X508">
        <v>0.29875860408642319</v>
      </c>
      <c r="Z508" t="s">
        <v>392</v>
      </c>
      <c r="AA508">
        <v>161</v>
      </c>
      <c r="AB508" t="s">
        <v>4955</v>
      </c>
      <c r="AC508" t="str">
        <f>HYPERLINK("plots/3FT6Y578R04_015_S31P_20251219032831_M5358ACSA301811_RBGEUFRF04/dpll_52084/txpa_54202.png","plot")</f>
        <v>plot</v>
      </c>
    </row>
    <row r="509" spans="1:29" x14ac:dyDescent="0.35">
      <c r="A509" t="s">
        <v>50</v>
      </c>
      <c r="B509">
        <v>52084</v>
      </c>
      <c r="C509" t="s">
        <v>52</v>
      </c>
      <c r="D509">
        <v>54203</v>
      </c>
      <c r="E509" t="s">
        <v>223</v>
      </c>
      <c r="F509">
        <v>11782</v>
      </c>
      <c r="G509">
        <v>0.75291461726417264</v>
      </c>
      <c r="H509">
        <v>0</v>
      </c>
      <c r="I509">
        <v>0</v>
      </c>
      <c r="J509">
        <v>0.67667145574689247</v>
      </c>
      <c r="K509">
        <v>0</v>
      </c>
      <c r="L509">
        <v>0</v>
      </c>
      <c r="M509">
        <v>0.48900731321350849</v>
      </c>
      <c r="N509">
        <v>0</v>
      </c>
      <c r="O509">
        <v>0</v>
      </c>
      <c r="P509">
        <v>0.56688042089005553</v>
      </c>
      <c r="Q509">
        <v>1.2099840632439121</v>
      </c>
      <c r="R509">
        <v>1.562949191558062</v>
      </c>
      <c r="S509">
        <v>0.20445136824596191</v>
      </c>
      <c r="T509">
        <v>0.15546888917344809</v>
      </c>
      <c r="U509">
        <v>4.2695416864708866</v>
      </c>
      <c r="V509">
        <v>0.1933172563537221</v>
      </c>
      <c r="W509">
        <v>6.7290265895433734</v>
      </c>
      <c r="X509">
        <v>0.31067373905953832</v>
      </c>
      <c r="Z509" t="s">
        <v>392</v>
      </c>
      <c r="AA509">
        <v>161</v>
      </c>
      <c r="AB509" t="s">
        <v>4956</v>
      </c>
      <c r="AC509" t="str">
        <f>HYPERLINK("plots/3FT6Y578R04_015_S31P_20251219032831_M5358ACSA301811_RBGEUFRF04/dpll_52084/txpa_54203.png","plot")</f>
        <v>plot</v>
      </c>
    </row>
    <row r="510" spans="1:29" x14ac:dyDescent="0.35">
      <c r="A510" t="s">
        <v>50</v>
      </c>
      <c r="B510">
        <v>52084</v>
      </c>
      <c r="C510" t="s">
        <v>52</v>
      </c>
      <c r="D510">
        <v>54204</v>
      </c>
      <c r="E510" t="s">
        <v>224</v>
      </c>
      <c r="F510">
        <v>11782</v>
      </c>
      <c r="G510">
        <v>0.77110029450219442</v>
      </c>
      <c r="H510">
        <v>0</v>
      </c>
      <c r="I510">
        <v>0</v>
      </c>
      <c r="J510">
        <v>0.68860739955225514</v>
      </c>
      <c r="K510">
        <v>0</v>
      </c>
      <c r="L510">
        <v>0</v>
      </c>
      <c r="M510">
        <v>0.50187654890509759</v>
      </c>
      <c r="N510">
        <v>0</v>
      </c>
      <c r="O510">
        <v>0</v>
      </c>
      <c r="P510">
        <v>0.594595664181371</v>
      </c>
      <c r="Q510">
        <v>1.2416641943207909</v>
      </c>
      <c r="R510">
        <v>1.4610536681656601</v>
      </c>
      <c r="S510">
        <v>0.1981936221473298</v>
      </c>
      <c r="T510">
        <v>0.15316279361828719</v>
      </c>
      <c r="U510">
        <v>4.2695416864708866</v>
      </c>
      <c r="V510">
        <v>0.1933172563537221</v>
      </c>
      <c r="W510">
        <v>6.7623907064165678</v>
      </c>
      <c r="X510">
        <v>0.31128909827963652</v>
      </c>
      <c r="Z510" t="s">
        <v>392</v>
      </c>
      <c r="AA510">
        <v>161</v>
      </c>
      <c r="AB510" t="s">
        <v>4957</v>
      </c>
      <c r="AC510" t="str">
        <f>HYPERLINK("plots/3FT6Y578R04_015_S31P_20251219032831_M5358ACSA301811_RBGEUFRF04/dpll_52084/txpa_54204.png","plot")</f>
        <v>plot</v>
      </c>
    </row>
    <row r="511" spans="1:29" x14ac:dyDescent="0.35">
      <c r="A511" t="s">
        <v>50</v>
      </c>
      <c r="B511">
        <v>52084</v>
      </c>
      <c r="C511" t="s">
        <v>52</v>
      </c>
      <c r="D511">
        <v>54205</v>
      </c>
      <c r="E511" t="s">
        <v>225</v>
      </c>
      <c r="F511">
        <v>11782</v>
      </c>
      <c r="G511">
        <v>0.7638847750820279</v>
      </c>
      <c r="H511">
        <v>0</v>
      </c>
      <c r="I511">
        <v>0</v>
      </c>
      <c r="J511">
        <v>0.68018402789421761</v>
      </c>
      <c r="K511">
        <v>0</v>
      </c>
      <c r="L511">
        <v>0</v>
      </c>
      <c r="M511">
        <v>0.49392612183534512</v>
      </c>
      <c r="N511">
        <v>0</v>
      </c>
      <c r="O511">
        <v>0</v>
      </c>
      <c r="P511">
        <v>0.58351994960212039</v>
      </c>
      <c r="Q511">
        <v>1.213897004255956</v>
      </c>
      <c r="R511">
        <v>1.589457650572478</v>
      </c>
      <c r="S511">
        <v>0.1982454729185785</v>
      </c>
      <c r="T511">
        <v>0.1522436478648217</v>
      </c>
      <c r="U511">
        <v>4.2695416864708866</v>
      </c>
      <c r="V511">
        <v>0.1933172563537221</v>
      </c>
      <c r="W511">
        <v>6.7722415133254126</v>
      </c>
      <c r="X511">
        <v>0.3072024027885159</v>
      </c>
      <c r="Z511" t="s">
        <v>392</v>
      </c>
      <c r="AA511">
        <v>161</v>
      </c>
      <c r="AB511" t="s">
        <v>4958</v>
      </c>
      <c r="AC511" t="str">
        <f>HYPERLINK("plots/3FT6Y578R04_015_S31P_20251219032831_M5358ACSA301811_RBGEUFRF04/dpll_52084/txpa_54205.png","plot")</f>
        <v>plot</v>
      </c>
    </row>
    <row r="512" spans="1:29" x14ac:dyDescent="0.35">
      <c r="A512" t="s">
        <v>50</v>
      </c>
      <c r="B512">
        <v>52084</v>
      </c>
      <c r="C512" t="s">
        <v>52</v>
      </c>
      <c r="D512">
        <v>54206</v>
      </c>
      <c r="E512" t="s">
        <v>226</v>
      </c>
      <c r="F512">
        <v>11781</v>
      </c>
      <c r="G512">
        <v>0.77807734484011637</v>
      </c>
      <c r="H512">
        <v>0</v>
      </c>
      <c r="I512">
        <v>0</v>
      </c>
      <c r="J512">
        <v>0.69110252778847425</v>
      </c>
      <c r="K512">
        <v>0</v>
      </c>
      <c r="L512">
        <v>0</v>
      </c>
      <c r="M512">
        <v>0.50403934445767828</v>
      </c>
      <c r="N512">
        <v>0</v>
      </c>
      <c r="O512">
        <v>0</v>
      </c>
      <c r="P512">
        <v>0.60540435455344532</v>
      </c>
      <c r="Q512">
        <v>1.2450003270530361</v>
      </c>
      <c r="R512">
        <v>1.4662471964372601</v>
      </c>
      <c r="S512">
        <v>0.19430761712363459</v>
      </c>
      <c r="T512">
        <v>0.1508560824961864</v>
      </c>
      <c r="U512">
        <v>4.2695489746201511</v>
      </c>
      <c r="V512">
        <v>0.19332384277072681</v>
      </c>
      <c r="W512">
        <v>6.7818370662083014</v>
      </c>
      <c r="X512">
        <v>0.30933717460461779</v>
      </c>
      <c r="Z512" t="s">
        <v>392</v>
      </c>
      <c r="AA512">
        <v>161</v>
      </c>
      <c r="AB512" t="s">
        <v>4959</v>
      </c>
      <c r="AC512" t="str">
        <f>HYPERLINK("plots/3FT6Y578R04_015_S31P_20251219032831_M5358ACSA301811_RBGEUFRF04/dpll_52084/txpa_54206.png","plot")</f>
        <v>plot</v>
      </c>
    </row>
    <row r="513" spans="1:29" x14ac:dyDescent="0.35">
      <c r="A513" t="s">
        <v>50</v>
      </c>
      <c r="B513">
        <v>52084</v>
      </c>
      <c r="C513" t="s">
        <v>52</v>
      </c>
      <c r="D513">
        <v>54207</v>
      </c>
      <c r="E513" t="s">
        <v>227</v>
      </c>
      <c r="F513">
        <v>11781</v>
      </c>
      <c r="G513">
        <v>0.77959971022443453</v>
      </c>
      <c r="H513">
        <v>0</v>
      </c>
      <c r="I513">
        <v>0</v>
      </c>
      <c r="J513">
        <v>0.68683228697998067</v>
      </c>
      <c r="K513">
        <v>0</v>
      </c>
      <c r="L513">
        <v>0</v>
      </c>
      <c r="M513">
        <v>0.49893121782532912</v>
      </c>
      <c r="N513">
        <v>0</v>
      </c>
      <c r="O513">
        <v>0</v>
      </c>
      <c r="P513">
        <v>0.60777570818202231</v>
      </c>
      <c r="Q513">
        <v>1.241951832456484</v>
      </c>
      <c r="R513">
        <v>1.455894902260332</v>
      </c>
      <c r="S513">
        <v>0.1928548539782608</v>
      </c>
      <c r="T513">
        <v>0.15014691276700801</v>
      </c>
      <c r="U513">
        <v>4.2695174021729896</v>
      </c>
      <c r="V513">
        <v>0.19330748901132719</v>
      </c>
      <c r="W513">
        <v>6.7584298635939239</v>
      </c>
      <c r="X513">
        <v>0.30795110241390988</v>
      </c>
      <c r="Z513" t="s">
        <v>392</v>
      </c>
      <c r="AA513">
        <v>161</v>
      </c>
      <c r="AB513" t="s">
        <v>4960</v>
      </c>
      <c r="AC513" t="str">
        <f>HYPERLINK("plots/3FT6Y578R04_015_S31P_20251219032831_M5358ACSA301811_RBGEUFRF04/dpll_52084/txpa_54207.png","plot")</f>
        <v>plot</v>
      </c>
    </row>
    <row r="514" spans="1:29" x14ac:dyDescent="0.35">
      <c r="A514" t="s">
        <v>50</v>
      </c>
      <c r="B514">
        <v>52084</v>
      </c>
      <c r="C514" t="s">
        <v>52</v>
      </c>
      <c r="D514">
        <v>54208</v>
      </c>
      <c r="E514" t="s">
        <v>228</v>
      </c>
      <c r="F514">
        <v>11781</v>
      </c>
      <c r="G514">
        <v>0.78385081087012809</v>
      </c>
      <c r="H514">
        <v>0</v>
      </c>
      <c r="I514">
        <v>0</v>
      </c>
      <c r="J514">
        <v>0.69902587251502957</v>
      </c>
      <c r="K514">
        <v>0</v>
      </c>
      <c r="L514">
        <v>0</v>
      </c>
      <c r="M514">
        <v>0.51056824231722131</v>
      </c>
      <c r="N514">
        <v>0</v>
      </c>
      <c r="O514">
        <v>0</v>
      </c>
      <c r="P514">
        <v>0.61442209370175727</v>
      </c>
      <c r="Q514">
        <v>1.2584029919001669</v>
      </c>
      <c r="R514">
        <v>1.398695393032797</v>
      </c>
      <c r="S514">
        <v>0.1926887937787076</v>
      </c>
      <c r="T514">
        <v>0.15024042150048911</v>
      </c>
      <c r="U514">
        <v>4.2695129435531793</v>
      </c>
      <c r="V514">
        <v>0.1933002831720991</v>
      </c>
      <c r="W514">
        <v>6.7714632551566094</v>
      </c>
      <c r="X514">
        <v>0.3103264694067171</v>
      </c>
      <c r="Z514" t="s">
        <v>392</v>
      </c>
      <c r="AA514">
        <v>161</v>
      </c>
      <c r="AB514" t="s">
        <v>4961</v>
      </c>
      <c r="AC514" t="str">
        <f>HYPERLINK("plots/3FT6Y578R04_015_S31P_20251219032831_M5358ACSA301811_RBGEUFRF04/dpll_52084/txpa_54208.png","plot")</f>
        <v>plot</v>
      </c>
    </row>
    <row r="515" spans="1:29" x14ac:dyDescent="0.35">
      <c r="A515" t="s">
        <v>50</v>
      </c>
      <c r="B515">
        <v>52084</v>
      </c>
      <c r="C515" t="s">
        <v>52</v>
      </c>
      <c r="D515">
        <v>54209</v>
      </c>
      <c r="E515" t="s">
        <v>229</v>
      </c>
      <c r="F515">
        <v>11782</v>
      </c>
      <c r="G515">
        <v>0.78024983880659782</v>
      </c>
      <c r="H515">
        <v>0</v>
      </c>
      <c r="I515">
        <v>0</v>
      </c>
      <c r="J515">
        <v>0.68940594570448011</v>
      </c>
      <c r="K515">
        <v>0</v>
      </c>
      <c r="L515">
        <v>0</v>
      </c>
      <c r="M515">
        <v>0.50182816007865771</v>
      </c>
      <c r="N515">
        <v>0</v>
      </c>
      <c r="O515">
        <v>0</v>
      </c>
      <c r="P515">
        <v>0.60878981095772189</v>
      </c>
      <c r="Q515">
        <v>1.2406196585515199</v>
      </c>
      <c r="R515">
        <v>1.4788449885624351</v>
      </c>
      <c r="S515">
        <v>0.1922481818815085</v>
      </c>
      <c r="T515">
        <v>0.15030885341835709</v>
      </c>
      <c r="U515">
        <v>4.2695416864708866</v>
      </c>
      <c r="V515">
        <v>0.1933172563537221</v>
      </c>
      <c r="W515">
        <v>6.7757223378034279</v>
      </c>
      <c r="X515">
        <v>0.30737999117885029</v>
      </c>
      <c r="Z515" t="s">
        <v>392</v>
      </c>
      <c r="AA515">
        <v>161</v>
      </c>
      <c r="AB515" t="s">
        <v>4962</v>
      </c>
      <c r="AC515" t="str">
        <f>HYPERLINK("plots/3FT6Y578R04_015_S31P_20251219032831_M5358ACSA301811_RBGEUFRF04/dpll_52084/txpa_54209.png","plot")</f>
        <v>plot</v>
      </c>
    </row>
    <row r="516" spans="1:29" x14ac:dyDescent="0.35">
      <c r="A516" t="s">
        <v>50</v>
      </c>
      <c r="B516">
        <v>52084</v>
      </c>
      <c r="C516" t="s">
        <v>52</v>
      </c>
      <c r="D516">
        <v>54210</v>
      </c>
      <c r="E516" t="s">
        <v>230</v>
      </c>
      <c r="F516">
        <v>11781</v>
      </c>
      <c r="G516">
        <v>0.77357615839281191</v>
      </c>
      <c r="H516">
        <v>0</v>
      </c>
      <c r="I516">
        <v>0</v>
      </c>
      <c r="J516">
        <v>0.68416274758972151</v>
      </c>
      <c r="K516">
        <v>0</v>
      </c>
      <c r="L516">
        <v>0</v>
      </c>
      <c r="M516">
        <v>0.4984256360482987</v>
      </c>
      <c r="N516">
        <v>0</v>
      </c>
      <c r="O516">
        <v>0</v>
      </c>
      <c r="P516">
        <v>0.59842007283378085</v>
      </c>
      <c r="Q516">
        <v>1.2346380431537689</v>
      </c>
      <c r="R516">
        <v>1.477250617215311</v>
      </c>
      <c r="S516">
        <v>0.19550650393563249</v>
      </c>
      <c r="T516">
        <v>0.15083181711787691</v>
      </c>
      <c r="U516">
        <v>4.2695633024361257</v>
      </c>
      <c r="V516">
        <v>0.19331122175495491</v>
      </c>
      <c r="W516">
        <v>6.7486158980561921</v>
      </c>
      <c r="X516">
        <v>0.30852733238710872</v>
      </c>
      <c r="Z516" t="s">
        <v>392</v>
      </c>
      <c r="AA516">
        <v>161</v>
      </c>
      <c r="AB516" t="s">
        <v>4963</v>
      </c>
      <c r="AC516" t="str">
        <f>HYPERLINK("plots/3FT6Y578R04_015_S31P_20251219032831_M5358ACSA301811_RBGEUFRF04/dpll_52084/txpa_54210.png","plot")</f>
        <v>plot</v>
      </c>
    </row>
    <row r="517" spans="1:29" x14ac:dyDescent="0.35">
      <c r="A517" t="s">
        <v>50</v>
      </c>
      <c r="B517">
        <v>52084</v>
      </c>
      <c r="C517" t="s">
        <v>52</v>
      </c>
      <c r="D517">
        <v>54211</v>
      </c>
      <c r="E517" t="s">
        <v>231</v>
      </c>
      <c r="F517">
        <v>11782</v>
      </c>
      <c r="G517">
        <v>0.76343774699361122</v>
      </c>
      <c r="H517">
        <v>0</v>
      </c>
      <c r="I517">
        <v>0</v>
      </c>
      <c r="J517">
        <v>0.68434271148918491</v>
      </c>
      <c r="K517">
        <v>0</v>
      </c>
      <c r="L517">
        <v>0</v>
      </c>
      <c r="M517">
        <v>0.49559248511929832</v>
      </c>
      <c r="N517">
        <v>0</v>
      </c>
      <c r="O517">
        <v>0</v>
      </c>
      <c r="P517">
        <v>0.58283719353468111</v>
      </c>
      <c r="Q517">
        <v>1.270388218361816</v>
      </c>
      <c r="R517">
        <v>2.3384375714569479</v>
      </c>
      <c r="S517">
        <v>0.20776280981949799</v>
      </c>
      <c r="T517">
        <v>0.15764591875260259</v>
      </c>
      <c r="U517">
        <v>4.2695416864708866</v>
      </c>
      <c r="V517">
        <v>0.1933172563537221</v>
      </c>
      <c r="W517">
        <v>7.7624130277542003</v>
      </c>
      <c r="X517">
        <v>0.32168695593703012</v>
      </c>
      <c r="Z517" t="s">
        <v>392</v>
      </c>
      <c r="AA517">
        <v>161</v>
      </c>
      <c r="AB517" t="s">
        <v>4964</v>
      </c>
      <c r="AC517" t="str">
        <f>HYPERLINK("plots/3FT6Y578R04_015_S31P_20251219032831_M5358ACSA301811_RBGEUFRF04/dpll_52084/txpa_54211.png","plot")</f>
        <v>plot</v>
      </c>
    </row>
    <row r="518" spans="1:29" x14ac:dyDescent="0.35">
      <c r="A518" t="s">
        <v>50</v>
      </c>
      <c r="B518">
        <v>52084</v>
      </c>
      <c r="C518" t="s">
        <v>52</v>
      </c>
      <c r="D518">
        <v>54212</v>
      </c>
      <c r="E518" t="s">
        <v>232</v>
      </c>
      <c r="F518">
        <v>11782</v>
      </c>
      <c r="G518">
        <v>0.7808169953538131</v>
      </c>
      <c r="H518">
        <v>0</v>
      </c>
      <c r="I518">
        <v>0</v>
      </c>
      <c r="J518">
        <v>0.69599279602404607</v>
      </c>
      <c r="K518">
        <v>0</v>
      </c>
      <c r="L518">
        <v>0</v>
      </c>
      <c r="M518">
        <v>0.50831335906304365</v>
      </c>
      <c r="N518">
        <v>0</v>
      </c>
      <c r="O518">
        <v>0</v>
      </c>
      <c r="P518">
        <v>0.60967518023335654</v>
      </c>
      <c r="Q518">
        <v>1.3017203802824111</v>
      </c>
      <c r="R518">
        <v>2.237516840800748</v>
      </c>
      <c r="S518">
        <v>0.20134169585667491</v>
      </c>
      <c r="T518">
        <v>0.15531099041221841</v>
      </c>
      <c r="U518">
        <v>4.2695416864708866</v>
      </c>
      <c r="V518">
        <v>0.1933172563537221</v>
      </c>
      <c r="W518">
        <v>7.7952662685452392</v>
      </c>
      <c r="X518">
        <v>0.32228424067779288</v>
      </c>
      <c r="Z518" t="s">
        <v>392</v>
      </c>
      <c r="AA518">
        <v>161</v>
      </c>
      <c r="AB518" t="s">
        <v>4965</v>
      </c>
      <c r="AC518" t="str">
        <f>HYPERLINK("plots/3FT6Y578R04_015_S31P_20251219032831_M5358ACSA301811_RBGEUFRF04/dpll_52084/txpa_54212.png","plot")</f>
        <v>plot</v>
      </c>
    </row>
    <row r="519" spans="1:29" x14ac:dyDescent="0.35">
      <c r="A519" t="s">
        <v>50</v>
      </c>
      <c r="B519">
        <v>52084</v>
      </c>
      <c r="C519" t="s">
        <v>52</v>
      </c>
      <c r="D519">
        <v>54213</v>
      </c>
      <c r="E519" t="s">
        <v>233</v>
      </c>
      <c r="F519">
        <v>11782</v>
      </c>
      <c r="G519">
        <v>0.77429819169091862</v>
      </c>
      <c r="H519">
        <v>0</v>
      </c>
      <c r="I519">
        <v>0</v>
      </c>
      <c r="J519">
        <v>0.68811396801319402</v>
      </c>
      <c r="K519">
        <v>0</v>
      </c>
      <c r="L519">
        <v>0</v>
      </c>
      <c r="M519">
        <v>0.500691213389864</v>
      </c>
      <c r="N519">
        <v>0</v>
      </c>
      <c r="O519">
        <v>0</v>
      </c>
      <c r="P519">
        <v>0.59953768965582654</v>
      </c>
      <c r="Q519">
        <v>1.2741905120948529</v>
      </c>
      <c r="R519">
        <v>2.3652493787969018</v>
      </c>
      <c r="S519">
        <v>0.20130712098575221</v>
      </c>
      <c r="T519">
        <v>0.15424338115374431</v>
      </c>
      <c r="U519">
        <v>4.2695416864708866</v>
      </c>
      <c r="V519">
        <v>0.1933172563537221</v>
      </c>
      <c r="W519">
        <v>7.8054588866915626</v>
      </c>
      <c r="X519">
        <v>0.31812422722078021</v>
      </c>
      <c r="Z519" t="s">
        <v>392</v>
      </c>
      <c r="AA519">
        <v>161</v>
      </c>
      <c r="AB519" t="s">
        <v>4966</v>
      </c>
      <c r="AC519" t="str">
        <f>HYPERLINK("plots/3FT6Y578R04_015_S31P_20251219032831_M5358ACSA301811_RBGEUFRF04/dpll_52084/txpa_54213.png","plot")</f>
        <v>plot</v>
      </c>
    </row>
    <row r="520" spans="1:29" x14ac:dyDescent="0.35">
      <c r="A520" t="s">
        <v>50</v>
      </c>
      <c r="B520">
        <v>52084</v>
      </c>
      <c r="C520" t="s">
        <v>52</v>
      </c>
      <c r="D520">
        <v>54214</v>
      </c>
      <c r="E520" t="s">
        <v>234</v>
      </c>
      <c r="F520">
        <v>11781</v>
      </c>
      <c r="G520">
        <v>0.78775914780789547</v>
      </c>
      <c r="H520">
        <v>0</v>
      </c>
      <c r="I520">
        <v>0</v>
      </c>
      <c r="J520">
        <v>0.69863999382729514</v>
      </c>
      <c r="K520">
        <v>0</v>
      </c>
      <c r="L520">
        <v>0</v>
      </c>
      <c r="M520">
        <v>0.51058794740467173</v>
      </c>
      <c r="N520">
        <v>0</v>
      </c>
      <c r="O520">
        <v>0</v>
      </c>
      <c r="P520">
        <v>0.62056447495502165</v>
      </c>
      <c r="Q520">
        <v>1.304886291317396</v>
      </c>
      <c r="R520">
        <v>2.2427776193830562</v>
      </c>
      <c r="S520">
        <v>0.1972491747071963</v>
      </c>
      <c r="T520">
        <v>0.15288485068783561</v>
      </c>
      <c r="U520">
        <v>4.2695489746201511</v>
      </c>
      <c r="V520">
        <v>0.19332384277072681</v>
      </c>
      <c r="W520">
        <v>7.8140535464731347</v>
      </c>
      <c r="X520">
        <v>0.32023192992211241</v>
      </c>
      <c r="Z520" t="s">
        <v>392</v>
      </c>
      <c r="AA520">
        <v>161</v>
      </c>
      <c r="AB520" t="s">
        <v>4967</v>
      </c>
      <c r="AC520" t="str">
        <f>HYPERLINK("plots/3FT6Y578R04_015_S31P_20251219032831_M5358ACSA301811_RBGEUFRF04/dpll_52084/txpa_54214.png","plot")</f>
        <v>plot</v>
      </c>
    </row>
    <row r="521" spans="1:29" x14ac:dyDescent="0.35">
      <c r="A521" t="s">
        <v>50</v>
      </c>
      <c r="B521">
        <v>52084</v>
      </c>
      <c r="C521" t="s">
        <v>52</v>
      </c>
      <c r="D521">
        <v>54215</v>
      </c>
      <c r="E521" t="s">
        <v>235</v>
      </c>
      <c r="F521">
        <v>11781</v>
      </c>
      <c r="G521">
        <v>0.78938693475639232</v>
      </c>
      <c r="H521">
        <v>0</v>
      </c>
      <c r="I521">
        <v>0</v>
      </c>
      <c r="J521">
        <v>0.69438204913818991</v>
      </c>
      <c r="K521">
        <v>0</v>
      </c>
      <c r="L521">
        <v>0</v>
      </c>
      <c r="M521">
        <v>0.50550667381276637</v>
      </c>
      <c r="N521">
        <v>0</v>
      </c>
      <c r="O521">
        <v>0</v>
      </c>
      <c r="P521">
        <v>0.62313173276409284</v>
      </c>
      <c r="Q521">
        <v>1.3025279562940251</v>
      </c>
      <c r="R521">
        <v>2.228927886802563</v>
      </c>
      <c r="S521">
        <v>0.19580426688670191</v>
      </c>
      <c r="T521">
        <v>0.15216381079959121</v>
      </c>
      <c r="U521">
        <v>4.2695174021729896</v>
      </c>
      <c r="V521">
        <v>0.19330748901132719</v>
      </c>
      <c r="W521">
        <v>7.7900936630167221</v>
      </c>
      <c r="X521">
        <v>0.31896703316473862</v>
      </c>
      <c r="Z521" t="s">
        <v>392</v>
      </c>
      <c r="AA521">
        <v>161</v>
      </c>
      <c r="AB521" t="s">
        <v>4968</v>
      </c>
      <c r="AC521" t="str">
        <f>HYPERLINK("plots/3FT6Y578R04_015_S31P_20251219032831_M5358ACSA301811_RBGEUFRF04/dpll_52084/txpa_54215.png","plot")</f>
        <v>plot</v>
      </c>
    </row>
    <row r="522" spans="1:29" x14ac:dyDescent="0.35">
      <c r="A522" t="s">
        <v>50</v>
      </c>
      <c r="B522">
        <v>52084</v>
      </c>
      <c r="C522" t="s">
        <v>52</v>
      </c>
      <c r="D522">
        <v>54216</v>
      </c>
      <c r="E522" t="s">
        <v>236</v>
      </c>
      <c r="F522">
        <v>11781</v>
      </c>
      <c r="G522">
        <v>0.7931458612118063</v>
      </c>
      <c r="H522">
        <v>0</v>
      </c>
      <c r="I522">
        <v>0</v>
      </c>
      <c r="J522">
        <v>0.70582229612527048</v>
      </c>
      <c r="K522">
        <v>0</v>
      </c>
      <c r="L522">
        <v>0</v>
      </c>
      <c r="M522">
        <v>0.51660093057842493</v>
      </c>
      <c r="N522">
        <v>0</v>
      </c>
      <c r="O522">
        <v>0</v>
      </c>
      <c r="P522">
        <v>0.62908035715741795</v>
      </c>
      <c r="Q522">
        <v>1.3183614239240671</v>
      </c>
      <c r="R522">
        <v>2.1749045889275722</v>
      </c>
      <c r="S522">
        <v>0.19567502519321439</v>
      </c>
      <c r="T522">
        <v>0.1523116078331849</v>
      </c>
      <c r="U522">
        <v>4.2695129435531793</v>
      </c>
      <c r="V522">
        <v>0.1933002831720991</v>
      </c>
      <c r="W522">
        <v>7.8036657526525746</v>
      </c>
      <c r="X522">
        <v>0.32130235941512408</v>
      </c>
      <c r="Z522" t="s">
        <v>392</v>
      </c>
      <c r="AA522">
        <v>161</v>
      </c>
      <c r="AB522" t="s">
        <v>4969</v>
      </c>
      <c r="AC522" t="str">
        <f>HYPERLINK("plots/3FT6Y578R04_015_S31P_20251219032831_M5358ACSA301811_RBGEUFRF04/dpll_52084/txpa_54216.png","plot")</f>
        <v>plot</v>
      </c>
    </row>
    <row r="523" spans="1:29" x14ac:dyDescent="0.35">
      <c r="A523" t="s">
        <v>50</v>
      </c>
      <c r="B523">
        <v>52084</v>
      </c>
      <c r="C523" t="s">
        <v>52</v>
      </c>
      <c r="D523">
        <v>54217</v>
      </c>
      <c r="E523" t="s">
        <v>237</v>
      </c>
      <c r="F523">
        <v>11782</v>
      </c>
      <c r="G523">
        <v>0.79015026072740568</v>
      </c>
      <c r="H523">
        <v>0</v>
      </c>
      <c r="I523">
        <v>0</v>
      </c>
      <c r="J523">
        <v>0.69668200361926802</v>
      </c>
      <c r="K523">
        <v>0</v>
      </c>
      <c r="L523">
        <v>0</v>
      </c>
      <c r="M523">
        <v>0.50815986807839097</v>
      </c>
      <c r="N523">
        <v>0</v>
      </c>
      <c r="O523">
        <v>0</v>
      </c>
      <c r="P523">
        <v>0.62433743452758717</v>
      </c>
      <c r="Q523">
        <v>1.3017918490375391</v>
      </c>
      <c r="R523">
        <v>2.2503253463442232</v>
      </c>
      <c r="S523">
        <v>0.1952014376194883</v>
      </c>
      <c r="T523">
        <v>0.1523404210031627</v>
      </c>
      <c r="U523">
        <v>4.2695416864708866</v>
      </c>
      <c r="V523">
        <v>0.1933172563537221</v>
      </c>
      <c r="W523">
        <v>7.80837991291801</v>
      </c>
      <c r="X523">
        <v>0.31849490041033529</v>
      </c>
      <c r="Z523" t="s">
        <v>392</v>
      </c>
      <c r="AA523">
        <v>161</v>
      </c>
      <c r="AB523" t="s">
        <v>4970</v>
      </c>
      <c r="AC523" t="str">
        <f>HYPERLINK("plots/3FT6Y578R04_015_S31P_20251219032831_M5358ACSA301811_RBGEUFRF04/dpll_52084/txpa_54217.png","plot")</f>
        <v>plot</v>
      </c>
    </row>
    <row r="524" spans="1:29" x14ac:dyDescent="0.35">
      <c r="A524" t="s">
        <v>50</v>
      </c>
      <c r="B524">
        <v>52084</v>
      </c>
      <c r="C524" t="s">
        <v>52</v>
      </c>
      <c r="D524">
        <v>54218</v>
      </c>
      <c r="E524" t="s">
        <v>238</v>
      </c>
      <c r="F524">
        <v>11781</v>
      </c>
      <c r="G524">
        <v>0.78349817924080278</v>
      </c>
      <c r="H524">
        <v>0</v>
      </c>
      <c r="I524">
        <v>0</v>
      </c>
      <c r="J524">
        <v>0.69129354978326019</v>
      </c>
      <c r="K524">
        <v>0</v>
      </c>
      <c r="L524">
        <v>0</v>
      </c>
      <c r="M524">
        <v>0.50459789684701928</v>
      </c>
      <c r="N524">
        <v>0</v>
      </c>
      <c r="O524">
        <v>0</v>
      </c>
      <c r="P524">
        <v>0.61386939687365316</v>
      </c>
      <c r="Q524">
        <v>1.294487705907448</v>
      </c>
      <c r="R524">
        <v>2.2550256790290111</v>
      </c>
      <c r="S524">
        <v>0.19845666238959689</v>
      </c>
      <c r="T524">
        <v>0.15284668074079519</v>
      </c>
      <c r="U524">
        <v>4.2695633024361257</v>
      </c>
      <c r="V524">
        <v>0.19331122175495491</v>
      </c>
      <c r="W524">
        <v>7.7819228836261782</v>
      </c>
      <c r="X524">
        <v>0.31938683025175008</v>
      </c>
      <c r="Z524" t="s">
        <v>392</v>
      </c>
      <c r="AA524">
        <v>161</v>
      </c>
      <c r="AB524" t="s">
        <v>4971</v>
      </c>
      <c r="AC524" t="str">
        <f>HYPERLINK("plots/3FT6Y578R04_015_S31P_20251219032831_M5358ACSA301811_RBGEUFRF04/dpll_52084/txpa_54218.png","plot")</f>
        <v>plot</v>
      </c>
    </row>
    <row r="525" spans="1:29" x14ac:dyDescent="0.35">
      <c r="A525" t="s">
        <v>50</v>
      </c>
      <c r="B525">
        <v>52084</v>
      </c>
      <c r="C525" t="s">
        <v>52</v>
      </c>
      <c r="D525">
        <v>54219</v>
      </c>
      <c r="E525" t="s">
        <v>239</v>
      </c>
      <c r="F525">
        <v>11782</v>
      </c>
      <c r="G525">
        <v>0.77407730623467097</v>
      </c>
      <c r="H525">
        <v>0</v>
      </c>
      <c r="I525">
        <v>0</v>
      </c>
      <c r="J525">
        <v>0.6922879421878162</v>
      </c>
      <c r="K525">
        <v>0</v>
      </c>
      <c r="L525">
        <v>0</v>
      </c>
      <c r="M525">
        <v>0.50247566715047642</v>
      </c>
      <c r="N525">
        <v>0</v>
      </c>
      <c r="O525">
        <v>0</v>
      </c>
      <c r="P525">
        <v>0.59919567602752455</v>
      </c>
      <c r="Q525">
        <v>1.3329760016475971</v>
      </c>
      <c r="R525">
        <v>3.103886704373902</v>
      </c>
      <c r="S525">
        <v>0.21074456633639649</v>
      </c>
      <c r="T525">
        <v>0.15951860641523011</v>
      </c>
      <c r="U525">
        <v>4.2695416864708866</v>
      </c>
      <c r="V525">
        <v>0.1933172563537221</v>
      </c>
      <c r="W525">
        <v>8.7950833104736024</v>
      </c>
      <c r="X525">
        <v>0.33289603163452869</v>
      </c>
      <c r="Z525" t="s">
        <v>392</v>
      </c>
      <c r="AA525">
        <v>161</v>
      </c>
      <c r="AB525" t="s">
        <v>4972</v>
      </c>
      <c r="AC525" t="str">
        <f>HYPERLINK("plots/3FT6Y578R04_015_S31P_20251219032831_M5358ACSA301811_RBGEUFRF04/dpll_52084/txpa_54219.png","plot")</f>
        <v>plot</v>
      </c>
    </row>
    <row r="526" spans="1:29" x14ac:dyDescent="0.35">
      <c r="A526" t="s">
        <v>50</v>
      </c>
      <c r="B526">
        <v>52084</v>
      </c>
      <c r="C526" t="s">
        <v>52</v>
      </c>
      <c r="D526">
        <v>54220</v>
      </c>
      <c r="E526" t="s">
        <v>240</v>
      </c>
      <c r="F526">
        <v>11782</v>
      </c>
      <c r="G526">
        <v>0.79072343777609821</v>
      </c>
      <c r="H526">
        <v>0</v>
      </c>
      <c r="I526">
        <v>0</v>
      </c>
      <c r="J526">
        <v>0.70357781079222359</v>
      </c>
      <c r="K526">
        <v>0</v>
      </c>
      <c r="L526">
        <v>0</v>
      </c>
      <c r="M526">
        <v>0.51504087671234411</v>
      </c>
      <c r="N526">
        <v>0</v>
      </c>
      <c r="O526">
        <v>0</v>
      </c>
      <c r="P526">
        <v>0.62524355504845108</v>
      </c>
      <c r="Q526">
        <v>1.3643564013172671</v>
      </c>
      <c r="R526">
        <v>3.0011648304317671</v>
      </c>
      <c r="S526">
        <v>0.20418788364614179</v>
      </c>
      <c r="T526">
        <v>0.1571720403374392</v>
      </c>
      <c r="U526">
        <v>4.2695416864708866</v>
      </c>
      <c r="V526">
        <v>0.1933172563537221</v>
      </c>
      <c r="W526">
        <v>8.8263413610592423</v>
      </c>
      <c r="X526">
        <v>0.33355990677738911</v>
      </c>
      <c r="Z526" t="s">
        <v>392</v>
      </c>
      <c r="AA526">
        <v>161</v>
      </c>
      <c r="AB526" t="s">
        <v>4973</v>
      </c>
      <c r="AC526" t="str">
        <f>HYPERLINK("plots/3FT6Y578R04_015_S31P_20251219032831_M5358ACSA301811_RBGEUFRF04/dpll_52084/txpa_54220.png","plot")</f>
        <v>plot</v>
      </c>
    </row>
    <row r="527" spans="1:29" x14ac:dyDescent="0.35">
      <c r="A527" t="s">
        <v>50</v>
      </c>
      <c r="B527">
        <v>52084</v>
      </c>
      <c r="C527" t="s">
        <v>52</v>
      </c>
      <c r="D527">
        <v>54221</v>
      </c>
      <c r="E527" t="s">
        <v>241</v>
      </c>
      <c r="F527">
        <v>11782</v>
      </c>
      <c r="G527">
        <v>0.78473867885498061</v>
      </c>
      <c r="H527">
        <v>0</v>
      </c>
      <c r="I527">
        <v>0</v>
      </c>
      <c r="J527">
        <v>0.69587470413059926</v>
      </c>
      <c r="K527">
        <v>0</v>
      </c>
      <c r="L527">
        <v>0</v>
      </c>
      <c r="M527">
        <v>0.50742241003459654</v>
      </c>
      <c r="N527">
        <v>0</v>
      </c>
      <c r="O527">
        <v>0</v>
      </c>
      <c r="P527">
        <v>0.61581479409106044</v>
      </c>
      <c r="Q527">
        <v>1.336736524439633</v>
      </c>
      <c r="R527">
        <v>3.129537832080683</v>
      </c>
      <c r="S527">
        <v>0.20410012273369699</v>
      </c>
      <c r="T527">
        <v>0.15600689887889199</v>
      </c>
      <c r="U527">
        <v>4.2695416864708866</v>
      </c>
      <c r="V527">
        <v>0.1933172563537221</v>
      </c>
      <c r="W527">
        <v>8.8367901470039047</v>
      </c>
      <c r="X527">
        <v>0.32929973293725567</v>
      </c>
      <c r="Z527" t="s">
        <v>392</v>
      </c>
      <c r="AA527">
        <v>161</v>
      </c>
      <c r="AB527" t="s">
        <v>4974</v>
      </c>
      <c r="AC527" t="str">
        <f>HYPERLINK("plots/3FT6Y578R04_015_S31P_20251219032831_M5358ACSA301811_RBGEUFRF04/dpll_52084/txpa_54221.png","plot")</f>
        <v>plot</v>
      </c>
    </row>
    <row r="528" spans="1:29" x14ac:dyDescent="0.35">
      <c r="A528" t="s">
        <v>50</v>
      </c>
      <c r="B528">
        <v>52084</v>
      </c>
      <c r="C528" t="s">
        <v>52</v>
      </c>
      <c r="D528">
        <v>54222</v>
      </c>
      <c r="E528" t="s">
        <v>242</v>
      </c>
      <c r="F528">
        <v>11781</v>
      </c>
      <c r="G528">
        <v>0.79750272008510859</v>
      </c>
      <c r="H528">
        <v>0</v>
      </c>
      <c r="I528">
        <v>0</v>
      </c>
      <c r="J528">
        <v>0.70610770040146553</v>
      </c>
      <c r="K528">
        <v>0</v>
      </c>
      <c r="L528">
        <v>0</v>
      </c>
      <c r="M528">
        <v>0.51718169616168241</v>
      </c>
      <c r="N528">
        <v>0</v>
      </c>
      <c r="O528">
        <v>0</v>
      </c>
      <c r="P528">
        <v>0.63601058854314707</v>
      </c>
      <c r="Q528">
        <v>1.3674071576915761</v>
      </c>
      <c r="R528">
        <v>3.006606633071081</v>
      </c>
      <c r="S528">
        <v>0.19997561328092989</v>
      </c>
      <c r="T528">
        <v>0.1546505798657723</v>
      </c>
      <c r="U528">
        <v>4.2695489746201511</v>
      </c>
      <c r="V528">
        <v>0.19332384277072681</v>
      </c>
      <c r="W528">
        <v>8.8448184610814025</v>
      </c>
      <c r="X528">
        <v>0.33147524102353038</v>
      </c>
      <c r="Z528" t="s">
        <v>392</v>
      </c>
      <c r="AA528">
        <v>161</v>
      </c>
      <c r="AB528" t="s">
        <v>4975</v>
      </c>
      <c r="AC528" t="str">
        <f>HYPERLINK("plots/3FT6Y578R04_015_S31P_20251219032831_M5358ACSA301811_RBGEUFRF04/dpll_52084/txpa_54222.png","plot")</f>
        <v>plot</v>
      </c>
    </row>
    <row r="529" spans="1:29" x14ac:dyDescent="0.35">
      <c r="A529" t="s">
        <v>50</v>
      </c>
      <c r="B529">
        <v>52084</v>
      </c>
      <c r="C529" t="s">
        <v>52</v>
      </c>
      <c r="D529">
        <v>54223</v>
      </c>
      <c r="E529" t="s">
        <v>243</v>
      </c>
      <c r="F529">
        <v>11781</v>
      </c>
      <c r="G529">
        <v>0.79920429104509971</v>
      </c>
      <c r="H529">
        <v>0</v>
      </c>
      <c r="I529">
        <v>0</v>
      </c>
      <c r="J529">
        <v>0.70220370830569601</v>
      </c>
      <c r="K529">
        <v>0</v>
      </c>
      <c r="L529">
        <v>0</v>
      </c>
      <c r="M529">
        <v>0.5124395280553603</v>
      </c>
      <c r="N529">
        <v>0</v>
      </c>
      <c r="O529">
        <v>0</v>
      </c>
      <c r="P529">
        <v>0.63872749882490043</v>
      </c>
      <c r="Q529">
        <v>1.365771026442006</v>
      </c>
      <c r="R529">
        <v>2.9890476500087062</v>
      </c>
      <c r="S529">
        <v>0.19854903837473639</v>
      </c>
      <c r="T529">
        <v>0.15394925334417481</v>
      </c>
      <c r="U529">
        <v>4.2695174021729896</v>
      </c>
      <c r="V529">
        <v>0.19330748901132719</v>
      </c>
      <c r="W529">
        <v>8.8202308147865196</v>
      </c>
      <c r="X529">
        <v>0.33034578348006971</v>
      </c>
      <c r="Z529" t="s">
        <v>392</v>
      </c>
      <c r="AA529">
        <v>161</v>
      </c>
      <c r="AB529" t="s">
        <v>4976</v>
      </c>
      <c r="AC529" t="str">
        <f>HYPERLINK("plots/3FT6Y578R04_015_S31P_20251219032831_M5358ACSA301811_RBGEUFRF04/dpll_52084/txpa_54223.png","plot")</f>
        <v>plot</v>
      </c>
    </row>
    <row r="530" spans="1:29" x14ac:dyDescent="0.35">
      <c r="A530" t="s">
        <v>50</v>
      </c>
      <c r="B530">
        <v>52084</v>
      </c>
      <c r="C530" t="s">
        <v>52</v>
      </c>
      <c r="D530">
        <v>54224</v>
      </c>
      <c r="E530" t="s">
        <v>244</v>
      </c>
      <c r="F530">
        <v>11781</v>
      </c>
      <c r="G530">
        <v>0.80259237526751248</v>
      </c>
      <c r="H530">
        <v>0</v>
      </c>
      <c r="I530">
        <v>0</v>
      </c>
      <c r="J530">
        <v>0.71266889357307639</v>
      </c>
      <c r="K530">
        <v>0</v>
      </c>
      <c r="L530">
        <v>0</v>
      </c>
      <c r="M530">
        <v>0.52281895065571715</v>
      </c>
      <c r="N530">
        <v>0</v>
      </c>
      <c r="O530">
        <v>0</v>
      </c>
      <c r="P530">
        <v>0.64415452083754754</v>
      </c>
      <c r="Q530">
        <v>1.380615220341755</v>
      </c>
      <c r="R530">
        <v>2.9399342360061409</v>
      </c>
      <c r="S530">
        <v>0.19834552710789641</v>
      </c>
      <c r="T530">
        <v>0.15408964964949101</v>
      </c>
      <c r="U530">
        <v>4.2695129435531793</v>
      </c>
      <c r="V530">
        <v>0.1933002831720991</v>
      </c>
      <c r="W530">
        <v>8.8344887893217887</v>
      </c>
      <c r="X530">
        <v>0.33251413951549152</v>
      </c>
      <c r="Z530" t="s">
        <v>392</v>
      </c>
      <c r="AA530">
        <v>161</v>
      </c>
      <c r="AB530" t="s">
        <v>4977</v>
      </c>
      <c r="AC530" t="str">
        <f>HYPERLINK("plots/3FT6Y578R04_015_S31P_20251219032831_M5358ACSA301811_RBGEUFRF04/dpll_52084/txpa_54224.png","plot")</f>
        <v>plot</v>
      </c>
    </row>
    <row r="531" spans="1:29" x14ac:dyDescent="0.35">
      <c r="A531" t="s">
        <v>50</v>
      </c>
      <c r="B531">
        <v>52084</v>
      </c>
      <c r="C531" t="s">
        <v>52</v>
      </c>
      <c r="D531">
        <v>54225</v>
      </c>
      <c r="E531" t="s">
        <v>245</v>
      </c>
      <c r="F531">
        <v>11782</v>
      </c>
      <c r="G531">
        <v>0.7997580615442248</v>
      </c>
      <c r="H531">
        <v>0</v>
      </c>
      <c r="I531">
        <v>0</v>
      </c>
      <c r="J531">
        <v>0.7036904123625084</v>
      </c>
      <c r="K531">
        <v>0</v>
      </c>
      <c r="L531">
        <v>0</v>
      </c>
      <c r="M531">
        <v>0.5144688354582857</v>
      </c>
      <c r="N531">
        <v>0</v>
      </c>
      <c r="O531">
        <v>0</v>
      </c>
      <c r="P531">
        <v>0.639612957004976</v>
      </c>
      <c r="Q531">
        <v>1.364144283013522</v>
      </c>
      <c r="R531">
        <v>3.0152666271583541</v>
      </c>
      <c r="S531">
        <v>0.1979422290561679</v>
      </c>
      <c r="T531">
        <v>0.15406436504087709</v>
      </c>
      <c r="U531">
        <v>4.2695416864708866</v>
      </c>
      <c r="V531">
        <v>0.1933172563537221</v>
      </c>
      <c r="W531">
        <v>8.8395375098455276</v>
      </c>
      <c r="X531">
        <v>0.32974050871534327</v>
      </c>
      <c r="Z531" t="s">
        <v>392</v>
      </c>
      <c r="AA531">
        <v>161</v>
      </c>
      <c r="AB531" t="s">
        <v>4978</v>
      </c>
      <c r="AC531" t="str">
        <f>HYPERLINK("plots/3FT6Y578R04_015_S31P_20251219032831_M5358ACSA301811_RBGEUFRF04/dpll_52084/txpa_54225.png","plot")</f>
        <v>plot</v>
      </c>
    </row>
    <row r="532" spans="1:29" x14ac:dyDescent="0.35">
      <c r="A532" t="s">
        <v>50</v>
      </c>
      <c r="B532">
        <v>52084</v>
      </c>
      <c r="C532" t="s">
        <v>52</v>
      </c>
      <c r="D532">
        <v>54226</v>
      </c>
      <c r="E532" t="s">
        <v>246</v>
      </c>
      <c r="F532">
        <v>11781</v>
      </c>
      <c r="G532">
        <v>0.79333533801162492</v>
      </c>
      <c r="H532">
        <v>0</v>
      </c>
      <c r="I532">
        <v>0</v>
      </c>
      <c r="J532">
        <v>0.69845349001101253</v>
      </c>
      <c r="K532">
        <v>0</v>
      </c>
      <c r="L532">
        <v>0</v>
      </c>
      <c r="M532">
        <v>0.51085882847449138</v>
      </c>
      <c r="N532">
        <v>0</v>
      </c>
      <c r="O532">
        <v>0</v>
      </c>
      <c r="P532">
        <v>0.62938095853801912</v>
      </c>
      <c r="Q532">
        <v>1.356084529422259</v>
      </c>
      <c r="R532">
        <v>3.0249552720132011</v>
      </c>
      <c r="S532">
        <v>0.201155753473717</v>
      </c>
      <c r="T532">
        <v>0.15462843925080741</v>
      </c>
      <c r="U532">
        <v>4.2695633024361257</v>
      </c>
      <c r="V532">
        <v>0.19331122175495491</v>
      </c>
      <c r="W532">
        <v>8.8148440138358382</v>
      </c>
      <c r="X532">
        <v>0.33043574970785999</v>
      </c>
      <c r="Z532" t="s">
        <v>392</v>
      </c>
      <c r="AA532">
        <v>161</v>
      </c>
      <c r="AB532" t="s">
        <v>4979</v>
      </c>
      <c r="AC532" t="str">
        <f>HYPERLINK("plots/3FT6Y578R04_015_S31P_20251219032831_M5358ACSA301811_RBGEUFRF04/dpll_52084/txpa_54226.png","plot")</f>
        <v>plot</v>
      </c>
    </row>
    <row r="533" spans="1:29" x14ac:dyDescent="0.35">
      <c r="A533" t="s">
        <v>50</v>
      </c>
      <c r="B533">
        <v>52084</v>
      </c>
      <c r="C533" t="s">
        <v>52</v>
      </c>
      <c r="D533">
        <v>54227</v>
      </c>
      <c r="E533" t="s">
        <v>247</v>
      </c>
      <c r="F533">
        <v>11782</v>
      </c>
      <c r="G533">
        <v>0.77715635179728737</v>
      </c>
      <c r="H533">
        <v>0</v>
      </c>
      <c r="I533">
        <v>0</v>
      </c>
      <c r="J533">
        <v>0.69438965848521017</v>
      </c>
      <c r="K533">
        <v>0</v>
      </c>
      <c r="L533">
        <v>0</v>
      </c>
      <c r="M533">
        <v>0.50433752191815118</v>
      </c>
      <c r="N533">
        <v>0</v>
      </c>
      <c r="O533">
        <v>0</v>
      </c>
      <c r="P533">
        <v>0.60397199513886912</v>
      </c>
      <c r="Q533">
        <v>1.3576510605271539</v>
      </c>
      <c r="R533">
        <v>3.5058061837438572</v>
      </c>
      <c r="S533">
        <v>0.21251760006414669</v>
      </c>
      <c r="T533">
        <v>0.16065553475298389</v>
      </c>
      <c r="U533">
        <v>4.2695416864708866</v>
      </c>
      <c r="V533">
        <v>0.1933172563537221</v>
      </c>
      <c r="W533">
        <v>9.3023539823459505</v>
      </c>
      <c r="X533">
        <v>0.33771502671226922</v>
      </c>
      <c r="Z533" t="s">
        <v>392</v>
      </c>
      <c r="AA533">
        <v>161</v>
      </c>
      <c r="AB533" t="s">
        <v>4980</v>
      </c>
      <c r="AC533" t="str">
        <f>HYPERLINK("plots/3FT6Y578R04_015_S31P_20251219032831_M5358ACSA301811_RBGEUFRF04/dpll_52084/txpa_54227.png","plot")</f>
        <v>plot</v>
      </c>
    </row>
    <row r="534" spans="1:29" x14ac:dyDescent="0.35">
      <c r="A534" t="s">
        <v>50</v>
      </c>
      <c r="B534">
        <v>52084</v>
      </c>
      <c r="C534" t="s">
        <v>52</v>
      </c>
      <c r="D534">
        <v>54228</v>
      </c>
      <c r="E534" t="s">
        <v>248</v>
      </c>
      <c r="F534">
        <v>11782</v>
      </c>
      <c r="G534">
        <v>0.7934808209484886</v>
      </c>
      <c r="H534">
        <v>0</v>
      </c>
      <c r="I534">
        <v>0</v>
      </c>
      <c r="J534">
        <v>0.70541832203207711</v>
      </c>
      <c r="K534">
        <v>0</v>
      </c>
      <c r="L534">
        <v>0</v>
      </c>
      <c r="M534">
        <v>0.51671613182359821</v>
      </c>
      <c r="N534">
        <v>0</v>
      </c>
      <c r="O534">
        <v>0</v>
      </c>
      <c r="P534">
        <v>0.62961181321308746</v>
      </c>
      <c r="Q534">
        <v>1.3889492305332161</v>
      </c>
      <c r="R534">
        <v>3.4029532226035202</v>
      </c>
      <c r="S534">
        <v>0.2059352505785724</v>
      </c>
      <c r="T534">
        <v>0.15827098973651671</v>
      </c>
      <c r="U534">
        <v>4.2695416864708866</v>
      </c>
      <c r="V534">
        <v>0.1933172563537221</v>
      </c>
      <c r="W534">
        <v>9.3331298627567474</v>
      </c>
      <c r="X534">
        <v>0.33839236862755351</v>
      </c>
      <c r="Z534" t="s">
        <v>392</v>
      </c>
      <c r="AA534">
        <v>161</v>
      </c>
      <c r="AB534" t="s">
        <v>4981</v>
      </c>
      <c r="AC534" t="str">
        <f>HYPERLINK("plots/3FT6Y578R04_015_S31P_20251219032831_M5358ACSA301811_RBGEUFRF04/dpll_52084/txpa_54228.png","plot")</f>
        <v>plot</v>
      </c>
    </row>
    <row r="535" spans="1:29" x14ac:dyDescent="0.35">
      <c r="A535" t="s">
        <v>50</v>
      </c>
      <c r="B535">
        <v>52084</v>
      </c>
      <c r="C535" t="s">
        <v>52</v>
      </c>
      <c r="D535">
        <v>54229</v>
      </c>
      <c r="E535" t="s">
        <v>249</v>
      </c>
      <c r="F535">
        <v>11782</v>
      </c>
      <c r="G535">
        <v>0.78768518351319061</v>
      </c>
      <c r="H535">
        <v>0</v>
      </c>
      <c r="I535">
        <v>0</v>
      </c>
      <c r="J535">
        <v>0.6979304852036895</v>
      </c>
      <c r="K535">
        <v>0</v>
      </c>
      <c r="L535">
        <v>0</v>
      </c>
      <c r="M535">
        <v>0.50922865307418486</v>
      </c>
      <c r="N535">
        <v>0</v>
      </c>
      <c r="O535">
        <v>0</v>
      </c>
      <c r="P535">
        <v>0.62044794832620875</v>
      </c>
      <c r="Q535">
        <v>1.3611979966591059</v>
      </c>
      <c r="R535">
        <v>3.5320488069393772</v>
      </c>
      <c r="S535">
        <v>0.20580526843768801</v>
      </c>
      <c r="T535">
        <v>0.15709199868507501</v>
      </c>
      <c r="U535">
        <v>4.2695416864708866</v>
      </c>
      <c r="V535">
        <v>0.1933172563537221</v>
      </c>
      <c r="W535">
        <v>9.3437403972160915</v>
      </c>
      <c r="X535">
        <v>0.33407136198076631</v>
      </c>
      <c r="Z535" t="s">
        <v>392</v>
      </c>
      <c r="AA535">
        <v>161</v>
      </c>
      <c r="AB535" t="s">
        <v>4982</v>
      </c>
      <c r="AC535" t="str">
        <f>HYPERLINK("plots/3FT6Y578R04_015_S31P_20251219032831_M5358ACSA301811_RBGEUFRF04/dpll_52084/txpa_54229.png","plot")</f>
        <v>plot</v>
      </c>
    </row>
    <row r="536" spans="1:29" x14ac:dyDescent="0.35">
      <c r="A536" t="s">
        <v>50</v>
      </c>
      <c r="B536">
        <v>52084</v>
      </c>
      <c r="C536" t="s">
        <v>52</v>
      </c>
      <c r="D536">
        <v>54230</v>
      </c>
      <c r="E536" t="s">
        <v>250</v>
      </c>
      <c r="F536">
        <v>11781</v>
      </c>
      <c r="G536">
        <v>0.8002231215516562</v>
      </c>
      <c r="H536">
        <v>0</v>
      </c>
      <c r="I536">
        <v>0</v>
      </c>
      <c r="J536">
        <v>0.70796354829582819</v>
      </c>
      <c r="K536">
        <v>0</v>
      </c>
      <c r="L536">
        <v>0</v>
      </c>
      <c r="M536">
        <v>0.51886451622961027</v>
      </c>
      <c r="N536">
        <v>0</v>
      </c>
      <c r="O536">
        <v>0</v>
      </c>
      <c r="P536">
        <v>0.6403570442658767</v>
      </c>
      <c r="Q536">
        <v>1.3918116955106949</v>
      </c>
      <c r="R536">
        <v>3.4090785249175259</v>
      </c>
      <c r="S536">
        <v>0.20163789337111029</v>
      </c>
      <c r="T536">
        <v>0.1557493297851511</v>
      </c>
      <c r="U536">
        <v>4.2695489746201511</v>
      </c>
      <c r="V536">
        <v>0.19332384277072681</v>
      </c>
      <c r="W536">
        <v>9.3514867223495468</v>
      </c>
      <c r="X536">
        <v>0.33624420257644239</v>
      </c>
      <c r="Z536" t="s">
        <v>392</v>
      </c>
      <c r="AA536">
        <v>161</v>
      </c>
      <c r="AB536" t="s">
        <v>4983</v>
      </c>
      <c r="AC536" t="str">
        <f>HYPERLINK("plots/3FT6Y578R04_015_S31P_20251219032831_M5358ACSA301811_RBGEUFRF04/dpll_52084/txpa_54230.png","plot")</f>
        <v>plot</v>
      </c>
    </row>
    <row r="537" spans="1:29" x14ac:dyDescent="0.35">
      <c r="A537" t="s">
        <v>50</v>
      </c>
      <c r="B537">
        <v>52084</v>
      </c>
      <c r="C537" t="s">
        <v>52</v>
      </c>
      <c r="D537">
        <v>54231</v>
      </c>
      <c r="E537" t="s">
        <v>251</v>
      </c>
      <c r="F537">
        <v>11781</v>
      </c>
      <c r="G537">
        <v>0.802025590334008</v>
      </c>
      <c r="H537">
        <v>0</v>
      </c>
      <c r="I537">
        <v>0</v>
      </c>
      <c r="J537">
        <v>0.70416320831007184</v>
      </c>
      <c r="K537">
        <v>0</v>
      </c>
      <c r="L537">
        <v>0</v>
      </c>
      <c r="M537">
        <v>0.51421201017983642</v>
      </c>
      <c r="N537">
        <v>0</v>
      </c>
      <c r="O537">
        <v>0</v>
      </c>
      <c r="P537">
        <v>0.64324504755061407</v>
      </c>
      <c r="Q537">
        <v>1.390688050795287</v>
      </c>
      <c r="R537">
        <v>3.3889264274885131</v>
      </c>
      <c r="S537">
        <v>0.2001966240420831</v>
      </c>
      <c r="T537">
        <v>0.155026118133958</v>
      </c>
      <c r="U537">
        <v>4.2695174021729896</v>
      </c>
      <c r="V537">
        <v>0.19330748901132719</v>
      </c>
      <c r="W537">
        <v>9.3264932613530274</v>
      </c>
      <c r="X537">
        <v>0.3351893235542997</v>
      </c>
      <c r="Z537" t="s">
        <v>392</v>
      </c>
      <c r="AA537">
        <v>161</v>
      </c>
      <c r="AB537" t="s">
        <v>4984</v>
      </c>
      <c r="AC537" t="str">
        <f>HYPERLINK("plots/3FT6Y578R04_015_S31P_20251219032831_M5358ACSA301811_RBGEUFRF04/dpll_52084/txpa_54231.png","plot")</f>
        <v>plot</v>
      </c>
    </row>
    <row r="538" spans="1:29" x14ac:dyDescent="0.35">
      <c r="A538" t="s">
        <v>50</v>
      </c>
      <c r="B538">
        <v>52084</v>
      </c>
      <c r="C538" t="s">
        <v>52</v>
      </c>
      <c r="D538">
        <v>54232</v>
      </c>
      <c r="E538" t="s">
        <v>252</v>
      </c>
      <c r="F538">
        <v>11781</v>
      </c>
      <c r="G538">
        <v>0.8052998044499623</v>
      </c>
      <c r="H538">
        <v>0</v>
      </c>
      <c r="I538">
        <v>0</v>
      </c>
      <c r="J538">
        <v>0.71430089162846411</v>
      </c>
      <c r="K538">
        <v>0</v>
      </c>
      <c r="L538">
        <v>0</v>
      </c>
      <c r="M538">
        <v>0.52436048855509709</v>
      </c>
      <c r="N538">
        <v>0</v>
      </c>
      <c r="O538">
        <v>0</v>
      </c>
      <c r="P538">
        <v>0.64850777504714752</v>
      </c>
      <c r="Q538">
        <v>1.4051120087358919</v>
      </c>
      <c r="R538">
        <v>3.341909351555008</v>
      </c>
      <c r="S538">
        <v>0.1999517781981901</v>
      </c>
      <c r="T538">
        <v>0.15516847934916181</v>
      </c>
      <c r="U538">
        <v>4.2695129435531793</v>
      </c>
      <c r="V538">
        <v>0.1933002831720991</v>
      </c>
      <c r="W538">
        <v>9.3410532599949061</v>
      </c>
      <c r="X538">
        <v>0.33727631333858288</v>
      </c>
      <c r="Z538" t="s">
        <v>392</v>
      </c>
      <c r="AA538">
        <v>161</v>
      </c>
      <c r="AB538" t="s">
        <v>4985</v>
      </c>
      <c r="AC538" t="str">
        <f>HYPERLINK("plots/3FT6Y578R04_015_S31P_20251219032831_M5358ACSA301811_RBGEUFRF04/dpll_52084/txpa_54232.png","plot")</f>
        <v>plot</v>
      </c>
    </row>
    <row r="539" spans="1:29" x14ac:dyDescent="0.35">
      <c r="A539" t="s">
        <v>50</v>
      </c>
      <c r="B539">
        <v>52084</v>
      </c>
      <c r="C539" t="s">
        <v>52</v>
      </c>
      <c r="D539">
        <v>54233</v>
      </c>
      <c r="E539" t="s">
        <v>253</v>
      </c>
      <c r="F539">
        <v>11782</v>
      </c>
      <c r="G539">
        <v>0.80245711236899075</v>
      </c>
      <c r="H539">
        <v>0</v>
      </c>
      <c r="I539">
        <v>0</v>
      </c>
      <c r="J539">
        <v>0.70548664644180903</v>
      </c>
      <c r="K539">
        <v>0</v>
      </c>
      <c r="L539">
        <v>0</v>
      </c>
      <c r="M539">
        <v>0.51609944924667694</v>
      </c>
      <c r="N539">
        <v>0</v>
      </c>
      <c r="O539">
        <v>0</v>
      </c>
      <c r="P539">
        <v>0.64393741719157904</v>
      </c>
      <c r="Q539">
        <v>1.388619148702769</v>
      </c>
      <c r="R539">
        <v>3.4175001376117562</v>
      </c>
      <c r="S539">
        <v>0.1996074192408184</v>
      </c>
      <c r="T539">
        <v>0.1551535539133552</v>
      </c>
      <c r="U539">
        <v>4.2695416864708866</v>
      </c>
      <c r="V539">
        <v>0.1933172563537221</v>
      </c>
      <c r="W539">
        <v>9.3462674796299439</v>
      </c>
      <c r="X539">
        <v>0.33452759008511718</v>
      </c>
      <c r="Z539" t="s">
        <v>392</v>
      </c>
      <c r="AA539">
        <v>161</v>
      </c>
      <c r="AB539" t="s">
        <v>4986</v>
      </c>
      <c r="AC539" t="str">
        <f>HYPERLINK("plots/3FT6Y578R04_015_S31P_20251219032831_M5358ACSA301811_RBGEUFRF04/dpll_52084/txpa_54233.png","plot")</f>
        <v>plot</v>
      </c>
    </row>
    <row r="540" spans="1:29" x14ac:dyDescent="0.35">
      <c r="A540" t="s">
        <v>50</v>
      </c>
      <c r="B540">
        <v>52084</v>
      </c>
      <c r="C540" t="s">
        <v>52</v>
      </c>
      <c r="D540">
        <v>54234</v>
      </c>
      <c r="E540" t="s">
        <v>254</v>
      </c>
      <c r="F540">
        <v>11781</v>
      </c>
      <c r="G540">
        <v>0.79604065945655844</v>
      </c>
      <c r="H540">
        <v>0</v>
      </c>
      <c r="I540">
        <v>0</v>
      </c>
      <c r="J540">
        <v>0.70009859904094951</v>
      </c>
      <c r="K540">
        <v>0</v>
      </c>
      <c r="L540">
        <v>0</v>
      </c>
      <c r="M540">
        <v>0.51235576602634336</v>
      </c>
      <c r="N540">
        <v>0</v>
      </c>
      <c r="O540">
        <v>0</v>
      </c>
      <c r="P540">
        <v>0.63368073150803239</v>
      </c>
      <c r="Q540">
        <v>1.379989609097799</v>
      </c>
      <c r="R540">
        <v>3.4302293222515878</v>
      </c>
      <c r="S540">
        <v>0.20281920684277729</v>
      </c>
      <c r="T540">
        <v>0.1557257361772709</v>
      </c>
      <c r="U540">
        <v>4.2695633024361257</v>
      </c>
      <c r="V540">
        <v>0.19331122175495491</v>
      </c>
      <c r="W540">
        <v>9.3221823149987255</v>
      </c>
      <c r="X540">
        <v>0.33511790406027142</v>
      </c>
      <c r="Z540" t="s">
        <v>392</v>
      </c>
      <c r="AA540">
        <v>161</v>
      </c>
      <c r="AB540" t="s">
        <v>4987</v>
      </c>
      <c r="AC540" t="str">
        <f>HYPERLINK("plots/3FT6Y578R04_015_S31P_20251219032831_M5358ACSA301811_RBGEUFRF04/dpll_52084/txpa_54234.png","plot")</f>
        <v>plot</v>
      </c>
    </row>
    <row r="541" spans="1:29" x14ac:dyDescent="0.35">
      <c r="A541" t="s">
        <v>50</v>
      </c>
      <c r="B541">
        <v>52084</v>
      </c>
      <c r="C541" t="s">
        <v>52</v>
      </c>
      <c r="D541">
        <v>54235</v>
      </c>
      <c r="E541" t="s">
        <v>255</v>
      </c>
      <c r="F541">
        <v>11782</v>
      </c>
      <c r="G541">
        <v>0.77984445462131025</v>
      </c>
      <c r="H541">
        <v>0</v>
      </c>
      <c r="I541">
        <v>0</v>
      </c>
      <c r="J541">
        <v>0.6961631440128655</v>
      </c>
      <c r="K541">
        <v>0</v>
      </c>
      <c r="L541">
        <v>0</v>
      </c>
      <c r="M541">
        <v>0.5059008828735716</v>
      </c>
      <c r="N541">
        <v>0</v>
      </c>
      <c r="O541">
        <v>0</v>
      </c>
      <c r="P541">
        <v>0.60815737340360887</v>
      </c>
      <c r="Q541">
        <v>1.3788841295034779</v>
      </c>
      <c r="R541">
        <v>3.895921998344773</v>
      </c>
      <c r="S541">
        <v>0.2139576483492599</v>
      </c>
      <c r="T541">
        <v>0.16151031892492629</v>
      </c>
      <c r="U541">
        <v>4.2695416864708866</v>
      </c>
      <c r="V541">
        <v>0.1933172563537221</v>
      </c>
      <c r="W541">
        <v>9.7831252700729934</v>
      </c>
      <c r="X541">
        <v>0.34181444154109469</v>
      </c>
      <c r="Z541" t="s">
        <v>392</v>
      </c>
      <c r="AA541">
        <v>161</v>
      </c>
      <c r="AB541" t="s">
        <v>4988</v>
      </c>
      <c r="AC541" t="str">
        <f>HYPERLINK("plots/3FT6Y578R04_015_S31P_20251219032831_M5358ACSA301811_RBGEUFRF04/dpll_52084/txpa_54235.png","plot")</f>
        <v>plot</v>
      </c>
    </row>
    <row r="542" spans="1:29" x14ac:dyDescent="0.35">
      <c r="A542" t="s">
        <v>50</v>
      </c>
      <c r="B542">
        <v>52084</v>
      </c>
      <c r="C542" t="s">
        <v>52</v>
      </c>
      <c r="D542">
        <v>54236</v>
      </c>
      <c r="E542" t="s">
        <v>256</v>
      </c>
      <c r="F542">
        <v>11782</v>
      </c>
      <c r="G542">
        <v>0.79590340031646445</v>
      </c>
      <c r="H542">
        <v>0</v>
      </c>
      <c r="I542">
        <v>0</v>
      </c>
      <c r="J542">
        <v>0.70697072522029158</v>
      </c>
      <c r="K542">
        <v>0</v>
      </c>
      <c r="L542">
        <v>0</v>
      </c>
      <c r="M542">
        <v>0.5181294267101807</v>
      </c>
      <c r="N542">
        <v>0</v>
      </c>
      <c r="O542">
        <v>0</v>
      </c>
      <c r="P542">
        <v>0.63346222263531027</v>
      </c>
      <c r="Q542">
        <v>1.410270732396903</v>
      </c>
      <c r="R542">
        <v>3.7927564640431179</v>
      </c>
      <c r="S542">
        <v>0.20737370906671571</v>
      </c>
      <c r="T542">
        <v>0.15917149249266929</v>
      </c>
      <c r="U542">
        <v>4.2695416864708866</v>
      </c>
      <c r="V542">
        <v>0.1933172563537221</v>
      </c>
      <c r="W542">
        <v>9.8139661452215243</v>
      </c>
      <c r="X542">
        <v>0.34254115335419011</v>
      </c>
      <c r="Z542" t="s">
        <v>392</v>
      </c>
      <c r="AA542">
        <v>161</v>
      </c>
      <c r="AB542" t="s">
        <v>4989</v>
      </c>
      <c r="AC542" t="str">
        <f>HYPERLINK("plots/3FT6Y578R04_015_S31P_20251219032831_M5358ACSA301811_RBGEUFRF04/dpll_52084/txpa_54236.png","plot")</f>
        <v>plot</v>
      </c>
    </row>
    <row r="543" spans="1:29" x14ac:dyDescent="0.35">
      <c r="A543" t="s">
        <v>50</v>
      </c>
      <c r="B543">
        <v>52084</v>
      </c>
      <c r="C543" t="s">
        <v>52</v>
      </c>
      <c r="D543">
        <v>54237</v>
      </c>
      <c r="E543" t="s">
        <v>257</v>
      </c>
      <c r="F543">
        <v>11782</v>
      </c>
      <c r="G543">
        <v>0.7904518972797816</v>
      </c>
      <c r="H543">
        <v>0</v>
      </c>
      <c r="I543">
        <v>0</v>
      </c>
      <c r="J543">
        <v>0.69977427250198498</v>
      </c>
      <c r="K543">
        <v>0</v>
      </c>
      <c r="L543">
        <v>0</v>
      </c>
      <c r="M543">
        <v>0.51085668172087462</v>
      </c>
      <c r="N543">
        <v>0</v>
      </c>
      <c r="O543">
        <v>0</v>
      </c>
      <c r="P543">
        <v>0.62481420191320636</v>
      </c>
      <c r="Q543">
        <v>1.3830253986312651</v>
      </c>
      <c r="R543">
        <v>3.9200632244442968</v>
      </c>
      <c r="S543">
        <v>0.20717154103147231</v>
      </c>
      <c r="T543">
        <v>0.15791557487766</v>
      </c>
      <c r="U543">
        <v>4.2695416864708866</v>
      </c>
      <c r="V543">
        <v>0.1933172563537221</v>
      </c>
      <c r="W543">
        <v>9.8249478173484981</v>
      </c>
      <c r="X543">
        <v>0.33824028565305031</v>
      </c>
      <c r="Z543" t="s">
        <v>392</v>
      </c>
      <c r="AA543">
        <v>161</v>
      </c>
      <c r="AB543" t="s">
        <v>4990</v>
      </c>
      <c r="AC543" t="str">
        <f>HYPERLINK("plots/3FT6Y578R04_015_S31P_20251219032831_M5358ACSA301811_RBGEUFRF04/dpll_52084/txpa_54237.png","plot")</f>
        <v>plot</v>
      </c>
    </row>
    <row r="544" spans="1:29" x14ac:dyDescent="0.35">
      <c r="A544" t="s">
        <v>50</v>
      </c>
      <c r="B544">
        <v>52084</v>
      </c>
      <c r="C544" t="s">
        <v>52</v>
      </c>
      <c r="D544">
        <v>54238</v>
      </c>
      <c r="E544" t="s">
        <v>258</v>
      </c>
      <c r="F544">
        <v>11781</v>
      </c>
      <c r="G544">
        <v>0.80254921073062202</v>
      </c>
      <c r="H544">
        <v>0</v>
      </c>
      <c r="I544">
        <v>0</v>
      </c>
      <c r="J544">
        <v>0.70945074611743963</v>
      </c>
      <c r="K544">
        <v>0</v>
      </c>
      <c r="L544">
        <v>0</v>
      </c>
      <c r="M544">
        <v>0.52020642474460133</v>
      </c>
      <c r="N544">
        <v>0</v>
      </c>
      <c r="O544">
        <v>0</v>
      </c>
      <c r="P544">
        <v>0.64408523564434439</v>
      </c>
      <c r="Q544">
        <v>1.4131252087212589</v>
      </c>
      <c r="R544">
        <v>3.79872275373436</v>
      </c>
      <c r="S544">
        <v>0.2030714923236201</v>
      </c>
      <c r="T544">
        <v>0.1566287588046037</v>
      </c>
      <c r="U544">
        <v>4.2695489746201511</v>
      </c>
      <c r="V544">
        <v>0.19332384277072681</v>
      </c>
      <c r="W544">
        <v>9.8321300396400986</v>
      </c>
      <c r="X544">
        <v>0.34040379332934928</v>
      </c>
      <c r="Z544" t="s">
        <v>392</v>
      </c>
      <c r="AA544">
        <v>161</v>
      </c>
      <c r="AB544" t="s">
        <v>4991</v>
      </c>
      <c r="AC544" t="str">
        <f>HYPERLINK("plots/3FT6Y578R04_015_S31P_20251219032831_M5358ACSA301811_RBGEUFRF04/dpll_52084/txpa_54238.png","plot")</f>
        <v>plot</v>
      </c>
    </row>
    <row r="545" spans="1:29" x14ac:dyDescent="0.35">
      <c r="A545" t="s">
        <v>50</v>
      </c>
      <c r="B545">
        <v>52084</v>
      </c>
      <c r="C545" t="s">
        <v>52</v>
      </c>
      <c r="D545">
        <v>54239</v>
      </c>
      <c r="E545" t="s">
        <v>259</v>
      </c>
      <c r="F545">
        <v>11781</v>
      </c>
      <c r="G545">
        <v>0.80439528080515055</v>
      </c>
      <c r="H545">
        <v>0</v>
      </c>
      <c r="I545">
        <v>0</v>
      </c>
      <c r="J545">
        <v>0.70570953556786009</v>
      </c>
      <c r="K545">
        <v>0</v>
      </c>
      <c r="L545">
        <v>0</v>
      </c>
      <c r="M545">
        <v>0.51561396119130487</v>
      </c>
      <c r="N545">
        <v>0</v>
      </c>
      <c r="O545">
        <v>0</v>
      </c>
      <c r="P545">
        <v>0.64705176778159701</v>
      </c>
      <c r="Q545">
        <v>1.412334592775875</v>
      </c>
      <c r="R545">
        <v>3.7768112692512421</v>
      </c>
      <c r="S545">
        <v>0.20162938934770999</v>
      </c>
      <c r="T545">
        <v>0.15598314275503661</v>
      </c>
      <c r="U545">
        <v>4.2695174021729896</v>
      </c>
      <c r="V545">
        <v>0.19330748901132719</v>
      </c>
      <c r="W545">
        <v>9.8067983907987433</v>
      </c>
      <c r="X545">
        <v>0.33940384819273001</v>
      </c>
      <c r="Z545" t="s">
        <v>392</v>
      </c>
      <c r="AA545">
        <v>161</v>
      </c>
      <c r="AB545" t="s">
        <v>4992</v>
      </c>
      <c r="AC545" t="str">
        <f>HYPERLINK("plots/3FT6Y578R04_015_S31P_20251219032831_M5358ACSA301811_RBGEUFRF04/dpll_52084/txpa_54239.png","plot")</f>
        <v>plot</v>
      </c>
    </row>
    <row r="546" spans="1:29" x14ac:dyDescent="0.35">
      <c r="A546" t="s">
        <v>50</v>
      </c>
      <c r="B546">
        <v>52084</v>
      </c>
      <c r="C546" t="s">
        <v>52</v>
      </c>
      <c r="D546">
        <v>54240</v>
      </c>
      <c r="E546" t="s">
        <v>260</v>
      </c>
      <c r="F546">
        <v>11781</v>
      </c>
      <c r="G546">
        <v>0.80748619094991925</v>
      </c>
      <c r="H546">
        <v>0</v>
      </c>
      <c r="I546">
        <v>0</v>
      </c>
      <c r="J546">
        <v>0.71551392575698947</v>
      </c>
      <c r="K546">
        <v>0</v>
      </c>
      <c r="L546">
        <v>0</v>
      </c>
      <c r="M546">
        <v>0.52550759432902439</v>
      </c>
      <c r="N546">
        <v>0</v>
      </c>
      <c r="O546">
        <v>0</v>
      </c>
      <c r="P546">
        <v>0.65203394857480945</v>
      </c>
      <c r="Q546">
        <v>1.426523453671015</v>
      </c>
      <c r="R546">
        <v>3.73134269466293</v>
      </c>
      <c r="S546">
        <v>0.2014309992837639</v>
      </c>
      <c r="T546">
        <v>0.1561239568459819</v>
      </c>
      <c r="U546">
        <v>4.2695129435531793</v>
      </c>
      <c r="V546">
        <v>0.1933002831720991</v>
      </c>
      <c r="W546">
        <v>9.8219030443935136</v>
      </c>
      <c r="X546">
        <v>0.34148867266926453</v>
      </c>
      <c r="Z546" t="s">
        <v>392</v>
      </c>
      <c r="AA546">
        <v>161</v>
      </c>
      <c r="AB546" t="s">
        <v>4993</v>
      </c>
      <c r="AC546" t="str">
        <f>HYPERLINK("plots/3FT6Y578R04_015_S31P_20251219032831_M5358ACSA301811_RBGEUFRF04/dpll_52084/txpa_54240.png","plot")</f>
        <v>plot</v>
      </c>
    </row>
    <row r="547" spans="1:29" x14ac:dyDescent="0.35">
      <c r="A547" t="s">
        <v>50</v>
      </c>
      <c r="B547">
        <v>52084</v>
      </c>
      <c r="C547" t="s">
        <v>52</v>
      </c>
      <c r="D547">
        <v>54241</v>
      </c>
      <c r="E547" t="s">
        <v>261</v>
      </c>
      <c r="F547">
        <v>11782</v>
      </c>
      <c r="G547">
        <v>0.80486831699068195</v>
      </c>
      <c r="H547">
        <v>0</v>
      </c>
      <c r="I547">
        <v>0</v>
      </c>
      <c r="J547">
        <v>0.70689931090865521</v>
      </c>
      <c r="K547">
        <v>0</v>
      </c>
      <c r="L547">
        <v>0</v>
      </c>
      <c r="M547">
        <v>0.51738273126398404</v>
      </c>
      <c r="N547">
        <v>0</v>
      </c>
      <c r="O547">
        <v>0</v>
      </c>
      <c r="P547">
        <v>0.64781300769541283</v>
      </c>
      <c r="Q547">
        <v>1.410160702302327</v>
      </c>
      <c r="R547">
        <v>3.8063846633544571</v>
      </c>
      <c r="S547">
        <v>0.20099378245865221</v>
      </c>
      <c r="T547">
        <v>0.15598868327277129</v>
      </c>
      <c r="U547">
        <v>4.2695416864708866</v>
      </c>
      <c r="V547">
        <v>0.1933172563537221</v>
      </c>
      <c r="W547">
        <v>9.8271245664573073</v>
      </c>
      <c r="X547">
        <v>0.33869937756548563</v>
      </c>
      <c r="Z547" t="s">
        <v>392</v>
      </c>
      <c r="AA547">
        <v>161</v>
      </c>
      <c r="AB547" t="s">
        <v>4994</v>
      </c>
      <c r="AC547" t="str">
        <f>HYPERLINK("plots/3FT6Y578R04_015_S31P_20251219032831_M5358ACSA301811_RBGEUFRF04/dpll_52084/txpa_54241.png","plot")</f>
        <v>plot</v>
      </c>
    </row>
    <row r="548" spans="1:29" x14ac:dyDescent="0.35">
      <c r="A548" t="s">
        <v>50</v>
      </c>
      <c r="B548">
        <v>52084</v>
      </c>
      <c r="C548" t="s">
        <v>52</v>
      </c>
      <c r="D548">
        <v>54242</v>
      </c>
      <c r="E548" t="s">
        <v>262</v>
      </c>
      <c r="F548">
        <v>11781</v>
      </c>
      <c r="G548">
        <v>0.79825359065420498</v>
      </c>
      <c r="H548">
        <v>0</v>
      </c>
      <c r="I548">
        <v>0</v>
      </c>
      <c r="J548">
        <v>0.70132344423162096</v>
      </c>
      <c r="K548">
        <v>0</v>
      </c>
      <c r="L548">
        <v>0</v>
      </c>
      <c r="M548">
        <v>0.51347507203010412</v>
      </c>
      <c r="N548">
        <v>0</v>
      </c>
      <c r="O548">
        <v>0</v>
      </c>
      <c r="P548">
        <v>0.63720879499233107</v>
      </c>
      <c r="Q548">
        <v>1.4006670087957609</v>
      </c>
      <c r="R548">
        <v>3.823129549564825</v>
      </c>
      <c r="S548">
        <v>0.20429654715501541</v>
      </c>
      <c r="T548">
        <v>0.1566498020870134</v>
      </c>
      <c r="U548">
        <v>4.2695633024361257</v>
      </c>
      <c r="V548">
        <v>0.19331122175495491</v>
      </c>
      <c r="W548">
        <v>9.8033660092521853</v>
      </c>
      <c r="X548">
        <v>0.33919628287580011</v>
      </c>
      <c r="Z548" t="s">
        <v>392</v>
      </c>
      <c r="AA548">
        <v>161</v>
      </c>
      <c r="AB548" t="s">
        <v>4995</v>
      </c>
      <c r="AC548" t="str">
        <f>HYPERLINK("plots/3FT6Y578R04_015_S31P_20251219032831_M5358ACSA301811_RBGEUFRF04/dpll_52084/txpa_54242.png","plot")</f>
        <v>plot</v>
      </c>
    </row>
    <row r="549" spans="1:29" x14ac:dyDescent="0.35">
      <c r="A549" t="s">
        <v>50</v>
      </c>
      <c r="B549">
        <v>52084</v>
      </c>
      <c r="C549" t="s">
        <v>52</v>
      </c>
      <c r="D549">
        <v>54243</v>
      </c>
      <c r="E549" t="s">
        <v>263</v>
      </c>
      <c r="F549">
        <v>11782</v>
      </c>
      <c r="G549">
        <v>0.78626649361869394</v>
      </c>
      <c r="H549">
        <v>0</v>
      </c>
      <c r="I549">
        <v>0</v>
      </c>
      <c r="J549">
        <v>0.70019427191430605</v>
      </c>
      <c r="K549">
        <v>0</v>
      </c>
      <c r="L549">
        <v>0</v>
      </c>
      <c r="M549">
        <v>0.50968783746505042</v>
      </c>
      <c r="N549">
        <v>0</v>
      </c>
      <c r="O549">
        <v>0</v>
      </c>
      <c r="P549">
        <v>0.6182149989874357</v>
      </c>
      <c r="Q549">
        <v>1.4348763990925479</v>
      </c>
      <c r="R549">
        <v>5.2287883555152579</v>
      </c>
      <c r="S549">
        <v>0.21797482938487511</v>
      </c>
      <c r="T549">
        <v>0.163802950978676</v>
      </c>
      <c r="U549">
        <v>4.2695416864708866</v>
      </c>
      <c r="V549">
        <v>0.1933172563537221</v>
      </c>
      <c r="W549">
        <v>11.355052956374131</v>
      </c>
      <c r="X549">
        <v>0.35278925266501371</v>
      </c>
      <c r="Z549" t="s">
        <v>392</v>
      </c>
      <c r="AA549">
        <v>161</v>
      </c>
      <c r="AB549" t="s">
        <v>4996</v>
      </c>
      <c r="AC549" t="str">
        <f>HYPERLINK("plots/3FT6Y578R04_015_S31P_20251219032831_M5358ACSA301811_RBGEUFRF04/dpll_52084/txpa_54243.png","plot")</f>
        <v>plot</v>
      </c>
    </row>
    <row r="550" spans="1:29" x14ac:dyDescent="0.35">
      <c r="A550" t="s">
        <v>50</v>
      </c>
      <c r="B550">
        <v>52084</v>
      </c>
      <c r="C550" t="s">
        <v>52</v>
      </c>
      <c r="D550">
        <v>54244</v>
      </c>
      <c r="E550" t="s">
        <v>264</v>
      </c>
      <c r="F550">
        <v>11782</v>
      </c>
      <c r="G550">
        <v>0.80198307076301756</v>
      </c>
      <c r="H550">
        <v>0</v>
      </c>
      <c r="I550">
        <v>0</v>
      </c>
      <c r="J550">
        <v>0.7110019364989989</v>
      </c>
      <c r="K550">
        <v>0</v>
      </c>
      <c r="L550">
        <v>0</v>
      </c>
      <c r="M550">
        <v>0.52205541813713896</v>
      </c>
      <c r="N550">
        <v>0</v>
      </c>
      <c r="O550">
        <v>0</v>
      </c>
      <c r="P550">
        <v>0.64317684579047918</v>
      </c>
      <c r="Q550">
        <v>1.467062027775339</v>
      </c>
      <c r="R550">
        <v>5.1218726573465672</v>
      </c>
      <c r="S550">
        <v>0.21123310410962379</v>
      </c>
      <c r="T550">
        <v>0.16143967041744939</v>
      </c>
      <c r="U550">
        <v>4.2695416864708866</v>
      </c>
      <c r="V550">
        <v>0.1933172563537221</v>
      </c>
      <c r="W550">
        <v>11.38555514157189</v>
      </c>
      <c r="X550">
        <v>0.35363390631229619</v>
      </c>
      <c r="Z550" t="s">
        <v>392</v>
      </c>
      <c r="AA550">
        <v>161</v>
      </c>
      <c r="AB550" t="s">
        <v>4997</v>
      </c>
      <c r="AC550" t="str">
        <f>HYPERLINK("plots/3FT6Y578R04_015_S31P_20251219032831_M5358ACSA301811_RBGEUFRF04/dpll_52084/txpa_54244.png","plot")</f>
        <v>plot</v>
      </c>
    </row>
    <row r="551" spans="1:29" x14ac:dyDescent="0.35">
      <c r="A551" t="s">
        <v>50</v>
      </c>
      <c r="B551">
        <v>52084</v>
      </c>
      <c r="C551" t="s">
        <v>52</v>
      </c>
      <c r="D551">
        <v>54245</v>
      </c>
      <c r="E551" t="s">
        <v>265</v>
      </c>
      <c r="F551">
        <v>11782</v>
      </c>
      <c r="G551">
        <v>0.79697773302641384</v>
      </c>
      <c r="H551">
        <v>0</v>
      </c>
      <c r="I551">
        <v>0</v>
      </c>
      <c r="J551">
        <v>0.70390992202877634</v>
      </c>
      <c r="K551">
        <v>0</v>
      </c>
      <c r="L551">
        <v>0</v>
      </c>
      <c r="M551">
        <v>0.51483852462895352</v>
      </c>
      <c r="N551">
        <v>0</v>
      </c>
      <c r="O551">
        <v>0</v>
      </c>
      <c r="P551">
        <v>0.63517350693992181</v>
      </c>
      <c r="Q551">
        <v>1.4398264449105229</v>
      </c>
      <c r="R551">
        <v>5.2495502759398027</v>
      </c>
      <c r="S551">
        <v>0.21094019057022681</v>
      </c>
      <c r="T551">
        <v>0.1601402242614732</v>
      </c>
      <c r="U551">
        <v>4.2695416864708866</v>
      </c>
      <c r="V551">
        <v>0.1933172563537221</v>
      </c>
      <c r="W551">
        <v>11.39694930376846</v>
      </c>
      <c r="X551">
        <v>0.34924852529902611</v>
      </c>
      <c r="Z551" t="s">
        <v>392</v>
      </c>
      <c r="AA551">
        <v>161</v>
      </c>
      <c r="AB551" t="s">
        <v>4998</v>
      </c>
      <c r="AC551" t="str">
        <f>HYPERLINK("plots/3FT6Y578R04_015_S31P_20251219032831_M5358ACSA301811_RBGEUFRF04/dpll_52084/txpa_54245.png","plot")</f>
        <v>plot</v>
      </c>
    </row>
    <row r="552" spans="1:29" x14ac:dyDescent="0.35">
      <c r="A552" t="s">
        <v>50</v>
      </c>
      <c r="B552">
        <v>52084</v>
      </c>
      <c r="C552" t="s">
        <v>52</v>
      </c>
      <c r="D552">
        <v>54246</v>
      </c>
      <c r="E552" t="s">
        <v>266</v>
      </c>
      <c r="F552">
        <v>11781</v>
      </c>
      <c r="G552">
        <v>0.80839376529591689</v>
      </c>
      <c r="H552">
        <v>0</v>
      </c>
      <c r="I552">
        <v>0</v>
      </c>
      <c r="J552">
        <v>0.71307956433383457</v>
      </c>
      <c r="K552">
        <v>0</v>
      </c>
      <c r="L552">
        <v>0</v>
      </c>
      <c r="M552">
        <v>0.52376856687973983</v>
      </c>
      <c r="N552">
        <v>0</v>
      </c>
      <c r="O552">
        <v>0</v>
      </c>
      <c r="P552">
        <v>0.65350047976930992</v>
      </c>
      <c r="Q552">
        <v>1.4693376821569979</v>
      </c>
      <c r="R552">
        <v>5.1299733588698073</v>
      </c>
      <c r="S552">
        <v>0.20683163562240961</v>
      </c>
      <c r="T552">
        <v>0.15894386982690409</v>
      </c>
      <c r="U552">
        <v>4.2695489746201511</v>
      </c>
      <c r="V552">
        <v>0.19332384277072681</v>
      </c>
      <c r="W552">
        <v>11.403382553093969</v>
      </c>
      <c r="X552">
        <v>0.35138569746198212</v>
      </c>
      <c r="Z552" t="s">
        <v>392</v>
      </c>
      <c r="AA552">
        <v>161</v>
      </c>
      <c r="AB552" t="s">
        <v>4999</v>
      </c>
      <c r="AC552" t="str">
        <f>HYPERLINK("plots/3FT6Y578R04_015_S31P_20251219032831_M5358ACSA301811_RBGEUFRF04/dpll_52084/txpa_54246.png","plot")</f>
        <v>plot</v>
      </c>
    </row>
    <row r="553" spans="1:29" x14ac:dyDescent="0.35">
      <c r="A553" t="s">
        <v>50</v>
      </c>
      <c r="B553">
        <v>52084</v>
      </c>
      <c r="C553" t="s">
        <v>52</v>
      </c>
      <c r="D553">
        <v>54247</v>
      </c>
      <c r="E553" t="s">
        <v>267</v>
      </c>
      <c r="F553">
        <v>11781</v>
      </c>
      <c r="G553">
        <v>0.81032305220068079</v>
      </c>
      <c r="H553">
        <v>0</v>
      </c>
      <c r="I553">
        <v>0</v>
      </c>
      <c r="J553">
        <v>0.70946557977345659</v>
      </c>
      <c r="K553">
        <v>0</v>
      </c>
      <c r="L553">
        <v>0</v>
      </c>
      <c r="M553">
        <v>0.51928813283319397</v>
      </c>
      <c r="N553">
        <v>0</v>
      </c>
      <c r="O553">
        <v>0</v>
      </c>
      <c r="P553">
        <v>0.6566234489278272</v>
      </c>
      <c r="Q553">
        <v>1.470011564466621</v>
      </c>
      <c r="R553">
        <v>5.1003929251939226</v>
      </c>
      <c r="S553">
        <v>0.20548405205700651</v>
      </c>
      <c r="T553">
        <v>0.15837900379578451</v>
      </c>
      <c r="U553">
        <v>4.2695174021729896</v>
      </c>
      <c r="V553">
        <v>0.19330748901132719</v>
      </c>
      <c r="W553">
        <v>11.376632881079701</v>
      </c>
      <c r="X553">
        <v>0.35068019300810932</v>
      </c>
      <c r="Z553" t="s">
        <v>392</v>
      </c>
      <c r="AA553">
        <v>161</v>
      </c>
      <c r="AB553" t="s">
        <v>5000</v>
      </c>
      <c r="AC553" t="str">
        <f>HYPERLINK("plots/3FT6Y578R04_015_S31P_20251219032831_M5358ACSA301811_RBGEUFRF04/dpll_52084/txpa_54247.png","plot")</f>
        <v>plot</v>
      </c>
    </row>
    <row r="554" spans="1:29" x14ac:dyDescent="0.35">
      <c r="A554" t="s">
        <v>50</v>
      </c>
      <c r="B554">
        <v>52084</v>
      </c>
      <c r="C554" t="s">
        <v>52</v>
      </c>
      <c r="D554">
        <v>54248</v>
      </c>
      <c r="E554" t="s">
        <v>268</v>
      </c>
      <c r="F554">
        <v>11781</v>
      </c>
      <c r="G554">
        <v>0.81306683327813445</v>
      </c>
      <c r="H554">
        <v>0</v>
      </c>
      <c r="I554">
        <v>0</v>
      </c>
      <c r="J554">
        <v>0.71876421599533358</v>
      </c>
      <c r="K554">
        <v>0</v>
      </c>
      <c r="L554">
        <v>0</v>
      </c>
      <c r="M554">
        <v>0.52889328261330903</v>
      </c>
      <c r="N554">
        <v>0</v>
      </c>
      <c r="O554">
        <v>0</v>
      </c>
      <c r="P554">
        <v>0.66107767537693363</v>
      </c>
      <c r="Q554">
        <v>1.4827843081029539</v>
      </c>
      <c r="R554">
        <v>5.0629744571763231</v>
      </c>
      <c r="S554">
        <v>0.20521820351183179</v>
      </c>
      <c r="T554">
        <v>0.1584041659052777</v>
      </c>
      <c r="U554">
        <v>4.2695129435531793</v>
      </c>
      <c r="V554">
        <v>0.1933002831720991</v>
      </c>
      <c r="W554">
        <v>11.39374125311943</v>
      </c>
      <c r="X554">
        <v>0.35252037705662748</v>
      </c>
      <c r="Z554" t="s">
        <v>392</v>
      </c>
      <c r="AA554">
        <v>161</v>
      </c>
      <c r="AB554" t="s">
        <v>5001</v>
      </c>
      <c r="AC554" t="str">
        <f>HYPERLINK("plots/3FT6Y578R04_015_S31P_20251219032831_M5358ACSA301811_RBGEUFRF04/dpll_52084/txpa_54248.png","plot")</f>
        <v>plot</v>
      </c>
    </row>
    <row r="555" spans="1:29" x14ac:dyDescent="0.35">
      <c r="A555" t="s">
        <v>50</v>
      </c>
      <c r="B555">
        <v>52084</v>
      </c>
      <c r="C555" t="s">
        <v>52</v>
      </c>
      <c r="D555">
        <v>54249</v>
      </c>
      <c r="E555" t="s">
        <v>269</v>
      </c>
      <c r="F555">
        <v>11782</v>
      </c>
      <c r="G555">
        <v>0.8107629235697672</v>
      </c>
      <c r="H555">
        <v>0</v>
      </c>
      <c r="I555">
        <v>0</v>
      </c>
      <c r="J555">
        <v>0.71051631238632029</v>
      </c>
      <c r="K555">
        <v>0</v>
      </c>
      <c r="L555">
        <v>0</v>
      </c>
      <c r="M555">
        <v>0.52097013565070616</v>
      </c>
      <c r="N555">
        <v>0</v>
      </c>
      <c r="O555">
        <v>0</v>
      </c>
      <c r="P555">
        <v>0.65733651823539618</v>
      </c>
      <c r="Q555">
        <v>1.46708469333486</v>
      </c>
      <c r="R555">
        <v>5.1360133060975004</v>
      </c>
      <c r="S555">
        <v>0.20476107888992851</v>
      </c>
      <c r="T555">
        <v>0.15819950754634279</v>
      </c>
      <c r="U555">
        <v>4.2695416864708866</v>
      </c>
      <c r="V555">
        <v>0.1933172563537221</v>
      </c>
      <c r="W555">
        <v>11.39979256187404</v>
      </c>
      <c r="X555">
        <v>0.34980976498690569</v>
      </c>
      <c r="Z555" t="s">
        <v>392</v>
      </c>
      <c r="AA555">
        <v>161</v>
      </c>
      <c r="AB555" t="s">
        <v>5002</v>
      </c>
      <c r="AC555" t="str">
        <f>HYPERLINK("plots/3FT6Y578R04_015_S31P_20251219032831_M5358ACSA301811_RBGEUFRF04/dpll_52084/txpa_54249.png","plot")</f>
        <v>plot</v>
      </c>
    </row>
    <row r="556" spans="1:29" x14ac:dyDescent="0.35">
      <c r="A556" t="s">
        <v>50</v>
      </c>
      <c r="B556">
        <v>52084</v>
      </c>
      <c r="C556" t="s">
        <v>52</v>
      </c>
      <c r="D556">
        <v>54250</v>
      </c>
      <c r="E556" t="s">
        <v>270</v>
      </c>
      <c r="F556">
        <v>11781</v>
      </c>
      <c r="G556">
        <v>0.8037133818314065</v>
      </c>
      <c r="H556">
        <v>0</v>
      </c>
      <c r="I556">
        <v>0</v>
      </c>
      <c r="J556">
        <v>0.70425955976377952</v>
      </c>
      <c r="K556">
        <v>0</v>
      </c>
      <c r="L556">
        <v>0</v>
      </c>
      <c r="M556">
        <v>0.51639203148447854</v>
      </c>
      <c r="N556">
        <v>0</v>
      </c>
      <c r="O556">
        <v>0</v>
      </c>
      <c r="P556">
        <v>0.64595520013487617</v>
      </c>
      <c r="Q556">
        <v>1.4553381708920869</v>
      </c>
      <c r="R556">
        <v>5.1641612561756247</v>
      </c>
      <c r="S556">
        <v>0.2082717967615573</v>
      </c>
      <c r="T556">
        <v>0.15909843594196821</v>
      </c>
      <c r="U556">
        <v>4.2695633024361257</v>
      </c>
      <c r="V556">
        <v>0.19331122175495491</v>
      </c>
      <c r="W556">
        <v>11.377819703250999</v>
      </c>
      <c r="X556">
        <v>0.35004170173290128</v>
      </c>
      <c r="Z556" t="s">
        <v>392</v>
      </c>
      <c r="AA556">
        <v>161</v>
      </c>
      <c r="AB556" t="s">
        <v>5003</v>
      </c>
      <c r="AC556" t="str">
        <f>HYPERLINK("plots/3FT6Y578R04_015_S31P_20251219032831_M5358ACSA301811_RBGEUFRF04/dpll_52084/txpa_54250.png","plot")</f>
        <v>plot</v>
      </c>
    </row>
    <row r="557" spans="1:29" x14ac:dyDescent="0.35">
      <c r="A557" t="s">
        <v>50</v>
      </c>
      <c r="B557">
        <v>52084</v>
      </c>
      <c r="C557" t="s">
        <v>52</v>
      </c>
      <c r="D557">
        <v>54251</v>
      </c>
      <c r="E557" t="s">
        <v>271</v>
      </c>
      <c r="F557">
        <v>11782</v>
      </c>
      <c r="G557">
        <v>0.78834794943230502</v>
      </c>
      <c r="H557">
        <v>0</v>
      </c>
      <c r="I557">
        <v>0</v>
      </c>
      <c r="J557">
        <v>0.70105892033742589</v>
      </c>
      <c r="K557">
        <v>0</v>
      </c>
      <c r="L557">
        <v>0</v>
      </c>
      <c r="M557">
        <v>0.51056643478202823</v>
      </c>
      <c r="N557">
        <v>0</v>
      </c>
      <c r="O557">
        <v>0</v>
      </c>
      <c r="P557">
        <v>0.62149248937412016</v>
      </c>
      <c r="Q557">
        <v>1.4529872188161559</v>
      </c>
      <c r="R557">
        <v>5.7100301819216526</v>
      </c>
      <c r="S557">
        <v>0.21919633787309101</v>
      </c>
      <c r="T557">
        <v>0.16441376908725669</v>
      </c>
      <c r="U557">
        <v>4.2695416864708866</v>
      </c>
      <c r="V557">
        <v>0.1933172563537221</v>
      </c>
      <c r="W557">
        <v>11.91361968256663</v>
      </c>
      <c r="X557">
        <v>0.35629889423931838</v>
      </c>
      <c r="Z557" t="s">
        <v>392</v>
      </c>
      <c r="AA557">
        <v>161</v>
      </c>
      <c r="AB557" t="s">
        <v>5004</v>
      </c>
      <c r="AC557" t="str">
        <f>HYPERLINK("plots/3FT6Y578R04_015_S31P_20251219032831_M5358ACSA301811_RBGEUFRF04/dpll_52084/txpa_54251.png","plot")</f>
        <v>plot</v>
      </c>
    </row>
    <row r="558" spans="1:29" x14ac:dyDescent="0.35">
      <c r="A558" t="s">
        <v>50</v>
      </c>
      <c r="B558">
        <v>52084</v>
      </c>
      <c r="C558" t="s">
        <v>52</v>
      </c>
      <c r="D558">
        <v>54252</v>
      </c>
      <c r="E558" t="s">
        <v>272</v>
      </c>
      <c r="F558">
        <v>11782</v>
      </c>
      <c r="G558">
        <v>0.80400135771346726</v>
      </c>
      <c r="H558">
        <v>0</v>
      </c>
      <c r="I558">
        <v>0</v>
      </c>
      <c r="J558">
        <v>0.7120135308693164</v>
      </c>
      <c r="K558">
        <v>0</v>
      </c>
      <c r="L558">
        <v>0</v>
      </c>
      <c r="M558">
        <v>0.52307481737050854</v>
      </c>
      <c r="N558">
        <v>0</v>
      </c>
      <c r="O558">
        <v>0</v>
      </c>
      <c r="P558">
        <v>0.6464181832050987</v>
      </c>
      <c r="Q558">
        <v>1.485923656245592</v>
      </c>
      <c r="R558">
        <v>5.5999225737127629</v>
      </c>
      <c r="S558">
        <v>0.2124402812873403</v>
      </c>
      <c r="T558">
        <v>0.16207027964448409</v>
      </c>
      <c r="U558">
        <v>4.2695416864708866</v>
      </c>
      <c r="V558">
        <v>0.1933172563537221</v>
      </c>
      <c r="W558">
        <v>11.94413556696656</v>
      </c>
      <c r="X558">
        <v>0.35728134240149151</v>
      </c>
      <c r="Z558" t="s">
        <v>392</v>
      </c>
      <c r="AA558">
        <v>161</v>
      </c>
      <c r="AB558" t="s">
        <v>5005</v>
      </c>
      <c r="AC558" t="str">
        <f>HYPERLINK("plots/3FT6Y578R04_015_S31P_20251219032831_M5358ACSA301811_RBGEUFRF04/dpll_52084/txpa_54252.png","plot")</f>
        <v>plot</v>
      </c>
    </row>
    <row r="559" spans="1:29" x14ac:dyDescent="0.35">
      <c r="A559" t="s">
        <v>50</v>
      </c>
      <c r="B559">
        <v>52084</v>
      </c>
      <c r="C559" t="s">
        <v>52</v>
      </c>
      <c r="D559">
        <v>54253</v>
      </c>
      <c r="E559" t="s">
        <v>273</v>
      </c>
      <c r="F559">
        <v>11782</v>
      </c>
      <c r="G559">
        <v>0.79911118478172738</v>
      </c>
      <c r="H559">
        <v>0</v>
      </c>
      <c r="I559">
        <v>0</v>
      </c>
      <c r="J559">
        <v>0.704903661905532</v>
      </c>
      <c r="K559">
        <v>0</v>
      </c>
      <c r="L559">
        <v>0</v>
      </c>
      <c r="M559">
        <v>0.51586307733581183</v>
      </c>
      <c r="N559">
        <v>0</v>
      </c>
      <c r="O559">
        <v>0</v>
      </c>
      <c r="P559">
        <v>0.63857868564325604</v>
      </c>
      <c r="Q559">
        <v>1.4583377210103661</v>
      </c>
      <c r="R559">
        <v>5.729513458780457</v>
      </c>
      <c r="S559">
        <v>0.2120850090377219</v>
      </c>
      <c r="T559">
        <v>0.16076270507460261</v>
      </c>
      <c r="U559">
        <v>4.2695416864708866</v>
      </c>
      <c r="V559">
        <v>0.1933172563537221</v>
      </c>
      <c r="W559">
        <v>11.95594715158717</v>
      </c>
      <c r="X559">
        <v>0.35279426997367003</v>
      </c>
      <c r="Z559" t="s">
        <v>392</v>
      </c>
      <c r="AA559">
        <v>161</v>
      </c>
      <c r="AB559" t="s">
        <v>5006</v>
      </c>
      <c r="AC559" t="str">
        <f>HYPERLINK("plots/3FT6Y578R04_015_S31P_20251219032831_M5358ACSA301811_RBGEUFRF04/dpll_52084/txpa_54253.png","plot")</f>
        <v>plot</v>
      </c>
    </row>
    <row r="560" spans="1:29" x14ac:dyDescent="0.35">
      <c r="A560" t="s">
        <v>50</v>
      </c>
      <c r="B560">
        <v>52084</v>
      </c>
      <c r="C560" t="s">
        <v>52</v>
      </c>
      <c r="D560">
        <v>54254</v>
      </c>
      <c r="E560" t="s">
        <v>274</v>
      </c>
      <c r="F560">
        <v>11781</v>
      </c>
      <c r="G560">
        <v>0.81033289829952915</v>
      </c>
      <c r="H560">
        <v>0</v>
      </c>
      <c r="I560">
        <v>0</v>
      </c>
      <c r="J560">
        <v>0.71396721506042948</v>
      </c>
      <c r="K560">
        <v>0</v>
      </c>
      <c r="L560">
        <v>0</v>
      </c>
      <c r="M560">
        <v>0.5246796695140391</v>
      </c>
      <c r="N560">
        <v>0</v>
      </c>
      <c r="O560">
        <v>0</v>
      </c>
      <c r="P560">
        <v>0.65663940606651505</v>
      </c>
      <c r="Q560">
        <v>1.488185578973457</v>
      </c>
      <c r="R560">
        <v>5.6082055447402546</v>
      </c>
      <c r="S560">
        <v>0.20803472492511821</v>
      </c>
      <c r="T560">
        <v>0.15959002644214049</v>
      </c>
      <c r="U560">
        <v>4.2695489746201511</v>
      </c>
      <c r="V560">
        <v>0.19332384277072681</v>
      </c>
      <c r="W560">
        <v>11.962086757490869</v>
      </c>
      <c r="X560">
        <v>0.3550414348064424</v>
      </c>
      <c r="Z560" t="s">
        <v>392</v>
      </c>
      <c r="AA560">
        <v>161</v>
      </c>
      <c r="AB560" t="s">
        <v>5007</v>
      </c>
      <c r="AC560" t="str">
        <f>HYPERLINK("plots/3FT6Y578R04_015_S31P_20251219032831_M5358ACSA301811_RBGEUFRF04/dpll_52084/txpa_54254.png","plot")</f>
        <v>plot</v>
      </c>
    </row>
    <row r="561" spans="1:29" x14ac:dyDescent="0.35">
      <c r="A561" t="s">
        <v>50</v>
      </c>
      <c r="B561">
        <v>52084</v>
      </c>
      <c r="C561" t="s">
        <v>52</v>
      </c>
      <c r="D561">
        <v>54255</v>
      </c>
      <c r="E561" t="s">
        <v>275</v>
      </c>
      <c r="F561">
        <v>11781</v>
      </c>
      <c r="G561">
        <v>0.81212801657367739</v>
      </c>
      <c r="H561">
        <v>0</v>
      </c>
      <c r="I561">
        <v>0</v>
      </c>
      <c r="J561">
        <v>0.71017768731150877</v>
      </c>
      <c r="K561">
        <v>0</v>
      </c>
      <c r="L561">
        <v>0</v>
      </c>
      <c r="M561">
        <v>0.52008132801608242</v>
      </c>
      <c r="N561">
        <v>0</v>
      </c>
      <c r="O561">
        <v>0</v>
      </c>
      <c r="P561">
        <v>0.65955191530389523</v>
      </c>
      <c r="Q561">
        <v>1.488852222865739</v>
      </c>
      <c r="R561">
        <v>5.5777651979041059</v>
      </c>
      <c r="S561">
        <v>0.20676774679681001</v>
      </c>
      <c r="T561">
        <v>0.15908561924704909</v>
      </c>
      <c r="U561">
        <v>4.2695174021729896</v>
      </c>
      <c r="V561">
        <v>0.19330748901132719</v>
      </c>
      <c r="W561">
        <v>11.93444567269332</v>
      </c>
      <c r="X561">
        <v>0.35438536639253942</v>
      </c>
      <c r="Z561" t="s">
        <v>392</v>
      </c>
      <c r="AA561">
        <v>161</v>
      </c>
      <c r="AB561" t="s">
        <v>5008</v>
      </c>
      <c r="AC561" t="str">
        <f>HYPERLINK("plots/3FT6Y578R04_015_S31P_20251219032831_M5358ACSA301811_RBGEUFRF04/dpll_52084/txpa_54255.png","plot")</f>
        <v>plot</v>
      </c>
    </row>
    <row r="562" spans="1:29" x14ac:dyDescent="0.35">
      <c r="A562" t="s">
        <v>50</v>
      </c>
      <c r="B562">
        <v>52084</v>
      </c>
      <c r="C562" t="s">
        <v>52</v>
      </c>
      <c r="D562">
        <v>54256</v>
      </c>
      <c r="E562" t="s">
        <v>276</v>
      </c>
      <c r="F562">
        <v>11781</v>
      </c>
      <c r="G562">
        <v>0.81501010678070551</v>
      </c>
      <c r="H562">
        <v>0</v>
      </c>
      <c r="I562">
        <v>0</v>
      </c>
      <c r="J562">
        <v>0.71962789823610174</v>
      </c>
      <c r="K562">
        <v>0</v>
      </c>
      <c r="L562">
        <v>0</v>
      </c>
      <c r="M562">
        <v>0.5298836140930282</v>
      </c>
      <c r="N562">
        <v>0</v>
      </c>
      <c r="O562">
        <v>0</v>
      </c>
      <c r="P562">
        <v>0.66424147415469703</v>
      </c>
      <c r="Q562">
        <v>1.5018237010819251</v>
      </c>
      <c r="R562">
        <v>5.5400661019076152</v>
      </c>
      <c r="S562">
        <v>0.206387571892931</v>
      </c>
      <c r="T562">
        <v>0.15901964216147721</v>
      </c>
      <c r="U562">
        <v>4.2695129435531793</v>
      </c>
      <c r="V562">
        <v>0.1933002831720991</v>
      </c>
      <c r="W562">
        <v>11.95212183261183</v>
      </c>
      <c r="X562">
        <v>0.35619551742788108</v>
      </c>
      <c r="Z562" t="s">
        <v>392</v>
      </c>
      <c r="AA562">
        <v>161</v>
      </c>
      <c r="AB562" t="s">
        <v>5009</v>
      </c>
      <c r="AC562" t="str">
        <f>HYPERLINK("plots/3FT6Y578R04_015_S31P_20251219032831_M5358ACSA301811_RBGEUFRF04/dpll_52084/txpa_54256.png","plot")</f>
        <v>plot</v>
      </c>
    </row>
    <row r="563" spans="1:29" x14ac:dyDescent="0.35">
      <c r="A563" t="s">
        <v>50</v>
      </c>
      <c r="B563">
        <v>52084</v>
      </c>
      <c r="C563" t="s">
        <v>52</v>
      </c>
      <c r="D563">
        <v>54257</v>
      </c>
      <c r="E563" t="s">
        <v>277</v>
      </c>
      <c r="F563">
        <v>11782</v>
      </c>
      <c r="G563">
        <v>0.81263700540901207</v>
      </c>
      <c r="H563">
        <v>0</v>
      </c>
      <c r="I563">
        <v>0</v>
      </c>
      <c r="J563">
        <v>0.71123378455448227</v>
      </c>
      <c r="K563">
        <v>0</v>
      </c>
      <c r="L563">
        <v>0</v>
      </c>
      <c r="M563">
        <v>0.52176324668480667</v>
      </c>
      <c r="N563">
        <v>0</v>
      </c>
      <c r="O563">
        <v>0</v>
      </c>
      <c r="P563">
        <v>0.66037890256012666</v>
      </c>
      <c r="Q563">
        <v>1.4858623109866771</v>
      </c>
      <c r="R563">
        <v>5.6145749193216528</v>
      </c>
      <c r="S563">
        <v>0.20598305448706231</v>
      </c>
      <c r="T563">
        <v>0.15883784566865719</v>
      </c>
      <c r="U563">
        <v>4.2695416864708866</v>
      </c>
      <c r="V563">
        <v>0.1933172563537221</v>
      </c>
      <c r="W563">
        <v>11.95852599643524</v>
      </c>
      <c r="X563">
        <v>0.35347002827513591</v>
      </c>
      <c r="Z563" t="s">
        <v>392</v>
      </c>
      <c r="AA563">
        <v>161</v>
      </c>
      <c r="AB563" t="s">
        <v>5010</v>
      </c>
      <c r="AC563" t="str">
        <f>HYPERLINK("plots/3FT6Y578R04_015_S31P_20251219032831_M5358ACSA301811_RBGEUFRF04/dpll_52084/txpa_54257.png","plot")</f>
        <v>plot</v>
      </c>
    </row>
    <row r="564" spans="1:29" x14ac:dyDescent="0.35">
      <c r="A564" t="s">
        <v>50</v>
      </c>
      <c r="B564">
        <v>52084</v>
      </c>
      <c r="C564" t="s">
        <v>52</v>
      </c>
      <c r="D564">
        <v>54258</v>
      </c>
      <c r="E564" t="s">
        <v>278</v>
      </c>
      <c r="F564">
        <v>11781</v>
      </c>
      <c r="G564">
        <v>0.80537634742684783</v>
      </c>
      <c r="H564">
        <v>0</v>
      </c>
      <c r="I564">
        <v>0</v>
      </c>
      <c r="J564">
        <v>0.70468385483931184</v>
      </c>
      <c r="K564">
        <v>0</v>
      </c>
      <c r="L564">
        <v>0</v>
      </c>
      <c r="M564">
        <v>0.51692598288627423</v>
      </c>
      <c r="N564">
        <v>0</v>
      </c>
      <c r="O564">
        <v>0</v>
      </c>
      <c r="P564">
        <v>0.64863106099461065</v>
      </c>
      <c r="Q564">
        <v>1.4733609170606861</v>
      </c>
      <c r="R564">
        <v>5.6464012634059682</v>
      </c>
      <c r="S564">
        <v>0.2096189740002713</v>
      </c>
      <c r="T564">
        <v>0.15984907452966399</v>
      </c>
      <c r="U564">
        <v>4.2695633024361257</v>
      </c>
      <c r="V564">
        <v>0.19331122175495491</v>
      </c>
      <c r="W564">
        <v>11.937008966131909</v>
      </c>
      <c r="X564">
        <v>0.35364485171806193</v>
      </c>
      <c r="Z564" t="s">
        <v>392</v>
      </c>
      <c r="AA564">
        <v>161</v>
      </c>
      <c r="AB564" t="s">
        <v>5011</v>
      </c>
      <c r="AC564" t="str">
        <f>HYPERLINK("plots/3FT6Y578R04_015_S31P_20251219032831_M5358ACSA301811_RBGEUFRF04/dpll_52084/txpa_54258.png","plot")</f>
        <v>plot</v>
      </c>
    </row>
    <row r="565" spans="1:29" x14ac:dyDescent="0.35">
      <c r="A565" t="s">
        <v>50</v>
      </c>
      <c r="B565">
        <v>52084</v>
      </c>
      <c r="C565" t="s">
        <v>52</v>
      </c>
      <c r="D565">
        <v>55146</v>
      </c>
      <c r="E565" t="s">
        <v>279</v>
      </c>
      <c r="F565">
        <v>11782</v>
      </c>
      <c r="G565">
        <v>-1.0914001926545481E-2</v>
      </c>
      <c r="H565">
        <v>0.23618787286930129</v>
      </c>
      <c r="I565">
        <v>0.23688872709146541</v>
      </c>
      <c r="J565">
        <v>-1.077953112392164E-2</v>
      </c>
      <c r="K565">
        <v>0.24201175152989499</v>
      </c>
      <c r="L565">
        <v>0.24249003562382759</v>
      </c>
      <c r="M565">
        <v>-7.158457798201092E-3</v>
      </c>
      <c r="N565">
        <v>0.2438859844218341</v>
      </c>
      <c r="O565">
        <v>0.24436797253333969</v>
      </c>
      <c r="P565">
        <v>1.191154380526385E-4</v>
      </c>
      <c r="Q565">
        <v>-0.25668564352883322</v>
      </c>
      <c r="R565">
        <v>-10.242932759182651</v>
      </c>
      <c r="S565">
        <v>4.5461512184560249</v>
      </c>
      <c r="T565">
        <v>3.4905835022038079</v>
      </c>
      <c r="U565">
        <v>4.2695416864708866</v>
      </c>
      <c r="V565">
        <v>0.1933172563537221</v>
      </c>
      <c r="W565">
        <v>-11.33886281454761</v>
      </c>
      <c r="X565">
        <v>4.5466149526409234</v>
      </c>
      <c r="Z565" t="s">
        <v>392</v>
      </c>
      <c r="AA565">
        <v>161</v>
      </c>
      <c r="AB565" t="s">
        <v>5012</v>
      </c>
      <c r="AC565" t="str">
        <f>HYPERLINK("plots/3FT6Y578R04_015_S31P_20251219032831_M5358ACSA301811_RBGEUFRF04/dpll_52084/txpa_55146.png","plot")</f>
        <v>plot</v>
      </c>
    </row>
    <row r="566" spans="1:29" x14ac:dyDescent="0.35">
      <c r="A566" t="s">
        <v>50</v>
      </c>
      <c r="B566">
        <v>52084</v>
      </c>
      <c r="C566" t="s">
        <v>52</v>
      </c>
      <c r="D566">
        <v>55147</v>
      </c>
      <c r="E566" t="s">
        <v>280</v>
      </c>
      <c r="F566">
        <v>11782</v>
      </c>
      <c r="G566">
        <v>0.24693549438515219</v>
      </c>
      <c r="H566">
        <v>3.4341990352504939E-163</v>
      </c>
      <c r="I566">
        <v>3.4615087691292259E-163</v>
      </c>
      <c r="J566">
        <v>0.22394353333359091</v>
      </c>
      <c r="K566">
        <v>7.9750256060318431E-134</v>
      </c>
      <c r="L566">
        <v>8.030462725438222E-134</v>
      </c>
      <c r="M566">
        <v>0.15111959222979979</v>
      </c>
      <c r="N566">
        <v>1.879552776630601E-132</v>
      </c>
      <c r="O566">
        <v>1.892618188186126E-132</v>
      </c>
      <c r="P566">
        <v>6.0977138387239532E-2</v>
      </c>
      <c r="Q566">
        <v>1.474982263862171</v>
      </c>
      <c r="R566">
        <v>-28.473825444507</v>
      </c>
      <c r="S566">
        <v>1.1189058717293821</v>
      </c>
      <c r="T566">
        <v>0.90941907211895501</v>
      </c>
      <c r="U566">
        <v>4.2695416864708866</v>
      </c>
      <c r="V566">
        <v>0.1933172563537221</v>
      </c>
      <c r="W566">
        <v>-22.176327182142249</v>
      </c>
      <c r="X566">
        <v>1.154712590550051</v>
      </c>
      <c r="Z566" t="s">
        <v>392</v>
      </c>
      <c r="AA566">
        <v>161</v>
      </c>
      <c r="AB566" t="s">
        <v>5013</v>
      </c>
      <c r="AC566" t="str">
        <f>HYPERLINK("plots/3FT6Y578R04_015_S31P_20251219032831_M5358ACSA301811_RBGEUFRF04/dpll_52084/txpa_55147.png","plot")</f>
        <v>plot</v>
      </c>
    </row>
    <row r="567" spans="1:29" x14ac:dyDescent="0.35">
      <c r="A567" t="s">
        <v>50</v>
      </c>
      <c r="B567">
        <v>52084</v>
      </c>
      <c r="C567" t="s">
        <v>52</v>
      </c>
      <c r="D567">
        <v>55148</v>
      </c>
      <c r="E567" t="s">
        <v>281</v>
      </c>
      <c r="F567">
        <v>11782</v>
      </c>
      <c r="G567">
        <v>0.28100774302627418</v>
      </c>
      <c r="H567">
        <v>1.006152427057223E-212</v>
      </c>
      <c r="I567">
        <v>1.0463985241395121E-212</v>
      </c>
      <c r="J567">
        <v>0.25671819298833171</v>
      </c>
      <c r="K567">
        <v>1.1528076058990731E-176</v>
      </c>
      <c r="L567">
        <v>1.2026202802280461E-176</v>
      </c>
      <c r="M567">
        <v>0.1735107966366346</v>
      </c>
      <c r="N567">
        <v>2.8011598278686761E-174</v>
      </c>
      <c r="O567">
        <v>2.9221975982086798E-174</v>
      </c>
      <c r="P567">
        <v>7.8965351640720549E-2</v>
      </c>
      <c r="Q567">
        <v>1.6727703250131001</v>
      </c>
      <c r="R567">
        <v>-29.21511331862926</v>
      </c>
      <c r="S567">
        <v>1.1043537350644379</v>
      </c>
      <c r="T567">
        <v>0.89306330084997099</v>
      </c>
      <c r="U567">
        <v>4.2695416864708866</v>
      </c>
      <c r="V567">
        <v>0.1933172563537221</v>
      </c>
      <c r="W567">
        <v>-22.073150684094379</v>
      </c>
      <c r="X567">
        <v>1.150770317781673</v>
      </c>
      <c r="Z567" t="s">
        <v>392</v>
      </c>
      <c r="AA567">
        <v>161</v>
      </c>
      <c r="AB567" t="s">
        <v>5014</v>
      </c>
      <c r="AC567" t="str">
        <f>HYPERLINK("plots/3FT6Y578R04_015_S31P_20251219032831_M5358ACSA301811_RBGEUFRF04/dpll_52084/txpa_55148.png","plot")</f>
        <v>plot</v>
      </c>
    </row>
    <row r="568" spans="1:29" x14ac:dyDescent="0.35">
      <c r="A568" t="s">
        <v>50</v>
      </c>
      <c r="B568">
        <v>52084</v>
      </c>
      <c r="C568" t="s">
        <v>52</v>
      </c>
      <c r="D568">
        <v>55149</v>
      </c>
      <c r="E568" t="s">
        <v>282</v>
      </c>
      <c r="F568">
        <v>11782</v>
      </c>
      <c r="G568">
        <v>0.25605853295767461</v>
      </c>
      <c r="H568">
        <v>9.7502190198231638E-176</v>
      </c>
      <c r="I568">
        <v>9.8768452408598267E-176</v>
      </c>
      <c r="J568">
        <v>0.23119578157714091</v>
      </c>
      <c r="K568">
        <v>9.6221086743943206E-143</v>
      </c>
      <c r="L568">
        <v>9.7470711247111288E-143</v>
      </c>
      <c r="M568">
        <v>0.1557270096132036</v>
      </c>
      <c r="N568">
        <v>6.5639512914122739E-141</v>
      </c>
      <c r="O568">
        <v>6.6293292923227551E-141</v>
      </c>
      <c r="P568">
        <v>6.5565972300436509E-2</v>
      </c>
      <c r="Q568">
        <v>1.525722921794302</v>
      </c>
      <c r="R568">
        <v>-28.556586055749388</v>
      </c>
      <c r="S568">
        <v>1.113430034448702</v>
      </c>
      <c r="T568">
        <v>0.89821456121871468</v>
      </c>
      <c r="U568">
        <v>4.2695416864708866</v>
      </c>
      <c r="V568">
        <v>0.1933172563537221</v>
      </c>
      <c r="W568">
        <v>-22.042448439144462</v>
      </c>
      <c r="X568">
        <v>1.151879477674008</v>
      </c>
      <c r="Z568" t="s">
        <v>392</v>
      </c>
      <c r="AA568">
        <v>161</v>
      </c>
      <c r="AB568" t="s">
        <v>5015</v>
      </c>
      <c r="AC568" t="str">
        <f>HYPERLINK("plots/3FT6Y578R04_015_S31P_20251219032831_M5358ACSA301811_RBGEUFRF04/dpll_52084/txpa_55149.png","plot")</f>
        <v>plot</v>
      </c>
    </row>
    <row r="569" spans="1:29" x14ac:dyDescent="0.35">
      <c r="A569" t="s">
        <v>50</v>
      </c>
      <c r="B569">
        <v>52084</v>
      </c>
      <c r="C569" t="s">
        <v>52</v>
      </c>
      <c r="D569">
        <v>55150</v>
      </c>
      <c r="E569" t="s">
        <v>283</v>
      </c>
      <c r="F569">
        <v>11782</v>
      </c>
      <c r="G569">
        <v>0.27585383836189847</v>
      </c>
      <c r="H569">
        <v>9.3151688845866177E-205</v>
      </c>
      <c r="I569">
        <v>9.6481933084482423E-205</v>
      </c>
      <c r="J569">
        <v>0.25046410874505731</v>
      </c>
      <c r="K569">
        <v>5.5468795225659819E-168</v>
      </c>
      <c r="L569">
        <v>5.7159917031320178E-168</v>
      </c>
      <c r="M569">
        <v>0.16953250450714691</v>
      </c>
      <c r="N569">
        <v>1.075688878954116E-166</v>
      </c>
      <c r="O569">
        <v>1.108484271605156E-166</v>
      </c>
      <c r="P569">
        <v>7.609534013899244E-2</v>
      </c>
      <c r="Q569">
        <v>1.643924136096679</v>
      </c>
      <c r="R569">
        <v>-28.99893348570027</v>
      </c>
      <c r="S569">
        <v>1.10730818687261</v>
      </c>
      <c r="T569">
        <v>0.88854672395032908</v>
      </c>
      <c r="U569">
        <v>4.2695416864708866</v>
      </c>
      <c r="V569">
        <v>0.1933172563537221</v>
      </c>
      <c r="W569">
        <v>-21.98013085723986</v>
      </c>
      <c r="X569">
        <v>1.1520553983626129</v>
      </c>
      <c r="Z569" t="s">
        <v>392</v>
      </c>
      <c r="AA569">
        <v>161</v>
      </c>
      <c r="AB569" t="s">
        <v>5016</v>
      </c>
      <c r="AC569" t="str">
        <f>HYPERLINK("plots/3FT6Y578R04_015_S31P_20251219032831_M5358ACSA301811_RBGEUFRF04/dpll_52084/txpa_55150.png","plot")</f>
        <v>plot</v>
      </c>
    </row>
    <row r="570" spans="1:29" x14ac:dyDescent="0.35">
      <c r="A570" t="s">
        <v>50</v>
      </c>
      <c r="B570">
        <v>52084</v>
      </c>
      <c r="C570" t="s">
        <v>52</v>
      </c>
      <c r="D570">
        <v>55151</v>
      </c>
      <c r="E570" t="s">
        <v>284</v>
      </c>
      <c r="F570">
        <v>11782</v>
      </c>
      <c r="G570">
        <v>0.26570453547711409</v>
      </c>
      <c r="H570">
        <v>1.4395201396797309E-189</v>
      </c>
      <c r="I570">
        <v>1.46553556389081E-189</v>
      </c>
      <c r="J570">
        <v>0.23867997755393441</v>
      </c>
      <c r="K570">
        <v>2.8070447683174662E-152</v>
      </c>
      <c r="L570">
        <v>2.8577744930460951E-152</v>
      </c>
      <c r="M570">
        <v>0.16081877059223901</v>
      </c>
      <c r="N570">
        <v>4.6885679388279451E-150</v>
      </c>
      <c r="O570">
        <v>4.7733010943489321E-150</v>
      </c>
      <c r="P570">
        <v>7.0598900173109005E-2</v>
      </c>
      <c r="Q570">
        <v>1.599840177579936</v>
      </c>
      <c r="R570">
        <v>-28.87259547907918</v>
      </c>
      <c r="S570">
        <v>1.12209961707658</v>
      </c>
      <c r="T570">
        <v>0.90335983309571743</v>
      </c>
      <c r="U570">
        <v>4.2695416864708866</v>
      </c>
      <c r="V570">
        <v>0.1933172563537221</v>
      </c>
      <c r="W570">
        <v>-22.042011149210659</v>
      </c>
      <c r="X570">
        <v>1.163987333444835</v>
      </c>
      <c r="Z570" t="s">
        <v>392</v>
      </c>
      <c r="AA570">
        <v>161</v>
      </c>
      <c r="AB570" t="s">
        <v>5017</v>
      </c>
      <c r="AC570" t="str">
        <f>HYPERLINK("plots/3FT6Y578R04_015_S31P_20251219032831_M5358ACSA301811_RBGEUFRF04/dpll_52084/txpa_55151.png","plot")</f>
        <v>plot</v>
      </c>
    </row>
    <row r="571" spans="1:29" x14ac:dyDescent="0.35">
      <c r="A571" t="s">
        <v>50</v>
      </c>
      <c r="B571">
        <v>52084</v>
      </c>
      <c r="C571" t="s">
        <v>52</v>
      </c>
      <c r="D571">
        <v>55152</v>
      </c>
      <c r="E571" t="s">
        <v>285</v>
      </c>
      <c r="F571">
        <v>11782</v>
      </c>
      <c r="G571">
        <v>0.26904056330807719</v>
      </c>
      <c r="H571">
        <v>1.7305761259217591E-194</v>
      </c>
      <c r="I571">
        <v>1.7725294865501649E-194</v>
      </c>
      <c r="J571">
        <v>0.24432571914121001</v>
      </c>
      <c r="K571">
        <v>1.072916237401E-159</v>
      </c>
      <c r="L571">
        <v>1.102266529609538E-159</v>
      </c>
      <c r="M571">
        <v>0.16531490392447101</v>
      </c>
      <c r="N571">
        <v>1.640550480478541E-158</v>
      </c>
      <c r="O571">
        <v>1.6854287610995351E-158</v>
      </c>
      <c r="P571">
        <v>7.2382824705127524E-2</v>
      </c>
      <c r="Q571">
        <v>1.609462635578639</v>
      </c>
      <c r="R571">
        <v>-28.92988459864895</v>
      </c>
      <c r="S571">
        <v>1.1137807753420981</v>
      </c>
      <c r="T571">
        <v>0.90293742067768368</v>
      </c>
      <c r="U571">
        <v>4.2695416864708866</v>
      </c>
      <c r="V571">
        <v>0.1933172563537221</v>
      </c>
      <c r="W571">
        <v>-22.058216783228652</v>
      </c>
      <c r="X571">
        <v>1.1564683670306291</v>
      </c>
      <c r="Z571" t="s">
        <v>392</v>
      </c>
      <c r="AA571">
        <v>161</v>
      </c>
      <c r="AB571" t="s">
        <v>5018</v>
      </c>
      <c r="AC571" t="str">
        <f>HYPERLINK("plots/3FT6Y578R04_015_S31P_20251219032831_M5358ACSA301811_RBGEUFRF04/dpll_52084/txpa_55152.png","plot")</f>
        <v>plot</v>
      </c>
    </row>
    <row r="572" spans="1:29" x14ac:dyDescent="0.35">
      <c r="A572" t="s">
        <v>50</v>
      </c>
      <c r="B572">
        <v>52084</v>
      </c>
      <c r="C572" t="s">
        <v>52</v>
      </c>
      <c r="D572">
        <v>55153</v>
      </c>
      <c r="E572" t="s">
        <v>286</v>
      </c>
      <c r="F572">
        <v>11782</v>
      </c>
      <c r="G572">
        <v>0.26620846241930879</v>
      </c>
      <c r="H572">
        <v>2.6275334328533329E-190</v>
      </c>
      <c r="I572">
        <v>2.6831006051493251E-190</v>
      </c>
      <c r="J572">
        <v>0.24089638479655981</v>
      </c>
      <c r="K572">
        <v>3.6256191917448429E-155</v>
      </c>
      <c r="L572">
        <v>3.702293917854251E-155</v>
      </c>
      <c r="M572">
        <v>0.1626724277074503</v>
      </c>
      <c r="N572">
        <v>1.9343164492201251E-153</v>
      </c>
      <c r="O572">
        <v>1.9752234436145081E-153</v>
      </c>
      <c r="P572">
        <v>7.0866945463652575E-2</v>
      </c>
      <c r="Q572">
        <v>1.5791541555795989</v>
      </c>
      <c r="R572">
        <v>-28.820697949335329</v>
      </c>
      <c r="S572">
        <v>1.1053347338452251</v>
      </c>
      <c r="T572">
        <v>0.89015524018255376</v>
      </c>
      <c r="U572">
        <v>4.2695416864708866</v>
      </c>
      <c r="V572">
        <v>0.1933172563537221</v>
      </c>
      <c r="W572">
        <v>-22.0784334527245</v>
      </c>
      <c r="X572">
        <v>1.1467619997570899</v>
      </c>
      <c r="Z572" t="s">
        <v>392</v>
      </c>
      <c r="AA572">
        <v>161</v>
      </c>
      <c r="AB572" t="s">
        <v>5019</v>
      </c>
      <c r="AC572" t="str">
        <f>HYPERLINK("plots/3FT6Y578R04_015_S31P_20251219032831_M5358ACSA301811_RBGEUFRF04/dpll_52084/txpa_55153.png","plot")</f>
        <v>plot</v>
      </c>
    </row>
    <row r="573" spans="1:29" x14ac:dyDescent="0.35">
      <c r="A573" t="s">
        <v>50</v>
      </c>
      <c r="B573">
        <v>52084</v>
      </c>
      <c r="C573" t="s">
        <v>52</v>
      </c>
      <c r="D573">
        <v>55154</v>
      </c>
      <c r="E573" t="s">
        <v>287</v>
      </c>
      <c r="F573">
        <v>11782</v>
      </c>
      <c r="G573">
        <v>0.25159585634349102</v>
      </c>
      <c r="H573">
        <v>1.5519515286274499E-169</v>
      </c>
      <c r="I573">
        <v>1.5674092131755321E-169</v>
      </c>
      <c r="J573">
        <v>0.2311531192225123</v>
      </c>
      <c r="K573">
        <v>1.0880654453674341E-142</v>
      </c>
      <c r="L573">
        <v>1.1010961692640501E-142</v>
      </c>
      <c r="M573">
        <v>0.15638055041287571</v>
      </c>
      <c r="N573">
        <v>1.505221689861887E-141</v>
      </c>
      <c r="O573">
        <v>1.526294793519954E-141</v>
      </c>
      <c r="P573">
        <v>6.3300474929214548E-2</v>
      </c>
      <c r="Q573">
        <v>1.5157009427779271</v>
      </c>
      <c r="R573">
        <v>-28.671452870532239</v>
      </c>
      <c r="S573">
        <v>1.1270998140739139</v>
      </c>
      <c r="T573">
        <v>0.91271632007228398</v>
      </c>
      <c r="U573">
        <v>4.2695416864708866</v>
      </c>
      <c r="V573">
        <v>0.1933172563537221</v>
      </c>
      <c r="W573">
        <v>-22.20010451111866</v>
      </c>
      <c r="X573">
        <v>1.1646103873449549</v>
      </c>
      <c r="Z573" t="s">
        <v>392</v>
      </c>
      <c r="AA573">
        <v>161</v>
      </c>
      <c r="AB573" t="s">
        <v>5020</v>
      </c>
      <c r="AC573" t="str">
        <f>HYPERLINK("plots/3FT6Y578R04_015_S31P_20251219032831_M5358ACSA301811_RBGEUFRF04/dpll_52084/txpa_55154.png","plot")</f>
        <v>plot</v>
      </c>
    </row>
    <row r="574" spans="1:29" x14ac:dyDescent="0.35">
      <c r="A574" t="s">
        <v>50</v>
      </c>
      <c r="B574">
        <v>52084</v>
      </c>
      <c r="C574" t="s">
        <v>52</v>
      </c>
      <c r="D574">
        <v>55155</v>
      </c>
      <c r="E574" t="s">
        <v>288</v>
      </c>
      <c r="F574">
        <v>11782</v>
      </c>
      <c r="G574">
        <v>0.58987187272245822</v>
      </c>
      <c r="H574">
        <v>0</v>
      </c>
      <c r="I574">
        <v>0</v>
      </c>
      <c r="J574">
        <v>0.51815822976532089</v>
      </c>
      <c r="K574">
        <v>0</v>
      </c>
      <c r="L574">
        <v>0</v>
      </c>
      <c r="M574">
        <v>0.36258615195221727</v>
      </c>
      <c r="N574">
        <v>0</v>
      </c>
      <c r="O574">
        <v>0</v>
      </c>
      <c r="P574">
        <v>0.34794882622910001</v>
      </c>
      <c r="Q574">
        <v>0.93922901122235547</v>
      </c>
      <c r="R574">
        <v>-15.44100886283065</v>
      </c>
      <c r="S574">
        <v>0.2485460370847464</v>
      </c>
      <c r="T574">
        <v>0.19222626749283389</v>
      </c>
      <c r="U574">
        <v>4.2695416864708866</v>
      </c>
      <c r="V574">
        <v>0.1933172563537221</v>
      </c>
      <c r="W574">
        <v>-11.430931446273981</v>
      </c>
      <c r="X574">
        <v>0.30781121110135651</v>
      </c>
      <c r="Z574" t="s">
        <v>392</v>
      </c>
      <c r="AA574">
        <v>161</v>
      </c>
      <c r="AB574" t="s">
        <v>5021</v>
      </c>
      <c r="AC574" t="str">
        <f>HYPERLINK("plots/3FT6Y578R04_015_S31P_20251219032831_M5358ACSA301811_RBGEUFRF04/dpll_52084/txpa_55155.png","plot")</f>
        <v>plot</v>
      </c>
    </row>
    <row r="575" spans="1:29" x14ac:dyDescent="0.35">
      <c r="A575" t="s">
        <v>50</v>
      </c>
      <c r="B575">
        <v>52084</v>
      </c>
      <c r="C575" t="s">
        <v>52</v>
      </c>
      <c r="D575">
        <v>55156</v>
      </c>
      <c r="E575" t="s">
        <v>289</v>
      </c>
      <c r="F575">
        <v>11782</v>
      </c>
      <c r="G575">
        <v>0.61503470281932815</v>
      </c>
      <c r="H575">
        <v>0</v>
      </c>
      <c r="I575">
        <v>0</v>
      </c>
      <c r="J575">
        <v>0.53841395620754651</v>
      </c>
      <c r="K575">
        <v>0</v>
      </c>
      <c r="L575">
        <v>0</v>
      </c>
      <c r="M575">
        <v>0.37909689518043749</v>
      </c>
      <c r="N575">
        <v>0</v>
      </c>
      <c r="O575">
        <v>0</v>
      </c>
      <c r="P575">
        <v>0.37826768567205932</v>
      </c>
      <c r="Q575">
        <v>0.98786819301292794</v>
      </c>
      <c r="R575">
        <v>-15.58723503681653</v>
      </c>
      <c r="S575">
        <v>0.24482360747761489</v>
      </c>
      <c r="T575">
        <v>0.1907746166547164</v>
      </c>
      <c r="U575">
        <v>4.2695416864708866</v>
      </c>
      <c r="V575">
        <v>0.1933172563537221</v>
      </c>
      <c r="W575">
        <v>-11.369490606009171</v>
      </c>
      <c r="X575">
        <v>0.31050600533100031</v>
      </c>
      <c r="Z575" t="s">
        <v>392</v>
      </c>
      <c r="AA575">
        <v>161</v>
      </c>
      <c r="AB575" t="s">
        <v>5022</v>
      </c>
      <c r="AC575" t="str">
        <f>HYPERLINK("plots/3FT6Y578R04_015_S31P_20251219032831_M5358ACSA301811_RBGEUFRF04/dpll_52084/txpa_55156.png","plot")</f>
        <v>plot</v>
      </c>
    </row>
    <row r="576" spans="1:29" x14ac:dyDescent="0.35">
      <c r="A576" t="s">
        <v>50</v>
      </c>
      <c r="B576">
        <v>52084</v>
      </c>
      <c r="C576" t="s">
        <v>52</v>
      </c>
      <c r="D576">
        <v>55157</v>
      </c>
      <c r="E576" t="s">
        <v>290</v>
      </c>
      <c r="F576">
        <v>11782</v>
      </c>
      <c r="G576">
        <v>0.61498607879436573</v>
      </c>
      <c r="H576">
        <v>0</v>
      </c>
      <c r="I576">
        <v>0</v>
      </c>
      <c r="J576">
        <v>0.53386103562534371</v>
      </c>
      <c r="K576">
        <v>0</v>
      </c>
      <c r="L576">
        <v>0</v>
      </c>
      <c r="M576">
        <v>0.37603708556071758</v>
      </c>
      <c r="N576">
        <v>0</v>
      </c>
      <c r="O576">
        <v>0</v>
      </c>
      <c r="P576">
        <v>0.37820787711086978</v>
      </c>
      <c r="Q576">
        <v>0.96694413145573377</v>
      </c>
      <c r="R576">
        <v>-15.473597513012789</v>
      </c>
      <c r="S576">
        <v>0.23966846621823881</v>
      </c>
      <c r="T576">
        <v>0.1872787962776078</v>
      </c>
      <c r="U576">
        <v>4.2695416864708866</v>
      </c>
      <c r="V576">
        <v>0.1933172563537221</v>
      </c>
      <c r="W576">
        <v>-11.34518923527415</v>
      </c>
      <c r="X576">
        <v>0.3039531998948849</v>
      </c>
      <c r="Z576" t="s">
        <v>392</v>
      </c>
      <c r="AA576">
        <v>161</v>
      </c>
      <c r="AB576" t="s">
        <v>5023</v>
      </c>
      <c r="AC576" t="str">
        <f>HYPERLINK("plots/3FT6Y578R04_015_S31P_20251219032831_M5358ACSA301811_RBGEUFRF04/dpll_52084/txpa_55157.png","plot")</f>
        <v>plot</v>
      </c>
    </row>
    <row r="577" spans="1:29" x14ac:dyDescent="0.35">
      <c r="A577" t="s">
        <v>50</v>
      </c>
      <c r="B577">
        <v>52084</v>
      </c>
      <c r="C577" t="s">
        <v>52</v>
      </c>
      <c r="D577">
        <v>55158</v>
      </c>
      <c r="E577" t="s">
        <v>291</v>
      </c>
      <c r="F577">
        <v>11781</v>
      </c>
      <c r="G577">
        <v>0.62551447820025741</v>
      </c>
      <c r="H577">
        <v>0</v>
      </c>
      <c r="I577">
        <v>0</v>
      </c>
      <c r="J577">
        <v>0.54181283718559192</v>
      </c>
      <c r="K577">
        <v>0</v>
      </c>
      <c r="L577">
        <v>0</v>
      </c>
      <c r="M577">
        <v>0.3818060443227092</v>
      </c>
      <c r="N577">
        <v>0</v>
      </c>
      <c r="O577">
        <v>0</v>
      </c>
      <c r="P577">
        <v>0.39126836243814028</v>
      </c>
      <c r="Q577">
        <v>1.0028506881936221</v>
      </c>
      <c r="R577">
        <v>-15.594407692706341</v>
      </c>
      <c r="S577">
        <v>0.24181254833641369</v>
      </c>
      <c r="T577">
        <v>0.18875400869271161</v>
      </c>
      <c r="U577">
        <v>4.2695489746201511</v>
      </c>
      <c r="V577">
        <v>0.19332384277072681</v>
      </c>
      <c r="W577">
        <v>-11.312687565232149</v>
      </c>
      <c r="X577">
        <v>0.30994478229293693</v>
      </c>
      <c r="Z577" t="s">
        <v>392</v>
      </c>
      <c r="AA577">
        <v>161</v>
      </c>
      <c r="AB577" t="s">
        <v>5024</v>
      </c>
      <c r="AC577" t="str">
        <f>HYPERLINK("plots/3FT6Y578R04_015_S31P_20251219032831_M5358ACSA301811_RBGEUFRF04/dpll_52084/txpa_55158.png","plot")</f>
        <v>plot</v>
      </c>
    </row>
    <row r="578" spans="1:29" x14ac:dyDescent="0.35">
      <c r="A578" t="s">
        <v>50</v>
      </c>
      <c r="B578">
        <v>52084</v>
      </c>
      <c r="C578" t="s">
        <v>52</v>
      </c>
      <c r="D578">
        <v>55159</v>
      </c>
      <c r="E578" t="s">
        <v>292</v>
      </c>
      <c r="F578">
        <v>11781</v>
      </c>
      <c r="G578">
        <v>0.63094110915766677</v>
      </c>
      <c r="H578">
        <v>0</v>
      </c>
      <c r="I578">
        <v>0</v>
      </c>
      <c r="J578">
        <v>0.54397260752119547</v>
      </c>
      <c r="K578">
        <v>0</v>
      </c>
      <c r="L578">
        <v>0</v>
      </c>
      <c r="M578">
        <v>0.38310863824297231</v>
      </c>
      <c r="N578">
        <v>0</v>
      </c>
      <c r="O578">
        <v>0</v>
      </c>
      <c r="P578">
        <v>0.39808668322510682</v>
      </c>
      <c r="Q578">
        <v>1.01042059506138</v>
      </c>
      <c r="R578">
        <v>-15.645807098612041</v>
      </c>
      <c r="S578">
        <v>0.24016548160762649</v>
      </c>
      <c r="T578">
        <v>0.18876180098299519</v>
      </c>
      <c r="U578">
        <v>4.2695174021729896</v>
      </c>
      <c r="V578">
        <v>0.19330748901132719</v>
      </c>
      <c r="W578">
        <v>-11.331798784483491</v>
      </c>
      <c r="X578">
        <v>0.3095722647354669</v>
      </c>
      <c r="Z578" t="s">
        <v>392</v>
      </c>
      <c r="AA578">
        <v>161</v>
      </c>
      <c r="AB578" t="s">
        <v>5025</v>
      </c>
      <c r="AC578" t="str">
        <f>HYPERLINK("plots/3FT6Y578R04_015_S31P_20251219032831_M5358ACSA301811_RBGEUFRF04/dpll_52084/txpa_55159.png","plot")</f>
        <v>plot</v>
      </c>
    </row>
    <row r="579" spans="1:29" x14ac:dyDescent="0.35">
      <c r="A579" t="s">
        <v>50</v>
      </c>
      <c r="B579">
        <v>52084</v>
      </c>
      <c r="C579" t="s">
        <v>52</v>
      </c>
      <c r="D579">
        <v>55160</v>
      </c>
      <c r="E579" t="s">
        <v>293</v>
      </c>
      <c r="F579">
        <v>11782</v>
      </c>
      <c r="G579">
        <v>0.63043981884492895</v>
      </c>
      <c r="H579">
        <v>0</v>
      </c>
      <c r="I579">
        <v>0</v>
      </c>
      <c r="J579">
        <v>0.54582615851797311</v>
      </c>
      <c r="K579">
        <v>0</v>
      </c>
      <c r="L579">
        <v>0</v>
      </c>
      <c r="M579">
        <v>0.38600141843119701</v>
      </c>
      <c r="N579">
        <v>0</v>
      </c>
      <c r="O579">
        <v>0</v>
      </c>
      <c r="P579">
        <v>0.39745436518522681</v>
      </c>
      <c r="Q579">
        <v>0.99758226051182086</v>
      </c>
      <c r="R579">
        <v>-15.604162863778329</v>
      </c>
      <c r="S579">
        <v>0.23743910468231691</v>
      </c>
      <c r="T579">
        <v>0.1858638167872019</v>
      </c>
      <c r="U579">
        <v>4.2695416864708866</v>
      </c>
      <c r="V579">
        <v>0.1933172563537221</v>
      </c>
      <c r="W579">
        <v>-11.344943816839249</v>
      </c>
      <c r="X579">
        <v>0.30589734313200978</v>
      </c>
      <c r="Z579" t="s">
        <v>392</v>
      </c>
      <c r="AA579">
        <v>161</v>
      </c>
      <c r="AB579" t="s">
        <v>5026</v>
      </c>
      <c r="AC579" t="str">
        <f>HYPERLINK("plots/3FT6Y578R04_015_S31P_20251219032831_M5358ACSA301811_RBGEUFRF04/dpll_52084/txpa_55160.png","plot")</f>
        <v>plot</v>
      </c>
    </row>
    <row r="580" spans="1:29" x14ac:dyDescent="0.35">
      <c r="A580" t="s">
        <v>50</v>
      </c>
      <c r="B580">
        <v>52084</v>
      </c>
      <c r="C580" t="s">
        <v>52</v>
      </c>
      <c r="D580">
        <v>55161</v>
      </c>
      <c r="E580" t="s">
        <v>294</v>
      </c>
      <c r="F580">
        <v>11781</v>
      </c>
      <c r="G580">
        <v>0.62454503461625555</v>
      </c>
      <c r="H580">
        <v>0</v>
      </c>
      <c r="I580">
        <v>0</v>
      </c>
      <c r="J580">
        <v>0.53946401442229086</v>
      </c>
      <c r="K580">
        <v>0</v>
      </c>
      <c r="L580">
        <v>0</v>
      </c>
      <c r="M580">
        <v>0.38002218395609622</v>
      </c>
      <c r="N580">
        <v>0</v>
      </c>
      <c r="O580">
        <v>0</v>
      </c>
      <c r="P580">
        <v>0.39005650026381983</v>
      </c>
      <c r="Q580">
        <v>0.98843256205835794</v>
      </c>
      <c r="R580">
        <v>-15.560941552966449</v>
      </c>
      <c r="S580">
        <v>0.23890411271440529</v>
      </c>
      <c r="T580">
        <v>0.1872123331376388</v>
      </c>
      <c r="U580">
        <v>4.2695748012053301</v>
      </c>
      <c r="V580">
        <v>0.19329204068952621</v>
      </c>
      <c r="W580">
        <v>-11.34075479331127</v>
      </c>
      <c r="X580">
        <v>0.30591252257994322</v>
      </c>
      <c r="Z580" t="s">
        <v>392</v>
      </c>
      <c r="AA580">
        <v>161</v>
      </c>
      <c r="AB580" t="s">
        <v>5027</v>
      </c>
      <c r="AC580" t="str">
        <f>HYPERLINK("plots/3FT6Y578R04_015_S31P_20251219032831_M5358ACSA301811_RBGEUFRF04/dpll_52084/txpa_55161.png","plot")</f>
        <v>plot</v>
      </c>
    </row>
    <row r="581" spans="1:29" x14ac:dyDescent="0.35">
      <c r="A581" t="s">
        <v>50</v>
      </c>
      <c r="B581">
        <v>52084</v>
      </c>
      <c r="C581" t="s">
        <v>52</v>
      </c>
      <c r="D581">
        <v>55162</v>
      </c>
      <c r="E581" t="s">
        <v>295</v>
      </c>
      <c r="F581">
        <v>11781</v>
      </c>
      <c r="G581">
        <v>0.61011843084528838</v>
      </c>
      <c r="H581">
        <v>0</v>
      </c>
      <c r="I581">
        <v>0</v>
      </c>
      <c r="J581">
        <v>0.52495489113854976</v>
      </c>
      <c r="K581">
        <v>0</v>
      </c>
      <c r="L581">
        <v>0</v>
      </c>
      <c r="M581">
        <v>0.36951188866742712</v>
      </c>
      <c r="N581">
        <v>0</v>
      </c>
      <c r="O581">
        <v>0</v>
      </c>
      <c r="P581">
        <v>0.37224449965711692</v>
      </c>
      <c r="Q581">
        <v>0.96659178661447376</v>
      </c>
      <c r="R581">
        <v>-15.53488135736186</v>
      </c>
      <c r="S581">
        <v>0.2426402540777097</v>
      </c>
      <c r="T581">
        <v>0.18967058047683549</v>
      </c>
      <c r="U581">
        <v>4.2695633024361257</v>
      </c>
      <c r="V581">
        <v>0.19331122175495491</v>
      </c>
      <c r="W581">
        <v>-11.407956536796529</v>
      </c>
      <c r="X581">
        <v>0.30625699825175418</v>
      </c>
      <c r="Z581" t="s">
        <v>392</v>
      </c>
      <c r="AA581">
        <v>161</v>
      </c>
      <c r="AB581" t="s">
        <v>5028</v>
      </c>
      <c r="AC581" t="str">
        <f>HYPERLINK("plots/3FT6Y578R04_015_S31P_20251219032831_M5358ACSA301811_RBGEUFRF04/dpll_52084/txpa_55162.png","plot")</f>
        <v>plot</v>
      </c>
    </row>
    <row r="582" spans="1:29" x14ac:dyDescent="0.35">
      <c r="A582" t="s">
        <v>50</v>
      </c>
      <c r="B582">
        <v>52084</v>
      </c>
      <c r="C582" t="s">
        <v>52</v>
      </c>
      <c r="D582">
        <v>55163</v>
      </c>
      <c r="E582" t="s">
        <v>296</v>
      </c>
      <c r="F582">
        <v>11782</v>
      </c>
      <c r="G582">
        <v>0.60339419986991771</v>
      </c>
      <c r="H582">
        <v>0</v>
      </c>
      <c r="I582">
        <v>0</v>
      </c>
      <c r="J582">
        <v>0.53276132106955532</v>
      </c>
      <c r="K582">
        <v>0</v>
      </c>
      <c r="L582">
        <v>0</v>
      </c>
      <c r="M582">
        <v>0.37373135748904418</v>
      </c>
      <c r="N582">
        <v>0</v>
      </c>
      <c r="O582">
        <v>0</v>
      </c>
      <c r="P582">
        <v>0.36408456043665821</v>
      </c>
      <c r="Q582">
        <v>0.84528371119402801</v>
      </c>
      <c r="R582">
        <v>-9.0850564376958083</v>
      </c>
      <c r="S582">
        <v>0.2159500183253231</v>
      </c>
      <c r="T582">
        <v>0.16555867358793411</v>
      </c>
      <c r="U582">
        <v>4.2695416864708866</v>
      </c>
      <c r="V582">
        <v>0.1933172563537221</v>
      </c>
      <c r="W582">
        <v>-5.4760823958580884</v>
      </c>
      <c r="X582">
        <v>0.27081454863793802</v>
      </c>
      <c r="Z582" t="s">
        <v>392</v>
      </c>
      <c r="AA582">
        <v>161</v>
      </c>
      <c r="AB582" t="s">
        <v>5029</v>
      </c>
      <c r="AC582" t="str">
        <f>HYPERLINK("plots/3FT6Y578R04_015_S31P_20251219032831_M5358ACSA301811_RBGEUFRF04/dpll_52084/txpa_55163.png","plot")</f>
        <v>plot</v>
      </c>
    </row>
    <row r="583" spans="1:29" x14ac:dyDescent="0.35">
      <c r="A583" t="s">
        <v>50</v>
      </c>
      <c r="B583">
        <v>52084</v>
      </c>
      <c r="C583" t="s">
        <v>52</v>
      </c>
      <c r="D583">
        <v>55164</v>
      </c>
      <c r="E583" t="s">
        <v>297</v>
      </c>
      <c r="F583">
        <v>11782</v>
      </c>
      <c r="G583">
        <v>0.63071319624854316</v>
      </c>
      <c r="H583">
        <v>0</v>
      </c>
      <c r="I583">
        <v>0</v>
      </c>
      <c r="J583">
        <v>0.55216739150204575</v>
      </c>
      <c r="K583">
        <v>0</v>
      </c>
      <c r="L583">
        <v>0</v>
      </c>
      <c r="M583">
        <v>0.39045546220544991</v>
      </c>
      <c r="N583">
        <v>0</v>
      </c>
      <c r="O583">
        <v>0</v>
      </c>
      <c r="P583">
        <v>0.39779913592205329</v>
      </c>
      <c r="Q583">
        <v>0.8895702950384049</v>
      </c>
      <c r="R583">
        <v>-9.2306486656569984</v>
      </c>
      <c r="S583">
        <v>0.2115783536082449</v>
      </c>
      <c r="T583">
        <v>0.1640740887280244</v>
      </c>
      <c r="U583">
        <v>4.2695416864708866</v>
      </c>
      <c r="V583">
        <v>0.1933172563537221</v>
      </c>
      <c r="W583">
        <v>-5.4325912079443226</v>
      </c>
      <c r="X583">
        <v>0.27265845996795701</v>
      </c>
      <c r="Z583" t="s">
        <v>392</v>
      </c>
      <c r="AA583">
        <v>161</v>
      </c>
      <c r="AB583" t="s">
        <v>5030</v>
      </c>
      <c r="AC583" t="str">
        <f>HYPERLINK("plots/3FT6Y578R04_015_S31P_20251219032831_M5358ACSA301811_RBGEUFRF04/dpll_52084/txpa_55164.png","plot")</f>
        <v>plot</v>
      </c>
    </row>
    <row r="584" spans="1:29" x14ac:dyDescent="0.35">
      <c r="A584" t="s">
        <v>50</v>
      </c>
      <c r="B584">
        <v>52084</v>
      </c>
      <c r="C584" t="s">
        <v>52</v>
      </c>
      <c r="D584">
        <v>55165</v>
      </c>
      <c r="E584" t="s">
        <v>298</v>
      </c>
      <c r="F584">
        <v>11782</v>
      </c>
      <c r="G584">
        <v>0.62119403293991116</v>
      </c>
      <c r="H584">
        <v>0</v>
      </c>
      <c r="I584">
        <v>0</v>
      </c>
      <c r="J584">
        <v>0.54004254860711032</v>
      </c>
      <c r="K584">
        <v>0</v>
      </c>
      <c r="L584">
        <v>0</v>
      </c>
      <c r="M584">
        <v>0.38080757416464311</v>
      </c>
      <c r="N584">
        <v>0</v>
      </c>
      <c r="O584">
        <v>0</v>
      </c>
      <c r="P584">
        <v>0.38588202656015141</v>
      </c>
      <c r="Q584">
        <v>0.85917753270769204</v>
      </c>
      <c r="R584">
        <v>-9.0831416970841836</v>
      </c>
      <c r="S584">
        <v>0.20952397855794</v>
      </c>
      <c r="T584">
        <v>0.16285777228817869</v>
      </c>
      <c r="U584">
        <v>4.2695416864708866</v>
      </c>
      <c r="V584">
        <v>0.1933172563537221</v>
      </c>
      <c r="W584">
        <v>-5.414847405109489</v>
      </c>
      <c r="X584">
        <v>0.26737836253471847</v>
      </c>
      <c r="Z584" t="s">
        <v>392</v>
      </c>
      <c r="AA584">
        <v>161</v>
      </c>
      <c r="AB584" t="s">
        <v>5031</v>
      </c>
      <c r="AC584" t="str">
        <f>HYPERLINK("plots/3FT6Y578R04_015_S31P_20251219032831_M5358ACSA301811_RBGEUFRF04/dpll_52084/txpa_55165.png","plot")</f>
        <v>plot</v>
      </c>
    </row>
    <row r="585" spans="1:29" x14ac:dyDescent="0.35">
      <c r="A585" t="s">
        <v>50</v>
      </c>
      <c r="B585">
        <v>52084</v>
      </c>
      <c r="C585" t="s">
        <v>52</v>
      </c>
      <c r="D585">
        <v>55166</v>
      </c>
      <c r="E585" t="s">
        <v>299</v>
      </c>
      <c r="F585">
        <v>11781</v>
      </c>
      <c r="G585">
        <v>0.64071228748098852</v>
      </c>
      <c r="H585">
        <v>0</v>
      </c>
      <c r="I585">
        <v>0</v>
      </c>
      <c r="J585">
        <v>0.55451475250386895</v>
      </c>
      <c r="K585">
        <v>0</v>
      </c>
      <c r="L585">
        <v>0</v>
      </c>
      <c r="M585">
        <v>0.39228472621909372</v>
      </c>
      <c r="N585">
        <v>0</v>
      </c>
      <c r="O585">
        <v>0</v>
      </c>
      <c r="P585">
        <v>0.4105122353291209</v>
      </c>
      <c r="Q585">
        <v>0.89985512335692686</v>
      </c>
      <c r="R585">
        <v>-9.2352018748926721</v>
      </c>
      <c r="S585">
        <v>0.20845577196046189</v>
      </c>
      <c r="T585">
        <v>0.1625382084659879</v>
      </c>
      <c r="U585">
        <v>4.2695489746201511</v>
      </c>
      <c r="V585">
        <v>0.19332384277072681</v>
      </c>
      <c r="W585">
        <v>-5.3932263556574149</v>
      </c>
      <c r="X585">
        <v>0.27151570803837499</v>
      </c>
      <c r="Z585" t="s">
        <v>392</v>
      </c>
      <c r="AA585">
        <v>161</v>
      </c>
      <c r="AB585" t="s">
        <v>5032</v>
      </c>
      <c r="AC585" t="str">
        <f>HYPERLINK("plots/3FT6Y578R04_015_S31P_20251219032831_M5358ACSA301811_RBGEUFRF04/dpll_52084/txpa_55166.png","plot")</f>
        <v>plot</v>
      </c>
    </row>
    <row r="586" spans="1:29" x14ac:dyDescent="0.35">
      <c r="A586" t="s">
        <v>50</v>
      </c>
      <c r="B586">
        <v>52084</v>
      </c>
      <c r="C586" t="s">
        <v>52</v>
      </c>
      <c r="D586">
        <v>55167</v>
      </c>
      <c r="E586" t="s">
        <v>300</v>
      </c>
      <c r="F586">
        <v>11781</v>
      </c>
      <c r="G586">
        <v>0.64104980055189198</v>
      </c>
      <c r="H586">
        <v>0</v>
      </c>
      <c r="I586">
        <v>0</v>
      </c>
      <c r="J586">
        <v>0.55048563234375136</v>
      </c>
      <c r="K586">
        <v>0</v>
      </c>
      <c r="L586">
        <v>0</v>
      </c>
      <c r="M586">
        <v>0.38808173058870032</v>
      </c>
      <c r="N586">
        <v>0</v>
      </c>
      <c r="O586">
        <v>0</v>
      </c>
      <c r="P586">
        <v>0.4109448467876205</v>
      </c>
      <c r="Q586">
        <v>0.89729681166583775</v>
      </c>
      <c r="R586">
        <v>-9.2426331156693973</v>
      </c>
      <c r="S586">
        <v>0.2076598719142442</v>
      </c>
      <c r="T586">
        <v>0.1624530161345904</v>
      </c>
      <c r="U586">
        <v>4.2695174021729896</v>
      </c>
      <c r="V586">
        <v>0.19330748901132719</v>
      </c>
      <c r="W586">
        <v>-5.411608763347763</v>
      </c>
      <c r="X586">
        <v>0.27057834416555909</v>
      </c>
      <c r="Z586" t="s">
        <v>392</v>
      </c>
      <c r="AA586">
        <v>161</v>
      </c>
      <c r="AB586" t="s">
        <v>5033</v>
      </c>
      <c r="AC586" t="str">
        <f>HYPERLINK("plots/3FT6Y578R04_015_S31P_20251219032831_M5358ACSA301811_RBGEUFRF04/dpll_52084/txpa_55167.png","plot")</f>
        <v>plot</v>
      </c>
    </row>
    <row r="587" spans="1:29" x14ac:dyDescent="0.35">
      <c r="A587" t="s">
        <v>50</v>
      </c>
      <c r="B587">
        <v>52084</v>
      </c>
      <c r="C587" t="s">
        <v>52</v>
      </c>
      <c r="D587">
        <v>55168</v>
      </c>
      <c r="E587" t="s">
        <v>301</v>
      </c>
      <c r="F587">
        <v>11782</v>
      </c>
      <c r="G587">
        <v>0.64533026596304033</v>
      </c>
      <c r="H587">
        <v>0</v>
      </c>
      <c r="I587">
        <v>0</v>
      </c>
      <c r="J587">
        <v>0.56300046497642109</v>
      </c>
      <c r="K587">
        <v>0</v>
      </c>
      <c r="L587">
        <v>0</v>
      </c>
      <c r="M587">
        <v>0.39904662386452439</v>
      </c>
      <c r="N587">
        <v>0</v>
      </c>
      <c r="O587">
        <v>0</v>
      </c>
      <c r="P587">
        <v>0.41645115216792838</v>
      </c>
      <c r="Q587">
        <v>0.90426837974268204</v>
      </c>
      <c r="R587">
        <v>-9.2753590260938203</v>
      </c>
      <c r="S587">
        <v>0.2069217345926746</v>
      </c>
      <c r="T587">
        <v>0.16164538846398391</v>
      </c>
      <c r="U587">
        <v>4.2695416864708866</v>
      </c>
      <c r="V587">
        <v>0.1933172563537221</v>
      </c>
      <c r="W587">
        <v>-5.4145474830249531</v>
      </c>
      <c r="X587">
        <v>0.27088560912048221</v>
      </c>
      <c r="Z587" t="s">
        <v>392</v>
      </c>
      <c r="AA587">
        <v>161</v>
      </c>
      <c r="AB587" t="s">
        <v>5034</v>
      </c>
      <c r="AC587" t="str">
        <f>HYPERLINK("plots/3FT6Y578R04_015_S31P_20251219032831_M5358ACSA301811_RBGEUFRF04/dpll_52084/txpa_55168.png","plot")</f>
        <v>plot</v>
      </c>
    </row>
    <row r="588" spans="1:29" x14ac:dyDescent="0.35">
      <c r="A588" t="s">
        <v>50</v>
      </c>
      <c r="B588">
        <v>52084</v>
      </c>
      <c r="C588" t="s">
        <v>52</v>
      </c>
      <c r="D588">
        <v>55169</v>
      </c>
      <c r="E588" t="s">
        <v>302</v>
      </c>
      <c r="F588">
        <v>11782</v>
      </c>
      <c r="G588">
        <v>0.64113086373107298</v>
      </c>
      <c r="H588">
        <v>0</v>
      </c>
      <c r="I588">
        <v>0</v>
      </c>
      <c r="J588">
        <v>0.55302280221113642</v>
      </c>
      <c r="K588">
        <v>0</v>
      </c>
      <c r="L588">
        <v>0</v>
      </c>
      <c r="M588">
        <v>0.39016738426646458</v>
      </c>
      <c r="N588">
        <v>0</v>
      </c>
      <c r="O588">
        <v>0</v>
      </c>
      <c r="P588">
        <v>0.41104878442855158</v>
      </c>
      <c r="Q588">
        <v>0.8855249019272543</v>
      </c>
      <c r="R588">
        <v>-9.1908142433290472</v>
      </c>
      <c r="S588">
        <v>0.2049018819522247</v>
      </c>
      <c r="T588">
        <v>0.16119399201057211</v>
      </c>
      <c r="U588">
        <v>4.2695416864708866</v>
      </c>
      <c r="V588">
        <v>0.1933172563537221</v>
      </c>
      <c r="W588">
        <v>-5.4100287601425903</v>
      </c>
      <c r="X588">
        <v>0.26700827265941968</v>
      </c>
      <c r="Z588" t="s">
        <v>392</v>
      </c>
      <c r="AA588">
        <v>161</v>
      </c>
      <c r="AB588" t="s">
        <v>5035</v>
      </c>
      <c r="AC588" t="str">
        <f>HYPERLINK("plots/3FT6Y578R04_015_S31P_20251219032831_M5358ACSA301811_RBGEUFRF04/dpll_52084/txpa_55169.png","plot")</f>
        <v>plot</v>
      </c>
    </row>
    <row r="589" spans="1:29" x14ac:dyDescent="0.35">
      <c r="A589" t="s">
        <v>50</v>
      </c>
      <c r="B589">
        <v>52084</v>
      </c>
      <c r="C589" t="s">
        <v>52</v>
      </c>
      <c r="D589">
        <v>55170</v>
      </c>
      <c r="E589" t="s">
        <v>303</v>
      </c>
      <c r="F589">
        <v>11781</v>
      </c>
      <c r="G589">
        <v>0.62793454526903525</v>
      </c>
      <c r="H589">
        <v>0</v>
      </c>
      <c r="I589">
        <v>0</v>
      </c>
      <c r="J589">
        <v>0.54135490232945627</v>
      </c>
      <c r="K589">
        <v>0</v>
      </c>
      <c r="L589">
        <v>0</v>
      </c>
      <c r="M589">
        <v>0.38239613522035498</v>
      </c>
      <c r="N589">
        <v>0</v>
      </c>
      <c r="O589">
        <v>0</v>
      </c>
      <c r="P589">
        <v>0.39430179314223007</v>
      </c>
      <c r="Q589">
        <v>0.87462925666021729</v>
      </c>
      <c r="R589">
        <v>-9.1873152421368935</v>
      </c>
      <c r="S589">
        <v>0.2095445652071064</v>
      </c>
      <c r="T589">
        <v>0.16311525490877499</v>
      </c>
      <c r="U589">
        <v>4.2695633024361257</v>
      </c>
      <c r="V589">
        <v>0.19331122175495491</v>
      </c>
      <c r="W589">
        <v>-5.4530302646634414</v>
      </c>
      <c r="X589">
        <v>0.26925680624112691</v>
      </c>
      <c r="Z589" t="s">
        <v>392</v>
      </c>
      <c r="AA589">
        <v>161</v>
      </c>
      <c r="AB589" t="s">
        <v>5036</v>
      </c>
      <c r="AC589" t="str">
        <f>HYPERLINK("plots/3FT6Y578R04_015_S31P_20251219032831_M5358ACSA301811_RBGEUFRF04/dpll_52084/txpa_55170.png","plot")</f>
        <v>plot</v>
      </c>
    </row>
    <row r="590" spans="1:29" x14ac:dyDescent="0.35">
      <c r="A590" t="s">
        <v>50</v>
      </c>
      <c r="B590">
        <v>52084</v>
      </c>
      <c r="C590" t="s">
        <v>52</v>
      </c>
      <c r="D590">
        <v>55171</v>
      </c>
      <c r="E590" t="s">
        <v>304</v>
      </c>
      <c r="F590">
        <v>11782</v>
      </c>
      <c r="G590">
        <v>0.6173597820915796</v>
      </c>
      <c r="H590">
        <v>0</v>
      </c>
      <c r="I590">
        <v>0</v>
      </c>
      <c r="J590">
        <v>0.54960622764022971</v>
      </c>
      <c r="K590">
        <v>0</v>
      </c>
      <c r="L590">
        <v>0</v>
      </c>
      <c r="M590">
        <v>0.38630032393363378</v>
      </c>
      <c r="N590">
        <v>0</v>
      </c>
      <c r="O590">
        <v>0</v>
      </c>
      <c r="P590">
        <v>0.38113310054416272</v>
      </c>
      <c r="Q590">
        <v>0.86490609036472854</v>
      </c>
      <c r="R590">
        <v>-6.1121683119045764</v>
      </c>
      <c r="S590">
        <v>0.21304995180794969</v>
      </c>
      <c r="T590">
        <v>0.16313670812816899</v>
      </c>
      <c r="U590">
        <v>4.2695416864708866</v>
      </c>
      <c r="V590">
        <v>0.1933172563537221</v>
      </c>
      <c r="W590">
        <v>-2.4194157042098121</v>
      </c>
      <c r="X590">
        <v>0.27083279028391749</v>
      </c>
      <c r="Z590" t="s">
        <v>392</v>
      </c>
      <c r="AA590">
        <v>161</v>
      </c>
      <c r="AB590" t="s">
        <v>5037</v>
      </c>
      <c r="AC590" t="str">
        <f>HYPERLINK("plots/3FT6Y578R04_015_S31P_20251219032831_M5358ACSA301811_RBGEUFRF04/dpll_52084/txpa_55171.png","plot")</f>
        <v>plot</v>
      </c>
    </row>
    <row r="591" spans="1:29" x14ac:dyDescent="0.35">
      <c r="A591" t="s">
        <v>50</v>
      </c>
      <c r="B591">
        <v>52084</v>
      </c>
      <c r="C591" t="s">
        <v>52</v>
      </c>
      <c r="D591">
        <v>55172</v>
      </c>
      <c r="E591" t="s">
        <v>305</v>
      </c>
      <c r="F591">
        <v>11782</v>
      </c>
      <c r="G591">
        <v>0.64306560894838671</v>
      </c>
      <c r="H591">
        <v>0</v>
      </c>
      <c r="I591">
        <v>0</v>
      </c>
      <c r="J591">
        <v>0.56715135912667602</v>
      </c>
      <c r="K591">
        <v>0</v>
      </c>
      <c r="L591">
        <v>0</v>
      </c>
      <c r="M591">
        <v>0.40198124147105402</v>
      </c>
      <c r="N591">
        <v>0</v>
      </c>
      <c r="O591">
        <v>0</v>
      </c>
      <c r="P591">
        <v>0.4135333774121594</v>
      </c>
      <c r="Q591">
        <v>0.90428032869746466</v>
      </c>
      <c r="R591">
        <v>-6.2425673817309324</v>
      </c>
      <c r="S591">
        <v>0.20817167709648071</v>
      </c>
      <c r="T591">
        <v>0.16135710448024579</v>
      </c>
      <c r="U591">
        <v>4.2695416864708866</v>
      </c>
      <c r="V591">
        <v>0.1933172563537221</v>
      </c>
      <c r="W591">
        <v>-2.38170482210151</v>
      </c>
      <c r="X591">
        <v>0.27184316761132621</v>
      </c>
      <c r="Z591" t="s">
        <v>392</v>
      </c>
      <c r="AA591">
        <v>161</v>
      </c>
      <c r="AB591" t="s">
        <v>5038</v>
      </c>
      <c r="AC591" t="str">
        <f>HYPERLINK("plots/3FT6Y578R04_015_S31P_20251219032831_M5358ACSA301811_RBGEUFRF04/dpll_52084/txpa_55172.png","plot")</f>
        <v>plot</v>
      </c>
    </row>
    <row r="592" spans="1:29" x14ac:dyDescent="0.35">
      <c r="A592" t="s">
        <v>50</v>
      </c>
      <c r="B592">
        <v>52084</v>
      </c>
      <c r="C592" t="s">
        <v>52</v>
      </c>
      <c r="D592">
        <v>55173</v>
      </c>
      <c r="E592" t="s">
        <v>306</v>
      </c>
      <c r="F592">
        <v>11782</v>
      </c>
      <c r="G592">
        <v>0.63245936702371608</v>
      </c>
      <c r="H592">
        <v>0</v>
      </c>
      <c r="I592">
        <v>0</v>
      </c>
      <c r="J592">
        <v>0.55529371049476361</v>
      </c>
      <c r="K592">
        <v>0</v>
      </c>
      <c r="L592">
        <v>0</v>
      </c>
      <c r="M592">
        <v>0.39251046959940938</v>
      </c>
      <c r="N592">
        <v>0</v>
      </c>
      <c r="O592">
        <v>0</v>
      </c>
      <c r="P592">
        <v>0.4000048509360396</v>
      </c>
      <c r="Q592">
        <v>0.87460323347580393</v>
      </c>
      <c r="R592">
        <v>-6.099682043890394</v>
      </c>
      <c r="S592">
        <v>0.2070639577632932</v>
      </c>
      <c r="T592">
        <v>0.16054678334631969</v>
      </c>
      <c r="U592">
        <v>4.2695416864708866</v>
      </c>
      <c r="V592">
        <v>0.1933172563537221</v>
      </c>
      <c r="W592">
        <v>-2.3655270794432188</v>
      </c>
      <c r="X592">
        <v>0.26733084575739452</v>
      </c>
      <c r="Z592" t="s">
        <v>392</v>
      </c>
      <c r="AA592">
        <v>161</v>
      </c>
      <c r="AB592" t="s">
        <v>5039</v>
      </c>
      <c r="AC592" t="str">
        <f>HYPERLINK("plots/3FT6Y578R04_015_S31P_20251219032831_M5358ACSA301811_RBGEUFRF04/dpll_52084/txpa_55173.png","plot")</f>
        <v>plot</v>
      </c>
    </row>
    <row r="593" spans="1:29" x14ac:dyDescent="0.35">
      <c r="A593" t="s">
        <v>50</v>
      </c>
      <c r="B593">
        <v>52084</v>
      </c>
      <c r="C593" t="s">
        <v>52</v>
      </c>
      <c r="D593">
        <v>55174</v>
      </c>
      <c r="E593" t="s">
        <v>307</v>
      </c>
      <c r="F593">
        <v>11781</v>
      </c>
      <c r="G593">
        <v>0.65059492644179051</v>
      </c>
      <c r="H593">
        <v>0</v>
      </c>
      <c r="I593">
        <v>0</v>
      </c>
      <c r="J593">
        <v>0.56788084990448073</v>
      </c>
      <c r="K593">
        <v>0</v>
      </c>
      <c r="L593">
        <v>0</v>
      </c>
      <c r="M593">
        <v>0.40253306638412673</v>
      </c>
      <c r="N593">
        <v>0</v>
      </c>
      <c r="O593">
        <v>0</v>
      </c>
      <c r="P593">
        <v>0.42327375831179881</v>
      </c>
      <c r="Q593">
        <v>0.90979974778991857</v>
      </c>
      <c r="R593">
        <v>-6.2327804957432109</v>
      </c>
      <c r="S593">
        <v>0.2052990703193254</v>
      </c>
      <c r="T593">
        <v>0.16012404175945319</v>
      </c>
      <c r="U593">
        <v>4.2695489746201511</v>
      </c>
      <c r="V593">
        <v>0.19332384277072681</v>
      </c>
      <c r="W593">
        <v>-2.348345915457092</v>
      </c>
      <c r="X593">
        <v>0.27034638028386432</v>
      </c>
      <c r="Z593" t="s">
        <v>392</v>
      </c>
      <c r="AA593">
        <v>161</v>
      </c>
      <c r="AB593" t="s">
        <v>5040</v>
      </c>
      <c r="AC593" t="str">
        <f>HYPERLINK("plots/3FT6Y578R04_015_S31P_20251219032831_M5358ACSA301811_RBGEUFRF04/dpll_52084/txpa_55174.png","plot")</f>
        <v>plot</v>
      </c>
    </row>
    <row r="594" spans="1:29" x14ac:dyDescent="0.35">
      <c r="A594" t="s">
        <v>50</v>
      </c>
      <c r="B594">
        <v>52084</v>
      </c>
      <c r="C594" t="s">
        <v>52</v>
      </c>
      <c r="D594">
        <v>55175</v>
      </c>
      <c r="E594" t="s">
        <v>308</v>
      </c>
      <c r="F594">
        <v>11781</v>
      </c>
      <c r="G594">
        <v>0.65246738919860225</v>
      </c>
      <c r="H594">
        <v>0</v>
      </c>
      <c r="I594">
        <v>0</v>
      </c>
      <c r="J594">
        <v>0.56402562262337619</v>
      </c>
      <c r="K594">
        <v>0</v>
      </c>
      <c r="L594">
        <v>0</v>
      </c>
      <c r="M594">
        <v>0.39841944102622318</v>
      </c>
      <c r="N594">
        <v>0</v>
      </c>
      <c r="O594">
        <v>0</v>
      </c>
      <c r="P594">
        <v>0.42571369396764031</v>
      </c>
      <c r="Q594">
        <v>0.90854483156149402</v>
      </c>
      <c r="R594">
        <v>-6.2453438006842532</v>
      </c>
      <c r="S594">
        <v>0.203977389329695</v>
      </c>
      <c r="T594">
        <v>0.1594297020302422</v>
      </c>
      <c r="U594">
        <v>4.2695174021729896</v>
      </c>
      <c r="V594">
        <v>0.19330748901132719</v>
      </c>
      <c r="W594">
        <v>-2.366295831678126</v>
      </c>
      <c r="X594">
        <v>0.26917593576452697</v>
      </c>
      <c r="Z594" t="s">
        <v>392</v>
      </c>
      <c r="AA594">
        <v>161</v>
      </c>
      <c r="AB594" t="s">
        <v>5041</v>
      </c>
      <c r="AC594" t="str">
        <f>HYPERLINK("plots/3FT6Y578R04_015_S31P_20251219032831_M5358ACSA301811_RBGEUFRF04/dpll_52084/txpa_55175.png","plot")</f>
        <v>plot</v>
      </c>
    </row>
    <row r="595" spans="1:29" x14ac:dyDescent="0.35">
      <c r="A595" t="s">
        <v>50</v>
      </c>
      <c r="B595">
        <v>52084</v>
      </c>
      <c r="C595" t="s">
        <v>52</v>
      </c>
      <c r="D595">
        <v>55176</v>
      </c>
      <c r="E595" t="s">
        <v>309</v>
      </c>
      <c r="F595">
        <v>11782</v>
      </c>
      <c r="G595">
        <v>0.65644326802758257</v>
      </c>
      <c r="H595">
        <v>0</v>
      </c>
      <c r="I595">
        <v>0</v>
      </c>
      <c r="J595">
        <v>0.57723363182610199</v>
      </c>
      <c r="K595">
        <v>0</v>
      </c>
      <c r="L595">
        <v>0</v>
      </c>
      <c r="M595">
        <v>0.40997221416299812</v>
      </c>
      <c r="N595">
        <v>0</v>
      </c>
      <c r="O595">
        <v>0</v>
      </c>
      <c r="P595">
        <v>0.43091776413873262</v>
      </c>
      <c r="Q595">
        <v>0.91821161171977872</v>
      </c>
      <c r="R595">
        <v>-6.2860357046905824</v>
      </c>
      <c r="S595">
        <v>0.20397891991559911</v>
      </c>
      <c r="T595">
        <v>0.159063360024637</v>
      </c>
      <c r="U595">
        <v>4.2695416864708866</v>
      </c>
      <c r="V595">
        <v>0.1933172563537221</v>
      </c>
      <c r="W595">
        <v>-2.3656929514513672</v>
      </c>
      <c r="X595">
        <v>0.27040592565317972</v>
      </c>
      <c r="Z595" t="s">
        <v>392</v>
      </c>
      <c r="AA595">
        <v>161</v>
      </c>
      <c r="AB595" t="s">
        <v>5042</v>
      </c>
      <c r="AC595" t="str">
        <f>HYPERLINK("plots/3FT6Y578R04_015_S31P_20251219032831_M5358ACSA301811_RBGEUFRF04/dpll_52084/txpa_55176.png","plot")</f>
        <v>plot</v>
      </c>
    </row>
    <row r="596" spans="1:29" x14ac:dyDescent="0.35">
      <c r="A596" t="s">
        <v>50</v>
      </c>
      <c r="B596">
        <v>52084</v>
      </c>
      <c r="C596" t="s">
        <v>52</v>
      </c>
      <c r="D596">
        <v>55177</v>
      </c>
      <c r="E596" t="s">
        <v>310</v>
      </c>
      <c r="F596">
        <v>11782</v>
      </c>
      <c r="G596">
        <v>0.65279940462560582</v>
      </c>
      <c r="H596">
        <v>0</v>
      </c>
      <c r="I596">
        <v>0</v>
      </c>
      <c r="J596">
        <v>0.56821570193769455</v>
      </c>
      <c r="K596">
        <v>0</v>
      </c>
      <c r="L596">
        <v>0</v>
      </c>
      <c r="M596">
        <v>0.40166003540307349</v>
      </c>
      <c r="N596">
        <v>0</v>
      </c>
      <c r="O596">
        <v>0</v>
      </c>
      <c r="P596">
        <v>0.42614706267954539</v>
      </c>
      <c r="Q596">
        <v>0.90018637675363189</v>
      </c>
      <c r="R596">
        <v>-6.2032794161249951</v>
      </c>
      <c r="S596">
        <v>0.2019320166729445</v>
      </c>
      <c r="T596">
        <v>0.15865498196161759</v>
      </c>
      <c r="U596">
        <v>4.2695416864708866</v>
      </c>
      <c r="V596">
        <v>0.1933172563537221</v>
      </c>
      <c r="W596">
        <v>-2.359896154982176</v>
      </c>
      <c r="X596">
        <v>0.26657738859430358</v>
      </c>
      <c r="Z596" t="s">
        <v>392</v>
      </c>
      <c r="AA596">
        <v>161</v>
      </c>
      <c r="AB596" t="s">
        <v>5043</v>
      </c>
      <c r="AC596" t="str">
        <f>HYPERLINK("plots/3FT6Y578R04_015_S31P_20251219032831_M5358ACSA301811_RBGEUFRF04/dpll_52084/txpa_55177.png","plot")</f>
        <v>plot</v>
      </c>
    </row>
    <row r="597" spans="1:29" x14ac:dyDescent="0.35">
      <c r="A597" t="s">
        <v>50</v>
      </c>
      <c r="B597">
        <v>52084</v>
      </c>
      <c r="C597" t="s">
        <v>52</v>
      </c>
      <c r="D597">
        <v>55178</v>
      </c>
      <c r="E597" t="s">
        <v>311</v>
      </c>
      <c r="F597">
        <v>11781</v>
      </c>
      <c r="G597">
        <v>0.64022265587365645</v>
      </c>
      <c r="H597">
        <v>0</v>
      </c>
      <c r="I597">
        <v>0</v>
      </c>
      <c r="J597">
        <v>0.55697392383421651</v>
      </c>
      <c r="K597">
        <v>0</v>
      </c>
      <c r="L597">
        <v>0</v>
      </c>
      <c r="M597">
        <v>0.39434240607516619</v>
      </c>
      <c r="N597">
        <v>0</v>
      </c>
      <c r="O597">
        <v>0</v>
      </c>
      <c r="P597">
        <v>0.40988504909391832</v>
      </c>
      <c r="Q597">
        <v>0.89247435880213721</v>
      </c>
      <c r="R597">
        <v>-6.2065361876493519</v>
      </c>
      <c r="S597">
        <v>0.20700062208968159</v>
      </c>
      <c r="T597">
        <v>0.16089303825430071</v>
      </c>
      <c r="U597">
        <v>4.2695633024361257</v>
      </c>
      <c r="V597">
        <v>0.19331122175495491</v>
      </c>
      <c r="W597">
        <v>-2.396060416942535</v>
      </c>
      <c r="X597">
        <v>0.26947704380998633</v>
      </c>
      <c r="Z597" t="s">
        <v>392</v>
      </c>
      <c r="AA597">
        <v>161</v>
      </c>
      <c r="AB597" t="s">
        <v>5044</v>
      </c>
      <c r="AC597" t="str">
        <f>HYPERLINK("plots/3FT6Y578R04_015_S31P_20251219032831_M5358ACSA301811_RBGEUFRF04/dpll_52084/txpa_55178.png","plot")</f>
        <v>plot</v>
      </c>
    </row>
    <row r="598" spans="1:29" x14ac:dyDescent="0.35">
      <c r="A598" t="s">
        <v>50</v>
      </c>
      <c r="B598">
        <v>52084</v>
      </c>
      <c r="C598" t="s">
        <v>52</v>
      </c>
      <c r="D598">
        <v>55179</v>
      </c>
      <c r="E598" t="s">
        <v>312</v>
      </c>
      <c r="F598">
        <v>11782</v>
      </c>
      <c r="G598">
        <v>0.65584618018813834</v>
      </c>
      <c r="H598">
        <v>0</v>
      </c>
      <c r="I598">
        <v>0</v>
      </c>
      <c r="J598">
        <v>0.59286736915482041</v>
      </c>
      <c r="K598">
        <v>0</v>
      </c>
      <c r="L598">
        <v>0</v>
      </c>
      <c r="M598">
        <v>0.42011265250754809</v>
      </c>
      <c r="N598">
        <v>0</v>
      </c>
      <c r="O598">
        <v>0</v>
      </c>
      <c r="P598">
        <v>0.43013421206737201</v>
      </c>
      <c r="Q598">
        <v>0.94401912355796158</v>
      </c>
      <c r="R598">
        <v>-2.8746607092166392</v>
      </c>
      <c r="S598">
        <v>0.21004738671816431</v>
      </c>
      <c r="T598">
        <v>0.1602492035925768</v>
      </c>
      <c r="U598">
        <v>4.2695416864708866</v>
      </c>
      <c r="V598">
        <v>0.1933172563537221</v>
      </c>
      <c r="W598">
        <v>1.15586829163979</v>
      </c>
      <c r="X598">
        <v>0.27825912908316303</v>
      </c>
      <c r="Z598" t="s">
        <v>392</v>
      </c>
      <c r="AA598">
        <v>161</v>
      </c>
      <c r="AB598" t="s">
        <v>5045</v>
      </c>
      <c r="AC598" t="str">
        <f>HYPERLINK("plots/3FT6Y578R04_015_S31P_20251219032831_M5358ACSA301811_RBGEUFRF04/dpll_52084/txpa_55179.png","plot")</f>
        <v>plot</v>
      </c>
    </row>
    <row r="599" spans="1:29" x14ac:dyDescent="0.35">
      <c r="A599" t="s">
        <v>50</v>
      </c>
      <c r="B599">
        <v>52084</v>
      </c>
      <c r="C599" t="s">
        <v>52</v>
      </c>
      <c r="D599">
        <v>55180</v>
      </c>
      <c r="E599" t="s">
        <v>313</v>
      </c>
      <c r="F599">
        <v>11782</v>
      </c>
      <c r="G599">
        <v>0.68075824169996735</v>
      </c>
      <c r="H599">
        <v>0</v>
      </c>
      <c r="I599">
        <v>0</v>
      </c>
      <c r="J599">
        <v>0.60948076676340279</v>
      </c>
      <c r="K599">
        <v>0</v>
      </c>
      <c r="L599">
        <v>0</v>
      </c>
      <c r="M599">
        <v>0.43552679232210839</v>
      </c>
      <c r="N599">
        <v>0</v>
      </c>
      <c r="O599">
        <v>0</v>
      </c>
      <c r="P599">
        <v>0.46343178364243109</v>
      </c>
      <c r="Q599">
        <v>0.98067339697825473</v>
      </c>
      <c r="R599">
        <v>-2.996941907956622</v>
      </c>
      <c r="S599">
        <v>0.20398402159390649</v>
      </c>
      <c r="T599">
        <v>0.15786942657697209</v>
      </c>
      <c r="U599">
        <v>4.2695416864708866</v>
      </c>
      <c r="V599">
        <v>0.1933172563537221</v>
      </c>
      <c r="W599">
        <v>1.19008404125505</v>
      </c>
      <c r="X599">
        <v>0.27848519323027948</v>
      </c>
      <c r="Z599" t="s">
        <v>392</v>
      </c>
      <c r="AA599">
        <v>161</v>
      </c>
      <c r="AB599" t="s">
        <v>5046</v>
      </c>
      <c r="AC599" t="str">
        <f>HYPERLINK("plots/3FT6Y578R04_015_S31P_20251219032831_M5358ACSA301811_RBGEUFRF04/dpll_52084/txpa_55180.png","plot")</f>
        <v>plot</v>
      </c>
    </row>
    <row r="600" spans="1:29" x14ac:dyDescent="0.35">
      <c r="A600" t="s">
        <v>50</v>
      </c>
      <c r="B600">
        <v>52084</v>
      </c>
      <c r="C600" t="s">
        <v>52</v>
      </c>
      <c r="D600">
        <v>55181</v>
      </c>
      <c r="E600" t="s">
        <v>314</v>
      </c>
      <c r="F600">
        <v>11782</v>
      </c>
      <c r="G600">
        <v>0.67012136350240581</v>
      </c>
      <c r="H600">
        <v>0</v>
      </c>
      <c r="I600">
        <v>0</v>
      </c>
      <c r="J600">
        <v>0.59753798760354571</v>
      </c>
      <c r="K600">
        <v>0</v>
      </c>
      <c r="L600">
        <v>0</v>
      </c>
      <c r="M600">
        <v>0.42541989061215868</v>
      </c>
      <c r="N600">
        <v>0</v>
      </c>
      <c r="O600">
        <v>0</v>
      </c>
      <c r="P600">
        <v>0.44906264182232353</v>
      </c>
      <c r="Q600">
        <v>0.95196826336032225</v>
      </c>
      <c r="R600">
        <v>-2.8597209121307432</v>
      </c>
      <c r="S600">
        <v>0.20383197351146909</v>
      </c>
      <c r="T600">
        <v>0.15755671836124729</v>
      </c>
      <c r="U600">
        <v>4.2695416864708866</v>
      </c>
      <c r="V600">
        <v>0.1933172563537221</v>
      </c>
      <c r="W600">
        <v>1.2047472724834489</v>
      </c>
      <c r="X600">
        <v>0.27462472147849137</v>
      </c>
      <c r="Z600" t="s">
        <v>392</v>
      </c>
      <c r="AA600">
        <v>161</v>
      </c>
      <c r="AB600" t="s">
        <v>5047</v>
      </c>
      <c r="AC600" t="str">
        <f>HYPERLINK("plots/3FT6Y578R04_015_S31P_20251219032831_M5358ACSA301811_RBGEUFRF04/dpll_52084/txpa_55181.png","plot")</f>
        <v>plot</v>
      </c>
    </row>
    <row r="601" spans="1:29" x14ac:dyDescent="0.35">
      <c r="A601" t="s">
        <v>50</v>
      </c>
      <c r="B601">
        <v>52084</v>
      </c>
      <c r="C601" t="s">
        <v>52</v>
      </c>
      <c r="D601">
        <v>55182</v>
      </c>
      <c r="E601" t="s">
        <v>315</v>
      </c>
      <c r="F601">
        <v>11781</v>
      </c>
      <c r="G601">
        <v>0.68774529006814888</v>
      </c>
      <c r="H601">
        <v>0</v>
      </c>
      <c r="I601">
        <v>0</v>
      </c>
      <c r="J601">
        <v>0.609551694877976</v>
      </c>
      <c r="K601">
        <v>0</v>
      </c>
      <c r="L601">
        <v>0</v>
      </c>
      <c r="M601">
        <v>0.43568829136604159</v>
      </c>
      <c r="N601">
        <v>0</v>
      </c>
      <c r="O601">
        <v>0</v>
      </c>
      <c r="P601">
        <v>0.47299358401092217</v>
      </c>
      <c r="Q601">
        <v>0.98446640982228684</v>
      </c>
      <c r="R601">
        <v>-2.9860108757061612</v>
      </c>
      <c r="S601">
        <v>0.2008853265469695</v>
      </c>
      <c r="T601">
        <v>0.15638805225493299</v>
      </c>
      <c r="U601">
        <v>4.2695489746201511</v>
      </c>
      <c r="V601">
        <v>0.19332384277072681</v>
      </c>
      <c r="W601">
        <v>1.217216674898566</v>
      </c>
      <c r="X601">
        <v>0.27673156352213868</v>
      </c>
      <c r="Z601" t="s">
        <v>392</v>
      </c>
      <c r="AA601">
        <v>161</v>
      </c>
      <c r="AB601" t="s">
        <v>5048</v>
      </c>
      <c r="AC601" t="str">
        <f>HYPERLINK("plots/3FT6Y578R04_015_S31P_20251219032831_M5358ACSA301811_RBGEUFRF04/dpll_52084/txpa_55182.png","plot")</f>
        <v>plot</v>
      </c>
    </row>
    <row r="602" spans="1:29" x14ac:dyDescent="0.35">
      <c r="A602" t="s">
        <v>50</v>
      </c>
      <c r="B602">
        <v>52084</v>
      </c>
      <c r="C602" t="s">
        <v>52</v>
      </c>
      <c r="D602">
        <v>55183</v>
      </c>
      <c r="E602" t="s">
        <v>316</v>
      </c>
      <c r="F602">
        <v>11781</v>
      </c>
      <c r="G602">
        <v>0.68836565006016626</v>
      </c>
      <c r="H602">
        <v>0</v>
      </c>
      <c r="I602">
        <v>0</v>
      </c>
      <c r="J602">
        <v>0.60470800984731321</v>
      </c>
      <c r="K602">
        <v>0</v>
      </c>
      <c r="L602">
        <v>0</v>
      </c>
      <c r="M602">
        <v>0.43058545369775869</v>
      </c>
      <c r="N602">
        <v>0</v>
      </c>
      <c r="O602">
        <v>0</v>
      </c>
      <c r="P602">
        <v>0.47384726818275519</v>
      </c>
      <c r="Q602">
        <v>0.98175252388529421</v>
      </c>
      <c r="R602">
        <v>-2.9927853144472758</v>
      </c>
      <c r="S602">
        <v>0.19997191124720801</v>
      </c>
      <c r="T602">
        <v>0.15609049156660179</v>
      </c>
      <c r="U602">
        <v>4.2695174021729896</v>
      </c>
      <c r="V602">
        <v>0.19330748901132719</v>
      </c>
      <c r="W602">
        <v>1.1988241709082419</v>
      </c>
      <c r="X602">
        <v>0.27569666674421012</v>
      </c>
      <c r="Z602" t="s">
        <v>392</v>
      </c>
      <c r="AA602">
        <v>161</v>
      </c>
      <c r="AB602" t="s">
        <v>5049</v>
      </c>
      <c r="AC602" t="str">
        <f>HYPERLINK("plots/3FT6Y578R04_015_S31P_20251219032831_M5358ACSA301811_RBGEUFRF04/dpll_52084/txpa_55183.png","plot")</f>
        <v>plot</v>
      </c>
    </row>
    <row r="603" spans="1:29" x14ac:dyDescent="0.35">
      <c r="A603" t="s">
        <v>50</v>
      </c>
      <c r="B603">
        <v>52084</v>
      </c>
      <c r="C603" t="s">
        <v>52</v>
      </c>
      <c r="D603">
        <v>55184</v>
      </c>
      <c r="E603" t="s">
        <v>317</v>
      </c>
      <c r="F603">
        <v>11782</v>
      </c>
      <c r="G603">
        <v>0.69336268999295902</v>
      </c>
      <c r="H603">
        <v>0</v>
      </c>
      <c r="I603">
        <v>0</v>
      </c>
      <c r="J603">
        <v>0.61893804165045507</v>
      </c>
      <c r="K603">
        <v>0</v>
      </c>
      <c r="L603">
        <v>0</v>
      </c>
      <c r="M603">
        <v>0.44296159321643103</v>
      </c>
      <c r="N603">
        <v>0</v>
      </c>
      <c r="O603">
        <v>0</v>
      </c>
      <c r="P603">
        <v>0.48075181987427218</v>
      </c>
      <c r="Q603">
        <v>0.99596441893767385</v>
      </c>
      <c r="R603">
        <v>-3.0491065635279648</v>
      </c>
      <c r="S603">
        <v>0.20008891909196469</v>
      </c>
      <c r="T603">
        <v>0.15584466596949101</v>
      </c>
      <c r="U603">
        <v>4.2695416864708866</v>
      </c>
      <c r="V603">
        <v>0.1933172563537221</v>
      </c>
      <c r="W603">
        <v>1.203205041368189</v>
      </c>
      <c r="X603">
        <v>0.27768599561784241</v>
      </c>
      <c r="Z603" t="s">
        <v>392</v>
      </c>
      <c r="AA603">
        <v>161</v>
      </c>
      <c r="AB603" t="s">
        <v>5050</v>
      </c>
      <c r="AC603" t="str">
        <f>HYPERLINK("plots/3FT6Y578R04_015_S31P_20251219032831_M5358ACSA301811_RBGEUFRF04/dpll_52084/txpa_55184.png","plot")</f>
        <v>plot</v>
      </c>
    </row>
    <row r="604" spans="1:29" x14ac:dyDescent="0.35">
      <c r="A604" t="s">
        <v>50</v>
      </c>
      <c r="B604">
        <v>52084</v>
      </c>
      <c r="C604" t="s">
        <v>52</v>
      </c>
      <c r="D604">
        <v>55185</v>
      </c>
      <c r="E604" t="s">
        <v>318</v>
      </c>
      <c r="F604">
        <v>11782</v>
      </c>
      <c r="G604">
        <v>0.68984464328533845</v>
      </c>
      <c r="H604">
        <v>0</v>
      </c>
      <c r="I604">
        <v>0</v>
      </c>
      <c r="J604">
        <v>0.60910929156011318</v>
      </c>
      <c r="K604">
        <v>0</v>
      </c>
      <c r="L604">
        <v>0</v>
      </c>
      <c r="M604">
        <v>0.43405130386470092</v>
      </c>
      <c r="N604">
        <v>0</v>
      </c>
      <c r="O604">
        <v>0</v>
      </c>
      <c r="P604">
        <v>0.47588563186947591</v>
      </c>
      <c r="Q604">
        <v>0.97730548395891392</v>
      </c>
      <c r="R604">
        <v>-2.9630645709072478</v>
      </c>
      <c r="S604">
        <v>0.19826418260497469</v>
      </c>
      <c r="T604">
        <v>0.15552413768803239</v>
      </c>
      <c r="U604">
        <v>4.2695416864708866</v>
      </c>
      <c r="V604">
        <v>0.1933172563537221</v>
      </c>
      <c r="W604">
        <v>1.20958193327194</v>
      </c>
      <c r="X604">
        <v>0.27387327946567408</v>
      </c>
      <c r="Z604" t="s">
        <v>392</v>
      </c>
      <c r="AA604">
        <v>161</v>
      </c>
      <c r="AB604" t="s">
        <v>5051</v>
      </c>
      <c r="AC604" t="str">
        <f>HYPERLINK("plots/3FT6Y578R04_015_S31P_20251219032831_M5358ACSA301811_RBGEUFRF04/dpll_52084/txpa_55185.png","plot")</f>
        <v>plot</v>
      </c>
    </row>
    <row r="605" spans="1:29" x14ac:dyDescent="0.35">
      <c r="A605" t="s">
        <v>50</v>
      </c>
      <c r="B605">
        <v>52084</v>
      </c>
      <c r="C605" t="s">
        <v>52</v>
      </c>
      <c r="D605">
        <v>55186</v>
      </c>
      <c r="E605" t="s">
        <v>319</v>
      </c>
      <c r="F605">
        <v>11781</v>
      </c>
      <c r="G605">
        <v>0.67865996367106729</v>
      </c>
      <c r="H605">
        <v>0</v>
      </c>
      <c r="I605">
        <v>0</v>
      </c>
      <c r="J605">
        <v>0.59952240416928193</v>
      </c>
      <c r="K605">
        <v>0</v>
      </c>
      <c r="L605">
        <v>0</v>
      </c>
      <c r="M605">
        <v>0.42778163511154038</v>
      </c>
      <c r="N605">
        <v>0</v>
      </c>
      <c r="O605">
        <v>0</v>
      </c>
      <c r="P605">
        <v>0.46057934629001429</v>
      </c>
      <c r="Q605">
        <v>0.97033051604162268</v>
      </c>
      <c r="R605">
        <v>-2.9641775885244561</v>
      </c>
      <c r="S605">
        <v>0.2029877728693425</v>
      </c>
      <c r="T605">
        <v>0.15744430054484221</v>
      </c>
      <c r="U605">
        <v>4.2695633024361257</v>
      </c>
      <c r="V605">
        <v>0.19331122175495491</v>
      </c>
      <c r="W605">
        <v>1.178709974000764</v>
      </c>
      <c r="X605">
        <v>0.27639140011659208</v>
      </c>
      <c r="Z605" t="s">
        <v>392</v>
      </c>
      <c r="AA605">
        <v>161</v>
      </c>
      <c r="AB605" t="s">
        <v>5052</v>
      </c>
      <c r="AC605" t="str">
        <f>HYPERLINK("plots/3FT6Y578R04_015_S31P_20251219032831_M5358ACSA301811_RBGEUFRF04/dpll_52084/txpa_55186.png","plot")</f>
        <v>plot</v>
      </c>
    </row>
    <row r="606" spans="1:29" x14ac:dyDescent="0.35">
      <c r="A606" t="s">
        <v>50</v>
      </c>
      <c r="B606">
        <v>52084</v>
      </c>
      <c r="C606" t="s">
        <v>52</v>
      </c>
      <c r="D606">
        <v>55187</v>
      </c>
      <c r="E606" t="s">
        <v>320</v>
      </c>
      <c r="F606">
        <v>11782</v>
      </c>
      <c r="G606">
        <v>0.68734233161586311</v>
      </c>
      <c r="H606">
        <v>0</v>
      </c>
      <c r="I606">
        <v>0</v>
      </c>
      <c r="J606">
        <v>0.62439898659785842</v>
      </c>
      <c r="K606">
        <v>0</v>
      </c>
      <c r="L606">
        <v>0</v>
      </c>
      <c r="M606">
        <v>0.44533378822722369</v>
      </c>
      <c r="N606">
        <v>0</v>
      </c>
      <c r="O606">
        <v>0</v>
      </c>
      <c r="P606">
        <v>0.47243948083113108</v>
      </c>
      <c r="Q606">
        <v>1.020203290900463</v>
      </c>
      <c r="R606">
        <v>-1.1869364294374241</v>
      </c>
      <c r="S606">
        <v>0.20840203882420369</v>
      </c>
      <c r="T606">
        <v>0.15876735886580831</v>
      </c>
      <c r="U606">
        <v>4.2695416864708866</v>
      </c>
      <c r="V606">
        <v>0.1933172563537221</v>
      </c>
      <c r="W606">
        <v>3.1688640497368872</v>
      </c>
      <c r="X606">
        <v>0.28693547894288313</v>
      </c>
      <c r="Z606" t="s">
        <v>392</v>
      </c>
      <c r="AA606">
        <v>161</v>
      </c>
      <c r="AB606" t="s">
        <v>5053</v>
      </c>
      <c r="AC606" t="str">
        <f>HYPERLINK("plots/3FT6Y578R04_015_S31P_20251219032831_M5358ACSA301811_RBGEUFRF04/dpll_52084/txpa_55187.png","plot")</f>
        <v>plot</v>
      </c>
    </row>
    <row r="607" spans="1:29" x14ac:dyDescent="0.35">
      <c r="A607" t="s">
        <v>50</v>
      </c>
      <c r="B607">
        <v>52084</v>
      </c>
      <c r="C607" t="s">
        <v>52</v>
      </c>
      <c r="D607">
        <v>55188</v>
      </c>
      <c r="E607" t="s">
        <v>321</v>
      </c>
      <c r="F607">
        <v>11782</v>
      </c>
      <c r="G607">
        <v>0.71069650807646023</v>
      </c>
      <c r="H607">
        <v>0</v>
      </c>
      <c r="I607">
        <v>0</v>
      </c>
      <c r="J607">
        <v>0.63961970183485584</v>
      </c>
      <c r="K607">
        <v>0</v>
      </c>
      <c r="L607">
        <v>0</v>
      </c>
      <c r="M607">
        <v>0.46023189903162198</v>
      </c>
      <c r="N607">
        <v>0</v>
      </c>
      <c r="O607">
        <v>0</v>
      </c>
      <c r="P607">
        <v>0.50508952659207407</v>
      </c>
      <c r="Q607">
        <v>1.055517787028607</v>
      </c>
      <c r="R607">
        <v>-1.304260584738592</v>
      </c>
      <c r="S607">
        <v>0.20197466128684269</v>
      </c>
      <c r="T607">
        <v>0.15632281510244869</v>
      </c>
      <c r="U607">
        <v>4.2695416864708866</v>
      </c>
      <c r="V607">
        <v>0.1933172563537221</v>
      </c>
      <c r="W607">
        <v>3.202316607791547</v>
      </c>
      <c r="X607">
        <v>0.28711243168085199</v>
      </c>
      <c r="Z607" t="s">
        <v>392</v>
      </c>
      <c r="AA607">
        <v>161</v>
      </c>
      <c r="AB607" t="s">
        <v>5054</v>
      </c>
      <c r="AC607" t="str">
        <f>HYPERLINK("plots/3FT6Y578R04_015_S31P_20251219032831_M5358ACSA301811_RBGEUFRF04/dpll_52084/txpa_55188.png","plot")</f>
        <v>plot</v>
      </c>
    </row>
    <row r="608" spans="1:29" x14ac:dyDescent="0.35">
      <c r="A608" t="s">
        <v>50</v>
      </c>
      <c r="B608">
        <v>52084</v>
      </c>
      <c r="C608" t="s">
        <v>52</v>
      </c>
      <c r="D608">
        <v>55189</v>
      </c>
      <c r="E608" t="s">
        <v>322</v>
      </c>
      <c r="F608">
        <v>11782</v>
      </c>
      <c r="G608">
        <v>0.70052443580695911</v>
      </c>
      <c r="H608">
        <v>0</v>
      </c>
      <c r="I608">
        <v>0</v>
      </c>
      <c r="J608">
        <v>0.62880219669249326</v>
      </c>
      <c r="K608">
        <v>0</v>
      </c>
      <c r="L608">
        <v>0</v>
      </c>
      <c r="M608">
        <v>0.45067420701583077</v>
      </c>
      <c r="N608">
        <v>0</v>
      </c>
      <c r="O608">
        <v>0</v>
      </c>
      <c r="P608">
        <v>0.49073448516265838</v>
      </c>
      <c r="Q608">
        <v>1.027225202842692</v>
      </c>
      <c r="R608">
        <v>-1.1692047409887809</v>
      </c>
      <c r="S608">
        <v>0.20228640821367239</v>
      </c>
      <c r="T608">
        <v>0.1560023472259246</v>
      </c>
      <c r="U608">
        <v>4.2695416864708866</v>
      </c>
      <c r="V608">
        <v>0.1933172563537221</v>
      </c>
      <c r="W608">
        <v>3.216576083941606</v>
      </c>
      <c r="X608">
        <v>0.28347384862055958</v>
      </c>
      <c r="Z608" t="s">
        <v>392</v>
      </c>
      <c r="AA608">
        <v>161</v>
      </c>
      <c r="AB608" t="s">
        <v>5055</v>
      </c>
      <c r="AC608" t="str">
        <f>HYPERLINK("plots/3FT6Y578R04_015_S31P_20251219032831_M5358ACSA301811_RBGEUFRF04/dpll_52084/txpa_55189.png","plot")</f>
        <v>plot</v>
      </c>
    </row>
    <row r="609" spans="1:29" x14ac:dyDescent="0.35">
      <c r="A609" t="s">
        <v>50</v>
      </c>
      <c r="B609">
        <v>52084</v>
      </c>
      <c r="C609" t="s">
        <v>52</v>
      </c>
      <c r="D609">
        <v>55190</v>
      </c>
      <c r="E609" t="s">
        <v>323</v>
      </c>
      <c r="F609">
        <v>11781</v>
      </c>
      <c r="G609">
        <v>0.71678597736160343</v>
      </c>
      <c r="H609">
        <v>0</v>
      </c>
      <c r="I609">
        <v>0</v>
      </c>
      <c r="J609">
        <v>0.639751070048446</v>
      </c>
      <c r="K609">
        <v>0</v>
      </c>
      <c r="L609">
        <v>0</v>
      </c>
      <c r="M609">
        <v>0.4602594195475736</v>
      </c>
      <c r="N609">
        <v>0</v>
      </c>
      <c r="O609">
        <v>0</v>
      </c>
      <c r="P609">
        <v>0.51378213734222911</v>
      </c>
      <c r="Q609">
        <v>1.057594141432358</v>
      </c>
      <c r="R609">
        <v>-1.2891976719563769</v>
      </c>
      <c r="S609">
        <v>0.19888955551723389</v>
      </c>
      <c r="T609">
        <v>0.15478319152072781</v>
      </c>
      <c r="U609">
        <v>4.2695489746201511</v>
      </c>
      <c r="V609">
        <v>0.19332384277072681</v>
      </c>
      <c r="W609">
        <v>3.2262523101604281</v>
      </c>
      <c r="X609">
        <v>0.28524297345505439</v>
      </c>
      <c r="Z609" t="s">
        <v>392</v>
      </c>
      <c r="AA609">
        <v>161</v>
      </c>
      <c r="AB609" t="s">
        <v>5056</v>
      </c>
      <c r="AC609" t="str">
        <f>HYPERLINK("plots/3FT6Y578R04_015_S31P_20251219032831_M5358ACSA301811_RBGEUFRF04/dpll_52084/txpa_55190.png","plot")</f>
        <v>plot</v>
      </c>
    </row>
    <row r="610" spans="1:29" x14ac:dyDescent="0.35">
      <c r="A610" t="s">
        <v>50</v>
      </c>
      <c r="B610">
        <v>52084</v>
      </c>
      <c r="C610" t="s">
        <v>52</v>
      </c>
      <c r="D610">
        <v>55191</v>
      </c>
      <c r="E610" t="s">
        <v>324</v>
      </c>
      <c r="F610">
        <v>11781</v>
      </c>
      <c r="G610">
        <v>0.71814071383448164</v>
      </c>
      <c r="H610">
        <v>0</v>
      </c>
      <c r="I610">
        <v>0</v>
      </c>
      <c r="J610">
        <v>0.63519104382680835</v>
      </c>
      <c r="K610">
        <v>0</v>
      </c>
      <c r="L610">
        <v>0</v>
      </c>
      <c r="M610">
        <v>0.45516695253352341</v>
      </c>
      <c r="N610">
        <v>0</v>
      </c>
      <c r="O610">
        <v>0</v>
      </c>
      <c r="P610">
        <v>0.5157260848666988</v>
      </c>
      <c r="Q610">
        <v>1.0549999136529959</v>
      </c>
      <c r="R610">
        <v>-1.2976886474952141</v>
      </c>
      <c r="S610">
        <v>0.19761443284112509</v>
      </c>
      <c r="T610">
        <v>0.1540962739280132</v>
      </c>
      <c r="U610">
        <v>4.2695174021729896</v>
      </c>
      <c r="V610">
        <v>0.19330748901132719</v>
      </c>
      <c r="W610">
        <v>3.206651843137255</v>
      </c>
      <c r="X610">
        <v>0.28398248461154912</v>
      </c>
      <c r="Z610" t="s">
        <v>392</v>
      </c>
      <c r="AA610">
        <v>161</v>
      </c>
      <c r="AB610" t="s">
        <v>5057</v>
      </c>
      <c r="AC610" t="str">
        <f>HYPERLINK("plots/3FT6Y578R04_015_S31P_20251219032831_M5358ACSA301811_RBGEUFRF04/dpll_52084/txpa_55191.png","plot")</f>
        <v>plot</v>
      </c>
    </row>
    <row r="611" spans="1:29" x14ac:dyDescent="0.35">
      <c r="A611" t="s">
        <v>50</v>
      </c>
      <c r="B611">
        <v>52084</v>
      </c>
      <c r="C611" t="s">
        <v>52</v>
      </c>
      <c r="D611">
        <v>55192</v>
      </c>
      <c r="E611" t="s">
        <v>325</v>
      </c>
      <c r="F611">
        <v>11782</v>
      </c>
      <c r="G611">
        <v>0.72233005251022808</v>
      </c>
      <c r="H611">
        <v>0</v>
      </c>
      <c r="I611">
        <v>0</v>
      </c>
      <c r="J611">
        <v>0.64939727082832011</v>
      </c>
      <c r="K611">
        <v>0</v>
      </c>
      <c r="L611">
        <v>0</v>
      </c>
      <c r="M611">
        <v>0.46798330508458269</v>
      </c>
      <c r="N611">
        <v>0</v>
      </c>
      <c r="O611">
        <v>0</v>
      </c>
      <c r="P611">
        <v>0.52176070475942882</v>
      </c>
      <c r="Q611">
        <v>1.0707230605981</v>
      </c>
      <c r="R611">
        <v>-1.3573440407349791</v>
      </c>
      <c r="S611">
        <v>0.1981601365123053</v>
      </c>
      <c r="T611">
        <v>0.15421138856019409</v>
      </c>
      <c r="U611">
        <v>4.2695416864708866</v>
      </c>
      <c r="V611">
        <v>0.1933172563537221</v>
      </c>
      <c r="W611">
        <v>3.214152701154303</v>
      </c>
      <c r="X611">
        <v>0.28655770816977583</v>
      </c>
      <c r="Z611" t="s">
        <v>392</v>
      </c>
      <c r="AA611">
        <v>161</v>
      </c>
      <c r="AB611" t="s">
        <v>5058</v>
      </c>
      <c r="AC611" t="str">
        <f>HYPERLINK("plots/3FT6Y578R04_015_S31P_20251219032831_M5358ACSA301811_RBGEUFRF04/dpll_52084/txpa_55192.png","plot")</f>
        <v>plot</v>
      </c>
    </row>
    <row r="612" spans="1:29" x14ac:dyDescent="0.35">
      <c r="A612" t="s">
        <v>50</v>
      </c>
      <c r="B612">
        <v>52084</v>
      </c>
      <c r="C612" t="s">
        <v>52</v>
      </c>
      <c r="D612">
        <v>55193</v>
      </c>
      <c r="E612" t="s">
        <v>326</v>
      </c>
      <c r="F612">
        <v>11782</v>
      </c>
      <c r="G612">
        <v>0.71918945137396051</v>
      </c>
      <c r="H612">
        <v>0</v>
      </c>
      <c r="I612">
        <v>0</v>
      </c>
      <c r="J612">
        <v>0.63893882037164329</v>
      </c>
      <c r="K612">
        <v>0</v>
      </c>
      <c r="L612">
        <v>0</v>
      </c>
      <c r="M612">
        <v>0.45838619334307779</v>
      </c>
      <c r="N612">
        <v>0</v>
      </c>
      <c r="O612">
        <v>0</v>
      </c>
      <c r="P612">
        <v>0.51723346696757833</v>
      </c>
      <c r="Q612">
        <v>1.0520760806746721</v>
      </c>
      <c r="R612">
        <v>-1.2717297245195329</v>
      </c>
      <c r="S612">
        <v>0.1964828312486355</v>
      </c>
      <c r="T612">
        <v>0.15403312757288981</v>
      </c>
      <c r="U612">
        <v>4.2695416864708866</v>
      </c>
      <c r="V612">
        <v>0.1933172563537221</v>
      </c>
      <c r="W612">
        <v>3.2201529592598881</v>
      </c>
      <c r="X612">
        <v>0.28279678046285739</v>
      </c>
      <c r="Z612" t="s">
        <v>392</v>
      </c>
      <c r="AA612">
        <v>161</v>
      </c>
      <c r="AB612" t="s">
        <v>5059</v>
      </c>
      <c r="AC612" t="str">
        <f>HYPERLINK("plots/3FT6Y578R04_015_S31P_20251219032831_M5358ACSA301811_RBGEUFRF04/dpll_52084/txpa_55193.png","plot")</f>
        <v>plot</v>
      </c>
    </row>
    <row r="613" spans="1:29" x14ac:dyDescent="0.35">
      <c r="A613" t="s">
        <v>50</v>
      </c>
      <c r="B613">
        <v>52084</v>
      </c>
      <c r="C613" t="s">
        <v>52</v>
      </c>
      <c r="D613">
        <v>55194</v>
      </c>
      <c r="E613" t="s">
        <v>327</v>
      </c>
      <c r="F613">
        <v>11781</v>
      </c>
      <c r="G613">
        <v>0.70963537479226579</v>
      </c>
      <c r="H613">
        <v>0</v>
      </c>
      <c r="I613">
        <v>0</v>
      </c>
      <c r="J613">
        <v>0.63085513655157777</v>
      </c>
      <c r="K613">
        <v>0</v>
      </c>
      <c r="L613">
        <v>0</v>
      </c>
      <c r="M613">
        <v>0.45310607183637519</v>
      </c>
      <c r="N613">
        <v>0</v>
      </c>
      <c r="O613">
        <v>0</v>
      </c>
      <c r="P613">
        <v>0.50358236515655952</v>
      </c>
      <c r="Q613">
        <v>1.0459030835015519</v>
      </c>
      <c r="R613">
        <v>-1.274270980645984</v>
      </c>
      <c r="S613">
        <v>0.20073283586439131</v>
      </c>
      <c r="T613">
        <v>0.1554127463884403</v>
      </c>
      <c r="U613">
        <v>4.2695633024361257</v>
      </c>
      <c r="V613">
        <v>0.19331122175495491</v>
      </c>
      <c r="W613">
        <v>3.1912784425770311</v>
      </c>
      <c r="X613">
        <v>0.28491364733352792</v>
      </c>
      <c r="Z613" t="s">
        <v>392</v>
      </c>
      <c r="AA613">
        <v>161</v>
      </c>
      <c r="AB613" t="s">
        <v>5060</v>
      </c>
      <c r="AC613" t="str">
        <f>HYPERLINK("plots/3FT6Y578R04_015_S31P_20251219032831_M5358ACSA301811_RBGEUFRF04/dpll_52084/txpa_55194.png","plot")</f>
        <v>plot</v>
      </c>
    </row>
    <row r="614" spans="1:29" x14ac:dyDescent="0.35">
      <c r="A614" t="s">
        <v>50</v>
      </c>
      <c r="B614">
        <v>52084</v>
      </c>
      <c r="C614" t="s">
        <v>52</v>
      </c>
      <c r="D614">
        <v>55195</v>
      </c>
      <c r="E614" t="s">
        <v>328</v>
      </c>
      <c r="F614">
        <v>11782</v>
      </c>
      <c r="G614">
        <v>0.72526825812825091</v>
      </c>
      <c r="H614">
        <v>0</v>
      </c>
      <c r="I614">
        <v>0</v>
      </c>
      <c r="J614">
        <v>0.65752204190717867</v>
      </c>
      <c r="K614">
        <v>0</v>
      </c>
      <c r="L614">
        <v>0</v>
      </c>
      <c r="M614">
        <v>0.47295065779089451</v>
      </c>
      <c r="N614">
        <v>0</v>
      </c>
      <c r="O614">
        <v>0</v>
      </c>
      <c r="P614">
        <v>0.52601404624838721</v>
      </c>
      <c r="Q614">
        <v>1.137329923480709</v>
      </c>
      <c r="R614">
        <v>0.7310289628591935</v>
      </c>
      <c r="S614">
        <v>0.2087001314268031</v>
      </c>
      <c r="T614">
        <v>0.1583695341244396</v>
      </c>
      <c r="U614">
        <v>4.2695416864708866</v>
      </c>
      <c r="V614">
        <v>0.1933172563537221</v>
      </c>
      <c r="W614">
        <v>5.5869064824308268</v>
      </c>
      <c r="X614">
        <v>0.30315059002265088</v>
      </c>
      <c r="Z614" t="s">
        <v>392</v>
      </c>
      <c r="AA614">
        <v>161</v>
      </c>
      <c r="AB614" t="s">
        <v>5061</v>
      </c>
      <c r="AC614" t="str">
        <f>HYPERLINK("plots/3FT6Y578R04_015_S31P_20251219032831_M5358ACSA301811_RBGEUFRF04/dpll_52084/txpa_55195.png","plot")</f>
        <v>plot</v>
      </c>
    </row>
    <row r="615" spans="1:29" x14ac:dyDescent="0.35">
      <c r="A615" t="s">
        <v>50</v>
      </c>
      <c r="B615">
        <v>52084</v>
      </c>
      <c r="C615" t="s">
        <v>52</v>
      </c>
      <c r="D615">
        <v>55196</v>
      </c>
      <c r="E615" t="s">
        <v>329</v>
      </c>
      <c r="F615">
        <v>11782</v>
      </c>
      <c r="G615">
        <v>0.74596770216720909</v>
      </c>
      <c r="H615">
        <v>0</v>
      </c>
      <c r="I615">
        <v>0</v>
      </c>
      <c r="J615">
        <v>0.67048269016938034</v>
      </c>
      <c r="K615">
        <v>0</v>
      </c>
      <c r="L615">
        <v>0</v>
      </c>
      <c r="M615">
        <v>0.48646787899439442</v>
      </c>
      <c r="N615">
        <v>0</v>
      </c>
      <c r="O615">
        <v>0</v>
      </c>
      <c r="P615">
        <v>0.55646781267662593</v>
      </c>
      <c r="Q615">
        <v>1.1706403252586171</v>
      </c>
      <c r="R615">
        <v>0.62189493219139624</v>
      </c>
      <c r="S615">
        <v>0.20203109539837491</v>
      </c>
      <c r="T615">
        <v>0.15591052398008079</v>
      </c>
      <c r="U615">
        <v>4.2695416864708866</v>
      </c>
      <c r="V615">
        <v>0.1933172563537221</v>
      </c>
      <c r="W615">
        <v>5.6199926007469019</v>
      </c>
      <c r="X615">
        <v>0.30337101083405682</v>
      </c>
      <c r="Z615" t="s">
        <v>392</v>
      </c>
      <c r="AA615">
        <v>161</v>
      </c>
      <c r="AB615" t="s">
        <v>5062</v>
      </c>
      <c r="AC615" t="str">
        <f>HYPERLINK("plots/3FT6Y578R04_015_S31P_20251219032831_M5358ACSA301811_RBGEUFRF04/dpll_52084/txpa_55196.png","plot")</f>
        <v>plot</v>
      </c>
    </row>
    <row r="616" spans="1:29" x14ac:dyDescent="0.35">
      <c r="A616" t="s">
        <v>50</v>
      </c>
      <c r="B616">
        <v>52084</v>
      </c>
      <c r="C616" t="s">
        <v>52</v>
      </c>
      <c r="D616">
        <v>55197</v>
      </c>
      <c r="E616" t="s">
        <v>330</v>
      </c>
      <c r="F616">
        <v>11782</v>
      </c>
      <c r="G616">
        <v>0.73703574406148875</v>
      </c>
      <c r="H616">
        <v>0</v>
      </c>
      <c r="I616">
        <v>0</v>
      </c>
      <c r="J616">
        <v>0.66090522757058845</v>
      </c>
      <c r="K616">
        <v>0</v>
      </c>
      <c r="L616">
        <v>0</v>
      </c>
      <c r="M616">
        <v>0.47758531565126427</v>
      </c>
      <c r="N616">
        <v>0</v>
      </c>
      <c r="O616">
        <v>0</v>
      </c>
      <c r="P616">
        <v>0.5432216880242724</v>
      </c>
      <c r="Q616">
        <v>1.142333114509047</v>
      </c>
      <c r="R616">
        <v>0.75656832821224729</v>
      </c>
      <c r="S616">
        <v>0.2024925946949675</v>
      </c>
      <c r="T616">
        <v>0.1554433976983132</v>
      </c>
      <c r="U616">
        <v>4.2695416864708866</v>
      </c>
      <c r="V616">
        <v>0.1933172563537221</v>
      </c>
      <c r="W616">
        <v>5.6338071804447463</v>
      </c>
      <c r="X616">
        <v>0.29962278670770659</v>
      </c>
      <c r="Z616" t="s">
        <v>392</v>
      </c>
      <c r="AA616">
        <v>161</v>
      </c>
      <c r="AB616" t="s">
        <v>5063</v>
      </c>
      <c r="AC616" t="str">
        <f>HYPERLINK("plots/3FT6Y578R04_015_S31P_20251219032831_M5358ACSA301811_RBGEUFRF04/dpll_52084/txpa_55197.png","plot")</f>
        <v>plot</v>
      </c>
    </row>
    <row r="617" spans="1:29" x14ac:dyDescent="0.35">
      <c r="A617" t="s">
        <v>50</v>
      </c>
      <c r="B617">
        <v>52084</v>
      </c>
      <c r="C617" t="s">
        <v>52</v>
      </c>
      <c r="D617">
        <v>55198</v>
      </c>
      <c r="E617" t="s">
        <v>331</v>
      </c>
      <c r="F617">
        <v>11781</v>
      </c>
      <c r="G617">
        <v>0.75207525221221316</v>
      </c>
      <c r="H617">
        <v>0</v>
      </c>
      <c r="I617">
        <v>0</v>
      </c>
      <c r="J617">
        <v>0.67181853582645956</v>
      </c>
      <c r="K617">
        <v>0</v>
      </c>
      <c r="L617">
        <v>0</v>
      </c>
      <c r="M617">
        <v>0.48747251661694108</v>
      </c>
      <c r="N617">
        <v>0</v>
      </c>
      <c r="O617">
        <v>0</v>
      </c>
      <c r="P617">
        <v>0.56561718499006408</v>
      </c>
      <c r="Q617">
        <v>1.172258629891197</v>
      </c>
      <c r="R617">
        <v>0.6359157266227724</v>
      </c>
      <c r="S617">
        <v>0.19859368970200539</v>
      </c>
      <c r="T617">
        <v>0.15406378579284</v>
      </c>
      <c r="U617">
        <v>4.2695489746201511</v>
      </c>
      <c r="V617">
        <v>0.19332384277072681</v>
      </c>
      <c r="W617">
        <v>5.640931357864357</v>
      </c>
      <c r="X617">
        <v>0.3013335997762181</v>
      </c>
      <c r="Z617" t="s">
        <v>392</v>
      </c>
      <c r="AA617">
        <v>161</v>
      </c>
      <c r="AB617" t="s">
        <v>5064</v>
      </c>
      <c r="AC617" t="str">
        <f>HYPERLINK("plots/3FT6Y578R04_015_S31P_20251219032831_M5358ACSA301811_RBGEUFRF04/dpll_52084/txpa_55198.png","plot")</f>
        <v>plot</v>
      </c>
    </row>
    <row r="618" spans="1:29" x14ac:dyDescent="0.35">
      <c r="A618" t="s">
        <v>50</v>
      </c>
      <c r="B618">
        <v>52084</v>
      </c>
      <c r="C618" t="s">
        <v>52</v>
      </c>
      <c r="D618">
        <v>55199</v>
      </c>
      <c r="E618" t="s">
        <v>332</v>
      </c>
      <c r="F618">
        <v>11781</v>
      </c>
      <c r="G618">
        <v>0.75370189874911808</v>
      </c>
      <c r="H618">
        <v>0</v>
      </c>
      <c r="I618">
        <v>0</v>
      </c>
      <c r="J618">
        <v>0.66762221409980405</v>
      </c>
      <c r="K618">
        <v>0</v>
      </c>
      <c r="L618">
        <v>0</v>
      </c>
      <c r="M618">
        <v>0.48256457379515327</v>
      </c>
      <c r="N618">
        <v>0</v>
      </c>
      <c r="O618">
        <v>0</v>
      </c>
      <c r="P618">
        <v>0.56806655217802582</v>
      </c>
      <c r="Q618">
        <v>1.1698200159072609</v>
      </c>
      <c r="R618">
        <v>0.62570556969191315</v>
      </c>
      <c r="S618">
        <v>0.1971778393670571</v>
      </c>
      <c r="T618">
        <v>0.15339720842598961</v>
      </c>
      <c r="U618">
        <v>4.2695174021729896</v>
      </c>
      <c r="V618">
        <v>0.19330748901132719</v>
      </c>
      <c r="W618">
        <v>5.6202724850182486</v>
      </c>
      <c r="X618">
        <v>0.30003237386761061</v>
      </c>
      <c r="Z618" t="s">
        <v>392</v>
      </c>
      <c r="AA618">
        <v>161</v>
      </c>
      <c r="AB618" t="s">
        <v>5065</v>
      </c>
      <c r="AC618" t="str">
        <f>HYPERLINK("plots/3FT6Y578R04_015_S31P_20251219032831_M5358ACSA301811_RBGEUFRF04/dpll_52084/txpa_55199.png","plot")</f>
        <v>plot</v>
      </c>
    </row>
    <row r="619" spans="1:29" x14ac:dyDescent="0.35">
      <c r="A619" t="s">
        <v>50</v>
      </c>
      <c r="B619">
        <v>52084</v>
      </c>
      <c r="C619" t="s">
        <v>52</v>
      </c>
      <c r="D619">
        <v>55200</v>
      </c>
      <c r="E619" t="s">
        <v>333</v>
      </c>
      <c r="F619">
        <v>11781</v>
      </c>
      <c r="G619">
        <v>0.75852707749057269</v>
      </c>
      <c r="H619">
        <v>0</v>
      </c>
      <c r="I619">
        <v>0</v>
      </c>
      <c r="J619">
        <v>0.68008792255777639</v>
      </c>
      <c r="K619">
        <v>0</v>
      </c>
      <c r="L619">
        <v>0</v>
      </c>
      <c r="M619">
        <v>0.49425837924118088</v>
      </c>
      <c r="N619">
        <v>0</v>
      </c>
      <c r="O619">
        <v>0</v>
      </c>
      <c r="P619">
        <v>0.57536332728638928</v>
      </c>
      <c r="Q619">
        <v>1.1867334780991661</v>
      </c>
      <c r="R619">
        <v>0.56380993773972854</v>
      </c>
      <c r="S619">
        <v>0.1970629192689248</v>
      </c>
      <c r="T619">
        <v>0.1533913757940388</v>
      </c>
      <c r="U619">
        <v>4.2695129435531793</v>
      </c>
      <c r="V619">
        <v>0.1933002831720991</v>
      </c>
      <c r="W619">
        <v>5.6305838830320019</v>
      </c>
      <c r="X619">
        <v>0.30242284576746697</v>
      </c>
      <c r="Z619" t="s">
        <v>392</v>
      </c>
      <c r="AA619">
        <v>161</v>
      </c>
      <c r="AB619" t="s">
        <v>5066</v>
      </c>
      <c r="AC619" t="str">
        <f>HYPERLINK("plots/3FT6Y578R04_015_S31P_20251219032831_M5358ACSA301811_RBGEUFRF04/dpll_52084/txpa_55200.png","plot")</f>
        <v>plot</v>
      </c>
    </row>
    <row r="620" spans="1:29" x14ac:dyDescent="0.35">
      <c r="A620" t="s">
        <v>50</v>
      </c>
      <c r="B620">
        <v>52084</v>
      </c>
      <c r="C620" t="s">
        <v>52</v>
      </c>
      <c r="D620">
        <v>55201</v>
      </c>
      <c r="E620" t="s">
        <v>334</v>
      </c>
      <c r="F620">
        <v>11782</v>
      </c>
      <c r="G620">
        <v>0.75454035034205869</v>
      </c>
      <c r="H620">
        <v>0</v>
      </c>
      <c r="I620">
        <v>0</v>
      </c>
      <c r="J620">
        <v>0.67025388576538958</v>
      </c>
      <c r="K620">
        <v>0</v>
      </c>
      <c r="L620">
        <v>0</v>
      </c>
      <c r="M620">
        <v>0.48517770594762621</v>
      </c>
      <c r="N620">
        <v>0</v>
      </c>
      <c r="O620">
        <v>0</v>
      </c>
      <c r="P620">
        <v>0.56933114029431664</v>
      </c>
      <c r="Q620">
        <v>1.1680737011423521</v>
      </c>
      <c r="R620">
        <v>0.64939075341082741</v>
      </c>
      <c r="S620">
        <v>0.19638653312852469</v>
      </c>
      <c r="T620">
        <v>0.1534965875430937</v>
      </c>
      <c r="U620">
        <v>4.2695416864708866</v>
      </c>
      <c r="V620">
        <v>0.1933172563537221</v>
      </c>
      <c r="W620">
        <v>5.6365301133084378</v>
      </c>
      <c r="X620">
        <v>0.29926670326034949</v>
      </c>
      <c r="Z620" t="s">
        <v>392</v>
      </c>
      <c r="AA620">
        <v>161</v>
      </c>
      <c r="AB620" t="s">
        <v>5067</v>
      </c>
      <c r="AC620" t="str">
        <f>HYPERLINK("plots/3FT6Y578R04_015_S31P_20251219032831_M5358ACSA301811_RBGEUFRF04/dpll_52084/txpa_55201.png","plot")</f>
        <v>plot</v>
      </c>
    </row>
    <row r="621" spans="1:29" x14ac:dyDescent="0.35">
      <c r="A621" t="s">
        <v>50</v>
      </c>
      <c r="B621">
        <v>52084</v>
      </c>
      <c r="C621" t="s">
        <v>52</v>
      </c>
      <c r="D621">
        <v>55202</v>
      </c>
      <c r="E621" t="s">
        <v>335</v>
      </c>
      <c r="F621">
        <v>11781</v>
      </c>
      <c r="G621">
        <v>0.74657415794070348</v>
      </c>
      <c r="H621">
        <v>0</v>
      </c>
      <c r="I621">
        <v>0</v>
      </c>
      <c r="J621">
        <v>0.66369433590028659</v>
      </c>
      <c r="K621">
        <v>0</v>
      </c>
      <c r="L621">
        <v>0</v>
      </c>
      <c r="M621">
        <v>0.48082792076753378</v>
      </c>
      <c r="N621">
        <v>0</v>
      </c>
      <c r="O621">
        <v>0</v>
      </c>
      <c r="P621">
        <v>0.55737297330487046</v>
      </c>
      <c r="Q621">
        <v>1.1633692973302701</v>
      </c>
      <c r="R621">
        <v>0.64267798093438078</v>
      </c>
      <c r="S621">
        <v>0.20040208793088479</v>
      </c>
      <c r="T621">
        <v>0.1545768304135218</v>
      </c>
      <c r="U621">
        <v>4.2695633024361257</v>
      </c>
      <c r="V621">
        <v>0.19331122175495491</v>
      </c>
      <c r="W621">
        <v>5.6097568399966038</v>
      </c>
      <c r="X621">
        <v>0.30123241988370542</v>
      </c>
      <c r="Z621" t="s">
        <v>392</v>
      </c>
      <c r="AA621">
        <v>161</v>
      </c>
      <c r="AB621" t="s">
        <v>5068</v>
      </c>
      <c r="AC621" t="str">
        <f>HYPERLINK("plots/3FT6Y578R04_015_S31P_20251219032831_M5358ACSA301811_RBGEUFRF04/dpll_52084/txpa_55202.png","plot")</f>
        <v>plot</v>
      </c>
    </row>
    <row r="622" spans="1:29" x14ac:dyDescent="0.35">
      <c r="A622" t="s">
        <v>50</v>
      </c>
      <c r="B622">
        <v>52084</v>
      </c>
      <c r="C622" t="s">
        <v>52</v>
      </c>
      <c r="D622">
        <v>55203</v>
      </c>
      <c r="E622" t="s">
        <v>336</v>
      </c>
      <c r="F622">
        <v>11782</v>
      </c>
      <c r="G622">
        <v>0.73845009556180508</v>
      </c>
      <c r="H622">
        <v>0</v>
      </c>
      <c r="I622">
        <v>0</v>
      </c>
      <c r="J622">
        <v>0.66745316689227108</v>
      </c>
      <c r="K622">
        <v>0</v>
      </c>
      <c r="L622">
        <v>0</v>
      </c>
      <c r="M622">
        <v>0.48143509811831159</v>
      </c>
      <c r="N622">
        <v>0</v>
      </c>
      <c r="O622">
        <v>0</v>
      </c>
      <c r="P622">
        <v>0.54530854363523906</v>
      </c>
      <c r="Q622">
        <v>1.1937733779426321</v>
      </c>
      <c r="R622">
        <v>1.5548414915112989</v>
      </c>
      <c r="S622">
        <v>0.2107227023288622</v>
      </c>
      <c r="T622">
        <v>0.1595455968390565</v>
      </c>
      <c r="U622">
        <v>4.2695416864708866</v>
      </c>
      <c r="V622">
        <v>0.1933172563537221</v>
      </c>
      <c r="W622">
        <v>6.6517066928365303</v>
      </c>
      <c r="X622">
        <v>0.31251535549793902</v>
      </c>
      <c r="Z622" t="s">
        <v>392</v>
      </c>
      <c r="AA622">
        <v>161</v>
      </c>
      <c r="AB622" t="s">
        <v>5069</v>
      </c>
      <c r="AC622" t="str">
        <f>HYPERLINK("plots/3FT6Y578R04_015_S31P_20251219032831_M5358ACSA301811_RBGEUFRF04/dpll_52084/txpa_55203.png","plot")</f>
        <v>plot</v>
      </c>
    </row>
    <row r="623" spans="1:29" x14ac:dyDescent="0.35">
      <c r="A623" t="s">
        <v>50</v>
      </c>
      <c r="B623">
        <v>52084</v>
      </c>
      <c r="C623" t="s">
        <v>52</v>
      </c>
      <c r="D623">
        <v>55204</v>
      </c>
      <c r="E623" t="s">
        <v>337</v>
      </c>
      <c r="F623">
        <v>11782</v>
      </c>
      <c r="G623">
        <v>0.7583304842725147</v>
      </c>
      <c r="H623">
        <v>0</v>
      </c>
      <c r="I623">
        <v>0</v>
      </c>
      <c r="J623">
        <v>0.68040368704769372</v>
      </c>
      <c r="K623">
        <v>0</v>
      </c>
      <c r="L623">
        <v>0</v>
      </c>
      <c r="M623">
        <v>0.49509629438557429</v>
      </c>
      <c r="N623">
        <v>0</v>
      </c>
      <c r="O623">
        <v>0</v>
      </c>
      <c r="P623">
        <v>0.57506512337698668</v>
      </c>
      <c r="Q623">
        <v>1.226302367068425</v>
      </c>
      <c r="R623">
        <v>1.4484642868494351</v>
      </c>
      <c r="S623">
        <v>0.2037757180839958</v>
      </c>
      <c r="T623">
        <v>0.15684364181848751</v>
      </c>
      <c r="U623">
        <v>4.2695416864708866</v>
      </c>
      <c r="V623">
        <v>0.1933172563537221</v>
      </c>
      <c r="W623">
        <v>6.6842133632659984</v>
      </c>
      <c r="X623">
        <v>0.31261490073047188</v>
      </c>
      <c r="Z623" t="s">
        <v>392</v>
      </c>
      <c r="AA623">
        <v>161</v>
      </c>
      <c r="AB623" t="s">
        <v>5070</v>
      </c>
      <c r="AC623" t="str">
        <f>HYPERLINK("plots/3FT6Y578R04_015_S31P_20251219032831_M5358ACSA301811_RBGEUFRF04/dpll_52084/txpa_55204.png","plot")</f>
        <v>plot</v>
      </c>
    </row>
    <row r="624" spans="1:29" x14ac:dyDescent="0.35">
      <c r="A624" t="s">
        <v>50</v>
      </c>
      <c r="B624">
        <v>52084</v>
      </c>
      <c r="C624" t="s">
        <v>52</v>
      </c>
      <c r="D624">
        <v>55205</v>
      </c>
      <c r="E624" t="s">
        <v>338</v>
      </c>
      <c r="F624">
        <v>11782</v>
      </c>
      <c r="G624">
        <v>0.74997708949908193</v>
      </c>
      <c r="H624">
        <v>0</v>
      </c>
      <c r="I624">
        <v>0</v>
      </c>
      <c r="J624">
        <v>0.6708699703089972</v>
      </c>
      <c r="K624">
        <v>0</v>
      </c>
      <c r="L624">
        <v>0</v>
      </c>
      <c r="M624">
        <v>0.48611294095464569</v>
      </c>
      <c r="N624">
        <v>0</v>
      </c>
      <c r="O624">
        <v>0</v>
      </c>
      <c r="P624">
        <v>0.56246563477351397</v>
      </c>
      <c r="Q624">
        <v>1.1985118402699111</v>
      </c>
      <c r="R624">
        <v>1.580914863636403</v>
      </c>
      <c r="S624">
        <v>0.20433963275833381</v>
      </c>
      <c r="T624">
        <v>0.15642354483900769</v>
      </c>
      <c r="U624">
        <v>4.2695416864708866</v>
      </c>
      <c r="V624">
        <v>0.1933172563537221</v>
      </c>
      <c r="W624">
        <v>6.6980111273977254</v>
      </c>
      <c r="X624">
        <v>0.30893346465180688</v>
      </c>
      <c r="Z624" t="s">
        <v>392</v>
      </c>
      <c r="AA624">
        <v>161</v>
      </c>
      <c r="AB624" t="s">
        <v>5071</v>
      </c>
      <c r="AC624" t="str">
        <f>HYPERLINK("plots/3FT6Y578R04_015_S31P_20251219032831_M5358ACSA301811_RBGEUFRF04/dpll_52084/txpa_55205.png","plot")</f>
        <v>plot</v>
      </c>
    </row>
    <row r="625" spans="1:29" x14ac:dyDescent="0.35">
      <c r="A625" t="s">
        <v>50</v>
      </c>
      <c r="B625">
        <v>52084</v>
      </c>
      <c r="C625" t="s">
        <v>52</v>
      </c>
      <c r="D625">
        <v>55206</v>
      </c>
      <c r="E625" t="s">
        <v>339</v>
      </c>
      <c r="F625">
        <v>11781</v>
      </c>
      <c r="G625">
        <v>0.76440457981516596</v>
      </c>
      <c r="H625">
        <v>0</v>
      </c>
      <c r="I625">
        <v>0</v>
      </c>
      <c r="J625">
        <v>0.68156468013954397</v>
      </c>
      <c r="K625">
        <v>0</v>
      </c>
      <c r="L625">
        <v>0</v>
      </c>
      <c r="M625">
        <v>0.49588364452937289</v>
      </c>
      <c r="N625">
        <v>0</v>
      </c>
      <c r="O625">
        <v>0</v>
      </c>
      <c r="P625">
        <v>0.58431436164240047</v>
      </c>
      <c r="Q625">
        <v>1.228029772773207</v>
      </c>
      <c r="R625">
        <v>1.4611176645915289</v>
      </c>
      <c r="S625">
        <v>0.20023275010336269</v>
      </c>
      <c r="T625">
        <v>0.1550205446200949</v>
      </c>
      <c r="U625">
        <v>4.2695489746201511</v>
      </c>
      <c r="V625">
        <v>0.19332384277072681</v>
      </c>
      <c r="W625">
        <v>6.7042509217383923</v>
      </c>
      <c r="X625">
        <v>0.31057824740765438</v>
      </c>
      <c r="Z625" t="s">
        <v>392</v>
      </c>
      <c r="AA625">
        <v>161</v>
      </c>
      <c r="AB625" t="s">
        <v>5072</v>
      </c>
      <c r="AC625" t="str">
        <f>HYPERLINK("plots/3FT6Y578R04_015_S31P_20251219032831_M5358ACSA301811_RBGEUFRF04/dpll_52084/txpa_55206.png","plot")</f>
        <v>plot</v>
      </c>
    </row>
    <row r="626" spans="1:29" x14ac:dyDescent="0.35">
      <c r="A626" t="s">
        <v>50</v>
      </c>
      <c r="B626">
        <v>52084</v>
      </c>
      <c r="C626" t="s">
        <v>52</v>
      </c>
      <c r="D626">
        <v>55207</v>
      </c>
      <c r="E626" t="s">
        <v>340</v>
      </c>
      <c r="F626">
        <v>11781</v>
      </c>
      <c r="G626">
        <v>0.76617816127205773</v>
      </c>
      <c r="H626">
        <v>0</v>
      </c>
      <c r="I626">
        <v>0</v>
      </c>
      <c r="J626">
        <v>0.67752437759448492</v>
      </c>
      <c r="K626">
        <v>0</v>
      </c>
      <c r="L626">
        <v>0</v>
      </c>
      <c r="M626">
        <v>0.49104193938679253</v>
      </c>
      <c r="N626">
        <v>0</v>
      </c>
      <c r="O626">
        <v>0</v>
      </c>
      <c r="P626">
        <v>0.58702897481023131</v>
      </c>
      <c r="Q626">
        <v>1.2261468906926829</v>
      </c>
      <c r="R626">
        <v>1.447994776127256</v>
      </c>
      <c r="S626">
        <v>0.19879377001000309</v>
      </c>
      <c r="T626">
        <v>0.154369586440469</v>
      </c>
      <c r="U626">
        <v>4.2695174021729896</v>
      </c>
      <c r="V626">
        <v>0.19330748901132719</v>
      </c>
      <c r="W626">
        <v>6.6830502635599691</v>
      </c>
      <c r="X626">
        <v>0.30935804305010128</v>
      </c>
      <c r="Z626" t="s">
        <v>392</v>
      </c>
      <c r="AA626">
        <v>161</v>
      </c>
      <c r="AB626" t="s">
        <v>5073</v>
      </c>
      <c r="AC626" t="str">
        <f>HYPERLINK("plots/3FT6Y578R04_015_S31P_20251219032831_M5358ACSA301811_RBGEUFRF04/dpll_52084/txpa_55207.png","plot")</f>
        <v>plot</v>
      </c>
    </row>
    <row r="627" spans="1:29" x14ac:dyDescent="0.35">
      <c r="A627" t="s">
        <v>50</v>
      </c>
      <c r="B627">
        <v>52084</v>
      </c>
      <c r="C627" t="s">
        <v>52</v>
      </c>
      <c r="D627">
        <v>55208</v>
      </c>
      <c r="E627" t="s">
        <v>341</v>
      </c>
      <c r="F627">
        <v>11781</v>
      </c>
      <c r="G627">
        <v>0.77045401415785442</v>
      </c>
      <c r="H627">
        <v>0</v>
      </c>
      <c r="I627">
        <v>0</v>
      </c>
      <c r="J627">
        <v>0.6891439939848627</v>
      </c>
      <c r="K627">
        <v>0</v>
      </c>
      <c r="L627">
        <v>0</v>
      </c>
      <c r="M627">
        <v>0.50221575936303764</v>
      </c>
      <c r="N627">
        <v>0</v>
      </c>
      <c r="O627">
        <v>0</v>
      </c>
      <c r="P627">
        <v>0.59359938793195133</v>
      </c>
      <c r="Q627">
        <v>1.242666271169619</v>
      </c>
      <c r="R627">
        <v>1.388397014124739</v>
      </c>
      <c r="S627">
        <v>0.1987462864470779</v>
      </c>
      <c r="T627">
        <v>0.15446693687223459</v>
      </c>
      <c r="U627">
        <v>4.2695129435531793</v>
      </c>
      <c r="V627">
        <v>0.1933002831720991</v>
      </c>
      <c r="W627">
        <v>6.6939767434003903</v>
      </c>
      <c r="X627">
        <v>0.31177427554591081</v>
      </c>
      <c r="Z627" t="s">
        <v>392</v>
      </c>
      <c r="AA627">
        <v>161</v>
      </c>
      <c r="AB627" t="s">
        <v>5074</v>
      </c>
      <c r="AC627" t="str">
        <f>HYPERLINK("plots/3FT6Y578R04_015_S31P_20251219032831_M5358ACSA301811_RBGEUFRF04/dpll_52084/txpa_55208.png","plot")</f>
        <v>plot</v>
      </c>
    </row>
    <row r="628" spans="1:29" x14ac:dyDescent="0.35">
      <c r="A628" t="s">
        <v>50</v>
      </c>
      <c r="B628">
        <v>52084</v>
      </c>
      <c r="C628" t="s">
        <v>52</v>
      </c>
      <c r="D628">
        <v>55209</v>
      </c>
      <c r="E628" t="s">
        <v>342</v>
      </c>
      <c r="F628">
        <v>11782</v>
      </c>
      <c r="G628">
        <v>0.76687265836572371</v>
      </c>
      <c r="H628">
        <v>0</v>
      </c>
      <c r="I628">
        <v>0</v>
      </c>
      <c r="J628">
        <v>0.67972883765265069</v>
      </c>
      <c r="K628">
        <v>0</v>
      </c>
      <c r="L628">
        <v>0</v>
      </c>
      <c r="M628">
        <v>0.49341284788930889</v>
      </c>
      <c r="N628">
        <v>0</v>
      </c>
      <c r="O628">
        <v>0</v>
      </c>
      <c r="P628">
        <v>0.588093674148912</v>
      </c>
      <c r="Q628">
        <v>1.22457582731109</v>
      </c>
      <c r="R628">
        <v>1.4714683571525751</v>
      </c>
      <c r="S628">
        <v>0.19811339976906589</v>
      </c>
      <c r="T628">
        <v>0.1545415087599751</v>
      </c>
      <c r="U628">
        <v>4.2695416864708866</v>
      </c>
      <c r="V628">
        <v>0.1933172563537221</v>
      </c>
      <c r="W628">
        <v>6.6998459001018498</v>
      </c>
      <c r="X628">
        <v>0.30869745654691372</v>
      </c>
      <c r="Z628" t="s">
        <v>392</v>
      </c>
      <c r="AA628">
        <v>161</v>
      </c>
      <c r="AB628" t="s">
        <v>5075</v>
      </c>
      <c r="AC628" t="str">
        <f>HYPERLINK("plots/3FT6Y578R04_015_S31P_20251219032831_M5358ACSA301811_RBGEUFRF04/dpll_52084/txpa_55209.png","plot")</f>
        <v>plot</v>
      </c>
    </row>
    <row r="629" spans="1:29" x14ac:dyDescent="0.35">
      <c r="A629" t="s">
        <v>50</v>
      </c>
      <c r="B629">
        <v>52084</v>
      </c>
      <c r="C629" t="s">
        <v>52</v>
      </c>
      <c r="D629">
        <v>55210</v>
      </c>
      <c r="E629" t="s">
        <v>343</v>
      </c>
      <c r="F629">
        <v>11781</v>
      </c>
      <c r="G629">
        <v>0.75929077312670268</v>
      </c>
      <c r="H629">
        <v>0</v>
      </c>
      <c r="I629">
        <v>0</v>
      </c>
      <c r="J629">
        <v>0.67359284712967482</v>
      </c>
      <c r="K629">
        <v>0</v>
      </c>
      <c r="L629">
        <v>0</v>
      </c>
      <c r="M629">
        <v>0.48933265248918728</v>
      </c>
      <c r="N629">
        <v>0</v>
      </c>
      <c r="O629">
        <v>0</v>
      </c>
      <c r="P629">
        <v>0.57652247815534585</v>
      </c>
      <c r="Q629">
        <v>1.2191685196021571</v>
      </c>
      <c r="R629">
        <v>1.4690134366399761</v>
      </c>
      <c r="S629">
        <v>0.20198049495442449</v>
      </c>
      <c r="T629">
        <v>0.1554013617324696</v>
      </c>
      <c r="U629">
        <v>4.2695633024361257</v>
      </c>
      <c r="V629">
        <v>0.19331122175495491</v>
      </c>
      <c r="W629">
        <v>6.6743306074187254</v>
      </c>
      <c r="X629">
        <v>0.31039354670275288</v>
      </c>
      <c r="Z629" t="s">
        <v>392</v>
      </c>
      <c r="AA629">
        <v>161</v>
      </c>
      <c r="AB629" t="s">
        <v>5076</v>
      </c>
      <c r="AC629" t="str">
        <f>HYPERLINK("plots/3FT6Y578R04_015_S31P_20251219032831_M5358ACSA301811_RBGEUFRF04/dpll_52084/txpa_55210.png","plot")</f>
        <v>plot</v>
      </c>
    </row>
    <row r="630" spans="1:29" x14ac:dyDescent="0.35">
      <c r="A630" t="s">
        <v>50</v>
      </c>
      <c r="B630">
        <v>52084</v>
      </c>
      <c r="C630" t="s">
        <v>52</v>
      </c>
      <c r="D630">
        <v>55211</v>
      </c>
      <c r="E630" t="s">
        <v>344</v>
      </c>
      <c r="F630">
        <v>11782</v>
      </c>
      <c r="G630">
        <v>0.74949756761340558</v>
      </c>
      <c r="H630">
        <v>0</v>
      </c>
      <c r="I630">
        <v>0</v>
      </c>
      <c r="J630">
        <v>0.67581178843969114</v>
      </c>
      <c r="K630">
        <v>0</v>
      </c>
      <c r="L630">
        <v>0</v>
      </c>
      <c r="M630">
        <v>0.48849920490864968</v>
      </c>
      <c r="N630">
        <v>0</v>
      </c>
      <c r="O630">
        <v>0</v>
      </c>
      <c r="P630">
        <v>0.56174660385841146</v>
      </c>
      <c r="Q630">
        <v>1.2520310209057399</v>
      </c>
      <c r="R630">
        <v>2.3397431304208491</v>
      </c>
      <c r="S630">
        <v>0.2137763699736567</v>
      </c>
      <c r="T630">
        <v>0.16151050328976721</v>
      </c>
      <c r="U630">
        <v>4.2695416864708866</v>
      </c>
      <c r="V630">
        <v>0.1933172563537221</v>
      </c>
      <c r="W630">
        <v>7.6853417669326101</v>
      </c>
      <c r="X630">
        <v>0.32293527329509952</v>
      </c>
      <c r="Z630" t="s">
        <v>392</v>
      </c>
      <c r="AA630">
        <v>161</v>
      </c>
      <c r="AB630" t="s">
        <v>5077</v>
      </c>
      <c r="AC630" t="str">
        <f>HYPERLINK("plots/3FT6Y578R04_015_S31P_20251219032831_M5358ACSA301811_RBGEUFRF04/dpll_52084/txpa_55211.png","plot")</f>
        <v>plot</v>
      </c>
    </row>
    <row r="631" spans="1:29" x14ac:dyDescent="0.35">
      <c r="A631" t="s">
        <v>50</v>
      </c>
      <c r="B631">
        <v>52084</v>
      </c>
      <c r="C631" t="s">
        <v>52</v>
      </c>
      <c r="D631">
        <v>55212</v>
      </c>
      <c r="E631" t="s">
        <v>345</v>
      </c>
      <c r="F631">
        <v>11782</v>
      </c>
      <c r="G631">
        <v>0.76834913000745853</v>
      </c>
      <c r="H631">
        <v>0</v>
      </c>
      <c r="I631">
        <v>0</v>
      </c>
      <c r="J631">
        <v>0.68802242279055326</v>
      </c>
      <c r="K631">
        <v>0</v>
      </c>
      <c r="L631">
        <v>0</v>
      </c>
      <c r="M631">
        <v>0.50167539058815092</v>
      </c>
      <c r="N631">
        <v>0</v>
      </c>
      <c r="O631">
        <v>0</v>
      </c>
      <c r="P631">
        <v>0.59036038558321835</v>
      </c>
      <c r="Q631">
        <v>1.283574718787573</v>
      </c>
      <c r="R631">
        <v>2.2368518553726529</v>
      </c>
      <c r="S631">
        <v>0.2066882160109248</v>
      </c>
      <c r="T631">
        <v>0.15883065732948781</v>
      </c>
      <c r="U631">
        <v>4.2695416864708866</v>
      </c>
      <c r="V631">
        <v>0.1933172563537221</v>
      </c>
      <c r="W631">
        <v>7.7171276249363423</v>
      </c>
      <c r="X631">
        <v>0.32294842704982968</v>
      </c>
      <c r="Z631" t="s">
        <v>392</v>
      </c>
      <c r="AA631">
        <v>161</v>
      </c>
      <c r="AB631" t="s">
        <v>5078</v>
      </c>
      <c r="AC631" t="str">
        <f>HYPERLINK("plots/3FT6Y578R04_015_S31P_20251219032831_M5358ACSA301811_RBGEUFRF04/dpll_52084/txpa_55212.png","plot")</f>
        <v>plot</v>
      </c>
    </row>
    <row r="632" spans="1:29" x14ac:dyDescent="0.35">
      <c r="A632" t="s">
        <v>50</v>
      </c>
      <c r="B632">
        <v>52084</v>
      </c>
      <c r="C632" t="s">
        <v>52</v>
      </c>
      <c r="D632">
        <v>55213</v>
      </c>
      <c r="E632" t="s">
        <v>346</v>
      </c>
      <c r="F632">
        <v>11782</v>
      </c>
      <c r="G632">
        <v>0.76050271433824279</v>
      </c>
      <c r="H632">
        <v>0</v>
      </c>
      <c r="I632">
        <v>0</v>
      </c>
      <c r="J632">
        <v>0.67880065437434778</v>
      </c>
      <c r="K632">
        <v>0</v>
      </c>
      <c r="L632">
        <v>0</v>
      </c>
      <c r="M632">
        <v>0.49281974520212679</v>
      </c>
      <c r="N632">
        <v>0</v>
      </c>
      <c r="O632">
        <v>0</v>
      </c>
      <c r="P632">
        <v>0.57836437851583489</v>
      </c>
      <c r="Q632">
        <v>1.255678755739793</v>
      </c>
      <c r="R632">
        <v>2.3697321670675708</v>
      </c>
      <c r="S632">
        <v>0.2072519460596616</v>
      </c>
      <c r="T632">
        <v>0.15829907553261979</v>
      </c>
      <c r="U632">
        <v>4.2695416864708866</v>
      </c>
      <c r="V632">
        <v>0.1933172563537221</v>
      </c>
      <c r="W632">
        <v>7.730904959514513</v>
      </c>
      <c r="X632">
        <v>0.319189356388423</v>
      </c>
      <c r="Z632" t="s">
        <v>392</v>
      </c>
      <c r="AA632">
        <v>161</v>
      </c>
      <c r="AB632" t="s">
        <v>5079</v>
      </c>
      <c r="AC632" t="str">
        <f>HYPERLINK("plots/3FT6Y578R04_015_S31P_20251219032831_M5358ACSA301811_RBGEUFRF04/dpll_52084/txpa_55213.png","plot")</f>
        <v>plot</v>
      </c>
    </row>
    <row r="633" spans="1:29" x14ac:dyDescent="0.35">
      <c r="A633" t="s">
        <v>50</v>
      </c>
      <c r="B633">
        <v>52084</v>
      </c>
      <c r="C633" t="s">
        <v>52</v>
      </c>
      <c r="D633">
        <v>55214</v>
      </c>
      <c r="E633" t="s">
        <v>347</v>
      </c>
      <c r="F633">
        <v>11781</v>
      </c>
      <c r="G633">
        <v>0.77434201499780575</v>
      </c>
      <c r="H633">
        <v>0</v>
      </c>
      <c r="I633">
        <v>0</v>
      </c>
      <c r="J633">
        <v>0.68931179919953611</v>
      </c>
      <c r="K633">
        <v>0</v>
      </c>
      <c r="L633">
        <v>0</v>
      </c>
      <c r="M633">
        <v>0.50255376091623494</v>
      </c>
      <c r="N633">
        <v>0</v>
      </c>
      <c r="O633">
        <v>0</v>
      </c>
      <c r="P633">
        <v>0.59960555619086198</v>
      </c>
      <c r="Q633">
        <v>1.284840049274804</v>
      </c>
      <c r="R633">
        <v>2.250628490415449</v>
      </c>
      <c r="S633">
        <v>0.20296784873625809</v>
      </c>
      <c r="T633">
        <v>0.15685572342448459</v>
      </c>
      <c r="U633">
        <v>4.2695489746201511</v>
      </c>
      <c r="V633">
        <v>0.19332384277072681</v>
      </c>
      <c r="W633">
        <v>7.736316005347593</v>
      </c>
      <c r="X633">
        <v>0.32077584692629513</v>
      </c>
      <c r="Z633" t="s">
        <v>392</v>
      </c>
      <c r="AA633">
        <v>161</v>
      </c>
      <c r="AB633" t="s">
        <v>5080</v>
      </c>
      <c r="AC633" t="str">
        <f>HYPERLINK("plots/3FT6Y578R04_015_S31P_20251219032831_M5358ACSA301811_RBGEUFRF04/dpll_52084/txpa_55214.png","plot")</f>
        <v>plot</v>
      </c>
    </row>
    <row r="634" spans="1:29" x14ac:dyDescent="0.35">
      <c r="A634" t="s">
        <v>50</v>
      </c>
      <c r="B634">
        <v>52084</v>
      </c>
      <c r="C634" t="s">
        <v>52</v>
      </c>
      <c r="D634">
        <v>55215</v>
      </c>
      <c r="E634" t="s">
        <v>348</v>
      </c>
      <c r="F634">
        <v>11781</v>
      </c>
      <c r="G634">
        <v>0.77634096961323251</v>
      </c>
      <c r="H634">
        <v>0</v>
      </c>
      <c r="I634">
        <v>0</v>
      </c>
      <c r="J634">
        <v>0.68535741703690056</v>
      </c>
      <c r="K634">
        <v>0</v>
      </c>
      <c r="L634">
        <v>0</v>
      </c>
      <c r="M634">
        <v>0.49782094500547791</v>
      </c>
      <c r="N634">
        <v>0</v>
      </c>
      <c r="O634">
        <v>0</v>
      </c>
      <c r="P634">
        <v>0.60270530110001397</v>
      </c>
      <c r="Q634">
        <v>1.2839851159691329</v>
      </c>
      <c r="R634">
        <v>2.2325861640229951</v>
      </c>
      <c r="S634">
        <v>0.20150884588671891</v>
      </c>
      <c r="T634">
        <v>0.15616486924656331</v>
      </c>
      <c r="U634">
        <v>4.2695174021729896</v>
      </c>
      <c r="V634">
        <v>0.19330748901132719</v>
      </c>
      <c r="W634">
        <v>7.7145829607843126</v>
      </c>
      <c r="X634">
        <v>0.31970995788044559</v>
      </c>
      <c r="Z634" t="s">
        <v>392</v>
      </c>
      <c r="AA634">
        <v>161</v>
      </c>
      <c r="AB634" t="s">
        <v>5081</v>
      </c>
      <c r="AC634" t="str">
        <f>HYPERLINK("plots/3FT6Y578R04_015_S31P_20251219032831_M5358ACSA301811_RBGEUFRF04/dpll_52084/txpa_55215.png","plot")</f>
        <v>plot</v>
      </c>
    </row>
    <row r="635" spans="1:29" x14ac:dyDescent="0.35">
      <c r="A635" t="s">
        <v>50</v>
      </c>
      <c r="B635">
        <v>52084</v>
      </c>
      <c r="C635" t="s">
        <v>52</v>
      </c>
      <c r="D635">
        <v>55216</v>
      </c>
      <c r="E635" t="s">
        <v>349</v>
      </c>
      <c r="F635">
        <v>11781</v>
      </c>
      <c r="G635">
        <v>0.78024170863774034</v>
      </c>
      <c r="H635">
        <v>0</v>
      </c>
      <c r="I635">
        <v>0</v>
      </c>
      <c r="J635">
        <v>0.69647396970063691</v>
      </c>
      <c r="K635">
        <v>0</v>
      </c>
      <c r="L635">
        <v>0</v>
      </c>
      <c r="M635">
        <v>0.50866151300565954</v>
      </c>
      <c r="N635">
        <v>0</v>
      </c>
      <c r="O635">
        <v>0</v>
      </c>
      <c r="P635">
        <v>0.60877712389794048</v>
      </c>
      <c r="Q635">
        <v>1.30002199422658</v>
      </c>
      <c r="R635">
        <v>2.1756902007549659</v>
      </c>
      <c r="S635">
        <v>0.20144092911040201</v>
      </c>
      <c r="T635">
        <v>0.15630633737690899</v>
      </c>
      <c r="U635">
        <v>4.2695129435531793</v>
      </c>
      <c r="V635">
        <v>0.1933002831720991</v>
      </c>
      <c r="W635">
        <v>7.7261509320091672</v>
      </c>
      <c r="X635">
        <v>0.32207278441023329</v>
      </c>
      <c r="Z635" t="s">
        <v>392</v>
      </c>
      <c r="AA635">
        <v>161</v>
      </c>
      <c r="AB635" t="s">
        <v>5082</v>
      </c>
      <c r="AC635" t="str">
        <f>HYPERLINK("plots/3FT6Y578R04_015_S31P_20251219032831_M5358ACSA301811_RBGEUFRF04/dpll_52084/txpa_55216.png","plot")</f>
        <v>plot</v>
      </c>
    </row>
    <row r="636" spans="1:29" x14ac:dyDescent="0.35">
      <c r="A636" t="s">
        <v>50</v>
      </c>
      <c r="B636">
        <v>52084</v>
      </c>
      <c r="C636" t="s">
        <v>52</v>
      </c>
      <c r="D636">
        <v>55217</v>
      </c>
      <c r="E636" t="s">
        <v>350</v>
      </c>
      <c r="F636">
        <v>11782</v>
      </c>
      <c r="G636">
        <v>0.77708946064973505</v>
      </c>
      <c r="H636">
        <v>0</v>
      </c>
      <c r="I636">
        <v>0</v>
      </c>
      <c r="J636">
        <v>0.68735312152099659</v>
      </c>
      <c r="K636">
        <v>0</v>
      </c>
      <c r="L636">
        <v>0</v>
      </c>
      <c r="M636">
        <v>0.50006955578855428</v>
      </c>
      <c r="N636">
        <v>0</v>
      </c>
      <c r="O636">
        <v>0</v>
      </c>
      <c r="P636">
        <v>0.60386802985289612</v>
      </c>
      <c r="Q636">
        <v>1.282470756132287</v>
      </c>
      <c r="R636">
        <v>2.2567320212652699</v>
      </c>
      <c r="S636">
        <v>0.20079301018862419</v>
      </c>
      <c r="T636">
        <v>0.15632765474191651</v>
      </c>
      <c r="U636">
        <v>4.2695416864708866</v>
      </c>
      <c r="V636">
        <v>0.1933172563537221</v>
      </c>
      <c r="W636">
        <v>7.7322943762519092</v>
      </c>
      <c r="X636">
        <v>0.31904142377903932</v>
      </c>
      <c r="Z636" t="s">
        <v>392</v>
      </c>
      <c r="AA636">
        <v>161</v>
      </c>
      <c r="AB636" t="s">
        <v>5083</v>
      </c>
      <c r="AC636" t="str">
        <f>HYPERLINK("plots/3FT6Y578R04_015_S31P_20251219032831_M5358ACSA301811_RBGEUFRF04/dpll_52084/txpa_55217.png","plot")</f>
        <v>plot</v>
      </c>
    </row>
    <row r="637" spans="1:29" x14ac:dyDescent="0.35">
      <c r="A637" t="s">
        <v>50</v>
      </c>
      <c r="B637">
        <v>52084</v>
      </c>
      <c r="C637" t="s">
        <v>52</v>
      </c>
      <c r="D637">
        <v>55218</v>
      </c>
      <c r="E637" t="s">
        <v>351</v>
      </c>
      <c r="F637">
        <v>11781</v>
      </c>
      <c r="G637">
        <v>0.76958003473904935</v>
      </c>
      <c r="H637">
        <v>0</v>
      </c>
      <c r="I637">
        <v>0</v>
      </c>
      <c r="J637">
        <v>0.68111356523048028</v>
      </c>
      <c r="K637">
        <v>0</v>
      </c>
      <c r="L637">
        <v>0</v>
      </c>
      <c r="M637">
        <v>0.49578898271713517</v>
      </c>
      <c r="N637">
        <v>0</v>
      </c>
      <c r="O637">
        <v>0</v>
      </c>
      <c r="P637">
        <v>0.59225342986895635</v>
      </c>
      <c r="Q637">
        <v>1.276429699797863</v>
      </c>
      <c r="R637">
        <v>2.257782633800582</v>
      </c>
      <c r="S637">
        <v>0.2047278377601319</v>
      </c>
      <c r="T637">
        <v>0.1572326010678109</v>
      </c>
      <c r="U637">
        <v>4.2695633024361257</v>
      </c>
      <c r="V637">
        <v>0.19331122175495491</v>
      </c>
      <c r="W637">
        <v>7.7075800381970971</v>
      </c>
      <c r="X637">
        <v>0.32062706101244298</v>
      </c>
      <c r="Z637" t="s">
        <v>392</v>
      </c>
      <c r="AA637">
        <v>161</v>
      </c>
      <c r="AB637" t="s">
        <v>5084</v>
      </c>
      <c r="AC637" t="str">
        <f>HYPERLINK("plots/3FT6Y578R04_015_S31P_20251219032831_M5358ACSA301811_RBGEUFRF04/dpll_52084/txpa_55218.png","plot")</f>
        <v>plot</v>
      </c>
    </row>
    <row r="638" spans="1:29" x14ac:dyDescent="0.35">
      <c r="A638" t="s">
        <v>50</v>
      </c>
      <c r="B638">
        <v>52084</v>
      </c>
      <c r="C638" t="s">
        <v>52</v>
      </c>
      <c r="D638">
        <v>55219</v>
      </c>
      <c r="E638" t="s">
        <v>352</v>
      </c>
      <c r="F638">
        <v>11782</v>
      </c>
      <c r="G638">
        <v>0.7603885819723627</v>
      </c>
      <c r="H638">
        <v>0</v>
      </c>
      <c r="I638">
        <v>0</v>
      </c>
      <c r="J638">
        <v>0.68396059229519923</v>
      </c>
      <c r="K638">
        <v>0</v>
      </c>
      <c r="L638">
        <v>0</v>
      </c>
      <c r="M638">
        <v>0.49552635224798092</v>
      </c>
      <c r="N638">
        <v>0</v>
      </c>
      <c r="O638">
        <v>0</v>
      </c>
      <c r="P638">
        <v>0.5781907955939406</v>
      </c>
      <c r="Q638">
        <v>1.3113397454684781</v>
      </c>
      <c r="R638">
        <v>3.119793850414744</v>
      </c>
      <c r="S638">
        <v>0.21651593031151151</v>
      </c>
      <c r="T638">
        <v>0.16316807388447591</v>
      </c>
      <c r="U638">
        <v>4.2695416864708866</v>
      </c>
      <c r="V638">
        <v>0.1933172563537221</v>
      </c>
      <c r="W638">
        <v>8.7186135588185358</v>
      </c>
      <c r="X638">
        <v>0.33338822774533522</v>
      </c>
      <c r="Z638" t="s">
        <v>392</v>
      </c>
      <c r="AA638">
        <v>161</v>
      </c>
      <c r="AB638" t="s">
        <v>5085</v>
      </c>
      <c r="AC638" t="str">
        <f>HYPERLINK("plots/3FT6Y578R04_015_S31P_20251219032831_M5358ACSA301811_RBGEUFRF04/dpll_52084/txpa_55219.png","plot")</f>
        <v>plot</v>
      </c>
    </row>
    <row r="639" spans="1:29" x14ac:dyDescent="0.35">
      <c r="A639" t="s">
        <v>50</v>
      </c>
      <c r="B639">
        <v>52084</v>
      </c>
      <c r="C639" t="s">
        <v>52</v>
      </c>
      <c r="D639">
        <v>55220</v>
      </c>
      <c r="E639" t="s">
        <v>353</v>
      </c>
      <c r="F639">
        <v>11782</v>
      </c>
      <c r="G639">
        <v>0.77839904849126629</v>
      </c>
      <c r="H639">
        <v>0</v>
      </c>
      <c r="I639">
        <v>0</v>
      </c>
      <c r="J639">
        <v>0.69565368966167263</v>
      </c>
      <c r="K639">
        <v>0</v>
      </c>
      <c r="L639">
        <v>0</v>
      </c>
      <c r="M639">
        <v>0.50841593931909834</v>
      </c>
      <c r="N639">
        <v>0</v>
      </c>
      <c r="O639">
        <v>0</v>
      </c>
      <c r="P639">
        <v>0.60590507869210875</v>
      </c>
      <c r="Q639">
        <v>1.34260299278673</v>
      </c>
      <c r="R639">
        <v>3.0163734883928051</v>
      </c>
      <c r="S639">
        <v>0.2093138303805144</v>
      </c>
      <c r="T639">
        <v>0.16052360399243201</v>
      </c>
      <c r="U639">
        <v>4.2695416864708866</v>
      </c>
      <c r="V639">
        <v>0.1933172563537221</v>
      </c>
      <c r="W639">
        <v>8.7486729344763194</v>
      </c>
      <c r="X639">
        <v>0.33343864877648161</v>
      </c>
      <c r="Z639" t="s">
        <v>392</v>
      </c>
      <c r="AA639">
        <v>161</v>
      </c>
      <c r="AB639" t="s">
        <v>5086</v>
      </c>
      <c r="AC639" t="str">
        <f>HYPERLINK("plots/3FT6Y578R04_015_S31P_20251219032831_M5358ACSA301811_RBGEUFRF04/dpll_52084/txpa_55220.png","plot")</f>
        <v>plot</v>
      </c>
    </row>
    <row r="640" spans="1:29" x14ac:dyDescent="0.35">
      <c r="A640" t="s">
        <v>50</v>
      </c>
      <c r="B640">
        <v>52084</v>
      </c>
      <c r="C640" t="s">
        <v>52</v>
      </c>
      <c r="D640">
        <v>55221</v>
      </c>
      <c r="E640" t="s">
        <v>354</v>
      </c>
      <c r="F640">
        <v>11782</v>
      </c>
      <c r="G640">
        <v>0.77125148474874727</v>
      </c>
      <c r="H640">
        <v>0</v>
      </c>
      <c r="I640">
        <v>0</v>
      </c>
      <c r="J640">
        <v>0.68705255118171082</v>
      </c>
      <c r="K640">
        <v>0</v>
      </c>
      <c r="L640">
        <v>0</v>
      </c>
      <c r="M640">
        <v>0.49998755785441279</v>
      </c>
      <c r="N640">
        <v>0</v>
      </c>
      <c r="O640">
        <v>0</v>
      </c>
      <c r="P640">
        <v>0.59482885272714714</v>
      </c>
      <c r="Q640">
        <v>1.314521172130555</v>
      </c>
      <c r="R640">
        <v>3.1499619783119299</v>
      </c>
      <c r="S640">
        <v>0.20972153099665761</v>
      </c>
      <c r="T640">
        <v>0.15972910104811999</v>
      </c>
      <c r="U640">
        <v>4.2695416864708866</v>
      </c>
      <c r="V640">
        <v>0.1933172563537221</v>
      </c>
      <c r="W640">
        <v>8.7623649204719065</v>
      </c>
      <c r="X640">
        <v>0.32948996720303608</v>
      </c>
      <c r="Z640" t="s">
        <v>392</v>
      </c>
      <c r="AA640">
        <v>161</v>
      </c>
      <c r="AB640" t="s">
        <v>5087</v>
      </c>
      <c r="AC640" t="str">
        <f>HYPERLINK("plots/3FT6Y578R04_015_S31P_20251219032831_M5358ACSA301811_RBGEUFRF04/dpll_52084/txpa_55221.png","plot")</f>
        <v>plot</v>
      </c>
    </row>
    <row r="641" spans="1:29" x14ac:dyDescent="0.35">
      <c r="A641" t="s">
        <v>50</v>
      </c>
      <c r="B641">
        <v>52084</v>
      </c>
      <c r="C641" t="s">
        <v>52</v>
      </c>
      <c r="D641">
        <v>55222</v>
      </c>
      <c r="E641" t="s">
        <v>355</v>
      </c>
      <c r="F641">
        <v>11781</v>
      </c>
      <c r="G641">
        <v>0.78425206693706628</v>
      </c>
      <c r="H641">
        <v>0</v>
      </c>
      <c r="I641">
        <v>0</v>
      </c>
      <c r="J641">
        <v>0.69686384223378195</v>
      </c>
      <c r="K641">
        <v>0</v>
      </c>
      <c r="L641">
        <v>0</v>
      </c>
      <c r="M641">
        <v>0.5091920172470894</v>
      </c>
      <c r="N641">
        <v>0</v>
      </c>
      <c r="O641">
        <v>0</v>
      </c>
      <c r="P641">
        <v>0.61505130449506074</v>
      </c>
      <c r="Q641">
        <v>1.343769684200157</v>
      </c>
      <c r="R641">
        <v>3.030030299202116</v>
      </c>
      <c r="S641">
        <v>0.2055121863966774</v>
      </c>
      <c r="T641">
        <v>0.15847770370577971</v>
      </c>
      <c r="U641">
        <v>4.2695489746201511</v>
      </c>
      <c r="V641">
        <v>0.19332384277072681</v>
      </c>
      <c r="W641">
        <v>8.7673207765045422</v>
      </c>
      <c r="X641">
        <v>0.33124900794074319</v>
      </c>
      <c r="Z641" t="s">
        <v>392</v>
      </c>
      <c r="AA641">
        <v>161</v>
      </c>
      <c r="AB641" t="s">
        <v>5088</v>
      </c>
      <c r="AC641" t="str">
        <f>HYPERLINK("plots/3FT6Y578R04_015_S31P_20251219032831_M5358ACSA301811_RBGEUFRF04/dpll_52084/txpa_55222.png","plot")</f>
        <v>plot</v>
      </c>
    </row>
    <row r="642" spans="1:29" x14ac:dyDescent="0.35">
      <c r="A642" t="s">
        <v>50</v>
      </c>
      <c r="B642">
        <v>52084</v>
      </c>
      <c r="C642" t="s">
        <v>52</v>
      </c>
      <c r="D642">
        <v>55223</v>
      </c>
      <c r="E642" t="s">
        <v>356</v>
      </c>
      <c r="F642">
        <v>11781</v>
      </c>
      <c r="G642">
        <v>0.78644249824515</v>
      </c>
      <c r="H642">
        <v>0</v>
      </c>
      <c r="I642">
        <v>0</v>
      </c>
      <c r="J642">
        <v>0.69321056286597948</v>
      </c>
      <c r="K642">
        <v>0</v>
      </c>
      <c r="L642">
        <v>0</v>
      </c>
      <c r="M642">
        <v>0.50473418102856293</v>
      </c>
      <c r="N642">
        <v>0</v>
      </c>
      <c r="O642">
        <v>0</v>
      </c>
      <c r="P642">
        <v>0.61849180304607276</v>
      </c>
      <c r="Q642">
        <v>1.3434285405376949</v>
      </c>
      <c r="R642">
        <v>3.009228499768891</v>
      </c>
      <c r="S642">
        <v>0.20395285066284541</v>
      </c>
      <c r="T642">
        <v>0.15770984197741081</v>
      </c>
      <c r="U642">
        <v>4.2695174021729896</v>
      </c>
      <c r="V642">
        <v>0.19330748901132719</v>
      </c>
      <c r="W642">
        <v>8.7450200321704443</v>
      </c>
      <c r="X642">
        <v>0.33021460363214211</v>
      </c>
      <c r="Z642" t="s">
        <v>392</v>
      </c>
      <c r="AA642">
        <v>161</v>
      </c>
      <c r="AB642" t="s">
        <v>5089</v>
      </c>
      <c r="AC642" t="str">
        <f>HYPERLINK("plots/3FT6Y578R04_015_S31P_20251219032831_M5358ACSA301811_RBGEUFRF04/dpll_52084/txpa_55223.png","plot")</f>
        <v>plot</v>
      </c>
    </row>
    <row r="643" spans="1:29" x14ac:dyDescent="0.35">
      <c r="A643" t="s">
        <v>50</v>
      </c>
      <c r="B643">
        <v>52084</v>
      </c>
      <c r="C643" t="s">
        <v>52</v>
      </c>
      <c r="D643">
        <v>55224</v>
      </c>
      <c r="E643" t="s">
        <v>357</v>
      </c>
      <c r="F643">
        <v>11781</v>
      </c>
      <c r="G643">
        <v>0.78984049655769539</v>
      </c>
      <c r="H643">
        <v>0</v>
      </c>
      <c r="I643">
        <v>0</v>
      </c>
      <c r="J643">
        <v>0.70350420645726663</v>
      </c>
      <c r="K643">
        <v>0</v>
      </c>
      <c r="L643">
        <v>0</v>
      </c>
      <c r="M643">
        <v>0.51495828048515691</v>
      </c>
      <c r="N643">
        <v>0</v>
      </c>
      <c r="O643">
        <v>0</v>
      </c>
      <c r="P643">
        <v>0.62384801000250678</v>
      </c>
      <c r="Q643">
        <v>1.3587832651173239</v>
      </c>
      <c r="R643">
        <v>2.9560833629384722</v>
      </c>
      <c r="S643">
        <v>0.20394193320010201</v>
      </c>
      <c r="T643">
        <v>0.15795359821751631</v>
      </c>
      <c r="U643">
        <v>4.2695129435531793</v>
      </c>
      <c r="V643">
        <v>0.1933002831720991</v>
      </c>
      <c r="W643">
        <v>8.7574261008403358</v>
      </c>
      <c r="X643">
        <v>0.332539533059384</v>
      </c>
      <c r="Z643" t="s">
        <v>392</v>
      </c>
      <c r="AA643">
        <v>161</v>
      </c>
      <c r="AB643" t="s">
        <v>5090</v>
      </c>
      <c r="AC643" t="str">
        <f>HYPERLINK("plots/3FT6Y578R04_015_S31P_20251219032831_M5358ACSA301811_RBGEUFRF04/dpll_52084/txpa_55224.png","plot")</f>
        <v>plot</v>
      </c>
    </row>
    <row r="644" spans="1:29" x14ac:dyDescent="0.35">
      <c r="A644" t="s">
        <v>50</v>
      </c>
      <c r="B644">
        <v>52084</v>
      </c>
      <c r="C644" t="s">
        <v>52</v>
      </c>
      <c r="D644">
        <v>55225</v>
      </c>
      <c r="E644" t="s">
        <v>358</v>
      </c>
      <c r="F644">
        <v>11782</v>
      </c>
      <c r="G644">
        <v>0.78710659569771235</v>
      </c>
      <c r="H644">
        <v>0</v>
      </c>
      <c r="I644">
        <v>0</v>
      </c>
      <c r="J644">
        <v>0.69469922982573051</v>
      </c>
      <c r="K644">
        <v>0</v>
      </c>
      <c r="L644">
        <v>0</v>
      </c>
      <c r="M644">
        <v>0.50657447750727047</v>
      </c>
      <c r="N644">
        <v>0</v>
      </c>
      <c r="O644">
        <v>0</v>
      </c>
      <c r="P644">
        <v>0.61953679299084197</v>
      </c>
      <c r="Q644">
        <v>1.341543452057284</v>
      </c>
      <c r="R644">
        <v>3.0359888250531659</v>
      </c>
      <c r="S644">
        <v>0.2032262090528896</v>
      </c>
      <c r="T644">
        <v>0.15782225090826479</v>
      </c>
      <c r="U644">
        <v>4.2695416864708866</v>
      </c>
      <c r="V644">
        <v>0.1933172563537221</v>
      </c>
      <c r="W644">
        <v>8.7637645178237982</v>
      </c>
      <c r="X644">
        <v>0.32948967884219832</v>
      </c>
      <c r="Z644" t="s">
        <v>392</v>
      </c>
      <c r="AA644">
        <v>161</v>
      </c>
      <c r="AB644" t="s">
        <v>5091</v>
      </c>
      <c r="AC644" t="str">
        <f>HYPERLINK("plots/3FT6Y578R04_015_S31P_20251219032831_M5358ACSA301811_RBGEUFRF04/dpll_52084/txpa_55225.png","plot")</f>
        <v>plot</v>
      </c>
    </row>
    <row r="645" spans="1:29" x14ac:dyDescent="0.35">
      <c r="A645" t="s">
        <v>50</v>
      </c>
      <c r="B645">
        <v>52084</v>
      </c>
      <c r="C645" t="s">
        <v>52</v>
      </c>
      <c r="D645">
        <v>55226</v>
      </c>
      <c r="E645" t="s">
        <v>359</v>
      </c>
      <c r="F645">
        <v>11781</v>
      </c>
      <c r="G645">
        <v>0.77983360846671623</v>
      </c>
      <c r="H645">
        <v>0</v>
      </c>
      <c r="I645">
        <v>0</v>
      </c>
      <c r="J645">
        <v>0.68856695694224046</v>
      </c>
      <c r="K645">
        <v>0</v>
      </c>
      <c r="L645">
        <v>0</v>
      </c>
      <c r="M645">
        <v>0.50229100959122286</v>
      </c>
      <c r="N645">
        <v>0</v>
      </c>
      <c r="O645">
        <v>0</v>
      </c>
      <c r="P645">
        <v>0.60814045689421969</v>
      </c>
      <c r="Q645">
        <v>1.3348269170460321</v>
      </c>
      <c r="R645">
        <v>3.0416061684002051</v>
      </c>
      <c r="S645">
        <v>0.207122297296887</v>
      </c>
      <c r="T645">
        <v>0.15874570037941629</v>
      </c>
      <c r="U645">
        <v>4.2695633024361257</v>
      </c>
      <c r="V645">
        <v>0.19331122175495491</v>
      </c>
      <c r="W645">
        <v>8.7407341885238949</v>
      </c>
      <c r="X645">
        <v>0.33088728077892449</v>
      </c>
      <c r="Z645" t="s">
        <v>392</v>
      </c>
      <c r="AA645">
        <v>161</v>
      </c>
      <c r="AB645" t="s">
        <v>5092</v>
      </c>
      <c r="AC645" t="str">
        <f>HYPERLINK("plots/3FT6Y578R04_015_S31P_20251219032831_M5358ACSA301811_RBGEUFRF04/dpll_52084/txpa_55226.png","plot")</f>
        <v>plot</v>
      </c>
    </row>
    <row r="646" spans="1:29" x14ac:dyDescent="0.35">
      <c r="A646" t="s">
        <v>50</v>
      </c>
      <c r="B646">
        <v>52084</v>
      </c>
      <c r="C646" t="s">
        <v>52</v>
      </c>
      <c r="D646">
        <v>55227</v>
      </c>
      <c r="E646" t="s">
        <v>360</v>
      </c>
      <c r="F646">
        <v>11782</v>
      </c>
      <c r="G646">
        <v>0.76349738272824019</v>
      </c>
      <c r="H646">
        <v>0</v>
      </c>
      <c r="I646">
        <v>0</v>
      </c>
      <c r="J646">
        <v>0.68600660602799834</v>
      </c>
      <c r="K646">
        <v>0</v>
      </c>
      <c r="L646">
        <v>0</v>
      </c>
      <c r="M646">
        <v>0.49734118048934672</v>
      </c>
      <c r="N646">
        <v>0</v>
      </c>
      <c r="O646">
        <v>0</v>
      </c>
      <c r="P646">
        <v>0.58292825343287291</v>
      </c>
      <c r="Q646">
        <v>1.334123323453003</v>
      </c>
      <c r="R646">
        <v>3.530248546423846</v>
      </c>
      <c r="S646">
        <v>0.21814537060329681</v>
      </c>
      <c r="T646">
        <v>0.16419146885370051</v>
      </c>
      <c r="U646">
        <v>4.2695416864708866</v>
      </c>
      <c r="V646">
        <v>0.1933172563537221</v>
      </c>
      <c r="W646">
        <v>9.2263436907995242</v>
      </c>
      <c r="X646">
        <v>0.33779953456532558</v>
      </c>
      <c r="Z646" t="s">
        <v>392</v>
      </c>
      <c r="AA646">
        <v>161</v>
      </c>
      <c r="AB646" t="s">
        <v>5093</v>
      </c>
      <c r="AC646" t="str">
        <f>HYPERLINK("plots/3FT6Y578R04_015_S31P_20251219032831_M5358ACSA301811_RBGEUFRF04/dpll_52084/txpa_55227.png","plot")</f>
        <v>plot</v>
      </c>
    </row>
    <row r="647" spans="1:29" x14ac:dyDescent="0.35">
      <c r="A647" t="s">
        <v>50</v>
      </c>
      <c r="B647">
        <v>52084</v>
      </c>
      <c r="C647" t="s">
        <v>52</v>
      </c>
      <c r="D647">
        <v>55228</v>
      </c>
      <c r="E647" t="s">
        <v>361</v>
      </c>
      <c r="F647">
        <v>11782</v>
      </c>
      <c r="G647">
        <v>0.78114300943052273</v>
      </c>
      <c r="H647">
        <v>0</v>
      </c>
      <c r="I647">
        <v>0</v>
      </c>
      <c r="J647">
        <v>0.69763595791028277</v>
      </c>
      <c r="K647">
        <v>0</v>
      </c>
      <c r="L647">
        <v>0</v>
      </c>
      <c r="M647">
        <v>0.51020285128364429</v>
      </c>
      <c r="N647">
        <v>0</v>
      </c>
      <c r="O647">
        <v>0</v>
      </c>
      <c r="P647">
        <v>0.61018440118217376</v>
      </c>
      <c r="Q647">
        <v>1.3652487172395731</v>
      </c>
      <c r="R647">
        <v>3.4268713374520212</v>
      </c>
      <c r="S647">
        <v>0.21094198336363551</v>
      </c>
      <c r="T647">
        <v>0.16151313595815039</v>
      </c>
      <c r="U647">
        <v>4.2695416864708866</v>
      </c>
      <c r="V647">
        <v>0.1933172563537221</v>
      </c>
      <c r="W647">
        <v>9.2558576481072823</v>
      </c>
      <c r="X647">
        <v>0.33787172524222281</v>
      </c>
      <c r="Z647" t="s">
        <v>392</v>
      </c>
      <c r="AA647">
        <v>161</v>
      </c>
      <c r="AB647" t="s">
        <v>5094</v>
      </c>
      <c r="AC647" t="str">
        <f>HYPERLINK("plots/3FT6Y578R04_015_S31P_20251219032831_M5358ACSA301811_RBGEUFRF04/dpll_52084/txpa_55228.png","plot")</f>
        <v>plot</v>
      </c>
    </row>
    <row r="648" spans="1:29" x14ac:dyDescent="0.35">
      <c r="A648" t="s">
        <v>50</v>
      </c>
      <c r="B648">
        <v>52084</v>
      </c>
      <c r="C648" t="s">
        <v>52</v>
      </c>
      <c r="D648">
        <v>55229</v>
      </c>
      <c r="E648" t="s">
        <v>362</v>
      </c>
      <c r="F648">
        <v>11782</v>
      </c>
      <c r="G648">
        <v>0.7742238647105224</v>
      </c>
      <c r="H648">
        <v>0</v>
      </c>
      <c r="I648">
        <v>0</v>
      </c>
      <c r="J648">
        <v>0.68906244107642778</v>
      </c>
      <c r="K648">
        <v>0</v>
      </c>
      <c r="L648">
        <v>0</v>
      </c>
      <c r="M648">
        <v>0.50175370442097911</v>
      </c>
      <c r="N648">
        <v>0</v>
      </c>
      <c r="O648">
        <v>0</v>
      </c>
      <c r="P648">
        <v>0.59942259268729725</v>
      </c>
      <c r="Q648">
        <v>1.3375020954310211</v>
      </c>
      <c r="R648">
        <v>3.559018203900647</v>
      </c>
      <c r="S648">
        <v>0.21136025996952401</v>
      </c>
      <c r="T648">
        <v>0.1607545253904907</v>
      </c>
      <c r="U648">
        <v>4.2695416864708866</v>
      </c>
      <c r="V648">
        <v>0.1933172563537221</v>
      </c>
      <c r="W648">
        <v>9.2695391560855533</v>
      </c>
      <c r="X648">
        <v>0.33396314327349469</v>
      </c>
      <c r="Z648" t="s">
        <v>392</v>
      </c>
      <c r="AA648">
        <v>161</v>
      </c>
      <c r="AB648" t="s">
        <v>5095</v>
      </c>
      <c r="AC648" t="str">
        <f>HYPERLINK("plots/3FT6Y578R04_015_S31P_20251219032831_M5358ACSA301811_RBGEUFRF04/dpll_52084/txpa_55229.png","plot")</f>
        <v>plot</v>
      </c>
    </row>
    <row r="649" spans="1:29" x14ac:dyDescent="0.35">
      <c r="A649" t="s">
        <v>50</v>
      </c>
      <c r="B649">
        <v>52084</v>
      </c>
      <c r="C649" t="s">
        <v>52</v>
      </c>
      <c r="D649">
        <v>55230</v>
      </c>
      <c r="E649" t="s">
        <v>363</v>
      </c>
      <c r="F649">
        <v>11781</v>
      </c>
      <c r="G649">
        <v>0.78701981860026327</v>
      </c>
      <c r="H649">
        <v>0</v>
      </c>
      <c r="I649">
        <v>0</v>
      </c>
      <c r="J649">
        <v>0.69884815028460845</v>
      </c>
      <c r="K649">
        <v>0</v>
      </c>
      <c r="L649">
        <v>0</v>
      </c>
      <c r="M649">
        <v>0.51098740229593675</v>
      </c>
      <c r="N649">
        <v>0</v>
      </c>
      <c r="O649">
        <v>0</v>
      </c>
      <c r="P649">
        <v>0.6194001948695913</v>
      </c>
      <c r="Q649">
        <v>1.366465671544961</v>
      </c>
      <c r="R649">
        <v>3.4401270502340839</v>
      </c>
      <c r="S649">
        <v>0.20706863668803191</v>
      </c>
      <c r="T649">
        <v>0.15945864736700949</v>
      </c>
      <c r="U649">
        <v>4.2695489746201511</v>
      </c>
      <c r="V649">
        <v>0.19332384277072681</v>
      </c>
      <c r="W649">
        <v>9.2743191570325099</v>
      </c>
      <c r="X649">
        <v>0.33565913893653671</v>
      </c>
      <c r="Z649" t="s">
        <v>392</v>
      </c>
      <c r="AA649">
        <v>161</v>
      </c>
      <c r="AB649" t="s">
        <v>5096</v>
      </c>
      <c r="AC649" t="str">
        <f>HYPERLINK("plots/3FT6Y578R04_015_S31P_20251219032831_M5358ACSA301811_RBGEUFRF04/dpll_52084/txpa_55230.png","plot")</f>
        <v>plot</v>
      </c>
    </row>
    <row r="650" spans="1:29" x14ac:dyDescent="0.35">
      <c r="A650" t="s">
        <v>50</v>
      </c>
      <c r="B650">
        <v>52084</v>
      </c>
      <c r="C650" t="s">
        <v>52</v>
      </c>
      <c r="D650">
        <v>55231</v>
      </c>
      <c r="E650" t="s">
        <v>364</v>
      </c>
      <c r="F650">
        <v>11781</v>
      </c>
      <c r="G650">
        <v>0.78925576156136645</v>
      </c>
      <c r="H650">
        <v>0</v>
      </c>
      <c r="I650">
        <v>0</v>
      </c>
      <c r="J650">
        <v>0.69523265587635408</v>
      </c>
      <c r="K650">
        <v>0</v>
      </c>
      <c r="L650">
        <v>0</v>
      </c>
      <c r="M650">
        <v>0.50657335829757988</v>
      </c>
      <c r="N650">
        <v>0</v>
      </c>
      <c r="O650">
        <v>0</v>
      </c>
      <c r="P650">
        <v>0.62292465715781253</v>
      </c>
      <c r="Q650">
        <v>1.3664740243672351</v>
      </c>
      <c r="R650">
        <v>3.4174170854255039</v>
      </c>
      <c r="S650">
        <v>0.20550762187886029</v>
      </c>
      <c r="T650">
        <v>0.15871754384301129</v>
      </c>
      <c r="U650">
        <v>4.2695174021729896</v>
      </c>
      <c r="V650">
        <v>0.19330748901132719</v>
      </c>
      <c r="W650">
        <v>9.2516017120787719</v>
      </c>
      <c r="X650">
        <v>0.33468195648907528</v>
      </c>
      <c r="Z650" t="s">
        <v>392</v>
      </c>
      <c r="AA650">
        <v>161</v>
      </c>
      <c r="AB650" t="s">
        <v>5097</v>
      </c>
      <c r="AC650" t="str">
        <f>HYPERLINK("plots/3FT6Y578R04_015_S31P_20251219032831_M5358ACSA301811_RBGEUFRF04/dpll_52084/txpa_55231.png","plot")</f>
        <v>plot</v>
      </c>
    </row>
    <row r="651" spans="1:29" x14ac:dyDescent="0.35">
      <c r="A651" t="s">
        <v>50</v>
      </c>
      <c r="B651">
        <v>52084</v>
      </c>
      <c r="C651" t="s">
        <v>52</v>
      </c>
      <c r="D651">
        <v>55232</v>
      </c>
      <c r="E651" t="s">
        <v>365</v>
      </c>
      <c r="F651">
        <v>11781</v>
      </c>
      <c r="G651">
        <v>0.79251950287594464</v>
      </c>
      <c r="H651">
        <v>0</v>
      </c>
      <c r="I651">
        <v>0</v>
      </c>
      <c r="J651">
        <v>0.70515543439700967</v>
      </c>
      <c r="K651">
        <v>0</v>
      </c>
      <c r="L651">
        <v>0</v>
      </c>
      <c r="M651">
        <v>0.51649960872666567</v>
      </c>
      <c r="N651">
        <v>0</v>
      </c>
      <c r="O651">
        <v>0</v>
      </c>
      <c r="P651">
        <v>0.62808716243873441</v>
      </c>
      <c r="Q651">
        <v>1.381477317872599</v>
      </c>
      <c r="R651">
        <v>3.3660480308036571</v>
      </c>
      <c r="S651">
        <v>0.2054794726624346</v>
      </c>
      <c r="T651">
        <v>0.15893787483104041</v>
      </c>
      <c r="U651">
        <v>4.2695129435531793</v>
      </c>
      <c r="V651">
        <v>0.1933002831720991</v>
      </c>
      <c r="W651">
        <v>9.2642833206858501</v>
      </c>
      <c r="X651">
        <v>0.33695064382839041</v>
      </c>
      <c r="Z651" t="s">
        <v>392</v>
      </c>
      <c r="AA651">
        <v>161</v>
      </c>
      <c r="AB651" t="s">
        <v>5098</v>
      </c>
      <c r="AC651" t="str">
        <f>HYPERLINK("plots/3FT6Y578R04_015_S31P_20251219032831_M5358ACSA301811_RBGEUFRF04/dpll_52084/txpa_55232.png","plot")</f>
        <v>plot</v>
      </c>
    </row>
    <row r="652" spans="1:29" x14ac:dyDescent="0.35">
      <c r="A652" t="s">
        <v>50</v>
      </c>
      <c r="B652">
        <v>52084</v>
      </c>
      <c r="C652" t="s">
        <v>52</v>
      </c>
      <c r="D652">
        <v>55233</v>
      </c>
      <c r="E652" t="s">
        <v>366</v>
      </c>
      <c r="F652">
        <v>11782</v>
      </c>
      <c r="G652">
        <v>0.78990876259535014</v>
      </c>
      <c r="H652">
        <v>0</v>
      </c>
      <c r="I652">
        <v>0</v>
      </c>
      <c r="J652">
        <v>0.69669241643396396</v>
      </c>
      <c r="K652">
        <v>0</v>
      </c>
      <c r="L652">
        <v>0</v>
      </c>
      <c r="M652">
        <v>0.50840759189137574</v>
      </c>
      <c r="N652">
        <v>0</v>
      </c>
      <c r="O652">
        <v>0</v>
      </c>
      <c r="P652">
        <v>0.6239558532249172</v>
      </c>
      <c r="Q652">
        <v>1.364469353596186</v>
      </c>
      <c r="R652">
        <v>3.445102272878882</v>
      </c>
      <c r="S652">
        <v>0.2047662902987252</v>
      </c>
      <c r="T652">
        <v>0.15878954064887871</v>
      </c>
      <c r="U652">
        <v>4.2695416864708866</v>
      </c>
      <c r="V652">
        <v>0.1933172563537221</v>
      </c>
      <c r="W652">
        <v>9.2707610579697857</v>
      </c>
      <c r="X652">
        <v>0.33393156818425718</v>
      </c>
      <c r="Z652" t="s">
        <v>392</v>
      </c>
      <c r="AA652">
        <v>161</v>
      </c>
      <c r="AB652" t="s">
        <v>5099</v>
      </c>
      <c r="AC652" t="str">
        <f>HYPERLINK("plots/3FT6Y578R04_015_S31P_20251219032831_M5358ACSA301811_RBGEUFRF04/dpll_52084/txpa_55233.png","plot")</f>
        <v>plot</v>
      </c>
    </row>
    <row r="653" spans="1:29" x14ac:dyDescent="0.35">
      <c r="A653" t="s">
        <v>50</v>
      </c>
      <c r="B653">
        <v>52084</v>
      </c>
      <c r="C653" t="s">
        <v>52</v>
      </c>
      <c r="D653">
        <v>55234</v>
      </c>
      <c r="E653" t="s">
        <v>367</v>
      </c>
      <c r="F653">
        <v>11781</v>
      </c>
      <c r="G653">
        <v>0.78259193208225797</v>
      </c>
      <c r="H653">
        <v>0</v>
      </c>
      <c r="I653">
        <v>0</v>
      </c>
      <c r="J653">
        <v>0.6901703392042785</v>
      </c>
      <c r="K653">
        <v>0</v>
      </c>
      <c r="L653">
        <v>0</v>
      </c>
      <c r="M653">
        <v>0.50376020212247818</v>
      </c>
      <c r="N653">
        <v>0</v>
      </c>
      <c r="O653">
        <v>0</v>
      </c>
      <c r="P653">
        <v>0.61245013216024147</v>
      </c>
      <c r="Q653">
        <v>1.3572016678308849</v>
      </c>
      <c r="R653">
        <v>3.4537202104702081</v>
      </c>
      <c r="S653">
        <v>0.2086947133919789</v>
      </c>
      <c r="T653">
        <v>0.15970905321553761</v>
      </c>
      <c r="U653">
        <v>4.2695633024361257</v>
      </c>
      <c r="V653">
        <v>0.19331122175495491</v>
      </c>
      <c r="W653">
        <v>9.2483786454460581</v>
      </c>
      <c r="X653">
        <v>0.3352479137858963</v>
      </c>
      <c r="Z653" t="s">
        <v>392</v>
      </c>
      <c r="AA653">
        <v>161</v>
      </c>
      <c r="AB653" t="s">
        <v>5100</v>
      </c>
      <c r="AC653" t="str">
        <f>HYPERLINK("plots/3FT6Y578R04_015_S31P_20251219032831_M5358ACSA301811_RBGEUFRF04/dpll_52084/txpa_55234.png","plot")</f>
        <v>plot</v>
      </c>
    </row>
    <row r="654" spans="1:29" x14ac:dyDescent="0.35">
      <c r="A654" t="s">
        <v>50</v>
      </c>
      <c r="B654">
        <v>52084</v>
      </c>
      <c r="C654" t="s">
        <v>52</v>
      </c>
      <c r="D654">
        <v>55235</v>
      </c>
      <c r="E654" t="s">
        <v>368</v>
      </c>
      <c r="F654">
        <v>11782</v>
      </c>
      <c r="G654">
        <v>0.76609223530937265</v>
      </c>
      <c r="H654">
        <v>0</v>
      </c>
      <c r="I654">
        <v>0</v>
      </c>
      <c r="J654">
        <v>0.68772491946624847</v>
      </c>
      <c r="K654">
        <v>0</v>
      </c>
      <c r="L654">
        <v>0</v>
      </c>
      <c r="M654">
        <v>0.49883238743406932</v>
      </c>
      <c r="N654">
        <v>0</v>
      </c>
      <c r="O654">
        <v>0</v>
      </c>
      <c r="P654">
        <v>0.5868973130013112</v>
      </c>
      <c r="Q654">
        <v>1.3535917531342601</v>
      </c>
      <c r="R654">
        <v>3.9283635898957101</v>
      </c>
      <c r="S654">
        <v>0.21952694852682511</v>
      </c>
      <c r="T654">
        <v>0.16499535602565721</v>
      </c>
      <c r="U654">
        <v>4.2695416864708866</v>
      </c>
      <c r="V654">
        <v>0.1933172563537221</v>
      </c>
      <c r="W654">
        <v>9.7075800063656423</v>
      </c>
      <c r="X654">
        <v>0.3415680669746875</v>
      </c>
      <c r="Z654" t="s">
        <v>392</v>
      </c>
      <c r="AA654">
        <v>161</v>
      </c>
      <c r="AB654" t="s">
        <v>5101</v>
      </c>
      <c r="AC654" t="str">
        <f>HYPERLINK("plots/3FT6Y578R04_015_S31P_20251219032831_M5358ACSA301811_RBGEUFRF04/dpll_52084/txpa_55235.png","plot")</f>
        <v>plot</v>
      </c>
    </row>
    <row r="655" spans="1:29" x14ac:dyDescent="0.35">
      <c r="A655" t="s">
        <v>50</v>
      </c>
      <c r="B655">
        <v>52084</v>
      </c>
      <c r="C655" t="s">
        <v>52</v>
      </c>
      <c r="D655">
        <v>55236</v>
      </c>
      <c r="E655" t="s">
        <v>369</v>
      </c>
      <c r="F655">
        <v>11782</v>
      </c>
      <c r="G655">
        <v>0.78349412962674037</v>
      </c>
      <c r="H655">
        <v>0</v>
      </c>
      <c r="I655">
        <v>0</v>
      </c>
      <c r="J655">
        <v>0.69912078734623739</v>
      </c>
      <c r="K655">
        <v>0</v>
      </c>
      <c r="L655">
        <v>0</v>
      </c>
      <c r="M655">
        <v>0.51153238253192013</v>
      </c>
      <c r="N655">
        <v>0</v>
      </c>
      <c r="O655">
        <v>0</v>
      </c>
      <c r="P655">
        <v>0.61386305115956341</v>
      </c>
      <c r="Q655">
        <v>1.3848762450929919</v>
      </c>
      <c r="R655">
        <v>3.8243669711368531</v>
      </c>
      <c r="S655">
        <v>0.2123235128443135</v>
      </c>
      <c r="T655">
        <v>0.16238667823462519</v>
      </c>
      <c r="U655">
        <v>4.2695416864708866</v>
      </c>
      <c r="V655">
        <v>0.1933172563537221</v>
      </c>
      <c r="W655">
        <v>9.7371538301646581</v>
      </c>
      <c r="X655">
        <v>0.34170067900619128</v>
      </c>
      <c r="Z655" t="s">
        <v>392</v>
      </c>
      <c r="AA655">
        <v>161</v>
      </c>
      <c r="AB655" t="s">
        <v>5102</v>
      </c>
      <c r="AC655" t="str">
        <f>HYPERLINK("plots/3FT6Y578R04_015_S31P_20251219032831_M5358ACSA301811_RBGEUFRF04/dpll_52084/txpa_55236.png","plot")</f>
        <v>plot</v>
      </c>
    </row>
    <row r="656" spans="1:29" x14ac:dyDescent="0.35">
      <c r="A656" t="s">
        <v>50</v>
      </c>
      <c r="B656">
        <v>52084</v>
      </c>
      <c r="C656" t="s">
        <v>52</v>
      </c>
      <c r="D656">
        <v>55237</v>
      </c>
      <c r="E656" t="s">
        <v>370</v>
      </c>
      <c r="F656">
        <v>11782</v>
      </c>
      <c r="G656">
        <v>0.77688414240516424</v>
      </c>
      <c r="H656">
        <v>0</v>
      </c>
      <c r="I656">
        <v>0</v>
      </c>
      <c r="J656">
        <v>0.69075269593395594</v>
      </c>
      <c r="K656">
        <v>0</v>
      </c>
      <c r="L656">
        <v>0</v>
      </c>
      <c r="M656">
        <v>0.50322386626081783</v>
      </c>
      <c r="N656">
        <v>0</v>
      </c>
      <c r="O656">
        <v>0</v>
      </c>
      <c r="P656">
        <v>0.60354897072060754</v>
      </c>
      <c r="Q656">
        <v>1.357052106616591</v>
      </c>
      <c r="R656">
        <v>3.9571078646875688</v>
      </c>
      <c r="S656">
        <v>0.21261173582200041</v>
      </c>
      <c r="T656">
        <v>0.1614735872683456</v>
      </c>
      <c r="U656">
        <v>4.2695416864708866</v>
      </c>
      <c r="V656">
        <v>0.1933172563537221</v>
      </c>
      <c r="W656">
        <v>9.7510984046002385</v>
      </c>
      <c r="X656">
        <v>0.33768431566638979</v>
      </c>
      <c r="Z656" t="s">
        <v>392</v>
      </c>
      <c r="AA656">
        <v>161</v>
      </c>
      <c r="AB656" t="s">
        <v>5103</v>
      </c>
      <c r="AC656" t="str">
        <f>HYPERLINK("plots/3FT6Y578R04_015_S31P_20251219032831_M5358ACSA301811_RBGEUFRF04/dpll_52084/txpa_55237.png","plot")</f>
        <v>plot</v>
      </c>
    </row>
    <row r="657" spans="1:29" x14ac:dyDescent="0.35">
      <c r="A657" t="s">
        <v>50</v>
      </c>
      <c r="B657">
        <v>52084</v>
      </c>
      <c r="C657" t="s">
        <v>52</v>
      </c>
      <c r="D657">
        <v>55238</v>
      </c>
      <c r="E657" t="s">
        <v>371</v>
      </c>
      <c r="F657">
        <v>11781</v>
      </c>
      <c r="G657">
        <v>0.7894729486474048</v>
      </c>
      <c r="H657">
        <v>0</v>
      </c>
      <c r="I657">
        <v>0</v>
      </c>
      <c r="J657">
        <v>0.70045209134268693</v>
      </c>
      <c r="K657">
        <v>0</v>
      </c>
      <c r="L657">
        <v>0</v>
      </c>
      <c r="M657">
        <v>0.51242659968862725</v>
      </c>
      <c r="N657">
        <v>0</v>
      </c>
      <c r="O657">
        <v>0</v>
      </c>
      <c r="P657">
        <v>0.62326753664602785</v>
      </c>
      <c r="Q657">
        <v>1.3860715972605351</v>
      </c>
      <c r="R657">
        <v>3.8374832495654569</v>
      </c>
      <c r="S657">
        <v>0.20832045712385799</v>
      </c>
      <c r="T657">
        <v>0.16022701160397751</v>
      </c>
      <c r="U657">
        <v>4.2695489746201511</v>
      </c>
      <c r="V657">
        <v>0.19332384277072681</v>
      </c>
      <c r="W657">
        <v>9.7553838163992879</v>
      </c>
      <c r="X657">
        <v>0.33941718712067281</v>
      </c>
      <c r="Z657" t="s">
        <v>392</v>
      </c>
      <c r="AA657">
        <v>161</v>
      </c>
      <c r="AB657" t="s">
        <v>5104</v>
      </c>
      <c r="AC657" t="str">
        <f>HYPERLINK("plots/3FT6Y578R04_015_S31P_20251219032831_M5358ACSA301811_RBGEUFRF04/dpll_52084/txpa_55238.png","plot")</f>
        <v>plot</v>
      </c>
    </row>
    <row r="658" spans="1:29" x14ac:dyDescent="0.35">
      <c r="A658" t="s">
        <v>50</v>
      </c>
      <c r="B658">
        <v>52084</v>
      </c>
      <c r="C658" t="s">
        <v>52</v>
      </c>
      <c r="D658">
        <v>55239</v>
      </c>
      <c r="E658" t="s">
        <v>372</v>
      </c>
      <c r="F658">
        <v>11781</v>
      </c>
      <c r="G658">
        <v>0.79171793661032874</v>
      </c>
      <c r="H658">
        <v>0</v>
      </c>
      <c r="I658">
        <v>0</v>
      </c>
      <c r="J658">
        <v>0.69686461399995181</v>
      </c>
      <c r="K658">
        <v>0</v>
      </c>
      <c r="L658">
        <v>0</v>
      </c>
      <c r="M658">
        <v>0.50800219151541504</v>
      </c>
      <c r="N658">
        <v>0</v>
      </c>
      <c r="O658">
        <v>0</v>
      </c>
      <c r="P658">
        <v>0.62681729115051654</v>
      </c>
      <c r="Q658">
        <v>1.386361617890989</v>
      </c>
      <c r="R658">
        <v>3.8131849638559761</v>
      </c>
      <c r="S658">
        <v>0.20677453139795249</v>
      </c>
      <c r="T658">
        <v>0.15949951553287259</v>
      </c>
      <c r="U658">
        <v>4.2695174021729896</v>
      </c>
      <c r="V658">
        <v>0.19330748901132719</v>
      </c>
      <c r="W658">
        <v>9.7322800171462536</v>
      </c>
      <c r="X658">
        <v>0.33849692020820099</v>
      </c>
      <c r="Z658" t="s">
        <v>392</v>
      </c>
      <c r="AA658">
        <v>161</v>
      </c>
      <c r="AB658" t="s">
        <v>5105</v>
      </c>
      <c r="AC658" t="str">
        <f>HYPERLINK("plots/3FT6Y578R04_015_S31P_20251219032831_M5358ACSA301811_RBGEUFRF04/dpll_52084/txpa_55239.png","plot")</f>
        <v>plot</v>
      </c>
    </row>
    <row r="659" spans="1:29" x14ac:dyDescent="0.35">
      <c r="A659" t="s">
        <v>50</v>
      </c>
      <c r="B659">
        <v>52084</v>
      </c>
      <c r="C659" t="s">
        <v>52</v>
      </c>
      <c r="D659">
        <v>55240</v>
      </c>
      <c r="E659" t="s">
        <v>373</v>
      </c>
      <c r="F659">
        <v>11781</v>
      </c>
      <c r="G659">
        <v>0.79475065625102426</v>
      </c>
      <c r="H659">
        <v>0</v>
      </c>
      <c r="I659">
        <v>0</v>
      </c>
      <c r="J659">
        <v>0.70647831613817713</v>
      </c>
      <c r="K659">
        <v>0</v>
      </c>
      <c r="L659">
        <v>0</v>
      </c>
      <c r="M659">
        <v>0.51771881222347294</v>
      </c>
      <c r="N659">
        <v>0</v>
      </c>
      <c r="O659">
        <v>0</v>
      </c>
      <c r="P659">
        <v>0.63162860561143375</v>
      </c>
      <c r="Q659">
        <v>1.400874293501795</v>
      </c>
      <c r="R659">
        <v>3.7645207875865312</v>
      </c>
      <c r="S659">
        <v>0.20678797350059311</v>
      </c>
      <c r="T659">
        <v>0.1597387290880225</v>
      </c>
      <c r="U659">
        <v>4.2695129435531793</v>
      </c>
      <c r="V659">
        <v>0.1933002831720991</v>
      </c>
      <c r="W659">
        <v>9.7455717159833615</v>
      </c>
      <c r="X659">
        <v>0.34072245866366652</v>
      </c>
      <c r="Z659" t="s">
        <v>392</v>
      </c>
      <c r="AA659">
        <v>161</v>
      </c>
      <c r="AB659" t="s">
        <v>5106</v>
      </c>
      <c r="AC659" t="str">
        <f>HYPERLINK("plots/3FT6Y578R04_015_S31P_20251219032831_M5358ACSA301811_RBGEUFRF04/dpll_52084/txpa_55240.png","plot")</f>
        <v>plot</v>
      </c>
    </row>
    <row r="660" spans="1:29" x14ac:dyDescent="0.35">
      <c r="A660" t="s">
        <v>50</v>
      </c>
      <c r="B660">
        <v>52084</v>
      </c>
      <c r="C660" t="s">
        <v>52</v>
      </c>
      <c r="D660">
        <v>55241</v>
      </c>
      <c r="E660" t="s">
        <v>374</v>
      </c>
      <c r="F660">
        <v>11782</v>
      </c>
      <c r="G660">
        <v>0.79226252623272553</v>
      </c>
      <c r="H660">
        <v>0</v>
      </c>
      <c r="I660">
        <v>0</v>
      </c>
      <c r="J660">
        <v>0.69814002191446245</v>
      </c>
      <c r="K660">
        <v>0</v>
      </c>
      <c r="L660">
        <v>0</v>
      </c>
      <c r="M660">
        <v>0.5097150383234883</v>
      </c>
      <c r="N660">
        <v>0</v>
      </c>
      <c r="O660">
        <v>0</v>
      </c>
      <c r="P660">
        <v>0.62767991047266014</v>
      </c>
      <c r="Q660">
        <v>1.38432480671613</v>
      </c>
      <c r="R660">
        <v>3.841531715562112</v>
      </c>
      <c r="S660">
        <v>0.20610062736837681</v>
      </c>
      <c r="T660">
        <v>0.15960669328864971</v>
      </c>
      <c r="U660">
        <v>4.2695416864708866</v>
      </c>
      <c r="V660">
        <v>0.1933172563537221</v>
      </c>
      <c r="W660">
        <v>9.7519641854523851</v>
      </c>
      <c r="X660">
        <v>0.337784338746003</v>
      </c>
      <c r="Z660" t="s">
        <v>392</v>
      </c>
      <c r="AA660">
        <v>161</v>
      </c>
      <c r="AB660" t="s">
        <v>5107</v>
      </c>
      <c r="AC660" t="str">
        <f>HYPERLINK("plots/3FT6Y578R04_015_S31P_20251219032831_M5358ACSA301811_RBGEUFRF04/dpll_52084/txpa_55241.png","plot")</f>
        <v>plot</v>
      </c>
    </row>
    <row r="661" spans="1:29" x14ac:dyDescent="0.35">
      <c r="A661" t="s">
        <v>50</v>
      </c>
      <c r="B661">
        <v>52084</v>
      </c>
      <c r="C661" t="s">
        <v>52</v>
      </c>
      <c r="D661">
        <v>55242</v>
      </c>
      <c r="E661" t="s">
        <v>375</v>
      </c>
      <c r="F661">
        <v>11781</v>
      </c>
      <c r="G661">
        <v>0.78486364207325676</v>
      </c>
      <c r="H661">
        <v>0</v>
      </c>
      <c r="I661">
        <v>0</v>
      </c>
      <c r="J661">
        <v>0.6916479265494001</v>
      </c>
      <c r="K661">
        <v>0</v>
      </c>
      <c r="L661">
        <v>0</v>
      </c>
      <c r="M661">
        <v>0.5050963345203362</v>
      </c>
      <c r="N661">
        <v>0</v>
      </c>
      <c r="O661">
        <v>0</v>
      </c>
      <c r="P661">
        <v>0.61601093664849726</v>
      </c>
      <c r="Q661">
        <v>1.3763732337320369</v>
      </c>
      <c r="R661">
        <v>3.8534119063579109</v>
      </c>
      <c r="S661">
        <v>0.2100584068868166</v>
      </c>
      <c r="T661">
        <v>0.1605357743291404</v>
      </c>
      <c r="U661">
        <v>4.2695633024361257</v>
      </c>
      <c r="V661">
        <v>0.19331122175495491</v>
      </c>
      <c r="W661">
        <v>9.7299245555555558</v>
      </c>
      <c r="X661">
        <v>0.33899951168680081</v>
      </c>
      <c r="Z661" t="s">
        <v>392</v>
      </c>
      <c r="AA661">
        <v>161</v>
      </c>
      <c r="AB661" t="s">
        <v>5108</v>
      </c>
      <c r="AC661" t="str">
        <f>HYPERLINK("plots/3FT6Y578R04_015_S31P_20251219032831_M5358ACSA301811_RBGEUFRF04/dpll_52084/txpa_55242.png","plot")</f>
        <v>plot</v>
      </c>
    </row>
    <row r="662" spans="1:29" x14ac:dyDescent="0.35">
      <c r="A662" t="s">
        <v>50</v>
      </c>
      <c r="B662">
        <v>52084</v>
      </c>
      <c r="C662" t="s">
        <v>52</v>
      </c>
      <c r="D662">
        <v>55243</v>
      </c>
      <c r="E662" t="s">
        <v>376</v>
      </c>
      <c r="F662">
        <v>11782</v>
      </c>
      <c r="G662">
        <v>0.77224182967128807</v>
      </c>
      <c r="H662">
        <v>0</v>
      </c>
      <c r="I662">
        <v>0</v>
      </c>
      <c r="J662">
        <v>0.69149031811376904</v>
      </c>
      <c r="K662">
        <v>0</v>
      </c>
      <c r="L662">
        <v>0</v>
      </c>
      <c r="M662">
        <v>0.50243919909036749</v>
      </c>
      <c r="N662">
        <v>0</v>
      </c>
      <c r="O662">
        <v>0</v>
      </c>
      <c r="P662">
        <v>0.59635744349405873</v>
      </c>
      <c r="Q662">
        <v>1.4038813515388029</v>
      </c>
      <c r="R662">
        <v>5.2889795345239561</v>
      </c>
      <c r="S662">
        <v>0.22326865114722039</v>
      </c>
      <c r="T662">
        <v>0.1670581967361125</v>
      </c>
      <c r="U662">
        <v>4.2695416864708866</v>
      </c>
      <c r="V662">
        <v>0.1933172563537221</v>
      </c>
      <c r="W662">
        <v>11.282909487777969</v>
      </c>
      <c r="X662">
        <v>0.35143718029513921</v>
      </c>
      <c r="Z662" t="s">
        <v>392</v>
      </c>
      <c r="AA662">
        <v>161</v>
      </c>
      <c r="AB662" t="s">
        <v>5109</v>
      </c>
      <c r="AC662" t="str">
        <f>HYPERLINK("plots/3FT6Y578R04_015_S31P_20251219032831_M5358ACSA301811_RBGEUFRF04/dpll_52084/txpa_55243.png","plot")</f>
        <v>plot</v>
      </c>
    </row>
    <row r="663" spans="1:29" x14ac:dyDescent="0.35">
      <c r="A663" t="s">
        <v>50</v>
      </c>
      <c r="B663">
        <v>52084</v>
      </c>
      <c r="C663" t="s">
        <v>52</v>
      </c>
      <c r="D663">
        <v>55244</v>
      </c>
      <c r="E663" t="s">
        <v>377</v>
      </c>
      <c r="F663">
        <v>11782</v>
      </c>
      <c r="G663">
        <v>0.78928595534860324</v>
      </c>
      <c r="H663">
        <v>0</v>
      </c>
      <c r="I663">
        <v>0</v>
      </c>
      <c r="J663">
        <v>0.70289577923590085</v>
      </c>
      <c r="K663">
        <v>0</v>
      </c>
      <c r="L663">
        <v>0</v>
      </c>
      <c r="M663">
        <v>0.51523748306226425</v>
      </c>
      <c r="N663">
        <v>0</v>
      </c>
      <c r="O663">
        <v>0</v>
      </c>
      <c r="P663">
        <v>0.6229723193105573</v>
      </c>
      <c r="Q663">
        <v>1.4357256250047949</v>
      </c>
      <c r="R663">
        <v>5.1819585868326632</v>
      </c>
      <c r="S663">
        <v>0.2159115557142984</v>
      </c>
      <c r="T663">
        <v>0.16443214609470919</v>
      </c>
      <c r="U663">
        <v>4.2695416864708866</v>
      </c>
      <c r="V663">
        <v>0.1933172563537221</v>
      </c>
      <c r="W663">
        <v>11.31184899312511</v>
      </c>
      <c r="X663">
        <v>0.35164763394285198</v>
      </c>
      <c r="Z663" t="s">
        <v>392</v>
      </c>
      <c r="AA663">
        <v>161</v>
      </c>
      <c r="AB663" t="s">
        <v>5110</v>
      </c>
      <c r="AC663" t="str">
        <f>HYPERLINK("plots/3FT6Y578R04_015_S31P_20251219032831_M5358ACSA301811_RBGEUFRF04/dpll_52084/txpa_55244.png","plot")</f>
        <v>plot</v>
      </c>
    </row>
    <row r="664" spans="1:29" x14ac:dyDescent="0.35">
      <c r="A664" t="s">
        <v>50</v>
      </c>
      <c r="B664">
        <v>52084</v>
      </c>
      <c r="C664" t="s">
        <v>52</v>
      </c>
      <c r="D664">
        <v>55245</v>
      </c>
      <c r="E664" t="s">
        <v>378</v>
      </c>
      <c r="F664">
        <v>11782</v>
      </c>
      <c r="G664">
        <v>0.78311063967815353</v>
      </c>
      <c r="H664">
        <v>0</v>
      </c>
      <c r="I664">
        <v>0</v>
      </c>
      <c r="J664">
        <v>0.69477760026066937</v>
      </c>
      <c r="K664">
        <v>0</v>
      </c>
      <c r="L664">
        <v>0</v>
      </c>
      <c r="M664">
        <v>0.50713010426816674</v>
      </c>
      <c r="N664">
        <v>0</v>
      </c>
      <c r="O664">
        <v>0</v>
      </c>
      <c r="P664">
        <v>0.61326227397712685</v>
      </c>
      <c r="Q664">
        <v>1.407797449758118</v>
      </c>
      <c r="R664">
        <v>5.3152710178692031</v>
      </c>
      <c r="S664">
        <v>0.21611131744439319</v>
      </c>
      <c r="T664">
        <v>0.16342505442630359</v>
      </c>
      <c r="U664">
        <v>4.2695416864708866</v>
      </c>
      <c r="V664">
        <v>0.1933172563537221</v>
      </c>
      <c r="W664">
        <v>11.325920915718889</v>
      </c>
      <c r="X664">
        <v>0.34752629666844559</v>
      </c>
      <c r="Z664" t="s">
        <v>392</v>
      </c>
      <c r="AA664">
        <v>161</v>
      </c>
      <c r="AB664" t="s">
        <v>5111</v>
      </c>
      <c r="AC664" t="str">
        <f>HYPERLINK("plots/3FT6Y578R04_015_S31P_20251219032831_M5358ACSA301811_RBGEUFRF04/dpll_52084/txpa_55245.png","plot")</f>
        <v>plot</v>
      </c>
    </row>
    <row r="665" spans="1:29" x14ac:dyDescent="0.35">
      <c r="A665" t="s">
        <v>50</v>
      </c>
      <c r="B665">
        <v>52084</v>
      </c>
      <c r="C665" t="s">
        <v>52</v>
      </c>
      <c r="D665">
        <v>55246</v>
      </c>
      <c r="E665" t="s">
        <v>379</v>
      </c>
      <c r="F665">
        <v>11781</v>
      </c>
      <c r="G665">
        <v>0.79508240168757183</v>
      </c>
      <c r="H665">
        <v>0</v>
      </c>
      <c r="I665">
        <v>0</v>
      </c>
      <c r="J665">
        <v>0.70391387117668303</v>
      </c>
      <c r="K665">
        <v>0</v>
      </c>
      <c r="L665">
        <v>0</v>
      </c>
      <c r="M665">
        <v>0.51582319528497222</v>
      </c>
      <c r="N665">
        <v>0</v>
      </c>
      <c r="O665">
        <v>0</v>
      </c>
      <c r="P665">
        <v>0.63215602547327732</v>
      </c>
      <c r="Q665">
        <v>1.4361365223030851</v>
      </c>
      <c r="R665">
        <v>5.1979170350383272</v>
      </c>
      <c r="S665">
        <v>0.21177875731303711</v>
      </c>
      <c r="T665">
        <v>0.1622440297478247</v>
      </c>
      <c r="U665">
        <v>4.2695489746201511</v>
      </c>
      <c r="V665">
        <v>0.19332384277072681</v>
      </c>
      <c r="W665">
        <v>11.329572251252021</v>
      </c>
      <c r="X665">
        <v>0.34919579485815189</v>
      </c>
      <c r="Z665" t="s">
        <v>392</v>
      </c>
      <c r="AA665">
        <v>161</v>
      </c>
      <c r="AB665" t="s">
        <v>5112</v>
      </c>
      <c r="AC665" t="str">
        <f>HYPERLINK("plots/3FT6Y578R04_015_S31P_20251219032831_M5358ACSA301811_RBGEUFRF04/dpll_52084/txpa_55246.png","plot")</f>
        <v>plot</v>
      </c>
    </row>
    <row r="666" spans="1:29" x14ac:dyDescent="0.35">
      <c r="A666" t="s">
        <v>50</v>
      </c>
      <c r="B666">
        <v>52084</v>
      </c>
      <c r="C666" t="s">
        <v>52</v>
      </c>
      <c r="D666">
        <v>55247</v>
      </c>
      <c r="E666" t="s">
        <v>380</v>
      </c>
      <c r="F666">
        <v>11781</v>
      </c>
      <c r="G666">
        <v>0.79721905380323965</v>
      </c>
      <c r="H666">
        <v>0</v>
      </c>
      <c r="I666">
        <v>0</v>
      </c>
      <c r="J666">
        <v>0.70031192547150134</v>
      </c>
      <c r="K666">
        <v>0</v>
      </c>
      <c r="L666">
        <v>0</v>
      </c>
      <c r="M666">
        <v>0.51142963515710882</v>
      </c>
      <c r="N666">
        <v>0</v>
      </c>
      <c r="O666">
        <v>0</v>
      </c>
      <c r="P666">
        <v>0.63555821974693272</v>
      </c>
      <c r="Q666">
        <v>1.4371696442083679</v>
      </c>
      <c r="R666">
        <v>5.1691039608357867</v>
      </c>
      <c r="S666">
        <v>0.21036558484168871</v>
      </c>
      <c r="T666">
        <v>0.16165344771262691</v>
      </c>
      <c r="U666">
        <v>4.2695174021729896</v>
      </c>
      <c r="V666">
        <v>0.19330748901132719</v>
      </c>
      <c r="W666">
        <v>11.30512476665818</v>
      </c>
      <c r="X666">
        <v>0.34848095248083372</v>
      </c>
      <c r="Z666" t="s">
        <v>392</v>
      </c>
      <c r="AA666">
        <v>161</v>
      </c>
      <c r="AB666" t="s">
        <v>5113</v>
      </c>
      <c r="AC666" t="str">
        <f>HYPERLINK("plots/3FT6Y578R04_015_S31P_20251219032831_M5358ACSA301811_RBGEUFRF04/dpll_52084/txpa_55247.png","plot")</f>
        <v>plot</v>
      </c>
    </row>
    <row r="667" spans="1:29" x14ac:dyDescent="0.35">
      <c r="A667" t="s">
        <v>50</v>
      </c>
      <c r="B667">
        <v>52084</v>
      </c>
      <c r="C667" t="s">
        <v>52</v>
      </c>
      <c r="D667">
        <v>55248</v>
      </c>
      <c r="E667" t="s">
        <v>381</v>
      </c>
      <c r="F667">
        <v>11781</v>
      </c>
      <c r="G667">
        <v>0.80019707830566045</v>
      </c>
      <c r="H667">
        <v>0</v>
      </c>
      <c r="I667">
        <v>0</v>
      </c>
      <c r="J667">
        <v>0.70960550963657854</v>
      </c>
      <c r="K667">
        <v>0</v>
      </c>
      <c r="L667">
        <v>0</v>
      </c>
      <c r="M667">
        <v>0.52100108066227913</v>
      </c>
      <c r="N667">
        <v>0</v>
      </c>
      <c r="O667">
        <v>0</v>
      </c>
      <c r="P667">
        <v>0.64031536412891532</v>
      </c>
      <c r="Q667">
        <v>1.4513089428458581</v>
      </c>
      <c r="R667">
        <v>5.1241170974816583</v>
      </c>
      <c r="S667">
        <v>0.21025092300275841</v>
      </c>
      <c r="T667">
        <v>0.16176220473689301</v>
      </c>
      <c r="U667">
        <v>4.2695129435531793</v>
      </c>
      <c r="V667">
        <v>0.1933002831720991</v>
      </c>
      <c r="W667">
        <v>11.320499414056529</v>
      </c>
      <c r="X667">
        <v>0.35058667074405853</v>
      </c>
      <c r="Z667" t="s">
        <v>392</v>
      </c>
      <c r="AA667">
        <v>161</v>
      </c>
      <c r="AB667" t="s">
        <v>5114</v>
      </c>
      <c r="AC667" t="str">
        <f>HYPERLINK("plots/3FT6Y578R04_015_S31P_20251219032831_M5358ACSA301811_RBGEUFRF04/dpll_52084/txpa_55248.png","plot")</f>
        <v>plot</v>
      </c>
    </row>
    <row r="668" spans="1:29" x14ac:dyDescent="0.35">
      <c r="A668" t="s">
        <v>50</v>
      </c>
      <c r="B668">
        <v>52084</v>
      </c>
      <c r="C668" t="s">
        <v>52</v>
      </c>
      <c r="D668">
        <v>55249</v>
      </c>
      <c r="E668" t="s">
        <v>382</v>
      </c>
      <c r="F668">
        <v>11782</v>
      </c>
      <c r="G668">
        <v>0.79793965852989357</v>
      </c>
      <c r="H668">
        <v>0</v>
      </c>
      <c r="I668">
        <v>0</v>
      </c>
      <c r="J668">
        <v>0.7015371696122995</v>
      </c>
      <c r="K668">
        <v>0</v>
      </c>
      <c r="L668">
        <v>0</v>
      </c>
      <c r="M668">
        <v>0.51310353363665917</v>
      </c>
      <c r="N668">
        <v>0</v>
      </c>
      <c r="O668">
        <v>0</v>
      </c>
      <c r="P668">
        <v>0.63670769865480314</v>
      </c>
      <c r="Q668">
        <v>1.4350239651647529</v>
      </c>
      <c r="R668">
        <v>5.2005940731055524</v>
      </c>
      <c r="S668">
        <v>0.20954118341069111</v>
      </c>
      <c r="T668">
        <v>0.16151609142374621</v>
      </c>
      <c r="U668">
        <v>4.2695416864708866</v>
      </c>
      <c r="V668">
        <v>0.1933172563537221</v>
      </c>
      <c r="W668">
        <v>11.327488713461211</v>
      </c>
      <c r="X668">
        <v>0.34766400288787802</v>
      </c>
      <c r="Z668" t="s">
        <v>392</v>
      </c>
      <c r="AA668">
        <v>161</v>
      </c>
      <c r="AB668" t="s">
        <v>5115</v>
      </c>
      <c r="AC668" t="str">
        <f>HYPERLINK("plots/3FT6Y578R04_015_S31P_20251219032831_M5358ACSA301811_RBGEUFRF04/dpll_52084/txpa_55249.png","plot")</f>
        <v>plot</v>
      </c>
    </row>
    <row r="669" spans="1:29" x14ac:dyDescent="0.35">
      <c r="A669" t="s">
        <v>50</v>
      </c>
      <c r="B669">
        <v>52084</v>
      </c>
      <c r="C669" t="s">
        <v>52</v>
      </c>
      <c r="D669">
        <v>55250</v>
      </c>
      <c r="E669" t="s">
        <v>383</v>
      </c>
      <c r="F669">
        <v>11781</v>
      </c>
      <c r="G669">
        <v>0.79018353400491614</v>
      </c>
      <c r="H669">
        <v>0</v>
      </c>
      <c r="I669">
        <v>0</v>
      </c>
      <c r="J669">
        <v>0.69442488092559929</v>
      </c>
      <c r="K669">
        <v>0</v>
      </c>
      <c r="L669">
        <v>0</v>
      </c>
      <c r="M669">
        <v>0.507900937110773</v>
      </c>
      <c r="N669">
        <v>0</v>
      </c>
      <c r="O669">
        <v>0</v>
      </c>
      <c r="P669">
        <v>0.62439001741249844</v>
      </c>
      <c r="Q669">
        <v>1.425418003822942</v>
      </c>
      <c r="R669">
        <v>5.221489861429073</v>
      </c>
      <c r="S669">
        <v>0.21370833474195641</v>
      </c>
      <c r="T669">
        <v>0.16271211008226399</v>
      </c>
      <c r="U669">
        <v>4.2695633024361257</v>
      </c>
      <c r="V669">
        <v>0.19331122175495491</v>
      </c>
      <c r="W669">
        <v>11.30740226118326</v>
      </c>
      <c r="X669">
        <v>0.34871556286923022</v>
      </c>
      <c r="Z669" t="s">
        <v>392</v>
      </c>
      <c r="AA669">
        <v>161</v>
      </c>
      <c r="AB669" t="s">
        <v>5116</v>
      </c>
      <c r="AC669" t="str">
        <f>HYPERLINK("plots/3FT6Y578R04_015_S31P_20251219032831_M5358ACSA301811_RBGEUFRF04/dpll_52084/txpa_55250.png","plot")</f>
        <v>plot</v>
      </c>
    </row>
    <row r="670" spans="1:29" x14ac:dyDescent="0.35">
      <c r="A670" t="s">
        <v>50</v>
      </c>
      <c r="B670">
        <v>52084</v>
      </c>
      <c r="C670" t="s">
        <v>52</v>
      </c>
      <c r="D670">
        <v>55251</v>
      </c>
      <c r="E670" t="s">
        <v>384</v>
      </c>
      <c r="F670">
        <v>11782</v>
      </c>
      <c r="G670">
        <v>0.77420285800150412</v>
      </c>
      <c r="H670">
        <v>0</v>
      </c>
      <c r="I670">
        <v>0</v>
      </c>
      <c r="J670">
        <v>0.69225947889378336</v>
      </c>
      <c r="K670">
        <v>0</v>
      </c>
      <c r="L670">
        <v>0</v>
      </c>
      <c r="M670">
        <v>0.50324785600150879</v>
      </c>
      <c r="N670">
        <v>0</v>
      </c>
      <c r="O670">
        <v>0</v>
      </c>
      <c r="P670">
        <v>0.59939006533769712</v>
      </c>
      <c r="Q670">
        <v>1.4195135762817721</v>
      </c>
      <c r="R670">
        <v>5.7828176285286466</v>
      </c>
      <c r="S670">
        <v>0.22433540982477129</v>
      </c>
      <c r="T670">
        <v>0.167533560230923</v>
      </c>
      <c r="U670">
        <v>4.2695416864708866</v>
      </c>
      <c r="V670">
        <v>0.1933172563537221</v>
      </c>
      <c r="W670">
        <v>11.84349001697505</v>
      </c>
      <c r="X670">
        <v>0.35445034474817089</v>
      </c>
      <c r="Z670" t="s">
        <v>392</v>
      </c>
      <c r="AA670">
        <v>161</v>
      </c>
      <c r="AB670" t="s">
        <v>5117</v>
      </c>
      <c r="AC670" t="str">
        <f>HYPERLINK("plots/3FT6Y578R04_015_S31P_20251219032831_M5358ACSA301811_RBGEUFRF04/dpll_52084/txpa_55251.png","plot")</f>
        <v>plot</v>
      </c>
    </row>
    <row r="671" spans="1:29" x14ac:dyDescent="0.35">
      <c r="A671" t="s">
        <v>50</v>
      </c>
      <c r="B671">
        <v>52084</v>
      </c>
      <c r="C671" t="s">
        <v>52</v>
      </c>
      <c r="D671">
        <v>55252</v>
      </c>
      <c r="E671" t="s">
        <v>385</v>
      </c>
      <c r="F671">
        <v>11782</v>
      </c>
      <c r="G671">
        <v>0.79112386438474525</v>
      </c>
      <c r="H671">
        <v>0</v>
      </c>
      <c r="I671">
        <v>0</v>
      </c>
      <c r="J671">
        <v>0.70373018389549502</v>
      </c>
      <c r="K671">
        <v>0</v>
      </c>
      <c r="L671">
        <v>0</v>
      </c>
      <c r="M671">
        <v>0.51613336052883663</v>
      </c>
      <c r="N671">
        <v>0</v>
      </c>
      <c r="O671">
        <v>0</v>
      </c>
      <c r="P671">
        <v>0.62587696879905275</v>
      </c>
      <c r="Q671">
        <v>1.451687116407687</v>
      </c>
      <c r="R671">
        <v>5.6743107475067811</v>
      </c>
      <c r="S671">
        <v>0.2169641359008844</v>
      </c>
      <c r="T671">
        <v>0.16488625934344889</v>
      </c>
      <c r="U671">
        <v>4.2695416864708866</v>
      </c>
      <c r="V671">
        <v>0.1933172563537221</v>
      </c>
      <c r="W671">
        <v>11.872349406722121</v>
      </c>
      <c r="X671">
        <v>0.35473101376638477</v>
      </c>
      <c r="Z671" t="s">
        <v>392</v>
      </c>
      <c r="AA671">
        <v>161</v>
      </c>
      <c r="AB671" t="s">
        <v>5118</v>
      </c>
      <c r="AC671" t="str">
        <f>HYPERLINK("plots/3FT6Y578R04_015_S31P_20251219032831_M5358ACSA301811_RBGEUFRF04/dpll_52084/txpa_55252.png","plot")</f>
        <v>plot</v>
      </c>
    </row>
    <row r="672" spans="1:29" x14ac:dyDescent="0.35">
      <c r="A672" t="s">
        <v>50</v>
      </c>
      <c r="B672">
        <v>52084</v>
      </c>
      <c r="C672" t="s">
        <v>52</v>
      </c>
      <c r="D672">
        <v>55253</v>
      </c>
      <c r="E672" t="s">
        <v>386</v>
      </c>
      <c r="F672">
        <v>11782</v>
      </c>
      <c r="G672">
        <v>0.78509718029998743</v>
      </c>
      <c r="H672">
        <v>0</v>
      </c>
      <c r="I672">
        <v>0</v>
      </c>
      <c r="J672">
        <v>0.69560938284227936</v>
      </c>
      <c r="K672">
        <v>0</v>
      </c>
      <c r="L672">
        <v>0</v>
      </c>
      <c r="M672">
        <v>0.50801083995970364</v>
      </c>
      <c r="N672">
        <v>0</v>
      </c>
      <c r="O672">
        <v>0</v>
      </c>
      <c r="P672">
        <v>0.61637758251499097</v>
      </c>
      <c r="Q672">
        <v>1.4236555272093521</v>
      </c>
      <c r="R672">
        <v>5.8083011047487263</v>
      </c>
      <c r="S672">
        <v>0.21711292659049661</v>
      </c>
      <c r="T672">
        <v>0.16392916225432819</v>
      </c>
      <c r="U672">
        <v>4.2695416864708866</v>
      </c>
      <c r="V672">
        <v>0.1933172563537221</v>
      </c>
      <c r="W672">
        <v>11.88665772534374</v>
      </c>
      <c r="X672">
        <v>0.35055173731201339</v>
      </c>
      <c r="Z672" t="s">
        <v>392</v>
      </c>
      <c r="AA672">
        <v>161</v>
      </c>
      <c r="AB672" t="s">
        <v>5119</v>
      </c>
      <c r="AC672" t="str">
        <f>HYPERLINK("plots/3FT6Y578R04_015_S31P_20251219032831_M5358ACSA301811_RBGEUFRF04/dpll_52084/txpa_55253.png","plot")</f>
        <v>plot</v>
      </c>
    </row>
    <row r="673" spans="1:29" x14ac:dyDescent="0.35">
      <c r="A673" t="s">
        <v>50</v>
      </c>
      <c r="B673">
        <v>52084</v>
      </c>
      <c r="C673" t="s">
        <v>52</v>
      </c>
      <c r="D673">
        <v>55254</v>
      </c>
      <c r="E673" t="s">
        <v>387</v>
      </c>
      <c r="F673">
        <v>11781</v>
      </c>
      <c r="G673">
        <v>0.79687273614946097</v>
      </c>
      <c r="H673">
        <v>0</v>
      </c>
      <c r="I673">
        <v>0</v>
      </c>
      <c r="J673">
        <v>0.70460681736228981</v>
      </c>
      <c r="K673">
        <v>0</v>
      </c>
      <c r="L673">
        <v>0</v>
      </c>
      <c r="M673">
        <v>0.51659228904097043</v>
      </c>
      <c r="N673">
        <v>0</v>
      </c>
      <c r="O673">
        <v>0</v>
      </c>
      <c r="P673">
        <v>0.63500615761832846</v>
      </c>
      <c r="Q673">
        <v>1.4517260636672249</v>
      </c>
      <c r="R673">
        <v>5.6917762610643932</v>
      </c>
      <c r="S673">
        <v>0.21276758344600119</v>
      </c>
      <c r="T673">
        <v>0.16271384605803721</v>
      </c>
      <c r="U673">
        <v>4.2695489746201511</v>
      </c>
      <c r="V673">
        <v>0.19332384277072681</v>
      </c>
      <c r="W673">
        <v>11.88999178762414</v>
      </c>
      <c r="X673">
        <v>0.35219332842870599</v>
      </c>
      <c r="Z673" t="s">
        <v>392</v>
      </c>
      <c r="AA673">
        <v>161</v>
      </c>
      <c r="AB673" t="s">
        <v>5120</v>
      </c>
      <c r="AC673" t="str">
        <f>HYPERLINK("plots/3FT6Y578R04_015_S31P_20251219032831_M5358ACSA301811_RBGEUFRF04/dpll_52084/txpa_55254.png","plot")</f>
        <v>plot</v>
      </c>
    </row>
    <row r="674" spans="1:29" x14ac:dyDescent="0.35">
      <c r="A674" t="s">
        <v>50</v>
      </c>
      <c r="B674">
        <v>52084</v>
      </c>
      <c r="C674" t="s">
        <v>52</v>
      </c>
      <c r="D674">
        <v>55255</v>
      </c>
      <c r="E674" t="s">
        <v>388</v>
      </c>
      <c r="F674">
        <v>11781</v>
      </c>
      <c r="G674">
        <v>0.79900220055708315</v>
      </c>
      <c r="H674">
        <v>0</v>
      </c>
      <c r="I674">
        <v>0</v>
      </c>
      <c r="J674">
        <v>0.7009744262669404</v>
      </c>
      <c r="K674">
        <v>0</v>
      </c>
      <c r="L674">
        <v>0</v>
      </c>
      <c r="M674">
        <v>0.5121905646011623</v>
      </c>
      <c r="N674">
        <v>0</v>
      </c>
      <c r="O674">
        <v>0</v>
      </c>
      <c r="P674">
        <v>0.63840451649506136</v>
      </c>
      <c r="Q674">
        <v>1.4535029031114131</v>
      </c>
      <c r="R674">
        <v>5.6589985530354721</v>
      </c>
      <c r="S674">
        <v>0.21145096600430049</v>
      </c>
      <c r="T674">
        <v>0.1622071154832169</v>
      </c>
      <c r="U674">
        <v>4.2695174021729896</v>
      </c>
      <c r="V674">
        <v>0.19330748901132719</v>
      </c>
      <c r="W674">
        <v>11.86475449197861</v>
      </c>
      <c r="X674">
        <v>0.35165484685178661</v>
      </c>
      <c r="Z674" t="s">
        <v>392</v>
      </c>
      <c r="AA674">
        <v>161</v>
      </c>
      <c r="AB674" t="s">
        <v>5121</v>
      </c>
      <c r="AC674" t="str">
        <f>HYPERLINK("plots/3FT6Y578R04_015_S31P_20251219032831_M5358ACSA301811_RBGEUFRF04/dpll_52084/txpa_55255.png","plot")</f>
        <v>plot</v>
      </c>
    </row>
    <row r="675" spans="1:29" x14ac:dyDescent="0.35">
      <c r="A675" t="s">
        <v>50</v>
      </c>
      <c r="B675">
        <v>52084</v>
      </c>
      <c r="C675" t="s">
        <v>52</v>
      </c>
      <c r="D675">
        <v>55256</v>
      </c>
      <c r="E675" t="s">
        <v>389</v>
      </c>
      <c r="F675">
        <v>11781</v>
      </c>
      <c r="G675">
        <v>0.8019696466871522</v>
      </c>
      <c r="H675">
        <v>0</v>
      </c>
      <c r="I675">
        <v>0</v>
      </c>
      <c r="J675">
        <v>0.71028530373246357</v>
      </c>
      <c r="K675">
        <v>0</v>
      </c>
      <c r="L675">
        <v>0</v>
      </c>
      <c r="M675">
        <v>0.52180742618989706</v>
      </c>
      <c r="N675">
        <v>0</v>
      </c>
      <c r="O675">
        <v>0</v>
      </c>
      <c r="P675">
        <v>0.6431553142075157</v>
      </c>
      <c r="Q675">
        <v>1.4673282230002851</v>
      </c>
      <c r="R675">
        <v>5.6159954198787156</v>
      </c>
      <c r="S675">
        <v>0.21126279149190419</v>
      </c>
      <c r="T675">
        <v>0.16222802200852571</v>
      </c>
      <c r="U675">
        <v>4.2695129435531793</v>
      </c>
      <c r="V675">
        <v>0.1933002831720991</v>
      </c>
      <c r="W675">
        <v>11.88077226041932</v>
      </c>
      <c r="X675">
        <v>0.3536729378524896</v>
      </c>
      <c r="Z675" t="s">
        <v>392</v>
      </c>
      <c r="AA675">
        <v>161</v>
      </c>
      <c r="AB675" t="s">
        <v>5122</v>
      </c>
      <c r="AC675" t="str">
        <f>HYPERLINK("plots/3FT6Y578R04_015_S31P_20251219032831_M5358ACSA301811_RBGEUFRF04/dpll_52084/txpa_55256.png","plot")</f>
        <v>plot</v>
      </c>
    </row>
    <row r="676" spans="1:29" x14ac:dyDescent="0.35">
      <c r="A676" t="s">
        <v>50</v>
      </c>
      <c r="B676">
        <v>52084</v>
      </c>
      <c r="C676" t="s">
        <v>52</v>
      </c>
      <c r="D676">
        <v>55257</v>
      </c>
      <c r="E676" t="s">
        <v>390</v>
      </c>
      <c r="F676">
        <v>11782</v>
      </c>
      <c r="G676">
        <v>0.79976283332352582</v>
      </c>
      <c r="H676">
        <v>0</v>
      </c>
      <c r="I676">
        <v>0</v>
      </c>
      <c r="J676">
        <v>0.70220343887220826</v>
      </c>
      <c r="K676">
        <v>0</v>
      </c>
      <c r="L676">
        <v>0</v>
      </c>
      <c r="M676">
        <v>0.51388617429731009</v>
      </c>
      <c r="N676">
        <v>0</v>
      </c>
      <c r="O676">
        <v>0</v>
      </c>
      <c r="P676">
        <v>0.6396205895656738</v>
      </c>
      <c r="Q676">
        <v>1.4511887878419829</v>
      </c>
      <c r="R676">
        <v>5.6921012780345794</v>
      </c>
      <c r="S676">
        <v>0.21056921274500739</v>
      </c>
      <c r="T676">
        <v>0.16197896064625419</v>
      </c>
      <c r="U676">
        <v>4.2695416864708866</v>
      </c>
      <c r="V676">
        <v>0.1933172563537221</v>
      </c>
      <c r="W676">
        <v>11.88801230266508</v>
      </c>
      <c r="X676">
        <v>0.35077878494437348</v>
      </c>
      <c r="Z676" t="s">
        <v>392</v>
      </c>
      <c r="AA676">
        <v>161</v>
      </c>
      <c r="AB676" t="s">
        <v>5123</v>
      </c>
      <c r="AC676" t="str">
        <f>HYPERLINK("plots/3FT6Y578R04_015_S31P_20251219032831_M5358ACSA301811_RBGEUFRF04/dpll_52084/txpa_55257.png","plot")</f>
        <v>plot</v>
      </c>
    </row>
    <row r="677" spans="1:29" x14ac:dyDescent="0.35">
      <c r="A677" t="s">
        <v>50</v>
      </c>
      <c r="B677">
        <v>52084</v>
      </c>
      <c r="C677" t="s">
        <v>52</v>
      </c>
      <c r="D677">
        <v>55258</v>
      </c>
      <c r="E677" t="s">
        <v>391</v>
      </c>
      <c r="F677">
        <v>11781</v>
      </c>
      <c r="G677">
        <v>0.79176277892376179</v>
      </c>
      <c r="H677">
        <v>0</v>
      </c>
      <c r="I677">
        <v>0</v>
      </c>
      <c r="J677">
        <v>0.69486483302771729</v>
      </c>
      <c r="K677">
        <v>0</v>
      </c>
      <c r="L677">
        <v>0</v>
      </c>
      <c r="M677">
        <v>0.50843981883713618</v>
      </c>
      <c r="N677">
        <v>0</v>
      </c>
      <c r="O677">
        <v>0</v>
      </c>
      <c r="P677">
        <v>0.62688829808907764</v>
      </c>
      <c r="Q677">
        <v>1.4406433979983351</v>
      </c>
      <c r="R677">
        <v>5.7175704952386948</v>
      </c>
      <c r="S677">
        <v>0.21484214496925641</v>
      </c>
      <c r="T677">
        <v>0.16330204226852879</v>
      </c>
      <c r="U677">
        <v>4.2695633024361257</v>
      </c>
      <c r="V677">
        <v>0.19331122175495491</v>
      </c>
      <c r="W677">
        <v>11.868488679229269</v>
      </c>
      <c r="X677">
        <v>0.35173734203421508</v>
      </c>
      <c r="Z677" t="s">
        <v>392</v>
      </c>
      <c r="AA677">
        <v>161</v>
      </c>
      <c r="AB677" t="s">
        <v>5124</v>
      </c>
      <c r="AC677" t="str">
        <f>HYPERLINK("plots/3FT6Y578R04_015_S31P_20251219032831_M5358ACSA301811_RBGEUFRF04/dpll_52084/txpa_55258.png","plot")</f>
        <v>plot</v>
      </c>
    </row>
    <row r="678" spans="1:29" x14ac:dyDescent="0.35">
      <c r="A678" t="s">
        <v>50</v>
      </c>
      <c r="B678">
        <v>52094</v>
      </c>
      <c r="C678" t="s">
        <v>53</v>
      </c>
      <c r="D678">
        <v>53179</v>
      </c>
      <c r="E678" t="s">
        <v>54</v>
      </c>
      <c r="F678">
        <v>11782</v>
      </c>
      <c r="G678">
        <v>0.32038268808600751</v>
      </c>
      <c r="H678">
        <v>2.0884665539673152E-279</v>
      </c>
      <c r="I678">
        <v>2.22681922788944E-279</v>
      </c>
      <c r="J678">
        <v>0.27837276830981539</v>
      </c>
      <c r="K678">
        <v>1.2505280448232631E-208</v>
      </c>
      <c r="L678">
        <v>1.3319699973222579E-208</v>
      </c>
      <c r="M678">
        <v>0.18921706001648089</v>
      </c>
      <c r="N678">
        <v>5.7251437613893196E-208</v>
      </c>
      <c r="O678">
        <v>6.0979997626562706E-208</v>
      </c>
      <c r="P678">
        <v>0.102645066825216</v>
      </c>
      <c r="Q678">
        <v>1.60393675827134</v>
      </c>
      <c r="R678">
        <v>-28.237112555010292</v>
      </c>
      <c r="S678">
        <v>1.055968751583847</v>
      </c>
      <c r="T678">
        <v>0.8213274732944652</v>
      </c>
      <c r="U678">
        <v>4.2673938428959426</v>
      </c>
      <c r="V678">
        <v>0.22267382584799689</v>
      </c>
      <c r="W678">
        <v>-21.3924827083687</v>
      </c>
      <c r="X678">
        <v>1.114775384763093</v>
      </c>
      <c r="Z678" t="s">
        <v>392</v>
      </c>
      <c r="AA678">
        <v>161</v>
      </c>
      <c r="AB678" t="s">
        <v>5125</v>
      </c>
      <c r="AC678" t="str">
        <f>HYPERLINK("plots/3FT6Y578R04_015_S31P_20251219032831_M5358ACSA301811_RBGEUFRF04/dpll_52094/txpa_53179.png","plot")</f>
        <v>plot</v>
      </c>
    </row>
    <row r="679" spans="1:29" x14ac:dyDescent="0.35">
      <c r="A679" t="s">
        <v>50</v>
      </c>
      <c r="B679">
        <v>52094</v>
      </c>
      <c r="C679" t="s">
        <v>53</v>
      </c>
      <c r="D679">
        <v>53180</v>
      </c>
      <c r="E679" t="s">
        <v>55</v>
      </c>
      <c r="F679">
        <v>11782</v>
      </c>
      <c r="G679">
        <v>0.31022761131645982</v>
      </c>
      <c r="H679">
        <v>3.3409513840855802E-261</v>
      </c>
      <c r="I679">
        <v>3.536247080858849E-261</v>
      </c>
      <c r="J679">
        <v>0.27257286191319541</v>
      </c>
      <c r="K679">
        <v>8.9417117669680153E-200</v>
      </c>
      <c r="L679">
        <v>9.4941316562361958E-200</v>
      </c>
      <c r="M679">
        <v>0.18488288740372599</v>
      </c>
      <c r="N679">
        <v>1.038322412533697E-198</v>
      </c>
      <c r="O679">
        <v>1.1024700799048889E-198</v>
      </c>
      <c r="P679">
        <v>9.6241170823116465E-2</v>
      </c>
      <c r="Q679">
        <v>1.5100506395305779</v>
      </c>
      <c r="R679">
        <v>-27.74546089750288</v>
      </c>
      <c r="S679">
        <v>1.0303578377239491</v>
      </c>
      <c r="T679">
        <v>0.79695138488903827</v>
      </c>
      <c r="U679">
        <v>4.2673938428959426</v>
      </c>
      <c r="V679">
        <v>0.22267382584799689</v>
      </c>
      <c r="W679">
        <v>-21.30148009590901</v>
      </c>
      <c r="X679">
        <v>1.083877581694314</v>
      </c>
      <c r="Z679" t="s">
        <v>392</v>
      </c>
      <c r="AA679">
        <v>161</v>
      </c>
      <c r="AB679" t="s">
        <v>5126</v>
      </c>
      <c r="AC679" t="str">
        <f>HYPERLINK("plots/3FT6Y578R04_015_S31P_20251219032831_M5358ACSA301811_RBGEUFRF04/dpll_52094/txpa_53180.png","plot")</f>
        <v>plot</v>
      </c>
    </row>
    <row r="680" spans="1:29" x14ac:dyDescent="0.35">
      <c r="A680" t="s">
        <v>50</v>
      </c>
      <c r="B680">
        <v>52094</v>
      </c>
      <c r="C680" t="s">
        <v>53</v>
      </c>
      <c r="D680">
        <v>53181</v>
      </c>
      <c r="E680" t="s">
        <v>56</v>
      </c>
      <c r="F680">
        <v>11782</v>
      </c>
      <c r="G680">
        <v>0.32041781290543642</v>
      </c>
      <c r="H680">
        <v>1.8014325870759039E-279</v>
      </c>
      <c r="I680">
        <v>1.922792256099965E-279</v>
      </c>
      <c r="J680">
        <v>0.28697416746867088</v>
      </c>
      <c r="K680">
        <v>3.6678351982209249E-222</v>
      </c>
      <c r="L680">
        <v>3.9439924612895208E-222</v>
      </c>
      <c r="M680">
        <v>0.19432741419821109</v>
      </c>
      <c r="N680">
        <v>2.432823231749336E-219</v>
      </c>
      <c r="O680">
        <v>2.615994440078289E-219</v>
      </c>
      <c r="P680">
        <v>0.1026675748271032</v>
      </c>
      <c r="Q680">
        <v>1.554587028110807</v>
      </c>
      <c r="R680">
        <v>-27.88263741212479</v>
      </c>
      <c r="S680">
        <v>1.0233538039268031</v>
      </c>
      <c r="T680">
        <v>0.79157258363510474</v>
      </c>
      <c r="U680">
        <v>4.2673938428959426</v>
      </c>
      <c r="V680">
        <v>0.22267382584799689</v>
      </c>
      <c r="W680">
        <v>-21.248602300118829</v>
      </c>
      <c r="X680">
        <v>1.080357668084025</v>
      </c>
      <c r="Z680" t="s">
        <v>392</v>
      </c>
      <c r="AA680">
        <v>161</v>
      </c>
      <c r="AB680" t="s">
        <v>5127</v>
      </c>
      <c r="AC680" t="str">
        <f>HYPERLINK("plots/3FT6Y578R04_015_S31P_20251219032831_M5358ACSA301811_RBGEUFRF04/dpll_52094/txpa_53181.png","plot")</f>
        <v>plot</v>
      </c>
    </row>
    <row r="681" spans="1:29" x14ac:dyDescent="0.35">
      <c r="A681" t="s">
        <v>50</v>
      </c>
      <c r="B681">
        <v>52094</v>
      </c>
      <c r="C681" t="s">
        <v>53</v>
      </c>
      <c r="D681">
        <v>53182</v>
      </c>
      <c r="E681" t="s">
        <v>57</v>
      </c>
      <c r="F681">
        <v>11782</v>
      </c>
      <c r="G681">
        <v>0.32255319229946011</v>
      </c>
      <c r="H681">
        <v>2.1667761290515809E-283</v>
      </c>
      <c r="I681">
        <v>2.3200749681713862E-283</v>
      </c>
      <c r="J681">
        <v>0.2851923258203598</v>
      </c>
      <c r="K681">
        <v>2.555518808525009E-219</v>
      </c>
      <c r="L681">
        <v>2.7392136066008022E-219</v>
      </c>
      <c r="M681">
        <v>0.19335222784321249</v>
      </c>
      <c r="N681">
        <v>3.3913127891882781E-217</v>
      </c>
      <c r="O681">
        <v>3.6350858015189363E-217</v>
      </c>
      <c r="P681">
        <v>0.1040405618625725</v>
      </c>
      <c r="Q681">
        <v>1.5548513352762019</v>
      </c>
      <c r="R681">
        <v>-27.77067226108413</v>
      </c>
      <c r="S681">
        <v>1.015973641283318</v>
      </c>
      <c r="T681">
        <v>0.78026441968094251</v>
      </c>
      <c r="U681">
        <v>4.2673938428959426</v>
      </c>
      <c r="V681">
        <v>0.22267382584799689</v>
      </c>
      <c r="W681">
        <v>-21.135509246307929</v>
      </c>
      <c r="X681">
        <v>1.073387905364092</v>
      </c>
      <c r="Z681" t="s">
        <v>392</v>
      </c>
      <c r="AA681">
        <v>161</v>
      </c>
      <c r="AB681" t="s">
        <v>5128</v>
      </c>
      <c r="AC681" t="str">
        <f>HYPERLINK("plots/3FT6Y578R04_015_S31P_20251219032831_M5358ACSA301811_RBGEUFRF04/dpll_52094/txpa_53182.png","plot")</f>
        <v>plot</v>
      </c>
    </row>
    <row r="682" spans="1:29" x14ac:dyDescent="0.35">
      <c r="A682" t="s">
        <v>50</v>
      </c>
      <c r="B682">
        <v>52094</v>
      </c>
      <c r="C682" t="s">
        <v>53</v>
      </c>
      <c r="D682">
        <v>53183</v>
      </c>
      <c r="E682" t="s">
        <v>58</v>
      </c>
      <c r="F682">
        <v>11782</v>
      </c>
      <c r="G682">
        <v>0.32547522943192642</v>
      </c>
      <c r="H682">
        <v>8.3175634481414364E-289</v>
      </c>
      <c r="I682">
        <v>8.9628154478378495E-289</v>
      </c>
      <c r="J682">
        <v>0.28031976661396379</v>
      </c>
      <c r="K682">
        <v>1.191355318271362E-211</v>
      </c>
      <c r="L682">
        <v>1.272954997605017E-211</v>
      </c>
      <c r="M682">
        <v>0.1900816670323642</v>
      </c>
      <c r="N682">
        <v>5.7761542237375072E-210</v>
      </c>
      <c r="O682">
        <v>6.1717812253633641E-210</v>
      </c>
      <c r="P682">
        <v>0.1059341249737651</v>
      </c>
      <c r="Q682">
        <v>1.5850175886702029</v>
      </c>
      <c r="R682">
        <v>-27.954406101522949</v>
      </c>
      <c r="S682">
        <v>1.0253016193286251</v>
      </c>
      <c r="T682">
        <v>0.79366743410035212</v>
      </c>
      <c r="U682">
        <v>4.2673938428959426</v>
      </c>
      <c r="V682">
        <v>0.22267382584799689</v>
      </c>
      <c r="W682">
        <v>-21.19051180274996</v>
      </c>
      <c r="X682">
        <v>1.0843895282647891</v>
      </c>
      <c r="Z682" t="s">
        <v>392</v>
      </c>
      <c r="AA682">
        <v>161</v>
      </c>
      <c r="AB682" t="s">
        <v>5129</v>
      </c>
      <c r="AC682" t="str">
        <f>HYPERLINK("plots/3FT6Y578R04_015_S31P_20251219032831_M5358ACSA301811_RBGEUFRF04/dpll_52094/txpa_53183.png","plot")</f>
        <v>plot</v>
      </c>
    </row>
    <row r="683" spans="1:29" x14ac:dyDescent="0.35">
      <c r="A683" t="s">
        <v>50</v>
      </c>
      <c r="B683">
        <v>52094</v>
      </c>
      <c r="C683" t="s">
        <v>53</v>
      </c>
      <c r="D683">
        <v>53184</v>
      </c>
      <c r="E683" t="s">
        <v>59</v>
      </c>
      <c r="F683">
        <v>11782</v>
      </c>
      <c r="G683">
        <v>0.32592452325352728</v>
      </c>
      <c r="H683">
        <v>1.207560171921331E-289</v>
      </c>
      <c r="I683">
        <v>1.305400868153764E-289</v>
      </c>
      <c r="J683">
        <v>0.29804167092071038</v>
      </c>
      <c r="K683">
        <v>2.7258728234093417E-240</v>
      </c>
      <c r="L683">
        <v>2.9498773137001849E-240</v>
      </c>
      <c r="M683">
        <v>0.20265929031991409</v>
      </c>
      <c r="N683">
        <v>2.4304642774367569E-238</v>
      </c>
      <c r="O683">
        <v>2.6301929320393509E-238</v>
      </c>
      <c r="P683">
        <v>0.106226794858039</v>
      </c>
      <c r="Q683">
        <v>1.5974727950040271</v>
      </c>
      <c r="R683">
        <v>-28.093702412235281</v>
      </c>
      <c r="S683">
        <v>1.031765108161834</v>
      </c>
      <c r="T683">
        <v>0.79635049670685987</v>
      </c>
      <c r="U683">
        <v>4.2673938428959426</v>
      </c>
      <c r="V683">
        <v>0.22267382584799689</v>
      </c>
      <c r="W683">
        <v>-21.276656842641319</v>
      </c>
      <c r="X683">
        <v>1.091404155172879</v>
      </c>
      <c r="Z683" t="s">
        <v>392</v>
      </c>
      <c r="AA683">
        <v>161</v>
      </c>
      <c r="AB683" t="s">
        <v>5130</v>
      </c>
      <c r="AC683" t="str">
        <f>HYPERLINK("plots/3FT6Y578R04_015_S31P_20251219032831_M5358ACSA301811_RBGEUFRF04/dpll_52094/txpa_53184.png","plot")</f>
        <v>plot</v>
      </c>
    </row>
    <row r="684" spans="1:29" x14ac:dyDescent="0.35">
      <c r="A684" t="s">
        <v>50</v>
      </c>
      <c r="B684">
        <v>52094</v>
      </c>
      <c r="C684" t="s">
        <v>53</v>
      </c>
      <c r="D684">
        <v>53185</v>
      </c>
      <c r="E684" t="s">
        <v>60</v>
      </c>
      <c r="F684">
        <v>11782</v>
      </c>
      <c r="G684">
        <v>0.32433035678781852</v>
      </c>
      <c r="H684">
        <v>1.119758854778178E-286</v>
      </c>
      <c r="I684">
        <v>1.2015190251270609E-286</v>
      </c>
      <c r="J684">
        <v>0.28939286103297129</v>
      </c>
      <c r="K684">
        <v>4.6968028004616597E-226</v>
      </c>
      <c r="L684">
        <v>5.0665511060299177E-226</v>
      </c>
      <c r="M684">
        <v>0.19586401203564349</v>
      </c>
      <c r="N684">
        <v>8.8483595355076487E-223</v>
      </c>
      <c r="O684">
        <v>9.544932520217825E-223</v>
      </c>
      <c r="P684">
        <v>0.1051901803341137</v>
      </c>
      <c r="Q684">
        <v>1.5761519240504029</v>
      </c>
      <c r="R684">
        <v>-27.990679527449689</v>
      </c>
      <c r="S684">
        <v>1.023591302766</v>
      </c>
      <c r="T684">
        <v>0.79098626269421202</v>
      </c>
      <c r="U684">
        <v>4.2673938428959426</v>
      </c>
      <c r="V684">
        <v>0.22267382584799689</v>
      </c>
      <c r="W684">
        <v>-21.264618511288411</v>
      </c>
      <c r="X684">
        <v>1.08213052432706</v>
      </c>
      <c r="Z684" t="s">
        <v>392</v>
      </c>
      <c r="AA684">
        <v>161</v>
      </c>
      <c r="AB684" t="s">
        <v>5131</v>
      </c>
      <c r="AC684" t="str">
        <f>HYPERLINK("plots/3FT6Y578R04_015_S31P_20251219032831_M5358ACSA301811_RBGEUFRF04/dpll_52094/txpa_53185.png","plot")</f>
        <v>plot</v>
      </c>
    </row>
    <row r="685" spans="1:29" x14ac:dyDescent="0.35">
      <c r="A685" t="s">
        <v>50</v>
      </c>
      <c r="B685">
        <v>52094</v>
      </c>
      <c r="C685" t="s">
        <v>53</v>
      </c>
      <c r="D685">
        <v>53186</v>
      </c>
      <c r="E685" t="s">
        <v>61</v>
      </c>
      <c r="F685">
        <v>11782</v>
      </c>
      <c r="G685">
        <v>0.31206123933848812</v>
      </c>
      <c r="H685">
        <v>1.948332349121151E-264</v>
      </c>
      <c r="I685">
        <v>2.066536612979965E-264</v>
      </c>
      <c r="J685">
        <v>0.26926097381654679</v>
      </c>
      <c r="K685">
        <v>8.1401697401098448E-195</v>
      </c>
      <c r="L685">
        <v>8.6070199337553523E-195</v>
      </c>
      <c r="M685">
        <v>0.18190960161021741</v>
      </c>
      <c r="N685">
        <v>2.14085461919356E-192</v>
      </c>
      <c r="O685">
        <v>2.2636356453204062E-192</v>
      </c>
      <c r="P685">
        <v>9.7382217097473162E-2</v>
      </c>
      <c r="Q685">
        <v>1.5638137229748521</v>
      </c>
      <c r="R685">
        <v>-28.086111218026272</v>
      </c>
      <c r="S685">
        <v>1.0601025360609091</v>
      </c>
      <c r="T685">
        <v>0.83101847473324886</v>
      </c>
      <c r="U685">
        <v>4.2673938428959426</v>
      </c>
      <c r="V685">
        <v>0.22267382584799689</v>
      </c>
      <c r="W685">
        <v>-21.4127021651672</v>
      </c>
      <c r="X685">
        <v>1.1158719530390011</v>
      </c>
      <c r="Z685" t="s">
        <v>392</v>
      </c>
      <c r="AA685">
        <v>161</v>
      </c>
      <c r="AB685" t="s">
        <v>5132</v>
      </c>
      <c r="AC685" t="str">
        <f>HYPERLINK("plots/3FT6Y578R04_015_S31P_20251219032831_M5358ACSA301811_RBGEUFRF04/dpll_52094/txpa_53186.png","plot")</f>
        <v>plot</v>
      </c>
    </row>
    <row r="686" spans="1:29" x14ac:dyDescent="0.35">
      <c r="A686" t="s">
        <v>50</v>
      </c>
      <c r="B686">
        <v>52094</v>
      </c>
      <c r="C686" t="s">
        <v>53</v>
      </c>
      <c r="D686">
        <v>53187</v>
      </c>
      <c r="E686" t="s">
        <v>62</v>
      </c>
      <c r="F686">
        <v>11782</v>
      </c>
      <c r="G686">
        <v>0.66334665856339081</v>
      </c>
      <c r="H686">
        <v>0</v>
      </c>
      <c r="I686">
        <v>0</v>
      </c>
      <c r="J686">
        <v>0.55275669275839701</v>
      </c>
      <c r="K686">
        <v>0</v>
      </c>
      <c r="L686">
        <v>0</v>
      </c>
      <c r="M686">
        <v>0.38884065603954499</v>
      </c>
      <c r="N686">
        <v>0</v>
      </c>
      <c r="O686">
        <v>0</v>
      </c>
      <c r="P686">
        <v>0.44002878942721579</v>
      </c>
      <c r="Q686">
        <v>0.87369723472434802</v>
      </c>
      <c r="R686">
        <v>-14.615788738466369</v>
      </c>
      <c r="S686">
        <v>0.21945930769186919</v>
      </c>
      <c r="T686">
        <v>0.1721242141283803</v>
      </c>
      <c r="U686">
        <v>4.2673938428959426</v>
      </c>
      <c r="V686">
        <v>0.22267382584799689</v>
      </c>
      <c r="W686">
        <v>-10.88737853844848</v>
      </c>
      <c r="X686">
        <v>0.29328482080579338</v>
      </c>
      <c r="Z686" t="s">
        <v>392</v>
      </c>
      <c r="AA686">
        <v>161</v>
      </c>
      <c r="AB686" t="s">
        <v>5133</v>
      </c>
      <c r="AC686" t="str">
        <f>HYPERLINK("plots/3FT6Y578R04_015_S31P_20251219032831_M5358ACSA301811_RBGEUFRF04/dpll_52094/txpa_53187.png","plot")</f>
        <v>plot</v>
      </c>
    </row>
    <row r="687" spans="1:29" x14ac:dyDescent="0.35">
      <c r="A687" t="s">
        <v>50</v>
      </c>
      <c r="B687">
        <v>52094</v>
      </c>
      <c r="C687" t="s">
        <v>53</v>
      </c>
      <c r="D687">
        <v>53188</v>
      </c>
      <c r="E687" t="s">
        <v>63</v>
      </c>
      <c r="F687">
        <v>11782</v>
      </c>
      <c r="G687">
        <v>0.68612648456106717</v>
      </c>
      <c r="H687">
        <v>0</v>
      </c>
      <c r="I687">
        <v>0</v>
      </c>
      <c r="J687">
        <v>0.57414164535551893</v>
      </c>
      <c r="K687">
        <v>0</v>
      </c>
      <c r="L687">
        <v>0</v>
      </c>
      <c r="M687">
        <v>0.40760897320922312</v>
      </c>
      <c r="N687">
        <v>0</v>
      </c>
      <c r="O687">
        <v>0</v>
      </c>
      <c r="P687">
        <v>0.47076955281612842</v>
      </c>
      <c r="Q687">
        <v>0.89662500085823194</v>
      </c>
      <c r="R687">
        <v>-14.647711842542281</v>
      </c>
      <c r="S687">
        <v>0.2116799924660355</v>
      </c>
      <c r="T687">
        <v>0.16662667118019001</v>
      </c>
      <c r="U687">
        <v>4.2673938428959426</v>
      </c>
      <c r="V687">
        <v>0.22267382584799689</v>
      </c>
      <c r="W687">
        <v>-10.82145983449329</v>
      </c>
      <c r="X687">
        <v>0.29098850399251142</v>
      </c>
      <c r="Z687" t="s">
        <v>392</v>
      </c>
      <c r="AA687">
        <v>161</v>
      </c>
      <c r="AB687" t="s">
        <v>5134</v>
      </c>
      <c r="AC687" t="str">
        <f>HYPERLINK("plots/3FT6Y578R04_015_S31P_20251219032831_M5358ACSA301811_RBGEUFRF04/dpll_52094/txpa_53188.png","plot")</f>
        <v>plot</v>
      </c>
    </row>
    <row r="688" spans="1:29" x14ac:dyDescent="0.35">
      <c r="A688" t="s">
        <v>50</v>
      </c>
      <c r="B688">
        <v>52094</v>
      </c>
      <c r="C688" t="s">
        <v>53</v>
      </c>
      <c r="D688">
        <v>53189</v>
      </c>
      <c r="E688" t="s">
        <v>64</v>
      </c>
      <c r="F688">
        <v>11782</v>
      </c>
      <c r="G688">
        <v>0.67299585872928458</v>
      </c>
      <c r="H688">
        <v>0</v>
      </c>
      <c r="I688">
        <v>0</v>
      </c>
      <c r="J688">
        <v>0.55724042256409212</v>
      </c>
      <c r="K688">
        <v>0</v>
      </c>
      <c r="L688">
        <v>0</v>
      </c>
      <c r="M688">
        <v>0.39305339452359989</v>
      </c>
      <c r="N688">
        <v>0</v>
      </c>
      <c r="O688">
        <v>0</v>
      </c>
      <c r="P688">
        <v>0.45292342586676709</v>
      </c>
      <c r="Q688">
        <v>0.85958505457964185</v>
      </c>
      <c r="R688">
        <v>-14.46997122839775</v>
      </c>
      <c r="S688">
        <v>0.21035423656003199</v>
      </c>
      <c r="T688">
        <v>0.1651259589303444</v>
      </c>
      <c r="U688">
        <v>4.2673938428959426</v>
      </c>
      <c r="V688">
        <v>0.22267382584799689</v>
      </c>
      <c r="W688">
        <v>-10.80178325903921</v>
      </c>
      <c r="X688">
        <v>0.28441050604146773</v>
      </c>
      <c r="Z688" t="s">
        <v>392</v>
      </c>
      <c r="AA688">
        <v>161</v>
      </c>
      <c r="AB688" t="s">
        <v>5135</v>
      </c>
      <c r="AC688" t="str">
        <f>HYPERLINK("plots/3FT6Y578R04_015_S31P_20251219032831_M5358ACSA301811_RBGEUFRF04/dpll_52094/txpa_53189.png","plot")</f>
        <v>plot</v>
      </c>
    </row>
    <row r="689" spans="1:29" x14ac:dyDescent="0.35">
      <c r="A689" t="s">
        <v>50</v>
      </c>
      <c r="B689">
        <v>52094</v>
      </c>
      <c r="C689" t="s">
        <v>53</v>
      </c>
      <c r="D689">
        <v>53190</v>
      </c>
      <c r="E689" t="s">
        <v>65</v>
      </c>
      <c r="F689">
        <v>11781</v>
      </c>
      <c r="G689">
        <v>0.69146838694844415</v>
      </c>
      <c r="H689">
        <v>0</v>
      </c>
      <c r="I689">
        <v>0</v>
      </c>
      <c r="J689">
        <v>0.57058210826534816</v>
      </c>
      <c r="K689">
        <v>0</v>
      </c>
      <c r="L689">
        <v>0</v>
      </c>
      <c r="M689">
        <v>0.40443233547795848</v>
      </c>
      <c r="N689">
        <v>0</v>
      </c>
      <c r="O689">
        <v>0</v>
      </c>
      <c r="P689">
        <v>0.4781285301490833</v>
      </c>
      <c r="Q689">
        <v>0.89263383789468642</v>
      </c>
      <c r="R689">
        <v>-14.5655333640498</v>
      </c>
      <c r="S689">
        <v>0.20765768419632541</v>
      </c>
      <c r="T689">
        <v>0.164094419483094</v>
      </c>
      <c r="U689">
        <v>4.2674026018164843</v>
      </c>
      <c r="V689">
        <v>0.22268124725346999</v>
      </c>
      <c r="W689">
        <v>-10.75630540174858</v>
      </c>
      <c r="X689">
        <v>0.28746479248350809</v>
      </c>
      <c r="Z689" t="s">
        <v>392</v>
      </c>
      <c r="AA689">
        <v>161</v>
      </c>
      <c r="AB689" t="s">
        <v>5136</v>
      </c>
      <c r="AC689" t="str">
        <f>HYPERLINK("plots/3FT6Y578R04_015_S31P_20251219032831_M5358ACSA301811_RBGEUFRF04/dpll_52094/txpa_53190.png","plot")</f>
        <v>plot</v>
      </c>
    </row>
    <row r="690" spans="1:29" x14ac:dyDescent="0.35">
      <c r="A690" t="s">
        <v>50</v>
      </c>
      <c r="B690">
        <v>52094</v>
      </c>
      <c r="C690" t="s">
        <v>53</v>
      </c>
      <c r="D690">
        <v>53191</v>
      </c>
      <c r="E690" t="s">
        <v>66</v>
      </c>
      <c r="F690">
        <v>11781</v>
      </c>
      <c r="G690">
        <v>0.69776652505697012</v>
      </c>
      <c r="H690">
        <v>0</v>
      </c>
      <c r="I690">
        <v>0</v>
      </c>
      <c r="J690">
        <v>0.57090909281400248</v>
      </c>
      <c r="K690">
        <v>0</v>
      </c>
      <c r="L690">
        <v>0</v>
      </c>
      <c r="M690">
        <v>0.40394133727601722</v>
      </c>
      <c r="N690">
        <v>0</v>
      </c>
      <c r="O690">
        <v>0</v>
      </c>
      <c r="P690">
        <v>0.48687812349007931</v>
      </c>
      <c r="Q690">
        <v>0.90782574134132521</v>
      </c>
      <c r="R690">
        <v>-14.64381722818557</v>
      </c>
      <c r="S690">
        <v>0.20750491918420871</v>
      </c>
      <c r="T690">
        <v>0.16396163869630509</v>
      </c>
      <c r="U690">
        <v>4.2673648416942536</v>
      </c>
      <c r="V690">
        <v>0.2226610238238293</v>
      </c>
      <c r="W690">
        <v>-10.769793577200581</v>
      </c>
      <c r="X690">
        <v>0.28969204133744092</v>
      </c>
      <c r="Z690" t="s">
        <v>392</v>
      </c>
      <c r="AA690">
        <v>161</v>
      </c>
      <c r="AB690" t="s">
        <v>5137</v>
      </c>
      <c r="AC690" t="str">
        <f>HYPERLINK("plots/3FT6Y578R04_015_S31P_20251219032831_M5358ACSA301811_RBGEUFRF04/dpll_52094/txpa_53191.png","plot")</f>
        <v>plot</v>
      </c>
    </row>
    <row r="691" spans="1:29" x14ac:dyDescent="0.35">
      <c r="A691" t="s">
        <v>50</v>
      </c>
      <c r="B691">
        <v>52094</v>
      </c>
      <c r="C691" t="s">
        <v>53</v>
      </c>
      <c r="D691">
        <v>53192</v>
      </c>
      <c r="E691" t="s">
        <v>67</v>
      </c>
      <c r="F691">
        <v>11782</v>
      </c>
      <c r="G691">
        <v>0.69536036450128624</v>
      </c>
      <c r="H691">
        <v>0</v>
      </c>
      <c r="I691">
        <v>0</v>
      </c>
      <c r="J691">
        <v>0.58519212544968302</v>
      </c>
      <c r="K691">
        <v>0</v>
      </c>
      <c r="L691">
        <v>0</v>
      </c>
      <c r="M691">
        <v>0.41573650340104651</v>
      </c>
      <c r="N691">
        <v>0</v>
      </c>
      <c r="O691">
        <v>0</v>
      </c>
      <c r="P691">
        <v>0.48352603651936171</v>
      </c>
      <c r="Q691">
        <v>0.89865453423827624</v>
      </c>
      <c r="R691">
        <v>-14.641352182690049</v>
      </c>
      <c r="S691">
        <v>0.20680345674061371</v>
      </c>
      <c r="T691">
        <v>0.1621589748755691</v>
      </c>
      <c r="U691">
        <v>4.2673938428959426</v>
      </c>
      <c r="V691">
        <v>0.22267382584799689</v>
      </c>
      <c r="W691">
        <v>-10.806439356391101</v>
      </c>
      <c r="X691">
        <v>0.28777430159972323</v>
      </c>
      <c r="Z691" t="s">
        <v>392</v>
      </c>
      <c r="AA691">
        <v>161</v>
      </c>
      <c r="AB691" t="s">
        <v>5138</v>
      </c>
      <c r="AC691" t="str">
        <f>HYPERLINK("plots/3FT6Y578R04_015_S31P_20251219032831_M5358ACSA301811_RBGEUFRF04/dpll_52094/txpa_53192.png","plot")</f>
        <v>plot</v>
      </c>
    </row>
    <row r="692" spans="1:29" x14ac:dyDescent="0.35">
      <c r="A692" t="s">
        <v>50</v>
      </c>
      <c r="B692">
        <v>52094</v>
      </c>
      <c r="C692" t="s">
        <v>53</v>
      </c>
      <c r="D692">
        <v>53193</v>
      </c>
      <c r="E692" t="s">
        <v>68</v>
      </c>
      <c r="F692">
        <v>11782</v>
      </c>
      <c r="G692">
        <v>0.69459619263518901</v>
      </c>
      <c r="H692">
        <v>0</v>
      </c>
      <c r="I692">
        <v>0</v>
      </c>
      <c r="J692">
        <v>0.58241212986283675</v>
      </c>
      <c r="K692">
        <v>0</v>
      </c>
      <c r="L692">
        <v>0</v>
      </c>
      <c r="M692">
        <v>0.41349184584388649</v>
      </c>
      <c r="N692">
        <v>0</v>
      </c>
      <c r="O692">
        <v>0</v>
      </c>
      <c r="P692">
        <v>0.48246387082330061</v>
      </c>
      <c r="Q692">
        <v>0.89581245831885781</v>
      </c>
      <c r="R692">
        <v>-14.617737109844359</v>
      </c>
      <c r="S692">
        <v>0.20658832573051769</v>
      </c>
      <c r="T692">
        <v>0.16256740695641869</v>
      </c>
      <c r="U692">
        <v>4.2673938428959426</v>
      </c>
      <c r="V692">
        <v>0.22267382584799689</v>
      </c>
      <c r="W692">
        <v>-10.79495254082499</v>
      </c>
      <c r="X692">
        <v>0.28717978798499649</v>
      </c>
      <c r="Z692" t="s">
        <v>392</v>
      </c>
      <c r="AA692">
        <v>161</v>
      </c>
      <c r="AB692" t="s">
        <v>5139</v>
      </c>
      <c r="AC692" t="str">
        <f>HYPERLINK("plots/3FT6Y578R04_015_S31P_20251219032831_M5358ACSA301811_RBGEUFRF04/dpll_52094/txpa_53193.png","plot")</f>
        <v>plot</v>
      </c>
    </row>
    <row r="693" spans="1:29" x14ac:dyDescent="0.35">
      <c r="A693" t="s">
        <v>50</v>
      </c>
      <c r="B693">
        <v>52094</v>
      </c>
      <c r="C693" t="s">
        <v>53</v>
      </c>
      <c r="D693">
        <v>53194</v>
      </c>
      <c r="E693" t="s">
        <v>69</v>
      </c>
      <c r="F693">
        <v>11781</v>
      </c>
      <c r="G693">
        <v>0.68548403758222964</v>
      </c>
      <c r="H693">
        <v>0</v>
      </c>
      <c r="I693">
        <v>0</v>
      </c>
      <c r="J693">
        <v>0.56850466444211289</v>
      </c>
      <c r="K693">
        <v>0</v>
      </c>
      <c r="L693">
        <v>0</v>
      </c>
      <c r="M693">
        <v>0.40331162801599441</v>
      </c>
      <c r="N693">
        <v>0</v>
      </c>
      <c r="O693">
        <v>0</v>
      </c>
      <c r="P693">
        <v>0.46988836578003562</v>
      </c>
      <c r="Q693">
        <v>0.89284897506073135</v>
      </c>
      <c r="R693">
        <v>-14.67671494824798</v>
      </c>
      <c r="S693">
        <v>0.21115607842955819</v>
      </c>
      <c r="T693">
        <v>0.1657863015362131</v>
      </c>
      <c r="U693">
        <v>4.2674179181733303</v>
      </c>
      <c r="V693">
        <v>0.22266794157249609</v>
      </c>
      <c r="W693">
        <v>-10.86655523385112</v>
      </c>
      <c r="X693">
        <v>0.29002694813011892</v>
      </c>
      <c r="Z693" t="s">
        <v>392</v>
      </c>
      <c r="AA693">
        <v>161</v>
      </c>
      <c r="AB693" t="s">
        <v>5140</v>
      </c>
      <c r="AC693" t="str">
        <f>HYPERLINK("plots/3FT6Y578R04_015_S31P_20251219032831_M5358ACSA301811_RBGEUFRF04/dpll_52094/txpa_53194.png","plot")</f>
        <v>plot</v>
      </c>
    </row>
    <row r="694" spans="1:29" x14ac:dyDescent="0.35">
      <c r="A694" t="s">
        <v>50</v>
      </c>
      <c r="B694">
        <v>52094</v>
      </c>
      <c r="C694" t="s">
        <v>53</v>
      </c>
      <c r="D694">
        <v>53195</v>
      </c>
      <c r="E694" t="s">
        <v>70</v>
      </c>
      <c r="F694">
        <v>11782</v>
      </c>
      <c r="G694">
        <v>0.68776036082600778</v>
      </c>
      <c r="H694">
        <v>0</v>
      </c>
      <c r="I694">
        <v>0</v>
      </c>
      <c r="J694">
        <v>0.58122289829814389</v>
      </c>
      <c r="K694">
        <v>0</v>
      </c>
      <c r="L694">
        <v>0</v>
      </c>
      <c r="M694">
        <v>0.41147489143623017</v>
      </c>
      <c r="N694">
        <v>0</v>
      </c>
      <c r="O694">
        <v>0</v>
      </c>
      <c r="P694">
        <v>0.47301431392352039</v>
      </c>
      <c r="Q694">
        <v>0.78663549304105174</v>
      </c>
      <c r="R694">
        <v>-8.2746038523245034</v>
      </c>
      <c r="S694">
        <v>0.18487855823244259</v>
      </c>
      <c r="T694">
        <v>0.1445854372280157</v>
      </c>
      <c r="U694">
        <v>4.2673938428959426</v>
      </c>
      <c r="V694">
        <v>0.22267382584799689</v>
      </c>
      <c r="W694">
        <v>-4.9177203927177047</v>
      </c>
      <c r="X694">
        <v>0.25468629010968802</v>
      </c>
      <c r="Z694" t="s">
        <v>392</v>
      </c>
      <c r="AA694">
        <v>161</v>
      </c>
      <c r="AB694" t="s">
        <v>5141</v>
      </c>
      <c r="AC694" t="str">
        <f>HYPERLINK("plots/3FT6Y578R04_015_S31P_20251219032831_M5358ACSA301811_RBGEUFRF04/dpll_52094/txpa_53195.png","plot")</f>
        <v>plot</v>
      </c>
    </row>
    <row r="695" spans="1:29" x14ac:dyDescent="0.35">
      <c r="A695" t="s">
        <v>50</v>
      </c>
      <c r="B695">
        <v>52094</v>
      </c>
      <c r="C695" t="s">
        <v>53</v>
      </c>
      <c r="D695">
        <v>53196</v>
      </c>
      <c r="E695" t="s">
        <v>71</v>
      </c>
      <c r="F695">
        <v>11782</v>
      </c>
      <c r="G695">
        <v>0.70938582145607132</v>
      </c>
      <c r="H695">
        <v>0</v>
      </c>
      <c r="I695">
        <v>0</v>
      </c>
      <c r="J695">
        <v>0.60032294339149972</v>
      </c>
      <c r="K695">
        <v>0</v>
      </c>
      <c r="L695">
        <v>0</v>
      </c>
      <c r="M695">
        <v>0.42877542879448838</v>
      </c>
      <c r="N695">
        <v>0</v>
      </c>
      <c r="O695">
        <v>0</v>
      </c>
      <c r="P695">
        <v>0.50322824368290509</v>
      </c>
      <c r="Q695">
        <v>0.81183085066585614</v>
      </c>
      <c r="R695">
        <v>-8.3361094850626056</v>
      </c>
      <c r="S695">
        <v>0.17960244104745779</v>
      </c>
      <c r="T695">
        <v>0.14104059409522471</v>
      </c>
      <c r="U695">
        <v>4.2673938428959426</v>
      </c>
      <c r="V695">
        <v>0.22267382584799689</v>
      </c>
      <c r="W695">
        <v>-4.8717075114581556</v>
      </c>
      <c r="X695">
        <v>0.25483097630588081</v>
      </c>
      <c r="Z695" t="s">
        <v>392</v>
      </c>
      <c r="AA695">
        <v>161</v>
      </c>
      <c r="AB695" t="s">
        <v>5142</v>
      </c>
      <c r="AC695" t="str">
        <f>HYPERLINK("plots/3FT6Y578R04_015_S31P_20251219032831_M5358ACSA301811_RBGEUFRF04/dpll_52094/txpa_53196.png","plot")</f>
        <v>plot</v>
      </c>
    </row>
    <row r="696" spans="1:29" x14ac:dyDescent="0.35">
      <c r="A696" t="s">
        <v>50</v>
      </c>
      <c r="B696">
        <v>52094</v>
      </c>
      <c r="C696" t="s">
        <v>53</v>
      </c>
      <c r="D696">
        <v>53197</v>
      </c>
      <c r="E696" t="s">
        <v>72</v>
      </c>
      <c r="F696">
        <v>11782</v>
      </c>
      <c r="G696">
        <v>0.69768646586691141</v>
      </c>
      <c r="H696">
        <v>0</v>
      </c>
      <c r="I696">
        <v>0</v>
      </c>
      <c r="J696">
        <v>0.58581789155382458</v>
      </c>
      <c r="K696">
        <v>0</v>
      </c>
      <c r="L696">
        <v>0</v>
      </c>
      <c r="M696">
        <v>0.41628835837591199</v>
      </c>
      <c r="N696">
        <v>0</v>
      </c>
      <c r="O696">
        <v>0</v>
      </c>
      <c r="P696">
        <v>0.48676640465386101</v>
      </c>
      <c r="Q696">
        <v>0.78101963493485793</v>
      </c>
      <c r="R696">
        <v>-8.1875006631725</v>
      </c>
      <c r="S696">
        <v>0.1785705893762044</v>
      </c>
      <c r="T696">
        <v>0.14063280781260951</v>
      </c>
      <c r="U696">
        <v>4.2673938428959426</v>
      </c>
      <c r="V696">
        <v>0.22267382584799689</v>
      </c>
      <c r="W696">
        <v>-4.854582281870651</v>
      </c>
      <c r="X696">
        <v>0.24927046557690541</v>
      </c>
      <c r="Z696" t="s">
        <v>392</v>
      </c>
      <c r="AA696">
        <v>161</v>
      </c>
      <c r="AB696" t="s">
        <v>5143</v>
      </c>
      <c r="AC696" t="str">
        <f>HYPERLINK("plots/3FT6Y578R04_015_S31P_20251219032831_M5358ACSA301811_RBGEUFRF04/dpll_52094/txpa_53197.png","plot")</f>
        <v>plot</v>
      </c>
    </row>
    <row r="697" spans="1:29" x14ac:dyDescent="0.35">
      <c r="A697" t="s">
        <v>50</v>
      </c>
      <c r="B697">
        <v>52094</v>
      </c>
      <c r="C697" t="s">
        <v>53</v>
      </c>
      <c r="D697">
        <v>53198</v>
      </c>
      <c r="E697" t="s">
        <v>73</v>
      </c>
      <c r="F697">
        <v>11781</v>
      </c>
      <c r="G697">
        <v>0.71580758058845506</v>
      </c>
      <c r="H697">
        <v>0</v>
      </c>
      <c r="I697">
        <v>0</v>
      </c>
      <c r="J697">
        <v>0.59969103905783572</v>
      </c>
      <c r="K697">
        <v>0</v>
      </c>
      <c r="L697">
        <v>0</v>
      </c>
      <c r="M697">
        <v>0.42842343833890478</v>
      </c>
      <c r="N697">
        <v>0</v>
      </c>
      <c r="O697">
        <v>0</v>
      </c>
      <c r="P697">
        <v>0.51238049242789763</v>
      </c>
      <c r="Q697">
        <v>0.81468150286380259</v>
      </c>
      <c r="R697">
        <v>-8.3012914505851825</v>
      </c>
      <c r="S697">
        <v>0.17696904639169569</v>
      </c>
      <c r="T697">
        <v>0.1395714440640142</v>
      </c>
      <c r="U697">
        <v>4.2674026018164843</v>
      </c>
      <c r="V697">
        <v>0.22268124725346999</v>
      </c>
      <c r="W697">
        <v>-4.8247174856124273</v>
      </c>
      <c r="X697">
        <v>0.25344002786741232</v>
      </c>
      <c r="Z697" t="s">
        <v>392</v>
      </c>
      <c r="AA697">
        <v>161</v>
      </c>
      <c r="AB697" t="s">
        <v>5144</v>
      </c>
      <c r="AC697" t="str">
        <f>HYPERLINK("plots/3FT6Y578R04_015_S31P_20251219032831_M5358ACSA301811_RBGEUFRF04/dpll_52094/txpa_53198.png","plot")</f>
        <v>plot</v>
      </c>
    </row>
    <row r="698" spans="1:29" x14ac:dyDescent="0.35">
      <c r="A698" t="s">
        <v>50</v>
      </c>
      <c r="B698">
        <v>52094</v>
      </c>
      <c r="C698" t="s">
        <v>53</v>
      </c>
      <c r="D698">
        <v>53199</v>
      </c>
      <c r="E698" t="s">
        <v>74</v>
      </c>
      <c r="F698">
        <v>11781</v>
      </c>
      <c r="G698">
        <v>0.71775086521449416</v>
      </c>
      <c r="H698">
        <v>0</v>
      </c>
      <c r="I698">
        <v>0</v>
      </c>
      <c r="J698">
        <v>0.59596652717587273</v>
      </c>
      <c r="K698">
        <v>0</v>
      </c>
      <c r="L698">
        <v>0</v>
      </c>
      <c r="M698">
        <v>0.42437790061674369</v>
      </c>
      <c r="N698">
        <v>0</v>
      </c>
      <c r="O698">
        <v>0</v>
      </c>
      <c r="P698">
        <v>0.51516630451615497</v>
      </c>
      <c r="Q698">
        <v>0.81837853170174235</v>
      </c>
      <c r="R698">
        <v>-8.332206671607338</v>
      </c>
      <c r="S698">
        <v>0.17676760182993551</v>
      </c>
      <c r="T698">
        <v>0.13978824786327049</v>
      </c>
      <c r="U698">
        <v>4.2673648416942536</v>
      </c>
      <c r="V698">
        <v>0.2226610238238293</v>
      </c>
      <c r="W698">
        <v>-4.8398868982259566</v>
      </c>
      <c r="X698">
        <v>0.25387778764947472</v>
      </c>
      <c r="Z698" t="s">
        <v>392</v>
      </c>
      <c r="AA698">
        <v>161</v>
      </c>
      <c r="AB698" t="s">
        <v>5145</v>
      </c>
      <c r="AC698" t="str">
        <f>HYPERLINK("plots/3FT6Y578R04_015_S31P_20251219032831_M5358ACSA301811_RBGEUFRF04/dpll_52094/txpa_53199.png","plot")</f>
        <v>plot</v>
      </c>
    </row>
    <row r="699" spans="1:29" x14ac:dyDescent="0.35">
      <c r="A699" t="s">
        <v>50</v>
      </c>
      <c r="B699">
        <v>52094</v>
      </c>
      <c r="C699" t="s">
        <v>53</v>
      </c>
      <c r="D699">
        <v>53200</v>
      </c>
      <c r="E699" t="s">
        <v>75</v>
      </c>
      <c r="F699">
        <v>11781</v>
      </c>
      <c r="G699">
        <v>0.72370394896520029</v>
      </c>
      <c r="H699">
        <v>0</v>
      </c>
      <c r="I699">
        <v>0</v>
      </c>
      <c r="J699">
        <v>0.61669076955014479</v>
      </c>
      <c r="K699">
        <v>0</v>
      </c>
      <c r="L699">
        <v>0</v>
      </c>
      <c r="M699">
        <v>0.44132610725679761</v>
      </c>
      <c r="N699">
        <v>0</v>
      </c>
      <c r="O699">
        <v>0</v>
      </c>
      <c r="P699">
        <v>0.52374740574782519</v>
      </c>
      <c r="Q699">
        <v>0.82374067428478337</v>
      </c>
      <c r="R699">
        <v>-8.3716826182991948</v>
      </c>
      <c r="S699">
        <v>0.17488826546835989</v>
      </c>
      <c r="T699">
        <v>0.13823972627313591</v>
      </c>
      <c r="U699">
        <v>4.2673606822850356</v>
      </c>
      <c r="V699">
        <v>0.2226541824443867</v>
      </c>
      <c r="W699">
        <v>-4.856484052457346</v>
      </c>
      <c r="X699">
        <v>0.25343140194456182</v>
      </c>
      <c r="Z699" t="s">
        <v>392</v>
      </c>
      <c r="AA699">
        <v>161</v>
      </c>
      <c r="AB699" t="s">
        <v>5146</v>
      </c>
      <c r="AC699" t="str">
        <f>HYPERLINK("plots/3FT6Y578R04_015_S31P_20251219032831_M5358ACSA301811_RBGEUFRF04/dpll_52094/txpa_53200.png","plot")</f>
        <v>plot</v>
      </c>
    </row>
    <row r="700" spans="1:29" x14ac:dyDescent="0.35">
      <c r="A700" t="s">
        <v>50</v>
      </c>
      <c r="B700">
        <v>52094</v>
      </c>
      <c r="C700" t="s">
        <v>53</v>
      </c>
      <c r="D700">
        <v>53201</v>
      </c>
      <c r="E700" t="s">
        <v>76</v>
      </c>
      <c r="F700">
        <v>11782</v>
      </c>
      <c r="G700">
        <v>0.71820519282748951</v>
      </c>
      <c r="H700">
        <v>0</v>
      </c>
      <c r="I700">
        <v>0</v>
      </c>
      <c r="J700">
        <v>0.60653736483385967</v>
      </c>
      <c r="K700">
        <v>0</v>
      </c>
      <c r="L700">
        <v>0</v>
      </c>
      <c r="M700">
        <v>0.43334574871537768</v>
      </c>
      <c r="N700">
        <v>0</v>
      </c>
      <c r="O700">
        <v>0</v>
      </c>
      <c r="P700">
        <v>0.51581869900437138</v>
      </c>
      <c r="Q700">
        <v>0.80969074573556754</v>
      </c>
      <c r="R700">
        <v>-8.3032135027980836</v>
      </c>
      <c r="S700">
        <v>0.17467283980674769</v>
      </c>
      <c r="T700">
        <v>0.13802052397267611</v>
      </c>
      <c r="U700">
        <v>4.2673938428959426</v>
      </c>
      <c r="V700">
        <v>0.22267382584799689</v>
      </c>
      <c r="W700">
        <v>-4.8479441997963004</v>
      </c>
      <c r="X700">
        <v>0.25103819619689549</v>
      </c>
      <c r="Z700" t="s">
        <v>392</v>
      </c>
      <c r="AA700">
        <v>161</v>
      </c>
      <c r="AB700" t="s">
        <v>5147</v>
      </c>
      <c r="AC700" t="str">
        <f>HYPERLINK("plots/3FT6Y578R04_015_S31P_20251219032831_M5358ACSA301811_RBGEUFRF04/dpll_52094/txpa_53201.png","plot")</f>
        <v>plot</v>
      </c>
    </row>
    <row r="701" spans="1:29" x14ac:dyDescent="0.35">
      <c r="A701" t="s">
        <v>50</v>
      </c>
      <c r="B701">
        <v>52094</v>
      </c>
      <c r="C701" t="s">
        <v>53</v>
      </c>
      <c r="D701">
        <v>53202</v>
      </c>
      <c r="E701" t="s">
        <v>77</v>
      </c>
      <c r="F701">
        <v>11781</v>
      </c>
      <c r="G701">
        <v>0.71009885495932035</v>
      </c>
      <c r="H701">
        <v>0</v>
      </c>
      <c r="I701">
        <v>0</v>
      </c>
      <c r="J701">
        <v>0.59818464331041787</v>
      </c>
      <c r="K701">
        <v>0</v>
      </c>
      <c r="L701">
        <v>0</v>
      </c>
      <c r="M701">
        <v>0.4267447062537188</v>
      </c>
      <c r="N701">
        <v>0</v>
      </c>
      <c r="O701">
        <v>0</v>
      </c>
      <c r="P701">
        <v>0.50424038381453784</v>
      </c>
      <c r="Q701">
        <v>0.80802653713694061</v>
      </c>
      <c r="R701">
        <v>-8.3433273408988526</v>
      </c>
      <c r="S701">
        <v>0.17839457642666731</v>
      </c>
      <c r="T701">
        <v>0.14042477982354071</v>
      </c>
      <c r="U701">
        <v>4.2674179181733303</v>
      </c>
      <c r="V701">
        <v>0.22266794157249609</v>
      </c>
      <c r="W701">
        <v>-4.895140417961124</v>
      </c>
      <c r="X701">
        <v>0.25337543428448678</v>
      </c>
      <c r="Z701" t="s">
        <v>392</v>
      </c>
      <c r="AA701">
        <v>161</v>
      </c>
      <c r="AB701" t="s">
        <v>5148</v>
      </c>
      <c r="AC701" t="str">
        <f>HYPERLINK("plots/3FT6Y578R04_015_S31P_20251219032831_M5358ACSA301811_RBGEUFRF04/dpll_52094/txpa_53202.png","plot")</f>
        <v>plot</v>
      </c>
    </row>
    <row r="702" spans="1:29" x14ac:dyDescent="0.35">
      <c r="A702" t="s">
        <v>50</v>
      </c>
      <c r="B702">
        <v>52094</v>
      </c>
      <c r="C702" t="s">
        <v>53</v>
      </c>
      <c r="D702">
        <v>53203</v>
      </c>
      <c r="E702" t="s">
        <v>78</v>
      </c>
      <c r="F702">
        <v>11782</v>
      </c>
      <c r="G702">
        <v>0.7064465430510718</v>
      </c>
      <c r="H702">
        <v>0</v>
      </c>
      <c r="I702">
        <v>0</v>
      </c>
      <c r="J702">
        <v>0.6060311011439069</v>
      </c>
      <c r="K702">
        <v>0</v>
      </c>
      <c r="L702">
        <v>0</v>
      </c>
      <c r="M702">
        <v>0.43123318066372612</v>
      </c>
      <c r="N702">
        <v>0</v>
      </c>
      <c r="O702">
        <v>0</v>
      </c>
      <c r="P702">
        <v>0.49906671818880982</v>
      </c>
      <c r="Q702">
        <v>0.80739666731499315</v>
      </c>
      <c r="R702">
        <v>-5.3042020138276849</v>
      </c>
      <c r="S702">
        <v>0.1801143567586905</v>
      </c>
      <c r="T702">
        <v>0.14078271589265279</v>
      </c>
      <c r="U702">
        <v>4.2673938428959426</v>
      </c>
      <c r="V702">
        <v>0.22267382584799689</v>
      </c>
      <c r="W702">
        <v>-1.8587224469529791</v>
      </c>
      <c r="X702">
        <v>0.2544935730189487</v>
      </c>
      <c r="Z702" t="s">
        <v>392</v>
      </c>
      <c r="AA702">
        <v>161</v>
      </c>
      <c r="AB702" t="s">
        <v>5149</v>
      </c>
      <c r="AC702" t="str">
        <f>HYPERLINK("plots/3FT6Y578R04_015_S31P_20251219032831_M5358ACSA301811_RBGEUFRF04/dpll_52094/txpa_53203.png","plot")</f>
        <v>plot</v>
      </c>
    </row>
    <row r="703" spans="1:29" x14ac:dyDescent="0.35">
      <c r="A703" t="s">
        <v>50</v>
      </c>
      <c r="B703">
        <v>52094</v>
      </c>
      <c r="C703" t="s">
        <v>53</v>
      </c>
      <c r="D703">
        <v>53204</v>
      </c>
      <c r="E703" t="s">
        <v>79</v>
      </c>
      <c r="F703">
        <v>11782</v>
      </c>
      <c r="G703">
        <v>0.72808169099937969</v>
      </c>
      <c r="H703">
        <v>0</v>
      </c>
      <c r="I703">
        <v>0</v>
      </c>
      <c r="J703">
        <v>0.62479935353907168</v>
      </c>
      <c r="K703">
        <v>0</v>
      </c>
      <c r="L703">
        <v>0</v>
      </c>
      <c r="M703">
        <v>0.44860899752212918</v>
      </c>
      <c r="N703">
        <v>0</v>
      </c>
      <c r="O703">
        <v>0</v>
      </c>
      <c r="P703">
        <v>0.53010294876851627</v>
      </c>
      <c r="Q703">
        <v>0.8357731533898759</v>
      </c>
      <c r="R703">
        <v>-5.3838611630010584</v>
      </c>
      <c r="S703">
        <v>0.17521061186521969</v>
      </c>
      <c r="T703">
        <v>0.13767929176627461</v>
      </c>
      <c r="U703">
        <v>4.2673938428959426</v>
      </c>
      <c r="V703">
        <v>0.22267382584799689</v>
      </c>
      <c r="W703">
        <v>-1.8172879541673741</v>
      </c>
      <c r="X703">
        <v>0.25560978652123112</v>
      </c>
      <c r="Z703" t="s">
        <v>392</v>
      </c>
      <c r="AA703">
        <v>161</v>
      </c>
      <c r="AB703" t="s">
        <v>5150</v>
      </c>
      <c r="AC703" t="str">
        <f>HYPERLINK("plots/3FT6Y578R04_015_S31P_20251219032831_M5358ACSA301811_RBGEUFRF04/dpll_52094/txpa_53204.png","plot")</f>
        <v>plot</v>
      </c>
    </row>
    <row r="704" spans="1:29" x14ac:dyDescent="0.35">
      <c r="A704" t="s">
        <v>50</v>
      </c>
      <c r="B704">
        <v>52094</v>
      </c>
      <c r="C704" t="s">
        <v>53</v>
      </c>
      <c r="D704">
        <v>53205</v>
      </c>
      <c r="E704" t="s">
        <v>80</v>
      </c>
      <c r="F704">
        <v>11782</v>
      </c>
      <c r="G704">
        <v>0.71697162577246198</v>
      </c>
      <c r="H704">
        <v>0</v>
      </c>
      <c r="I704">
        <v>0</v>
      </c>
      <c r="J704">
        <v>0.61176034192754858</v>
      </c>
      <c r="K704">
        <v>0</v>
      </c>
      <c r="L704">
        <v>0</v>
      </c>
      <c r="M704">
        <v>0.43721213066324888</v>
      </c>
      <c r="N704">
        <v>0</v>
      </c>
      <c r="O704">
        <v>0</v>
      </c>
      <c r="P704">
        <v>0.51404831216280722</v>
      </c>
      <c r="Q704">
        <v>0.80467179434780089</v>
      </c>
      <c r="R704">
        <v>-5.2352159040551793</v>
      </c>
      <c r="S704">
        <v>0.17420639635214941</v>
      </c>
      <c r="T704">
        <v>0.13697618311998899</v>
      </c>
      <c r="U704">
        <v>4.2673938428959426</v>
      </c>
      <c r="V704">
        <v>0.22267382584799689</v>
      </c>
      <c r="W704">
        <v>-1.801364443303344</v>
      </c>
      <c r="X704">
        <v>0.24991135012679239</v>
      </c>
      <c r="Z704" t="s">
        <v>392</v>
      </c>
      <c r="AA704">
        <v>161</v>
      </c>
      <c r="AB704" t="s">
        <v>5151</v>
      </c>
      <c r="AC704" t="str">
        <f>HYPERLINK("plots/3FT6Y578R04_015_S31P_20251219032831_M5358ACSA301811_RBGEUFRF04/dpll_52094/txpa_53205.png","plot")</f>
        <v>plot</v>
      </c>
    </row>
    <row r="705" spans="1:29" x14ac:dyDescent="0.35">
      <c r="A705" t="s">
        <v>50</v>
      </c>
      <c r="B705">
        <v>52094</v>
      </c>
      <c r="C705" t="s">
        <v>53</v>
      </c>
      <c r="D705">
        <v>53206</v>
      </c>
      <c r="E705" t="s">
        <v>81</v>
      </c>
      <c r="F705">
        <v>11781</v>
      </c>
      <c r="G705">
        <v>0.73285699681860539</v>
      </c>
      <c r="H705">
        <v>0</v>
      </c>
      <c r="I705">
        <v>0</v>
      </c>
      <c r="J705">
        <v>0.62324695203483227</v>
      </c>
      <c r="K705">
        <v>0</v>
      </c>
      <c r="L705">
        <v>0</v>
      </c>
      <c r="M705">
        <v>0.44758170246953732</v>
      </c>
      <c r="N705">
        <v>0</v>
      </c>
      <c r="O705">
        <v>0</v>
      </c>
      <c r="P705">
        <v>0.53707937778598536</v>
      </c>
      <c r="Q705">
        <v>0.83612301127371258</v>
      </c>
      <c r="R705">
        <v>-5.3457732616472349</v>
      </c>
      <c r="S705">
        <v>0.17285001195457311</v>
      </c>
      <c r="T705">
        <v>0.13623130806940881</v>
      </c>
      <c r="U705">
        <v>4.2674026018164843</v>
      </c>
      <c r="V705">
        <v>0.22268124725346999</v>
      </c>
      <c r="W705">
        <v>-1.7776997478991601</v>
      </c>
      <c r="X705">
        <v>0.25405899898072798</v>
      </c>
      <c r="Z705" t="s">
        <v>392</v>
      </c>
      <c r="AA705">
        <v>161</v>
      </c>
      <c r="AB705" t="s">
        <v>5152</v>
      </c>
      <c r="AC705" t="str">
        <f>HYPERLINK("plots/3FT6Y578R04_015_S31P_20251219032831_M5358ACSA301811_RBGEUFRF04/dpll_52094/txpa_53206.png","plot")</f>
        <v>plot</v>
      </c>
    </row>
    <row r="706" spans="1:29" x14ac:dyDescent="0.35">
      <c r="A706" t="s">
        <v>50</v>
      </c>
      <c r="B706">
        <v>52094</v>
      </c>
      <c r="C706" t="s">
        <v>53</v>
      </c>
      <c r="D706">
        <v>53207</v>
      </c>
      <c r="E706" t="s">
        <v>82</v>
      </c>
      <c r="F706">
        <v>11781</v>
      </c>
      <c r="G706">
        <v>0.73492975557912466</v>
      </c>
      <c r="H706">
        <v>0</v>
      </c>
      <c r="I706">
        <v>0</v>
      </c>
      <c r="J706">
        <v>0.61964825973535642</v>
      </c>
      <c r="K706">
        <v>0</v>
      </c>
      <c r="L706">
        <v>0</v>
      </c>
      <c r="M706">
        <v>0.44351632531489632</v>
      </c>
      <c r="N706">
        <v>0</v>
      </c>
      <c r="O706">
        <v>0</v>
      </c>
      <c r="P706">
        <v>0.5401217456355919</v>
      </c>
      <c r="Q706">
        <v>0.83750011473694319</v>
      </c>
      <c r="R706">
        <v>-5.3667322445687997</v>
      </c>
      <c r="S706">
        <v>0.17206250838500001</v>
      </c>
      <c r="T706">
        <v>0.13580699430932161</v>
      </c>
      <c r="U706">
        <v>4.2673648416942536</v>
      </c>
      <c r="V706">
        <v>0.2226610238238293</v>
      </c>
      <c r="W706">
        <v>-1.7928137000254649</v>
      </c>
      <c r="X706">
        <v>0.25373667562685248</v>
      </c>
      <c r="Z706" t="s">
        <v>392</v>
      </c>
      <c r="AA706">
        <v>161</v>
      </c>
      <c r="AB706" t="s">
        <v>5153</v>
      </c>
      <c r="AC706" t="str">
        <f>HYPERLINK("plots/3FT6Y578R04_015_S31P_20251219032831_M5358ACSA301811_RBGEUFRF04/dpll_52094/txpa_53207.png","plot")</f>
        <v>plot</v>
      </c>
    </row>
    <row r="707" spans="1:29" x14ac:dyDescent="0.35">
      <c r="A707" t="s">
        <v>50</v>
      </c>
      <c r="B707">
        <v>52094</v>
      </c>
      <c r="C707" t="s">
        <v>53</v>
      </c>
      <c r="D707">
        <v>53208</v>
      </c>
      <c r="E707" t="s">
        <v>83</v>
      </c>
      <c r="F707">
        <v>11781</v>
      </c>
      <c r="G707">
        <v>0.74136864210839626</v>
      </c>
      <c r="H707">
        <v>0</v>
      </c>
      <c r="I707">
        <v>0</v>
      </c>
      <c r="J707">
        <v>0.64015094196525368</v>
      </c>
      <c r="K707">
        <v>0</v>
      </c>
      <c r="L707">
        <v>0</v>
      </c>
      <c r="M707">
        <v>0.46051013776115451</v>
      </c>
      <c r="N707">
        <v>0</v>
      </c>
      <c r="O707">
        <v>0</v>
      </c>
      <c r="P707">
        <v>0.54962746350164737</v>
      </c>
      <c r="Q707">
        <v>0.84629333173100463</v>
      </c>
      <c r="R707">
        <v>-5.414682743680868</v>
      </c>
      <c r="S707">
        <v>0.17056310004760319</v>
      </c>
      <c r="T707">
        <v>0.13496107321693621</v>
      </c>
      <c r="U707">
        <v>4.2673606822850356</v>
      </c>
      <c r="V707">
        <v>0.2226541824443867</v>
      </c>
      <c r="W707">
        <v>-1.803243854171972</v>
      </c>
      <c r="X707">
        <v>0.25416606419826482</v>
      </c>
      <c r="Z707" t="s">
        <v>392</v>
      </c>
      <c r="AA707">
        <v>161</v>
      </c>
      <c r="AB707" t="s">
        <v>5154</v>
      </c>
      <c r="AC707" t="str">
        <f>HYPERLINK("plots/3FT6Y578R04_015_S31P_20251219032831_M5358ACSA301811_RBGEUFRF04/dpll_52094/txpa_53208.png","plot")</f>
        <v>plot</v>
      </c>
    </row>
    <row r="708" spans="1:29" x14ac:dyDescent="0.35">
      <c r="A708" t="s">
        <v>50</v>
      </c>
      <c r="B708">
        <v>52094</v>
      </c>
      <c r="C708" t="s">
        <v>53</v>
      </c>
      <c r="D708">
        <v>53209</v>
      </c>
      <c r="E708" t="s">
        <v>84</v>
      </c>
      <c r="F708">
        <v>11782</v>
      </c>
      <c r="G708">
        <v>0.73636837260357813</v>
      </c>
      <c r="H708">
        <v>0</v>
      </c>
      <c r="I708">
        <v>0</v>
      </c>
      <c r="J708">
        <v>0.63017368609527824</v>
      </c>
      <c r="K708">
        <v>0</v>
      </c>
      <c r="L708">
        <v>0</v>
      </c>
      <c r="M708">
        <v>0.45250951499585351</v>
      </c>
      <c r="N708">
        <v>0</v>
      </c>
      <c r="O708">
        <v>0</v>
      </c>
      <c r="P708">
        <v>0.54223838017084203</v>
      </c>
      <c r="Q708">
        <v>0.83182720044712088</v>
      </c>
      <c r="R708">
        <v>-5.3443659037400204</v>
      </c>
      <c r="S708">
        <v>0.1701799606354121</v>
      </c>
      <c r="T708">
        <v>0.13455741937522661</v>
      </c>
      <c r="U708">
        <v>4.2673938428959426</v>
      </c>
      <c r="V708">
        <v>0.22267382584799689</v>
      </c>
      <c r="W708">
        <v>-1.7946316301986081</v>
      </c>
      <c r="X708">
        <v>0.25154006073493462</v>
      </c>
      <c r="Z708" t="s">
        <v>392</v>
      </c>
      <c r="AA708">
        <v>161</v>
      </c>
      <c r="AB708" t="s">
        <v>5155</v>
      </c>
      <c r="AC708" t="str">
        <f>HYPERLINK("plots/3FT6Y578R04_015_S31P_20251219032831_M5358ACSA301811_RBGEUFRF04/dpll_52094/txpa_53209.png","plot")</f>
        <v>plot</v>
      </c>
    </row>
    <row r="709" spans="1:29" x14ac:dyDescent="0.35">
      <c r="A709" t="s">
        <v>50</v>
      </c>
      <c r="B709">
        <v>52094</v>
      </c>
      <c r="C709" t="s">
        <v>53</v>
      </c>
      <c r="D709">
        <v>53210</v>
      </c>
      <c r="E709" t="s">
        <v>85</v>
      </c>
      <c r="F709">
        <v>11781</v>
      </c>
      <c r="G709">
        <v>0.72743963175086135</v>
      </c>
      <c r="H709">
        <v>0</v>
      </c>
      <c r="I709">
        <v>0</v>
      </c>
      <c r="J709">
        <v>0.62148709906525346</v>
      </c>
      <c r="K709">
        <v>0</v>
      </c>
      <c r="L709">
        <v>0</v>
      </c>
      <c r="M709">
        <v>0.44586428111590759</v>
      </c>
      <c r="N709">
        <v>0</v>
      </c>
      <c r="O709">
        <v>0</v>
      </c>
      <c r="P709">
        <v>0.52916841784182878</v>
      </c>
      <c r="Q709">
        <v>0.82791102082572043</v>
      </c>
      <c r="R709">
        <v>-5.3686055124301566</v>
      </c>
      <c r="S709">
        <v>0.17388365499799599</v>
      </c>
      <c r="T709">
        <v>0.13669360216283649</v>
      </c>
      <c r="U709">
        <v>4.2674179181733303</v>
      </c>
      <c r="V709">
        <v>0.22266794157249609</v>
      </c>
      <c r="W709">
        <v>-1.8355631875053049</v>
      </c>
      <c r="X709">
        <v>0.25342205011395952</v>
      </c>
      <c r="Z709" t="s">
        <v>392</v>
      </c>
      <c r="AA709">
        <v>161</v>
      </c>
      <c r="AB709" t="s">
        <v>5156</v>
      </c>
      <c r="AC709" t="str">
        <f>HYPERLINK("plots/3FT6Y578R04_015_S31P_20251219032831_M5358ACSA301811_RBGEUFRF04/dpll_52094/txpa_53210.png","plot")</f>
        <v>plot</v>
      </c>
    </row>
    <row r="710" spans="1:29" x14ac:dyDescent="0.35">
      <c r="A710" t="s">
        <v>50</v>
      </c>
      <c r="B710">
        <v>52094</v>
      </c>
      <c r="C710" t="s">
        <v>53</v>
      </c>
      <c r="D710">
        <v>53211</v>
      </c>
      <c r="E710" t="s">
        <v>86</v>
      </c>
      <c r="F710">
        <v>11782</v>
      </c>
      <c r="G710">
        <v>0.74654200259052017</v>
      </c>
      <c r="H710">
        <v>0</v>
      </c>
      <c r="I710">
        <v>0</v>
      </c>
      <c r="J710">
        <v>0.6536707616592351</v>
      </c>
      <c r="K710">
        <v>0</v>
      </c>
      <c r="L710">
        <v>0</v>
      </c>
      <c r="M710">
        <v>0.47038774832480029</v>
      </c>
      <c r="N710">
        <v>0</v>
      </c>
      <c r="O710">
        <v>0</v>
      </c>
      <c r="P710">
        <v>0.55732496163186418</v>
      </c>
      <c r="Q710">
        <v>0.8845606418770855</v>
      </c>
      <c r="R710">
        <v>-2.069881908253842</v>
      </c>
      <c r="S710">
        <v>0.1755361710453103</v>
      </c>
      <c r="T710">
        <v>0.13686311446726279</v>
      </c>
      <c r="U710">
        <v>4.2673938428959426</v>
      </c>
      <c r="V710">
        <v>0.22267382584799689</v>
      </c>
      <c r="W710">
        <v>1.704886728560516</v>
      </c>
      <c r="X710">
        <v>0.26384115245738993</v>
      </c>
      <c r="Z710" t="s">
        <v>392</v>
      </c>
      <c r="AA710">
        <v>161</v>
      </c>
      <c r="AB710" t="s">
        <v>5157</v>
      </c>
      <c r="AC710" t="str">
        <f>HYPERLINK("plots/3FT6Y578R04_015_S31P_20251219032831_M5358ACSA301811_RBGEUFRF04/dpll_52094/txpa_53211.png","plot")</f>
        <v>plot</v>
      </c>
    </row>
    <row r="711" spans="1:29" x14ac:dyDescent="0.35">
      <c r="A711" t="s">
        <v>50</v>
      </c>
      <c r="B711">
        <v>52094</v>
      </c>
      <c r="C711" t="s">
        <v>53</v>
      </c>
      <c r="D711">
        <v>53212</v>
      </c>
      <c r="E711" t="s">
        <v>87</v>
      </c>
      <c r="F711">
        <v>11782</v>
      </c>
      <c r="G711">
        <v>0.76710523154583066</v>
      </c>
      <c r="H711">
        <v>0</v>
      </c>
      <c r="I711">
        <v>0</v>
      </c>
      <c r="J711">
        <v>0.67132898616955006</v>
      </c>
      <c r="K711">
        <v>0</v>
      </c>
      <c r="L711">
        <v>0</v>
      </c>
      <c r="M711">
        <v>0.48782195571464981</v>
      </c>
      <c r="N711">
        <v>0</v>
      </c>
      <c r="O711">
        <v>0</v>
      </c>
      <c r="P711">
        <v>0.5884504362649825</v>
      </c>
      <c r="Q711">
        <v>0.91548775850075959</v>
      </c>
      <c r="R711">
        <v>-2.163659444853907</v>
      </c>
      <c r="S711">
        <v>0.17047449378068891</v>
      </c>
      <c r="T711">
        <v>0.13381477139550679</v>
      </c>
      <c r="U711">
        <v>4.2673938428959426</v>
      </c>
      <c r="V711">
        <v>0.22267382584799689</v>
      </c>
      <c r="W711">
        <v>1.7430873790188419</v>
      </c>
      <c r="X711">
        <v>0.26574601934544601</v>
      </c>
      <c r="Z711" t="s">
        <v>392</v>
      </c>
      <c r="AA711">
        <v>161</v>
      </c>
      <c r="AB711" t="s">
        <v>5158</v>
      </c>
      <c r="AC711" t="str">
        <f>HYPERLINK("plots/3FT6Y578R04_015_S31P_20251219032831_M5358ACSA301811_RBGEUFRF04/dpll_52094/txpa_53212.png","plot")</f>
        <v>plot</v>
      </c>
    </row>
    <row r="712" spans="1:29" x14ac:dyDescent="0.35">
      <c r="A712" t="s">
        <v>50</v>
      </c>
      <c r="B712">
        <v>52094</v>
      </c>
      <c r="C712" t="s">
        <v>53</v>
      </c>
      <c r="D712">
        <v>53213</v>
      </c>
      <c r="E712" t="s">
        <v>88</v>
      </c>
      <c r="F712">
        <v>11782</v>
      </c>
      <c r="G712">
        <v>0.75754421684137629</v>
      </c>
      <c r="H712">
        <v>0</v>
      </c>
      <c r="I712">
        <v>0</v>
      </c>
      <c r="J712">
        <v>0.65927376189872833</v>
      </c>
      <c r="K712">
        <v>0</v>
      </c>
      <c r="L712">
        <v>0</v>
      </c>
      <c r="M712">
        <v>0.47663143882365688</v>
      </c>
      <c r="N712">
        <v>0</v>
      </c>
      <c r="O712">
        <v>0</v>
      </c>
      <c r="P712">
        <v>0.57387324046981414</v>
      </c>
      <c r="Q712">
        <v>0.88532646826059047</v>
      </c>
      <c r="R712">
        <v>-2.0200891212376582</v>
      </c>
      <c r="S712">
        <v>0.16986957677714931</v>
      </c>
      <c r="T712">
        <v>0.13340813987092989</v>
      </c>
      <c r="U712">
        <v>4.2673938428959426</v>
      </c>
      <c r="V712">
        <v>0.22267382584799689</v>
      </c>
      <c r="W712">
        <v>1.757947598370396</v>
      </c>
      <c r="X712">
        <v>0.26023435652913213</v>
      </c>
      <c r="Z712" t="s">
        <v>392</v>
      </c>
      <c r="AA712">
        <v>161</v>
      </c>
      <c r="AB712" t="s">
        <v>5159</v>
      </c>
      <c r="AC712" t="str">
        <f>HYPERLINK("plots/3FT6Y578R04_015_S31P_20251219032831_M5358ACSA301811_RBGEUFRF04/dpll_52094/txpa_53213.png","plot")</f>
        <v>plot</v>
      </c>
    </row>
    <row r="713" spans="1:29" x14ac:dyDescent="0.35">
      <c r="A713" t="s">
        <v>50</v>
      </c>
      <c r="B713">
        <v>52094</v>
      </c>
      <c r="C713" t="s">
        <v>53</v>
      </c>
      <c r="D713">
        <v>53214</v>
      </c>
      <c r="E713" t="s">
        <v>89</v>
      </c>
      <c r="F713">
        <v>11781</v>
      </c>
      <c r="G713">
        <v>0.77184795241227844</v>
      </c>
      <c r="H713">
        <v>0</v>
      </c>
      <c r="I713">
        <v>0</v>
      </c>
      <c r="J713">
        <v>0.67082017232406377</v>
      </c>
      <c r="K713">
        <v>0</v>
      </c>
      <c r="L713">
        <v>0</v>
      </c>
      <c r="M713">
        <v>0.48742662839063222</v>
      </c>
      <c r="N713">
        <v>0</v>
      </c>
      <c r="O713">
        <v>0</v>
      </c>
      <c r="P713">
        <v>0.59574926164302688</v>
      </c>
      <c r="Q713">
        <v>0.91397298493194101</v>
      </c>
      <c r="R713">
        <v>-2.124528053866475</v>
      </c>
      <c r="S713">
        <v>0.16764562568399249</v>
      </c>
      <c r="T713">
        <v>0.13223051064550101</v>
      </c>
      <c r="U713">
        <v>4.2674026018164843</v>
      </c>
      <c r="V713">
        <v>0.22268124725346999</v>
      </c>
      <c r="W713">
        <v>1.775762640022069</v>
      </c>
      <c r="X713">
        <v>0.26368489234769638</v>
      </c>
      <c r="Z713" t="s">
        <v>392</v>
      </c>
      <c r="AA713">
        <v>161</v>
      </c>
      <c r="AB713" t="s">
        <v>5160</v>
      </c>
      <c r="AC713" t="str">
        <f>HYPERLINK("plots/3FT6Y578R04_015_S31P_20251219032831_M5358ACSA301811_RBGEUFRF04/dpll_52094/txpa_53214.png","plot")</f>
        <v>plot</v>
      </c>
    </row>
    <row r="714" spans="1:29" x14ac:dyDescent="0.35">
      <c r="A714" t="s">
        <v>50</v>
      </c>
      <c r="B714">
        <v>52094</v>
      </c>
      <c r="C714" t="s">
        <v>53</v>
      </c>
      <c r="D714">
        <v>53215</v>
      </c>
      <c r="E714" t="s">
        <v>90</v>
      </c>
      <c r="F714">
        <v>11781</v>
      </c>
      <c r="G714">
        <v>0.77373375742898431</v>
      </c>
      <c r="H714">
        <v>0</v>
      </c>
      <c r="I714">
        <v>0</v>
      </c>
      <c r="J714">
        <v>0.66844574576441862</v>
      </c>
      <c r="K714">
        <v>0</v>
      </c>
      <c r="L714">
        <v>0</v>
      </c>
      <c r="M714">
        <v>0.48436919216519908</v>
      </c>
      <c r="N714">
        <v>0</v>
      </c>
      <c r="O714">
        <v>0</v>
      </c>
      <c r="P714">
        <v>0.59866392738517438</v>
      </c>
      <c r="Q714">
        <v>0.91480806500036782</v>
      </c>
      <c r="R714">
        <v>-2.1441553827500832</v>
      </c>
      <c r="S714">
        <v>0.1667701451048792</v>
      </c>
      <c r="T714">
        <v>0.13153007529403171</v>
      </c>
      <c r="U714">
        <v>4.2673648416942536</v>
      </c>
      <c r="V714">
        <v>0.2226610238238293</v>
      </c>
      <c r="W714">
        <v>1.759664390730838</v>
      </c>
      <c r="X714">
        <v>0.2632586447205304</v>
      </c>
      <c r="Z714" t="s">
        <v>392</v>
      </c>
      <c r="AA714">
        <v>161</v>
      </c>
      <c r="AB714" t="s">
        <v>5161</v>
      </c>
      <c r="AC714" t="str">
        <f>HYPERLINK("plots/3FT6Y578R04_015_S31P_20251219032831_M5358ACSA301811_RBGEUFRF04/dpll_52094/txpa_53215.png","plot")</f>
        <v>plot</v>
      </c>
    </row>
    <row r="715" spans="1:29" x14ac:dyDescent="0.35">
      <c r="A715" t="s">
        <v>50</v>
      </c>
      <c r="B715">
        <v>52094</v>
      </c>
      <c r="C715" t="s">
        <v>53</v>
      </c>
      <c r="D715">
        <v>53216</v>
      </c>
      <c r="E715" t="s">
        <v>91</v>
      </c>
      <c r="F715">
        <v>11781</v>
      </c>
      <c r="G715">
        <v>0.77875411807786521</v>
      </c>
      <c r="H715">
        <v>0</v>
      </c>
      <c r="I715">
        <v>0</v>
      </c>
      <c r="J715">
        <v>0.6851066968474171</v>
      </c>
      <c r="K715">
        <v>0</v>
      </c>
      <c r="L715">
        <v>0</v>
      </c>
      <c r="M715">
        <v>0.49870722343045681</v>
      </c>
      <c r="N715">
        <v>0</v>
      </c>
      <c r="O715">
        <v>0</v>
      </c>
      <c r="P715">
        <v>0.60645797642323362</v>
      </c>
      <c r="Q715">
        <v>0.92596807801786674</v>
      </c>
      <c r="R715">
        <v>-2.1958855446874161</v>
      </c>
      <c r="S715">
        <v>0.16607476276871599</v>
      </c>
      <c r="T715">
        <v>0.13132959028436661</v>
      </c>
      <c r="U715">
        <v>4.2673606822850356</v>
      </c>
      <c r="V715">
        <v>0.2226541824443867</v>
      </c>
      <c r="W715">
        <v>1.755554224497071</v>
      </c>
      <c r="X715">
        <v>0.26474423774418337</v>
      </c>
      <c r="Z715" t="s">
        <v>392</v>
      </c>
      <c r="AA715">
        <v>161</v>
      </c>
      <c r="AB715" t="s">
        <v>5162</v>
      </c>
      <c r="AC715" t="str">
        <f>HYPERLINK("plots/3FT6Y578R04_015_S31P_20251219032831_M5358ACSA301811_RBGEUFRF04/dpll_52094/txpa_53216.png","plot")</f>
        <v>plot</v>
      </c>
    </row>
    <row r="716" spans="1:29" x14ac:dyDescent="0.35">
      <c r="A716" t="s">
        <v>50</v>
      </c>
      <c r="B716">
        <v>52094</v>
      </c>
      <c r="C716" t="s">
        <v>53</v>
      </c>
      <c r="D716">
        <v>53217</v>
      </c>
      <c r="E716" t="s">
        <v>92</v>
      </c>
      <c r="F716">
        <v>11782</v>
      </c>
      <c r="G716">
        <v>0.77366127228157688</v>
      </c>
      <c r="H716">
        <v>0</v>
      </c>
      <c r="I716">
        <v>0</v>
      </c>
      <c r="J716">
        <v>0.67462883935378937</v>
      </c>
      <c r="K716">
        <v>0</v>
      </c>
      <c r="L716">
        <v>0</v>
      </c>
      <c r="M716">
        <v>0.49029670186553531</v>
      </c>
      <c r="N716">
        <v>0</v>
      </c>
      <c r="O716">
        <v>0</v>
      </c>
      <c r="P716">
        <v>0.59855176422834822</v>
      </c>
      <c r="Q716">
        <v>0.91030334308908001</v>
      </c>
      <c r="R716">
        <v>-2.121007341803737</v>
      </c>
      <c r="S716">
        <v>0.16599721305225601</v>
      </c>
      <c r="T716">
        <v>0.13119184628914179</v>
      </c>
      <c r="U716">
        <v>4.2673938428959426</v>
      </c>
      <c r="V716">
        <v>0.22267382584799689</v>
      </c>
      <c r="W716">
        <v>1.763615539662196</v>
      </c>
      <c r="X716">
        <v>0.26200190619609232</v>
      </c>
      <c r="Z716" t="s">
        <v>392</v>
      </c>
      <c r="AA716">
        <v>161</v>
      </c>
      <c r="AB716" t="s">
        <v>5163</v>
      </c>
      <c r="AC716" t="str">
        <f>HYPERLINK("plots/3FT6Y578R04_015_S31P_20251219032831_M5358ACSA301811_RBGEUFRF04/dpll_52094/txpa_53217.png","plot")</f>
        <v>plot</v>
      </c>
    </row>
    <row r="717" spans="1:29" x14ac:dyDescent="0.35">
      <c r="A717" t="s">
        <v>50</v>
      </c>
      <c r="B717">
        <v>52094</v>
      </c>
      <c r="C717" t="s">
        <v>53</v>
      </c>
      <c r="D717">
        <v>53218</v>
      </c>
      <c r="E717" t="s">
        <v>93</v>
      </c>
      <c r="F717">
        <v>11781</v>
      </c>
      <c r="G717">
        <v>0.76663824635843114</v>
      </c>
      <c r="H717">
        <v>0</v>
      </c>
      <c r="I717">
        <v>0</v>
      </c>
      <c r="J717">
        <v>0.66847717361210346</v>
      </c>
      <c r="K717">
        <v>0</v>
      </c>
      <c r="L717">
        <v>0</v>
      </c>
      <c r="M717">
        <v>0.48528378966322022</v>
      </c>
      <c r="N717">
        <v>0</v>
      </c>
      <c r="O717">
        <v>0</v>
      </c>
      <c r="P717">
        <v>0.58773420077953054</v>
      </c>
      <c r="Q717">
        <v>0.90507015238043154</v>
      </c>
      <c r="R717">
        <v>-2.1347864160297969</v>
      </c>
      <c r="S717">
        <v>0.16877949253259361</v>
      </c>
      <c r="T717">
        <v>0.13250548531781001</v>
      </c>
      <c r="U717">
        <v>4.2674179181733303</v>
      </c>
      <c r="V717">
        <v>0.22266794157249609</v>
      </c>
      <c r="W717">
        <v>1.727526169442323</v>
      </c>
      <c r="X717">
        <v>0.26287510278352783</v>
      </c>
      <c r="Z717" t="s">
        <v>392</v>
      </c>
      <c r="AA717">
        <v>161</v>
      </c>
      <c r="AB717" t="s">
        <v>5164</v>
      </c>
      <c r="AC717" t="str">
        <f>HYPERLINK("plots/3FT6Y578R04_015_S31P_20251219032831_M5358ACSA301811_RBGEUFRF04/dpll_52094/txpa_53218.png","plot")</f>
        <v>plot</v>
      </c>
    </row>
    <row r="718" spans="1:29" x14ac:dyDescent="0.35">
      <c r="A718" t="s">
        <v>50</v>
      </c>
      <c r="B718">
        <v>52094</v>
      </c>
      <c r="C718" t="s">
        <v>53</v>
      </c>
      <c r="D718">
        <v>53219</v>
      </c>
      <c r="E718" t="s">
        <v>94</v>
      </c>
      <c r="F718">
        <v>11782</v>
      </c>
      <c r="G718">
        <v>0.77230351237377037</v>
      </c>
      <c r="H718">
        <v>0</v>
      </c>
      <c r="I718">
        <v>0</v>
      </c>
      <c r="J718">
        <v>0.68129477313495801</v>
      </c>
      <c r="K718">
        <v>0</v>
      </c>
      <c r="L718">
        <v>0</v>
      </c>
      <c r="M718">
        <v>0.49381580758722871</v>
      </c>
      <c r="N718">
        <v>0</v>
      </c>
      <c r="O718">
        <v>0</v>
      </c>
      <c r="P718">
        <v>0.59645271522486254</v>
      </c>
      <c r="Q718">
        <v>0.95535485138260035</v>
      </c>
      <c r="R718">
        <v>-0.36934490072534981</v>
      </c>
      <c r="S718">
        <v>0.1749744583950909</v>
      </c>
      <c r="T718">
        <v>0.13616930342185979</v>
      </c>
      <c r="U718">
        <v>4.2673938428959426</v>
      </c>
      <c r="V718">
        <v>0.22267382584799689</v>
      </c>
      <c r="W718">
        <v>3.7075305098455269</v>
      </c>
      <c r="X718">
        <v>0.27545196466341099</v>
      </c>
      <c r="Z718" t="s">
        <v>392</v>
      </c>
      <c r="AA718">
        <v>161</v>
      </c>
      <c r="AB718" t="s">
        <v>5165</v>
      </c>
      <c r="AC718" t="str">
        <f>HYPERLINK("plots/3FT6Y578R04_015_S31P_20251219032831_M5358ACSA301811_RBGEUFRF04/dpll_52094/txpa_53219.png","plot")</f>
        <v>plot</v>
      </c>
    </row>
    <row r="719" spans="1:29" x14ac:dyDescent="0.35">
      <c r="A719" t="s">
        <v>50</v>
      </c>
      <c r="B719">
        <v>52094</v>
      </c>
      <c r="C719" t="s">
        <v>53</v>
      </c>
      <c r="D719">
        <v>53220</v>
      </c>
      <c r="E719" t="s">
        <v>95</v>
      </c>
      <c r="F719">
        <v>11782</v>
      </c>
      <c r="G719">
        <v>0.79105236613468199</v>
      </c>
      <c r="H719">
        <v>0</v>
      </c>
      <c r="I719">
        <v>0</v>
      </c>
      <c r="J719">
        <v>0.69749739597204607</v>
      </c>
      <c r="K719">
        <v>0</v>
      </c>
      <c r="L719">
        <v>0</v>
      </c>
      <c r="M719">
        <v>0.51063605160268455</v>
      </c>
      <c r="N719">
        <v>0</v>
      </c>
      <c r="O719">
        <v>0</v>
      </c>
      <c r="P719">
        <v>0.62576384596727896</v>
      </c>
      <c r="Q719">
        <v>0.98569735545861892</v>
      </c>
      <c r="R719">
        <v>-0.46172335942326592</v>
      </c>
      <c r="S719">
        <v>0.16973131185526141</v>
      </c>
      <c r="T719">
        <v>0.13321636321441921</v>
      </c>
      <c r="U719">
        <v>4.2673938428959426</v>
      </c>
      <c r="V719">
        <v>0.22267382584799689</v>
      </c>
      <c r="W719">
        <v>3.7446354662196581</v>
      </c>
      <c r="X719">
        <v>0.27746456576662842</v>
      </c>
      <c r="Z719" t="s">
        <v>392</v>
      </c>
      <c r="AA719">
        <v>161</v>
      </c>
      <c r="AB719" t="s">
        <v>5166</v>
      </c>
      <c r="AC719" t="str">
        <f>HYPERLINK("plots/3FT6Y578R04_015_S31P_20251219032831_M5358ACSA301811_RBGEUFRF04/dpll_52094/txpa_53220.png","plot")</f>
        <v>plot</v>
      </c>
    </row>
    <row r="720" spans="1:29" x14ac:dyDescent="0.35">
      <c r="A720" t="s">
        <v>50</v>
      </c>
      <c r="B720">
        <v>52094</v>
      </c>
      <c r="C720" t="s">
        <v>53</v>
      </c>
      <c r="D720">
        <v>53221</v>
      </c>
      <c r="E720" t="s">
        <v>96</v>
      </c>
      <c r="F720">
        <v>11782</v>
      </c>
      <c r="G720">
        <v>0.78253187593445128</v>
      </c>
      <c r="H720">
        <v>0</v>
      </c>
      <c r="I720">
        <v>0</v>
      </c>
      <c r="J720">
        <v>0.68630189664994867</v>
      </c>
      <c r="K720">
        <v>0</v>
      </c>
      <c r="L720">
        <v>0</v>
      </c>
      <c r="M720">
        <v>0.49994667206198062</v>
      </c>
      <c r="N720">
        <v>0</v>
      </c>
      <c r="O720">
        <v>0</v>
      </c>
      <c r="P720">
        <v>0.61235613685349144</v>
      </c>
      <c r="Q720">
        <v>0.95689015151369228</v>
      </c>
      <c r="R720">
        <v>-0.32372183220607198</v>
      </c>
      <c r="S720">
        <v>0.16952245913639799</v>
      </c>
      <c r="T720">
        <v>0.13288909283347769</v>
      </c>
      <c r="U720">
        <v>4.2673938428959426</v>
      </c>
      <c r="V720">
        <v>0.22267382584799689</v>
      </c>
      <c r="W720">
        <v>3.759705308691224</v>
      </c>
      <c r="X720">
        <v>0.27228844920775008</v>
      </c>
      <c r="Z720" t="s">
        <v>392</v>
      </c>
      <c r="AA720">
        <v>161</v>
      </c>
      <c r="AB720" t="s">
        <v>5167</v>
      </c>
      <c r="AC720" t="str">
        <f>HYPERLINK("plots/3FT6Y578R04_015_S31P_20251219032831_M5358ACSA301811_RBGEUFRF04/dpll_52094/txpa_53221.png","plot")</f>
        <v>plot</v>
      </c>
    </row>
    <row r="721" spans="1:29" x14ac:dyDescent="0.35">
      <c r="A721" t="s">
        <v>50</v>
      </c>
      <c r="B721">
        <v>52094</v>
      </c>
      <c r="C721" t="s">
        <v>53</v>
      </c>
      <c r="D721">
        <v>53222</v>
      </c>
      <c r="E721" t="s">
        <v>97</v>
      </c>
      <c r="F721">
        <v>11781</v>
      </c>
      <c r="G721">
        <v>0.79584551458437247</v>
      </c>
      <c r="H721">
        <v>0</v>
      </c>
      <c r="I721">
        <v>0</v>
      </c>
      <c r="J721">
        <v>0.69751555797089615</v>
      </c>
      <c r="K721">
        <v>0</v>
      </c>
      <c r="L721">
        <v>0</v>
      </c>
      <c r="M721">
        <v>0.5107099206845056</v>
      </c>
      <c r="N721">
        <v>0</v>
      </c>
      <c r="O721">
        <v>0</v>
      </c>
      <c r="P721">
        <v>0.63337008308406462</v>
      </c>
      <c r="Q721">
        <v>0.98398831640342777</v>
      </c>
      <c r="R721">
        <v>-0.42472830293512898</v>
      </c>
      <c r="S721">
        <v>0.1667018161962979</v>
      </c>
      <c r="T721">
        <v>0.13146130739378031</v>
      </c>
      <c r="U721">
        <v>4.2674026018164843</v>
      </c>
      <c r="V721">
        <v>0.22268124725346999</v>
      </c>
      <c r="W721">
        <v>3.774345998641881</v>
      </c>
      <c r="X721">
        <v>0.2753244713504352</v>
      </c>
      <c r="Z721" t="s">
        <v>392</v>
      </c>
      <c r="AA721">
        <v>161</v>
      </c>
      <c r="AB721" t="s">
        <v>5168</v>
      </c>
      <c r="AC721" t="str">
        <f>HYPERLINK("plots/3FT6Y578R04_015_S31P_20251219032831_M5358ACSA301811_RBGEUFRF04/dpll_52094/txpa_53222.png","plot")</f>
        <v>plot</v>
      </c>
    </row>
    <row r="722" spans="1:29" x14ac:dyDescent="0.35">
      <c r="A722" t="s">
        <v>50</v>
      </c>
      <c r="B722">
        <v>52094</v>
      </c>
      <c r="C722" t="s">
        <v>53</v>
      </c>
      <c r="D722">
        <v>53223</v>
      </c>
      <c r="E722" t="s">
        <v>98</v>
      </c>
      <c r="F722">
        <v>11781</v>
      </c>
      <c r="G722">
        <v>0.79788146273023275</v>
      </c>
      <c r="H722">
        <v>0</v>
      </c>
      <c r="I722">
        <v>0</v>
      </c>
      <c r="J722">
        <v>0.69596050254006769</v>
      </c>
      <c r="K722">
        <v>0</v>
      </c>
      <c r="L722">
        <v>0</v>
      </c>
      <c r="M722">
        <v>0.50818988577616631</v>
      </c>
      <c r="N722">
        <v>0</v>
      </c>
      <c r="O722">
        <v>0</v>
      </c>
      <c r="P722">
        <v>0.6366148285685358</v>
      </c>
      <c r="Q722">
        <v>0.9844716278538217</v>
      </c>
      <c r="R722">
        <v>-0.4444288955167206</v>
      </c>
      <c r="S722">
        <v>0.16560528741947311</v>
      </c>
      <c r="T722">
        <v>0.13047244594990709</v>
      </c>
      <c r="U722">
        <v>4.2673648416942536</v>
      </c>
      <c r="V722">
        <v>0.2226610238238293</v>
      </c>
      <c r="W722">
        <v>3.7566707168321871</v>
      </c>
      <c r="X722">
        <v>0.27473186284258538</v>
      </c>
      <c r="Z722" t="s">
        <v>392</v>
      </c>
      <c r="AA722">
        <v>161</v>
      </c>
      <c r="AB722" t="s">
        <v>5169</v>
      </c>
      <c r="AC722" t="str">
        <f>HYPERLINK("plots/3FT6Y578R04_015_S31P_20251219032831_M5358ACSA301811_RBGEUFRF04/dpll_52094/txpa_53223.png","plot")</f>
        <v>plot</v>
      </c>
    </row>
    <row r="723" spans="1:29" x14ac:dyDescent="0.35">
      <c r="A723" t="s">
        <v>50</v>
      </c>
      <c r="B723">
        <v>52094</v>
      </c>
      <c r="C723" t="s">
        <v>53</v>
      </c>
      <c r="D723">
        <v>53224</v>
      </c>
      <c r="E723" t="s">
        <v>99</v>
      </c>
      <c r="F723">
        <v>11781</v>
      </c>
      <c r="G723">
        <v>0.80181647385030641</v>
      </c>
      <c r="H723">
        <v>0</v>
      </c>
      <c r="I723">
        <v>0</v>
      </c>
      <c r="J723">
        <v>0.71078876013692505</v>
      </c>
      <c r="K723">
        <v>0</v>
      </c>
      <c r="L723">
        <v>0</v>
      </c>
      <c r="M723">
        <v>0.5215796814873902</v>
      </c>
      <c r="N723">
        <v>0</v>
      </c>
      <c r="O723">
        <v>0</v>
      </c>
      <c r="P723">
        <v>0.64290965773773912</v>
      </c>
      <c r="Q723">
        <v>0.99597938395487728</v>
      </c>
      <c r="R723">
        <v>-0.49357963634406371</v>
      </c>
      <c r="S723">
        <v>0.16526346384557611</v>
      </c>
      <c r="T723">
        <v>0.1306745875033605</v>
      </c>
      <c r="U723">
        <v>4.2673606822850356</v>
      </c>
      <c r="V723">
        <v>0.2226541824443867</v>
      </c>
      <c r="W723">
        <v>3.756623627111451</v>
      </c>
      <c r="X723">
        <v>0.27657073993635339</v>
      </c>
      <c r="Z723" t="s">
        <v>392</v>
      </c>
      <c r="AA723">
        <v>161</v>
      </c>
      <c r="AB723" t="s">
        <v>5170</v>
      </c>
      <c r="AC723" t="str">
        <f>HYPERLINK("plots/3FT6Y578R04_015_S31P_20251219032831_M5358ACSA301811_RBGEUFRF04/dpll_52094/txpa_53224.png","plot")</f>
        <v>plot</v>
      </c>
    </row>
    <row r="724" spans="1:29" x14ac:dyDescent="0.35">
      <c r="A724" t="s">
        <v>50</v>
      </c>
      <c r="B724">
        <v>52094</v>
      </c>
      <c r="C724" t="s">
        <v>53</v>
      </c>
      <c r="D724">
        <v>53225</v>
      </c>
      <c r="E724" t="s">
        <v>100</v>
      </c>
      <c r="F724">
        <v>11782</v>
      </c>
      <c r="G724">
        <v>0.7972811649167697</v>
      </c>
      <c r="H724">
        <v>0</v>
      </c>
      <c r="I724">
        <v>0</v>
      </c>
      <c r="J724">
        <v>0.70065175331654328</v>
      </c>
      <c r="K724">
        <v>0</v>
      </c>
      <c r="L724">
        <v>0</v>
      </c>
      <c r="M724">
        <v>0.51317477411560053</v>
      </c>
      <c r="N724">
        <v>0</v>
      </c>
      <c r="O724">
        <v>0</v>
      </c>
      <c r="P724">
        <v>0.63565725593104128</v>
      </c>
      <c r="Q724">
        <v>0.98102524036058414</v>
      </c>
      <c r="R724">
        <v>-0.42242037293560092</v>
      </c>
      <c r="S724">
        <v>0.16537675999942511</v>
      </c>
      <c r="T724">
        <v>0.13073342391999659</v>
      </c>
      <c r="U724">
        <v>4.2673938428959426</v>
      </c>
      <c r="V724">
        <v>0.22267382584799689</v>
      </c>
      <c r="W724">
        <v>3.764000697504668</v>
      </c>
      <c r="X724">
        <v>0.27399197815910581</v>
      </c>
      <c r="Z724" t="s">
        <v>392</v>
      </c>
      <c r="AA724">
        <v>161</v>
      </c>
      <c r="AB724" t="s">
        <v>5171</v>
      </c>
      <c r="AC724" t="str">
        <f>HYPERLINK("plots/3FT6Y578R04_015_S31P_20251219032831_M5358ACSA301811_RBGEUFRF04/dpll_52094/txpa_53225.png","plot")</f>
        <v>plot</v>
      </c>
    </row>
    <row r="725" spans="1:29" x14ac:dyDescent="0.35">
      <c r="A725" t="s">
        <v>50</v>
      </c>
      <c r="B725">
        <v>52094</v>
      </c>
      <c r="C725" t="s">
        <v>53</v>
      </c>
      <c r="D725">
        <v>53226</v>
      </c>
      <c r="E725" t="s">
        <v>101</v>
      </c>
      <c r="F725">
        <v>11781</v>
      </c>
      <c r="G725">
        <v>0.79163384260474479</v>
      </c>
      <c r="H725">
        <v>0</v>
      </c>
      <c r="I725">
        <v>0</v>
      </c>
      <c r="J725">
        <v>0.69579270397536486</v>
      </c>
      <c r="K725">
        <v>0</v>
      </c>
      <c r="L725">
        <v>0</v>
      </c>
      <c r="M725">
        <v>0.50903929726330799</v>
      </c>
      <c r="N725">
        <v>0</v>
      </c>
      <c r="O725">
        <v>0</v>
      </c>
      <c r="P725">
        <v>0.62668414075715384</v>
      </c>
      <c r="Q725">
        <v>0.97576379556567971</v>
      </c>
      <c r="R725">
        <v>-0.43415947873731492</v>
      </c>
      <c r="S725">
        <v>0.1676863955564275</v>
      </c>
      <c r="T725">
        <v>0.13149131044105489</v>
      </c>
      <c r="U725">
        <v>4.2674179181733303</v>
      </c>
      <c r="V725">
        <v>0.22266794157249609</v>
      </c>
      <c r="W725">
        <v>3.7298324263644851</v>
      </c>
      <c r="X725">
        <v>0.2744593575038165</v>
      </c>
      <c r="Z725" t="s">
        <v>392</v>
      </c>
      <c r="AA725">
        <v>161</v>
      </c>
      <c r="AB725" t="s">
        <v>5172</v>
      </c>
      <c r="AC725" t="str">
        <f>HYPERLINK("plots/3FT6Y578R04_015_S31P_20251219032831_M5358ACSA301811_RBGEUFRF04/dpll_52094/txpa_53226.png","plot")</f>
        <v>plot</v>
      </c>
    </row>
    <row r="726" spans="1:29" x14ac:dyDescent="0.35">
      <c r="A726" t="s">
        <v>50</v>
      </c>
      <c r="B726">
        <v>52094</v>
      </c>
      <c r="C726" t="s">
        <v>53</v>
      </c>
      <c r="D726">
        <v>53227</v>
      </c>
      <c r="E726" t="s">
        <v>102</v>
      </c>
      <c r="F726">
        <v>11782</v>
      </c>
      <c r="G726">
        <v>0.80076946716505115</v>
      </c>
      <c r="H726">
        <v>0</v>
      </c>
      <c r="I726">
        <v>0</v>
      </c>
      <c r="J726">
        <v>0.70717517132369456</v>
      </c>
      <c r="K726">
        <v>0</v>
      </c>
      <c r="L726">
        <v>0</v>
      </c>
      <c r="M726">
        <v>0.51665455313208564</v>
      </c>
      <c r="N726">
        <v>0</v>
      </c>
      <c r="O726">
        <v>0</v>
      </c>
      <c r="P726">
        <v>0.64123173954379997</v>
      </c>
      <c r="Q726">
        <v>1.067858147615649</v>
      </c>
      <c r="R726">
        <v>1.5577300609662861</v>
      </c>
      <c r="S726">
        <v>0.17785406975583321</v>
      </c>
      <c r="T726">
        <v>0.13780977483252069</v>
      </c>
      <c r="U726">
        <v>4.2673938428959426</v>
      </c>
      <c r="V726">
        <v>0.22267382584799689</v>
      </c>
      <c r="W726">
        <v>6.1147013451875738</v>
      </c>
      <c r="X726">
        <v>0.29694446272327768</v>
      </c>
      <c r="Z726" t="s">
        <v>392</v>
      </c>
      <c r="AA726">
        <v>161</v>
      </c>
      <c r="AB726" t="s">
        <v>5173</v>
      </c>
      <c r="AC726" t="str">
        <f>HYPERLINK("plots/3FT6Y578R04_015_S31P_20251219032831_M5358ACSA301811_RBGEUFRF04/dpll_52094/txpa_53227.png","plot")</f>
        <v>plot</v>
      </c>
    </row>
    <row r="727" spans="1:29" x14ac:dyDescent="0.35">
      <c r="A727" t="s">
        <v>50</v>
      </c>
      <c r="B727">
        <v>52094</v>
      </c>
      <c r="C727" t="s">
        <v>53</v>
      </c>
      <c r="D727">
        <v>53228</v>
      </c>
      <c r="E727" t="s">
        <v>103</v>
      </c>
      <c r="F727">
        <v>11782</v>
      </c>
      <c r="G727">
        <v>0.81670411239595764</v>
      </c>
      <c r="H727">
        <v>0</v>
      </c>
      <c r="I727">
        <v>0</v>
      </c>
      <c r="J727">
        <v>0.7210885813945741</v>
      </c>
      <c r="K727">
        <v>0</v>
      </c>
      <c r="L727">
        <v>0</v>
      </c>
      <c r="M727">
        <v>0.53191828617730819</v>
      </c>
      <c r="N727">
        <v>0</v>
      </c>
      <c r="O727">
        <v>0</v>
      </c>
      <c r="P727">
        <v>0.667005607204469</v>
      </c>
      <c r="Q727">
        <v>1.096734983346016</v>
      </c>
      <c r="R727">
        <v>1.471264186766708</v>
      </c>
      <c r="S727">
        <v>0.17254650000830421</v>
      </c>
      <c r="T727">
        <v>0.13499421927211089</v>
      </c>
      <c r="U727">
        <v>4.2673938428959426</v>
      </c>
      <c r="V727">
        <v>0.22267382584799689</v>
      </c>
      <c r="W727">
        <v>6.1514643019860804</v>
      </c>
      <c r="X727">
        <v>0.29902405409291682</v>
      </c>
      <c r="Z727" t="s">
        <v>392</v>
      </c>
      <c r="AA727">
        <v>161</v>
      </c>
      <c r="AB727" t="s">
        <v>5174</v>
      </c>
      <c r="AC727" t="str">
        <f>HYPERLINK("plots/3FT6Y578R04_015_S31P_20251219032831_M5358ACSA301811_RBGEUFRF04/dpll_52094/txpa_53228.png","plot")</f>
        <v>plot</v>
      </c>
    </row>
    <row r="728" spans="1:29" x14ac:dyDescent="0.35">
      <c r="A728" t="s">
        <v>50</v>
      </c>
      <c r="B728">
        <v>52094</v>
      </c>
      <c r="C728" t="s">
        <v>53</v>
      </c>
      <c r="D728">
        <v>53229</v>
      </c>
      <c r="E728" t="s">
        <v>104</v>
      </c>
      <c r="F728">
        <v>11782</v>
      </c>
      <c r="G728">
        <v>0.80985220732984298</v>
      </c>
      <c r="H728">
        <v>0</v>
      </c>
      <c r="I728">
        <v>0</v>
      </c>
      <c r="J728">
        <v>0.71145055894439346</v>
      </c>
      <c r="K728">
        <v>0</v>
      </c>
      <c r="L728">
        <v>0</v>
      </c>
      <c r="M728">
        <v>0.52222462156650895</v>
      </c>
      <c r="N728">
        <v>0</v>
      </c>
      <c r="O728">
        <v>0</v>
      </c>
      <c r="P728">
        <v>0.65586059771701899</v>
      </c>
      <c r="Q728">
        <v>1.0682498991087661</v>
      </c>
      <c r="R728">
        <v>1.6079340391795129</v>
      </c>
      <c r="S728">
        <v>0.1722999018421226</v>
      </c>
      <c r="T728">
        <v>0.13455730756652251</v>
      </c>
      <c r="U728">
        <v>4.2673938428959426</v>
      </c>
      <c r="V728">
        <v>0.22267382584799689</v>
      </c>
      <c r="W728">
        <v>6.1665770813104741</v>
      </c>
      <c r="X728">
        <v>0.29372185423877423</v>
      </c>
      <c r="Z728" t="s">
        <v>392</v>
      </c>
      <c r="AA728">
        <v>161</v>
      </c>
      <c r="AB728" t="s">
        <v>5175</v>
      </c>
      <c r="AC728" t="str">
        <f>HYPERLINK("plots/3FT6Y578R04_015_S31P_20251219032831_M5358ACSA301811_RBGEUFRF04/dpll_52094/txpa_53229.png","plot")</f>
        <v>plot</v>
      </c>
    </row>
    <row r="729" spans="1:29" x14ac:dyDescent="0.35">
      <c r="A729" t="s">
        <v>50</v>
      </c>
      <c r="B729">
        <v>52094</v>
      </c>
      <c r="C729" t="s">
        <v>53</v>
      </c>
      <c r="D729">
        <v>53230</v>
      </c>
      <c r="E729" t="s">
        <v>105</v>
      </c>
      <c r="F729">
        <v>11781</v>
      </c>
      <c r="G729">
        <v>0.8216377064169843</v>
      </c>
      <c r="H729">
        <v>0</v>
      </c>
      <c r="I729">
        <v>0</v>
      </c>
      <c r="J729">
        <v>0.72206660282513568</v>
      </c>
      <c r="K729">
        <v>0</v>
      </c>
      <c r="L729">
        <v>0</v>
      </c>
      <c r="M729">
        <v>0.53280349693799178</v>
      </c>
      <c r="N729">
        <v>0</v>
      </c>
      <c r="O729">
        <v>0</v>
      </c>
      <c r="P729">
        <v>0.67508852060616253</v>
      </c>
      <c r="Q729">
        <v>1.0952528724315089</v>
      </c>
      <c r="R729">
        <v>1.504688412201818</v>
      </c>
      <c r="S729">
        <v>0.1691927617204414</v>
      </c>
      <c r="T729">
        <v>0.13301933071087091</v>
      </c>
      <c r="U729">
        <v>4.2674026018164843</v>
      </c>
      <c r="V729">
        <v>0.22268124725346999</v>
      </c>
      <c r="W729">
        <v>6.1785733696630167</v>
      </c>
      <c r="X729">
        <v>0.2968367612467116</v>
      </c>
      <c r="Z729" t="s">
        <v>392</v>
      </c>
      <c r="AA729">
        <v>161</v>
      </c>
      <c r="AB729" t="s">
        <v>5176</v>
      </c>
      <c r="AC729" t="str">
        <f>HYPERLINK("plots/3FT6Y578R04_015_S31P_20251219032831_M5358ACSA301811_RBGEUFRF04/dpll_52094/txpa_53230.png","plot")</f>
        <v>plot</v>
      </c>
    </row>
    <row r="730" spans="1:29" x14ac:dyDescent="0.35">
      <c r="A730" t="s">
        <v>50</v>
      </c>
      <c r="B730">
        <v>52094</v>
      </c>
      <c r="C730" t="s">
        <v>53</v>
      </c>
      <c r="D730">
        <v>53231</v>
      </c>
      <c r="E730" t="s">
        <v>106</v>
      </c>
      <c r="F730">
        <v>11781</v>
      </c>
      <c r="G730">
        <v>0.82369714926961057</v>
      </c>
      <c r="H730">
        <v>0</v>
      </c>
      <c r="I730">
        <v>0</v>
      </c>
      <c r="J730">
        <v>0.72146169789857961</v>
      </c>
      <c r="K730">
        <v>0</v>
      </c>
      <c r="L730">
        <v>0</v>
      </c>
      <c r="M730">
        <v>0.5310796229070911</v>
      </c>
      <c r="N730">
        <v>0</v>
      </c>
      <c r="O730">
        <v>0</v>
      </c>
      <c r="P730">
        <v>0.67847699371488313</v>
      </c>
      <c r="Q730">
        <v>1.0956007028853889</v>
      </c>
      <c r="R730">
        <v>1.484171131410136</v>
      </c>
      <c r="S730">
        <v>0.16792545555119251</v>
      </c>
      <c r="T730">
        <v>0.1320642134780744</v>
      </c>
      <c r="U730">
        <v>4.2673648416942536</v>
      </c>
      <c r="V730">
        <v>0.2226610238238293</v>
      </c>
      <c r="W730">
        <v>6.1594990514387584</v>
      </c>
      <c r="X730">
        <v>0.29616173180019029</v>
      </c>
      <c r="Z730" t="s">
        <v>392</v>
      </c>
      <c r="AA730">
        <v>161</v>
      </c>
      <c r="AB730" t="s">
        <v>5177</v>
      </c>
      <c r="AC730" t="str">
        <f>HYPERLINK("plots/3FT6Y578R04_015_S31P_20251219032831_M5358ACSA301811_RBGEUFRF04/dpll_52094/txpa_53231.png","plot")</f>
        <v>plot</v>
      </c>
    </row>
    <row r="731" spans="1:29" x14ac:dyDescent="0.35">
      <c r="A731" t="s">
        <v>50</v>
      </c>
      <c r="B731">
        <v>52094</v>
      </c>
      <c r="C731" t="s">
        <v>53</v>
      </c>
      <c r="D731">
        <v>53232</v>
      </c>
      <c r="E731" t="s">
        <v>107</v>
      </c>
      <c r="F731">
        <v>11781</v>
      </c>
      <c r="G731">
        <v>0.8264040445971369</v>
      </c>
      <c r="H731">
        <v>0</v>
      </c>
      <c r="I731">
        <v>0</v>
      </c>
      <c r="J731">
        <v>0.733182734742998</v>
      </c>
      <c r="K731">
        <v>0</v>
      </c>
      <c r="L731">
        <v>0</v>
      </c>
      <c r="M731">
        <v>0.54221059736733701</v>
      </c>
      <c r="N731">
        <v>0</v>
      </c>
      <c r="O731">
        <v>0</v>
      </c>
      <c r="P731">
        <v>0.68294364492650661</v>
      </c>
      <c r="Q731">
        <v>1.1070964178441101</v>
      </c>
      <c r="R731">
        <v>1.438262738112023</v>
      </c>
      <c r="S731">
        <v>0.1679475479876712</v>
      </c>
      <c r="T731">
        <v>0.13254794165408729</v>
      </c>
      <c r="U731">
        <v>4.2673606822850356</v>
      </c>
      <c r="V731">
        <v>0.2226541824443867</v>
      </c>
      <c r="W731">
        <v>6.1626424631185817</v>
      </c>
      <c r="X731">
        <v>0.29827981774018952</v>
      </c>
      <c r="Z731" t="s">
        <v>392</v>
      </c>
      <c r="AA731">
        <v>161</v>
      </c>
      <c r="AB731" t="s">
        <v>5178</v>
      </c>
      <c r="AC731" t="str">
        <f>HYPERLINK("plots/3FT6Y578R04_015_S31P_20251219032831_M5358ACSA301811_RBGEUFRF04/dpll_52094/txpa_53232.png","plot")</f>
        <v>plot</v>
      </c>
    </row>
    <row r="732" spans="1:29" x14ac:dyDescent="0.35">
      <c r="A732" t="s">
        <v>50</v>
      </c>
      <c r="B732">
        <v>52094</v>
      </c>
      <c r="C732" t="s">
        <v>53</v>
      </c>
      <c r="D732">
        <v>53233</v>
      </c>
      <c r="E732" t="s">
        <v>108</v>
      </c>
      <c r="F732">
        <v>11782</v>
      </c>
      <c r="G732">
        <v>0.8226345054663774</v>
      </c>
      <c r="H732">
        <v>0</v>
      </c>
      <c r="I732">
        <v>0</v>
      </c>
      <c r="J732">
        <v>0.72329088201636726</v>
      </c>
      <c r="K732">
        <v>0</v>
      </c>
      <c r="L732">
        <v>0</v>
      </c>
      <c r="M732">
        <v>0.53382595834008817</v>
      </c>
      <c r="N732">
        <v>0</v>
      </c>
      <c r="O732">
        <v>0</v>
      </c>
      <c r="P732">
        <v>0.67672752958391136</v>
      </c>
      <c r="Q732">
        <v>1.092850743909547</v>
      </c>
      <c r="R732">
        <v>1.506131563115795</v>
      </c>
      <c r="S732">
        <v>0.16818568600000189</v>
      </c>
      <c r="T732">
        <v>0.13269744336499309</v>
      </c>
      <c r="U732">
        <v>4.2673938428959426</v>
      </c>
      <c r="V732">
        <v>0.22267382584799689</v>
      </c>
      <c r="W732">
        <v>6.1697560988796472</v>
      </c>
      <c r="X732">
        <v>0.29581698142993151</v>
      </c>
      <c r="Z732" t="s">
        <v>392</v>
      </c>
      <c r="AA732">
        <v>161</v>
      </c>
      <c r="AB732" t="s">
        <v>5179</v>
      </c>
      <c r="AC732" t="str">
        <f>HYPERLINK("plots/3FT6Y578R04_015_S31P_20251219032831_M5358ACSA301811_RBGEUFRF04/dpll_52094/txpa_53233.png","plot")</f>
        <v>plot</v>
      </c>
    </row>
    <row r="733" spans="1:29" x14ac:dyDescent="0.35">
      <c r="A733" t="s">
        <v>50</v>
      </c>
      <c r="B733">
        <v>52094</v>
      </c>
      <c r="C733" t="s">
        <v>53</v>
      </c>
      <c r="D733">
        <v>53234</v>
      </c>
      <c r="E733" t="s">
        <v>109</v>
      </c>
      <c r="F733">
        <v>11781</v>
      </c>
      <c r="G733">
        <v>0.81796511249521853</v>
      </c>
      <c r="H733">
        <v>0</v>
      </c>
      <c r="I733">
        <v>0</v>
      </c>
      <c r="J733">
        <v>0.71968722494205328</v>
      </c>
      <c r="K733">
        <v>0</v>
      </c>
      <c r="L733">
        <v>0</v>
      </c>
      <c r="M733">
        <v>0.53053567945019342</v>
      </c>
      <c r="N733">
        <v>0</v>
      </c>
      <c r="O733">
        <v>0</v>
      </c>
      <c r="P733">
        <v>0.66906692525931555</v>
      </c>
      <c r="Q733">
        <v>1.087131389357211</v>
      </c>
      <c r="R733">
        <v>1.4981371079948611</v>
      </c>
      <c r="S733">
        <v>0.17023803731093359</v>
      </c>
      <c r="T733">
        <v>0.13319425296458859</v>
      </c>
      <c r="U733">
        <v>4.2674179181733303</v>
      </c>
      <c r="V733">
        <v>0.22266794157249609</v>
      </c>
      <c r="W733">
        <v>6.1373810783464897</v>
      </c>
      <c r="X733">
        <v>0.29594087203619318</v>
      </c>
      <c r="Z733" t="s">
        <v>392</v>
      </c>
      <c r="AA733">
        <v>161</v>
      </c>
      <c r="AB733" t="s">
        <v>5180</v>
      </c>
      <c r="AC733" t="str">
        <f>HYPERLINK("plots/3FT6Y578R04_015_S31P_20251219032831_M5358ACSA301811_RBGEUFRF04/dpll_52094/txpa_53234.png","plot")</f>
        <v>plot</v>
      </c>
    </row>
    <row r="734" spans="1:29" x14ac:dyDescent="0.35">
      <c r="A734" t="s">
        <v>50</v>
      </c>
      <c r="B734">
        <v>52094</v>
      </c>
      <c r="C734" t="s">
        <v>53</v>
      </c>
      <c r="D734">
        <v>53235</v>
      </c>
      <c r="E734" t="s">
        <v>110</v>
      </c>
      <c r="F734">
        <v>11782</v>
      </c>
      <c r="G734">
        <v>0.81019929994090534</v>
      </c>
      <c r="H734">
        <v>0</v>
      </c>
      <c r="I734">
        <v>0</v>
      </c>
      <c r="J734">
        <v>0.71426890098589013</v>
      </c>
      <c r="K734">
        <v>0</v>
      </c>
      <c r="L734">
        <v>0</v>
      </c>
      <c r="M734">
        <v>0.52291394602403218</v>
      </c>
      <c r="N734">
        <v>0</v>
      </c>
      <c r="O734">
        <v>0</v>
      </c>
      <c r="P734">
        <v>0.65642290562473304</v>
      </c>
      <c r="Q734">
        <v>1.1246195637999301</v>
      </c>
      <c r="R734">
        <v>2.3764443688974062</v>
      </c>
      <c r="S734">
        <v>0.18116596499393259</v>
      </c>
      <c r="T734">
        <v>0.1400734450056581</v>
      </c>
      <c r="U734">
        <v>4.2673938428959426</v>
      </c>
      <c r="V734">
        <v>0.22267382584799689</v>
      </c>
      <c r="W734">
        <v>7.1756389710575474</v>
      </c>
      <c r="X734">
        <v>0.30908856736003237</v>
      </c>
      <c r="Z734" t="s">
        <v>392</v>
      </c>
      <c r="AA734">
        <v>161</v>
      </c>
      <c r="AB734" t="s">
        <v>5181</v>
      </c>
      <c r="AC734" t="str">
        <f>HYPERLINK("plots/3FT6Y578R04_015_S31P_20251219032831_M5358ACSA301811_RBGEUFRF04/dpll_52094/txpa_53235.png","plot")</f>
        <v>plot</v>
      </c>
    </row>
    <row r="735" spans="1:29" x14ac:dyDescent="0.35">
      <c r="A735" t="s">
        <v>50</v>
      </c>
      <c r="B735">
        <v>52094</v>
      </c>
      <c r="C735" t="s">
        <v>53</v>
      </c>
      <c r="D735">
        <v>53236</v>
      </c>
      <c r="E735" t="s">
        <v>111</v>
      </c>
      <c r="F735">
        <v>11782</v>
      </c>
      <c r="G735">
        <v>0.82546895981668433</v>
      </c>
      <c r="H735">
        <v>0</v>
      </c>
      <c r="I735">
        <v>0</v>
      </c>
      <c r="J735">
        <v>0.72798286492427822</v>
      </c>
      <c r="K735">
        <v>0</v>
      </c>
      <c r="L735">
        <v>0</v>
      </c>
      <c r="M735">
        <v>0.538198491073546</v>
      </c>
      <c r="N735">
        <v>0</v>
      </c>
      <c r="O735">
        <v>0</v>
      </c>
      <c r="P735">
        <v>0.68139900362083883</v>
      </c>
      <c r="Q735">
        <v>1.153633259128761</v>
      </c>
      <c r="R735">
        <v>2.2891068786458968</v>
      </c>
      <c r="S735">
        <v>0.17564723828176149</v>
      </c>
      <c r="T735">
        <v>0.1371491270776948</v>
      </c>
      <c r="U735">
        <v>4.2673938428959426</v>
      </c>
      <c r="V735">
        <v>0.22267382584799689</v>
      </c>
      <c r="W735">
        <v>7.2121143456119512</v>
      </c>
      <c r="X735">
        <v>0.31119756640242691</v>
      </c>
      <c r="Z735" t="s">
        <v>392</v>
      </c>
      <c r="AA735">
        <v>161</v>
      </c>
      <c r="AB735" t="s">
        <v>5182</v>
      </c>
      <c r="AC735" t="str">
        <f>HYPERLINK("plots/3FT6Y578R04_015_S31P_20251219032831_M5358ACSA301811_RBGEUFRF04/dpll_52094/txpa_53236.png","plot")</f>
        <v>plot</v>
      </c>
    </row>
    <row r="736" spans="1:29" x14ac:dyDescent="0.35">
      <c r="A736" t="s">
        <v>50</v>
      </c>
      <c r="B736">
        <v>52094</v>
      </c>
      <c r="C736" t="s">
        <v>53</v>
      </c>
      <c r="D736">
        <v>53237</v>
      </c>
      <c r="E736" t="s">
        <v>112</v>
      </c>
      <c r="F736">
        <v>11782</v>
      </c>
      <c r="G736">
        <v>0.81921606438066863</v>
      </c>
      <c r="H736">
        <v>0</v>
      </c>
      <c r="I736">
        <v>0</v>
      </c>
      <c r="J736">
        <v>0.71877479834380587</v>
      </c>
      <c r="K736">
        <v>0</v>
      </c>
      <c r="L736">
        <v>0</v>
      </c>
      <c r="M736">
        <v>0.5287790812769535</v>
      </c>
      <c r="N736">
        <v>0</v>
      </c>
      <c r="O736">
        <v>0</v>
      </c>
      <c r="P736">
        <v>0.67111496013935179</v>
      </c>
      <c r="Q736">
        <v>1.125553937155128</v>
      </c>
      <c r="R736">
        <v>2.4242448279611581</v>
      </c>
      <c r="S736">
        <v>0.17544486060505579</v>
      </c>
      <c r="T736">
        <v>0.1367036064393739</v>
      </c>
      <c r="U736">
        <v>4.2673938428959426</v>
      </c>
      <c r="V736">
        <v>0.22267382584799689</v>
      </c>
      <c r="W736">
        <v>7.2274267692242393</v>
      </c>
      <c r="X736">
        <v>0.30594053544846778</v>
      </c>
      <c r="Z736" t="s">
        <v>392</v>
      </c>
      <c r="AA736">
        <v>161</v>
      </c>
      <c r="AB736" t="s">
        <v>5183</v>
      </c>
      <c r="AC736" t="str">
        <f>HYPERLINK("plots/3FT6Y578R04_015_S31P_20251219032831_M5358ACSA301811_RBGEUFRF04/dpll_52094/txpa_53237.png","plot")</f>
        <v>plot</v>
      </c>
    </row>
    <row r="737" spans="1:29" x14ac:dyDescent="0.35">
      <c r="A737" t="s">
        <v>50</v>
      </c>
      <c r="B737">
        <v>52094</v>
      </c>
      <c r="C737" t="s">
        <v>53</v>
      </c>
      <c r="D737">
        <v>53238</v>
      </c>
      <c r="E737" t="s">
        <v>113</v>
      </c>
      <c r="F737">
        <v>11781</v>
      </c>
      <c r="G737">
        <v>0.83040891808264483</v>
      </c>
      <c r="H737">
        <v>0</v>
      </c>
      <c r="I737">
        <v>0</v>
      </c>
      <c r="J737">
        <v>0.72953854330779699</v>
      </c>
      <c r="K737">
        <v>0</v>
      </c>
      <c r="L737">
        <v>0</v>
      </c>
      <c r="M737">
        <v>0.53954532806675248</v>
      </c>
      <c r="N737">
        <v>0</v>
      </c>
      <c r="O737">
        <v>0</v>
      </c>
      <c r="P737">
        <v>0.68957897123118872</v>
      </c>
      <c r="Q737">
        <v>1.152489405691167</v>
      </c>
      <c r="R737">
        <v>2.3207458462111279</v>
      </c>
      <c r="S737">
        <v>0.17218119456188161</v>
      </c>
      <c r="T737">
        <v>0.13515917247505241</v>
      </c>
      <c r="U737">
        <v>4.2674026018164843</v>
      </c>
      <c r="V737">
        <v>0.22268124725346999</v>
      </c>
      <c r="W737">
        <v>7.2388821346235463</v>
      </c>
      <c r="X737">
        <v>0.30904988219331481</v>
      </c>
      <c r="Z737" t="s">
        <v>392</v>
      </c>
      <c r="AA737">
        <v>161</v>
      </c>
      <c r="AB737" t="s">
        <v>5184</v>
      </c>
      <c r="AC737" t="str">
        <f>HYPERLINK("plots/3FT6Y578R04_015_S31P_20251219032831_M5358ACSA301811_RBGEUFRF04/dpll_52094/txpa_53238.png","plot")</f>
        <v>plot</v>
      </c>
    </row>
    <row r="738" spans="1:29" x14ac:dyDescent="0.35">
      <c r="A738" t="s">
        <v>50</v>
      </c>
      <c r="B738">
        <v>52094</v>
      </c>
      <c r="C738" t="s">
        <v>53</v>
      </c>
      <c r="D738">
        <v>53239</v>
      </c>
      <c r="E738" t="s">
        <v>114</v>
      </c>
      <c r="F738">
        <v>11781</v>
      </c>
      <c r="G738">
        <v>0.83213702370949449</v>
      </c>
      <c r="H738">
        <v>0</v>
      </c>
      <c r="I738">
        <v>0</v>
      </c>
      <c r="J738">
        <v>0.72852738720173704</v>
      </c>
      <c r="K738">
        <v>0</v>
      </c>
      <c r="L738">
        <v>0</v>
      </c>
      <c r="M738">
        <v>0.53753697363129527</v>
      </c>
      <c r="N738">
        <v>0</v>
      </c>
      <c r="O738">
        <v>0</v>
      </c>
      <c r="P738">
        <v>0.69245202622809576</v>
      </c>
      <c r="Q738">
        <v>1.152750132963936</v>
      </c>
      <c r="R738">
        <v>2.2998236796616842</v>
      </c>
      <c r="S738">
        <v>0.17104978779350849</v>
      </c>
      <c r="T738">
        <v>0.13436381864197561</v>
      </c>
      <c r="U738">
        <v>4.2673648416942536</v>
      </c>
      <c r="V738">
        <v>0.2226610238238293</v>
      </c>
      <c r="W738">
        <v>7.2190290683303626</v>
      </c>
      <c r="X738">
        <v>0.30844983158496209</v>
      </c>
      <c r="Z738" t="s">
        <v>392</v>
      </c>
      <c r="AA738">
        <v>161</v>
      </c>
      <c r="AB738" t="s">
        <v>5185</v>
      </c>
      <c r="AC738" t="str">
        <f>HYPERLINK("plots/3FT6Y578R04_015_S31P_20251219032831_M5358ACSA301811_RBGEUFRF04/dpll_52094/txpa_53239.png","plot")</f>
        <v>plot</v>
      </c>
    </row>
    <row r="739" spans="1:29" x14ac:dyDescent="0.35">
      <c r="A739" t="s">
        <v>50</v>
      </c>
      <c r="B739">
        <v>52094</v>
      </c>
      <c r="C739" t="s">
        <v>53</v>
      </c>
      <c r="D739">
        <v>53240</v>
      </c>
      <c r="E739" t="s">
        <v>115</v>
      </c>
      <c r="F739">
        <v>11781</v>
      </c>
      <c r="G739">
        <v>0.83485186251389309</v>
      </c>
      <c r="H739">
        <v>0</v>
      </c>
      <c r="I739">
        <v>0</v>
      </c>
      <c r="J739">
        <v>0.73956206039823991</v>
      </c>
      <c r="K739">
        <v>0</v>
      </c>
      <c r="L739">
        <v>0</v>
      </c>
      <c r="M739">
        <v>0.54818503162001464</v>
      </c>
      <c r="N739">
        <v>0</v>
      </c>
      <c r="O739">
        <v>0</v>
      </c>
      <c r="P739">
        <v>0.69697763234291621</v>
      </c>
      <c r="Q739">
        <v>1.1641916287366709</v>
      </c>
      <c r="R739">
        <v>2.2547499136157789</v>
      </c>
      <c r="S739">
        <v>0.17090895553245081</v>
      </c>
      <c r="T739">
        <v>0.13469494316902539</v>
      </c>
      <c r="U739">
        <v>4.2673606822850356</v>
      </c>
      <c r="V739">
        <v>0.2226541824443867</v>
      </c>
      <c r="W739">
        <v>7.2227754967320248</v>
      </c>
      <c r="X739">
        <v>0.31048877884086751</v>
      </c>
      <c r="Z739" t="s">
        <v>392</v>
      </c>
      <c r="AA739">
        <v>161</v>
      </c>
      <c r="AB739" t="s">
        <v>5186</v>
      </c>
      <c r="AC739" t="str">
        <f>HYPERLINK("plots/3FT6Y578R04_015_S31P_20251219032831_M5358ACSA301811_RBGEUFRF04/dpll_52094/txpa_53240.png","plot")</f>
        <v>plot</v>
      </c>
    </row>
    <row r="740" spans="1:29" x14ac:dyDescent="0.35">
      <c r="A740" t="s">
        <v>50</v>
      </c>
      <c r="B740">
        <v>52094</v>
      </c>
      <c r="C740" t="s">
        <v>53</v>
      </c>
      <c r="D740">
        <v>53241</v>
      </c>
      <c r="E740" t="s">
        <v>116</v>
      </c>
      <c r="F740">
        <v>11782</v>
      </c>
      <c r="G740">
        <v>0.83135269098742459</v>
      </c>
      <c r="H740">
        <v>0</v>
      </c>
      <c r="I740">
        <v>0</v>
      </c>
      <c r="J740">
        <v>0.73013588685447306</v>
      </c>
      <c r="K740">
        <v>0</v>
      </c>
      <c r="L740">
        <v>0</v>
      </c>
      <c r="M740">
        <v>0.54002584729130143</v>
      </c>
      <c r="N740">
        <v>0</v>
      </c>
      <c r="O740">
        <v>0</v>
      </c>
      <c r="P740">
        <v>0.69114729681203224</v>
      </c>
      <c r="Q740">
        <v>1.1502433800026459</v>
      </c>
      <c r="R740">
        <v>2.321200231453699</v>
      </c>
      <c r="S740">
        <v>0.17121069047175161</v>
      </c>
      <c r="T740">
        <v>0.1348626945744992</v>
      </c>
      <c r="U740">
        <v>4.2673938428959426</v>
      </c>
      <c r="V740">
        <v>0.22267382584799689</v>
      </c>
      <c r="W740">
        <v>7.2297417491088094</v>
      </c>
      <c r="X740">
        <v>0.30808716548124432</v>
      </c>
      <c r="Z740" t="s">
        <v>392</v>
      </c>
      <c r="AA740">
        <v>161</v>
      </c>
      <c r="AB740" t="s">
        <v>5187</v>
      </c>
      <c r="AC740" t="str">
        <f>HYPERLINK("plots/3FT6Y578R04_015_S31P_20251219032831_M5358ACSA301811_RBGEUFRF04/dpll_52094/txpa_53241.png","plot")</f>
        <v>plot</v>
      </c>
    </row>
    <row r="741" spans="1:29" x14ac:dyDescent="0.35">
      <c r="A741" t="s">
        <v>50</v>
      </c>
      <c r="B741">
        <v>52094</v>
      </c>
      <c r="C741" t="s">
        <v>53</v>
      </c>
      <c r="D741">
        <v>53242</v>
      </c>
      <c r="E741" t="s">
        <v>117</v>
      </c>
      <c r="F741">
        <v>11781</v>
      </c>
      <c r="G741">
        <v>0.82676706643031639</v>
      </c>
      <c r="H741">
        <v>0</v>
      </c>
      <c r="I741">
        <v>0</v>
      </c>
      <c r="J741">
        <v>0.726435354626769</v>
      </c>
      <c r="K741">
        <v>0</v>
      </c>
      <c r="L741">
        <v>0</v>
      </c>
      <c r="M741">
        <v>0.53670501808619475</v>
      </c>
      <c r="N741">
        <v>0</v>
      </c>
      <c r="O741">
        <v>0</v>
      </c>
      <c r="P741">
        <v>0.68354378213379119</v>
      </c>
      <c r="Q741">
        <v>1.1437816998313961</v>
      </c>
      <c r="R741">
        <v>2.317182762489034</v>
      </c>
      <c r="S741">
        <v>0.17328303798798961</v>
      </c>
      <c r="T741">
        <v>0.13528576667152351</v>
      </c>
      <c r="U741">
        <v>4.2674179181733303</v>
      </c>
      <c r="V741">
        <v>0.22266794157249609</v>
      </c>
      <c r="W741">
        <v>7.198177282828282</v>
      </c>
      <c r="X741">
        <v>0.3080474864696528</v>
      </c>
      <c r="Z741" t="s">
        <v>392</v>
      </c>
      <c r="AA741">
        <v>161</v>
      </c>
      <c r="AB741" t="s">
        <v>5188</v>
      </c>
      <c r="AC741" t="str">
        <f>HYPERLINK("plots/3FT6Y578R04_015_S31P_20251219032831_M5358ACSA301811_RBGEUFRF04/dpll_52094/txpa_53242.png","plot")</f>
        <v>plot</v>
      </c>
    </row>
    <row r="742" spans="1:29" x14ac:dyDescent="0.35">
      <c r="A742" t="s">
        <v>50</v>
      </c>
      <c r="B742">
        <v>52094</v>
      </c>
      <c r="C742" t="s">
        <v>53</v>
      </c>
      <c r="D742">
        <v>53243</v>
      </c>
      <c r="E742" t="s">
        <v>118</v>
      </c>
      <c r="F742">
        <v>11782</v>
      </c>
      <c r="G742">
        <v>0.81818280841050317</v>
      </c>
      <c r="H742">
        <v>0</v>
      </c>
      <c r="I742">
        <v>0</v>
      </c>
      <c r="J742">
        <v>0.72073323969046132</v>
      </c>
      <c r="K742">
        <v>0</v>
      </c>
      <c r="L742">
        <v>0</v>
      </c>
      <c r="M742">
        <v>0.52861420699819617</v>
      </c>
      <c r="N742">
        <v>0</v>
      </c>
      <c r="O742">
        <v>0</v>
      </c>
      <c r="P742">
        <v>0.66942310797849813</v>
      </c>
      <c r="Q742">
        <v>1.1851132830297431</v>
      </c>
      <c r="R742">
        <v>3.1483041072900741</v>
      </c>
      <c r="S742">
        <v>0.18543704661045199</v>
      </c>
      <c r="T742">
        <v>0.14310737574306789</v>
      </c>
      <c r="U742">
        <v>4.2673938428959426</v>
      </c>
      <c r="V742">
        <v>0.22267382584799689</v>
      </c>
      <c r="W742">
        <v>8.2056492344253957</v>
      </c>
      <c r="X742">
        <v>0.32253636483536391</v>
      </c>
      <c r="Z742" t="s">
        <v>392</v>
      </c>
      <c r="AA742">
        <v>161</v>
      </c>
      <c r="AB742" t="s">
        <v>5189</v>
      </c>
      <c r="AC742" t="str">
        <f>HYPERLINK("plots/3FT6Y578R04_015_S31P_20251219032831_M5358ACSA301811_RBGEUFRF04/dpll_52094/txpa_53243.png","plot")</f>
        <v>plot</v>
      </c>
    </row>
    <row r="743" spans="1:29" x14ac:dyDescent="0.35">
      <c r="A743" t="s">
        <v>50</v>
      </c>
      <c r="B743">
        <v>52094</v>
      </c>
      <c r="C743" t="s">
        <v>53</v>
      </c>
      <c r="D743">
        <v>53244</v>
      </c>
      <c r="E743" t="s">
        <v>119</v>
      </c>
      <c r="F743">
        <v>11782</v>
      </c>
      <c r="G743">
        <v>0.83249414460077242</v>
      </c>
      <c r="H743">
        <v>0</v>
      </c>
      <c r="I743">
        <v>0</v>
      </c>
      <c r="J743">
        <v>0.73372057541987035</v>
      </c>
      <c r="K743">
        <v>0</v>
      </c>
      <c r="L743">
        <v>0</v>
      </c>
      <c r="M743">
        <v>0.54344037356203723</v>
      </c>
      <c r="N743">
        <v>0</v>
      </c>
      <c r="O743">
        <v>0</v>
      </c>
      <c r="P743">
        <v>0.69304650079457175</v>
      </c>
      <c r="Q743">
        <v>1.21373340379363</v>
      </c>
      <c r="R743">
        <v>3.0623974285212312</v>
      </c>
      <c r="S743">
        <v>0.1798577479026775</v>
      </c>
      <c r="T743">
        <v>0.14024465610464679</v>
      </c>
      <c r="U743">
        <v>4.2673938428959426</v>
      </c>
      <c r="V743">
        <v>0.22267382584799689</v>
      </c>
      <c r="W743">
        <v>8.2418758827873031</v>
      </c>
      <c r="X743">
        <v>0.32464692074422608</v>
      </c>
      <c r="Z743" t="s">
        <v>392</v>
      </c>
      <c r="AA743">
        <v>161</v>
      </c>
      <c r="AB743" t="s">
        <v>5190</v>
      </c>
      <c r="AC743" t="str">
        <f>HYPERLINK("plots/3FT6Y578R04_015_S31P_20251219032831_M5358ACSA301811_RBGEUFRF04/dpll_52094/txpa_53244.png","plot")</f>
        <v>plot</v>
      </c>
    </row>
    <row r="744" spans="1:29" x14ac:dyDescent="0.35">
      <c r="A744" t="s">
        <v>50</v>
      </c>
      <c r="B744">
        <v>52094</v>
      </c>
      <c r="C744" t="s">
        <v>53</v>
      </c>
      <c r="D744">
        <v>53245</v>
      </c>
      <c r="E744" t="s">
        <v>120</v>
      </c>
      <c r="F744">
        <v>11782</v>
      </c>
      <c r="G744">
        <v>0.82705320839927488</v>
      </c>
      <c r="H744">
        <v>0</v>
      </c>
      <c r="I744">
        <v>0</v>
      </c>
      <c r="J744">
        <v>0.72508919531891092</v>
      </c>
      <c r="K744">
        <v>0</v>
      </c>
      <c r="L744">
        <v>0</v>
      </c>
      <c r="M744">
        <v>0.53441061222701891</v>
      </c>
      <c r="N744">
        <v>0</v>
      </c>
      <c r="O744">
        <v>0</v>
      </c>
      <c r="P744">
        <v>0.68401700952353439</v>
      </c>
      <c r="Q744">
        <v>1.186356203547259</v>
      </c>
      <c r="R744">
        <v>3.1948172409238689</v>
      </c>
      <c r="S744">
        <v>0.1795412510580992</v>
      </c>
      <c r="T744">
        <v>0.1396519072112011</v>
      </c>
      <c r="U744">
        <v>4.2673938428959426</v>
      </c>
      <c r="V744">
        <v>0.22267382584799689</v>
      </c>
      <c r="W744">
        <v>8.2574663994228494</v>
      </c>
      <c r="X744">
        <v>0.31941170408330022</v>
      </c>
      <c r="Z744" t="s">
        <v>392</v>
      </c>
      <c r="AA744">
        <v>161</v>
      </c>
      <c r="AB744" t="s">
        <v>5191</v>
      </c>
      <c r="AC744" t="str">
        <f>HYPERLINK("plots/3FT6Y578R04_015_S31P_20251219032831_M5358ACSA301811_RBGEUFRF04/dpll_52094/txpa_53245.png","plot")</f>
        <v>plot</v>
      </c>
    </row>
    <row r="745" spans="1:29" x14ac:dyDescent="0.35">
      <c r="A745" t="s">
        <v>50</v>
      </c>
      <c r="B745">
        <v>52094</v>
      </c>
      <c r="C745" t="s">
        <v>53</v>
      </c>
      <c r="D745">
        <v>53246</v>
      </c>
      <c r="E745" t="s">
        <v>121</v>
      </c>
      <c r="F745">
        <v>11781</v>
      </c>
      <c r="G745">
        <v>0.83754122024288158</v>
      </c>
      <c r="H745">
        <v>0</v>
      </c>
      <c r="I745">
        <v>0</v>
      </c>
      <c r="J745">
        <v>0.73542853100458982</v>
      </c>
      <c r="K745">
        <v>0</v>
      </c>
      <c r="L745">
        <v>0</v>
      </c>
      <c r="M745">
        <v>0.54488128225991928</v>
      </c>
      <c r="N745">
        <v>0</v>
      </c>
      <c r="O745">
        <v>0</v>
      </c>
      <c r="P745">
        <v>0.70147529560593502</v>
      </c>
      <c r="Q745">
        <v>1.213241330755694</v>
      </c>
      <c r="R745">
        <v>3.0910047002241221</v>
      </c>
      <c r="S745">
        <v>0.17623670206832601</v>
      </c>
      <c r="T745">
        <v>0.13818026697028021</v>
      </c>
      <c r="U745">
        <v>4.2674026018164843</v>
      </c>
      <c r="V745">
        <v>0.22268124725346999</v>
      </c>
      <c r="W745">
        <v>8.2683939117222653</v>
      </c>
      <c r="X745">
        <v>0.32257050306585661</v>
      </c>
      <c r="Z745" t="s">
        <v>392</v>
      </c>
      <c r="AA745">
        <v>161</v>
      </c>
      <c r="AB745" t="s">
        <v>5192</v>
      </c>
      <c r="AC745" t="str">
        <f>HYPERLINK("plots/3FT6Y578R04_015_S31P_20251219032831_M5358ACSA301811_RBGEUFRF04/dpll_52094/txpa_53246.png","plot")</f>
        <v>plot</v>
      </c>
    </row>
    <row r="746" spans="1:29" x14ac:dyDescent="0.35">
      <c r="A746" t="s">
        <v>50</v>
      </c>
      <c r="B746">
        <v>52094</v>
      </c>
      <c r="C746" t="s">
        <v>53</v>
      </c>
      <c r="D746">
        <v>53247</v>
      </c>
      <c r="E746" t="s">
        <v>122</v>
      </c>
      <c r="F746">
        <v>11781</v>
      </c>
      <c r="G746">
        <v>0.83931388866256951</v>
      </c>
      <c r="H746">
        <v>0</v>
      </c>
      <c r="I746">
        <v>0</v>
      </c>
      <c r="J746">
        <v>0.73475452079621051</v>
      </c>
      <c r="K746">
        <v>0</v>
      </c>
      <c r="L746">
        <v>0</v>
      </c>
      <c r="M746">
        <v>0.54321754555963109</v>
      </c>
      <c r="N746">
        <v>0</v>
      </c>
      <c r="O746">
        <v>0</v>
      </c>
      <c r="P746">
        <v>0.70444780370188409</v>
      </c>
      <c r="Q746">
        <v>1.2139765959715849</v>
      </c>
      <c r="R746">
        <v>3.0674034031265172</v>
      </c>
      <c r="S746">
        <v>0.17507686801591341</v>
      </c>
      <c r="T746">
        <v>0.1374263219678093</v>
      </c>
      <c r="U746">
        <v>4.2673648416942536</v>
      </c>
      <c r="V746">
        <v>0.2226610238238293</v>
      </c>
      <c r="W746">
        <v>8.2478844474153288</v>
      </c>
      <c r="X746">
        <v>0.32205504449345701</v>
      </c>
      <c r="Z746" t="s">
        <v>392</v>
      </c>
      <c r="AA746">
        <v>161</v>
      </c>
      <c r="AB746" t="s">
        <v>5193</v>
      </c>
      <c r="AC746" t="str">
        <f>HYPERLINK("plots/3FT6Y578R04_015_S31P_20251219032831_M5358ACSA301811_RBGEUFRF04/dpll_52094/txpa_53247.png","plot")</f>
        <v>plot</v>
      </c>
    </row>
    <row r="747" spans="1:29" x14ac:dyDescent="0.35">
      <c r="A747" t="s">
        <v>50</v>
      </c>
      <c r="B747">
        <v>52094</v>
      </c>
      <c r="C747" t="s">
        <v>53</v>
      </c>
      <c r="D747">
        <v>53248</v>
      </c>
      <c r="E747" t="s">
        <v>123</v>
      </c>
      <c r="F747">
        <v>11781</v>
      </c>
      <c r="G747">
        <v>0.84160844121891898</v>
      </c>
      <c r="H747">
        <v>0</v>
      </c>
      <c r="I747">
        <v>0</v>
      </c>
      <c r="J747">
        <v>0.7447035520289611</v>
      </c>
      <c r="K747">
        <v>0</v>
      </c>
      <c r="L747">
        <v>0</v>
      </c>
      <c r="M747">
        <v>0.55298976799392807</v>
      </c>
      <c r="N747">
        <v>0</v>
      </c>
      <c r="O747">
        <v>0</v>
      </c>
      <c r="P747">
        <v>0.70830476833093858</v>
      </c>
      <c r="Q747">
        <v>1.2244297365644949</v>
      </c>
      <c r="R747">
        <v>3.026986594582842</v>
      </c>
      <c r="S747">
        <v>0.1749447343724676</v>
      </c>
      <c r="T747">
        <v>0.13769543060693001</v>
      </c>
      <c r="U747">
        <v>4.2673606822850356</v>
      </c>
      <c r="V747">
        <v>0.2226541824443867</v>
      </c>
      <c r="W747">
        <v>8.2520699106187916</v>
      </c>
      <c r="X747">
        <v>0.32393258979260697</v>
      </c>
      <c r="Z747" t="s">
        <v>392</v>
      </c>
      <c r="AA747">
        <v>161</v>
      </c>
      <c r="AB747" t="s">
        <v>5194</v>
      </c>
      <c r="AC747" t="str">
        <f>HYPERLINK("plots/3FT6Y578R04_015_S31P_20251219032831_M5358ACSA301811_RBGEUFRF04/dpll_52094/txpa_53248.png","plot")</f>
        <v>plot</v>
      </c>
    </row>
    <row r="748" spans="1:29" x14ac:dyDescent="0.35">
      <c r="A748" t="s">
        <v>50</v>
      </c>
      <c r="B748">
        <v>52094</v>
      </c>
      <c r="C748" t="s">
        <v>53</v>
      </c>
      <c r="D748">
        <v>53249</v>
      </c>
      <c r="E748" t="s">
        <v>124</v>
      </c>
      <c r="F748">
        <v>11782</v>
      </c>
      <c r="G748">
        <v>0.83863401419436512</v>
      </c>
      <c r="H748">
        <v>0</v>
      </c>
      <c r="I748">
        <v>0</v>
      </c>
      <c r="J748">
        <v>0.73580378403880964</v>
      </c>
      <c r="K748">
        <v>0</v>
      </c>
      <c r="L748">
        <v>0</v>
      </c>
      <c r="M748">
        <v>0.54525593589826749</v>
      </c>
      <c r="N748">
        <v>0</v>
      </c>
      <c r="O748">
        <v>0</v>
      </c>
      <c r="P748">
        <v>0.7033070097637546</v>
      </c>
      <c r="Q748">
        <v>1.2113590563699961</v>
      </c>
      <c r="R748">
        <v>3.0900400092242082</v>
      </c>
      <c r="S748">
        <v>0.17518817971555969</v>
      </c>
      <c r="T748">
        <v>0.1378082305496755</v>
      </c>
      <c r="U748">
        <v>4.2673938428959426</v>
      </c>
      <c r="V748">
        <v>0.22267382584799689</v>
      </c>
      <c r="W748">
        <v>8.2593861879137673</v>
      </c>
      <c r="X748">
        <v>0.32163965566868918</v>
      </c>
      <c r="Z748" t="s">
        <v>392</v>
      </c>
      <c r="AA748">
        <v>161</v>
      </c>
      <c r="AB748" t="s">
        <v>5195</v>
      </c>
      <c r="AC748" t="str">
        <f>HYPERLINK("plots/3FT6Y578R04_015_S31P_20251219032831_M5358ACSA301811_RBGEUFRF04/dpll_52094/txpa_53249.png","plot")</f>
        <v>plot</v>
      </c>
    </row>
    <row r="749" spans="1:29" x14ac:dyDescent="0.35">
      <c r="A749" t="s">
        <v>50</v>
      </c>
      <c r="B749">
        <v>52094</v>
      </c>
      <c r="C749" t="s">
        <v>53</v>
      </c>
      <c r="D749">
        <v>53250</v>
      </c>
      <c r="E749" t="s">
        <v>125</v>
      </c>
      <c r="F749">
        <v>11781</v>
      </c>
      <c r="G749">
        <v>0.83407355356100477</v>
      </c>
      <c r="H749">
        <v>0</v>
      </c>
      <c r="I749">
        <v>0</v>
      </c>
      <c r="J749">
        <v>0.73204701590266041</v>
      </c>
      <c r="K749">
        <v>0</v>
      </c>
      <c r="L749">
        <v>0</v>
      </c>
      <c r="M749">
        <v>0.54180763299092616</v>
      </c>
      <c r="N749">
        <v>0</v>
      </c>
      <c r="O749">
        <v>0</v>
      </c>
      <c r="P749">
        <v>0.69567869274988225</v>
      </c>
      <c r="Q749">
        <v>1.203319133594964</v>
      </c>
      <c r="R749">
        <v>3.092757548645872</v>
      </c>
      <c r="S749">
        <v>0.17720742436678741</v>
      </c>
      <c r="T749">
        <v>0.13821233672412381</v>
      </c>
      <c r="U749">
        <v>4.2674179181733303</v>
      </c>
      <c r="V749">
        <v>0.22266794157249609</v>
      </c>
      <c r="W749">
        <v>8.2278231806298283</v>
      </c>
      <c r="X749">
        <v>0.32124336443523549</v>
      </c>
      <c r="Z749" t="s">
        <v>392</v>
      </c>
      <c r="AA749">
        <v>161</v>
      </c>
      <c r="AB749" t="s">
        <v>5196</v>
      </c>
      <c r="AC749" t="str">
        <f>HYPERLINK("plots/3FT6Y578R04_015_S31P_20251219032831_M5358ACSA301811_RBGEUFRF04/dpll_52094/txpa_53250.png","plot")</f>
        <v>plot</v>
      </c>
    </row>
    <row r="750" spans="1:29" x14ac:dyDescent="0.35">
      <c r="A750" t="s">
        <v>50</v>
      </c>
      <c r="B750">
        <v>52094</v>
      </c>
      <c r="C750" t="s">
        <v>53</v>
      </c>
      <c r="D750">
        <v>53251</v>
      </c>
      <c r="E750" t="s">
        <v>126</v>
      </c>
      <c r="F750">
        <v>11782</v>
      </c>
      <c r="G750">
        <v>0.82614414731211749</v>
      </c>
      <c r="H750">
        <v>0</v>
      </c>
      <c r="I750">
        <v>0</v>
      </c>
      <c r="J750">
        <v>0.72736312104031453</v>
      </c>
      <c r="K750">
        <v>0</v>
      </c>
      <c r="L750">
        <v>0</v>
      </c>
      <c r="M750">
        <v>0.53461954392971456</v>
      </c>
      <c r="N750">
        <v>0</v>
      </c>
      <c r="O750">
        <v>0</v>
      </c>
      <c r="P750">
        <v>0.68251415213806566</v>
      </c>
      <c r="Q750">
        <v>1.2486870998286419</v>
      </c>
      <c r="R750">
        <v>3.9052988296300821</v>
      </c>
      <c r="S750">
        <v>0.1896316045699897</v>
      </c>
      <c r="T750">
        <v>0.1460806280282369</v>
      </c>
      <c r="U750">
        <v>4.2673938428959426</v>
      </c>
      <c r="V750">
        <v>0.22267382584799689</v>
      </c>
      <c r="W750">
        <v>9.2339384711424213</v>
      </c>
      <c r="X750">
        <v>0.33656346136509752</v>
      </c>
      <c r="Z750" t="s">
        <v>392</v>
      </c>
      <c r="AA750">
        <v>161</v>
      </c>
      <c r="AB750" t="s">
        <v>5197</v>
      </c>
      <c r="AC750" t="str">
        <f>HYPERLINK("plots/3FT6Y578R04_015_S31P_20251219032831_M5358ACSA301811_RBGEUFRF04/dpll_52094/txpa_53251.png","plot")</f>
        <v>plot</v>
      </c>
    </row>
    <row r="751" spans="1:29" x14ac:dyDescent="0.35">
      <c r="A751" t="s">
        <v>50</v>
      </c>
      <c r="B751">
        <v>52094</v>
      </c>
      <c r="C751" t="s">
        <v>53</v>
      </c>
      <c r="D751">
        <v>53252</v>
      </c>
      <c r="E751" t="s">
        <v>127</v>
      </c>
      <c r="F751">
        <v>11782</v>
      </c>
      <c r="G751">
        <v>0.83967264743405334</v>
      </c>
      <c r="H751">
        <v>0</v>
      </c>
      <c r="I751">
        <v>0</v>
      </c>
      <c r="J751">
        <v>0.73984284741157469</v>
      </c>
      <c r="K751">
        <v>0</v>
      </c>
      <c r="L751">
        <v>0</v>
      </c>
      <c r="M751">
        <v>0.54913263156251502</v>
      </c>
      <c r="N751">
        <v>0</v>
      </c>
      <c r="O751">
        <v>0</v>
      </c>
      <c r="P751">
        <v>0.70505015484891209</v>
      </c>
      <c r="Q751">
        <v>1.27771875807977</v>
      </c>
      <c r="R751">
        <v>3.816637451786673</v>
      </c>
      <c r="S751">
        <v>0.18401367147653661</v>
      </c>
      <c r="T751">
        <v>0.1432912454719352</v>
      </c>
      <c r="U751">
        <v>4.2673938428959426</v>
      </c>
      <c r="V751">
        <v>0.22267382584799689</v>
      </c>
      <c r="W751">
        <v>9.2691666129689345</v>
      </c>
      <c r="X751">
        <v>0.33883981464540808</v>
      </c>
      <c r="Z751" t="s">
        <v>392</v>
      </c>
      <c r="AA751">
        <v>161</v>
      </c>
      <c r="AB751" t="s">
        <v>5198</v>
      </c>
      <c r="AC751" t="str">
        <f>HYPERLINK("plots/3FT6Y578R04_015_S31P_20251219032831_M5358ACSA301811_RBGEUFRF04/dpll_52094/txpa_53252.png","plot")</f>
        <v>plot</v>
      </c>
    </row>
    <row r="752" spans="1:29" x14ac:dyDescent="0.35">
      <c r="A752" t="s">
        <v>50</v>
      </c>
      <c r="B752">
        <v>52094</v>
      </c>
      <c r="C752" t="s">
        <v>53</v>
      </c>
      <c r="D752">
        <v>53253</v>
      </c>
      <c r="E752" t="s">
        <v>128</v>
      </c>
      <c r="F752">
        <v>11782</v>
      </c>
      <c r="G752">
        <v>0.83486055292388217</v>
      </c>
      <c r="H752">
        <v>0</v>
      </c>
      <c r="I752">
        <v>0</v>
      </c>
      <c r="J752">
        <v>0.73176510588179189</v>
      </c>
      <c r="K752">
        <v>0</v>
      </c>
      <c r="L752">
        <v>0</v>
      </c>
      <c r="M752">
        <v>0.5404829035102986</v>
      </c>
      <c r="N752">
        <v>0</v>
      </c>
      <c r="O752">
        <v>0</v>
      </c>
      <c r="P752">
        <v>0.6969921428283703</v>
      </c>
      <c r="Q752">
        <v>1.250267215676625</v>
      </c>
      <c r="R752">
        <v>3.949479972323918</v>
      </c>
      <c r="S752">
        <v>0.18355515549665261</v>
      </c>
      <c r="T752">
        <v>0.1425172551959045</v>
      </c>
      <c r="U752">
        <v>4.2673938428959426</v>
      </c>
      <c r="V752">
        <v>0.22267382584799689</v>
      </c>
      <c r="W752">
        <v>9.2848625904769992</v>
      </c>
      <c r="X752">
        <v>0.33347100096178539</v>
      </c>
      <c r="Z752" t="s">
        <v>392</v>
      </c>
      <c r="AA752">
        <v>161</v>
      </c>
      <c r="AB752" t="s">
        <v>5199</v>
      </c>
      <c r="AC752" t="str">
        <f>HYPERLINK("plots/3FT6Y578R04_015_S31P_20251219032831_M5358ACSA301811_RBGEUFRF04/dpll_52094/txpa_53253.png","plot")</f>
        <v>plot</v>
      </c>
    </row>
    <row r="753" spans="1:29" x14ac:dyDescent="0.35">
      <c r="A753" t="s">
        <v>50</v>
      </c>
      <c r="B753">
        <v>52094</v>
      </c>
      <c r="C753" t="s">
        <v>53</v>
      </c>
      <c r="D753">
        <v>53254</v>
      </c>
      <c r="E753" t="s">
        <v>129</v>
      </c>
      <c r="F753">
        <v>11781</v>
      </c>
      <c r="G753">
        <v>0.8445280846249108</v>
      </c>
      <c r="H753">
        <v>0</v>
      </c>
      <c r="I753">
        <v>0</v>
      </c>
      <c r="J753">
        <v>0.74140210663140049</v>
      </c>
      <c r="K753">
        <v>0</v>
      </c>
      <c r="L753">
        <v>0</v>
      </c>
      <c r="M753">
        <v>0.55040566875943775</v>
      </c>
      <c r="N753">
        <v>0</v>
      </c>
      <c r="O753">
        <v>0</v>
      </c>
      <c r="P753">
        <v>0.71322768572022055</v>
      </c>
      <c r="Q753">
        <v>1.277142089252804</v>
      </c>
      <c r="R753">
        <v>3.845901126400904</v>
      </c>
      <c r="S753">
        <v>0.18032624698358921</v>
      </c>
      <c r="T753">
        <v>0.14120707307639091</v>
      </c>
      <c r="U753">
        <v>4.2674026018164843</v>
      </c>
      <c r="V753">
        <v>0.22268124725346999</v>
      </c>
      <c r="W753">
        <v>9.2959806009676598</v>
      </c>
      <c r="X753">
        <v>0.33675090092596333</v>
      </c>
      <c r="Z753" t="s">
        <v>392</v>
      </c>
      <c r="AA753">
        <v>161</v>
      </c>
      <c r="AB753" t="s">
        <v>5200</v>
      </c>
      <c r="AC753" t="str">
        <f>HYPERLINK("plots/3FT6Y578R04_015_S31P_20251219032831_M5358ACSA301811_RBGEUFRF04/dpll_52094/txpa_53254.png","plot")</f>
        <v>plot</v>
      </c>
    </row>
    <row r="754" spans="1:29" x14ac:dyDescent="0.35">
      <c r="A754" t="s">
        <v>50</v>
      </c>
      <c r="B754">
        <v>52094</v>
      </c>
      <c r="C754" t="s">
        <v>53</v>
      </c>
      <c r="D754">
        <v>53255</v>
      </c>
      <c r="E754" t="s">
        <v>130</v>
      </c>
      <c r="F754">
        <v>11781</v>
      </c>
      <c r="G754">
        <v>0.84616444645867472</v>
      </c>
      <c r="H754">
        <v>0</v>
      </c>
      <c r="I754">
        <v>0</v>
      </c>
      <c r="J754">
        <v>0.74099482914588977</v>
      </c>
      <c r="K754">
        <v>0</v>
      </c>
      <c r="L754">
        <v>0</v>
      </c>
      <c r="M754">
        <v>0.548996478649591</v>
      </c>
      <c r="N754">
        <v>0</v>
      </c>
      <c r="O754">
        <v>0</v>
      </c>
      <c r="P754">
        <v>0.7159942704507154</v>
      </c>
      <c r="Q754">
        <v>1.2782122783678711</v>
      </c>
      <c r="R754">
        <v>3.8199911833324749</v>
      </c>
      <c r="S754">
        <v>0.17924107141083481</v>
      </c>
      <c r="T754">
        <v>0.1405662569618964</v>
      </c>
      <c r="U754">
        <v>4.2673648416942536</v>
      </c>
      <c r="V754">
        <v>0.2226610238238293</v>
      </c>
      <c r="W754">
        <v>9.2745893202614376</v>
      </c>
      <c r="X754">
        <v>0.33635075989863089</v>
      </c>
      <c r="Z754" t="s">
        <v>392</v>
      </c>
      <c r="AA754">
        <v>161</v>
      </c>
      <c r="AB754" t="s">
        <v>5201</v>
      </c>
      <c r="AC754" t="str">
        <f>HYPERLINK("plots/3FT6Y578R04_015_S31P_20251219032831_M5358ACSA301811_RBGEUFRF04/dpll_52094/txpa_53255.png","plot")</f>
        <v>plot</v>
      </c>
    </row>
    <row r="755" spans="1:29" x14ac:dyDescent="0.35">
      <c r="A755" t="s">
        <v>50</v>
      </c>
      <c r="B755">
        <v>52094</v>
      </c>
      <c r="C755" t="s">
        <v>53</v>
      </c>
      <c r="D755">
        <v>53256</v>
      </c>
      <c r="E755" t="s">
        <v>131</v>
      </c>
      <c r="F755">
        <v>11781</v>
      </c>
      <c r="G755">
        <v>0.84843128324713957</v>
      </c>
      <c r="H755">
        <v>0</v>
      </c>
      <c r="I755">
        <v>0</v>
      </c>
      <c r="J755">
        <v>0.75017691864204594</v>
      </c>
      <c r="K755">
        <v>0</v>
      </c>
      <c r="L755">
        <v>0</v>
      </c>
      <c r="M755">
        <v>0.55811919433679458</v>
      </c>
      <c r="N755">
        <v>0</v>
      </c>
      <c r="O755">
        <v>0</v>
      </c>
      <c r="P755">
        <v>0.71983564239238795</v>
      </c>
      <c r="Q755">
        <v>1.28815550564165</v>
      </c>
      <c r="R755">
        <v>3.782241134211882</v>
      </c>
      <c r="S755">
        <v>0.17892477810302049</v>
      </c>
      <c r="T755">
        <v>0.1407091588226938</v>
      </c>
      <c r="U755">
        <v>4.2673606822850356</v>
      </c>
      <c r="V755">
        <v>0.2226541824443867</v>
      </c>
      <c r="W755">
        <v>9.2792652916560563</v>
      </c>
      <c r="X755">
        <v>0.33805119711307419</v>
      </c>
      <c r="Z755" t="s">
        <v>392</v>
      </c>
      <c r="AA755">
        <v>161</v>
      </c>
      <c r="AB755" t="s">
        <v>5202</v>
      </c>
      <c r="AC755" t="str">
        <f>HYPERLINK("plots/3FT6Y578R04_015_S31P_20251219032831_M5358ACSA301811_RBGEUFRF04/dpll_52094/txpa_53256.png","plot")</f>
        <v>plot</v>
      </c>
    </row>
    <row r="756" spans="1:29" x14ac:dyDescent="0.35">
      <c r="A756" t="s">
        <v>50</v>
      </c>
      <c r="B756">
        <v>52094</v>
      </c>
      <c r="C756" t="s">
        <v>53</v>
      </c>
      <c r="D756">
        <v>53257</v>
      </c>
      <c r="E756" t="s">
        <v>132</v>
      </c>
      <c r="F756">
        <v>11782</v>
      </c>
      <c r="G756">
        <v>0.84558223650364195</v>
      </c>
      <c r="H756">
        <v>0</v>
      </c>
      <c r="I756">
        <v>0</v>
      </c>
      <c r="J756">
        <v>0.74169427770267571</v>
      </c>
      <c r="K756">
        <v>0</v>
      </c>
      <c r="L756">
        <v>0</v>
      </c>
      <c r="M756">
        <v>0.55070847519783273</v>
      </c>
      <c r="N756">
        <v>0</v>
      </c>
      <c r="O756">
        <v>0</v>
      </c>
      <c r="P756">
        <v>0.71500931869050111</v>
      </c>
      <c r="Q756">
        <v>1.2748675439964381</v>
      </c>
      <c r="R756">
        <v>3.8464967655569549</v>
      </c>
      <c r="S756">
        <v>0.1792153824665505</v>
      </c>
      <c r="T756">
        <v>0.1407010495831936</v>
      </c>
      <c r="U756">
        <v>4.2673938428959426</v>
      </c>
      <c r="V756">
        <v>0.22267382584799689</v>
      </c>
      <c r="W756">
        <v>9.2868586733152263</v>
      </c>
      <c r="X756">
        <v>0.33572090474006022</v>
      </c>
      <c r="Z756" t="s">
        <v>392</v>
      </c>
      <c r="AA756">
        <v>161</v>
      </c>
      <c r="AB756" t="s">
        <v>5203</v>
      </c>
      <c r="AC756" t="str">
        <f>HYPERLINK("plots/3FT6Y578R04_015_S31P_20251219032831_M5358ACSA301811_RBGEUFRF04/dpll_52094/txpa_53257.png","plot")</f>
        <v>plot</v>
      </c>
    </row>
    <row r="757" spans="1:29" x14ac:dyDescent="0.35">
      <c r="A757" t="s">
        <v>50</v>
      </c>
      <c r="B757">
        <v>52094</v>
      </c>
      <c r="C757" t="s">
        <v>53</v>
      </c>
      <c r="D757">
        <v>53258</v>
      </c>
      <c r="E757" t="s">
        <v>133</v>
      </c>
      <c r="F757">
        <v>11781</v>
      </c>
      <c r="G757">
        <v>0.84113834907028684</v>
      </c>
      <c r="H757">
        <v>0</v>
      </c>
      <c r="I757">
        <v>0</v>
      </c>
      <c r="J757">
        <v>0.73768483278443508</v>
      </c>
      <c r="K757">
        <v>0</v>
      </c>
      <c r="L757">
        <v>0</v>
      </c>
      <c r="M757">
        <v>0.54693714460866505</v>
      </c>
      <c r="N757">
        <v>0</v>
      </c>
      <c r="O757">
        <v>0</v>
      </c>
      <c r="P757">
        <v>0.70751372227668774</v>
      </c>
      <c r="Q757">
        <v>1.265818302028749</v>
      </c>
      <c r="R757">
        <v>3.8545007609928281</v>
      </c>
      <c r="S757">
        <v>0.18121575230666809</v>
      </c>
      <c r="T757">
        <v>0.14123911749435919</v>
      </c>
      <c r="U757">
        <v>4.2674179181733303</v>
      </c>
      <c r="V757">
        <v>0.22266794157249609</v>
      </c>
      <c r="W757">
        <v>9.2562764642220525</v>
      </c>
      <c r="X757">
        <v>0.33509012640913488</v>
      </c>
      <c r="Z757" t="s">
        <v>392</v>
      </c>
      <c r="AA757">
        <v>161</v>
      </c>
      <c r="AB757" t="s">
        <v>5204</v>
      </c>
      <c r="AC757" t="str">
        <f>HYPERLINK("plots/3FT6Y578R04_015_S31P_20251219032831_M5358ACSA301811_RBGEUFRF04/dpll_52094/txpa_53258.png","plot")</f>
        <v>plot</v>
      </c>
    </row>
    <row r="758" spans="1:29" x14ac:dyDescent="0.35">
      <c r="A758" t="s">
        <v>50</v>
      </c>
      <c r="B758">
        <v>52094</v>
      </c>
      <c r="C758" t="s">
        <v>53</v>
      </c>
      <c r="D758">
        <v>53259</v>
      </c>
      <c r="E758" t="s">
        <v>134</v>
      </c>
      <c r="F758">
        <v>11782</v>
      </c>
      <c r="G758">
        <v>0.8285826246312239</v>
      </c>
      <c r="H758">
        <v>0</v>
      </c>
      <c r="I758">
        <v>0</v>
      </c>
      <c r="J758">
        <v>0.72945157478825173</v>
      </c>
      <c r="K758">
        <v>0</v>
      </c>
      <c r="L758">
        <v>0</v>
      </c>
      <c r="M758">
        <v>0.53653706662522638</v>
      </c>
      <c r="N758">
        <v>0</v>
      </c>
      <c r="O758">
        <v>0</v>
      </c>
      <c r="P758">
        <v>0.68654916584076764</v>
      </c>
      <c r="Q758">
        <v>1.274594388233703</v>
      </c>
      <c r="R758">
        <v>4.2997253385546266</v>
      </c>
      <c r="S758">
        <v>0.19176601120004871</v>
      </c>
      <c r="T758">
        <v>0.14756186238723981</v>
      </c>
      <c r="U758">
        <v>4.2673938428959426</v>
      </c>
      <c r="V758">
        <v>0.22267382584799689</v>
      </c>
      <c r="W758">
        <v>9.7389215830928535</v>
      </c>
      <c r="X758">
        <v>0.34253531319064839</v>
      </c>
      <c r="Z758" t="s">
        <v>392</v>
      </c>
      <c r="AA758">
        <v>161</v>
      </c>
      <c r="AB758" t="s">
        <v>5205</v>
      </c>
      <c r="AC758" t="str">
        <f>HYPERLINK("plots/3FT6Y578R04_015_S31P_20251219032831_M5358ACSA301811_RBGEUFRF04/dpll_52094/txpa_53259.png","plot")</f>
        <v>plot</v>
      </c>
    </row>
    <row r="759" spans="1:29" x14ac:dyDescent="0.35">
      <c r="A759" t="s">
        <v>50</v>
      </c>
      <c r="B759">
        <v>52094</v>
      </c>
      <c r="C759" t="s">
        <v>53</v>
      </c>
      <c r="D759">
        <v>53260</v>
      </c>
      <c r="E759" t="s">
        <v>135</v>
      </c>
      <c r="F759">
        <v>11782</v>
      </c>
      <c r="G759">
        <v>0.84181806511463197</v>
      </c>
      <c r="H759">
        <v>0</v>
      </c>
      <c r="I759">
        <v>0</v>
      </c>
      <c r="J759">
        <v>0.74157435742389921</v>
      </c>
      <c r="K759">
        <v>0</v>
      </c>
      <c r="L759">
        <v>0</v>
      </c>
      <c r="M759">
        <v>0.55074419274334596</v>
      </c>
      <c r="N759">
        <v>0</v>
      </c>
      <c r="O759">
        <v>0</v>
      </c>
      <c r="P759">
        <v>0.70865765475334275</v>
      </c>
      <c r="Q759">
        <v>1.3040829446633659</v>
      </c>
      <c r="R759">
        <v>4.2089355913315218</v>
      </c>
      <c r="S759">
        <v>0.1861827837500428</v>
      </c>
      <c r="T759">
        <v>0.1448766508943605</v>
      </c>
      <c r="U759">
        <v>4.2673938428959426</v>
      </c>
      <c r="V759">
        <v>0.22267382584799689</v>
      </c>
      <c r="W759">
        <v>9.7739711200135808</v>
      </c>
      <c r="X759">
        <v>0.3449499963769142</v>
      </c>
      <c r="Z759" t="s">
        <v>392</v>
      </c>
      <c r="AA759">
        <v>161</v>
      </c>
      <c r="AB759" t="s">
        <v>5206</v>
      </c>
      <c r="AC759" t="str">
        <f>HYPERLINK("plots/3FT6Y578R04_015_S31P_20251219032831_M5358ACSA301811_RBGEUFRF04/dpll_52094/txpa_53260.png","plot")</f>
        <v>plot</v>
      </c>
    </row>
    <row r="760" spans="1:29" x14ac:dyDescent="0.35">
      <c r="A760" t="s">
        <v>50</v>
      </c>
      <c r="B760">
        <v>52094</v>
      </c>
      <c r="C760" t="s">
        <v>53</v>
      </c>
      <c r="D760">
        <v>53261</v>
      </c>
      <c r="E760" t="s">
        <v>136</v>
      </c>
      <c r="F760">
        <v>11782</v>
      </c>
      <c r="G760">
        <v>0.83734797953211138</v>
      </c>
      <c r="H760">
        <v>0</v>
      </c>
      <c r="I760">
        <v>0</v>
      </c>
      <c r="J760">
        <v>0.73390805643847901</v>
      </c>
      <c r="K760">
        <v>0</v>
      </c>
      <c r="L760">
        <v>0</v>
      </c>
      <c r="M760">
        <v>0.54242607439398138</v>
      </c>
      <c r="N760">
        <v>0</v>
      </c>
      <c r="O760">
        <v>0</v>
      </c>
      <c r="P760">
        <v>0.70115163882650922</v>
      </c>
      <c r="Q760">
        <v>1.2766058845327251</v>
      </c>
      <c r="R760">
        <v>4.3420462796148396</v>
      </c>
      <c r="S760">
        <v>0.18557823688136099</v>
      </c>
      <c r="T760">
        <v>0.14392493729370501</v>
      </c>
      <c r="U760">
        <v>4.2673938428959426</v>
      </c>
      <c r="V760">
        <v>0.22267382584799689</v>
      </c>
      <c r="W760">
        <v>9.7898263710745201</v>
      </c>
      <c r="X760">
        <v>0.33948456717816289</v>
      </c>
      <c r="Z760" t="s">
        <v>392</v>
      </c>
      <c r="AA760">
        <v>161</v>
      </c>
      <c r="AB760" t="s">
        <v>5207</v>
      </c>
      <c r="AC760" t="str">
        <f>HYPERLINK("plots/3FT6Y578R04_015_S31P_20251219032831_M5358ACSA301811_RBGEUFRF04/dpll_52094/txpa_53261.png","plot")</f>
        <v>plot</v>
      </c>
    </row>
    <row r="761" spans="1:29" x14ac:dyDescent="0.35">
      <c r="A761" t="s">
        <v>50</v>
      </c>
      <c r="B761">
        <v>52094</v>
      </c>
      <c r="C761" t="s">
        <v>53</v>
      </c>
      <c r="D761">
        <v>53262</v>
      </c>
      <c r="E761" t="s">
        <v>137</v>
      </c>
      <c r="F761">
        <v>11781</v>
      </c>
      <c r="G761">
        <v>0.84662508672428516</v>
      </c>
      <c r="H761">
        <v>0</v>
      </c>
      <c r="I761">
        <v>0</v>
      </c>
      <c r="J761">
        <v>0.74310324751413759</v>
      </c>
      <c r="K761">
        <v>0</v>
      </c>
      <c r="L761">
        <v>0</v>
      </c>
      <c r="M761">
        <v>0.55196888355872864</v>
      </c>
      <c r="N761">
        <v>0</v>
      </c>
      <c r="O761">
        <v>0</v>
      </c>
      <c r="P761">
        <v>0.7167740374709034</v>
      </c>
      <c r="Q761">
        <v>1.3033227689778999</v>
      </c>
      <c r="R761">
        <v>4.2391712102949359</v>
      </c>
      <c r="S761">
        <v>0.1824284601809785</v>
      </c>
      <c r="T761">
        <v>0.1427811994456876</v>
      </c>
      <c r="U761">
        <v>4.2674026018164843</v>
      </c>
      <c r="V761">
        <v>0.22268124725346999</v>
      </c>
      <c r="W761">
        <v>9.8009741856378909</v>
      </c>
      <c r="X761">
        <v>0.34280290570265209</v>
      </c>
      <c r="Z761" t="s">
        <v>392</v>
      </c>
      <c r="AA761">
        <v>161</v>
      </c>
      <c r="AB761" t="s">
        <v>5208</v>
      </c>
      <c r="AC761" t="str">
        <f>HYPERLINK("plots/3FT6Y578R04_015_S31P_20251219032831_M5358ACSA301811_RBGEUFRF04/dpll_52094/txpa_53262.png","plot")</f>
        <v>plot</v>
      </c>
    </row>
    <row r="762" spans="1:29" x14ac:dyDescent="0.35">
      <c r="A762" t="s">
        <v>50</v>
      </c>
      <c r="B762">
        <v>52094</v>
      </c>
      <c r="C762" t="s">
        <v>53</v>
      </c>
      <c r="D762">
        <v>53263</v>
      </c>
      <c r="E762" t="s">
        <v>138</v>
      </c>
      <c r="F762">
        <v>11781</v>
      </c>
      <c r="G762">
        <v>0.8482529127524282</v>
      </c>
      <c r="H762">
        <v>0</v>
      </c>
      <c r="I762">
        <v>0</v>
      </c>
      <c r="J762">
        <v>0.74280736727857455</v>
      </c>
      <c r="K762">
        <v>0</v>
      </c>
      <c r="L762">
        <v>0</v>
      </c>
      <c r="M762">
        <v>0.55067507202734423</v>
      </c>
      <c r="N762">
        <v>0</v>
      </c>
      <c r="O762">
        <v>0</v>
      </c>
      <c r="P762">
        <v>0.71953300399297859</v>
      </c>
      <c r="Q762">
        <v>1.3047485609589371</v>
      </c>
      <c r="R762">
        <v>4.2113078099820758</v>
      </c>
      <c r="S762">
        <v>0.18137111266732481</v>
      </c>
      <c r="T762">
        <v>0.14216762607614511</v>
      </c>
      <c r="U762">
        <v>4.2673648416942536</v>
      </c>
      <c r="V762">
        <v>0.2226610238238293</v>
      </c>
      <c r="W762">
        <v>9.7791459462694164</v>
      </c>
      <c r="X762">
        <v>0.34248824383415399</v>
      </c>
      <c r="Z762" t="s">
        <v>392</v>
      </c>
      <c r="AA762">
        <v>161</v>
      </c>
      <c r="AB762" t="s">
        <v>5209</v>
      </c>
      <c r="AC762" t="str">
        <f>HYPERLINK("plots/3FT6Y578R04_015_S31P_20251219032831_M5358ACSA301811_RBGEUFRF04/dpll_52094/txpa_53263.png","plot")</f>
        <v>plot</v>
      </c>
    </row>
    <row r="763" spans="1:29" x14ac:dyDescent="0.35">
      <c r="A763" t="s">
        <v>50</v>
      </c>
      <c r="B763">
        <v>52094</v>
      </c>
      <c r="C763" t="s">
        <v>53</v>
      </c>
      <c r="D763">
        <v>53264</v>
      </c>
      <c r="E763" t="s">
        <v>139</v>
      </c>
      <c r="F763">
        <v>11781</v>
      </c>
      <c r="G763">
        <v>0.85050631528916376</v>
      </c>
      <c r="H763">
        <v>0</v>
      </c>
      <c r="I763">
        <v>0</v>
      </c>
      <c r="J763">
        <v>0.75182494896868979</v>
      </c>
      <c r="K763">
        <v>0</v>
      </c>
      <c r="L763">
        <v>0</v>
      </c>
      <c r="M763">
        <v>0.55971233314859237</v>
      </c>
      <c r="N763">
        <v>0</v>
      </c>
      <c r="O763">
        <v>0</v>
      </c>
      <c r="P763">
        <v>0.72336099234675044</v>
      </c>
      <c r="Q763">
        <v>1.3142429127345061</v>
      </c>
      <c r="R763">
        <v>4.1755443801356256</v>
      </c>
      <c r="S763">
        <v>0.1809536029610315</v>
      </c>
      <c r="T763">
        <v>0.1422099559955772</v>
      </c>
      <c r="U763">
        <v>4.2673606822850356</v>
      </c>
      <c r="V763">
        <v>0.2226541824443867</v>
      </c>
      <c r="W763">
        <v>9.783892912910618</v>
      </c>
      <c r="X763">
        <v>0.34405585944266909</v>
      </c>
      <c r="Z763" t="s">
        <v>392</v>
      </c>
      <c r="AA763">
        <v>161</v>
      </c>
      <c r="AB763" t="s">
        <v>5210</v>
      </c>
      <c r="AC763" t="str">
        <f>HYPERLINK("plots/3FT6Y578R04_015_S31P_20251219032831_M5358ACSA301811_RBGEUFRF04/dpll_52094/txpa_53264.png","plot")</f>
        <v>plot</v>
      </c>
    </row>
    <row r="764" spans="1:29" x14ac:dyDescent="0.35">
      <c r="A764" t="s">
        <v>50</v>
      </c>
      <c r="B764">
        <v>52094</v>
      </c>
      <c r="C764" t="s">
        <v>53</v>
      </c>
      <c r="D764">
        <v>53265</v>
      </c>
      <c r="E764" t="s">
        <v>140</v>
      </c>
      <c r="F764">
        <v>11782</v>
      </c>
      <c r="G764">
        <v>0.8477867069911309</v>
      </c>
      <c r="H764">
        <v>0</v>
      </c>
      <c r="I764">
        <v>0</v>
      </c>
      <c r="J764">
        <v>0.74360057041750005</v>
      </c>
      <c r="K764">
        <v>0</v>
      </c>
      <c r="L764">
        <v>0</v>
      </c>
      <c r="M764">
        <v>0.55247199660501822</v>
      </c>
      <c r="N764">
        <v>0</v>
      </c>
      <c r="O764">
        <v>0</v>
      </c>
      <c r="P764">
        <v>0.71874230055086563</v>
      </c>
      <c r="Q764">
        <v>1.3012876337502051</v>
      </c>
      <c r="R764">
        <v>4.238479410545172</v>
      </c>
      <c r="S764">
        <v>0.18125485567326799</v>
      </c>
      <c r="T764">
        <v>0.1421428331791714</v>
      </c>
      <c r="U764">
        <v>4.2673938428959426</v>
      </c>
      <c r="V764">
        <v>0.22267382584799689</v>
      </c>
      <c r="W764">
        <v>9.7915862466474284</v>
      </c>
      <c r="X764">
        <v>0.34178726034079748</v>
      </c>
      <c r="Z764" t="s">
        <v>392</v>
      </c>
      <c r="AA764">
        <v>161</v>
      </c>
      <c r="AB764" t="s">
        <v>5211</v>
      </c>
      <c r="AC764" t="str">
        <f>HYPERLINK("plots/3FT6Y578R04_015_S31P_20251219032831_M5358ACSA301811_RBGEUFRF04/dpll_52094/txpa_53265.png","plot")</f>
        <v>plot</v>
      </c>
    </row>
    <row r="765" spans="1:29" x14ac:dyDescent="0.35">
      <c r="A765" t="s">
        <v>50</v>
      </c>
      <c r="B765">
        <v>52094</v>
      </c>
      <c r="C765" t="s">
        <v>53</v>
      </c>
      <c r="D765">
        <v>53266</v>
      </c>
      <c r="E765" t="s">
        <v>141</v>
      </c>
      <c r="F765">
        <v>11781</v>
      </c>
      <c r="G765">
        <v>0.84317581892055415</v>
      </c>
      <c r="H765">
        <v>0</v>
      </c>
      <c r="I765">
        <v>0</v>
      </c>
      <c r="J765">
        <v>0.73925162933344157</v>
      </c>
      <c r="K765">
        <v>0</v>
      </c>
      <c r="L765">
        <v>0</v>
      </c>
      <c r="M765">
        <v>0.54840025462955089</v>
      </c>
      <c r="N765">
        <v>0</v>
      </c>
      <c r="O765">
        <v>0</v>
      </c>
      <c r="P765">
        <v>0.71094546161234717</v>
      </c>
      <c r="Q765">
        <v>1.2912489169415009</v>
      </c>
      <c r="R765">
        <v>4.2508889053385461</v>
      </c>
      <c r="S765">
        <v>0.1833247008602204</v>
      </c>
      <c r="T765">
        <v>0.14272169767019199</v>
      </c>
      <c r="U765">
        <v>4.2674179181733303</v>
      </c>
      <c r="V765">
        <v>0.22266794157249609</v>
      </c>
      <c r="W765">
        <v>9.7611876703166125</v>
      </c>
      <c r="X765">
        <v>0.34099618601629927</v>
      </c>
      <c r="Z765" t="s">
        <v>392</v>
      </c>
      <c r="AA765">
        <v>161</v>
      </c>
      <c r="AB765" t="s">
        <v>5212</v>
      </c>
      <c r="AC765" t="str">
        <f>HYPERLINK("plots/3FT6Y578R04_015_S31P_20251219032831_M5358ACSA301811_RBGEUFRF04/dpll_52094/txpa_53266.png","plot")</f>
        <v>plot</v>
      </c>
    </row>
    <row r="766" spans="1:29" x14ac:dyDescent="0.35">
      <c r="A766" t="s">
        <v>50</v>
      </c>
      <c r="B766">
        <v>52094</v>
      </c>
      <c r="C766" t="s">
        <v>53</v>
      </c>
      <c r="D766">
        <v>53267</v>
      </c>
      <c r="E766" t="s">
        <v>142</v>
      </c>
      <c r="F766">
        <v>11782</v>
      </c>
      <c r="G766">
        <v>0.83071043251408139</v>
      </c>
      <c r="H766">
        <v>0</v>
      </c>
      <c r="I766">
        <v>0</v>
      </c>
      <c r="J766">
        <v>0.73109982515808025</v>
      </c>
      <c r="K766">
        <v>0</v>
      </c>
      <c r="L766">
        <v>0</v>
      </c>
      <c r="M766">
        <v>0.53805815897893128</v>
      </c>
      <c r="N766">
        <v>0</v>
      </c>
      <c r="O766">
        <v>0</v>
      </c>
      <c r="P766">
        <v>0.69007982268773216</v>
      </c>
      <c r="Q766">
        <v>1.2981470857487001</v>
      </c>
      <c r="R766">
        <v>4.6777639166752536</v>
      </c>
      <c r="S766">
        <v>0.19370904668420719</v>
      </c>
      <c r="T766">
        <v>0.14888787178676191</v>
      </c>
      <c r="U766">
        <v>4.2673938428959426</v>
      </c>
      <c r="V766">
        <v>0.22267382584799689</v>
      </c>
      <c r="W766">
        <v>10.21746879757257</v>
      </c>
      <c r="X766">
        <v>0.34797128672413868</v>
      </c>
      <c r="Z766" t="s">
        <v>392</v>
      </c>
      <c r="AA766">
        <v>161</v>
      </c>
      <c r="AB766" t="s">
        <v>5213</v>
      </c>
      <c r="AC766" t="str">
        <f>HYPERLINK("plots/3FT6Y578R04_015_S31P_20251219032831_M5358ACSA301811_RBGEUFRF04/dpll_52094/txpa_53267.png","plot")</f>
        <v>plot</v>
      </c>
    </row>
    <row r="767" spans="1:29" x14ac:dyDescent="0.35">
      <c r="A767" t="s">
        <v>50</v>
      </c>
      <c r="B767">
        <v>52094</v>
      </c>
      <c r="C767" t="s">
        <v>53</v>
      </c>
      <c r="D767">
        <v>53268</v>
      </c>
      <c r="E767" t="s">
        <v>143</v>
      </c>
      <c r="F767">
        <v>11782</v>
      </c>
      <c r="G767">
        <v>0.84372648995576038</v>
      </c>
      <c r="H767">
        <v>0</v>
      </c>
      <c r="I767">
        <v>0</v>
      </c>
      <c r="J767">
        <v>0.74321484440830554</v>
      </c>
      <c r="K767">
        <v>0</v>
      </c>
      <c r="L767">
        <v>0</v>
      </c>
      <c r="M767">
        <v>0.55229850570756134</v>
      </c>
      <c r="N767">
        <v>0</v>
      </c>
      <c r="O767">
        <v>0</v>
      </c>
      <c r="P767">
        <v>0.71187438985306783</v>
      </c>
      <c r="Q767">
        <v>1.3279304479148679</v>
      </c>
      <c r="R767">
        <v>4.586099448789998</v>
      </c>
      <c r="S767">
        <v>0.18811148647213841</v>
      </c>
      <c r="T767">
        <v>0.1462323923950555</v>
      </c>
      <c r="U767">
        <v>4.2673938428959426</v>
      </c>
      <c r="V767">
        <v>0.22267382584799689</v>
      </c>
      <c r="W767">
        <v>10.25290166601596</v>
      </c>
      <c r="X767">
        <v>0.35046351728597769</v>
      </c>
      <c r="Z767" t="s">
        <v>392</v>
      </c>
      <c r="AA767">
        <v>161</v>
      </c>
      <c r="AB767" t="s">
        <v>5214</v>
      </c>
      <c r="AC767" t="str">
        <f>HYPERLINK("plots/3FT6Y578R04_015_S31P_20251219032831_M5358ACSA301811_RBGEUFRF04/dpll_52094/txpa_53268.png","plot")</f>
        <v>plot</v>
      </c>
    </row>
    <row r="768" spans="1:29" x14ac:dyDescent="0.35">
      <c r="A768" t="s">
        <v>50</v>
      </c>
      <c r="B768">
        <v>52094</v>
      </c>
      <c r="C768" t="s">
        <v>53</v>
      </c>
      <c r="D768">
        <v>53269</v>
      </c>
      <c r="E768" t="s">
        <v>144</v>
      </c>
      <c r="F768">
        <v>11782</v>
      </c>
      <c r="G768">
        <v>0.83942669987710594</v>
      </c>
      <c r="H768">
        <v>0</v>
      </c>
      <c r="I768">
        <v>0</v>
      </c>
      <c r="J768">
        <v>0.73558341167573793</v>
      </c>
      <c r="K768">
        <v>0</v>
      </c>
      <c r="L768">
        <v>0</v>
      </c>
      <c r="M768">
        <v>0.54395908793380932</v>
      </c>
      <c r="N768">
        <v>0</v>
      </c>
      <c r="O768">
        <v>0</v>
      </c>
      <c r="P768">
        <v>0.70463718446656887</v>
      </c>
      <c r="Q768">
        <v>1.300480120881589</v>
      </c>
      <c r="R768">
        <v>4.7194254301238843</v>
      </c>
      <c r="S768">
        <v>0.1874776877575344</v>
      </c>
      <c r="T768">
        <v>0.14521280660720459</v>
      </c>
      <c r="U768">
        <v>4.2673938428959426</v>
      </c>
      <c r="V768">
        <v>0.22267382584799689</v>
      </c>
      <c r="W768">
        <v>10.26908629078255</v>
      </c>
      <c r="X768">
        <v>0.34497697535516142</v>
      </c>
      <c r="Z768" t="s">
        <v>392</v>
      </c>
      <c r="AA768">
        <v>161</v>
      </c>
      <c r="AB768" t="s">
        <v>5215</v>
      </c>
      <c r="AC768" t="str">
        <f>HYPERLINK("plots/3FT6Y578R04_015_S31P_20251219032831_M5358ACSA301811_RBGEUFRF04/dpll_52094/txpa_53269.png","plot")</f>
        <v>plot</v>
      </c>
    </row>
    <row r="769" spans="1:29" x14ac:dyDescent="0.35">
      <c r="A769" t="s">
        <v>50</v>
      </c>
      <c r="B769">
        <v>52094</v>
      </c>
      <c r="C769" t="s">
        <v>53</v>
      </c>
      <c r="D769">
        <v>53270</v>
      </c>
      <c r="E769" t="s">
        <v>145</v>
      </c>
      <c r="F769">
        <v>11781</v>
      </c>
      <c r="G769">
        <v>0.84856302739008316</v>
      </c>
      <c r="H769">
        <v>0</v>
      </c>
      <c r="I769">
        <v>0</v>
      </c>
      <c r="J769">
        <v>0.74466393172183276</v>
      </c>
      <c r="K769">
        <v>0</v>
      </c>
      <c r="L769">
        <v>0</v>
      </c>
      <c r="M769">
        <v>0.55344954713661554</v>
      </c>
      <c r="N769">
        <v>0</v>
      </c>
      <c r="O769">
        <v>0</v>
      </c>
      <c r="P769">
        <v>0.720059211453423</v>
      </c>
      <c r="Q769">
        <v>1.327591975353563</v>
      </c>
      <c r="R769">
        <v>4.6147295777274291</v>
      </c>
      <c r="S769">
        <v>0.18432269708751881</v>
      </c>
      <c r="T769">
        <v>0.1441553924673156</v>
      </c>
      <c r="U769">
        <v>4.2674026018164843</v>
      </c>
      <c r="V769">
        <v>0.22268124725346999</v>
      </c>
      <c r="W769">
        <v>10.28009902750191</v>
      </c>
      <c r="X769">
        <v>0.34838877888033259</v>
      </c>
      <c r="Z769" t="s">
        <v>392</v>
      </c>
      <c r="AA769">
        <v>161</v>
      </c>
      <c r="AB769" t="s">
        <v>5216</v>
      </c>
      <c r="AC769" t="str">
        <f>HYPERLINK("plots/3FT6Y578R04_015_S31P_20251219032831_M5358ACSA301811_RBGEUFRF04/dpll_52094/txpa_53270.png","plot")</f>
        <v>plot</v>
      </c>
    </row>
    <row r="770" spans="1:29" x14ac:dyDescent="0.35">
      <c r="A770" t="s">
        <v>50</v>
      </c>
      <c r="B770">
        <v>52094</v>
      </c>
      <c r="C770" t="s">
        <v>53</v>
      </c>
      <c r="D770">
        <v>53271</v>
      </c>
      <c r="E770" t="s">
        <v>146</v>
      </c>
      <c r="F770">
        <v>11781</v>
      </c>
      <c r="G770">
        <v>0.85012700435913247</v>
      </c>
      <c r="H770">
        <v>0</v>
      </c>
      <c r="I770">
        <v>0</v>
      </c>
      <c r="J770">
        <v>0.7443458585805478</v>
      </c>
      <c r="K770">
        <v>0</v>
      </c>
      <c r="L770">
        <v>0</v>
      </c>
      <c r="M770">
        <v>0.55211873575771309</v>
      </c>
      <c r="N770">
        <v>0</v>
      </c>
      <c r="O770">
        <v>0</v>
      </c>
      <c r="P770">
        <v>0.72271592354063241</v>
      </c>
      <c r="Q770">
        <v>1.3288157198349699</v>
      </c>
      <c r="R770">
        <v>4.5872572525256379</v>
      </c>
      <c r="S770">
        <v>0.18326063174071081</v>
      </c>
      <c r="T770">
        <v>0.14359306840255109</v>
      </c>
      <c r="U770">
        <v>4.2673648416942536</v>
      </c>
      <c r="V770">
        <v>0.2226610238238293</v>
      </c>
      <c r="W770">
        <v>10.25779873644003</v>
      </c>
      <c r="X770">
        <v>0.34803678407404381</v>
      </c>
      <c r="Z770" t="s">
        <v>392</v>
      </c>
      <c r="AA770">
        <v>161</v>
      </c>
      <c r="AB770" t="s">
        <v>5217</v>
      </c>
      <c r="AC770" t="str">
        <f>HYPERLINK("plots/3FT6Y578R04_015_S31P_20251219032831_M5358ACSA301811_RBGEUFRF04/dpll_52094/txpa_53271.png","plot")</f>
        <v>plot</v>
      </c>
    </row>
    <row r="771" spans="1:29" x14ac:dyDescent="0.35">
      <c r="A771" t="s">
        <v>50</v>
      </c>
      <c r="B771">
        <v>52094</v>
      </c>
      <c r="C771" t="s">
        <v>53</v>
      </c>
      <c r="D771">
        <v>53272</v>
      </c>
      <c r="E771" t="s">
        <v>147</v>
      </c>
      <c r="F771">
        <v>11781</v>
      </c>
      <c r="G771">
        <v>0.8522376980770171</v>
      </c>
      <c r="H771">
        <v>0</v>
      </c>
      <c r="I771">
        <v>0</v>
      </c>
      <c r="J771">
        <v>0.75295883563764343</v>
      </c>
      <c r="K771">
        <v>0</v>
      </c>
      <c r="L771">
        <v>0</v>
      </c>
      <c r="M771">
        <v>0.56080243533598939</v>
      </c>
      <c r="N771">
        <v>0</v>
      </c>
      <c r="O771">
        <v>0</v>
      </c>
      <c r="P771">
        <v>0.72630909402361299</v>
      </c>
      <c r="Q771">
        <v>1.337876950319606</v>
      </c>
      <c r="R771">
        <v>4.5536839377955509</v>
      </c>
      <c r="S771">
        <v>0.18285129435450659</v>
      </c>
      <c r="T771">
        <v>0.1435612414060094</v>
      </c>
      <c r="U771">
        <v>4.2673606822850356</v>
      </c>
      <c r="V771">
        <v>0.2226541824443867</v>
      </c>
      <c r="W771">
        <v>10.262887433324851</v>
      </c>
      <c r="X771">
        <v>0.34953147373877541</v>
      </c>
      <c r="Z771" t="s">
        <v>392</v>
      </c>
      <c r="AA771">
        <v>161</v>
      </c>
      <c r="AB771" t="s">
        <v>5218</v>
      </c>
      <c r="AC771" t="str">
        <f>HYPERLINK("plots/3FT6Y578R04_015_S31P_20251219032831_M5358ACSA301811_RBGEUFRF04/dpll_52094/txpa_53272.png","plot")</f>
        <v>plot</v>
      </c>
    </row>
    <row r="772" spans="1:29" x14ac:dyDescent="0.35">
      <c r="A772" t="s">
        <v>50</v>
      </c>
      <c r="B772">
        <v>52094</v>
      </c>
      <c r="C772" t="s">
        <v>53</v>
      </c>
      <c r="D772">
        <v>53273</v>
      </c>
      <c r="E772" t="s">
        <v>148</v>
      </c>
      <c r="F772">
        <v>11782</v>
      </c>
      <c r="G772">
        <v>0.84965909982768806</v>
      </c>
      <c r="H772">
        <v>0</v>
      </c>
      <c r="I772">
        <v>0</v>
      </c>
      <c r="J772">
        <v>0.74495669058759617</v>
      </c>
      <c r="K772">
        <v>0</v>
      </c>
      <c r="L772">
        <v>0</v>
      </c>
      <c r="M772">
        <v>0.55379435888784623</v>
      </c>
      <c r="N772">
        <v>0</v>
      </c>
      <c r="O772">
        <v>0</v>
      </c>
      <c r="P772">
        <v>0.72192058591999719</v>
      </c>
      <c r="Q772">
        <v>1.325108904616479</v>
      </c>
      <c r="R772">
        <v>4.6157866111759516</v>
      </c>
      <c r="S772">
        <v>0.18312263081820179</v>
      </c>
      <c r="T772">
        <v>0.14344593541204109</v>
      </c>
      <c r="U772">
        <v>4.2673938428959426</v>
      </c>
      <c r="V772">
        <v>0.22267382584799689</v>
      </c>
      <c r="W772">
        <v>10.2705481919029</v>
      </c>
      <c r="X772">
        <v>0.3472770073504064</v>
      </c>
      <c r="Z772" t="s">
        <v>392</v>
      </c>
      <c r="AA772">
        <v>161</v>
      </c>
      <c r="AB772" t="s">
        <v>5219</v>
      </c>
      <c r="AC772" t="str">
        <f>HYPERLINK("plots/3FT6Y578R04_015_S31P_20251219032831_M5358ACSA301811_RBGEUFRF04/dpll_52094/txpa_53273.png","plot")</f>
        <v>plot</v>
      </c>
    </row>
    <row r="773" spans="1:29" x14ac:dyDescent="0.35">
      <c r="A773" t="s">
        <v>50</v>
      </c>
      <c r="B773">
        <v>52094</v>
      </c>
      <c r="C773" t="s">
        <v>53</v>
      </c>
      <c r="D773">
        <v>53274</v>
      </c>
      <c r="E773" t="s">
        <v>149</v>
      </c>
      <c r="F773">
        <v>11781</v>
      </c>
      <c r="G773">
        <v>0.84500296319542612</v>
      </c>
      <c r="H773">
        <v>0</v>
      </c>
      <c r="I773">
        <v>0</v>
      </c>
      <c r="J773">
        <v>0.74060278137446311</v>
      </c>
      <c r="K773">
        <v>0</v>
      </c>
      <c r="L773">
        <v>0</v>
      </c>
      <c r="M773">
        <v>0.54968226081363758</v>
      </c>
      <c r="N773">
        <v>0</v>
      </c>
      <c r="O773">
        <v>0</v>
      </c>
      <c r="P773">
        <v>0.71403000780905068</v>
      </c>
      <c r="Q773">
        <v>1.314512547596518</v>
      </c>
      <c r="R773">
        <v>4.6305762224868019</v>
      </c>
      <c r="S773">
        <v>0.18522772702795209</v>
      </c>
      <c r="T773">
        <v>0.1440891482725164</v>
      </c>
      <c r="U773">
        <v>4.2674179181733303</v>
      </c>
      <c r="V773">
        <v>0.22266794157249609</v>
      </c>
      <c r="W773">
        <v>10.24015062176386</v>
      </c>
      <c r="X773">
        <v>0.34638908488281939</v>
      </c>
      <c r="Z773" t="s">
        <v>392</v>
      </c>
      <c r="AA773">
        <v>161</v>
      </c>
      <c r="AB773" t="s">
        <v>5220</v>
      </c>
      <c r="AC773" t="str">
        <f>HYPERLINK("plots/3FT6Y578R04_015_S31P_20251219032831_M5358ACSA301811_RBGEUFRF04/dpll_52094/txpa_53274.png","plot")</f>
        <v>plot</v>
      </c>
    </row>
    <row r="774" spans="1:29" x14ac:dyDescent="0.35">
      <c r="A774" t="s">
        <v>50</v>
      </c>
      <c r="B774">
        <v>52094</v>
      </c>
      <c r="C774" t="s">
        <v>53</v>
      </c>
      <c r="D774">
        <v>53275</v>
      </c>
      <c r="E774" t="s">
        <v>150</v>
      </c>
      <c r="F774">
        <v>11782</v>
      </c>
      <c r="G774">
        <v>0.83659822636577019</v>
      </c>
      <c r="H774">
        <v>0</v>
      </c>
      <c r="I774">
        <v>0</v>
      </c>
      <c r="J774">
        <v>0.73614534940274035</v>
      </c>
      <c r="K774">
        <v>0</v>
      </c>
      <c r="L774">
        <v>0</v>
      </c>
      <c r="M774">
        <v>0.54278525214309148</v>
      </c>
      <c r="N774">
        <v>0</v>
      </c>
      <c r="O774">
        <v>0</v>
      </c>
      <c r="P774">
        <v>0.69989659235835244</v>
      </c>
      <c r="Q774">
        <v>1.37085736408214</v>
      </c>
      <c r="R774">
        <v>5.9271539097158223</v>
      </c>
      <c r="S774">
        <v>0.19987640659085909</v>
      </c>
      <c r="T774">
        <v>0.15311916714829241</v>
      </c>
      <c r="U774">
        <v>4.2673938428959426</v>
      </c>
      <c r="V774">
        <v>0.22267382584799689</v>
      </c>
      <c r="W774">
        <v>11.777142184688509</v>
      </c>
      <c r="X774">
        <v>0.36487533003519651</v>
      </c>
      <c r="Z774" t="s">
        <v>392</v>
      </c>
      <c r="AA774">
        <v>161</v>
      </c>
      <c r="AB774" t="s">
        <v>5221</v>
      </c>
      <c r="AC774" t="str">
        <f>HYPERLINK("plots/3FT6Y578R04_015_S31P_20251219032831_M5358ACSA301811_RBGEUFRF04/dpll_52094/txpa_53275.png","plot")</f>
        <v>plot</v>
      </c>
    </row>
    <row r="775" spans="1:29" x14ac:dyDescent="0.35">
      <c r="A775" t="s">
        <v>50</v>
      </c>
      <c r="B775">
        <v>52094</v>
      </c>
      <c r="C775" t="s">
        <v>53</v>
      </c>
      <c r="D775">
        <v>53276</v>
      </c>
      <c r="E775" t="s">
        <v>151</v>
      </c>
      <c r="F775">
        <v>11782</v>
      </c>
      <c r="G775">
        <v>0.84892433204666118</v>
      </c>
      <c r="H775">
        <v>0</v>
      </c>
      <c r="I775">
        <v>0</v>
      </c>
      <c r="J775">
        <v>0.7477629501970352</v>
      </c>
      <c r="K775">
        <v>0</v>
      </c>
      <c r="L775">
        <v>0</v>
      </c>
      <c r="M775">
        <v>0.55676545674292011</v>
      </c>
      <c r="N775">
        <v>0</v>
      </c>
      <c r="O775">
        <v>0</v>
      </c>
      <c r="P775">
        <v>0.7206725215408698</v>
      </c>
      <c r="Q775">
        <v>1.4016042628229171</v>
      </c>
      <c r="R775">
        <v>5.8321461150336988</v>
      </c>
      <c r="S775">
        <v>0.19429606196651339</v>
      </c>
      <c r="T775">
        <v>0.1505754072058208</v>
      </c>
      <c r="U775">
        <v>4.2673938428959426</v>
      </c>
      <c r="V775">
        <v>0.22267382584799689</v>
      </c>
      <c r="W775">
        <v>11.81334351638092</v>
      </c>
      <c r="X775">
        <v>0.36764240550768601</v>
      </c>
      <c r="Z775" t="s">
        <v>392</v>
      </c>
      <c r="AA775">
        <v>161</v>
      </c>
      <c r="AB775" t="s">
        <v>5222</v>
      </c>
      <c r="AC775" t="str">
        <f>HYPERLINK("plots/3FT6Y578R04_015_S31P_20251219032831_M5358ACSA301811_RBGEUFRF04/dpll_52094/txpa_53276.png","plot")</f>
        <v>plot</v>
      </c>
    </row>
    <row r="776" spans="1:29" x14ac:dyDescent="0.35">
      <c r="A776" t="s">
        <v>50</v>
      </c>
      <c r="B776">
        <v>52094</v>
      </c>
      <c r="C776" t="s">
        <v>53</v>
      </c>
      <c r="D776">
        <v>53277</v>
      </c>
      <c r="E776" t="s">
        <v>152</v>
      </c>
      <c r="F776">
        <v>11782</v>
      </c>
      <c r="G776">
        <v>0.84527863715103713</v>
      </c>
      <c r="H776">
        <v>0</v>
      </c>
      <c r="I776">
        <v>0</v>
      </c>
      <c r="J776">
        <v>0.74085026100822182</v>
      </c>
      <c r="K776">
        <v>0</v>
      </c>
      <c r="L776">
        <v>0</v>
      </c>
      <c r="M776">
        <v>0.54899216974784626</v>
      </c>
      <c r="N776">
        <v>0</v>
      </c>
      <c r="O776">
        <v>0</v>
      </c>
      <c r="P776">
        <v>0.71449597442391466</v>
      </c>
      <c r="Q776">
        <v>1.3737733049605521</v>
      </c>
      <c r="R776">
        <v>5.967476128205675</v>
      </c>
      <c r="S776">
        <v>0.1933624043599341</v>
      </c>
      <c r="T776">
        <v>0.14918930367306679</v>
      </c>
      <c r="U776">
        <v>4.2673938428959426</v>
      </c>
      <c r="V776">
        <v>0.22267382584799689</v>
      </c>
      <c r="W776">
        <v>11.82990787132915</v>
      </c>
      <c r="X776">
        <v>0.36189647320845902</v>
      </c>
      <c r="Z776" t="s">
        <v>392</v>
      </c>
      <c r="AA776">
        <v>161</v>
      </c>
      <c r="AB776" t="s">
        <v>5223</v>
      </c>
      <c r="AC776" t="str">
        <f>HYPERLINK("plots/3FT6Y578R04_015_S31P_20251219032831_M5358ACSA301811_RBGEUFRF04/dpll_52094/txpa_53277.png","plot")</f>
        <v>plot</v>
      </c>
    </row>
    <row r="777" spans="1:29" x14ac:dyDescent="0.35">
      <c r="A777" t="s">
        <v>50</v>
      </c>
      <c r="B777">
        <v>52094</v>
      </c>
      <c r="C777" t="s">
        <v>53</v>
      </c>
      <c r="D777">
        <v>53278</v>
      </c>
      <c r="E777" t="s">
        <v>153</v>
      </c>
      <c r="F777">
        <v>11781</v>
      </c>
      <c r="G777">
        <v>0.85364691247534341</v>
      </c>
      <c r="H777">
        <v>0</v>
      </c>
      <c r="I777">
        <v>0</v>
      </c>
      <c r="J777">
        <v>0.74906385892737326</v>
      </c>
      <c r="K777">
        <v>0</v>
      </c>
      <c r="L777">
        <v>0</v>
      </c>
      <c r="M777">
        <v>0.55770264816730541</v>
      </c>
      <c r="N777">
        <v>0</v>
      </c>
      <c r="O777">
        <v>0</v>
      </c>
      <c r="P777">
        <v>0.72871305117868657</v>
      </c>
      <c r="Q777">
        <v>1.4010692735831221</v>
      </c>
      <c r="R777">
        <v>5.8625632304832083</v>
      </c>
      <c r="S777">
        <v>0.19035355754997599</v>
      </c>
      <c r="T777">
        <v>0.14848204588762509</v>
      </c>
      <c r="U777">
        <v>4.2674026018164843</v>
      </c>
      <c r="V777">
        <v>0.22268124725346999</v>
      </c>
      <c r="W777">
        <v>11.84148989389695</v>
      </c>
      <c r="X777">
        <v>0.36548114773274532</v>
      </c>
      <c r="Z777" t="s">
        <v>392</v>
      </c>
      <c r="AA777">
        <v>161</v>
      </c>
      <c r="AB777" t="s">
        <v>5224</v>
      </c>
      <c r="AC777" t="str">
        <f>HYPERLINK("plots/3FT6Y578R04_015_S31P_20251219032831_M5358ACSA301811_RBGEUFRF04/dpll_52094/txpa_53278.png","plot")</f>
        <v>plot</v>
      </c>
    </row>
    <row r="778" spans="1:29" x14ac:dyDescent="0.35">
      <c r="A778" t="s">
        <v>50</v>
      </c>
      <c r="B778">
        <v>52094</v>
      </c>
      <c r="C778" t="s">
        <v>53</v>
      </c>
      <c r="D778">
        <v>53279</v>
      </c>
      <c r="E778" t="s">
        <v>154</v>
      </c>
      <c r="F778">
        <v>11781</v>
      </c>
      <c r="G778">
        <v>0.85495181150239019</v>
      </c>
      <c r="H778">
        <v>0</v>
      </c>
      <c r="I778">
        <v>0</v>
      </c>
      <c r="J778">
        <v>0.7488885958404311</v>
      </c>
      <c r="K778">
        <v>0</v>
      </c>
      <c r="L778">
        <v>0</v>
      </c>
      <c r="M778">
        <v>0.55648603826211818</v>
      </c>
      <c r="N778">
        <v>0</v>
      </c>
      <c r="O778">
        <v>0</v>
      </c>
      <c r="P778">
        <v>0.73094259999121858</v>
      </c>
      <c r="Q778">
        <v>1.40325771671838</v>
      </c>
      <c r="R778">
        <v>5.8290133324122744</v>
      </c>
      <c r="S778">
        <v>0.18955883973791299</v>
      </c>
      <c r="T778">
        <v>0.14823395367447401</v>
      </c>
      <c r="U778">
        <v>4.2673648416942536</v>
      </c>
      <c r="V778">
        <v>0.2226610238238293</v>
      </c>
      <c r="W778">
        <v>11.817225976572439</v>
      </c>
      <c r="X778">
        <v>0.36546012966992819</v>
      </c>
      <c r="Z778" t="s">
        <v>392</v>
      </c>
      <c r="AA778">
        <v>161</v>
      </c>
      <c r="AB778" t="s">
        <v>5225</v>
      </c>
      <c r="AC778" t="str">
        <f>HYPERLINK("plots/3FT6Y578R04_015_S31P_20251219032831_M5358ACSA301811_RBGEUFRF04/dpll_52094/txpa_53279.png","plot")</f>
        <v>plot</v>
      </c>
    </row>
    <row r="779" spans="1:29" x14ac:dyDescent="0.35">
      <c r="A779" t="s">
        <v>50</v>
      </c>
      <c r="B779">
        <v>52094</v>
      </c>
      <c r="C779" t="s">
        <v>53</v>
      </c>
      <c r="D779">
        <v>53280</v>
      </c>
      <c r="E779" t="s">
        <v>155</v>
      </c>
      <c r="F779">
        <v>11781</v>
      </c>
      <c r="G779">
        <v>0.85715667405661489</v>
      </c>
      <c r="H779">
        <v>0</v>
      </c>
      <c r="I779">
        <v>0</v>
      </c>
      <c r="J779">
        <v>0.75687665625781775</v>
      </c>
      <c r="K779">
        <v>0</v>
      </c>
      <c r="L779">
        <v>0</v>
      </c>
      <c r="M779">
        <v>0.56475876431356764</v>
      </c>
      <c r="N779">
        <v>0</v>
      </c>
      <c r="O779">
        <v>0</v>
      </c>
      <c r="P779">
        <v>0.73471756387979792</v>
      </c>
      <c r="Q779">
        <v>1.411400442505041</v>
      </c>
      <c r="R779">
        <v>5.8006341879079368</v>
      </c>
      <c r="S779">
        <v>0.18882379050507081</v>
      </c>
      <c r="T779">
        <v>0.14777772813455081</v>
      </c>
      <c r="U779">
        <v>4.2673606822850356</v>
      </c>
      <c r="V779">
        <v>0.2226541824443867</v>
      </c>
      <c r="W779">
        <v>11.82358894321365</v>
      </c>
      <c r="X779">
        <v>0.36662400368459253</v>
      </c>
      <c r="Z779" t="s">
        <v>392</v>
      </c>
      <c r="AA779">
        <v>161</v>
      </c>
      <c r="AB779" t="s">
        <v>5226</v>
      </c>
      <c r="AC779" t="str">
        <f>HYPERLINK("plots/3FT6Y578R04_015_S31P_20251219032831_M5358ACSA301811_RBGEUFRF04/dpll_52094/txpa_53280.png","plot")</f>
        <v>plot</v>
      </c>
    </row>
    <row r="780" spans="1:29" x14ac:dyDescent="0.35">
      <c r="A780" t="s">
        <v>50</v>
      </c>
      <c r="B780">
        <v>52094</v>
      </c>
      <c r="C780" t="s">
        <v>53</v>
      </c>
      <c r="D780">
        <v>53281</v>
      </c>
      <c r="E780" t="s">
        <v>156</v>
      </c>
      <c r="F780">
        <v>11782</v>
      </c>
      <c r="G780">
        <v>0.85470876457446598</v>
      </c>
      <c r="H780">
        <v>0</v>
      </c>
      <c r="I780">
        <v>0</v>
      </c>
      <c r="J780">
        <v>0.74937817886045655</v>
      </c>
      <c r="K780">
        <v>0</v>
      </c>
      <c r="L780">
        <v>0</v>
      </c>
      <c r="M780">
        <v>0.55806206111713252</v>
      </c>
      <c r="N780">
        <v>0</v>
      </c>
      <c r="O780">
        <v>0</v>
      </c>
      <c r="P780">
        <v>0.73052707224040991</v>
      </c>
      <c r="Q780">
        <v>1.3987278662160869</v>
      </c>
      <c r="R780">
        <v>5.8631408602122379</v>
      </c>
      <c r="S780">
        <v>0.1891574191913179</v>
      </c>
      <c r="T780">
        <v>0.1476247085710867</v>
      </c>
      <c r="U780">
        <v>4.2673938428959426</v>
      </c>
      <c r="V780">
        <v>0.22267382584799689</v>
      </c>
      <c r="W780">
        <v>11.832063544389751</v>
      </c>
      <c r="X780">
        <v>0.3644049273855382</v>
      </c>
      <c r="Z780" t="s">
        <v>392</v>
      </c>
      <c r="AA780">
        <v>161</v>
      </c>
      <c r="AB780" t="s">
        <v>5227</v>
      </c>
      <c r="AC780" t="str">
        <f>HYPERLINK("plots/3FT6Y578R04_015_S31P_20251219032831_M5358ACSA301811_RBGEUFRF04/dpll_52094/txpa_53281.png","plot")</f>
        <v>plot</v>
      </c>
    </row>
    <row r="781" spans="1:29" x14ac:dyDescent="0.35">
      <c r="A781" t="s">
        <v>50</v>
      </c>
      <c r="B781">
        <v>52094</v>
      </c>
      <c r="C781" t="s">
        <v>53</v>
      </c>
      <c r="D781">
        <v>53282</v>
      </c>
      <c r="E781" t="s">
        <v>157</v>
      </c>
      <c r="F781">
        <v>11779</v>
      </c>
      <c r="G781">
        <v>0.85067237882615743</v>
      </c>
      <c r="H781">
        <v>0</v>
      </c>
      <c r="I781">
        <v>0</v>
      </c>
      <c r="J781">
        <v>0.74386641654516406</v>
      </c>
      <c r="K781">
        <v>0</v>
      </c>
      <c r="L781">
        <v>0</v>
      </c>
      <c r="M781">
        <v>0.55292911450636228</v>
      </c>
      <c r="N781">
        <v>0</v>
      </c>
      <c r="O781">
        <v>0</v>
      </c>
      <c r="P781">
        <v>0.72364349609775347</v>
      </c>
      <c r="Q781">
        <v>1.3848391362391721</v>
      </c>
      <c r="R781">
        <v>5.8925554150854991</v>
      </c>
      <c r="S781">
        <v>0.1905584139283594</v>
      </c>
      <c r="T781">
        <v>0.1482572926581765</v>
      </c>
      <c r="U781">
        <v>4.267444914423975</v>
      </c>
      <c r="V781">
        <v>0.2226766727826274</v>
      </c>
      <c r="W781">
        <v>11.802280144324641</v>
      </c>
      <c r="X781">
        <v>0.36250309622422211</v>
      </c>
      <c r="Z781" t="s">
        <v>392</v>
      </c>
      <c r="AA781">
        <v>161</v>
      </c>
      <c r="AB781" t="s">
        <v>5228</v>
      </c>
      <c r="AC781" t="str">
        <f>HYPERLINK("plots/3FT6Y578R04_015_S31P_20251219032831_M5358ACSA301811_RBGEUFRF04/dpll_52094/txpa_53282.png","plot")</f>
        <v>plot</v>
      </c>
    </row>
    <row r="782" spans="1:29" x14ac:dyDescent="0.35">
      <c r="A782" t="s">
        <v>50</v>
      </c>
      <c r="B782">
        <v>52094</v>
      </c>
      <c r="C782" t="s">
        <v>53</v>
      </c>
      <c r="D782">
        <v>53283</v>
      </c>
      <c r="E782" t="s">
        <v>158</v>
      </c>
      <c r="F782">
        <v>11782</v>
      </c>
      <c r="G782">
        <v>0.83858694824962132</v>
      </c>
      <c r="H782">
        <v>0</v>
      </c>
      <c r="I782">
        <v>0</v>
      </c>
      <c r="J782">
        <v>0.73753030763608374</v>
      </c>
      <c r="K782">
        <v>0</v>
      </c>
      <c r="L782">
        <v>0</v>
      </c>
      <c r="M782">
        <v>0.54415501653789455</v>
      </c>
      <c r="N782">
        <v>0</v>
      </c>
      <c r="O782">
        <v>0</v>
      </c>
      <c r="P782">
        <v>0.70322806977461305</v>
      </c>
      <c r="Q782">
        <v>1.4018430253830221</v>
      </c>
      <c r="R782">
        <v>6.3455421320357974</v>
      </c>
      <c r="S782">
        <v>0.20277454562715341</v>
      </c>
      <c r="T782">
        <v>0.15506500381598121</v>
      </c>
      <c r="U782">
        <v>4.2673938428959426</v>
      </c>
      <c r="V782">
        <v>0.22267382584799689</v>
      </c>
      <c r="W782">
        <v>12.327758427261919</v>
      </c>
      <c r="X782">
        <v>0.3722377868531403</v>
      </c>
      <c r="Z782" t="s">
        <v>392</v>
      </c>
      <c r="AA782">
        <v>161</v>
      </c>
      <c r="AB782" t="s">
        <v>5229</v>
      </c>
      <c r="AC782" t="str">
        <f>HYPERLINK("plots/3FT6Y578R04_015_S31P_20251219032831_M5358ACSA301811_RBGEUFRF04/dpll_52094/txpa_53283.png","plot")</f>
        <v>plot</v>
      </c>
    </row>
    <row r="783" spans="1:29" x14ac:dyDescent="0.35">
      <c r="A783" t="s">
        <v>50</v>
      </c>
      <c r="B783">
        <v>52094</v>
      </c>
      <c r="C783" t="s">
        <v>53</v>
      </c>
      <c r="D783">
        <v>53284</v>
      </c>
      <c r="E783" t="s">
        <v>159</v>
      </c>
      <c r="F783">
        <v>11782</v>
      </c>
      <c r="G783">
        <v>0.85064687187130905</v>
      </c>
      <c r="H783">
        <v>0</v>
      </c>
      <c r="I783">
        <v>0</v>
      </c>
      <c r="J783">
        <v>0.74895261104018696</v>
      </c>
      <c r="K783">
        <v>0</v>
      </c>
      <c r="L783">
        <v>0</v>
      </c>
      <c r="M783">
        <v>0.55795167294263459</v>
      </c>
      <c r="N783">
        <v>0</v>
      </c>
      <c r="O783">
        <v>0</v>
      </c>
      <c r="P783">
        <v>0.72360010062444324</v>
      </c>
      <c r="Q783">
        <v>1.4329609157896801</v>
      </c>
      <c r="R783">
        <v>6.249410355849438</v>
      </c>
      <c r="S783">
        <v>0.19719900344910429</v>
      </c>
      <c r="T783">
        <v>0.15257782192112199</v>
      </c>
      <c r="U783">
        <v>4.2673938428959426</v>
      </c>
      <c r="V783">
        <v>0.22267382584799689</v>
      </c>
      <c r="W783">
        <v>12.36441894500085</v>
      </c>
      <c r="X783">
        <v>0.37510616915289158</v>
      </c>
      <c r="Z783" t="s">
        <v>392</v>
      </c>
      <c r="AA783">
        <v>161</v>
      </c>
      <c r="AB783" t="s">
        <v>5230</v>
      </c>
      <c r="AC783" t="str">
        <f>HYPERLINK("plots/3FT6Y578R04_015_S31P_20251219032831_M5358ACSA301811_RBGEUFRF04/dpll_52094/txpa_53284.png","plot")</f>
        <v>plot</v>
      </c>
    </row>
    <row r="784" spans="1:29" x14ac:dyDescent="0.35">
      <c r="A784" t="s">
        <v>50</v>
      </c>
      <c r="B784">
        <v>52094</v>
      </c>
      <c r="C784" t="s">
        <v>53</v>
      </c>
      <c r="D784">
        <v>53285</v>
      </c>
      <c r="E784" t="s">
        <v>160</v>
      </c>
      <c r="F784">
        <v>11782</v>
      </c>
      <c r="G784">
        <v>0.847260670342046</v>
      </c>
      <c r="H784">
        <v>0</v>
      </c>
      <c r="I784">
        <v>0</v>
      </c>
      <c r="J784">
        <v>0.74229702231509365</v>
      </c>
      <c r="K784">
        <v>0</v>
      </c>
      <c r="L784">
        <v>0</v>
      </c>
      <c r="M784">
        <v>0.55041565336429499</v>
      </c>
      <c r="N784">
        <v>0</v>
      </c>
      <c r="O784">
        <v>0</v>
      </c>
      <c r="P784">
        <v>0.71785064350845318</v>
      </c>
      <c r="Q784">
        <v>1.4052770420235019</v>
      </c>
      <c r="R784">
        <v>6.3844218952427356</v>
      </c>
      <c r="S784">
        <v>0.19617116717998179</v>
      </c>
      <c r="T784">
        <v>0.15111068348089471</v>
      </c>
      <c r="U784">
        <v>4.2673938428959426</v>
      </c>
      <c r="V784">
        <v>0.22267382584799689</v>
      </c>
      <c r="W784">
        <v>12.381292491936851</v>
      </c>
      <c r="X784">
        <v>0.36932956559567659</v>
      </c>
      <c r="Z784" t="s">
        <v>392</v>
      </c>
      <c r="AA784">
        <v>161</v>
      </c>
      <c r="AB784" t="s">
        <v>5231</v>
      </c>
      <c r="AC784" t="str">
        <f>HYPERLINK("plots/3FT6Y578R04_015_S31P_20251219032831_M5358ACSA301811_RBGEUFRF04/dpll_52094/txpa_53285.png","plot")</f>
        <v>plot</v>
      </c>
    </row>
    <row r="785" spans="1:29" x14ac:dyDescent="0.35">
      <c r="A785" t="s">
        <v>50</v>
      </c>
      <c r="B785">
        <v>52094</v>
      </c>
      <c r="C785" t="s">
        <v>53</v>
      </c>
      <c r="D785">
        <v>53286</v>
      </c>
      <c r="E785" t="s">
        <v>161</v>
      </c>
      <c r="F785">
        <v>11781</v>
      </c>
      <c r="G785">
        <v>0.85531951521827354</v>
      </c>
      <c r="H785">
        <v>0</v>
      </c>
      <c r="I785">
        <v>0</v>
      </c>
      <c r="J785">
        <v>0.75000159286580981</v>
      </c>
      <c r="K785">
        <v>0</v>
      </c>
      <c r="L785">
        <v>0</v>
      </c>
      <c r="M785">
        <v>0.55870381688823201</v>
      </c>
      <c r="N785">
        <v>0</v>
      </c>
      <c r="O785">
        <v>0</v>
      </c>
      <c r="P785">
        <v>0.73157147311322246</v>
      </c>
      <c r="Q785">
        <v>1.432557116116749</v>
      </c>
      <c r="R785">
        <v>6.2798143196190672</v>
      </c>
      <c r="S785">
        <v>0.1932249090684551</v>
      </c>
      <c r="T785">
        <v>0.15049709493663979</v>
      </c>
      <c r="U785">
        <v>4.2674026018164843</v>
      </c>
      <c r="V785">
        <v>0.22268124725346999</v>
      </c>
      <c r="W785">
        <v>12.393112284186399</v>
      </c>
      <c r="X785">
        <v>0.37296425453042958</v>
      </c>
      <c r="Z785" t="s">
        <v>392</v>
      </c>
      <c r="AA785">
        <v>161</v>
      </c>
      <c r="AB785" t="s">
        <v>5232</v>
      </c>
      <c r="AC785" t="str">
        <f>HYPERLINK("plots/3FT6Y578R04_015_S31P_20251219032831_M5358ACSA301811_RBGEUFRF04/dpll_52094/txpa_53286.png","plot")</f>
        <v>plot</v>
      </c>
    </row>
    <row r="786" spans="1:29" x14ac:dyDescent="0.35">
      <c r="A786" t="s">
        <v>50</v>
      </c>
      <c r="B786">
        <v>52094</v>
      </c>
      <c r="C786" t="s">
        <v>53</v>
      </c>
      <c r="D786">
        <v>53287</v>
      </c>
      <c r="E786" t="s">
        <v>162</v>
      </c>
      <c r="F786">
        <v>11781</v>
      </c>
      <c r="G786">
        <v>0.85651381147717909</v>
      </c>
      <c r="H786">
        <v>0</v>
      </c>
      <c r="I786">
        <v>0</v>
      </c>
      <c r="J786">
        <v>0.74993393031914013</v>
      </c>
      <c r="K786">
        <v>0</v>
      </c>
      <c r="L786">
        <v>0</v>
      </c>
      <c r="M786">
        <v>0.55755164680632852</v>
      </c>
      <c r="N786">
        <v>0</v>
      </c>
      <c r="O786">
        <v>0</v>
      </c>
      <c r="P786">
        <v>0.73361590925116471</v>
      </c>
      <c r="Q786">
        <v>1.435045312975707</v>
      </c>
      <c r="R786">
        <v>6.2440863552652548</v>
      </c>
      <c r="S786">
        <v>0.19253564977669621</v>
      </c>
      <c r="T786">
        <v>0.15034642917230129</v>
      </c>
      <c r="U786">
        <v>4.2673648416942536</v>
      </c>
      <c r="V786">
        <v>0.2226610238238293</v>
      </c>
      <c r="W786">
        <v>12.367948270095919</v>
      </c>
      <c r="X786">
        <v>0.37305721675367531</v>
      </c>
      <c r="Z786" t="s">
        <v>392</v>
      </c>
      <c r="AA786">
        <v>161</v>
      </c>
      <c r="AB786" t="s">
        <v>5233</v>
      </c>
      <c r="AC786" t="str">
        <f>HYPERLINK("plots/3FT6Y578R04_015_S31P_20251219032831_M5358ACSA301811_RBGEUFRF04/dpll_52094/txpa_53287.png","plot")</f>
        <v>plot</v>
      </c>
    </row>
    <row r="787" spans="1:29" x14ac:dyDescent="0.35">
      <c r="A787" t="s">
        <v>50</v>
      </c>
      <c r="B787">
        <v>52094</v>
      </c>
      <c r="C787" t="s">
        <v>53</v>
      </c>
      <c r="D787">
        <v>53288</v>
      </c>
      <c r="E787" t="s">
        <v>163</v>
      </c>
      <c r="F787">
        <v>11781</v>
      </c>
      <c r="G787">
        <v>0.85872826654098533</v>
      </c>
      <c r="H787">
        <v>0</v>
      </c>
      <c r="I787">
        <v>0</v>
      </c>
      <c r="J787">
        <v>0.75787779038531955</v>
      </c>
      <c r="K787">
        <v>0</v>
      </c>
      <c r="L787">
        <v>0</v>
      </c>
      <c r="M787">
        <v>0.56583409865196543</v>
      </c>
      <c r="N787">
        <v>0</v>
      </c>
      <c r="O787">
        <v>0</v>
      </c>
      <c r="P787">
        <v>0.73741423575648557</v>
      </c>
      <c r="Q787">
        <v>1.4431269726915501</v>
      </c>
      <c r="R787">
        <v>6.2161745496653742</v>
      </c>
      <c r="S787">
        <v>0.19173296963048569</v>
      </c>
      <c r="T787">
        <v>0.14976022640576819</v>
      </c>
      <c r="U787">
        <v>4.2673606822850356</v>
      </c>
      <c r="V787">
        <v>0.2226541824443867</v>
      </c>
      <c r="W787">
        <v>12.37451785247433</v>
      </c>
      <c r="X787">
        <v>0.37417920055475912</v>
      </c>
      <c r="Z787" t="s">
        <v>392</v>
      </c>
      <c r="AA787">
        <v>161</v>
      </c>
      <c r="AB787" t="s">
        <v>5234</v>
      </c>
      <c r="AC787" t="str">
        <f>HYPERLINK("plots/3FT6Y578R04_015_S31P_20251219032831_M5358ACSA301811_RBGEUFRF04/dpll_52094/txpa_53288.png","plot")</f>
        <v>plot</v>
      </c>
    </row>
    <row r="788" spans="1:29" x14ac:dyDescent="0.35">
      <c r="A788" t="s">
        <v>50</v>
      </c>
      <c r="B788">
        <v>52094</v>
      </c>
      <c r="C788" t="s">
        <v>53</v>
      </c>
      <c r="D788">
        <v>53289</v>
      </c>
      <c r="E788" t="s">
        <v>164</v>
      </c>
      <c r="F788">
        <v>11782</v>
      </c>
      <c r="G788">
        <v>0.85640013607574528</v>
      </c>
      <c r="H788">
        <v>0</v>
      </c>
      <c r="I788">
        <v>0</v>
      </c>
      <c r="J788">
        <v>0.75060943524805446</v>
      </c>
      <c r="K788">
        <v>0</v>
      </c>
      <c r="L788">
        <v>0</v>
      </c>
      <c r="M788">
        <v>0.55931658144234309</v>
      </c>
      <c r="N788">
        <v>0</v>
      </c>
      <c r="O788">
        <v>0</v>
      </c>
      <c r="P788">
        <v>0.73342119307055498</v>
      </c>
      <c r="Q788">
        <v>1.430575405917804</v>
      </c>
      <c r="R788">
        <v>6.2784742780411316</v>
      </c>
      <c r="S788">
        <v>0.19204259978079941</v>
      </c>
      <c r="T788">
        <v>0.14960993976996501</v>
      </c>
      <c r="U788">
        <v>4.2673938428959426</v>
      </c>
      <c r="V788">
        <v>0.22267382584799689</v>
      </c>
      <c r="W788">
        <v>12.383302957053131</v>
      </c>
      <c r="X788">
        <v>0.37196596004696769</v>
      </c>
      <c r="Z788" t="s">
        <v>392</v>
      </c>
      <c r="AA788">
        <v>161</v>
      </c>
      <c r="AB788" t="s">
        <v>5235</v>
      </c>
      <c r="AC788" t="str">
        <f>HYPERLINK("plots/3FT6Y578R04_015_S31P_20251219032831_M5358ACSA301811_RBGEUFRF04/dpll_52094/txpa_53289.png","plot")</f>
        <v>plot</v>
      </c>
    </row>
    <row r="789" spans="1:29" x14ac:dyDescent="0.35">
      <c r="A789" t="s">
        <v>50</v>
      </c>
      <c r="B789">
        <v>52094</v>
      </c>
      <c r="C789" t="s">
        <v>53</v>
      </c>
      <c r="D789">
        <v>53290</v>
      </c>
      <c r="E789" t="s">
        <v>165</v>
      </c>
      <c r="F789">
        <v>11778</v>
      </c>
      <c r="G789">
        <v>0.85237828694702</v>
      </c>
      <c r="H789">
        <v>0</v>
      </c>
      <c r="I789">
        <v>0</v>
      </c>
      <c r="J789">
        <v>0.74452434444472659</v>
      </c>
      <c r="K789">
        <v>0</v>
      </c>
      <c r="L789">
        <v>0</v>
      </c>
      <c r="M789">
        <v>0.55362974850782642</v>
      </c>
      <c r="N789">
        <v>0</v>
      </c>
      <c r="O789">
        <v>0</v>
      </c>
      <c r="P789">
        <v>0.72654874405873637</v>
      </c>
      <c r="Q789">
        <v>1.414925095759864</v>
      </c>
      <c r="R789">
        <v>6.3154008588567727</v>
      </c>
      <c r="S789">
        <v>0.1932747007428311</v>
      </c>
      <c r="T789">
        <v>0.1502890982009758</v>
      </c>
      <c r="U789">
        <v>4.2674730184241803</v>
      </c>
      <c r="V789">
        <v>0.22266523452013909</v>
      </c>
      <c r="W789">
        <v>12.353555528103239</v>
      </c>
      <c r="X789">
        <v>0.36961831747760471</v>
      </c>
      <c r="Z789" t="s">
        <v>392</v>
      </c>
      <c r="AA789">
        <v>161</v>
      </c>
      <c r="AB789" t="s">
        <v>5236</v>
      </c>
      <c r="AC789" t="str">
        <f>HYPERLINK("plots/3FT6Y578R04_015_S31P_20251219032831_M5358ACSA301811_RBGEUFRF04/dpll_52094/txpa_53290.png","plot")</f>
        <v>plot</v>
      </c>
    </row>
    <row r="790" spans="1:29" x14ac:dyDescent="0.35">
      <c r="A790" t="s">
        <v>50</v>
      </c>
      <c r="B790">
        <v>52094</v>
      </c>
      <c r="C790" t="s">
        <v>53</v>
      </c>
      <c r="D790">
        <v>54146</v>
      </c>
      <c r="E790" t="s">
        <v>166</v>
      </c>
      <c r="F790">
        <v>11782</v>
      </c>
      <c r="G790">
        <v>-9.2698391292180948E-3</v>
      </c>
      <c r="H790">
        <v>0.31436322671870259</v>
      </c>
      <c r="I790">
        <v>0.31498449791775152</v>
      </c>
      <c r="J790">
        <v>-1.060745479885424E-2</v>
      </c>
      <c r="K790">
        <v>0.2496106570351562</v>
      </c>
      <c r="L790">
        <v>0.24985706439649399</v>
      </c>
      <c r="M790">
        <v>-7.0471610794086816E-3</v>
      </c>
      <c r="N790">
        <v>0.25129451910195699</v>
      </c>
      <c r="O790">
        <v>0.25154258871607538</v>
      </c>
      <c r="P790">
        <v>8.5929917481582891E-5</v>
      </c>
      <c r="Q790">
        <v>-0.19112278552841649</v>
      </c>
      <c r="R790">
        <v>-10.535653728466711</v>
      </c>
      <c r="S790">
        <v>4.5906306140548283</v>
      </c>
      <c r="T790">
        <v>3.5042886817119419</v>
      </c>
      <c r="U790">
        <v>4.2673938428959426</v>
      </c>
      <c r="V790">
        <v>0.22267382584799689</v>
      </c>
      <c r="W790">
        <v>-11.3512499266678</v>
      </c>
      <c r="X790">
        <v>4.5910226992179028</v>
      </c>
      <c r="Z790" t="s">
        <v>392</v>
      </c>
      <c r="AA790">
        <v>161</v>
      </c>
      <c r="AB790" t="s">
        <v>5237</v>
      </c>
      <c r="AC790" t="str">
        <f>HYPERLINK("plots/3FT6Y578R04_015_S31P_20251219032831_M5358ACSA301811_RBGEUFRF04/dpll_52094/txpa_54146.png","plot")</f>
        <v>plot</v>
      </c>
    </row>
    <row r="791" spans="1:29" x14ac:dyDescent="0.35">
      <c r="A791" t="s">
        <v>50</v>
      </c>
      <c r="B791">
        <v>52094</v>
      </c>
      <c r="C791" t="s">
        <v>53</v>
      </c>
      <c r="D791">
        <v>54147</v>
      </c>
      <c r="E791" t="s">
        <v>167</v>
      </c>
      <c r="F791">
        <v>11782</v>
      </c>
      <c r="G791">
        <v>0.2699717670751921</v>
      </c>
      <c r="H791">
        <v>7.1153684533158206E-196</v>
      </c>
      <c r="I791">
        <v>7.3100137909445217E-196</v>
      </c>
      <c r="J791">
        <v>0.24369305366570909</v>
      </c>
      <c r="K791">
        <v>7.4383706564457936E-159</v>
      </c>
      <c r="L791">
        <v>7.6341172526680516E-159</v>
      </c>
      <c r="M791">
        <v>0.16461745954592921</v>
      </c>
      <c r="N791">
        <v>2.8439398397037539E-157</v>
      </c>
      <c r="O791">
        <v>2.9187803618012209E-157</v>
      </c>
      <c r="P791">
        <v>7.288475501770178E-2</v>
      </c>
      <c r="Q791">
        <v>1.3897067573395609</v>
      </c>
      <c r="R791">
        <v>-27.960410346749761</v>
      </c>
      <c r="S791">
        <v>1.1036272647730681</v>
      </c>
      <c r="T791">
        <v>0.88979660626207868</v>
      </c>
      <c r="U791">
        <v>4.2673938428959426</v>
      </c>
      <c r="V791">
        <v>0.22267382584799689</v>
      </c>
      <c r="W791">
        <v>-22.029984287048041</v>
      </c>
      <c r="X791">
        <v>1.1462358594609121</v>
      </c>
      <c r="Z791" t="s">
        <v>392</v>
      </c>
      <c r="AA791">
        <v>161</v>
      </c>
      <c r="AB791" t="s">
        <v>5238</v>
      </c>
      <c r="AC791" t="str">
        <f>HYPERLINK("plots/3FT6Y578R04_015_S31P_20251219032831_M5358ACSA301811_RBGEUFRF04/dpll_52094/txpa_54147.png","plot")</f>
        <v>plot</v>
      </c>
    </row>
    <row r="792" spans="1:29" x14ac:dyDescent="0.35">
      <c r="A792" t="s">
        <v>50</v>
      </c>
      <c r="B792">
        <v>52094</v>
      </c>
      <c r="C792" t="s">
        <v>53</v>
      </c>
      <c r="D792">
        <v>54148</v>
      </c>
      <c r="E792" t="s">
        <v>168</v>
      </c>
      <c r="F792">
        <v>11782</v>
      </c>
      <c r="G792">
        <v>0.29061396844530868</v>
      </c>
      <c r="H792">
        <v>4.9194485648356241E-228</v>
      </c>
      <c r="I792">
        <v>5.1799801087677283E-228</v>
      </c>
      <c r="J792">
        <v>0.26285940769000782</v>
      </c>
      <c r="K792">
        <v>1.9885652565179281E-185</v>
      </c>
      <c r="L792">
        <v>2.0960552703837619E-185</v>
      </c>
      <c r="M792">
        <v>0.17788906920592151</v>
      </c>
      <c r="N792">
        <v>1.67823171167777E-183</v>
      </c>
      <c r="O792">
        <v>1.7689469393360281E-183</v>
      </c>
      <c r="P792">
        <v>8.4456478655530867E-2</v>
      </c>
      <c r="Q792">
        <v>1.4990993305162199</v>
      </c>
      <c r="R792">
        <v>-28.28183444101786</v>
      </c>
      <c r="S792">
        <v>1.099016371435326</v>
      </c>
      <c r="T792">
        <v>0.87751154450672053</v>
      </c>
      <c r="U792">
        <v>4.2673938428959426</v>
      </c>
      <c r="V792">
        <v>0.22267382584799689</v>
      </c>
      <c r="W792">
        <v>-21.884587188083511</v>
      </c>
      <c r="X792">
        <v>1.148637778968419</v>
      </c>
      <c r="Z792" t="s">
        <v>392</v>
      </c>
      <c r="AA792">
        <v>161</v>
      </c>
      <c r="AB792" t="s">
        <v>5239</v>
      </c>
      <c r="AC792" t="str">
        <f>HYPERLINK("plots/3FT6Y578R04_015_S31P_20251219032831_M5358ACSA301811_RBGEUFRF04/dpll_52094/txpa_54148.png","plot")</f>
        <v>plot</v>
      </c>
    </row>
    <row r="793" spans="1:29" x14ac:dyDescent="0.35">
      <c r="A793" t="s">
        <v>50</v>
      </c>
      <c r="B793">
        <v>52094</v>
      </c>
      <c r="C793" t="s">
        <v>53</v>
      </c>
      <c r="D793">
        <v>54149</v>
      </c>
      <c r="E793" t="s">
        <v>169</v>
      </c>
      <c r="F793">
        <v>11782</v>
      </c>
      <c r="G793">
        <v>0.28968212495284712</v>
      </c>
      <c r="H793">
        <v>1.5983953122449649E-226</v>
      </c>
      <c r="I793">
        <v>1.6812996334194969E-226</v>
      </c>
      <c r="J793">
        <v>0.26054320227974209</v>
      </c>
      <c r="K793">
        <v>4.2801298055789477E-182</v>
      </c>
      <c r="L793">
        <v>4.4881609336681009E-182</v>
      </c>
      <c r="M793">
        <v>0.17624186812828771</v>
      </c>
      <c r="N793">
        <v>3.5004444095536119E-180</v>
      </c>
      <c r="O793">
        <v>3.6705797634822779E-180</v>
      </c>
      <c r="P793">
        <v>8.3915733517196903E-2</v>
      </c>
      <c r="Q793">
        <v>1.4816855577845871</v>
      </c>
      <c r="R793">
        <v>-28.234732905841</v>
      </c>
      <c r="S793">
        <v>1.0900660206861019</v>
      </c>
      <c r="T793">
        <v>0.8689081836564827</v>
      </c>
      <c r="U793">
        <v>4.2673938428959426</v>
      </c>
      <c r="V793">
        <v>0.22267382584799689</v>
      </c>
      <c r="W793">
        <v>-21.911797079443222</v>
      </c>
      <c r="X793">
        <v>1.13894701617962</v>
      </c>
      <c r="Z793" t="s">
        <v>392</v>
      </c>
      <c r="AA793">
        <v>161</v>
      </c>
      <c r="AB793" t="s">
        <v>5240</v>
      </c>
      <c r="AC793" t="str">
        <f>HYPERLINK("plots/3FT6Y578R04_015_S31P_20251219032831_M5358ACSA301811_RBGEUFRF04/dpll_52094/txpa_54149.png","plot")</f>
        <v>plot</v>
      </c>
    </row>
    <row r="794" spans="1:29" x14ac:dyDescent="0.35">
      <c r="A794" t="s">
        <v>50</v>
      </c>
      <c r="B794">
        <v>52094</v>
      </c>
      <c r="C794" t="s">
        <v>53</v>
      </c>
      <c r="D794">
        <v>54150</v>
      </c>
      <c r="E794" t="s">
        <v>170</v>
      </c>
      <c r="F794">
        <v>11782</v>
      </c>
      <c r="G794">
        <v>0.28576738535647228</v>
      </c>
      <c r="H794">
        <v>3.106003608004881E-220</v>
      </c>
      <c r="I794">
        <v>3.2569675889523779E-220</v>
      </c>
      <c r="J794">
        <v>0.26353840413286839</v>
      </c>
      <c r="K794">
        <v>2.0657989527647232E-186</v>
      </c>
      <c r="L794">
        <v>2.179729592199198E-186</v>
      </c>
      <c r="M794">
        <v>0.17811528265952159</v>
      </c>
      <c r="N794">
        <v>3.7295679546873019E-184</v>
      </c>
      <c r="O794">
        <v>3.9352569261736992E-184</v>
      </c>
      <c r="P794">
        <v>8.1662998533474529E-2</v>
      </c>
      <c r="Q794">
        <v>1.4676309801922249</v>
      </c>
      <c r="R794">
        <v>-28.05817049491862</v>
      </c>
      <c r="S794">
        <v>1.0958623108129371</v>
      </c>
      <c r="T794">
        <v>0.87097119519935884</v>
      </c>
      <c r="U794">
        <v>4.2673938428959426</v>
      </c>
      <c r="V794">
        <v>0.22267382584799689</v>
      </c>
      <c r="W794">
        <v>-21.79521108640299</v>
      </c>
      <c r="X794">
        <v>1.143597982270746</v>
      </c>
      <c r="Z794" t="s">
        <v>392</v>
      </c>
      <c r="AA794">
        <v>161</v>
      </c>
      <c r="AB794" t="s">
        <v>5241</v>
      </c>
      <c r="AC794" t="str">
        <f>HYPERLINK("plots/3FT6Y578R04_015_S31P_20251219032831_M5358ACSA301811_RBGEUFRF04/dpll_52094/txpa_54150.png","plot")</f>
        <v>plot</v>
      </c>
    </row>
    <row r="795" spans="1:29" x14ac:dyDescent="0.35">
      <c r="A795" t="s">
        <v>50</v>
      </c>
      <c r="B795">
        <v>52094</v>
      </c>
      <c r="C795" t="s">
        <v>53</v>
      </c>
      <c r="D795">
        <v>54151</v>
      </c>
      <c r="E795" t="s">
        <v>171</v>
      </c>
      <c r="F795">
        <v>11782</v>
      </c>
      <c r="G795">
        <v>0.28038429306515888</v>
      </c>
      <c r="H795">
        <v>9.4514430549740521E-212</v>
      </c>
      <c r="I795">
        <v>9.7993489342982505E-212</v>
      </c>
      <c r="J795">
        <v>0.25422535117657569</v>
      </c>
      <c r="K795">
        <v>3.5612514698797258E-173</v>
      </c>
      <c r="L795">
        <v>3.7075040969795092E-173</v>
      </c>
      <c r="M795">
        <v>0.17184950693490991</v>
      </c>
      <c r="N795">
        <v>1.446267741565022E-171</v>
      </c>
      <c r="O795">
        <v>1.5056627206847351E-171</v>
      </c>
      <c r="P795">
        <v>7.8615351797648905E-2</v>
      </c>
      <c r="Q795">
        <v>1.42236788138649</v>
      </c>
      <c r="R795">
        <v>-27.933059427394241</v>
      </c>
      <c r="S795">
        <v>1.084250126573314</v>
      </c>
      <c r="T795">
        <v>0.86435513085842974</v>
      </c>
      <c r="U795">
        <v>4.2673938428959426</v>
      </c>
      <c r="V795">
        <v>0.22267382584799689</v>
      </c>
      <c r="W795">
        <v>-21.863255488032589</v>
      </c>
      <c r="X795">
        <v>1.1296071347264649</v>
      </c>
      <c r="Z795" t="s">
        <v>392</v>
      </c>
      <c r="AA795">
        <v>161</v>
      </c>
      <c r="AB795" t="s">
        <v>5242</v>
      </c>
      <c r="AC795" t="str">
        <f>HYPERLINK("plots/3FT6Y578R04_015_S31P_20251219032831_M5358ACSA301811_RBGEUFRF04/dpll_52094/txpa_54151.png","plot")</f>
        <v>plot</v>
      </c>
    </row>
    <row r="796" spans="1:29" x14ac:dyDescent="0.35">
      <c r="A796" t="s">
        <v>50</v>
      </c>
      <c r="B796">
        <v>52094</v>
      </c>
      <c r="C796" t="s">
        <v>53</v>
      </c>
      <c r="D796">
        <v>54152</v>
      </c>
      <c r="E796" t="s">
        <v>172</v>
      </c>
      <c r="F796">
        <v>11782</v>
      </c>
      <c r="G796">
        <v>0.27469042950667838</v>
      </c>
      <c r="H796">
        <v>5.5432994789539246E-203</v>
      </c>
      <c r="I796">
        <v>5.7181136029087275E-203</v>
      </c>
      <c r="J796">
        <v>0.2532620007455354</v>
      </c>
      <c r="K796">
        <v>7.7603447638373549E-172</v>
      </c>
      <c r="L796">
        <v>8.0377830342503338E-172</v>
      </c>
      <c r="M796">
        <v>0.1706391553233686</v>
      </c>
      <c r="N796">
        <v>3.8757492395257543E-169</v>
      </c>
      <c r="O796">
        <v>4.0143102440031812E-169</v>
      </c>
      <c r="P796">
        <v>7.545483206256344E-2</v>
      </c>
      <c r="Q796">
        <v>1.396432766537997</v>
      </c>
      <c r="R796">
        <v>-27.857489335995702</v>
      </c>
      <c r="S796">
        <v>1.0884069559204621</v>
      </c>
      <c r="T796">
        <v>0.87014203037900173</v>
      </c>
      <c r="U796">
        <v>4.2673938428959426</v>
      </c>
      <c r="V796">
        <v>0.22267382584799689</v>
      </c>
      <c r="W796">
        <v>-21.898360746053299</v>
      </c>
      <c r="X796">
        <v>1.1319980358360411</v>
      </c>
      <c r="Z796" t="s">
        <v>392</v>
      </c>
      <c r="AA796">
        <v>161</v>
      </c>
      <c r="AB796" t="s">
        <v>5243</v>
      </c>
      <c r="AC796" t="str">
        <f>HYPERLINK("plots/3FT6Y578R04_015_S31P_20251219032831_M5358ACSA301811_RBGEUFRF04/dpll_52094/txpa_54152.png","plot")</f>
        <v>plot</v>
      </c>
    </row>
    <row r="797" spans="1:29" x14ac:dyDescent="0.35">
      <c r="A797" t="s">
        <v>50</v>
      </c>
      <c r="B797">
        <v>52094</v>
      </c>
      <c r="C797" t="s">
        <v>53</v>
      </c>
      <c r="D797">
        <v>54153</v>
      </c>
      <c r="E797" t="s">
        <v>173</v>
      </c>
      <c r="F797">
        <v>11782</v>
      </c>
      <c r="G797">
        <v>0.28430036452201901</v>
      </c>
      <c r="H797">
        <v>6.6505785162059498E-218</v>
      </c>
      <c r="I797">
        <v>6.9522542427142612E-218</v>
      </c>
      <c r="J797">
        <v>0.25452011559625137</v>
      </c>
      <c r="K797">
        <v>1.3834570731191461E-173</v>
      </c>
      <c r="L797">
        <v>1.441752797680178E-173</v>
      </c>
      <c r="M797">
        <v>0.1721921102249519</v>
      </c>
      <c r="N797">
        <v>5.7862193668708638E-172</v>
      </c>
      <c r="O797">
        <v>6.0300374491336646E-172</v>
      </c>
      <c r="P797">
        <v>8.0826697267352893E-2</v>
      </c>
      <c r="Q797">
        <v>1.4744093444784041</v>
      </c>
      <c r="R797">
        <v>-28.22378614702631</v>
      </c>
      <c r="S797">
        <v>1.1071082799839931</v>
      </c>
      <c r="T797">
        <v>0.88408090322273147</v>
      </c>
      <c r="U797">
        <v>4.2673938428959426</v>
      </c>
      <c r="V797">
        <v>0.22267382584799689</v>
      </c>
      <c r="W797">
        <v>-21.931900788490921</v>
      </c>
      <c r="X797">
        <v>1.154808120464494</v>
      </c>
      <c r="Z797" t="s">
        <v>392</v>
      </c>
      <c r="AA797">
        <v>161</v>
      </c>
      <c r="AB797" t="s">
        <v>5244</v>
      </c>
      <c r="AC797" t="str">
        <f>HYPERLINK("plots/3FT6Y578R04_015_S31P_20251219032831_M5358ACSA301811_RBGEUFRF04/dpll_52094/txpa_54153.png","plot")</f>
        <v>plot</v>
      </c>
    </row>
    <row r="798" spans="1:29" x14ac:dyDescent="0.35">
      <c r="A798" t="s">
        <v>50</v>
      </c>
      <c r="B798">
        <v>52094</v>
      </c>
      <c r="C798" t="s">
        <v>53</v>
      </c>
      <c r="D798">
        <v>54154</v>
      </c>
      <c r="E798" t="s">
        <v>174</v>
      </c>
      <c r="F798">
        <v>11782</v>
      </c>
      <c r="G798">
        <v>0.25817758679850689</v>
      </c>
      <c r="H798">
        <v>1.001585206249536E-178</v>
      </c>
      <c r="I798">
        <v>1.017642684506041E-178</v>
      </c>
      <c r="J798">
        <v>0.2317268413290054</v>
      </c>
      <c r="K798">
        <v>2.0788489994946571E-143</v>
      </c>
      <c r="L798">
        <v>2.114295772806001E-143</v>
      </c>
      <c r="M798">
        <v>0.15658792058727389</v>
      </c>
      <c r="N798">
        <v>2.8401250309543901E-142</v>
      </c>
      <c r="O798">
        <v>2.885658097582917E-142</v>
      </c>
      <c r="P798">
        <v>6.6655666325100588E-2</v>
      </c>
      <c r="Q798">
        <v>1.344894734951076</v>
      </c>
      <c r="R798">
        <v>-27.825247211324321</v>
      </c>
      <c r="S798">
        <v>1.1205763275873759</v>
      </c>
      <c r="T798">
        <v>0.90843966974520063</v>
      </c>
      <c r="U798">
        <v>4.2673938428959426</v>
      </c>
      <c r="V798">
        <v>0.22267382584799689</v>
      </c>
      <c r="W798">
        <v>-22.08605170005093</v>
      </c>
      <c r="X798">
        <v>1.159949086626584</v>
      </c>
      <c r="Z798" t="s">
        <v>392</v>
      </c>
      <c r="AA798">
        <v>161</v>
      </c>
      <c r="AB798" t="s">
        <v>5245</v>
      </c>
      <c r="AC798" t="str">
        <f>HYPERLINK("plots/3FT6Y578R04_015_S31P_20251219032831_M5358ACSA301811_RBGEUFRF04/dpll_52094/txpa_54154.png","plot")</f>
        <v>plot</v>
      </c>
    </row>
    <row r="799" spans="1:29" x14ac:dyDescent="0.35">
      <c r="A799" t="s">
        <v>50</v>
      </c>
      <c r="B799">
        <v>52094</v>
      </c>
      <c r="C799" t="s">
        <v>53</v>
      </c>
      <c r="D799">
        <v>54155</v>
      </c>
      <c r="E799" t="s">
        <v>175</v>
      </c>
      <c r="F799">
        <v>11782</v>
      </c>
      <c r="G799">
        <v>0.6032935602031122</v>
      </c>
      <c r="H799">
        <v>0</v>
      </c>
      <c r="I799">
        <v>0</v>
      </c>
      <c r="J799">
        <v>0.52542353942127284</v>
      </c>
      <c r="K799">
        <v>0</v>
      </c>
      <c r="L799">
        <v>0</v>
      </c>
      <c r="M799">
        <v>0.36814346229220812</v>
      </c>
      <c r="N799">
        <v>0</v>
      </c>
      <c r="O799">
        <v>0</v>
      </c>
      <c r="P799">
        <v>0.36396311978254609</v>
      </c>
      <c r="Q799">
        <v>0.83071648726689007</v>
      </c>
      <c r="R799">
        <v>-14.89717807343866</v>
      </c>
      <c r="S799">
        <v>0.2445209247734817</v>
      </c>
      <c r="T799">
        <v>0.19024043388507619</v>
      </c>
      <c r="U799">
        <v>4.2673938428959426</v>
      </c>
      <c r="V799">
        <v>0.22267382584799689</v>
      </c>
      <c r="W799">
        <v>-11.35218365048379</v>
      </c>
      <c r="X799">
        <v>0.30661493942095103</v>
      </c>
      <c r="Z799" t="s">
        <v>392</v>
      </c>
      <c r="AA799">
        <v>161</v>
      </c>
      <c r="AB799" t="s">
        <v>5246</v>
      </c>
      <c r="AC799" t="str">
        <f>HYPERLINK("plots/3FT6Y578R04_015_S31P_20251219032831_M5358ACSA301811_RBGEUFRF04/dpll_52094/txpa_54155.png","plot")</f>
        <v>plot</v>
      </c>
    </row>
    <row r="800" spans="1:29" x14ac:dyDescent="0.35">
      <c r="A800" t="s">
        <v>50</v>
      </c>
      <c r="B800">
        <v>52094</v>
      </c>
      <c r="C800" t="s">
        <v>53</v>
      </c>
      <c r="D800">
        <v>54156</v>
      </c>
      <c r="E800" t="s">
        <v>176</v>
      </c>
      <c r="F800">
        <v>11782</v>
      </c>
      <c r="G800">
        <v>0.62886541060144752</v>
      </c>
      <c r="H800">
        <v>0</v>
      </c>
      <c r="I800">
        <v>0</v>
      </c>
      <c r="J800">
        <v>0.54775662130907798</v>
      </c>
      <c r="K800">
        <v>0</v>
      </c>
      <c r="L800">
        <v>0</v>
      </c>
      <c r="M800">
        <v>0.38665977325942269</v>
      </c>
      <c r="N800">
        <v>0</v>
      </c>
      <c r="O800">
        <v>0</v>
      </c>
      <c r="P800">
        <v>0.39547170465092718</v>
      </c>
      <c r="Q800">
        <v>0.86942281651737219</v>
      </c>
      <c r="R800">
        <v>-14.995955943117</v>
      </c>
      <c r="S800">
        <v>0.23934942125659439</v>
      </c>
      <c r="T800">
        <v>0.1863118489232905</v>
      </c>
      <c r="U800">
        <v>4.2673938428959426</v>
      </c>
      <c r="V800">
        <v>0.22267382584799689</v>
      </c>
      <c r="W800">
        <v>-11.28578636903752</v>
      </c>
      <c r="X800">
        <v>0.30785236645200009</v>
      </c>
      <c r="Z800" t="s">
        <v>392</v>
      </c>
      <c r="AA800">
        <v>161</v>
      </c>
      <c r="AB800" t="s">
        <v>5247</v>
      </c>
      <c r="AC800" t="str">
        <f>HYPERLINK("plots/3FT6Y578R04_015_S31P_20251219032831_M5358ACSA301811_RBGEUFRF04/dpll_52094/txpa_54156.png","plot")</f>
        <v>plot</v>
      </c>
    </row>
    <row r="801" spans="1:29" x14ac:dyDescent="0.35">
      <c r="A801" t="s">
        <v>50</v>
      </c>
      <c r="B801">
        <v>52094</v>
      </c>
      <c r="C801" t="s">
        <v>53</v>
      </c>
      <c r="D801">
        <v>54157</v>
      </c>
      <c r="E801" t="s">
        <v>177</v>
      </c>
      <c r="F801">
        <v>11782</v>
      </c>
      <c r="G801">
        <v>0.62392585617847351</v>
      </c>
      <c r="H801">
        <v>0</v>
      </c>
      <c r="I801">
        <v>0</v>
      </c>
      <c r="J801">
        <v>0.53685786680048309</v>
      </c>
      <c r="K801">
        <v>0</v>
      </c>
      <c r="L801">
        <v>0</v>
      </c>
      <c r="M801">
        <v>0.37829141433131908</v>
      </c>
      <c r="N801">
        <v>0</v>
      </c>
      <c r="O801">
        <v>0</v>
      </c>
      <c r="P801">
        <v>0.3892834740080412</v>
      </c>
      <c r="Q801">
        <v>0.84575363274891446</v>
      </c>
      <c r="R801">
        <v>-14.892602414682161</v>
      </c>
      <c r="S801">
        <v>0.23587475608965849</v>
      </c>
      <c r="T801">
        <v>0.18362980085696379</v>
      </c>
      <c r="U801">
        <v>4.2673938428959426</v>
      </c>
      <c r="V801">
        <v>0.22267382584799689</v>
      </c>
      <c r="W801">
        <v>-11.28343856968257</v>
      </c>
      <c r="X801">
        <v>0.30184227062257141</v>
      </c>
      <c r="Z801" t="s">
        <v>392</v>
      </c>
      <c r="AA801">
        <v>161</v>
      </c>
      <c r="AB801" t="s">
        <v>5248</v>
      </c>
      <c r="AC801" t="str">
        <f>HYPERLINK("plots/3FT6Y578R04_015_S31P_20251219032831_M5358ACSA301811_RBGEUFRF04/dpll_52094/txpa_54157.png","plot")</f>
        <v>plot</v>
      </c>
    </row>
    <row r="802" spans="1:29" x14ac:dyDescent="0.35">
      <c r="A802" t="s">
        <v>50</v>
      </c>
      <c r="B802">
        <v>52094</v>
      </c>
      <c r="C802" t="s">
        <v>53</v>
      </c>
      <c r="D802">
        <v>54158</v>
      </c>
      <c r="E802" t="s">
        <v>178</v>
      </c>
      <c r="F802">
        <v>11781</v>
      </c>
      <c r="G802">
        <v>0.64006361703426062</v>
      </c>
      <c r="H802">
        <v>0</v>
      </c>
      <c r="I802">
        <v>0</v>
      </c>
      <c r="J802">
        <v>0.54907520738629412</v>
      </c>
      <c r="K802">
        <v>0</v>
      </c>
      <c r="L802">
        <v>0</v>
      </c>
      <c r="M802">
        <v>0.38771698230430462</v>
      </c>
      <c r="N802">
        <v>0</v>
      </c>
      <c r="O802">
        <v>0</v>
      </c>
      <c r="P802">
        <v>0.40968143385098071</v>
      </c>
      <c r="Q802">
        <v>0.88243063453529702</v>
      </c>
      <c r="R802">
        <v>-14.997196692367821</v>
      </c>
      <c r="S802">
        <v>0.23586628616044469</v>
      </c>
      <c r="T802">
        <v>0.1844161865296417</v>
      </c>
      <c r="U802">
        <v>4.2674026018164843</v>
      </c>
      <c r="V802">
        <v>0.22268124725346999</v>
      </c>
      <c r="W802">
        <v>-11.23150990662932</v>
      </c>
      <c r="X802">
        <v>0.30700191212785799</v>
      </c>
      <c r="Z802" t="s">
        <v>392</v>
      </c>
      <c r="AA802">
        <v>161</v>
      </c>
      <c r="AB802" t="s">
        <v>5249</v>
      </c>
      <c r="AC802" t="str">
        <f>HYPERLINK("plots/3FT6Y578R04_015_S31P_20251219032831_M5358ACSA301811_RBGEUFRF04/dpll_52094/txpa_54158.png","plot")</f>
        <v>plot</v>
      </c>
    </row>
    <row r="803" spans="1:29" x14ac:dyDescent="0.35">
      <c r="A803" t="s">
        <v>50</v>
      </c>
      <c r="B803">
        <v>52094</v>
      </c>
      <c r="C803" t="s">
        <v>53</v>
      </c>
      <c r="D803">
        <v>54159</v>
      </c>
      <c r="E803" t="s">
        <v>179</v>
      </c>
      <c r="F803">
        <v>11781</v>
      </c>
      <c r="G803">
        <v>0.63856464549556691</v>
      </c>
      <c r="H803">
        <v>0</v>
      </c>
      <c r="I803">
        <v>0</v>
      </c>
      <c r="J803">
        <v>0.54269082719792106</v>
      </c>
      <c r="K803">
        <v>0</v>
      </c>
      <c r="L803">
        <v>0</v>
      </c>
      <c r="M803">
        <v>0.38180641835953749</v>
      </c>
      <c r="N803">
        <v>0</v>
      </c>
      <c r="O803">
        <v>0</v>
      </c>
      <c r="P803">
        <v>0.40776480647687902</v>
      </c>
      <c r="Q803">
        <v>0.87572585052675245</v>
      </c>
      <c r="R803">
        <v>-14.99061042971762</v>
      </c>
      <c r="S803">
        <v>0.23498285424092669</v>
      </c>
      <c r="T803">
        <v>0.18465819604022771</v>
      </c>
      <c r="U803">
        <v>4.2673648416942536</v>
      </c>
      <c r="V803">
        <v>0.2226610238238293</v>
      </c>
      <c r="W803">
        <v>-11.25356872421696</v>
      </c>
      <c r="X803">
        <v>0.30535673379780609</v>
      </c>
      <c r="Z803" t="s">
        <v>392</v>
      </c>
      <c r="AA803">
        <v>161</v>
      </c>
      <c r="AB803" t="s">
        <v>5250</v>
      </c>
      <c r="AC803" t="str">
        <f>HYPERLINK("plots/3FT6Y578R04_015_S31P_20251219032831_M5358ACSA301811_RBGEUFRF04/dpll_52094/txpa_54159.png","plot")</f>
        <v>plot</v>
      </c>
    </row>
    <row r="804" spans="1:29" x14ac:dyDescent="0.35">
      <c r="A804" t="s">
        <v>50</v>
      </c>
      <c r="B804">
        <v>52094</v>
      </c>
      <c r="C804" t="s">
        <v>53</v>
      </c>
      <c r="D804">
        <v>54160</v>
      </c>
      <c r="E804" t="s">
        <v>180</v>
      </c>
      <c r="F804">
        <v>11782</v>
      </c>
      <c r="G804">
        <v>0.64151969552347765</v>
      </c>
      <c r="H804">
        <v>0</v>
      </c>
      <c r="I804">
        <v>0</v>
      </c>
      <c r="J804">
        <v>0.55767237711653161</v>
      </c>
      <c r="K804">
        <v>0</v>
      </c>
      <c r="L804">
        <v>0</v>
      </c>
      <c r="M804">
        <v>0.39447834181167091</v>
      </c>
      <c r="N804">
        <v>0</v>
      </c>
      <c r="O804">
        <v>0</v>
      </c>
      <c r="P804">
        <v>0.41154751974453552</v>
      </c>
      <c r="Q804">
        <v>0.87821463180749726</v>
      </c>
      <c r="R804">
        <v>-15.016575551593</v>
      </c>
      <c r="S804">
        <v>0.23382832185391991</v>
      </c>
      <c r="T804">
        <v>0.18314208557265849</v>
      </c>
      <c r="U804">
        <v>4.2673938428959426</v>
      </c>
      <c r="V804">
        <v>0.22267382584799689</v>
      </c>
      <c r="W804">
        <v>-11.268887839076561</v>
      </c>
      <c r="X804">
        <v>0.30483150142521009</v>
      </c>
      <c r="Z804" t="s">
        <v>392</v>
      </c>
      <c r="AA804">
        <v>161</v>
      </c>
      <c r="AB804" t="s">
        <v>5251</v>
      </c>
      <c r="AC804" t="str">
        <f>HYPERLINK("plots/3FT6Y578R04_015_S31P_20251219032831_M5358ACSA301811_RBGEUFRF04/dpll_52094/txpa_54160.png","plot")</f>
        <v>plot</v>
      </c>
    </row>
    <row r="805" spans="1:29" x14ac:dyDescent="0.35">
      <c r="A805" t="s">
        <v>50</v>
      </c>
      <c r="B805">
        <v>52094</v>
      </c>
      <c r="C805" t="s">
        <v>53</v>
      </c>
      <c r="D805">
        <v>54161</v>
      </c>
      <c r="E805" t="s">
        <v>181</v>
      </c>
      <c r="F805">
        <v>11782</v>
      </c>
      <c r="G805">
        <v>0.63978609715793899</v>
      </c>
      <c r="H805">
        <v>0</v>
      </c>
      <c r="I805">
        <v>0</v>
      </c>
      <c r="J805">
        <v>0.5512661632366973</v>
      </c>
      <c r="K805">
        <v>0</v>
      </c>
      <c r="L805">
        <v>0</v>
      </c>
      <c r="M805">
        <v>0.38914142031804128</v>
      </c>
      <c r="N805">
        <v>0</v>
      </c>
      <c r="O805">
        <v>0</v>
      </c>
      <c r="P805">
        <v>0.40932625011658769</v>
      </c>
      <c r="Q805">
        <v>0.86743459277039303</v>
      </c>
      <c r="R805">
        <v>-14.973331204791529</v>
      </c>
      <c r="S805">
        <v>0.23202058331495351</v>
      </c>
      <c r="T805">
        <v>0.1818979347000213</v>
      </c>
      <c r="U805">
        <v>4.2673938428959426</v>
      </c>
      <c r="V805">
        <v>0.22267382584799689</v>
      </c>
      <c r="W805">
        <v>-11.2716461644882</v>
      </c>
      <c r="X805">
        <v>0.30190555922224099</v>
      </c>
      <c r="Z805" t="s">
        <v>392</v>
      </c>
      <c r="AA805">
        <v>161</v>
      </c>
      <c r="AB805" t="s">
        <v>5252</v>
      </c>
      <c r="AC805" t="str">
        <f>HYPERLINK("plots/3FT6Y578R04_015_S31P_20251219032831_M5358ACSA301811_RBGEUFRF04/dpll_52094/txpa_54161.png","plot")</f>
        <v>plot</v>
      </c>
    </row>
    <row r="806" spans="1:29" x14ac:dyDescent="0.35">
      <c r="A806" t="s">
        <v>50</v>
      </c>
      <c r="B806">
        <v>52094</v>
      </c>
      <c r="C806" t="s">
        <v>53</v>
      </c>
      <c r="D806">
        <v>54162</v>
      </c>
      <c r="E806" t="s">
        <v>182</v>
      </c>
      <c r="F806">
        <v>11781</v>
      </c>
      <c r="G806">
        <v>0.62706465370209274</v>
      </c>
      <c r="H806">
        <v>0</v>
      </c>
      <c r="I806">
        <v>0</v>
      </c>
      <c r="J806">
        <v>0.54081875489302411</v>
      </c>
      <c r="K806">
        <v>0</v>
      </c>
      <c r="L806">
        <v>0</v>
      </c>
      <c r="M806">
        <v>0.38179753815160339</v>
      </c>
      <c r="N806">
        <v>0</v>
      </c>
      <c r="O806">
        <v>0</v>
      </c>
      <c r="P806">
        <v>0.39321007992252549</v>
      </c>
      <c r="Q806">
        <v>0.85628740474784726</v>
      </c>
      <c r="R806">
        <v>-14.996232048945879</v>
      </c>
      <c r="S806">
        <v>0.2368457931530023</v>
      </c>
      <c r="T806">
        <v>0.18531213272585489</v>
      </c>
      <c r="U806">
        <v>4.2674179181733303</v>
      </c>
      <c r="V806">
        <v>0.22266794157249609</v>
      </c>
      <c r="W806">
        <v>-11.34209583481878</v>
      </c>
      <c r="X806">
        <v>0.3040639472883459</v>
      </c>
      <c r="Z806" t="s">
        <v>392</v>
      </c>
      <c r="AA806">
        <v>161</v>
      </c>
      <c r="AB806" t="s">
        <v>5253</v>
      </c>
      <c r="AC806" t="str">
        <f>HYPERLINK("plots/3FT6Y578R04_015_S31P_20251219032831_M5358ACSA301811_RBGEUFRF04/dpll_52094/txpa_54162.png","plot")</f>
        <v>plot</v>
      </c>
    </row>
    <row r="807" spans="1:29" x14ac:dyDescent="0.35">
      <c r="A807" t="s">
        <v>50</v>
      </c>
      <c r="B807">
        <v>52094</v>
      </c>
      <c r="C807" t="s">
        <v>53</v>
      </c>
      <c r="D807">
        <v>54163</v>
      </c>
      <c r="E807" t="s">
        <v>183</v>
      </c>
      <c r="F807">
        <v>11782</v>
      </c>
      <c r="G807">
        <v>0.61903917968053712</v>
      </c>
      <c r="H807">
        <v>0</v>
      </c>
      <c r="I807">
        <v>0</v>
      </c>
      <c r="J807">
        <v>0.54468112630109389</v>
      </c>
      <c r="K807">
        <v>0</v>
      </c>
      <c r="L807">
        <v>0</v>
      </c>
      <c r="M807">
        <v>0.3831035371325695</v>
      </c>
      <c r="N807">
        <v>0</v>
      </c>
      <c r="O807">
        <v>0</v>
      </c>
      <c r="P807">
        <v>0.38320950597955228</v>
      </c>
      <c r="Q807">
        <v>0.7449177031976798</v>
      </c>
      <c r="R807">
        <v>-8.5756616187489367</v>
      </c>
      <c r="S807">
        <v>0.21043100740496709</v>
      </c>
      <c r="T807">
        <v>0.1620225264703701</v>
      </c>
      <c r="U807">
        <v>4.2673938428959426</v>
      </c>
      <c r="V807">
        <v>0.22267382584799689</v>
      </c>
      <c r="W807">
        <v>-5.3968043986589711</v>
      </c>
      <c r="X807">
        <v>0.26795343551361489</v>
      </c>
      <c r="Z807" t="s">
        <v>392</v>
      </c>
      <c r="AA807">
        <v>161</v>
      </c>
      <c r="AB807" t="s">
        <v>5254</v>
      </c>
      <c r="AC807" t="str">
        <f>HYPERLINK("plots/3FT6Y578R04_015_S31P_20251219032831_M5358ACSA301811_RBGEUFRF04/dpll_52094/txpa_54163.png","plot")</f>
        <v>plot</v>
      </c>
    </row>
    <row r="808" spans="1:29" x14ac:dyDescent="0.35">
      <c r="A808" t="s">
        <v>50</v>
      </c>
      <c r="B808">
        <v>52094</v>
      </c>
      <c r="C808" t="s">
        <v>53</v>
      </c>
      <c r="D808">
        <v>54164</v>
      </c>
      <c r="E808" t="s">
        <v>184</v>
      </c>
      <c r="F808">
        <v>11782</v>
      </c>
      <c r="G808">
        <v>0.64418165725291188</v>
      </c>
      <c r="H808">
        <v>0</v>
      </c>
      <c r="I808">
        <v>0</v>
      </c>
      <c r="J808">
        <v>0.56185140624264729</v>
      </c>
      <c r="K808">
        <v>0</v>
      </c>
      <c r="L808">
        <v>0</v>
      </c>
      <c r="M808">
        <v>0.39789640421570438</v>
      </c>
      <c r="N808">
        <v>0</v>
      </c>
      <c r="O808">
        <v>0</v>
      </c>
      <c r="P808">
        <v>0.41497000754110802</v>
      </c>
      <c r="Q808">
        <v>0.77706839345781009</v>
      </c>
      <c r="R808">
        <v>-8.6669379056748515</v>
      </c>
      <c r="S808">
        <v>0.20544269141443861</v>
      </c>
      <c r="T808">
        <v>0.15961616492103009</v>
      </c>
      <c r="U808">
        <v>4.2673938428959426</v>
      </c>
      <c r="V808">
        <v>0.22267382584799689</v>
      </c>
      <c r="W808">
        <v>-5.3508810279239514</v>
      </c>
      <c r="X808">
        <v>0.26860869161456541</v>
      </c>
      <c r="Z808" t="s">
        <v>392</v>
      </c>
      <c r="AA808">
        <v>161</v>
      </c>
      <c r="AB808" t="s">
        <v>5255</v>
      </c>
      <c r="AC808" t="str">
        <f>HYPERLINK("plots/3FT6Y578R04_015_S31P_20251219032831_M5358ACSA301811_RBGEUFRF04/dpll_52094/txpa_54164.png","plot")</f>
        <v>plot</v>
      </c>
    </row>
    <row r="809" spans="1:29" x14ac:dyDescent="0.35">
      <c r="A809" t="s">
        <v>50</v>
      </c>
      <c r="B809">
        <v>52094</v>
      </c>
      <c r="C809" t="s">
        <v>53</v>
      </c>
      <c r="D809">
        <v>54165</v>
      </c>
      <c r="E809" t="s">
        <v>185</v>
      </c>
      <c r="F809">
        <v>11782</v>
      </c>
      <c r="G809">
        <v>0.6349873291859951</v>
      </c>
      <c r="H809">
        <v>0</v>
      </c>
      <c r="I809">
        <v>0</v>
      </c>
      <c r="J809">
        <v>0.5504515665074069</v>
      </c>
      <c r="K809">
        <v>0</v>
      </c>
      <c r="L809">
        <v>0</v>
      </c>
      <c r="M809">
        <v>0.38873237540085409</v>
      </c>
      <c r="N809">
        <v>0</v>
      </c>
      <c r="O809">
        <v>0</v>
      </c>
      <c r="P809">
        <v>0.40320890822676331</v>
      </c>
      <c r="Q809">
        <v>0.7525643424269387</v>
      </c>
      <c r="R809">
        <v>-8.5575804527139088</v>
      </c>
      <c r="S809">
        <v>0.20386397285731361</v>
      </c>
      <c r="T809">
        <v>0.1588648383104157</v>
      </c>
      <c r="U809">
        <v>4.2673938428959426</v>
      </c>
      <c r="V809">
        <v>0.22267382584799689</v>
      </c>
      <c r="W809">
        <v>-5.3460920114581567</v>
      </c>
      <c r="X809">
        <v>0.26390507908214228</v>
      </c>
      <c r="Z809" t="s">
        <v>392</v>
      </c>
      <c r="AA809">
        <v>161</v>
      </c>
      <c r="AB809" t="s">
        <v>5256</v>
      </c>
      <c r="AC809" t="str">
        <f>HYPERLINK("plots/3FT6Y578R04_015_S31P_20251219032831_M5358ACSA301811_RBGEUFRF04/dpll_52094/txpa_54165.png","plot")</f>
        <v>plot</v>
      </c>
    </row>
    <row r="810" spans="1:29" x14ac:dyDescent="0.35">
      <c r="A810" t="s">
        <v>50</v>
      </c>
      <c r="B810">
        <v>52094</v>
      </c>
      <c r="C810" t="s">
        <v>53</v>
      </c>
      <c r="D810">
        <v>54166</v>
      </c>
      <c r="E810" t="s">
        <v>186</v>
      </c>
      <c r="F810">
        <v>11781</v>
      </c>
      <c r="G810">
        <v>0.65535664972017293</v>
      </c>
      <c r="H810">
        <v>0</v>
      </c>
      <c r="I810">
        <v>0</v>
      </c>
      <c r="J810">
        <v>0.56435205457616866</v>
      </c>
      <c r="K810">
        <v>0</v>
      </c>
      <c r="L810">
        <v>0</v>
      </c>
      <c r="M810">
        <v>0.40023284848455309</v>
      </c>
      <c r="N810">
        <v>0</v>
      </c>
      <c r="O810">
        <v>0</v>
      </c>
      <c r="P810">
        <v>0.42949233833244937</v>
      </c>
      <c r="Q810">
        <v>0.7914443268459358</v>
      </c>
      <c r="R810">
        <v>-8.690725058057545</v>
      </c>
      <c r="S810">
        <v>0.2031134172290272</v>
      </c>
      <c r="T810">
        <v>0.1586719244641196</v>
      </c>
      <c r="U810">
        <v>4.2674026018164843</v>
      </c>
      <c r="V810">
        <v>0.22268124725346999</v>
      </c>
      <c r="W810">
        <v>-5.3133134784823017</v>
      </c>
      <c r="X810">
        <v>0.26892198302861142</v>
      </c>
      <c r="Z810" t="s">
        <v>392</v>
      </c>
      <c r="AA810">
        <v>161</v>
      </c>
      <c r="AB810" t="s">
        <v>5257</v>
      </c>
      <c r="AC810" t="str">
        <f>HYPERLINK("plots/3FT6Y578R04_015_S31P_20251219032831_M5358ACSA301811_RBGEUFRF04/dpll_52094/txpa_54166.png","plot")</f>
        <v>plot</v>
      </c>
    </row>
    <row r="811" spans="1:29" x14ac:dyDescent="0.35">
      <c r="A811" t="s">
        <v>50</v>
      </c>
      <c r="B811">
        <v>52094</v>
      </c>
      <c r="C811" t="s">
        <v>53</v>
      </c>
      <c r="D811">
        <v>54167</v>
      </c>
      <c r="E811" t="s">
        <v>187</v>
      </c>
      <c r="F811">
        <v>11781</v>
      </c>
      <c r="G811">
        <v>0.65372584030274616</v>
      </c>
      <c r="H811">
        <v>0</v>
      </c>
      <c r="I811">
        <v>0</v>
      </c>
      <c r="J811">
        <v>0.55976425140132235</v>
      </c>
      <c r="K811">
        <v>0</v>
      </c>
      <c r="L811">
        <v>0</v>
      </c>
      <c r="M811">
        <v>0.39540004320578198</v>
      </c>
      <c r="N811">
        <v>0</v>
      </c>
      <c r="O811">
        <v>0</v>
      </c>
      <c r="P811">
        <v>0.42735747427953158</v>
      </c>
      <c r="Q811">
        <v>0.78219044701523222</v>
      </c>
      <c r="R811">
        <v>-8.672023851655517</v>
      </c>
      <c r="S811">
        <v>0.20159716606931061</v>
      </c>
      <c r="T811">
        <v>0.15824238563708479</v>
      </c>
      <c r="U811">
        <v>4.2673648416942536</v>
      </c>
      <c r="V811">
        <v>0.2226610238238293</v>
      </c>
      <c r="W811">
        <v>-5.3341318385536027</v>
      </c>
      <c r="X811">
        <v>0.26641646240719769</v>
      </c>
      <c r="Z811" t="s">
        <v>392</v>
      </c>
      <c r="AA811">
        <v>161</v>
      </c>
      <c r="AB811" t="s">
        <v>5258</v>
      </c>
      <c r="AC811" t="str">
        <f>HYPERLINK("plots/3FT6Y578R04_015_S31P_20251219032831_M5358ACSA301811_RBGEUFRF04/dpll_52094/txpa_54167.png","plot")</f>
        <v>plot</v>
      </c>
    </row>
    <row r="812" spans="1:29" x14ac:dyDescent="0.35">
      <c r="A812" t="s">
        <v>50</v>
      </c>
      <c r="B812">
        <v>52094</v>
      </c>
      <c r="C812" t="s">
        <v>53</v>
      </c>
      <c r="D812">
        <v>54168</v>
      </c>
      <c r="E812" t="s">
        <v>188</v>
      </c>
      <c r="F812">
        <v>11782</v>
      </c>
      <c r="G812">
        <v>0.65877125506132395</v>
      </c>
      <c r="H812">
        <v>0</v>
      </c>
      <c r="I812">
        <v>0</v>
      </c>
      <c r="J812">
        <v>0.57364382677000803</v>
      </c>
      <c r="K812">
        <v>0</v>
      </c>
      <c r="L812">
        <v>0</v>
      </c>
      <c r="M812">
        <v>0.40722170875090391</v>
      </c>
      <c r="N812">
        <v>0</v>
      </c>
      <c r="O812">
        <v>0</v>
      </c>
      <c r="P812">
        <v>0.43397956649507191</v>
      </c>
      <c r="Q812">
        <v>0.79127883529173182</v>
      </c>
      <c r="R812">
        <v>-8.7129591254600989</v>
      </c>
      <c r="S812">
        <v>0.2012156256423473</v>
      </c>
      <c r="T812">
        <v>0.1573895934043954</v>
      </c>
      <c r="U812">
        <v>4.2673938428959426</v>
      </c>
      <c r="V812">
        <v>0.22267382584799689</v>
      </c>
      <c r="W812">
        <v>-5.3362606957222889</v>
      </c>
      <c r="X812">
        <v>0.26746322674712802</v>
      </c>
      <c r="Z812" t="s">
        <v>392</v>
      </c>
      <c r="AA812">
        <v>161</v>
      </c>
      <c r="AB812" t="s">
        <v>5259</v>
      </c>
      <c r="AC812" t="str">
        <f>HYPERLINK("plots/3FT6Y578R04_015_S31P_20251219032831_M5358ACSA301811_RBGEUFRF04/dpll_52094/txpa_54168.png","plot")</f>
        <v>plot</v>
      </c>
    </row>
    <row r="813" spans="1:29" x14ac:dyDescent="0.35">
      <c r="A813" t="s">
        <v>50</v>
      </c>
      <c r="B813">
        <v>52094</v>
      </c>
      <c r="C813" t="s">
        <v>53</v>
      </c>
      <c r="D813">
        <v>54169</v>
      </c>
      <c r="E813" t="s">
        <v>189</v>
      </c>
      <c r="F813">
        <v>11782</v>
      </c>
      <c r="G813">
        <v>0.65469647046493029</v>
      </c>
      <c r="H813">
        <v>0</v>
      </c>
      <c r="I813">
        <v>0</v>
      </c>
      <c r="J813">
        <v>0.56331390944038784</v>
      </c>
      <c r="K813">
        <v>0</v>
      </c>
      <c r="L813">
        <v>0</v>
      </c>
      <c r="M813">
        <v>0.39818352892107478</v>
      </c>
      <c r="N813">
        <v>0</v>
      </c>
      <c r="O813">
        <v>0</v>
      </c>
      <c r="P813">
        <v>0.42862746843923732</v>
      </c>
      <c r="Q813">
        <v>0.77580401732571713</v>
      </c>
      <c r="R813">
        <v>-8.6462150136163256</v>
      </c>
      <c r="S813">
        <v>0.19944467401233959</v>
      </c>
      <c r="T813">
        <v>0.1567032358884469</v>
      </c>
      <c r="U813">
        <v>4.2673938428959426</v>
      </c>
      <c r="V813">
        <v>0.22267382584799689</v>
      </c>
      <c r="W813">
        <v>-5.3355537267866238</v>
      </c>
      <c r="X813">
        <v>0.26386464024081929</v>
      </c>
      <c r="Z813" t="s">
        <v>392</v>
      </c>
      <c r="AA813">
        <v>161</v>
      </c>
      <c r="AB813" t="s">
        <v>5260</v>
      </c>
      <c r="AC813" t="str">
        <f>HYPERLINK("plots/3FT6Y578R04_015_S31P_20251219032831_M5358ACSA301811_RBGEUFRF04/dpll_52094/txpa_54169.png","plot")</f>
        <v>plot</v>
      </c>
    </row>
    <row r="814" spans="1:29" x14ac:dyDescent="0.35">
      <c r="A814" t="s">
        <v>50</v>
      </c>
      <c r="B814">
        <v>52094</v>
      </c>
      <c r="C814" t="s">
        <v>53</v>
      </c>
      <c r="D814">
        <v>54170</v>
      </c>
      <c r="E814" t="s">
        <v>190</v>
      </c>
      <c r="F814">
        <v>11781</v>
      </c>
      <c r="G814">
        <v>0.64253658366530486</v>
      </c>
      <c r="H814">
        <v>0</v>
      </c>
      <c r="I814">
        <v>0</v>
      </c>
      <c r="J814">
        <v>0.55403014033124154</v>
      </c>
      <c r="K814">
        <v>0</v>
      </c>
      <c r="L814">
        <v>0</v>
      </c>
      <c r="M814">
        <v>0.39243796426706667</v>
      </c>
      <c r="N814">
        <v>0</v>
      </c>
      <c r="O814">
        <v>0</v>
      </c>
      <c r="P814">
        <v>0.41285326134828132</v>
      </c>
      <c r="Q814">
        <v>0.7680956673660545</v>
      </c>
      <c r="R814">
        <v>-8.6582521244928792</v>
      </c>
      <c r="S814">
        <v>0.20395297450954469</v>
      </c>
      <c r="T814">
        <v>0.15898047083266509</v>
      </c>
      <c r="U814">
        <v>4.2674179181733303</v>
      </c>
      <c r="V814">
        <v>0.22266794157249609</v>
      </c>
      <c r="W814">
        <v>-5.3804669107036753</v>
      </c>
      <c r="X814">
        <v>0.26617983400652728</v>
      </c>
      <c r="Z814" t="s">
        <v>392</v>
      </c>
      <c r="AA814">
        <v>161</v>
      </c>
      <c r="AB814" t="s">
        <v>5261</v>
      </c>
      <c r="AC814" t="str">
        <f>HYPERLINK("plots/3FT6Y578R04_015_S31P_20251219032831_M5358ACSA301811_RBGEUFRF04/dpll_52094/txpa_54170.png","plot")</f>
        <v>plot</v>
      </c>
    </row>
    <row r="815" spans="1:29" x14ac:dyDescent="0.35">
      <c r="A815" t="s">
        <v>50</v>
      </c>
      <c r="B815">
        <v>52094</v>
      </c>
      <c r="C815" t="s">
        <v>53</v>
      </c>
      <c r="D815">
        <v>54171</v>
      </c>
      <c r="E815" t="s">
        <v>191</v>
      </c>
      <c r="F815">
        <v>11782</v>
      </c>
      <c r="G815">
        <v>0.63216241500516523</v>
      </c>
      <c r="H815">
        <v>0</v>
      </c>
      <c r="I815">
        <v>0</v>
      </c>
      <c r="J815">
        <v>0.56034615461800497</v>
      </c>
      <c r="K815">
        <v>0</v>
      </c>
      <c r="L815">
        <v>0</v>
      </c>
      <c r="M815">
        <v>0.39488536635296573</v>
      </c>
      <c r="N815">
        <v>0</v>
      </c>
      <c r="O815">
        <v>0</v>
      </c>
      <c r="P815">
        <v>0.39962931894516268</v>
      </c>
      <c r="Q815">
        <v>0.7592137279582083</v>
      </c>
      <c r="R815">
        <v>-5.5792459540959651</v>
      </c>
      <c r="S815">
        <v>0.20720291377996641</v>
      </c>
      <c r="T815">
        <v>0.1595366412884652</v>
      </c>
      <c r="U815">
        <v>4.2673938428959426</v>
      </c>
      <c r="V815">
        <v>0.22267382584799689</v>
      </c>
      <c r="W815">
        <v>-2.339381965965031</v>
      </c>
      <c r="X815">
        <v>0.26742656859692182</v>
      </c>
      <c r="Z815" t="s">
        <v>392</v>
      </c>
      <c r="AA815">
        <v>161</v>
      </c>
      <c r="AB815" t="s">
        <v>5262</v>
      </c>
      <c r="AC815" t="str">
        <f>HYPERLINK("plots/3FT6Y578R04_015_S31P_20251219032831_M5358ACSA301811_RBGEUFRF04/dpll_52094/txpa_54171.png","plot")</f>
        <v>plot</v>
      </c>
    </row>
    <row r="816" spans="1:29" x14ac:dyDescent="0.35">
      <c r="A816" t="s">
        <v>50</v>
      </c>
      <c r="B816">
        <v>52094</v>
      </c>
      <c r="C816" t="s">
        <v>53</v>
      </c>
      <c r="D816">
        <v>54172</v>
      </c>
      <c r="E816" t="s">
        <v>192</v>
      </c>
      <c r="F816">
        <v>11782</v>
      </c>
      <c r="G816">
        <v>0.65749343944356287</v>
      </c>
      <c r="H816">
        <v>0</v>
      </c>
      <c r="I816">
        <v>0</v>
      </c>
      <c r="J816">
        <v>0.57795336328123115</v>
      </c>
      <c r="K816">
        <v>0</v>
      </c>
      <c r="L816">
        <v>0</v>
      </c>
      <c r="M816">
        <v>0.41050392548290843</v>
      </c>
      <c r="N816">
        <v>0</v>
      </c>
      <c r="O816">
        <v>0</v>
      </c>
      <c r="P816">
        <v>0.43229762291132612</v>
      </c>
      <c r="Q816">
        <v>0.79162762913465001</v>
      </c>
      <c r="R816">
        <v>-5.6775899172866477</v>
      </c>
      <c r="S816">
        <v>0.20199499829942541</v>
      </c>
      <c r="T816">
        <v>0.15687348465283499</v>
      </c>
      <c r="U816">
        <v>4.2673938428959426</v>
      </c>
      <c r="V816">
        <v>0.22267382584799689</v>
      </c>
      <c r="W816">
        <v>-2.2994030468511291</v>
      </c>
      <c r="X816">
        <v>0.26810115850824767</v>
      </c>
      <c r="Z816" t="s">
        <v>392</v>
      </c>
      <c r="AA816">
        <v>161</v>
      </c>
      <c r="AB816" t="s">
        <v>5263</v>
      </c>
      <c r="AC816" t="str">
        <f>HYPERLINK("plots/3FT6Y578R04_015_S31P_20251219032831_M5358ACSA301811_RBGEUFRF04/dpll_52094/txpa_54172.png","plot")</f>
        <v>plot</v>
      </c>
    </row>
    <row r="817" spans="1:29" x14ac:dyDescent="0.35">
      <c r="A817" t="s">
        <v>50</v>
      </c>
      <c r="B817">
        <v>52094</v>
      </c>
      <c r="C817" t="s">
        <v>53</v>
      </c>
      <c r="D817">
        <v>54173</v>
      </c>
      <c r="E817" t="s">
        <v>193</v>
      </c>
      <c r="F817">
        <v>11782</v>
      </c>
      <c r="G817">
        <v>0.64684521083876245</v>
      </c>
      <c r="H817">
        <v>0</v>
      </c>
      <c r="I817">
        <v>0</v>
      </c>
      <c r="J817">
        <v>0.5662089901871934</v>
      </c>
      <c r="K817">
        <v>0</v>
      </c>
      <c r="L817">
        <v>0</v>
      </c>
      <c r="M817">
        <v>0.40104125190512607</v>
      </c>
      <c r="N817">
        <v>0</v>
      </c>
      <c r="O817">
        <v>0</v>
      </c>
      <c r="P817">
        <v>0.41840872678504298</v>
      </c>
      <c r="Q817">
        <v>0.76549310472845655</v>
      </c>
      <c r="R817">
        <v>-5.5599811953213809</v>
      </c>
      <c r="S817">
        <v>0.20095582365963111</v>
      </c>
      <c r="T817">
        <v>0.15635172511473769</v>
      </c>
      <c r="U817">
        <v>4.2673938428959426</v>
      </c>
      <c r="V817">
        <v>0.22267382584799689</v>
      </c>
      <c r="W817">
        <v>-2.2933206334238672</v>
      </c>
      <c r="X817">
        <v>0.26351787944617822</v>
      </c>
      <c r="Z817" t="s">
        <v>392</v>
      </c>
      <c r="AA817">
        <v>161</v>
      </c>
      <c r="AB817" t="s">
        <v>5264</v>
      </c>
      <c r="AC817" t="str">
        <f>HYPERLINK("plots/3FT6Y578R04_015_S31P_20251219032831_M5358ACSA301811_RBGEUFRF04/dpll_52094/txpa_54173.png","plot")</f>
        <v>plot</v>
      </c>
    </row>
    <row r="818" spans="1:29" x14ac:dyDescent="0.35">
      <c r="A818" t="s">
        <v>50</v>
      </c>
      <c r="B818">
        <v>52094</v>
      </c>
      <c r="C818" t="s">
        <v>53</v>
      </c>
      <c r="D818">
        <v>54174</v>
      </c>
      <c r="E818" t="s">
        <v>194</v>
      </c>
      <c r="F818">
        <v>11781</v>
      </c>
      <c r="G818">
        <v>0.66617280883362351</v>
      </c>
      <c r="H818">
        <v>0</v>
      </c>
      <c r="I818">
        <v>0</v>
      </c>
      <c r="J818">
        <v>0.57956114930605196</v>
      </c>
      <c r="K818">
        <v>0</v>
      </c>
      <c r="L818">
        <v>0</v>
      </c>
      <c r="M818">
        <v>0.41199625595525441</v>
      </c>
      <c r="N818">
        <v>0</v>
      </c>
      <c r="O818">
        <v>0</v>
      </c>
      <c r="P818">
        <v>0.44378621122927953</v>
      </c>
      <c r="Q818">
        <v>0.79944031220160883</v>
      </c>
      <c r="R818">
        <v>-5.6794362875035116</v>
      </c>
      <c r="S818">
        <v>0.1992898727093361</v>
      </c>
      <c r="T818">
        <v>0.1556133088725378</v>
      </c>
      <c r="U818">
        <v>4.2674026018164843</v>
      </c>
      <c r="V818">
        <v>0.22268124725346999</v>
      </c>
      <c r="W818">
        <v>-2.2679026192173839</v>
      </c>
      <c r="X818">
        <v>0.26722850807652571</v>
      </c>
      <c r="Z818" t="s">
        <v>392</v>
      </c>
      <c r="AA818">
        <v>161</v>
      </c>
      <c r="AB818" t="s">
        <v>5265</v>
      </c>
      <c r="AC818" t="str">
        <f>HYPERLINK("plots/3FT6Y578R04_015_S31P_20251219032831_M5358ACSA301811_RBGEUFRF04/dpll_52094/txpa_54174.png","plot")</f>
        <v>plot</v>
      </c>
    </row>
    <row r="819" spans="1:29" x14ac:dyDescent="0.35">
      <c r="A819" t="s">
        <v>50</v>
      </c>
      <c r="B819">
        <v>52094</v>
      </c>
      <c r="C819" t="s">
        <v>53</v>
      </c>
      <c r="D819">
        <v>54175</v>
      </c>
      <c r="E819" t="s">
        <v>195</v>
      </c>
      <c r="F819">
        <v>11781</v>
      </c>
      <c r="G819">
        <v>0.66472958195321052</v>
      </c>
      <c r="H819">
        <v>0</v>
      </c>
      <c r="I819">
        <v>0</v>
      </c>
      <c r="J819">
        <v>0.57338694509017041</v>
      </c>
      <c r="K819">
        <v>0</v>
      </c>
      <c r="L819">
        <v>0</v>
      </c>
      <c r="M819">
        <v>0.40597967011875757</v>
      </c>
      <c r="N819">
        <v>0</v>
      </c>
      <c r="O819">
        <v>0</v>
      </c>
      <c r="P819">
        <v>0.44186541712368999</v>
      </c>
      <c r="Q819">
        <v>0.7922643468368693</v>
      </c>
      <c r="R819">
        <v>-5.6691715026796494</v>
      </c>
      <c r="S819">
        <v>0.19825326186326639</v>
      </c>
      <c r="T819">
        <v>0.15517431919185609</v>
      </c>
      <c r="U819">
        <v>4.2673648416942536</v>
      </c>
      <c r="V819">
        <v>0.2226610238238293</v>
      </c>
      <c r="W819">
        <v>-2.288290483660131</v>
      </c>
      <c r="X819">
        <v>0.26538068320574859</v>
      </c>
      <c r="Z819" t="s">
        <v>392</v>
      </c>
      <c r="AA819">
        <v>161</v>
      </c>
      <c r="AB819" t="s">
        <v>5266</v>
      </c>
      <c r="AC819" t="str">
        <f>HYPERLINK("plots/3FT6Y578R04_015_S31P_20251219032831_M5358ACSA301811_RBGEUFRF04/dpll_52094/txpa_54175.png","plot")</f>
        <v>plot</v>
      </c>
    </row>
    <row r="820" spans="1:29" x14ac:dyDescent="0.35">
      <c r="A820" t="s">
        <v>50</v>
      </c>
      <c r="B820">
        <v>52094</v>
      </c>
      <c r="C820" t="s">
        <v>53</v>
      </c>
      <c r="D820">
        <v>54176</v>
      </c>
      <c r="E820" t="s">
        <v>196</v>
      </c>
      <c r="F820">
        <v>11782</v>
      </c>
      <c r="G820">
        <v>0.67106271259116379</v>
      </c>
      <c r="H820">
        <v>0</v>
      </c>
      <c r="I820">
        <v>0</v>
      </c>
      <c r="J820">
        <v>0.58940709789137913</v>
      </c>
      <c r="K820">
        <v>0</v>
      </c>
      <c r="L820">
        <v>0</v>
      </c>
      <c r="M820">
        <v>0.41925850611345328</v>
      </c>
      <c r="N820">
        <v>0</v>
      </c>
      <c r="O820">
        <v>0</v>
      </c>
      <c r="P820">
        <v>0.45032516423021091</v>
      </c>
      <c r="Q820">
        <v>0.80454360437220895</v>
      </c>
      <c r="R820">
        <v>-5.7194639365403086</v>
      </c>
      <c r="S820">
        <v>0.19792021142233171</v>
      </c>
      <c r="T820">
        <v>0.15488574144895439</v>
      </c>
      <c r="U820">
        <v>4.2673938428959426</v>
      </c>
      <c r="V820">
        <v>0.22267382584799689</v>
      </c>
      <c r="W820">
        <v>-2.286159512901035</v>
      </c>
      <c r="X820">
        <v>0.26696581271122161</v>
      </c>
      <c r="Z820" t="s">
        <v>392</v>
      </c>
      <c r="AA820">
        <v>161</v>
      </c>
      <c r="AB820" t="s">
        <v>5267</v>
      </c>
      <c r="AC820" t="str">
        <f>HYPERLINK("plots/3FT6Y578R04_015_S31P_20251219032831_M5358ACSA301811_RBGEUFRF04/dpll_52094/txpa_54176.png","plot")</f>
        <v>plot</v>
      </c>
    </row>
    <row r="821" spans="1:29" x14ac:dyDescent="0.35">
      <c r="A821" t="s">
        <v>50</v>
      </c>
      <c r="B821">
        <v>52094</v>
      </c>
      <c r="C821" t="s">
        <v>53</v>
      </c>
      <c r="D821">
        <v>54177</v>
      </c>
      <c r="E821" t="s">
        <v>197</v>
      </c>
      <c r="F821">
        <v>11782</v>
      </c>
      <c r="G821">
        <v>0.66742809545389448</v>
      </c>
      <c r="H821">
        <v>0</v>
      </c>
      <c r="I821">
        <v>0</v>
      </c>
      <c r="J821">
        <v>0.58022879859314813</v>
      </c>
      <c r="K821">
        <v>0</v>
      </c>
      <c r="L821">
        <v>0</v>
      </c>
      <c r="M821">
        <v>0.4112876395005815</v>
      </c>
      <c r="N821">
        <v>0</v>
      </c>
      <c r="O821">
        <v>0</v>
      </c>
      <c r="P821">
        <v>0.44546026260121291</v>
      </c>
      <c r="Q821">
        <v>0.78899195945265044</v>
      </c>
      <c r="R821">
        <v>-5.6504185390121959</v>
      </c>
      <c r="S821">
        <v>0.1960131323920086</v>
      </c>
      <c r="T821">
        <v>0.15401059786054441</v>
      </c>
      <c r="U821">
        <v>4.2673938428959426</v>
      </c>
      <c r="V821">
        <v>0.22267382584799689</v>
      </c>
      <c r="W821">
        <v>-2.2834791091495501</v>
      </c>
      <c r="X821">
        <v>0.26323113961085209</v>
      </c>
      <c r="Z821" t="s">
        <v>392</v>
      </c>
      <c r="AA821">
        <v>161</v>
      </c>
      <c r="AB821" t="s">
        <v>5268</v>
      </c>
      <c r="AC821" t="str">
        <f>HYPERLINK("plots/3FT6Y578R04_015_S31P_20251219032831_M5358ACSA301811_RBGEUFRF04/dpll_52094/txpa_54177.png","plot")</f>
        <v>plot</v>
      </c>
    </row>
    <row r="822" spans="1:29" x14ac:dyDescent="0.35">
      <c r="A822" t="s">
        <v>50</v>
      </c>
      <c r="B822">
        <v>52094</v>
      </c>
      <c r="C822" t="s">
        <v>53</v>
      </c>
      <c r="D822">
        <v>54178</v>
      </c>
      <c r="E822" t="s">
        <v>198</v>
      </c>
      <c r="F822">
        <v>11781</v>
      </c>
      <c r="G822">
        <v>0.65531394462631964</v>
      </c>
      <c r="H822">
        <v>0</v>
      </c>
      <c r="I822">
        <v>0</v>
      </c>
      <c r="J822">
        <v>0.57022127534525124</v>
      </c>
      <c r="K822">
        <v>0</v>
      </c>
      <c r="L822">
        <v>0</v>
      </c>
      <c r="M822">
        <v>0.40482330924825088</v>
      </c>
      <c r="N822">
        <v>0</v>
      </c>
      <c r="O822">
        <v>0</v>
      </c>
      <c r="P822">
        <v>0.42943636602170709</v>
      </c>
      <c r="Q822">
        <v>0.78137187252981821</v>
      </c>
      <c r="R822">
        <v>-5.6558808630765149</v>
      </c>
      <c r="S822">
        <v>0.2005393807159751</v>
      </c>
      <c r="T822">
        <v>0.15617715082488309</v>
      </c>
      <c r="U822">
        <v>4.2674179181733303</v>
      </c>
      <c r="V822">
        <v>0.22266794157249609</v>
      </c>
      <c r="W822">
        <v>-2.3214405334861219</v>
      </c>
      <c r="X822">
        <v>0.26550093720052581</v>
      </c>
      <c r="Z822" t="s">
        <v>392</v>
      </c>
      <c r="AA822">
        <v>161</v>
      </c>
      <c r="AB822" t="s">
        <v>5269</v>
      </c>
      <c r="AC822" t="str">
        <f>HYPERLINK("plots/3FT6Y578R04_015_S31P_20251219032831_M5358ACSA301811_RBGEUFRF04/dpll_52094/txpa_54178.png","plot")</f>
        <v>plot</v>
      </c>
    </row>
    <row r="823" spans="1:29" x14ac:dyDescent="0.35">
      <c r="A823" t="s">
        <v>50</v>
      </c>
      <c r="B823">
        <v>52094</v>
      </c>
      <c r="C823" t="s">
        <v>53</v>
      </c>
      <c r="D823">
        <v>54179</v>
      </c>
      <c r="E823" t="s">
        <v>199</v>
      </c>
      <c r="F823">
        <v>11782</v>
      </c>
      <c r="G823">
        <v>0.67204915561992606</v>
      </c>
      <c r="H823">
        <v>0</v>
      </c>
      <c r="I823">
        <v>0</v>
      </c>
      <c r="J823">
        <v>0.60499438507315195</v>
      </c>
      <c r="K823">
        <v>0</v>
      </c>
      <c r="L823">
        <v>0</v>
      </c>
      <c r="M823">
        <v>0.42995695561521108</v>
      </c>
      <c r="N823">
        <v>0</v>
      </c>
      <c r="O823">
        <v>0</v>
      </c>
      <c r="P823">
        <v>0.45165006756945558</v>
      </c>
      <c r="Q823">
        <v>0.82910803019609058</v>
      </c>
      <c r="R823">
        <v>-2.303019764885835</v>
      </c>
      <c r="S823">
        <v>0.2034181585832775</v>
      </c>
      <c r="T823">
        <v>0.15602775199710231</v>
      </c>
      <c r="U823">
        <v>4.2673938428959426</v>
      </c>
      <c r="V823">
        <v>0.22267382584799689</v>
      </c>
      <c r="W823">
        <v>1.2351107382685449</v>
      </c>
      <c r="X823">
        <v>0.2747130259463807</v>
      </c>
      <c r="Z823" t="s">
        <v>392</v>
      </c>
      <c r="AA823">
        <v>161</v>
      </c>
      <c r="AB823" t="s">
        <v>5270</v>
      </c>
      <c r="AC823" t="str">
        <f>HYPERLINK("plots/3FT6Y578R04_015_S31P_20251219032831_M5358ACSA301811_RBGEUFRF04/dpll_52094/txpa_54179.png","plot")</f>
        <v>plot</v>
      </c>
    </row>
    <row r="824" spans="1:29" x14ac:dyDescent="0.35">
      <c r="A824" t="s">
        <v>50</v>
      </c>
      <c r="B824">
        <v>52094</v>
      </c>
      <c r="C824" t="s">
        <v>53</v>
      </c>
      <c r="D824">
        <v>54180</v>
      </c>
      <c r="E824" t="s">
        <v>200</v>
      </c>
      <c r="F824">
        <v>11782</v>
      </c>
      <c r="G824">
        <v>0.69592281412537826</v>
      </c>
      <c r="H824">
        <v>0</v>
      </c>
      <c r="I824">
        <v>0</v>
      </c>
      <c r="J824">
        <v>0.62124413856763749</v>
      </c>
      <c r="K824">
        <v>0</v>
      </c>
      <c r="L824">
        <v>0</v>
      </c>
      <c r="M824">
        <v>0.44521626426066763</v>
      </c>
      <c r="N824">
        <v>0</v>
      </c>
      <c r="O824">
        <v>0</v>
      </c>
      <c r="P824">
        <v>0.48430856322018578</v>
      </c>
      <c r="Q824">
        <v>0.8598006338075399</v>
      </c>
      <c r="R824">
        <v>-2.3984076348989412</v>
      </c>
      <c r="S824">
        <v>0.19755243478225909</v>
      </c>
      <c r="T824">
        <v>0.15331064347912471</v>
      </c>
      <c r="U824">
        <v>4.2673938428959426</v>
      </c>
      <c r="V824">
        <v>0.22267382584799689</v>
      </c>
      <c r="W824">
        <v>1.270700295929384</v>
      </c>
      <c r="X824">
        <v>0.27510967123139141</v>
      </c>
      <c r="Z824" t="s">
        <v>392</v>
      </c>
      <c r="AA824">
        <v>161</v>
      </c>
      <c r="AB824" t="s">
        <v>5271</v>
      </c>
      <c r="AC824" t="str">
        <f>HYPERLINK("plots/3FT6Y578R04_015_S31P_20251219032831_M5358ACSA301811_RBGEUFRF04/dpll_52094/txpa_54180.png","plot")</f>
        <v>plot</v>
      </c>
    </row>
    <row r="825" spans="1:29" x14ac:dyDescent="0.35">
      <c r="A825" t="s">
        <v>50</v>
      </c>
      <c r="B825">
        <v>52094</v>
      </c>
      <c r="C825" t="s">
        <v>53</v>
      </c>
      <c r="D825">
        <v>54181</v>
      </c>
      <c r="E825" t="s">
        <v>201</v>
      </c>
      <c r="F825">
        <v>11782</v>
      </c>
      <c r="G825">
        <v>0.68572148856473869</v>
      </c>
      <c r="H825">
        <v>0</v>
      </c>
      <c r="I825">
        <v>0</v>
      </c>
      <c r="J825">
        <v>0.61005929034848716</v>
      </c>
      <c r="K825">
        <v>0</v>
      </c>
      <c r="L825">
        <v>0</v>
      </c>
      <c r="M825">
        <v>0.43574601323095508</v>
      </c>
      <c r="N825">
        <v>0</v>
      </c>
      <c r="O825">
        <v>0</v>
      </c>
      <c r="P825">
        <v>0.47021395987944098</v>
      </c>
      <c r="Q825">
        <v>0.83477210433104787</v>
      </c>
      <c r="R825">
        <v>-2.2839727422157639</v>
      </c>
      <c r="S825">
        <v>0.19729730977645221</v>
      </c>
      <c r="T825">
        <v>0.15292631494603501</v>
      </c>
      <c r="U825">
        <v>4.2673938428959426</v>
      </c>
      <c r="V825">
        <v>0.22267382584799689</v>
      </c>
      <c r="W825">
        <v>1.278328596027839</v>
      </c>
      <c r="X825">
        <v>0.27107492076942341</v>
      </c>
      <c r="Z825" t="s">
        <v>392</v>
      </c>
      <c r="AA825">
        <v>161</v>
      </c>
      <c r="AB825" t="s">
        <v>5272</v>
      </c>
      <c r="AC825" t="str">
        <f>HYPERLINK("plots/3FT6Y578R04_015_S31P_20251219032831_M5358ACSA301811_RBGEUFRF04/dpll_52094/txpa_54181.png","plot")</f>
        <v>plot</v>
      </c>
    </row>
    <row r="826" spans="1:29" x14ac:dyDescent="0.35">
      <c r="A826" t="s">
        <v>50</v>
      </c>
      <c r="B826">
        <v>52094</v>
      </c>
      <c r="C826" t="s">
        <v>53</v>
      </c>
      <c r="D826">
        <v>54182</v>
      </c>
      <c r="E826" t="s">
        <v>202</v>
      </c>
      <c r="F826">
        <v>11781</v>
      </c>
      <c r="G826">
        <v>0.70376279420056775</v>
      </c>
      <c r="H826">
        <v>0</v>
      </c>
      <c r="I826">
        <v>0</v>
      </c>
      <c r="J826">
        <v>0.62265609882458683</v>
      </c>
      <c r="K826">
        <v>0</v>
      </c>
      <c r="L826">
        <v>0</v>
      </c>
      <c r="M826">
        <v>0.44663876183602452</v>
      </c>
      <c r="N826">
        <v>0</v>
      </c>
      <c r="O826">
        <v>0</v>
      </c>
      <c r="P826">
        <v>0.49528207050099071</v>
      </c>
      <c r="Q826">
        <v>0.86490770851055843</v>
      </c>
      <c r="R826">
        <v>-2.394550144556177</v>
      </c>
      <c r="S826">
        <v>0.1944164654643892</v>
      </c>
      <c r="T826">
        <v>0.1517051578025829</v>
      </c>
      <c r="U826">
        <v>4.2674026018164843</v>
      </c>
      <c r="V826">
        <v>0.22268124725346999</v>
      </c>
      <c r="W826">
        <v>1.296359261072914</v>
      </c>
      <c r="X826">
        <v>0.27366994799583338</v>
      </c>
      <c r="Z826" t="s">
        <v>392</v>
      </c>
      <c r="AA826">
        <v>161</v>
      </c>
      <c r="AB826" t="s">
        <v>5273</v>
      </c>
      <c r="AC826" t="str">
        <f>HYPERLINK("plots/3FT6Y578R04_015_S31P_20251219032831_M5358ACSA301811_RBGEUFRF04/dpll_52094/txpa_54182.png","plot")</f>
        <v>plot</v>
      </c>
    </row>
    <row r="827" spans="1:29" x14ac:dyDescent="0.35">
      <c r="A827" t="s">
        <v>50</v>
      </c>
      <c r="B827">
        <v>52094</v>
      </c>
      <c r="C827" t="s">
        <v>53</v>
      </c>
      <c r="D827">
        <v>54183</v>
      </c>
      <c r="E827" t="s">
        <v>203</v>
      </c>
      <c r="F827">
        <v>11781</v>
      </c>
      <c r="G827">
        <v>0.70296365745979805</v>
      </c>
      <c r="H827">
        <v>0</v>
      </c>
      <c r="I827">
        <v>0</v>
      </c>
      <c r="J827">
        <v>0.61680893964183403</v>
      </c>
      <c r="K827">
        <v>0</v>
      </c>
      <c r="L827">
        <v>0</v>
      </c>
      <c r="M827">
        <v>0.44051209122530582</v>
      </c>
      <c r="N827">
        <v>0</v>
      </c>
      <c r="O827">
        <v>0</v>
      </c>
      <c r="P827">
        <v>0.49415790370925627</v>
      </c>
      <c r="Q827">
        <v>0.85911231793319798</v>
      </c>
      <c r="R827">
        <v>-2.3904204203429611</v>
      </c>
      <c r="S827">
        <v>0.1935309044227122</v>
      </c>
      <c r="T827">
        <v>0.15137457138124269</v>
      </c>
      <c r="U827">
        <v>4.2673648416942536</v>
      </c>
      <c r="V827">
        <v>0.2226610238238293</v>
      </c>
      <c r="W827">
        <v>1.2757252802716239</v>
      </c>
      <c r="X827">
        <v>0.27212050902021018</v>
      </c>
      <c r="Z827" t="s">
        <v>392</v>
      </c>
      <c r="AA827">
        <v>161</v>
      </c>
      <c r="AB827" t="s">
        <v>5274</v>
      </c>
      <c r="AC827" t="str">
        <f>HYPERLINK("plots/3FT6Y578R04_015_S31P_20251219032831_M5358ACSA301811_RBGEUFRF04/dpll_52094/txpa_54183.png","plot")</f>
        <v>plot</v>
      </c>
    </row>
    <row r="828" spans="1:29" x14ac:dyDescent="0.35">
      <c r="A828" t="s">
        <v>50</v>
      </c>
      <c r="B828">
        <v>52094</v>
      </c>
      <c r="C828" t="s">
        <v>53</v>
      </c>
      <c r="D828">
        <v>54184</v>
      </c>
      <c r="E828" t="s">
        <v>204</v>
      </c>
      <c r="F828">
        <v>11782</v>
      </c>
      <c r="G828">
        <v>0.70808874274924172</v>
      </c>
      <c r="H828">
        <v>0</v>
      </c>
      <c r="I828">
        <v>0</v>
      </c>
      <c r="J828">
        <v>0.63155353273156167</v>
      </c>
      <c r="K828">
        <v>0</v>
      </c>
      <c r="L828">
        <v>0</v>
      </c>
      <c r="M828">
        <v>0.45312678226017977</v>
      </c>
      <c r="N828">
        <v>0</v>
      </c>
      <c r="O828">
        <v>0</v>
      </c>
      <c r="P828">
        <v>0.50138966760820181</v>
      </c>
      <c r="Q828">
        <v>0.87218865430117265</v>
      </c>
      <c r="R828">
        <v>-2.439779490804856</v>
      </c>
      <c r="S828">
        <v>0.1936663286396231</v>
      </c>
      <c r="T828">
        <v>0.15121207379173041</v>
      </c>
      <c r="U828">
        <v>4.2673938428959426</v>
      </c>
      <c r="V828">
        <v>0.22267382584799689</v>
      </c>
      <c r="W828">
        <v>1.282193002403667</v>
      </c>
      <c r="X828">
        <v>0.274278593612998</v>
      </c>
      <c r="Z828" t="s">
        <v>392</v>
      </c>
      <c r="AA828">
        <v>161</v>
      </c>
      <c r="AB828" t="s">
        <v>5275</v>
      </c>
      <c r="AC828" t="str">
        <f>HYPERLINK("plots/3FT6Y578R04_015_S31P_20251219032831_M5358ACSA301811_RBGEUFRF04/dpll_52094/txpa_54184.png","plot")</f>
        <v>plot</v>
      </c>
    </row>
    <row r="829" spans="1:29" x14ac:dyDescent="0.35">
      <c r="A829" t="s">
        <v>50</v>
      </c>
      <c r="B829">
        <v>52094</v>
      </c>
      <c r="C829" t="s">
        <v>53</v>
      </c>
      <c r="D829">
        <v>54185</v>
      </c>
      <c r="E829" t="s">
        <v>205</v>
      </c>
      <c r="F829">
        <v>11782</v>
      </c>
      <c r="G829">
        <v>0.70539981827521281</v>
      </c>
      <c r="H829">
        <v>0</v>
      </c>
      <c r="I829">
        <v>0</v>
      </c>
      <c r="J829">
        <v>0.62262149075143247</v>
      </c>
      <c r="K829">
        <v>0</v>
      </c>
      <c r="L829">
        <v>0</v>
      </c>
      <c r="M829">
        <v>0.44542445808925801</v>
      </c>
      <c r="N829">
        <v>0</v>
      </c>
      <c r="O829">
        <v>0</v>
      </c>
      <c r="P829">
        <v>0.49758890362270319</v>
      </c>
      <c r="Q829">
        <v>0.8571831303769859</v>
      </c>
      <c r="R829">
        <v>-2.3716484526284791</v>
      </c>
      <c r="S829">
        <v>0.19178676033766909</v>
      </c>
      <c r="T829">
        <v>0.15050290425454679</v>
      </c>
      <c r="U829">
        <v>4.2673938428959426</v>
      </c>
      <c r="V829">
        <v>0.22267382584799689</v>
      </c>
      <c r="W829">
        <v>1.2862895601765409</v>
      </c>
      <c r="X829">
        <v>0.27058732104597238</v>
      </c>
      <c r="Z829" t="s">
        <v>392</v>
      </c>
      <c r="AA829">
        <v>161</v>
      </c>
      <c r="AB829" t="s">
        <v>5276</v>
      </c>
      <c r="AC829" t="str">
        <f>HYPERLINK("plots/3FT6Y578R04_015_S31P_20251219032831_M5358ACSA301811_RBGEUFRF04/dpll_52094/txpa_54185.png","plot")</f>
        <v>plot</v>
      </c>
    </row>
    <row r="830" spans="1:29" x14ac:dyDescent="0.35">
      <c r="A830" t="s">
        <v>50</v>
      </c>
      <c r="B830">
        <v>52094</v>
      </c>
      <c r="C830" t="s">
        <v>53</v>
      </c>
      <c r="D830">
        <v>54186</v>
      </c>
      <c r="E830" t="s">
        <v>206</v>
      </c>
      <c r="F830">
        <v>11781</v>
      </c>
      <c r="G830">
        <v>0.69489147647644867</v>
      </c>
      <c r="H830">
        <v>0</v>
      </c>
      <c r="I830">
        <v>0</v>
      </c>
      <c r="J830">
        <v>0.61370483292996281</v>
      </c>
      <c r="K830">
        <v>0</v>
      </c>
      <c r="L830">
        <v>0</v>
      </c>
      <c r="M830">
        <v>0.43943720136861708</v>
      </c>
      <c r="N830">
        <v>0</v>
      </c>
      <c r="O830">
        <v>0</v>
      </c>
      <c r="P830">
        <v>0.48287416407961881</v>
      </c>
      <c r="Q830">
        <v>0.85099664516728835</v>
      </c>
      <c r="R830">
        <v>-2.3780585598321808</v>
      </c>
      <c r="S830">
        <v>0.19608674748345739</v>
      </c>
      <c r="T830">
        <v>0.15232418384961699</v>
      </c>
      <c r="U830">
        <v>4.2674179181733303</v>
      </c>
      <c r="V830">
        <v>0.22266794157249609</v>
      </c>
      <c r="W830">
        <v>1.2534997720600971</v>
      </c>
      <c r="X830">
        <v>0.27268958920799491</v>
      </c>
      <c r="Z830" t="s">
        <v>392</v>
      </c>
      <c r="AA830">
        <v>161</v>
      </c>
      <c r="AB830" t="s">
        <v>5277</v>
      </c>
      <c r="AC830" t="str">
        <f>HYPERLINK("plots/3FT6Y578R04_015_S31P_20251219032831_M5358ACSA301811_RBGEUFRF04/dpll_52094/txpa_54186.png","plot")</f>
        <v>plot</v>
      </c>
    </row>
    <row r="831" spans="1:29" x14ac:dyDescent="0.35">
      <c r="A831" t="s">
        <v>50</v>
      </c>
      <c r="B831">
        <v>52094</v>
      </c>
      <c r="C831" t="s">
        <v>53</v>
      </c>
      <c r="D831">
        <v>54187</v>
      </c>
      <c r="E831" t="s">
        <v>207</v>
      </c>
      <c r="F831">
        <v>11782</v>
      </c>
      <c r="G831">
        <v>0.70278405357352014</v>
      </c>
      <c r="H831">
        <v>0</v>
      </c>
      <c r="I831">
        <v>0</v>
      </c>
      <c r="J831">
        <v>0.63615365800743873</v>
      </c>
      <c r="K831">
        <v>0</v>
      </c>
      <c r="L831">
        <v>0</v>
      </c>
      <c r="M831">
        <v>0.45514621961194413</v>
      </c>
      <c r="N831">
        <v>0</v>
      </c>
      <c r="O831">
        <v>0</v>
      </c>
      <c r="P831">
        <v>0.49390542595722842</v>
      </c>
      <c r="Q831">
        <v>0.89548821902139286</v>
      </c>
      <c r="R831">
        <v>-0.57428614038237269</v>
      </c>
      <c r="S831">
        <v>0.20183875487274711</v>
      </c>
      <c r="T831">
        <v>0.15453460355713769</v>
      </c>
      <c r="U831">
        <v>4.2673938428959426</v>
      </c>
      <c r="V831">
        <v>0.22267382584799689</v>
      </c>
      <c r="W831">
        <v>3.2471147718553719</v>
      </c>
      <c r="X831">
        <v>0.28373123538785938</v>
      </c>
      <c r="Z831" t="s">
        <v>392</v>
      </c>
      <c r="AA831">
        <v>161</v>
      </c>
      <c r="AB831" t="s">
        <v>5278</v>
      </c>
      <c r="AC831" t="str">
        <f>HYPERLINK("plots/3FT6Y578R04_015_S31P_20251219032831_M5358ACSA301811_RBGEUFRF04/dpll_52094/txpa_54187.png","plot")</f>
        <v>plot</v>
      </c>
    </row>
    <row r="832" spans="1:29" x14ac:dyDescent="0.35">
      <c r="A832" t="s">
        <v>50</v>
      </c>
      <c r="B832">
        <v>52094</v>
      </c>
      <c r="C832" t="s">
        <v>53</v>
      </c>
      <c r="D832">
        <v>54188</v>
      </c>
      <c r="E832" t="s">
        <v>208</v>
      </c>
      <c r="F832">
        <v>11782</v>
      </c>
      <c r="G832">
        <v>0.7251594926954219</v>
      </c>
      <c r="H832">
        <v>0</v>
      </c>
      <c r="I832">
        <v>0</v>
      </c>
      <c r="J832">
        <v>0.65092024609327526</v>
      </c>
      <c r="K832">
        <v>0</v>
      </c>
      <c r="L832">
        <v>0</v>
      </c>
      <c r="M832">
        <v>0.46984599730538912</v>
      </c>
      <c r="N832">
        <v>0</v>
      </c>
      <c r="O832">
        <v>0</v>
      </c>
      <c r="P832">
        <v>0.52585628984628163</v>
      </c>
      <c r="Q832">
        <v>0.92594813069971293</v>
      </c>
      <c r="R832">
        <v>-0.66985167949223845</v>
      </c>
      <c r="S832">
        <v>0.19577573333687681</v>
      </c>
      <c r="T832">
        <v>0.15198465568273911</v>
      </c>
      <c r="U832">
        <v>4.2673938428959426</v>
      </c>
      <c r="V832">
        <v>0.22267382584799689</v>
      </c>
      <c r="W832">
        <v>3.2815336722967241</v>
      </c>
      <c r="X832">
        <v>0.2843297438378935</v>
      </c>
      <c r="Z832" t="s">
        <v>392</v>
      </c>
      <c r="AA832">
        <v>161</v>
      </c>
      <c r="AB832" t="s">
        <v>5279</v>
      </c>
      <c r="AC832" t="str">
        <f>HYPERLINK("plots/3FT6Y578R04_015_S31P_20251219032831_M5358ACSA301811_RBGEUFRF04/dpll_52094/txpa_54188.png","plot")</f>
        <v>plot</v>
      </c>
    </row>
    <row r="833" spans="1:29" x14ac:dyDescent="0.35">
      <c r="A833" t="s">
        <v>50</v>
      </c>
      <c r="B833">
        <v>52094</v>
      </c>
      <c r="C833" t="s">
        <v>53</v>
      </c>
      <c r="D833">
        <v>54189</v>
      </c>
      <c r="E833" t="s">
        <v>209</v>
      </c>
      <c r="F833">
        <v>11782</v>
      </c>
      <c r="G833">
        <v>0.71575251115872307</v>
      </c>
      <c r="H833">
        <v>0</v>
      </c>
      <c r="I833">
        <v>0</v>
      </c>
      <c r="J833">
        <v>0.64057641576915658</v>
      </c>
      <c r="K833">
        <v>0</v>
      </c>
      <c r="L833">
        <v>0</v>
      </c>
      <c r="M833">
        <v>0.4606705866988246</v>
      </c>
      <c r="N833">
        <v>0</v>
      </c>
      <c r="O833">
        <v>0</v>
      </c>
      <c r="P833">
        <v>0.51230165723001797</v>
      </c>
      <c r="Q833">
        <v>0.90088884521466484</v>
      </c>
      <c r="R833">
        <v>-0.55435018409354742</v>
      </c>
      <c r="S833">
        <v>0.19571977545401309</v>
      </c>
      <c r="T833">
        <v>0.1513877549960489</v>
      </c>
      <c r="U833">
        <v>4.2673938428959426</v>
      </c>
      <c r="V833">
        <v>0.22267382584799689</v>
      </c>
      <c r="W833">
        <v>3.2900973271091489</v>
      </c>
      <c r="X833">
        <v>0.28027057216044882</v>
      </c>
      <c r="Z833" t="s">
        <v>392</v>
      </c>
      <c r="AA833">
        <v>161</v>
      </c>
      <c r="AB833" t="s">
        <v>5280</v>
      </c>
      <c r="AC833" t="str">
        <f>HYPERLINK("plots/3FT6Y578R04_015_S31P_20251219032831_M5358ACSA301811_RBGEUFRF04/dpll_52094/txpa_54189.png","plot")</f>
        <v>plot</v>
      </c>
    </row>
    <row r="834" spans="1:29" x14ac:dyDescent="0.35">
      <c r="A834" t="s">
        <v>50</v>
      </c>
      <c r="B834">
        <v>52094</v>
      </c>
      <c r="C834" t="s">
        <v>53</v>
      </c>
      <c r="D834">
        <v>54190</v>
      </c>
      <c r="E834" t="s">
        <v>210</v>
      </c>
      <c r="F834">
        <v>11781</v>
      </c>
      <c r="G834">
        <v>0.73248333604928306</v>
      </c>
      <c r="H834">
        <v>0</v>
      </c>
      <c r="I834">
        <v>0</v>
      </c>
      <c r="J834">
        <v>0.65272059341819355</v>
      </c>
      <c r="K834">
        <v>0</v>
      </c>
      <c r="L834">
        <v>0</v>
      </c>
      <c r="M834">
        <v>0.47153283334463258</v>
      </c>
      <c r="N834">
        <v>0</v>
      </c>
      <c r="O834">
        <v>0</v>
      </c>
      <c r="P834">
        <v>0.53653183758988698</v>
      </c>
      <c r="Q834">
        <v>0.92930040406420389</v>
      </c>
      <c r="R834">
        <v>-0.66128017701014397</v>
      </c>
      <c r="S834">
        <v>0.19232402631257911</v>
      </c>
      <c r="T834">
        <v>0.14997079945507669</v>
      </c>
      <c r="U834">
        <v>4.2674026018164843</v>
      </c>
      <c r="V834">
        <v>0.22268124725346999</v>
      </c>
      <c r="W834">
        <v>3.3044187851625502</v>
      </c>
      <c r="X834">
        <v>0.28251533224811459</v>
      </c>
      <c r="Z834" t="s">
        <v>392</v>
      </c>
      <c r="AA834">
        <v>161</v>
      </c>
      <c r="AB834" t="s">
        <v>5281</v>
      </c>
      <c r="AC834" t="str">
        <f>HYPERLINK("plots/3FT6Y578R04_015_S31P_20251219032831_M5358ACSA301811_RBGEUFRF04/dpll_52094/txpa_54190.png","plot")</f>
        <v>plot</v>
      </c>
    </row>
    <row r="835" spans="1:29" x14ac:dyDescent="0.35">
      <c r="A835" t="s">
        <v>50</v>
      </c>
      <c r="B835">
        <v>52094</v>
      </c>
      <c r="C835" t="s">
        <v>53</v>
      </c>
      <c r="D835">
        <v>54191</v>
      </c>
      <c r="E835" t="s">
        <v>211</v>
      </c>
      <c r="F835">
        <v>11781</v>
      </c>
      <c r="G835">
        <v>0.73227066786691764</v>
      </c>
      <c r="H835">
        <v>0</v>
      </c>
      <c r="I835">
        <v>0</v>
      </c>
      <c r="J835">
        <v>0.64719907475912652</v>
      </c>
      <c r="K835">
        <v>0</v>
      </c>
      <c r="L835">
        <v>0</v>
      </c>
      <c r="M835">
        <v>0.46537962324596782</v>
      </c>
      <c r="N835">
        <v>0</v>
      </c>
      <c r="O835">
        <v>0</v>
      </c>
      <c r="P835">
        <v>0.53622033101826161</v>
      </c>
      <c r="Q835">
        <v>0.92394969808513994</v>
      </c>
      <c r="R835">
        <v>-0.66023150107164952</v>
      </c>
      <c r="S835">
        <v>0.19131909229797631</v>
      </c>
      <c r="T835">
        <v>0.1495788718776612</v>
      </c>
      <c r="U835">
        <v>4.2673648416942536</v>
      </c>
      <c r="V835">
        <v>0.2226610238238293</v>
      </c>
      <c r="W835">
        <v>3.2825989560308968</v>
      </c>
      <c r="X835">
        <v>0.28094473091027039</v>
      </c>
      <c r="Z835" t="s">
        <v>392</v>
      </c>
      <c r="AA835">
        <v>161</v>
      </c>
      <c r="AB835" t="s">
        <v>5282</v>
      </c>
      <c r="AC835" t="str">
        <f>HYPERLINK("plots/3FT6Y578R04_015_S31P_20251219032831_M5358ACSA301811_RBGEUFRF04/dpll_52094/txpa_54191.png","plot")</f>
        <v>plot</v>
      </c>
    </row>
    <row r="836" spans="1:29" x14ac:dyDescent="0.35">
      <c r="A836" t="s">
        <v>50</v>
      </c>
      <c r="B836">
        <v>52094</v>
      </c>
      <c r="C836" t="s">
        <v>53</v>
      </c>
      <c r="D836">
        <v>54192</v>
      </c>
      <c r="E836" t="s">
        <v>212</v>
      </c>
      <c r="F836">
        <v>11781</v>
      </c>
      <c r="G836">
        <v>0.7385230645631371</v>
      </c>
      <c r="H836">
        <v>0</v>
      </c>
      <c r="I836">
        <v>0</v>
      </c>
      <c r="J836">
        <v>0.66181596427957667</v>
      </c>
      <c r="K836">
        <v>0</v>
      </c>
      <c r="L836">
        <v>0</v>
      </c>
      <c r="M836">
        <v>0.47836066899585877</v>
      </c>
      <c r="N836">
        <v>0</v>
      </c>
      <c r="O836">
        <v>0</v>
      </c>
      <c r="P836">
        <v>0.54541631689172754</v>
      </c>
      <c r="Q836">
        <v>0.93935637662879201</v>
      </c>
      <c r="R836">
        <v>-0.71618269729225847</v>
      </c>
      <c r="S836">
        <v>0.19093505514212769</v>
      </c>
      <c r="T836">
        <v>0.14944442183521689</v>
      </c>
      <c r="U836">
        <v>4.2673606822850356</v>
      </c>
      <c r="V836">
        <v>0.2226541824443867</v>
      </c>
      <c r="W836">
        <v>3.292389770987183</v>
      </c>
      <c r="X836">
        <v>0.28320256481891443</v>
      </c>
      <c r="Z836" t="s">
        <v>392</v>
      </c>
      <c r="AA836">
        <v>161</v>
      </c>
      <c r="AB836" t="s">
        <v>5283</v>
      </c>
      <c r="AC836" t="str">
        <f>HYPERLINK("plots/3FT6Y578R04_015_S31P_20251219032831_M5358ACSA301811_RBGEUFRF04/dpll_52094/txpa_54192.png","plot")</f>
        <v>plot</v>
      </c>
    </row>
    <row r="837" spans="1:29" x14ac:dyDescent="0.35">
      <c r="A837" t="s">
        <v>50</v>
      </c>
      <c r="B837">
        <v>52094</v>
      </c>
      <c r="C837" t="s">
        <v>53</v>
      </c>
      <c r="D837">
        <v>54193</v>
      </c>
      <c r="E837" t="s">
        <v>213</v>
      </c>
      <c r="F837">
        <v>11782</v>
      </c>
      <c r="G837">
        <v>0.73428130010982617</v>
      </c>
      <c r="H837">
        <v>0</v>
      </c>
      <c r="I837">
        <v>0</v>
      </c>
      <c r="J837">
        <v>0.65235728740618859</v>
      </c>
      <c r="K837">
        <v>0</v>
      </c>
      <c r="L837">
        <v>0</v>
      </c>
      <c r="M837">
        <v>0.47008222454660159</v>
      </c>
      <c r="N837">
        <v>0</v>
      </c>
      <c r="O837">
        <v>0</v>
      </c>
      <c r="P837">
        <v>0.53916902769097663</v>
      </c>
      <c r="Q837">
        <v>0.92354055298334903</v>
      </c>
      <c r="R837">
        <v>-0.64494823891077413</v>
      </c>
      <c r="S837">
        <v>0.19011442566288159</v>
      </c>
      <c r="T837">
        <v>0.1492425408091925</v>
      </c>
      <c r="U837">
        <v>4.2673938428959426</v>
      </c>
      <c r="V837">
        <v>0.22267382584799689</v>
      </c>
      <c r="W837">
        <v>3.2961630305550842</v>
      </c>
      <c r="X837">
        <v>0.28006747308942531</v>
      </c>
      <c r="Z837" t="s">
        <v>392</v>
      </c>
      <c r="AA837">
        <v>161</v>
      </c>
      <c r="AB837" t="s">
        <v>5284</v>
      </c>
      <c r="AC837" t="str">
        <f>HYPERLINK("plots/3FT6Y578R04_015_S31P_20251219032831_M5358ACSA301811_RBGEUFRF04/dpll_52094/txpa_54193.png","plot")</f>
        <v>plot</v>
      </c>
    </row>
    <row r="838" spans="1:29" x14ac:dyDescent="0.35">
      <c r="A838" t="s">
        <v>50</v>
      </c>
      <c r="B838">
        <v>52094</v>
      </c>
      <c r="C838" t="s">
        <v>53</v>
      </c>
      <c r="D838">
        <v>54194</v>
      </c>
      <c r="E838" t="s">
        <v>214</v>
      </c>
      <c r="F838">
        <v>11781</v>
      </c>
      <c r="G838">
        <v>0.72511691634219511</v>
      </c>
      <c r="H838">
        <v>0</v>
      </c>
      <c r="I838">
        <v>0</v>
      </c>
      <c r="J838">
        <v>0.64476463059562639</v>
      </c>
      <c r="K838">
        <v>0</v>
      </c>
      <c r="L838">
        <v>0</v>
      </c>
      <c r="M838">
        <v>0.46485110398813961</v>
      </c>
      <c r="N838">
        <v>0</v>
      </c>
      <c r="O838">
        <v>0</v>
      </c>
      <c r="P838">
        <v>0.52579454236561396</v>
      </c>
      <c r="Q838">
        <v>0.91703309031107449</v>
      </c>
      <c r="R838">
        <v>-0.6477405737377091</v>
      </c>
      <c r="S838">
        <v>0.19390968715658199</v>
      </c>
      <c r="T838">
        <v>0.15047579497040631</v>
      </c>
      <c r="U838">
        <v>4.2674179181733303</v>
      </c>
      <c r="V838">
        <v>0.22266794157249609</v>
      </c>
      <c r="W838">
        <v>3.2656228674136321</v>
      </c>
      <c r="X838">
        <v>0.28160130590177701</v>
      </c>
      <c r="Z838" t="s">
        <v>392</v>
      </c>
      <c r="AA838">
        <v>161</v>
      </c>
      <c r="AB838" t="s">
        <v>5285</v>
      </c>
      <c r="AC838" t="str">
        <f>HYPERLINK("plots/3FT6Y578R04_015_S31P_20251219032831_M5358ACSA301811_RBGEUFRF04/dpll_52094/txpa_54194.png","plot")</f>
        <v>plot</v>
      </c>
    </row>
    <row r="839" spans="1:29" x14ac:dyDescent="0.35">
      <c r="A839" t="s">
        <v>50</v>
      </c>
      <c r="B839">
        <v>52094</v>
      </c>
      <c r="C839" t="s">
        <v>53</v>
      </c>
      <c r="D839">
        <v>54195</v>
      </c>
      <c r="E839" t="s">
        <v>215</v>
      </c>
      <c r="F839">
        <v>11782</v>
      </c>
      <c r="G839">
        <v>0.73990677926564752</v>
      </c>
      <c r="H839">
        <v>0</v>
      </c>
      <c r="I839">
        <v>0</v>
      </c>
      <c r="J839">
        <v>0.66870886987582645</v>
      </c>
      <c r="K839">
        <v>0</v>
      </c>
      <c r="L839">
        <v>0</v>
      </c>
      <c r="M839">
        <v>0.48262745543889729</v>
      </c>
      <c r="N839">
        <v>0</v>
      </c>
      <c r="O839">
        <v>0</v>
      </c>
      <c r="P839">
        <v>0.54746204200326365</v>
      </c>
      <c r="Q839">
        <v>0.99975328901997063</v>
      </c>
      <c r="R839">
        <v>1.3979219746893481</v>
      </c>
      <c r="S839">
        <v>0.20239234449769919</v>
      </c>
      <c r="T839">
        <v>0.1543232424571753</v>
      </c>
      <c r="U839">
        <v>4.2673938428959426</v>
      </c>
      <c r="V839">
        <v>0.22267382584799689</v>
      </c>
      <c r="W839">
        <v>5.6642630046681388</v>
      </c>
      <c r="X839">
        <v>0.30087423984835338</v>
      </c>
      <c r="Z839" t="s">
        <v>392</v>
      </c>
      <c r="AA839">
        <v>161</v>
      </c>
      <c r="AB839" t="s">
        <v>5286</v>
      </c>
      <c r="AC839" t="str">
        <f>HYPERLINK("plots/3FT6Y578R04_015_S31P_20251219032831_M5358ACSA301811_RBGEUFRF04/dpll_52094/txpa_54195.png","plot")</f>
        <v>plot</v>
      </c>
    </row>
    <row r="840" spans="1:29" x14ac:dyDescent="0.35">
      <c r="A840" t="s">
        <v>50</v>
      </c>
      <c r="B840">
        <v>52094</v>
      </c>
      <c r="C840" t="s">
        <v>53</v>
      </c>
      <c r="D840">
        <v>54196</v>
      </c>
      <c r="E840" t="s">
        <v>216</v>
      </c>
      <c r="F840">
        <v>11782</v>
      </c>
      <c r="G840">
        <v>0.75952125768852075</v>
      </c>
      <c r="H840">
        <v>0</v>
      </c>
      <c r="I840">
        <v>0</v>
      </c>
      <c r="J840">
        <v>0.68128868536806575</v>
      </c>
      <c r="K840">
        <v>0</v>
      </c>
      <c r="L840">
        <v>0</v>
      </c>
      <c r="M840">
        <v>0.49605578075706669</v>
      </c>
      <c r="N840">
        <v>0</v>
      </c>
      <c r="O840">
        <v>0</v>
      </c>
      <c r="P840">
        <v>0.57687254088075235</v>
      </c>
      <c r="Q840">
        <v>1.028227716176207</v>
      </c>
      <c r="R840">
        <v>1.3104747025131001</v>
      </c>
      <c r="S840">
        <v>0.19608109227359441</v>
      </c>
      <c r="T840">
        <v>0.15175840273117491</v>
      </c>
      <c r="U840">
        <v>4.2673938428959426</v>
      </c>
      <c r="V840">
        <v>0.22267382584799689</v>
      </c>
      <c r="W840">
        <v>5.6983273276184008</v>
      </c>
      <c r="X840">
        <v>0.3014522596782937</v>
      </c>
      <c r="Z840" t="s">
        <v>392</v>
      </c>
      <c r="AA840">
        <v>161</v>
      </c>
      <c r="AB840" t="s">
        <v>5287</v>
      </c>
      <c r="AC840" t="str">
        <f>HYPERLINK("plots/3FT6Y578R04_015_S31P_20251219032831_M5358ACSA301811_RBGEUFRF04/dpll_52094/txpa_54196.png","plot")</f>
        <v>plot</v>
      </c>
    </row>
    <row r="841" spans="1:29" x14ac:dyDescent="0.35">
      <c r="A841" t="s">
        <v>50</v>
      </c>
      <c r="B841">
        <v>52094</v>
      </c>
      <c r="C841" t="s">
        <v>53</v>
      </c>
      <c r="D841">
        <v>54197</v>
      </c>
      <c r="E841" t="s">
        <v>217</v>
      </c>
      <c r="F841">
        <v>11782</v>
      </c>
      <c r="G841">
        <v>0.75140576290506111</v>
      </c>
      <c r="H841">
        <v>0</v>
      </c>
      <c r="I841">
        <v>0</v>
      </c>
      <c r="J841">
        <v>0.67221367040500202</v>
      </c>
      <c r="K841">
        <v>0</v>
      </c>
      <c r="L841">
        <v>0</v>
      </c>
      <c r="M841">
        <v>0.48758256061304389</v>
      </c>
      <c r="N841">
        <v>0</v>
      </c>
      <c r="O841">
        <v>0</v>
      </c>
      <c r="P841">
        <v>0.56461062052693689</v>
      </c>
      <c r="Q841">
        <v>1.0032506558434811</v>
      </c>
      <c r="R841">
        <v>1.426456981487132</v>
      </c>
      <c r="S841">
        <v>0.1961663837131575</v>
      </c>
      <c r="T841">
        <v>0.1510814726659149</v>
      </c>
      <c r="U841">
        <v>4.2673938428959426</v>
      </c>
      <c r="V841">
        <v>0.22267382584799689</v>
      </c>
      <c r="W841">
        <v>5.7077226531149208</v>
      </c>
      <c r="X841">
        <v>0.29730629288426941</v>
      </c>
      <c r="Z841" t="s">
        <v>392</v>
      </c>
      <c r="AA841">
        <v>161</v>
      </c>
      <c r="AB841" t="s">
        <v>5288</v>
      </c>
      <c r="AC841" t="str">
        <f>HYPERLINK("plots/3FT6Y578R04_015_S31P_20251219032831_M5358ACSA301811_RBGEUFRF04/dpll_52094/txpa_54197.png","plot")</f>
        <v>plot</v>
      </c>
    </row>
    <row r="842" spans="1:29" x14ac:dyDescent="0.35">
      <c r="A842" t="s">
        <v>50</v>
      </c>
      <c r="B842">
        <v>52094</v>
      </c>
      <c r="C842" t="s">
        <v>53</v>
      </c>
      <c r="D842">
        <v>54198</v>
      </c>
      <c r="E842" t="s">
        <v>218</v>
      </c>
      <c r="F842">
        <v>11781</v>
      </c>
      <c r="G842">
        <v>0.76651198885439076</v>
      </c>
      <c r="H842">
        <v>0</v>
      </c>
      <c r="I842">
        <v>0</v>
      </c>
      <c r="J842">
        <v>0.68334680306434592</v>
      </c>
      <c r="K842">
        <v>0</v>
      </c>
      <c r="L842">
        <v>0</v>
      </c>
      <c r="M842">
        <v>0.4978807660418641</v>
      </c>
      <c r="N842">
        <v>0</v>
      </c>
      <c r="O842">
        <v>0</v>
      </c>
      <c r="P842">
        <v>0.5875406290575137</v>
      </c>
      <c r="Q842">
        <v>1.0308156011577621</v>
      </c>
      <c r="R842">
        <v>1.319566549832778</v>
      </c>
      <c r="S842">
        <v>0.1923170687002774</v>
      </c>
      <c r="T842">
        <v>0.14951955413652629</v>
      </c>
      <c r="U842">
        <v>4.2674026018164843</v>
      </c>
      <c r="V842">
        <v>0.22268124725346999</v>
      </c>
      <c r="W842">
        <v>5.7184717282064339</v>
      </c>
      <c r="X842">
        <v>0.29946472735177371</v>
      </c>
      <c r="Z842" t="s">
        <v>392</v>
      </c>
      <c r="AA842">
        <v>161</v>
      </c>
      <c r="AB842" t="s">
        <v>5289</v>
      </c>
      <c r="AC842" t="str">
        <f>HYPERLINK("plots/3FT6Y578R04_015_S31P_20251219032831_M5358ACSA301811_RBGEUFRF04/dpll_52094/txpa_54198.png","plot")</f>
        <v>plot</v>
      </c>
    </row>
    <row r="843" spans="1:29" x14ac:dyDescent="0.35">
      <c r="A843" t="s">
        <v>50</v>
      </c>
      <c r="B843">
        <v>52094</v>
      </c>
      <c r="C843" t="s">
        <v>53</v>
      </c>
      <c r="D843">
        <v>54199</v>
      </c>
      <c r="E843" t="s">
        <v>219</v>
      </c>
      <c r="F843">
        <v>11781</v>
      </c>
      <c r="G843">
        <v>0.7671958590342054</v>
      </c>
      <c r="H843">
        <v>0</v>
      </c>
      <c r="I843">
        <v>0</v>
      </c>
      <c r="J843">
        <v>0.67917940765750029</v>
      </c>
      <c r="K843">
        <v>0</v>
      </c>
      <c r="L843">
        <v>0</v>
      </c>
      <c r="M843">
        <v>0.49279896622798453</v>
      </c>
      <c r="N843">
        <v>0</v>
      </c>
      <c r="O843">
        <v>0</v>
      </c>
      <c r="P843">
        <v>0.58858948611923234</v>
      </c>
      <c r="Q843">
        <v>1.026752214801014</v>
      </c>
      <c r="R843">
        <v>1.3140941913573541</v>
      </c>
      <c r="S843">
        <v>0.19112735967835881</v>
      </c>
      <c r="T843">
        <v>0.14906549294323221</v>
      </c>
      <c r="U843">
        <v>4.2673648416942536</v>
      </c>
      <c r="V843">
        <v>0.2226610238238293</v>
      </c>
      <c r="W843">
        <v>5.6956204939309067</v>
      </c>
      <c r="X843">
        <v>0.29799131039207688</v>
      </c>
      <c r="Z843" t="s">
        <v>392</v>
      </c>
      <c r="AA843">
        <v>161</v>
      </c>
      <c r="AB843" t="s">
        <v>5290</v>
      </c>
      <c r="AC843" t="str">
        <f>HYPERLINK("plots/3FT6Y578R04_015_S31P_20251219032831_M5358ACSA301811_RBGEUFRF04/dpll_52094/txpa_54199.png","plot")</f>
        <v>plot</v>
      </c>
    </row>
    <row r="844" spans="1:29" x14ac:dyDescent="0.35">
      <c r="A844" t="s">
        <v>50</v>
      </c>
      <c r="B844">
        <v>52094</v>
      </c>
      <c r="C844" t="s">
        <v>53</v>
      </c>
      <c r="D844">
        <v>54200</v>
      </c>
      <c r="E844" t="s">
        <v>220</v>
      </c>
      <c r="F844">
        <v>11781</v>
      </c>
      <c r="G844">
        <v>0.77189773851864674</v>
      </c>
      <c r="H844">
        <v>0</v>
      </c>
      <c r="I844">
        <v>0</v>
      </c>
      <c r="J844">
        <v>0.69151456371231679</v>
      </c>
      <c r="K844">
        <v>0</v>
      </c>
      <c r="L844">
        <v>0</v>
      </c>
      <c r="M844">
        <v>0.50432028215366753</v>
      </c>
      <c r="N844">
        <v>0</v>
      </c>
      <c r="O844">
        <v>0</v>
      </c>
      <c r="P844">
        <v>0.59582611873020108</v>
      </c>
      <c r="Q844">
        <v>1.041676744174199</v>
      </c>
      <c r="R844">
        <v>1.2628059681457471</v>
      </c>
      <c r="S844">
        <v>0.1910160003232641</v>
      </c>
      <c r="T844">
        <v>0.14910922849603631</v>
      </c>
      <c r="U844">
        <v>4.2673606822850356</v>
      </c>
      <c r="V844">
        <v>0.2226541824443867</v>
      </c>
      <c r="W844">
        <v>5.7080163498854093</v>
      </c>
      <c r="X844">
        <v>0.30047203440515591</v>
      </c>
      <c r="Z844" t="s">
        <v>392</v>
      </c>
      <c r="AA844">
        <v>161</v>
      </c>
      <c r="AB844" t="s">
        <v>5291</v>
      </c>
      <c r="AC844" t="str">
        <f>HYPERLINK("plots/3FT6Y578R04_015_S31P_20251219032831_M5358ACSA301811_RBGEUFRF04/dpll_52094/txpa_54200.png","plot")</f>
        <v>plot</v>
      </c>
    </row>
    <row r="845" spans="1:29" x14ac:dyDescent="0.35">
      <c r="A845" t="s">
        <v>50</v>
      </c>
      <c r="B845">
        <v>52094</v>
      </c>
      <c r="C845" t="s">
        <v>53</v>
      </c>
      <c r="D845">
        <v>54201</v>
      </c>
      <c r="E845" t="s">
        <v>221</v>
      </c>
      <c r="F845">
        <v>11782</v>
      </c>
      <c r="G845">
        <v>0.7680596468480172</v>
      </c>
      <c r="H845">
        <v>0</v>
      </c>
      <c r="I845">
        <v>0</v>
      </c>
      <c r="J845">
        <v>0.68223220285865971</v>
      </c>
      <c r="K845">
        <v>0</v>
      </c>
      <c r="L845">
        <v>0</v>
      </c>
      <c r="M845">
        <v>0.49602880802403398</v>
      </c>
      <c r="N845">
        <v>0</v>
      </c>
      <c r="O845">
        <v>0</v>
      </c>
      <c r="P845">
        <v>0.58991562111630091</v>
      </c>
      <c r="Q845">
        <v>1.025878676383853</v>
      </c>
      <c r="R845">
        <v>1.3343918586637451</v>
      </c>
      <c r="S845">
        <v>0.19045325846958411</v>
      </c>
      <c r="T845">
        <v>0.14901095297711031</v>
      </c>
      <c r="U845">
        <v>4.2673938428959426</v>
      </c>
      <c r="V845">
        <v>0.22267382584799689</v>
      </c>
      <c r="W845">
        <v>5.7122202058224403</v>
      </c>
      <c r="X845">
        <v>0.29742003848755039</v>
      </c>
      <c r="Z845" t="s">
        <v>392</v>
      </c>
      <c r="AA845">
        <v>161</v>
      </c>
      <c r="AB845" t="s">
        <v>5292</v>
      </c>
      <c r="AC845" t="str">
        <f>HYPERLINK("plots/3FT6Y578R04_015_S31P_20251219032831_M5358ACSA301811_RBGEUFRF04/dpll_52094/txpa_54201.png","plot")</f>
        <v>plot</v>
      </c>
    </row>
    <row r="846" spans="1:29" x14ac:dyDescent="0.35">
      <c r="A846" t="s">
        <v>50</v>
      </c>
      <c r="B846">
        <v>52094</v>
      </c>
      <c r="C846" t="s">
        <v>53</v>
      </c>
      <c r="D846">
        <v>54202</v>
      </c>
      <c r="E846" t="s">
        <v>222</v>
      </c>
      <c r="F846">
        <v>11781</v>
      </c>
      <c r="G846">
        <v>0.76067496965356196</v>
      </c>
      <c r="H846">
        <v>0</v>
      </c>
      <c r="I846">
        <v>0</v>
      </c>
      <c r="J846">
        <v>0.67597361167350278</v>
      </c>
      <c r="K846">
        <v>0</v>
      </c>
      <c r="L846">
        <v>0</v>
      </c>
      <c r="M846">
        <v>0.49163630803637898</v>
      </c>
      <c r="N846">
        <v>0</v>
      </c>
      <c r="O846">
        <v>0</v>
      </c>
      <c r="P846">
        <v>0.57862640945744737</v>
      </c>
      <c r="Q846">
        <v>1.0206147795334519</v>
      </c>
      <c r="R846">
        <v>1.3284741984467161</v>
      </c>
      <c r="S846">
        <v>0.1939258239029869</v>
      </c>
      <c r="T846">
        <v>0.14992064326117421</v>
      </c>
      <c r="U846">
        <v>4.2674179181733303</v>
      </c>
      <c r="V846">
        <v>0.22266794157249609</v>
      </c>
      <c r="W846">
        <v>5.6838639961802908</v>
      </c>
      <c r="X846">
        <v>0.29875860408642319</v>
      </c>
      <c r="Z846" t="s">
        <v>392</v>
      </c>
      <c r="AA846">
        <v>161</v>
      </c>
      <c r="AB846" t="s">
        <v>5293</v>
      </c>
      <c r="AC846" t="str">
        <f>HYPERLINK("plots/3FT6Y578R04_015_S31P_20251219032831_M5358ACSA301811_RBGEUFRF04/dpll_52094/txpa_54202.png","plot")</f>
        <v>plot</v>
      </c>
    </row>
    <row r="847" spans="1:29" x14ac:dyDescent="0.35">
      <c r="A847" t="s">
        <v>50</v>
      </c>
      <c r="B847">
        <v>52094</v>
      </c>
      <c r="C847" t="s">
        <v>53</v>
      </c>
      <c r="D847">
        <v>54203</v>
      </c>
      <c r="E847" t="s">
        <v>223</v>
      </c>
      <c r="F847">
        <v>11782</v>
      </c>
      <c r="G847">
        <v>0.75292991630369266</v>
      </c>
      <c r="H847">
        <v>0</v>
      </c>
      <c r="I847">
        <v>0</v>
      </c>
      <c r="J847">
        <v>0.67856010643252296</v>
      </c>
      <c r="K847">
        <v>0</v>
      </c>
      <c r="L847">
        <v>0</v>
      </c>
      <c r="M847">
        <v>0.4910880072086467</v>
      </c>
      <c r="N847">
        <v>0</v>
      </c>
      <c r="O847">
        <v>0</v>
      </c>
      <c r="P847">
        <v>0.56690345886508564</v>
      </c>
      <c r="Q847">
        <v>1.0504851724581701</v>
      </c>
      <c r="R847">
        <v>2.2461926325418951</v>
      </c>
      <c r="S847">
        <v>0.20444593070817851</v>
      </c>
      <c r="T847">
        <v>0.15551721297353391</v>
      </c>
      <c r="U847">
        <v>4.2673938428959426</v>
      </c>
      <c r="V847">
        <v>0.22267382584799689</v>
      </c>
      <c r="W847">
        <v>6.7290265895433734</v>
      </c>
      <c r="X847">
        <v>0.31067373905953832</v>
      </c>
      <c r="Z847" t="s">
        <v>392</v>
      </c>
      <c r="AA847">
        <v>161</v>
      </c>
      <c r="AB847" t="s">
        <v>5294</v>
      </c>
      <c r="AC847" t="str">
        <f>HYPERLINK("plots/3FT6Y578R04_015_S31P_20251219032831_M5358ACSA301811_RBGEUFRF04/dpll_52094/txpa_54203.png","plot")</f>
        <v>plot</v>
      </c>
    </row>
    <row r="848" spans="1:29" x14ac:dyDescent="0.35">
      <c r="A848" t="s">
        <v>50</v>
      </c>
      <c r="B848">
        <v>52094</v>
      </c>
      <c r="C848" t="s">
        <v>53</v>
      </c>
      <c r="D848">
        <v>54204</v>
      </c>
      <c r="E848" t="s">
        <v>224</v>
      </c>
      <c r="F848">
        <v>11782</v>
      </c>
      <c r="G848">
        <v>0.77137519854943248</v>
      </c>
      <c r="H848">
        <v>0</v>
      </c>
      <c r="I848">
        <v>0</v>
      </c>
      <c r="J848">
        <v>0.69053500163347803</v>
      </c>
      <c r="K848">
        <v>0</v>
      </c>
      <c r="L848">
        <v>0</v>
      </c>
      <c r="M848">
        <v>0.50417758205202512</v>
      </c>
      <c r="N848">
        <v>0</v>
      </c>
      <c r="O848">
        <v>0</v>
      </c>
      <c r="P848">
        <v>0.59501969693717638</v>
      </c>
      <c r="Q848">
        <v>1.078351661122674</v>
      </c>
      <c r="R848">
        <v>2.1606394672650562</v>
      </c>
      <c r="S848">
        <v>0.19808994469814739</v>
      </c>
      <c r="T848">
        <v>0.15295714034828309</v>
      </c>
      <c r="U848">
        <v>4.2673938428959426</v>
      </c>
      <c r="V848">
        <v>0.22267382584799689</v>
      </c>
      <c r="W848">
        <v>6.7623907064165678</v>
      </c>
      <c r="X848">
        <v>0.31128909827963652</v>
      </c>
      <c r="Z848" t="s">
        <v>392</v>
      </c>
      <c r="AA848">
        <v>161</v>
      </c>
      <c r="AB848" t="s">
        <v>5295</v>
      </c>
      <c r="AC848" t="str">
        <f>HYPERLINK("plots/3FT6Y578R04_015_S31P_20251219032831_M5358ACSA301811_RBGEUFRF04/dpll_52094/txpa_54204.png","plot")</f>
        <v>plot</v>
      </c>
    </row>
    <row r="849" spans="1:29" x14ac:dyDescent="0.35">
      <c r="A849" t="s">
        <v>50</v>
      </c>
      <c r="B849">
        <v>52094</v>
      </c>
      <c r="C849" t="s">
        <v>53</v>
      </c>
      <c r="D849">
        <v>54205</v>
      </c>
      <c r="E849" t="s">
        <v>225</v>
      </c>
      <c r="F849">
        <v>11782</v>
      </c>
      <c r="G849">
        <v>0.76408146588294579</v>
      </c>
      <c r="H849">
        <v>0</v>
      </c>
      <c r="I849">
        <v>0</v>
      </c>
      <c r="J849">
        <v>0.68203089424404895</v>
      </c>
      <c r="K849">
        <v>0</v>
      </c>
      <c r="L849">
        <v>0</v>
      </c>
      <c r="M849">
        <v>0.49606632366705322</v>
      </c>
      <c r="N849">
        <v>0</v>
      </c>
      <c r="O849">
        <v>0</v>
      </c>
      <c r="P849">
        <v>0.58382048650583129</v>
      </c>
      <c r="Q849">
        <v>1.054132255335855</v>
      </c>
      <c r="R849">
        <v>2.2738440173071708</v>
      </c>
      <c r="S849">
        <v>0.1981739318773566</v>
      </c>
      <c r="T849">
        <v>0.15221231173968719</v>
      </c>
      <c r="U849">
        <v>4.2673938428959426</v>
      </c>
      <c r="V849">
        <v>0.22267382584799689</v>
      </c>
      <c r="W849">
        <v>6.7722415133254126</v>
      </c>
      <c r="X849">
        <v>0.3072024027885159</v>
      </c>
      <c r="Z849" t="s">
        <v>392</v>
      </c>
      <c r="AA849">
        <v>161</v>
      </c>
      <c r="AB849" t="s">
        <v>5296</v>
      </c>
      <c r="AC849" t="str">
        <f>HYPERLINK("plots/3FT6Y578R04_015_S31P_20251219032831_M5358ACSA301811_RBGEUFRF04/dpll_52094/txpa_54205.png","plot")</f>
        <v>plot</v>
      </c>
    </row>
    <row r="850" spans="1:29" x14ac:dyDescent="0.35">
      <c r="A850" t="s">
        <v>50</v>
      </c>
      <c r="B850">
        <v>52094</v>
      </c>
      <c r="C850" t="s">
        <v>53</v>
      </c>
      <c r="D850">
        <v>54206</v>
      </c>
      <c r="E850" t="s">
        <v>226</v>
      </c>
      <c r="F850">
        <v>11781</v>
      </c>
      <c r="G850">
        <v>0.77829959853220709</v>
      </c>
      <c r="H850">
        <v>0</v>
      </c>
      <c r="I850">
        <v>0</v>
      </c>
      <c r="J850">
        <v>0.69282411039047953</v>
      </c>
      <c r="K850">
        <v>0</v>
      </c>
      <c r="L850">
        <v>0</v>
      </c>
      <c r="M850">
        <v>0.50616508125889226</v>
      </c>
      <c r="N850">
        <v>0</v>
      </c>
      <c r="O850">
        <v>0</v>
      </c>
      <c r="P850">
        <v>0.60575026507539476</v>
      </c>
      <c r="Q850">
        <v>1.0811732095779769</v>
      </c>
      <c r="R850">
        <v>2.1680356986409621</v>
      </c>
      <c r="S850">
        <v>0.1942224314575316</v>
      </c>
      <c r="T850">
        <v>0.15071800543024719</v>
      </c>
      <c r="U850">
        <v>4.2674026018164843</v>
      </c>
      <c r="V850">
        <v>0.22268124725346999</v>
      </c>
      <c r="W850">
        <v>6.7818370662083014</v>
      </c>
      <c r="X850">
        <v>0.30933717460461779</v>
      </c>
      <c r="Z850" t="s">
        <v>392</v>
      </c>
      <c r="AA850">
        <v>161</v>
      </c>
      <c r="AB850" t="s">
        <v>5297</v>
      </c>
      <c r="AC850" t="str">
        <f>HYPERLINK("plots/3FT6Y578R04_015_S31P_20251219032831_M5358ACSA301811_RBGEUFRF04/dpll_52094/txpa_54206.png","plot")</f>
        <v>plot</v>
      </c>
    </row>
    <row r="851" spans="1:29" x14ac:dyDescent="0.35">
      <c r="A851" t="s">
        <v>50</v>
      </c>
      <c r="B851">
        <v>52094</v>
      </c>
      <c r="C851" t="s">
        <v>53</v>
      </c>
      <c r="D851">
        <v>54207</v>
      </c>
      <c r="E851" t="s">
        <v>227</v>
      </c>
      <c r="F851">
        <v>11781</v>
      </c>
      <c r="G851">
        <v>0.77939321742477941</v>
      </c>
      <c r="H851">
        <v>0</v>
      </c>
      <c r="I851">
        <v>0</v>
      </c>
      <c r="J851">
        <v>0.68887697005341642</v>
      </c>
      <c r="K851">
        <v>0</v>
      </c>
      <c r="L851">
        <v>0</v>
      </c>
      <c r="M851">
        <v>0.50126129357807114</v>
      </c>
      <c r="N851">
        <v>0</v>
      </c>
      <c r="O851">
        <v>0</v>
      </c>
      <c r="P851">
        <v>0.60745378736774946</v>
      </c>
      <c r="Q851">
        <v>1.077938996228573</v>
      </c>
      <c r="R851">
        <v>2.1584708895969151</v>
      </c>
      <c r="S851">
        <v>0.19293398122660091</v>
      </c>
      <c r="T851">
        <v>0.15018741174221531</v>
      </c>
      <c r="U851">
        <v>4.2673648416942536</v>
      </c>
      <c r="V851">
        <v>0.2226610238238293</v>
      </c>
      <c r="W851">
        <v>6.7584298635939239</v>
      </c>
      <c r="X851">
        <v>0.30795110241390988</v>
      </c>
      <c r="Z851" t="s">
        <v>392</v>
      </c>
      <c r="AA851">
        <v>161</v>
      </c>
      <c r="AB851" t="s">
        <v>5298</v>
      </c>
      <c r="AC851" t="str">
        <f>HYPERLINK("plots/3FT6Y578R04_015_S31P_20251219032831_M5358ACSA301811_RBGEUFRF04/dpll_52094/txpa_54207.png","plot")</f>
        <v>plot</v>
      </c>
    </row>
    <row r="852" spans="1:29" x14ac:dyDescent="0.35">
      <c r="A852" t="s">
        <v>50</v>
      </c>
      <c r="B852">
        <v>52094</v>
      </c>
      <c r="C852" t="s">
        <v>53</v>
      </c>
      <c r="D852">
        <v>54208</v>
      </c>
      <c r="E852" t="s">
        <v>228</v>
      </c>
      <c r="F852">
        <v>11781</v>
      </c>
      <c r="G852">
        <v>0.78352840780962174</v>
      </c>
      <c r="H852">
        <v>0</v>
      </c>
      <c r="I852">
        <v>0</v>
      </c>
      <c r="J852">
        <v>0.7003573804736819</v>
      </c>
      <c r="K852">
        <v>0</v>
      </c>
      <c r="L852">
        <v>0</v>
      </c>
      <c r="M852">
        <v>0.51223051556521271</v>
      </c>
      <c r="N852">
        <v>0</v>
      </c>
      <c r="O852">
        <v>0</v>
      </c>
      <c r="P852">
        <v>0.61391676584468091</v>
      </c>
      <c r="Q852">
        <v>1.0920504695040201</v>
      </c>
      <c r="R852">
        <v>2.1112900185242398</v>
      </c>
      <c r="S852">
        <v>0.19281501876669829</v>
      </c>
      <c r="T852">
        <v>0.15031254594772561</v>
      </c>
      <c r="U852">
        <v>4.2673606822850356</v>
      </c>
      <c r="V852">
        <v>0.2226541824443867</v>
      </c>
      <c r="W852">
        <v>6.7714632551566094</v>
      </c>
      <c r="X852">
        <v>0.3103264694067171</v>
      </c>
      <c r="Z852" t="s">
        <v>392</v>
      </c>
      <c r="AA852">
        <v>161</v>
      </c>
      <c r="AB852" t="s">
        <v>5299</v>
      </c>
      <c r="AC852" t="str">
        <f>HYPERLINK("plots/3FT6Y578R04_015_S31P_20251219032831_M5358ACSA301811_RBGEUFRF04/dpll_52094/txpa_54208.png","plot")</f>
        <v>plot</v>
      </c>
    </row>
    <row r="853" spans="1:29" x14ac:dyDescent="0.35">
      <c r="A853" t="s">
        <v>50</v>
      </c>
      <c r="B853">
        <v>52094</v>
      </c>
      <c r="C853" t="s">
        <v>53</v>
      </c>
      <c r="D853">
        <v>54209</v>
      </c>
      <c r="E853" t="s">
        <v>229</v>
      </c>
      <c r="F853">
        <v>11782</v>
      </c>
      <c r="G853">
        <v>0.78010008461209357</v>
      </c>
      <c r="H853">
        <v>0</v>
      </c>
      <c r="I853">
        <v>0</v>
      </c>
      <c r="J853">
        <v>0.69144225444423679</v>
      </c>
      <c r="K853">
        <v>0</v>
      </c>
      <c r="L853">
        <v>0</v>
      </c>
      <c r="M853">
        <v>0.50420586376254672</v>
      </c>
      <c r="N853">
        <v>0</v>
      </c>
      <c r="O853">
        <v>0</v>
      </c>
      <c r="P853">
        <v>0.60855614201179553</v>
      </c>
      <c r="Q853">
        <v>1.0768538071931759</v>
      </c>
      <c r="R853">
        <v>2.1803630312882141</v>
      </c>
      <c r="S853">
        <v>0.19230558800903419</v>
      </c>
      <c r="T853">
        <v>0.15015242052862801</v>
      </c>
      <c r="U853">
        <v>4.2673938428959426</v>
      </c>
      <c r="V853">
        <v>0.22267382584799689</v>
      </c>
      <c r="W853">
        <v>6.7757223378034279</v>
      </c>
      <c r="X853">
        <v>0.30737999117885029</v>
      </c>
      <c r="Z853" t="s">
        <v>392</v>
      </c>
      <c r="AA853">
        <v>161</v>
      </c>
      <c r="AB853" t="s">
        <v>5300</v>
      </c>
      <c r="AC853" t="str">
        <f>HYPERLINK("plots/3FT6Y578R04_015_S31P_20251219032831_M5358ACSA301811_RBGEUFRF04/dpll_52094/txpa_54209.png","plot")</f>
        <v>plot</v>
      </c>
    </row>
    <row r="854" spans="1:29" x14ac:dyDescent="0.35">
      <c r="A854" t="s">
        <v>50</v>
      </c>
      <c r="B854">
        <v>52094</v>
      </c>
      <c r="C854" t="s">
        <v>53</v>
      </c>
      <c r="D854">
        <v>54210</v>
      </c>
      <c r="E854" t="s">
        <v>230</v>
      </c>
      <c r="F854">
        <v>11781</v>
      </c>
      <c r="G854">
        <v>0.77295289352429408</v>
      </c>
      <c r="H854">
        <v>0</v>
      </c>
      <c r="I854">
        <v>0</v>
      </c>
      <c r="J854">
        <v>0.68546971242369292</v>
      </c>
      <c r="K854">
        <v>0</v>
      </c>
      <c r="L854">
        <v>0</v>
      </c>
      <c r="M854">
        <v>0.49991878072204138</v>
      </c>
      <c r="N854">
        <v>0</v>
      </c>
      <c r="O854">
        <v>0</v>
      </c>
      <c r="P854">
        <v>0.59745617560757869</v>
      </c>
      <c r="Q854">
        <v>1.070998782383338</v>
      </c>
      <c r="R854">
        <v>2.178216503771718</v>
      </c>
      <c r="S854">
        <v>0.19574099677048951</v>
      </c>
      <c r="T854">
        <v>0.15098295019789601</v>
      </c>
      <c r="U854">
        <v>4.2674179181733303</v>
      </c>
      <c r="V854">
        <v>0.22266794157249609</v>
      </c>
      <c r="W854">
        <v>6.7486158980561921</v>
      </c>
      <c r="X854">
        <v>0.30852733238710872</v>
      </c>
      <c r="Z854" t="s">
        <v>392</v>
      </c>
      <c r="AA854">
        <v>161</v>
      </c>
      <c r="AB854" t="s">
        <v>5301</v>
      </c>
      <c r="AC854" t="str">
        <f>HYPERLINK("plots/3FT6Y578R04_015_S31P_20251219032831_M5358ACSA301811_RBGEUFRF04/dpll_52094/txpa_54210.png","plot")</f>
        <v>plot</v>
      </c>
    </row>
    <row r="855" spans="1:29" x14ac:dyDescent="0.35">
      <c r="A855" t="s">
        <v>50</v>
      </c>
      <c r="B855">
        <v>52094</v>
      </c>
      <c r="C855" t="s">
        <v>53</v>
      </c>
      <c r="D855">
        <v>54211</v>
      </c>
      <c r="E855" t="s">
        <v>231</v>
      </c>
      <c r="F855">
        <v>11782</v>
      </c>
      <c r="G855">
        <v>0.76347651148234175</v>
      </c>
      <c r="H855">
        <v>0</v>
      </c>
      <c r="I855">
        <v>0</v>
      </c>
      <c r="J855">
        <v>0.68633159283019773</v>
      </c>
      <c r="K855">
        <v>0</v>
      </c>
      <c r="L855">
        <v>0</v>
      </c>
      <c r="M855">
        <v>0.49782351944823949</v>
      </c>
      <c r="N855">
        <v>0</v>
      </c>
      <c r="O855">
        <v>0</v>
      </c>
      <c r="P855">
        <v>0.58289638358524631</v>
      </c>
      <c r="Q855">
        <v>1.1029605027572089</v>
      </c>
      <c r="R855">
        <v>3.0556461693306738</v>
      </c>
      <c r="S855">
        <v>0.20774806985793709</v>
      </c>
      <c r="T855">
        <v>0.15770085026604719</v>
      </c>
      <c r="U855">
        <v>4.2673938428959426</v>
      </c>
      <c r="V855">
        <v>0.22267382584799689</v>
      </c>
      <c r="W855">
        <v>7.7624130277542003</v>
      </c>
      <c r="X855">
        <v>0.32168695593703012</v>
      </c>
      <c r="Z855" t="s">
        <v>392</v>
      </c>
      <c r="AA855">
        <v>161</v>
      </c>
      <c r="AB855" t="s">
        <v>5302</v>
      </c>
      <c r="AC855" t="str">
        <f>HYPERLINK("plots/3FT6Y578R04_015_S31P_20251219032831_M5358ACSA301811_RBGEUFRF04/dpll_52094/txpa_54211.png","plot")</f>
        <v>plot</v>
      </c>
    </row>
    <row r="856" spans="1:29" x14ac:dyDescent="0.35">
      <c r="A856" t="s">
        <v>50</v>
      </c>
      <c r="B856">
        <v>52094</v>
      </c>
      <c r="C856" t="s">
        <v>53</v>
      </c>
      <c r="D856">
        <v>54212</v>
      </c>
      <c r="E856" t="s">
        <v>232</v>
      </c>
      <c r="F856">
        <v>11782</v>
      </c>
      <c r="G856">
        <v>0.78107800998204835</v>
      </c>
      <c r="H856">
        <v>0</v>
      </c>
      <c r="I856">
        <v>0</v>
      </c>
      <c r="J856">
        <v>0.69800797974448348</v>
      </c>
      <c r="K856">
        <v>0</v>
      </c>
      <c r="L856">
        <v>0</v>
      </c>
      <c r="M856">
        <v>0.51072573982181291</v>
      </c>
      <c r="N856">
        <v>0</v>
      </c>
      <c r="O856">
        <v>0</v>
      </c>
      <c r="P856">
        <v>0.6100828576775168</v>
      </c>
      <c r="Q856">
        <v>1.1304837126615099</v>
      </c>
      <c r="R856">
        <v>2.9710470336393651</v>
      </c>
      <c r="S856">
        <v>0.20123652202719791</v>
      </c>
      <c r="T856">
        <v>0.1551083634194248</v>
      </c>
      <c r="U856">
        <v>4.2673938428959426</v>
      </c>
      <c r="V856">
        <v>0.22267382584799689</v>
      </c>
      <c r="W856">
        <v>7.7952662685452392</v>
      </c>
      <c r="X856">
        <v>0.32228424067779288</v>
      </c>
      <c r="Z856" t="s">
        <v>392</v>
      </c>
      <c r="AA856">
        <v>161</v>
      </c>
      <c r="AB856" t="s">
        <v>5303</v>
      </c>
      <c r="AC856" t="str">
        <f>HYPERLINK("plots/3FT6Y578R04_015_S31P_20251219032831_M5358ACSA301811_RBGEUFRF04/dpll_52094/txpa_54212.png","plot")</f>
        <v>plot</v>
      </c>
    </row>
    <row r="857" spans="1:29" x14ac:dyDescent="0.35">
      <c r="A857" t="s">
        <v>50</v>
      </c>
      <c r="B857">
        <v>52094</v>
      </c>
      <c r="C857" t="s">
        <v>53</v>
      </c>
      <c r="D857">
        <v>54213</v>
      </c>
      <c r="E857" t="s">
        <v>233</v>
      </c>
      <c r="F857">
        <v>11782</v>
      </c>
      <c r="G857">
        <v>0.77449138311721288</v>
      </c>
      <c r="H857">
        <v>0</v>
      </c>
      <c r="I857">
        <v>0</v>
      </c>
      <c r="J857">
        <v>0.69007885626321674</v>
      </c>
      <c r="K857">
        <v>0</v>
      </c>
      <c r="L857">
        <v>0</v>
      </c>
      <c r="M857">
        <v>0.50299065942937204</v>
      </c>
      <c r="N857">
        <v>0</v>
      </c>
      <c r="O857">
        <v>0</v>
      </c>
      <c r="P857">
        <v>0.59983690252281341</v>
      </c>
      <c r="Q857">
        <v>1.1064815175516201</v>
      </c>
      <c r="R857">
        <v>3.0836664714136202</v>
      </c>
      <c r="S857">
        <v>0.20123190175207781</v>
      </c>
      <c r="T857">
        <v>0.1542205864866652</v>
      </c>
      <c r="U857">
        <v>4.2673938428959426</v>
      </c>
      <c r="V857">
        <v>0.22267382584799689</v>
      </c>
      <c r="W857">
        <v>7.8054588866915626</v>
      </c>
      <c r="X857">
        <v>0.31812422722078021</v>
      </c>
      <c r="Z857" t="s">
        <v>392</v>
      </c>
      <c r="AA857">
        <v>161</v>
      </c>
      <c r="AB857" t="s">
        <v>5304</v>
      </c>
      <c r="AC857" t="str">
        <f>HYPERLINK("plots/3FT6Y578R04_015_S31P_20251219032831_M5358ACSA301811_RBGEUFRF04/dpll_52094/txpa_54213.png","plot")</f>
        <v>plot</v>
      </c>
    </row>
    <row r="858" spans="1:29" x14ac:dyDescent="0.35">
      <c r="A858" t="s">
        <v>50</v>
      </c>
      <c r="B858">
        <v>52094</v>
      </c>
      <c r="C858" t="s">
        <v>53</v>
      </c>
      <c r="D858">
        <v>54214</v>
      </c>
      <c r="E858" t="s">
        <v>234</v>
      </c>
      <c r="F858">
        <v>11781</v>
      </c>
      <c r="G858">
        <v>0.78798167517534112</v>
      </c>
      <c r="H858">
        <v>0</v>
      </c>
      <c r="I858">
        <v>0</v>
      </c>
      <c r="J858">
        <v>0.70045919776951804</v>
      </c>
      <c r="K858">
        <v>0</v>
      </c>
      <c r="L858">
        <v>0</v>
      </c>
      <c r="M858">
        <v>0.51283735866783464</v>
      </c>
      <c r="N858">
        <v>0</v>
      </c>
      <c r="O858">
        <v>0</v>
      </c>
      <c r="P858">
        <v>0.62091512041213681</v>
      </c>
      <c r="Q858">
        <v>1.133175315375492</v>
      </c>
      <c r="R858">
        <v>2.9783382573255461</v>
      </c>
      <c r="S858">
        <v>0.19715801229751001</v>
      </c>
      <c r="T858">
        <v>0.152753632087028</v>
      </c>
      <c r="U858">
        <v>4.2674026018164843</v>
      </c>
      <c r="V858">
        <v>0.22268124725346999</v>
      </c>
      <c r="W858">
        <v>7.8140535464731347</v>
      </c>
      <c r="X858">
        <v>0.32023192992211241</v>
      </c>
      <c r="Z858" t="s">
        <v>392</v>
      </c>
      <c r="AA858">
        <v>161</v>
      </c>
      <c r="AB858" t="s">
        <v>5305</v>
      </c>
      <c r="AC858" t="str">
        <f>HYPERLINK("plots/3FT6Y578R04_015_S31P_20251219032831_M5358ACSA301811_RBGEUFRF04/dpll_52094/txpa_54214.png","plot")</f>
        <v>plot</v>
      </c>
    </row>
    <row r="859" spans="1:29" x14ac:dyDescent="0.35">
      <c r="A859" t="s">
        <v>50</v>
      </c>
      <c r="B859">
        <v>52094</v>
      </c>
      <c r="C859" t="s">
        <v>53</v>
      </c>
      <c r="D859">
        <v>54215</v>
      </c>
      <c r="E859" t="s">
        <v>235</v>
      </c>
      <c r="F859">
        <v>11781</v>
      </c>
      <c r="G859">
        <v>0.78918745237511567</v>
      </c>
      <c r="H859">
        <v>0</v>
      </c>
      <c r="I859">
        <v>0</v>
      </c>
      <c r="J859">
        <v>0.69650918715779586</v>
      </c>
      <c r="K859">
        <v>0</v>
      </c>
      <c r="L859">
        <v>0</v>
      </c>
      <c r="M859">
        <v>0.50795935691531446</v>
      </c>
      <c r="N859">
        <v>0</v>
      </c>
      <c r="O859">
        <v>0</v>
      </c>
      <c r="P859">
        <v>0.62281683498632545</v>
      </c>
      <c r="Q859">
        <v>1.1305291602992691</v>
      </c>
      <c r="R859">
        <v>2.9657132718454959</v>
      </c>
      <c r="S859">
        <v>0.19588605336141801</v>
      </c>
      <c r="T859">
        <v>0.1522350903285678</v>
      </c>
      <c r="U859">
        <v>4.2673648416942536</v>
      </c>
      <c r="V859">
        <v>0.2226610238238293</v>
      </c>
      <c r="W859">
        <v>7.7900936630167221</v>
      </c>
      <c r="X859">
        <v>0.31896703316473862</v>
      </c>
      <c r="Z859" t="s">
        <v>392</v>
      </c>
      <c r="AA859">
        <v>161</v>
      </c>
      <c r="AB859" t="s">
        <v>5306</v>
      </c>
      <c r="AC859" t="str">
        <f>HYPERLINK("plots/3FT6Y578R04_015_S31P_20251219032831_M5358ACSA301811_RBGEUFRF04/dpll_52094/txpa_54215.png","plot")</f>
        <v>plot</v>
      </c>
    </row>
    <row r="860" spans="1:29" x14ac:dyDescent="0.35">
      <c r="A860" t="s">
        <v>50</v>
      </c>
      <c r="B860">
        <v>52094</v>
      </c>
      <c r="C860" t="s">
        <v>53</v>
      </c>
      <c r="D860">
        <v>54216</v>
      </c>
      <c r="E860" t="s">
        <v>236</v>
      </c>
      <c r="F860">
        <v>11781</v>
      </c>
      <c r="G860">
        <v>0.79284037085437209</v>
      </c>
      <c r="H860">
        <v>0</v>
      </c>
      <c r="I860">
        <v>0</v>
      </c>
      <c r="J860">
        <v>0.70727078326059922</v>
      </c>
      <c r="K860">
        <v>0</v>
      </c>
      <c r="L860">
        <v>0</v>
      </c>
      <c r="M860">
        <v>0.51841478075759584</v>
      </c>
      <c r="N860">
        <v>0</v>
      </c>
      <c r="O860">
        <v>0</v>
      </c>
      <c r="P860">
        <v>0.62859585365649828</v>
      </c>
      <c r="Q860">
        <v>1.144112717750988</v>
      </c>
      <c r="R860">
        <v>2.921324124819733</v>
      </c>
      <c r="S860">
        <v>0.1958027810260522</v>
      </c>
      <c r="T860">
        <v>0.15241897080582781</v>
      </c>
      <c r="U860">
        <v>4.2673606822850356</v>
      </c>
      <c r="V860">
        <v>0.2226541824443867</v>
      </c>
      <c r="W860">
        <v>7.8036657526525746</v>
      </c>
      <c r="X860">
        <v>0.32130235941512408</v>
      </c>
      <c r="Z860" t="s">
        <v>392</v>
      </c>
      <c r="AA860">
        <v>161</v>
      </c>
      <c r="AB860" t="s">
        <v>5307</v>
      </c>
      <c r="AC860" t="str">
        <f>HYPERLINK("plots/3FT6Y578R04_015_S31P_20251219032831_M5358ACSA301811_RBGEUFRF04/dpll_52094/txpa_54216.png","plot")</f>
        <v>plot</v>
      </c>
    </row>
    <row r="861" spans="1:29" x14ac:dyDescent="0.35">
      <c r="A861" t="s">
        <v>50</v>
      </c>
      <c r="B861">
        <v>52094</v>
      </c>
      <c r="C861" t="s">
        <v>53</v>
      </c>
      <c r="D861">
        <v>54217</v>
      </c>
      <c r="E861" t="s">
        <v>237</v>
      </c>
      <c r="F861">
        <v>11782</v>
      </c>
      <c r="G861">
        <v>0.79000928977554175</v>
      </c>
      <c r="H861">
        <v>0</v>
      </c>
      <c r="I861">
        <v>0</v>
      </c>
      <c r="J861">
        <v>0.69882583263721887</v>
      </c>
      <c r="K861">
        <v>0</v>
      </c>
      <c r="L861">
        <v>0</v>
      </c>
      <c r="M861">
        <v>0.51069841522169235</v>
      </c>
      <c r="N861">
        <v>0</v>
      </c>
      <c r="O861">
        <v>0</v>
      </c>
      <c r="P861">
        <v>0.62411467793165587</v>
      </c>
      <c r="Q861">
        <v>1.1299663492648631</v>
      </c>
      <c r="R861">
        <v>2.9863684713855259</v>
      </c>
      <c r="S861">
        <v>0.1952593033316081</v>
      </c>
      <c r="T861">
        <v>0.15217883088520709</v>
      </c>
      <c r="U861">
        <v>4.2673938428959426</v>
      </c>
      <c r="V861">
        <v>0.22267382584799689</v>
      </c>
      <c r="W861">
        <v>7.80837991291801</v>
      </c>
      <c r="X861">
        <v>0.31849490041033529</v>
      </c>
      <c r="Z861" t="s">
        <v>392</v>
      </c>
      <c r="AA861">
        <v>161</v>
      </c>
      <c r="AB861" t="s">
        <v>5308</v>
      </c>
      <c r="AC861" t="str">
        <f>HYPERLINK("plots/3FT6Y578R04_015_S31P_20251219032831_M5358ACSA301811_RBGEUFRF04/dpll_52094/txpa_54217.png","plot")</f>
        <v>plot</v>
      </c>
    </row>
    <row r="862" spans="1:29" x14ac:dyDescent="0.35">
      <c r="A862" t="s">
        <v>50</v>
      </c>
      <c r="B862">
        <v>52094</v>
      </c>
      <c r="C862" t="s">
        <v>53</v>
      </c>
      <c r="D862">
        <v>54218</v>
      </c>
      <c r="E862" t="s">
        <v>238</v>
      </c>
      <c r="F862">
        <v>11781</v>
      </c>
      <c r="G862">
        <v>0.78290233736391746</v>
      </c>
      <c r="H862">
        <v>0</v>
      </c>
      <c r="I862">
        <v>0</v>
      </c>
      <c r="J862">
        <v>0.69271995447160828</v>
      </c>
      <c r="K862">
        <v>0</v>
      </c>
      <c r="L862">
        <v>0</v>
      </c>
      <c r="M862">
        <v>0.5062348936217933</v>
      </c>
      <c r="N862">
        <v>0</v>
      </c>
      <c r="O862">
        <v>0</v>
      </c>
      <c r="P862">
        <v>0.61293606984988525</v>
      </c>
      <c r="Q862">
        <v>1.1229667556159511</v>
      </c>
      <c r="R862">
        <v>2.9897544291976992</v>
      </c>
      <c r="S862">
        <v>0.1986963651890121</v>
      </c>
      <c r="T862">
        <v>0.15299814927985131</v>
      </c>
      <c r="U862">
        <v>4.2674179181733303</v>
      </c>
      <c r="V862">
        <v>0.22266794157249609</v>
      </c>
      <c r="W862">
        <v>7.7819228836261782</v>
      </c>
      <c r="X862">
        <v>0.31938683025175008</v>
      </c>
      <c r="Z862" t="s">
        <v>392</v>
      </c>
      <c r="AA862">
        <v>161</v>
      </c>
      <c r="AB862" t="s">
        <v>5309</v>
      </c>
      <c r="AC862" t="str">
        <f>HYPERLINK("plots/3FT6Y578R04_015_S31P_20251219032831_M5358ACSA301811_RBGEUFRF04/dpll_52094/txpa_54218.png","plot")</f>
        <v>plot</v>
      </c>
    </row>
    <row r="863" spans="1:29" x14ac:dyDescent="0.35">
      <c r="A863" t="s">
        <v>50</v>
      </c>
      <c r="B863">
        <v>52094</v>
      </c>
      <c r="C863" t="s">
        <v>53</v>
      </c>
      <c r="D863">
        <v>54219</v>
      </c>
      <c r="E863" t="s">
        <v>239</v>
      </c>
      <c r="F863">
        <v>11782</v>
      </c>
      <c r="G863">
        <v>0.77409331382525859</v>
      </c>
      <c r="H863">
        <v>0</v>
      </c>
      <c r="I863">
        <v>0</v>
      </c>
      <c r="J863">
        <v>0.69433541294375145</v>
      </c>
      <c r="K863">
        <v>0</v>
      </c>
      <c r="L863">
        <v>0</v>
      </c>
      <c r="M863">
        <v>0.50480309328311535</v>
      </c>
      <c r="N863">
        <v>0</v>
      </c>
      <c r="O863">
        <v>0</v>
      </c>
      <c r="P863">
        <v>0.59922045850897032</v>
      </c>
      <c r="Q863">
        <v>1.1572648527768969</v>
      </c>
      <c r="R863">
        <v>3.8565784031335948</v>
      </c>
      <c r="S863">
        <v>0.21073805087020939</v>
      </c>
      <c r="T863">
        <v>0.15962548186496331</v>
      </c>
      <c r="U863">
        <v>4.2673938428959426</v>
      </c>
      <c r="V863">
        <v>0.22267382584799689</v>
      </c>
      <c r="W863">
        <v>8.7950833104736024</v>
      </c>
      <c r="X863">
        <v>0.33289603163452869</v>
      </c>
      <c r="Z863" t="s">
        <v>392</v>
      </c>
      <c r="AA863">
        <v>161</v>
      </c>
      <c r="AB863" t="s">
        <v>5310</v>
      </c>
      <c r="AC863" t="str">
        <f>HYPERLINK("plots/3FT6Y578R04_015_S31P_20251219032831_M5358ACSA301811_RBGEUFRF04/dpll_52094/txpa_54219.png","plot")</f>
        <v>plot</v>
      </c>
    </row>
    <row r="864" spans="1:29" x14ac:dyDescent="0.35">
      <c r="A864" t="s">
        <v>50</v>
      </c>
      <c r="B864">
        <v>52094</v>
      </c>
      <c r="C864" t="s">
        <v>53</v>
      </c>
      <c r="D864">
        <v>54220</v>
      </c>
      <c r="E864" t="s">
        <v>240</v>
      </c>
      <c r="F864">
        <v>11782</v>
      </c>
      <c r="G864">
        <v>0.79095273062625227</v>
      </c>
      <c r="H864">
        <v>0</v>
      </c>
      <c r="I864">
        <v>0</v>
      </c>
      <c r="J864">
        <v>0.70566938393704937</v>
      </c>
      <c r="K864">
        <v>0</v>
      </c>
      <c r="L864">
        <v>0</v>
      </c>
      <c r="M864">
        <v>0.51755832448575179</v>
      </c>
      <c r="N864">
        <v>0</v>
      </c>
      <c r="O864">
        <v>0</v>
      </c>
      <c r="P864">
        <v>0.62560622208512473</v>
      </c>
      <c r="Q864">
        <v>1.184827709715248</v>
      </c>
      <c r="R864">
        <v>3.7702148877278918</v>
      </c>
      <c r="S864">
        <v>0.20408905927608381</v>
      </c>
      <c r="T864">
        <v>0.15697244943363919</v>
      </c>
      <c r="U864">
        <v>4.2673938428959426</v>
      </c>
      <c r="V864">
        <v>0.22267382584799689</v>
      </c>
      <c r="W864">
        <v>8.8263413610592423</v>
      </c>
      <c r="X864">
        <v>0.33355990677738911</v>
      </c>
      <c r="Z864" t="s">
        <v>392</v>
      </c>
      <c r="AA864">
        <v>161</v>
      </c>
      <c r="AB864" t="s">
        <v>5311</v>
      </c>
      <c r="AC864" t="str">
        <f>HYPERLINK("plots/3FT6Y578R04_015_S31P_20251219032831_M5358ACSA301811_RBGEUFRF04/dpll_52094/txpa_54220.png","plot")</f>
        <v>plot</v>
      </c>
    </row>
    <row r="865" spans="1:29" x14ac:dyDescent="0.35">
      <c r="A865" t="s">
        <v>50</v>
      </c>
      <c r="B865">
        <v>52094</v>
      </c>
      <c r="C865" t="s">
        <v>53</v>
      </c>
      <c r="D865">
        <v>54221</v>
      </c>
      <c r="E865" t="s">
        <v>241</v>
      </c>
      <c r="F865">
        <v>11782</v>
      </c>
      <c r="G865">
        <v>0.78489517330340486</v>
      </c>
      <c r="H865">
        <v>0</v>
      </c>
      <c r="I865">
        <v>0</v>
      </c>
      <c r="J865">
        <v>0.69790384651808779</v>
      </c>
      <c r="K865">
        <v>0</v>
      </c>
      <c r="L865">
        <v>0</v>
      </c>
      <c r="M865">
        <v>0.5098274706332997</v>
      </c>
      <c r="N865">
        <v>0</v>
      </c>
      <c r="O865">
        <v>0</v>
      </c>
      <c r="P865">
        <v>0.61606043307498193</v>
      </c>
      <c r="Q865">
        <v>1.1607371004124569</v>
      </c>
      <c r="R865">
        <v>3.8834677914828948</v>
      </c>
      <c r="S865">
        <v>0.20403486389195241</v>
      </c>
      <c r="T865">
        <v>0.1559694963542029</v>
      </c>
      <c r="U865">
        <v>4.2673938428959426</v>
      </c>
      <c r="V865">
        <v>0.22267382584799689</v>
      </c>
      <c r="W865">
        <v>8.8367901470039047</v>
      </c>
      <c r="X865">
        <v>0.32929973293725567</v>
      </c>
      <c r="Z865" t="s">
        <v>392</v>
      </c>
      <c r="AA865">
        <v>161</v>
      </c>
      <c r="AB865" t="s">
        <v>5312</v>
      </c>
      <c r="AC865" t="str">
        <f>HYPERLINK("plots/3FT6Y578R04_015_S31P_20251219032831_M5358ACSA301811_RBGEUFRF04/dpll_52094/txpa_54221.png","plot")</f>
        <v>plot</v>
      </c>
    </row>
    <row r="866" spans="1:29" x14ac:dyDescent="0.35">
      <c r="A866" t="s">
        <v>50</v>
      </c>
      <c r="B866">
        <v>52094</v>
      </c>
      <c r="C866" t="s">
        <v>53</v>
      </c>
      <c r="D866">
        <v>54222</v>
      </c>
      <c r="E866" t="s">
        <v>242</v>
      </c>
      <c r="F866">
        <v>11781</v>
      </c>
      <c r="G866">
        <v>0.79768496664064081</v>
      </c>
      <c r="H866">
        <v>0</v>
      </c>
      <c r="I866">
        <v>0</v>
      </c>
      <c r="J866">
        <v>0.70798901912835288</v>
      </c>
      <c r="K866">
        <v>0</v>
      </c>
      <c r="L866">
        <v>0</v>
      </c>
      <c r="M866">
        <v>0.51954803788962489</v>
      </c>
      <c r="N866">
        <v>0</v>
      </c>
      <c r="O866">
        <v>0</v>
      </c>
      <c r="P866">
        <v>0.6363013060044802</v>
      </c>
      <c r="Q866">
        <v>1.1874049559147739</v>
      </c>
      <c r="R866">
        <v>3.7776834628009088</v>
      </c>
      <c r="S866">
        <v>0.19989573730956861</v>
      </c>
      <c r="T866">
        <v>0.15450559115065621</v>
      </c>
      <c r="U866">
        <v>4.2674026018164843</v>
      </c>
      <c r="V866">
        <v>0.22268124725346999</v>
      </c>
      <c r="W866">
        <v>8.8448184610814025</v>
      </c>
      <c r="X866">
        <v>0.33147524102353038</v>
      </c>
      <c r="Z866" t="s">
        <v>392</v>
      </c>
      <c r="AA866">
        <v>161</v>
      </c>
      <c r="AB866" t="s">
        <v>5313</v>
      </c>
      <c r="AC866" t="str">
        <f>HYPERLINK("plots/3FT6Y578R04_015_S31P_20251219032831_M5358ACSA301811_RBGEUFRF04/dpll_52094/txpa_54222.png","plot")</f>
        <v>plot</v>
      </c>
    </row>
    <row r="867" spans="1:29" x14ac:dyDescent="0.35">
      <c r="A867" t="s">
        <v>50</v>
      </c>
      <c r="B867">
        <v>52094</v>
      </c>
      <c r="C867" t="s">
        <v>53</v>
      </c>
      <c r="D867">
        <v>54223</v>
      </c>
      <c r="E867" t="s">
        <v>243</v>
      </c>
      <c r="F867">
        <v>11781</v>
      </c>
      <c r="G867">
        <v>0.79898896055425372</v>
      </c>
      <c r="H867">
        <v>0</v>
      </c>
      <c r="I867">
        <v>0</v>
      </c>
      <c r="J867">
        <v>0.70440910268497459</v>
      </c>
      <c r="K867">
        <v>0</v>
      </c>
      <c r="L867">
        <v>0</v>
      </c>
      <c r="M867">
        <v>0.51501600088792332</v>
      </c>
      <c r="N867">
        <v>0</v>
      </c>
      <c r="O867">
        <v>0</v>
      </c>
      <c r="P867">
        <v>0.63838335908756683</v>
      </c>
      <c r="Q867">
        <v>1.185401152089621</v>
      </c>
      <c r="R867">
        <v>3.7616916150554101</v>
      </c>
      <c r="S867">
        <v>0.19864358245071451</v>
      </c>
      <c r="T867">
        <v>0.1540285124514176</v>
      </c>
      <c r="U867">
        <v>4.2673648416942536</v>
      </c>
      <c r="V867">
        <v>0.2226610238238293</v>
      </c>
      <c r="W867">
        <v>8.8202308147865196</v>
      </c>
      <c r="X867">
        <v>0.33034578348006971</v>
      </c>
      <c r="Z867" t="s">
        <v>392</v>
      </c>
      <c r="AA867">
        <v>161</v>
      </c>
      <c r="AB867" t="s">
        <v>5314</v>
      </c>
      <c r="AC867" t="str">
        <f>HYPERLINK("plots/3FT6Y578R04_015_S31P_20251219032831_M5358ACSA301811_RBGEUFRF04/dpll_52094/txpa_54223.png","plot")</f>
        <v>plot</v>
      </c>
    </row>
    <row r="868" spans="1:29" x14ac:dyDescent="0.35">
      <c r="A868" t="s">
        <v>50</v>
      </c>
      <c r="B868">
        <v>52094</v>
      </c>
      <c r="C868" t="s">
        <v>53</v>
      </c>
      <c r="D868">
        <v>54224</v>
      </c>
      <c r="E868" t="s">
        <v>244</v>
      </c>
      <c r="F868">
        <v>11781</v>
      </c>
      <c r="G868">
        <v>0.80226194819377739</v>
      </c>
      <c r="H868">
        <v>0</v>
      </c>
      <c r="I868">
        <v>0</v>
      </c>
      <c r="J868">
        <v>0.71420413211960543</v>
      </c>
      <c r="K868">
        <v>0</v>
      </c>
      <c r="L868">
        <v>0</v>
      </c>
      <c r="M868">
        <v>0.52474157429495694</v>
      </c>
      <c r="N868">
        <v>0</v>
      </c>
      <c r="O868">
        <v>0</v>
      </c>
      <c r="P868">
        <v>0.64362423351967513</v>
      </c>
      <c r="Q868">
        <v>1.1981065814306291</v>
      </c>
      <c r="R868">
        <v>3.7217358705377901</v>
      </c>
      <c r="S868">
        <v>0.19849326112109081</v>
      </c>
      <c r="T868">
        <v>0.15420482458650411</v>
      </c>
      <c r="U868">
        <v>4.2673606822850356</v>
      </c>
      <c r="V868">
        <v>0.2226541824443867</v>
      </c>
      <c r="W868">
        <v>8.8344887893217887</v>
      </c>
      <c r="X868">
        <v>0.33251413951549152</v>
      </c>
      <c r="Z868" t="s">
        <v>392</v>
      </c>
      <c r="AA868">
        <v>161</v>
      </c>
      <c r="AB868" t="s">
        <v>5315</v>
      </c>
      <c r="AC868" t="str">
        <f>HYPERLINK("plots/3FT6Y578R04_015_S31P_20251219032831_M5358ACSA301811_RBGEUFRF04/dpll_52094/txpa_54224.png","plot")</f>
        <v>plot</v>
      </c>
    </row>
    <row r="869" spans="1:29" x14ac:dyDescent="0.35">
      <c r="A869" t="s">
        <v>50</v>
      </c>
      <c r="B869">
        <v>52094</v>
      </c>
      <c r="C869" t="s">
        <v>53</v>
      </c>
      <c r="D869">
        <v>54225</v>
      </c>
      <c r="E869" t="s">
        <v>245</v>
      </c>
      <c r="F869">
        <v>11782</v>
      </c>
      <c r="G869">
        <v>0.79958491748817295</v>
      </c>
      <c r="H869">
        <v>0</v>
      </c>
      <c r="I869">
        <v>0</v>
      </c>
      <c r="J869">
        <v>0.70589127974427046</v>
      </c>
      <c r="K869">
        <v>0</v>
      </c>
      <c r="L869">
        <v>0</v>
      </c>
      <c r="M869">
        <v>0.51712060358133449</v>
      </c>
      <c r="N869">
        <v>0</v>
      </c>
      <c r="O869">
        <v>0</v>
      </c>
      <c r="P869">
        <v>0.63933604027456836</v>
      </c>
      <c r="Q869">
        <v>1.1840436856446901</v>
      </c>
      <c r="R869">
        <v>3.7867567760055598</v>
      </c>
      <c r="S869">
        <v>0.1980182625741452</v>
      </c>
      <c r="T869">
        <v>0.1539296710642673</v>
      </c>
      <c r="U869">
        <v>4.2673938428959426</v>
      </c>
      <c r="V869">
        <v>0.22267382584799689</v>
      </c>
      <c r="W869">
        <v>8.8395375098455276</v>
      </c>
      <c r="X869">
        <v>0.32974050871534327</v>
      </c>
      <c r="Z869" t="s">
        <v>392</v>
      </c>
      <c r="AA869">
        <v>161</v>
      </c>
      <c r="AB869" t="s">
        <v>5316</v>
      </c>
      <c r="AC869" t="str">
        <f>HYPERLINK("plots/3FT6Y578R04_015_S31P_20251219032831_M5358ACSA301811_RBGEUFRF04/dpll_52094/txpa_54225.png","plot")</f>
        <v>plot</v>
      </c>
    </row>
    <row r="870" spans="1:29" x14ac:dyDescent="0.35">
      <c r="A870" t="s">
        <v>50</v>
      </c>
      <c r="B870">
        <v>52094</v>
      </c>
      <c r="C870" t="s">
        <v>53</v>
      </c>
      <c r="D870">
        <v>54226</v>
      </c>
      <c r="E870" t="s">
        <v>246</v>
      </c>
      <c r="F870">
        <v>11781</v>
      </c>
      <c r="G870">
        <v>0.79275560896541331</v>
      </c>
      <c r="H870">
        <v>0</v>
      </c>
      <c r="I870">
        <v>0</v>
      </c>
      <c r="J870">
        <v>0.69999652068430152</v>
      </c>
      <c r="K870">
        <v>0</v>
      </c>
      <c r="L870">
        <v>0</v>
      </c>
      <c r="M870">
        <v>0.51263002051205797</v>
      </c>
      <c r="N870">
        <v>0</v>
      </c>
      <c r="O870">
        <v>0</v>
      </c>
      <c r="P870">
        <v>0.62846145554612332</v>
      </c>
      <c r="Q870">
        <v>1.176436949718288</v>
      </c>
      <c r="R870">
        <v>3.794495895006837</v>
      </c>
      <c r="S870">
        <v>0.20140513183185321</v>
      </c>
      <c r="T870">
        <v>0.15481641460823131</v>
      </c>
      <c r="U870">
        <v>4.2674179181733303</v>
      </c>
      <c r="V870">
        <v>0.22266794157249609</v>
      </c>
      <c r="W870">
        <v>8.8148440138358382</v>
      </c>
      <c r="X870">
        <v>0.33043574970785999</v>
      </c>
      <c r="Z870" t="s">
        <v>392</v>
      </c>
      <c r="AA870">
        <v>161</v>
      </c>
      <c r="AB870" t="s">
        <v>5317</v>
      </c>
      <c r="AC870" t="str">
        <f>HYPERLINK("plots/3FT6Y578R04_015_S31P_20251219032831_M5358ACSA301811_RBGEUFRF04/dpll_52094/txpa_54226.png","plot")</f>
        <v>plot</v>
      </c>
    </row>
    <row r="871" spans="1:29" x14ac:dyDescent="0.35">
      <c r="A871" t="s">
        <v>50</v>
      </c>
      <c r="B871">
        <v>52094</v>
      </c>
      <c r="C871" t="s">
        <v>53</v>
      </c>
      <c r="D871">
        <v>54227</v>
      </c>
      <c r="E871" t="s">
        <v>247</v>
      </c>
      <c r="F871">
        <v>11782</v>
      </c>
      <c r="G871">
        <v>0.77714798486896686</v>
      </c>
      <c r="H871">
        <v>0</v>
      </c>
      <c r="I871">
        <v>0</v>
      </c>
      <c r="J871">
        <v>0.69644966729210878</v>
      </c>
      <c r="K871">
        <v>0</v>
      </c>
      <c r="L871">
        <v>0</v>
      </c>
      <c r="M871">
        <v>0.50669817408271556</v>
      </c>
      <c r="N871">
        <v>0</v>
      </c>
      <c r="O871">
        <v>0</v>
      </c>
      <c r="P871">
        <v>0.60395899038589596</v>
      </c>
      <c r="Q871">
        <v>1.17865021391678</v>
      </c>
      <c r="R871">
        <v>4.2725893165494977</v>
      </c>
      <c r="S871">
        <v>0.2125210893580462</v>
      </c>
      <c r="T871">
        <v>0.16077370270508179</v>
      </c>
      <c r="U871">
        <v>4.2673938428959426</v>
      </c>
      <c r="V871">
        <v>0.22267382584799689</v>
      </c>
      <c r="W871">
        <v>9.3023539823459505</v>
      </c>
      <c r="X871">
        <v>0.33771502671226922</v>
      </c>
      <c r="Z871" t="s">
        <v>392</v>
      </c>
      <c r="AA871">
        <v>161</v>
      </c>
      <c r="AB871" t="s">
        <v>5318</v>
      </c>
      <c r="AC871" t="str">
        <f>HYPERLINK("plots/3FT6Y578R04_015_S31P_20251219032831_M5358ACSA301811_RBGEUFRF04/dpll_52094/txpa_54227.png","plot")</f>
        <v>plot</v>
      </c>
    </row>
    <row r="872" spans="1:29" x14ac:dyDescent="0.35">
      <c r="A872" t="s">
        <v>50</v>
      </c>
      <c r="B872">
        <v>52094</v>
      </c>
      <c r="C872" t="s">
        <v>53</v>
      </c>
      <c r="D872">
        <v>54228</v>
      </c>
      <c r="E872" t="s">
        <v>248</v>
      </c>
      <c r="F872">
        <v>11782</v>
      </c>
      <c r="G872">
        <v>0.79369169110161852</v>
      </c>
      <c r="H872">
        <v>0</v>
      </c>
      <c r="I872">
        <v>0</v>
      </c>
      <c r="J872">
        <v>0.70752956052320826</v>
      </c>
      <c r="K872">
        <v>0</v>
      </c>
      <c r="L872">
        <v>0</v>
      </c>
      <c r="M872">
        <v>0.51925807366814947</v>
      </c>
      <c r="N872">
        <v>0</v>
      </c>
      <c r="O872">
        <v>0</v>
      </c>
      <c r="P872">
        <v>0.62994650052374701</v>
      </c>
      <c r="Q872">
        <v>1.2061552824588579</v>
      </c>
      <c r="R872">
        <v>4.1859902368154014</v>
      </c>
      <c r="S872">
        <v>0.20584218674067481</v>
      </c>
      <c r="T872">
        <v>0.15808489466334019</v>
      </c>
      <c r="U872">
        <v>4.2673938428959426</v>
      </c>
      <c r="V872">
        <v>0.22267382584799689</v>
      </c>
      <c r="W872">
        <v>9.3331298627567474</v>
      </c>
      <c r="X872">
        <v>0.33839236862755351</v>
      </c>
      <c r="Z872" t="s">
        <v>392</v>
      </c>
      <c r="AA872">
        <v>161</v>
      </c>
      <c r="AB872" t="s">
        <v>5319</v>
      </c>
      <c r="AC872" t="str">
        <f>HYPERLINK("plots/3FT6Y578R04_015_S31P_20251219032831_M5358ACSA301811_RBGEUFRF04/dpll_52094/txpa_54228.png","plot")</f>
        <v>plot</v>
      </c>
    </row>
    <row r="873" spans="1:29" x14ac:dyDescent="0.35">
      <c r="A873" t="s">
        <v>50</v>
      </c>
      <c r="B873">
        <v>52094</v>
      </c>
      <c r="C873" t="s">
        <v>53</v>
      </c>
      <c r="D873">
        <v>54229</v>
      </c>
      <c r="E873" t="s">
        <v>249</v>
      </c>
      <c r="F873">
        <v>11782</v>
      </c>
      <c r="G873">
        <v>0.78781396755123645</v>
      </c>
      <c r="H873">
        <v>0</v>
      </c>
      <c r="I873">
        <v>0</v>
      </c>
      <c r="J873">
        <v>0.69997620239838398</v>
      </c>
      <c r="K873">
        <v>0</v>
      </c>
      <c r="L873">
        <v>0</v>
      </c>
      <c r="M873">
        <v>0.51166154989916501</v>
      </c>
      <c r="N873">
        <v>0</v>
      </c>
      <c r="O873">
        <v>0</v>
      </c>
      <c r="P873">
        <v>0.6206508474688206</v>
      </c>
      <c r="Q873">
        <v>1.1819354345982751</v>
      </c>
      <c r="R873">
        <v>4.2999564009108724</v>
      </c>
      <c r="S873">
        <v>0.20575025188003909</v>
      </c>
      <c r="T873">
        <v>0.15705737639393061</v>
      </c>
      <c r="U873">
        <v>4.2673938428959426</v>
      </c>
      <c r="V873">
        <v>0.22267382584799689</v>
      </c>
      <c r="W873">
        <v>9.3437403972160915</v>
      </c>
      <c r="X873">
        <v>0.33407136198076631</v>
      </c>
      <c r="Z873" t="s">
        <v>392</v>
      </c>
      <c r="AA873">
        <v>161</v>
      </c>
      <c r="AB873" t="s">
        <v>5320</v>
      </c>
      <c r="AC873" t="str">
        <f>HYPERLINK("plots/3FT6Y578R04_015_S31P_20251219032831_M5358ACSA301811_RBGEUFRF04/dpll_52094/txpa_54229.png","plot")</f>
        <v>plot</v>
      </c>
    </row>
    <row r="874" spans="1:29" x14ac:dyDescent="0.35">
      <c r="A874" t="s">
        <v>50</v>
      </c>
      <c r="B874">
        <v>52094</v>
      </c>
      <c r="C874" t="s">
        <v>53</v>
      </c>
      <c r="D874">
        <v>54230</v>
      </c>
      <c r="E874" t="s">
        <v>250</v>
      </c>
      <c r="F874">
        <v>11781</v>
      </c>
      <c r="G874">
        <v>0.80036689882420231</v>
      </c>
      <c r="H874">
        <v>0</v>
      </c>
      <c r="I874">
        <v>0</v>
      </c>
      <c r="J874">
        <v>0.70986453235904634</v>
      </c>
      <c r="K874">
        <v>0</v>
      </c>
      <c r="L874">
        <v>0</v>
      </c>
      <c r="M874">
        <v>0.52126982483632467</v>
      </c>
      <c r="N874">
        <v>0</v>
      </c>
      <c r="O874">
        <v>0</v>
      </c>
      <c r="P874">
        <v>0.64058717273347088</v>
      </c>
      <c r="Q874">
        <v>1.208537912298451</v>
      </c>
      <c r="R874">
        <v>4.1941688910132742</v>
      </c>
      <c r="S874">
        <v>0.20157337098289499</v>
      </c>
      <c r="T874">
        <v>0.1556460559186906</v>
      </c>
      <c r="U874">
        <v>4.2674026018164843</v>
      </c>
      <c r="V874">
        <v>0.22268124725346999</v>
      </c>
      <c r="W874">
        <v>9.3514867223495468</v>
      </c>
      <c r="X874">
        <v>0.33624420257644239</v>
      </c>
      <c r="Z874" t="s">
        <v>392</v>
      </c>
      <c r="AA874">
        <v>161</v>
      </c>
      <c r="AB874" t="s">
        <v>5321</v>
      </c>
      <c r="AC874" t="str">
        <f>HYPERLINK("plots/3FT6Y578R04_015_S31P_20251219032831_M5358ACSA301811_RBGEUFRF04/dpll_52094/txpa_54230.png","plot")</f>
        <v>plot</v>
      </c>
    </row>
    <row r="875" spans="1:29" x14ac:dyDescent="0.35">
      <c r="A875" t="s">
        <v>50</v>
      </c>
      <c r="B875">
        <v>52094</v>
      </c>
      <c r="C875" t="s">
        <v>53</v>
      </c>
      <c r="D875">
        <v>54231</v>
      </c>
      <c r="E875" t="s">
        <v>251</v>
      </c>
      <c r="F875">
        <v>11781</v>
      </c>
      <c r="G875">
        <v>0.80178282030292902</v>
      </c>
      <c r="H875">
        <v>0</v>
      </c>
      <c r="I875">
        <v>0</v>
      </c>
      <c r="J875">
        <v>0.70637125346607221</v>
      </c>
      <c r="K875">
        <v>0</v>
      </c>
      <c r="L875">
        <v>0</v>
      </c>
      <c r="M875">
        <v>0.51680482431846642</v>
      </c>
      <c r="N875">
        <v>0</v>
      </c>
      <c r="O875">
        <v>0</v>
      </c>
      <c r="P875">
        <v>0.64285569093291894</v>
      </c>
      <c r="Q875">
        <v>1.206987359347782</v>
      </c>
      <c r="R875">
        <v>4.175837839702913</v>
      </c>
      <c r="S875">
        <v>0.20030583993902859</v>
      </c>
      <c r="T875">
        <v>0.15512419610472791</v>
      </c>
      <c r="U875">
        <v>4.2673648416942536</v>
      </c>
      <c r="V875">
        <v>0.2226610238238293</v>
      </c>
      <c r="W875">
        <v>9.3264932613530274</v>
      </c>
      <c r="X875">
        <v>0.3351893235542997</v>
      </c>
      <c r="Z875" t="s">
        <v>392</v>
      </c>
      <c r="AA875">
        <v>161</v>
      </c>
      <c r="AB875" t="s">
        <v>5322</v>
      </c>
      <c r="AC875" t="str">
        <f>HYPERLINK("plots/3FT6Y578R04_015_S31P_20251219032831_M5358ACSA301811_RBGEUFRF04/dpll_52094/txpa_54231.png","plot")</f>
        <v>plot</v>
      </c>
    </row>
    <row r="876" spans="1:29" x14ac:dyDescent="0.35">
      <c r="A876" t="s">
        <v>50</v>
      </c>
      <c r="B876">
        <v>52094</v>
      </c>
      <c r="C876" t="s">
        <v>53</v>
      </c>
      <c r="D876">
        <v>54232</v>
      </c>
      <c r="E876" t="s">
        <v>252</v>
      </c>
      <c r="F876">
        <v>11781</v>
      </c>
      <c r="G876">
        <v>0.80495156110162691</v>
      </c>
      <c r="H876">
        <v>0</v>
      </c>
      <c r="I876">
        <v>0</v>
      </c>
      <c r="J876">
        <v>0.71586310058803548</v>
      </c>
      <c r="K876">
        <v>0</v>
      </c>
      <c r="L876">
        <v>0</v>
      </c>
      <c r="M876">
        <v>0.52631844724066634</v>
      </c>
      <c r="N876">
        <v>0</v>
      </c>
      <c r="O876">
        <v>0</v>
      </c>
      <c r="P876">
        <v>0.64794701571994617</v>
      </c>
      <c r="Q876">
        <v>1.2193397490402189</v>
      </c>
      <c r="R876">
        <v>4.1376907565933738</v>
      </c>
      <c r="S876">
        <v>0.20011121293417511</v>
      </c>
      <c r="T876">
        <v>0.15529556230449901</v>
      </c>
      <c r="U876">
        <v>4.2673606822850356</v>
      </c>
      <c r="V876">
        <v>0.2226541824443867</v>
      </c>
      <c r="W876">
        <v>9.3410532599949061</v>
      </c>
      <c r="X876">
        <v>0.33727631333858288</v>
      </c>
      <c r="Z876" t="s">
        <v>392</v>
      </c>
      <c r="AA876">
        <v>161</v>
      </c>
      <c r="AB876" t="s">
        <v>5323</v>
      </c>
      <c r="AC876" t="str">
        <f>HYPERLINK("plots/3FT6Y578R04_015_S31P_20251219032831_M5358ACSA301811_RBGEUFRF04/dpll_52094/txpa_54232.png","plot")</f>
        <v>plot</v>
      </c>
    </row>
    <row r="877" spans="1:29" x14ac:dyDescent="0.35">
      <c r="A877" t="s">
        <v>50</v>
      </c>
      <c r="B877">
        <v>52094</v>
      </c>
      <c r="C877" t="s">
        <v>53</v>
      </c>
      <c r="D877">
        <v>54233</v>
      </c>
      <c r="E877" t="s">
        <v>253</v>
      </c>
      <c r="F877">
        <v>11782</v>
      </c>
      <c r="G877">
        <v>0.80225990771726952</v>
      </c>
      <c r="H877">
        <v>0</v>
      </c>
      <c r="I877">
        <v>0</v>
      </c>
      <c r="J877">
        <v>0.70770915627882114</v>
      </c>
      <c r="K877">
        <v>0</v>
      </c>
      <c r="L877">
        <v>0</v>
      </c>
      <c r="M877">
        <v>0.51877896805605994</v>
      </c>
      <c r="N877">
        <v>0</v>
      </c>
      <c r="O877">
        <v>0</v>
      </c>
      <c r="P877">
        <v>0.64362095953052179</v>
      </c>
      <c r="Q877">
        <v>1.2052519982019301</v>
      </c>
      <c r="R877">
        <v>4.202982523364998</v>
      </c>
      <c r="S877">
        <v>0.199696102060931</v>
      </c>
      <c r="T877">
        <v>0.15502547221572249</v>
      </c>
      <c r="U877">
        <v>4.2673938428959426</v>
      </c>
      <c r="V877">
        <v>0.22267382584799689</v>
      </c>
      <c r="W877">
        <v>9.3462674796299439</v>
      </c>
      <c r="X877">
        <v>0.33452759008511718</v>
      </c>
      <c r="Z877" t="s">
        <v>392</v>
      </c>
      <c r="AA877">
        <v>161</v>
      </c>
      <c r="AB877" t="s">
        <v>5324</v>
      </c>
      <c r="AC877" t="str">
        <f>HYPERLINK("plots/3FT6Y578R04_015_S31P_20251219032831_M5358ACSA301811_RBGEUFRF04/dpll_52094/txpa_54233.png","plot")</f>
        <v>plot</v>
      </c>
    </row>
    <row r="878" spans="1:29" x14ac:dyDescent="0.35">
      <c r="A878" t="s">
        <v>50</v>
      </c>
      <c r="B878">
        <v>52094</v>
      </c>
      <c r="C878" t="s">
        <v>53</v>
      </c>
      <c r="D878">
        <v>54234</v>
      </c>
      <c r="E878" t="s">
        <v>254</v>
      </c>
      <c r="F878">
        <v>11781</v>
      </c>
      <c r="G878">
        <v>0.79544669394392464</v>
      </c>
      <c r="H878">
        <v>0</v>
      </c>
      <c r="I878">
        <v>0</v>
      </c>
      <c r="J878">
        <v>0.70167385111987624</v>
      </c>
      <c r="K878">
        <v>0</v>
      </c>
      <c r="L878">
        <v>0</v>
      </c>
      <c r="M878">
        <v>0.51416984569836677</v>
      </c>
      <c r="N878">
        <v>0</v>
      </c>
      <c r="O878">
        <v>0</v>
      </c>
      <c r="P878">
        <v>0.63273544290631967</v>
      </c>
      <c r="Q878">
        <v>1.1971567482217511</v>
      </c>
      <c r="R878">
        <v>4.2134141567751069</v>
      </c>
      <c r="S878">
        <v>0.20308072619887199</v>
      </c>
      <c r="T878">
        <v>0.1559197835436674</v>
      </c>
      <c r="U878">
        <v>4.2674179181733303</v>
      </c>
      <c r="V878">
        <v>0.22266794157249609</v>
      </c>
      <c r="W878">
        <v>9.3221823149987255</v>
      </c>
      <c r="X878">
        <v>0.33511790406027142</v>
      </c>
      <c r="Z878" t="s">
        <v>392</v>
      </c>
      <c r="AA878">
        <v>161</v>
      </c>
      <c r="AB878" t="s">
        <v>5325</v>
      </c>
      <c r="AC878" t="str">
        <f>HYPERLINK("plots/3FT6Y578R04_015_S31P_20251219032831_M5358ACSA301811_RBGEUFRF04/dpll_52094/txpa_54234.png","plot")</f>
        <v>plot</v>
      </c>
    </row>
    <row r="879" spans="1:29" x14ac:dyDescent="0.35">
      <c r="A879" t="s">
        <v>50</v>
      </c>
      <c r="B879">
        <v>52094</v>
      </c>
      <c r="C879" t="s">
        <v>53</v>
      </c>
      <c r="D879">
        <v>54235</v>
      </c>
      <c r="E879" t="s">
        <v>255</v>
      </c>
      <c r="F879">
        <v>11782</v>
      </c>
      <c r="G879">
        <v>0.77981323928099455</v>
      </c>
      <c r="H879">
        <v>0</v>
      </c>
      <c r="I879">
        <v>0</v>
      </c>
      <c r="J879">
        <v>0.69822795875846388</v>
      </c>
      <c r="K879">
        <v>0</v>
      </c>
      <c r="L879">
        <v>0</v>
      </c>
      <c r="M879">
        <v>0.50828038081422666</v>
      </c>
      <c r="N879">
        <v>0</v>
      </c>
      <c r="O879">
        <v>0</v>
      </c>
      <c r="P879">
        <v>0.60810868815791763</v>
      </c>
      <c r="Q879">
        <v>1.1970487589912799</v>
      </c>
      <c r="R879">
        <v>4.6748467663073754</v>
      </c>
      <c r="S879">
        <v>0.21397093972752429</v>
      </c>
      <c r="T879">
        <v>0.1616434438513247</v>
      </c>
      <c r="U879">
        <v>4.2673938428959426</v>
      </c>
      <c r="V879">
        <v>0.22267382584799689</v>
      </c>
      <c r="W879">
        <v>9.7831252700729934</v>
      </c>
      <c r="X879">
        <v>0.34181444154109469</v>
      </c>
      <c r="Z879" t="s">
        <v>392</v>
      </c>
      <c r="AA879">
        <v>161</v>
      </c>
      <c r="AB879" t="s">
        <v>5326</v>
      </c>
      <c r="AC879" t="str">
        <f>HYPERLINK("plots/3FT6Y578R04_015_S31P_20251219032831_M5358ACSA301811_RBGEUFRF04/dpll_52094/txpa_54235.png","plot")</f>
        <v>plot</v>
      </c>
    </row>
    <row r="880" spans="1:29" x14ac:dyDescent="0.35">
      <c r="A880" t="s">
        <v>50</v>
      </c>
      <c r="B880">
        <v>52094</v>
      </c>
      <c r="C880" t="s">
        <v>53</v>
      </c>
      <c r="D880">
        <v>54236</v>
      </c>
      <c r="E880" t="s">
        <v>256</v>
      </c>
      <c r="F880">
        <v>11782</v>
      </c>
      <c r="G880">
        <v>0.796080512241928</v>
      </c>
      <c r="H880">
        <v>0</v>
      </c>
      <c r="I880">
        <v>0</v>
      </c>
      <c r="J880">
        <v>0.70908897156408701</v>
      </c>
      <c r="K880">
        <v>0</v>
      </c>
      <c r="L880">
        <v>0</v>
      </c>
      <c r="M880">
        <v>0.52069205913434558</v>
      </c>
      <c r="N880">
        <v>0</v>
      </c>
      <c r="O880">
        <v>0</v>
      </c>
      <c r="P880">
        <v>0.6337441819713705</v>
      </c>
      <c r="Q880">
        <v>1.2246178273879851</v>
      </c>
      <c r="R880">
        <v>4.5880395687254314</v>
      </c>
      <c r="S880">
        <v>0.2072939325662228</v>
      </c>
      <c r="T880">
        <v>0.15899646084562391</v>
      </c>
      <c r="U880">
        <v>4.2673938428959426</v>
      </c>
      <c r="V880">
        <v>0.22267382584799689</v>
      </c>
      <c r="W880">
        <v>9.8139661452215243</v>
      </c>
      <c r="X880">
        <v>0.34254115335419011</v>
      </c>
      <c r="Z880" t="s">
        <v>392</v>
      </c>
      <c r="AA880">
        <v>161</v>
      </c>
      <c r="AB880" t="s">
        <v>5327</v>
      </c>
      <c r="AC880" t="str">
        <f>HYPERLINK("plots/3FT6Y578R04_015_S31P_20251219032831_M5358ACSA301811_RBGEUFRF04/dpll_52094/txpa_54236.png","plot")</f>
        <v>plot</v>
      </c>
    </row>
    <row r="881" spans="1:29" x14ac:dyDescent="0.35">
      <c r="A881" t="s">
        <v>50</v>
      </c>
      <c r="B881">
        <v>52094</v>
      </c>
      <c r="C881" t="s">
        <v>53</v>
      </c>
      <c r="D881">
        <v>54237</v>
      </c>
      <c r="E881" t="s">
        <v>257</v>
      </c>
      <c r="F881">
        <v>11782</v>
      </c>
      <c r="G881">
        <v>0.79053147419051184</v>
      </c>
      <c r="H881">
        <v>0</v>
      </c>
      <c r="I881">
        <v>0</v>
      </c>
      <c r="J881">
        <v>0.70183256034466135</v>
      </c>
      <c r="K881">
        <v>0</v>
      </c>
      <c r="L881">
        <v>0</v>
      </c>
      <c r="M881">
        <v>0.51330983678098219</v>
      </c>
      <c r="N881">
        <v>0</v>
      </c>
      <c r="O881">
        <v>0</v>
      </c>
      <c r="P881">
        <v>0.62494001168582392</v>
      </c>
      <c r="Q881">
        <v>1.200812850947524</v>
      </c>
      <c r="R881">
        <v>4.7006064507447114</v>
      </c>
      <c r="S881">
        <v>0.20713680305634849</v>
      </c>
      <c r="T881">
        <v>0.15789020639852119</v>
      </c>
      <c r="U881">
        <v>4.2673938428959426</v>
      </c>
      <c r="V881">
        <v>0.22267382584799689</v>
      </c>
      <c r="W881">
        <v>9.8249478173484981</v>
      </c>
      <c r="X881">
        <v>0.33824028565305031</v>
      </c>
      <c r="Z881" t="s">
        <v>392</v>
      </c>
      <c r="AA881">
        <v>161</v>
      </c>
      <c r="AB881" t="s">
        <v>5328</v>
      </c>
      <c r="AC881" t="str">
        <f>HYPERLINK("plots/3FT6Y578R04_015_S31P_20251219032831_M5358ACSA301811_RBGEUFRF04/dpll_52094/txpa_54237.png","plot")</f>
        <v>plot</v>
      </c>
    </row>
    <row r="882" spans="1:29" x14ac:dyDescent="0.35">
      <c r="A882" t="s">
        <v>50</v>
      </c>
      <c r="B882">
        <v>52094</v>
      </c>
      <c r="C882" t="s">
        <v>53</v>
      </c>
      <c r="D882">
        <v>54238</v>
      </c>
      <c r="E882" t="s">
        <v>258</v>
      </c>
      <c r="F882">
        <v>11781</v>
      </c>
      <c r="G882">
        <v>0.80265984630119791</v>
      </c>
      <c r="H882">
        <v>0</v>
      </c>
      <c r="I882">
        <v>0</v>
      </c>
      <c r="J882">
        <v>0.71135005665995732</v>
      </c>
      <c r="K882">
        <v>0</v>
      </c>
      <c r="L882">
        <v>0</v>
      </c>
      <c r="M882">
        <v>0.52261487471876755</v>
      </c>
      <c r="N882">
        <v>0</v>
      </c>
      <c r="O882">
        <v>0</v>
      </c>
      <c r="P882">
        <v>0.64426282886426267</v>
      </c>
      <c r="Q882">
        <v>1.226993560544746</v>
      </c>
      <c r="R882">
        <v>4.5960545269593762</v>
      </c>
      <c r="S882">
        <v>0.20302082201752369</v>
      </c>
      <c r="T882">
        <v>0.1565482766323138</v>
      </c>
      <c r="U882">
        <v>4.2674026018164843</v>
      </c>
      <c r="V882">
        <v>0.22268124725346999</v>
      </c>
      <c r="W882">
        <v>9.8321300396400986</v>
      </c>
      <c r="X882">
        <v>0.34040379332934928</v>
      </c>
      <c r="Z882" t="s">
        <v>392</v>
      </c>
      <c r="AA882">
        <v>161</v>
      </c>
      <c r="AB882" t="s">
        <v>5329</v>
      </c>
      <c r="AC882" t="str">
        <f>HYPERLINK("plots/3FT6Y578R04_015_S31P_20251219032831_M5358ACSA301811_RBGEUFRF04/dpll_52094/txpa_54238.png","plot")</f>
        <v>plot</v>
      </c>
    </row>
    <row r="883" spans="1:29" x14ac:dyDescent="0.35">
      <c r="A883" t="s">
        <v>50</v>
      </c>
      <c r="B883">
        <v>52094</v>
      </c>
      <c r="C883" t="s">
        <v>53</v>
      </c>
      <c r="D883">
        <v>54239</v>
      </c>
      <c r="E883" t="s">
        <v>259</v>
      </c>
      <c r="F883">
        <v>11781</v>
      </c>
      <c r="G883">
        <v>0.80411807603322771</v>
      </c>
      <c r="H883">
        <v>0</v>
      </c>
      <c r="I883">
        <v>0</v>
      </c>
      <c r="J883">
        <v>0.70793123303964378</v>
      </c>
      <c r="K883">
        <v>0</v>
      </c>
      <c r="L883">
        <v>0</v>
      </c>
      <c r="M883">
        <v>0.51823075567517185</v>
      </c>
      <c r="N883">
        <v>0</v>
      </c>
      <c r="O883">
        <v>0</v>
      </c>
      <c r="P883">
        <v>0.64660588020337983</v>
      </c>
      <c r="Q883">
        <v>1.2257231405840849</v>
      </c>
      <c r="R883">
        <v>4.5761905550191564</v>
      </c>
      <c r="S883">
        <v>0.20175671065912801</v>
      </c>
      <c r="T883">
        <v>0.1561028553871093</v>
      </c>
      <c r="U883">
        <v>4.2673648416942536</v>
      </c>
      <c r="V883">
        <v>0.2226610238238293</v>
      </c>
      <c r="W883">
        <v>9.8067983907987433</v>
      </c>
      <c r="X883">
        <v>0.33940384819273001</v>
      </c>
      <c r="Z883" t="s">
        <v>392</v>
      </c>
      <c r="AA883">
        <v>161</v>
      </c>
      <c r="AB883" t="s">
        <v>5330</v>
      </c>
      <c r="AC883" t="str">
        <f>HYPERLINK("plots/3FT6Y578R04_015_S31P_20251219032831_M5358ACSA301811_RBGEUFRF04/dpll_52094/txpa_54239.png","plot")</f>
        <v>plot</v>
      </c>
    </row>
    <row r="884" spans="1:29" x14ac:dyDescent="0.35">
      <c r="A884" t="s">
        <v>50</v>
      </c>
      <c r="B884">
        <v>52094</v>
      </c>
      <c r="C884" t="s">
        <v>53</v>
      </c>
      <c r="D884">
        <v>54240</v>
      </c>
      <c r="E884" t="s">
        <v>260</v>
      </c>
      <c r="F884">
        <v>11781</v>
      </c>
      <c r="G884">
        <v>0.80710503980237425</v>
      </c>
      <c r="H884">
        <v>0</v>
      </c>
      <c r="I884">
        <v>0</v>
      </c>
      <c r="J884">
        <v>0.71708103252488398</v>
      </c>
      <c r="K884">
        <v>0</v>
      </c>
      <c r="L884">
        <v>0</v>
      </c>
      <c r="M884">
        <v>0.52748327901771719</v>
      </c>
      <c r="N884">
        <v>0</v>
      </c>
      <c r="O884">
        <v>0</v>
      </c>
      <c r="P884">
        <v>0.65141854527439214</v>
      </c>
      <c r="Q884">
        <v>1.237871329076105</v>
      </c>
      <c r="R884">
        <v>4.5394596049662201</v>
      </c>
      <c r="S884">
        <v>0.20160904329268919</v>
      </c>
      <c r="T884">
        <v>0.15625945703569599</v>
      </c>
      <c r="U884">
        <v>4.2673606822850356</v>
      </c>
      <c r="V884">
        <v>0.2226541824443867</v>
      </c>
      <c r="W884">
        <v>9.8219030443935136</v>
      </c>
      <c r="X884">
        <v>0.34148867266926453</v>
      </c>
      <c r="Z884" t="s">
        <v>392</v>
      </c>
      <c r="AA884">
        <v>161</v>
      </c>
      <c r="AB884" t="s">
        <v>5331</v>
      </c>
      <c r="AC884" t="str">
        <f>HYPERLINK("plots/3FT6Y578R04_015_S31P_20251219032831_M5358ACSA301811_RBGEUFRF04/dpll_52094/txpa_54240.png","plot")</f>
        <v>plot</v>
      </c>
    </row>
    <row r="885" spans="1:29" x14ac:dyDescent="0.35">
      <c r="A885" t="s">
        <v>50</v>
      </c>
      <c r="B885">
        <v>52094</v>
      </c>
      <c r="C885" t="s">
        <v>53</v>
      </c>
      <c r="D885">
        <v>54241</v>
      </c>
      <c r="E885" t="s">
        <v>261</v>
      </c>
      <c r="F885">
        <v>11782</v>
      </c>
      <c r="G885">
        <v>0.80463524510338302</v>
      </c>
      <c r="H885">
        <v>0</v>
      </c>
      <c r="I885">
        <v>0</v>
      </c>
      <c r="J885">
        <v>0.70911885753256099</v>
      </c>
      <c r="K885">
        <v>0</v>
      </c>
      <c r="L885">
        <v>0</v>
      </c>
      <c r="M885">
        <v>0.52007684500756557</v>
      </c>
      <c r="N885">
        <v>0</v>
      </c>
      <c r="O885">
        <v>0</v>
      </c>
      <c r="P885">
        <v>0.64743787766258132</v>
      </c>
      <c r="Q885">
        <v>1.223895335008093</v>
      </c>
      <c r="R885">
        <v>4.6042811494947031</v>
      </c>
      <c r="S885">
        <v>0.2011007976791036</v>
      </c>
      <c r="T885">
        <v>0.15587112105458961</v>
      </c>
      <c r="U885">
        <v>4.2673938428959426</v>
      </c>
      <c r="V885">
        <v>0.22267382584799689</v>
      </c>
      <c r="W885">
        <v>9.8271245664573073</v>
      </c>
      <c r="X885">
        <v>0.33869937756548563</v>
      </c>
      <c r="Z885" t="s">
        <v>392</v>
      </c>
      <c r="AA885">
        <v>161</v>
      </c>
      <c r="AB885" t="s">
        <v>5332</v>
      </c>
      <c r="AC885" t="str">
        <f>HYPERLINK("plots/3FT6Y578R04_015_S31P_20251219032831_M5358ACSA301811_RBGEUFRF04/dpll_52094/txpa_54241.png","plot")</f>
        <v>plot</v>
      </c>
    </row>
    <row r="886" spans="1:29" x14ac:dyDescent="0.35">
      <c r="A886" t="s">
        <v>50</v>
      </c>
      <c r="B886">
        <v>52094</v>
      </c>
      <c r="C886" t="s">
        <v>53</v>
      </c>
      <c r="D886">
        <v>54242</v>
      </c>
      <c r="E886" t="s">
        <v>262</v>
      </c>
      <c r="F886">
        <v>11781</v>
      </c>
      <c r="G886">
        <v>0.7976415524026591</v>
      </c>
      <c r="H886">
        <v>0</v>
      </c>
      <c r="I886">
        <v>0</v>
      </c>
      <c r="J886">
        <v>0.70291540836170407</v>
      </c>
      <c r="K886">
        <v>0</v>
      </c>
      <c r="L886">
        <v>0</v>
      </c>
      <c r="M886">
        <v>0.515321173515919</v>
      </c>
      <c r="N886">
        <v>0</v>
      </c>
      <c r="O886">
        <v>0</v>
      </c>
      <c r="P886">
        <v>0.63623204611932394</v>
      </c>
      <c r="Q886">
        <v>1.2150696132167591</v>
      </c>
      <c r="R886">
        <v>4.6181561699830489</v>
      </c>
      <c r="S886">
        <v>0.20457137781434709</v>
      </c>
      <c r="T886">
        <v>0.15685626935703689</v>
      </c>
      <c r="U886">
        <v>4.2674179181733303</v>
      </c>
      <c r="V886">
        <v>0.22266794157249609</v>
      </c>
      <c r="W886">
        <v>9.8033660092521853</v>
      </c>
      <c r="X886">
        <v>0.33919628287580011</v>
      </c>
      <c r="Z886" t="s">
        <v>392</v>
      </c>
      <c r="AA886">
        <v>161</v>
      </c>
      <c r="AB886" t="s">
        <v>5333</v>
      </c>
      <c r="AC886" t="str">
        <f>HYPERLINK("plots/3FT6Y578R04_015_S31P_20251219032831_M5358ACSA301811_RBGEUFRF04/dpll_52094/txpa_54242.png","plot")</f>
        <v>plot</v>
      </c>
    </row>
    <row r="887" spans="1:29" x14ac:dyDescent="0.35">
      <c r="A887" t="s">
        <v>50</v>
      </c>
      <c r="B887">
        <v>52094</v>
      </c>
      <c r="C887" t="s">
        <v>53</v>
      </c>
      <c r="D887">
        <v>54243</v>
      </c>
      <c r="E887" t="s">
        <v>263</v>
      </c>
      <c r="F887">
        <v>11782</v>
      </c>
      <c r="G887">
        <v>0.78612884648317871</v>
      </c>
      <c r="H887">
        <v>0</v>
      </c>
      <c r="I887">
        <v>0</v>
      </c>
      <c r="J887">
        <v>0.70226519276721389</v>
      </c>
      <c r="K887">
        <v>0</v>
      </c>
      <c r="L887">
        <v>0</v>
      </c>
      <c r="M887">
        <v>0.51209024640519174</v>
      </c>
      <c r="N887">
        <v>0</v>
      </c>
      <c r="O887">
        <v>0</v>
      </c>
      <c r="P887">
        <v>0.6179985632729732</v>
      </c>
      <c r="Q887">
        <v>1.2454890339851989</v>
      </c>
      <c r="R887">
        <v>6.0400607213512787</v>
      </c>
      <c r="S887">
        <v>0.21803660610922271</v>
      </c>
      <c r="T887">
        <v>0.16400239939431899</v>
      </c>
      <c r="U887">
        <v>4.2673938428959426</v>
      </c>
      <c r="V887">
        <v>0.22267382584799689</v>
      </c>
      <c r="W887">
        <v>11.355052956374131</v>
      </c>
      <c r="X887">
        <v>0.35278925266501371</v>
      </c>
      <c r="Z887" t="s">
        <v>392</v>
      </c>
      <c r="AA887">
        <v>161</v>
      </c>
      <c r="AB887" t="s">
        <v>5334</v>
      </c>
      <c r="AC887" t="str">
        <f>HYPERLINK("plots/3FT6Y578R04_015_S31P_20251219032831_M5358ACSA301811_RBGEUFRF04/dpll_52094/txpa_54243.png","plot")</f>
        <v>plot</v>
      </c>
    </row>
    <row r="888" spans="1:29" x14ac:dyDescent="0.35">
      <c r="A888" t="s">
        <v>50</v>
      </c>
      <c r="B888">
        <v>52094</v>
      </c>
      <c r="C888" t="s">
        <v>53</v>
      </c>
      <c r="D888">
        <v>54244</v>
      </c>
      <c r="E888" t="s">
        <v>264</v>
      </c>
      <c r="F888">
        <v>11782</v>
      </c>
      <c r="G888">
        <v>0.80204970060289293</v>
      </c>
      <c r="H888">
        <v>0</v>
      </c>
      <c r="I888">
        <v>0</v>
      </c>
      <c r="J888">
        <v>0.71312904023623924</v>
      </c>
      <c r="K888">
        <v>0</v>
      </c>
      <c r="L888">
        <v>0</v>
      </c>
      <c r="M888">
        <v>0.52462202760633969</v>
      </c>
      <c r="N888">
        <v>0</v>
      </c>
      <c r="O888">
        <v>0</v>
      </c>
      <c r="P888">
        <v>0.64328372223719021</v>
      </c>
      <c r="Q888">
        <v>1.2737553127345269</v>
      </c>
      <c r="R888">
        <v>5.9499395626525722</v>
      </c>
      <c r="S888">
        <v>0.2112014672412294</v>
      </c>
      <c r="T888">
        <v>0.16133883471422439</v>
      </c>
      <c r="U888">
        <v>4.2673938428959426</v>
      </c>
      <c r="V888">
        <v>0.22267382584799689</v>
      </c>
      <c r="W888">
        <v>11.38555514157189</v>
      </c>
      <c r="X888">
        <v>0.35363390631229619</v>
      </c>
      <c r="Z888" t="s">
        <v>392</v>
      </c>
      <c r="AA888">
        <v>161</v>
      </c>
      <c r="AB888" t="s">
        <v>5335</v>
      </c>
      <c r="AC888" t="str">
        <f>HYPERLINK("plots/3FT6Y578R04_015_S31P_20251219032831_M5358ACSA301811_RBGEUFRF04/dpll_52094/txpa_54244.png","plot")</f>
        <v>plot</v>
      </c>
    </row>
    <row r="889" spans="1:29" x14ac:dyDescent="0.35">
      <c r="A889" t="s">
        <v>50</v>
      </c>
      <c r="B889">
        <v>52094</v>
      </c>
      <c r="C889" t="s">
        <v>53</v>
      </c>
      <c r="D889">
        <v>54245</v>
      </c>
      <c r="E889" t="s">
        <v>265</v>
      </c>
      <c r="F889">
        <v>11782</v>
      </c>
      <c r="G889">
        <v>0.79694616623262593</v>
      </c>
      <c r="H889">
        <v>0</v>
      </c>
      <c r="I889">
        <v>0</v>
      </c>
      <c r="J889">
        <v>0.7059842908174544</v>
      </c>
      <c r="K889">
        <v>0</v>
      </c>
      <c r="L889">
        <v>0</v>
      </c>
      <c r="M889">
        <v>0.51731104595489763</v>
      </c>
      <c r="N889">
        <v>0</v>
      </c>
      <c r="O889">
        <v>0</v>
      </c>
      <c r="P889">
        <v>0.63512319187288024</v>
      </c>
      <c r="Q889">
        <v>1.2499550507990751</v>
      </c>
      <c r="R889">
        <v>6.0628988160918027</v>
      </c>
      <c r="S889">
        <v>0.2109547359830711</v>
      </c>
      <c r="T889">
        <v>0.16018958073270209</v>
      </c>
      <c r="U889">
        <v>4.2673938428959426</v>
      </c>
      <c r="V889">
        <v>0.22267382584799689</v>
      </c>
      <c r="W889">
        <v>11.39694930376846</v>
      </c>
      <c r="X889">
        <v>0.34924852529902611</v>
      </c>
      <c r="Z889" t="s">
        <v>392</v>
      </c>
      <c r="AA889">
        <v>161</v>
      </c>
      <c r="AB889" t="s">
        <v>5336</v>
      </c>
      <c r="AC889" t="str">
        <f>HYPERLINK("plots/3FT6Y578R04_015_S31P_20251219032831_M5358ACSA301811_RBGEUFRF04/dpll_52094/txpa_54245.png","plot")</f>
        <v>plot</v>
      </c>
    </row>
    <row r="890" spans="1:29" x14ac:dyDescent="0.35">
      <c r="A890" t="s">
        <v>50</v>
      </c>
      <c r="B890">
        <v>52094</v>
      </c>
      <c r="C890" t="s">
        <v>53</v>
      </c>
      <c r="D890">
        <v>54246</v>
      </c>
      <c r="E890" t="s">
        <v>266</v>
      </c>
      <c r="F890">
        <v>11781</v>
      </c>
      <c r="G890">
        <v>0.80838095048487835</v>
      </c>
      <c r="H890">
        <v>0</v>
      </c>
      <c r="I890">
        <v>0</v>
      </c>
      <c r="J890">
        <v>0.71499797711655111</v>
      </c>
      <c r="K890">
        <v>0</v>
      </c>
      <c r="L890">
        <v>0</v>
      </c>
      <c r="M890">
        <v>0.52619820289145702</v>
      </c>
      <c r="N890">
        <v>0</v>
      </c>
      <c r="O890">
        <v>0</v>
      </c>
      <c r="P890">
        <v>0.65347976110683537</v>
      </c>
      <c r="Q890">
        <v>1.2756058608643459</v>
      </c>
      <c r="R890">
        <v>5.9598587835491008</v>
      </c>
      <c r="S890">
        <v>0.20683781919632621</v>
      </c>
      <c r="T890">
        <v>0.15893949138731461</v>
      </c>
      <c r="U890">
        <v>4.2674026018164843</v>
      </c>
      <c r="V890">
        <v>0.22268124725346999</v>
      </c>
      <c r="W890">
        <v>11.403382553093969</v>
      </c>
      <c r="X890">
        <v>0.35138569746198212</v>
      </c>
      <c r="Z890" t="s">
        <v>392</v>
      </c>
      <c r="AA890">
        <v>161</v>
      </c>
      <c r="AB890" t="s">
        <v>5337</v>
      </c>
      <c r="AC890" t="str">
        <f>HYPERLINK("plots/3FT6Y578R04_015_S31P_20251219032831_M5358ACSA301811_RBGEUFRF04/dpll_52094/txpa_54246.png","plot")</f>
        <v>plot</v>
      </c>
    </row>
    <row r="891" spans="1:29" x14ac:dyDescent="0.35">
      <c r="A891" t="s">
        <v>50</v>
      </c>
      <c r="B891">
        <v>52094</v>
      </c>
      <c r="C891" t="s">
        <v>53</v>
      </c>
      <c r="D891">
        <v>54247</v>
      </c>
      <c r="E891" t="s">
        <v>267</v>
      </c>
      <c r="F891">
        <v>11781</v>
      </c>
      <c r="G891">
        <v>0.80993805516100337</v>
      </c>
      <c r="H891">
        <v>0</v>
      </c>
      <c r="I891">
        <v>0</v>
      </c>
      <c r="J891">
        <v>0.71169854104222108</v>
      </c>
      <c r="K891">
        <v>0</v>
      </c>
      <c r="L891">
        <v>0</v>
      </c>
      <c r="M891">
        <v>0.5219225973248468</v>
      </c>
      <c r="N891">
        <v>0</v>
      </c>
      <c r="O891">
        <v>0</v>
      </c>
      <c r="P891">
        <v>0.65599965319798859</v>
      </c>
      <c r="Q891">
        <v>1.2756127167240501</v>
      </c>
      <c r="R891">
        <v>5.9331280221133991</v>
      </c>
      <c r="S891">
        <v>0.20567061388248789</v>
      </c>
      <c r="T891">
        <v>0.15860528128815379</v>
      </c>
      <c r="U891">
        <v>4.2673648416942536</v>
      </c>
      <c r="V891">
        <v>0.2226610238238293</v>
      </c>
      <c r="W891">
        <v>11.376632881079701</v>
      </c>
      <c r="X891">
        <v>0.35068019300810932</v>
      </c>
      <c r="Z891" t="s">
        <v>392</v>
      </c>
      <c r="AA891">
        <v>161</v>
      </c>
      <c r="AB891" t="s">
        <v>5338</v>
      </c>
      <c r="AC891" t="str">
        <f>HYPERLINK("plots/3FT6Y578R04_015_S31P_20251219032831_M5358ACSA301811_RBGEUFRF04/dpll_52094/txpa_54247.png","plot")</f>
        <v>plot</v>
      </c>
    </row>
    <row r="892" spans="1:29" x14ac:dyDescent="0.35">
      <c r="A892" t="s">
        <v>50</v>
      </c>
      <c r="B892">
        <v>52094</v>
      </c>
      <c r="C892" t="s">
        <v>53</v>
      </c>
      <c r="D892">
        <v>54248</v>
      </c>
      <c r="E892" t="s">
        <v>268</v>
      </c>
      <c r="F892">
        <v>11781</v>
      </c>
      <c r="G892">
        <v>0.81258728244994349</v>
      </c>
      <c r="H892">
        <v>0</v>
      </c>
      <c r="I892">
        <v>0</v>
      </c>
      <c r="J892">
        <v>0.7203744143681281</v>
      </c>
      <c r="K892">
        <v>0</v>
      </c>
      <c r="L892">
        <v>0</v>
      </c>
      <c r="M892">
        <v>0.53090594796099255</v>
      </c>
      <c r="N892">
        <v>0</v>
      </c>
      <c r="O892">
        <v>0</v>
      </c>
      <c r="P892">
        <v>0.66029809159938424</v>
      </c>
      <c r="Q892">
        <v>1.2865402843812419</v>
      </c>
      <c r="R892">
        <v>5.9036098273751092</v>
      </c>
      <c r="S892">
        <v>0.20545408778049309</v>
      </c>
      <c r="T892">
        <v>0.15858470903105951</v>
      </c>
      <c r="U892">
        <v>4.2673606822850356</v>
      </c>
      <c r="V892">
        <v>0.2226541824443867</v>
      </c>
      <c r="W892">
        <v>11.39374125311943</v>
      </c>
      <c r="X892">
        <v>0.35252037705662748</v>
      </c>
      <c r="Z892" t="s">
        <v>392</v>
      </c>
      <c r="AA892">
        <v>161</v>
      </c>
      <c r="AB892" t="s">
        <v>5339</v>
      </c>
      <c r="AC892" t="str">
        <f>HYPERLINK("plots/3FT6Y578R04_015_S31P_20251219032831_M5358ACSA301811_RBGEUFRF04/dpll_52094/txpa_54248.png","plot")</f>
        <v>plot</v>
      </c>
    </row>
    <row r="893" spans="1:29" x14ac:dyDescent="0.35">
      <c r="A893" t="s">
        <v>50</v>
      </c>
      <c r="B893">
        <v>52094</v>
      </c>
      <c r="C893" t="s">
        <v>53</v>
      </c>
      <c r="D893">
        <v>54249</v>
      </c>
      <c r="E893" t="s">
        <v>269</v>
      </c>
      <c r="F893">
        <v>11782</v>
      </c>
      <c r="G893">
        <v>0.81042962044183053</v>
      </c>
      <c r="H893">
        <v>0</v>
      </c>
      <c r="I893">
        <v>0</v>
      </c>
      <c r="J893">
        <v>0.71277143995802661</v>
      </c>
      <c r="K893">
        <v>0</v>
      </c>
      <c r="L893">
        <v>0</v>
      </c>
      <c r="M893">
        <v>0.52371164226001721</v>
      </c>
      <c r="N893">
        <v>0</v>
      </c>
      <c r="O893">
        <v>0</v>
      </c>
      <c r="P893">
        <v>0.65679616968948951</v>
      </c>
      <c r="Q893">
        <v>1.2731455705921451</v>
      </c>
      <c r="R893">
        <v>5.9667789928188819</v>
      </c>
      <c r="S893">
        <v>0.20492245991430999</v>
      </c>
      <c r="T893">
        <v>0.1581397778235509</v>
      </c>
      <c r="U893">
        <v>4.2673938428959426</v>
      </c>
      <c r="V893">
        <v>0.22267382584799689</v>
      </c>
      <c r="W893">
        <v>11.39979256187404</v>
      </c>
      <c r="X893">
        <v>0.34980976498690569</v>
      </c>
      <c r="Z893" t="s">
        <v>392</v>
      </c>
      <c r="AA893">
        <v>161</v>
      </c>
      <c r="AB893" t="s">
        <v>5340</v>
      </c>
      <c r="AC893" t="str">
        <f>HYPERLINK("plots/3FT6Y578R04_015_S31P_20251219032831_M5358ACSA301811_RBGEUFRF04/dpll_52094/txpa_54249.png","plot")</f>
        <v>plot</v>
      </c>
    </row>
    <row r="894" spans="1:29" x14ac:dyDescent="0.35">
      <c r="A894" t="s">
        <v>50</v>
      </c>
      <c r="B894">
        <v>52094</v>
      </c>
      <c r="C894" t="s">
        <v>53</v>
      </c>
      <c r="D894">
        <v>54250</v>
      </c>
      <c r="E894" t="s">
        <v>270</v>
      </c>
      <c r="F894">
        <v>11781</v>
      </c>
      <c r="G894">
        <v>0.80300920810248133</v>
      </c>
      <c r="H894">
        <v>0</v>
      </c>
      <c r="I894">
        <v>0</v>
      </c>
      <c r="J894">
        <v>0.70590113568222546</v>
      </c>
      <c r="K894">
        <v>0</v>
      </c>
      <c r="L894">
        <v>0</v>
      </c>
      <c r="M894">
        <v>0.5182856619723184</v>
      </c>
      <c r="N894">
        <v>0</v>
      </c>
      <c r="O894">
        <v>0</v>
      </c>
      <c r="P894">
        <v>0.64482378829737419</v>
      </c>
      <c r="Q894">
        <v>1.2623582349858209</v>
      </c>
      <c r="R894">
        <v>5.9908095521188436</v>
      </c>
      <c r="S894">
        <v>0.20860431572308741</v>
      </c>
      <c r="T894">
        <v>0.15932693458236449</v>
      </c>
      <c r="U894">
        <v>4.2674179181733303</v>
      </c>
      <c r="V894">
        <v>0.22266794157249609</v>
      </c>
      <c r="W894">
        <v>11.377819703250999</v>
      </c>
      <c r="X894">
        <v>0.35004170173290128</v>
      </c>
      <c r="Z894" t="s">
        <v>392</v>
      </c>
      <c r="AA894">
        <v>161</v>
      </c>
      <c r="AB894" t="s">
        <v>5341</v>
      </c>
      <c r="AC894" t="str">
        <f>HYPERLINK("plots/3FT6Y578R04_015_S31P_20251219032831_M5358ACSA301811_RBGEUFRF04/dpll_52094/txpa_54250.png","plot")</f>
        <v>plot</v>
      </c>
    </row>
    <row r="895" spans="1:29" x14ac:dyDescent="0.35">
      <c r="A895" t="s">
        <v>50</v>
      </c>
      <c r="B895">
        <v>52094</v>
      </c>
      <c r="C895" t="s">
        <v>53</v>
      </c>
      <c r="D895">
        <v>54251</v>
      </c>
      <c r="E895" t="s">
        <v>271</v>
      </c>
      <c r="F895">
        <v>11782</v>
      </c>
      <c r="G895">
        <v>0.78816277409565449</v>
      </c>
      <c r="H895">
        <v>0</v>
      </c>
      <c r="I895">
        <v>0</v>
      </c>
      <c r="J895">
        <v>0.70313410273325261</v>
      </c>
      <c r="K895">
        <v>0</v>
      </c>
      <c r="L895">
        <v>0</v>
      </c>
      <c r="M895">
        <v>0.51298515418271284</v>
      </c>
      <c r="N895">
        <v>0</v>
      </c>
      <c r="O895">
        <v>0</v>
      </c>
      <c r="P895">
        <v>0.62120055847015765</v>
      </c>
      <c r="Q895">
        <v>1.2611339649886459</v>
      </c>
      <c r="R895">
        <v>6.5318643653071309</v>
      </c>
      <c r="S895">
        <v>0.2192808511913443</v>
      </c>
      <c r="T895">
        <v>0.16462866452876321</v>
      </c>
      <c r="U895">
        <v>4.2673938428959426</v>
      </c>
      <c r="V895">
        <v>0.22267382584799689</v>
      </c>
      <c r="W895">
        <v>11.91361968256663</v>
      </c>
      <c r="X895">
        <v>0.35629889423931838</v>
      </c>
      <c r="Z895" t="s">
        <v>392</v>
      </c>
      <c r="AA895">
        <v>161</v>
      </c>
      <c r="AB895" t="s">
        <v>5342</v>
      </c>
      <c r="AC895" t="str">
        <f>HYPERLINK("plots/3FT6Y578R04_015_S31P_20251219032831_M5358ACSA301811_RBGEUFRF04/dpll_52094/txpa_54251.png","plot")</f>
        <v>plot</v>
      </c>
    </row>
    <row r="896" spans="1:29" x14ac:dyDescent="0.35">
      <c r="A896" t="s">
        <v>50</v>
      </c>
      <c r="B896">
        <v>52094</v>
      </c>
      <c r="C896" t="s">
        <v>53</v>
      </c>
      <c r="D896">
        <v>54252</v>
      </c>
      <c r="E896" t="s">
        <v>272</v>
      </c>
      <c r="F896">
        <v>11782</v>
      </c>
      <c r="G896">
        <v>0.80401519233574814</v>
      </c>
      <c r="H896">
        <v>0</v>
      </c>
      <c r="I896">
        <v>0</v>
      </c>
      <c r="J896">
        <v>0.71414284859912847</v>
      </c>
      <c r="K896">
        <v>0</v>
      </c>
      <c r="L896">
        <v>0</v>
      </c>
      <c r="M896">
        <v>0.52564037548221476</v>
      </c>
      <c r="N896">
        <v>0</v>
      </c>
      <c r="O896">
        <v>0</v>
      </c>
      <c r="P896">
        <v>0.64644042950669012</v>
      </c>
      <c r="Q896">
        <v>1.290046668641696</v>
      </c>
      <c r="R896">
        <v>6.4389983561565627</v>
      </c>
      <c r="S896">
        <v>0.21243359813130391</v>
      </c>
      <c r="T896">
        <v>0.1619917300033647</v>
      </c>
      <c r="U896">
        <v>4.2673938428959426</v>
      </c>
      <c r="V896">
        <v>0.22267382584799689</v>
      </c>
      <c r="W896">
        <v>11.94413556696656</v>
      </c>
      <c r="X896">
        <v>0.35728134240149151</v>
      </c>
      <c r="Z896" t="s">
        <v>392</v>
      </c>
      <c r="AA896">
        <v>161</v>
      </c>
      <c r="AB896" t="s">
        <v>5343</v>
      </c>
      <c r="AC896" t="str">
        <f>HYPERLINK("plots/3FT6Y578R04_015_S31P_20251219032831_M5358ACSA301811_RBGEUFRF04/dpll_52094/txpa_54252.png","plot")</f>
        <v>plot</v>
      </c>
    </row>
    <row r="897" spans="1:29" x14ac:dyDescent="0.35">
      <c r="A897" t="s">
        <v>50</v>
      </c>
      <c r="B897">
        <v>52094</v>
      </c>
      <c r="C897" t="s">
        <v>53</v>
      </c>
      <c r="D897">
        <v>54253</v>
      </c>
      <c r="E897" t="s">
        <v>273</v>
      </c>
      <c r="F897">
        <v>11782</v>
      </c>
      <c r="G897">
        <v>0.79902568260622686</v>
      </c>
      <c r="H897">
        <v>0</v>
      </c>
      <c r="I897">
        <v>0</v>
      </c>
      <c r="J897">
        <v>0.70698781575340108</v>
      </c>
      <c r="K897">
        <v>0</v>
      </c>
      <c r="L897">
        <v>0</v>
      </c>
      <c r="M897">
        <v>0.51833712605212023</v>
      </c>
      <c r="N897">
        <v>0</v>
      </c>
      <c r="O897">
        <v>0</v>
      </c>
      <c r="P897">
        <v>0.6384420414643468</v>
      </c>
      <c r="Q897">
        <v>1.2659399069996851</v>
      </c>
      <c r="R897">
        <v>6.5536829869804469</v>
      </c>
      <c r="S897">
        <v>0.21212509721475889</v>
      </c>
      <c r="T897">
        <v>0.16084101809753701</v>
      </c>
      <c r="U897">
        <v>4.2673938428959426</v>
      </c>
      <c r="V897">
        <v>0.22267382584799689</v>
      </c>
      <c r="W897">
        <v>11.95594715158717</v>
      </c>
      <c r="X897">
        <v>0.35279426997367003</v>
      </c>
      <c r="Z897" t="s">
        <v>392</v>
      </c>
      <c r="AA897">
        <v>161</v>
      </c>
      <c r="AB897" t="s">
        <v>5344</v>
      </c>
      <c r="AC897" t="str">
        <f>HYPERLINK("plots/3FT6Y578R04_015_S31P_20251219032831_M5358ACSA301811_RBGEUFRF04/dpll_52094/txpa_54253.png","plot")</f>
        <v>plot</v>
      </c>
    </row>
    <row r="898" spans="1:29" x14ac:dyDescent="0.35">
      <c r="A898" t="s">
        <v>50</v>
      </c>
      <c r="B898">
        <v>52094</v>
      </c>
      <c r="C898" t="s">
        <v>53</v>
      </c>
      <c r="D898">
        <v>54254</v>
      </c>
      <c r="E898" t="s">
        <v>274</v>
      </c>
      <c r="F898">
        <v>11781</v>
      </c>
      <c r="G898">
        <v>0.81025443586622747</v>
      </c>
      <c r="H898">
        <v>0</v>
      </c>
      <c r="I898">
        <v>0</v>
      </c>
      <c r="J898">
        <v>0.71588294473598324</v>
      </c>
      <c r="K898">
        <v>0</v>
      </c>
      <c r="L898">
        <v>0</v>
      </c>
      <c r="M898">
        <v>0.52710117699877213</v>
      </c>
      <c r="N898">
        <v>0</v>
      </c>
      <c r="O898">
        <v>0</v>
      </c>
      <c r="P898">
        <v>0.65651225084089848</v>
      </c>
      <c r="Q898">
        <v>1.291864047899737</v>
      </c>
      <c r="R898">
        <v>6.4491827582903607</v>
      </c>
      <c r="S898">
        <v>0.20807324165399779</v>
      </c>
      <c r="T898">
        <v>0.15962343095551959</v>
      </c>
      <c r="U898">
        <v>4.2674026018164843</v>
      </c>
      <c r="V898">
        <v>0.22268124725346999</v>
      </c>
      <c r="W898">
        <v>11.962086757490869</v>
      </c>
      <c r="X898">
        <v>0.3550414348064424</v>
      </c>
      <c r="Z898" t="s">
        <v>392</v>
      </c>
      <c r="AA898">
        <v>161</v>
      </c>
      <c r="AB898" t="s">
        <v>5345</v>
      </c>
      <c r="AC898" t="str">
        <f>HYPERLINK("plots/3FT6Y578R04_015_S31P_20251219032831_M5358ACSA301811_RBGEUFRF04/dpll_52094/txpa_54254.png","plot")</f>
        <v>plot</v>
      </c>
    </row>
    <row r="899" spans="1:29" x14ac:dyDescent="0.35">
      <c r="A899" t="s">
        <v>50</v>
      </c>
      <c r="B899">
        <v>52094</v>
      </c>
      <c r="C899" t="s">
        <v>53</v>
      </c>
      <c r="D899">
        <v>54255</v>
      </c>
      <c r="E899" t="s">
        <v>275</v>
      </c>
      <c r="F899">
        <v>11781</v>
      </c>
      <c r="G899">
        <v>0.81167977916123613</v>
      </c>
      <c r="H899">
        <v>0</v>
      </c>
      <c r="I899">
        <v>0</v>
      </c>
      <c r="J899">
        <v>0.7124087000097471</v>
      </c>
      <c r="K899">
        <v>0</v>
      </c>
      <c r="L899">
        <v>0</v>
      </c>
      <c r="M899">
        <v>0.52270890274684745</v>
      </c>
      <c r="N899">
        <v>0</v>
      </c>
      <c r="O899">
        <v>0</v>
      </c>
      <c r="P899">
        <v>0.65882406389923309</v>
      </c>
      <c r="Q899">
        <v>1.2918625406081781</v>
      </c>
      <c r="R899">
        <v>6.4215968866001649</v>
      </c>
      <c r="S899">
        <v>0.20698865543207551</v>
      </c>
      <c r="T899">
        <v>0.15935892766493809</v>
      </c>
      <c r="U899">
        <v>4.2673648416942536</v>
      </c>
      <c r="V899">
        <v>0.2226610238238293</v>
      </c>
      <c r="W899">
        <v>11.93444567269332</v>
      </c>
      <c r="X899">
        <v>0.35438536639253942</v>
      </c>
      <c r="Z899" t="s">
        <v>392</v>
      </c>
      <c r="AA899">
        <v>161</v>
      </c>
      <c r="AB899" t="s">
        <v>5346</v>
      </c>
      <c r="AC899" t="str">
        <f>HYPERLINK("plots/3FT6Y578R04_015_S31P_20251219032831_M5358ACSA301811_RBGEUFRF04/dpll_52094/txpa_54255.png","plot")</f>
        <v>plot</v>
      </c>
    </row>
    <row r="900" spans="1:29" x14ac:dyDescent="0.35">
      <c r="A900" t="s">
        <v>50</v>
      </c>
      <c r="B900">
        <v>52094</v>
      </c>
      <c r="C900" t="s">
        <v>53</v>
      </c>
      <c r="D900">
        <v>54256</v>
      </c>
      <c r="E900" t="s">
        <v>276</v>
      </c>
      <c r="F900">
        <v>11781</v>
      </c>
      <c r="G900">
        <v>0.81447827634932068</v>
      </c>
      <c r="H900">
        <v>0</v>
      </c>
      <c r="I900">
        <v>0</v>
      </c>
      <c r="J900">
        <v>0.72124527104066927</v>
      </c>
      <c r="K900">
        <v>0</v>
      </c>
      <c r="L900">
        <v>0</v>
      </c>
      <c r="M900">
        <v>0.53190097602248321</v>
      </c>
      <c r="N900">
        <v>0</v>
      </c>
      <c r="O900">
        <v>0</v>
      </c>
      <c r="P900">
        <v>0.66337486264496037</v>
      </c>
      <c r="Q900">
        <v>1.3029780437673919</v>
      </c>
      <c r="R900">
        <v>6.3918445587581951</v>
      </c>
      <c r="S900">
        <v>0.20665374917465071</v>
      </c>
      <c r="T900">
        <v>0.15921535576498311</v>
      </c>
      <c r="U900">
        <v>4.2673606822850356</v>
      </c>
      <c r="V900">
        <v>0.2226541824443867</v>
      </c>
      <c r="W900">
        <v>11.95212183261183</v>
      </c>
      <c r="X900">
        <v>0.35619551742788108</v>
      </c>
      <c r="Z900" t="s">
        <v>392</v>
      </c>
      <c r="AA900">
        <v>161</v>
      </c>
      <c r="AB900" t="s">
        <v>5347</v>
      </c>
      <c r="AC900" t="str">
        <f>HYPERLINK("plots/3FT6Y578R04_015_S31P_20251219032831_M5358ACSA301811_RBGEUFRF04/dpll_52094/txpa_54256.png","plot")</f>
        <v>plot</v>
      </c>
    </row>
    <row r="901" spans="1:29" x14ac:dyDescent="0.35">
      <c r="A901" t="s">
        <v>50</v>
      </c>
      <c r="B901">
        <v>52094</v>
      </c>
      <c r="C901" t="s">
        <v>53</v>
      </c>
      <c r="D901">
        <v>54257</v>
      </c>
      <c r="E901" t="s">
        <v>277</v>
      </c>
      <c r="F901">
        <v>11782</v>
      </c>
      <c r="G901">
        <v>0.81226010970165308</v>
      </c>
      <c r="H901">
        <v>0</v>
      </c>
      <c r="I901">
        <v>0</v>
      </c>
      <c r="J901">
        <v>0.71350443304077782</v>
      </c>
      <c r="K901">
        <v>0</v>
      </c>
      <c r="L901">
        <v>0</v>
      </c>
      <c r="M901">
        <v>0.52451463774505624</v>
      </c>
      <c r="N901">
        <v>0</v>
      </c>
      <c r="O901">
        <v>0</v>
      </c>
      <c r="P901">
        <v>0.65976648581254149</v>
      </c>
      <c r="Q901">
        <v>1.2893729330316399</v>
      </c>
      <c r="R901">
        <v>6.4562638808193364</v>
      </c>
      <c r="S901">
        <v>0.20616868879550129</v>
      </c>
      <c r="T901">
        <v>0.15877875382880791</v>
      </c>
      <c r="U901">
        <v>4.2673938428959426</v>
      </c>
      <c r="V901">
        <v>0.22267382584799689</v>
      </c>
      <c r="W901">
        <v>11.95852599643524</v>
      </c>
      <c r="X901">
        <v>0.35347002827513591</v>
      </c>
      <c r="Z901" t="s">
        <v>392</v>
      </c>
      <c r="AA901">
        <v>161</v>
      </c>
      <c r="AB901" t="s">
        <v>5348</v>
      </c>
      <c r="AC901" t="str">
        <f>HYPERLINK("plots/3FT6Y578R04_015_S31P_20251219032831_M5358ACSA301811_RBGEUFRF04/dpll_52094/txpa_54257.png","plot")</f>
        <v>plot</v>
      </c>
    </row>
    <row r="902" spans="1:29" x14ac:dyDescent="0.35">
      <c r="A902" t="s">
        <v>50</v>
      </c>
      <c r="B902">
        <v>52094</v>
      </c>
      <c r="C902" t="s">
        <v>53</v>
      </c>
      <c r="D902">
        <v>54258</v>
      </c>
      <c r="E902" t="s">
        <v>278</v>
      </c>
      <c r="F902">
        <v>11781</v>
      </c>
      <c r="G902">
        <v>0.80461961948043137</v>
      </c>
      <c r="H902">
        <v>0</v>
      </c>
      <c r="I902">
        <v>0</v>
      </c>
      <c r="J902">
        <v>0.7063373378053579</v>
      </c>
      <c r="K902">
        <v>0</v>
      </c>
      <c r="L902">
        <v>0</v>
      </c>
      <c r="M902">
        <v>0.51881724902683168</v>
      </c>
      <c r="N902">
        <v>0</v>
      </c>
      <c r="O902">
        <v>0</v>
      </c>
      <c r="P902">
        <v>0.64741273205283423</v>
      </c>
      <c r="Q902">
        <v>1.2779099856543881</v>
      </c>
      <c r="R902">
        <v>6.4836329955377483</v>
      </c>
      <c r="S902">
        <v>0.2099820736349442</v>
      </c>
      <c r="T902">
        <v>0.16010161797842021</v>
      </c>
      <c r="U902">
        <v>4.2674179181733303</v>
      </c>
      <c r="V902">
        <v>0.22266794157249609</v>
      </c>
      <c r="W902">
        <v>11.937008966131909</v>
      </c>
      <c r="X902">
        <v>0.35364485171806193</v>
      </c>
      <c r="Z902" t="s">
        <v>392</v>
      </c>
      <c r="AA902">
        <v>161</v>
      </c>
      <c r="AB902" t="s">
        <v>5349</v>
      </c>
      <c r="AC902" t="str">
        <f>HYPERLINK("plots/3FT6Y578R04_015_S31P_20251219032831_M5358ACSA301811_RBGEUFRF04/dpll_52094/txpa_54258.png","plot")</f>
        <v>plot</v>
      </c>
    </row>
    <row r="903" spans="1:29" x14ac:dyDescent="0.35">
      <c r="A903" t="s">
        <v>50</v>
      </c>
      <c r="B903">
        <v>52094</v>
      </c>
      <c r="C903" t="s">
        <v>53</v>
      </c>
      <c r="D903">
        <v>55146</v>
      </c>
      <c r="E903" t="s">
        <v>279</v>
      </c>
      <c r="F903">
        <v>11782</v>
      </c>
      <c r="G903">
        <v>-1.1777731745200779E-2</v>
      </c>
      <c r="H903">
        <v>0.2011360327091673</v>
      </c>
      <c r="I903">
        <v>0.20213274248473309</v>
      </c>
      <c r="J903">
        <v>-1.1161911451459471E-2</v>
      </c>
      <c r="K903">
        <v>0.22571226426928981</v>
      </c>
      <c r="L903">
        <v>0.22660617422679191</v>
      </c>
      <c r="M903">
        <v>-7.4315795324171501E-3</v>
      </c>
      <c r="N903">
        <v>0.22635923770394209</v>
      </c>
      <c r="O903">
        <v>0.22725570993247249</v>
      </c>
      <c r="P903">
        <v>1.387149650619102E-4</v>
      </c>
      <c r="Q903">
        <v>-0.24048094138139661</v>
      </c>
      <c r="R903">
        <v>-10.31263592596282</v>
      </c>
      <c r="S903">
        <v>4.5461066617235089</v>
      </c>
      <c r="T903">
        <v>3.4905528543106179</v>
      </c>
      <c r="U903">
        <v>4.2673938428959426</v>
      </c>
      <c r="V903">
        <v>0.22267382584799689</v>
      </c>
      <c r="W903">
        <v>-11.33886281454761</v>
      </c>
      <c r="X903">
        <v>4.5466149526409234</v>
      </c>
      <c r="Z903" t="s">
        <v>392</v>
      </c>
      <c r="AA903">
        <v>161</v>
      </c>
      <c r="AB903" t="s">
        <v>5350</v>
      </c>
      <c r="AC903" t="str">
        <f>HYPERLINK("plots/3FT6Y578R04_015_S31P_20251219032831_M5358ACSA301811_RBGEUFRF04/dpll_52094/txpa_55146.png","plot")</f>
        <v>plot</v>
      </c>
    </row>
    <row r="904" spans="1:29" x14ac:dyDescent="0.35">
      <c r="A904" t="s">
        <v>50</v>
      </c>
      <c r="B904">
        <v>52094</v>
      </c>
      <c r="C904" t="s">
        <v>53</v>
      </c>
      <c r="D904">
        <v>55147</v>
      </c>
      <c r="E904" t="s">
        <v>280</v>
      </c>
      <c r="F904">
        <v>11782</v>
      </c>
      <c r="G904">
        <v>0.24678738852217999</v>
      </c>
      <c r="H904">
        <v>5.4359165212829562E-163</v>
      </c>
      <c r="I904">
        <v>5.4682731672429728E-163</v>
      </c>
      <c r="J904">
        <v>0.2239936443146919</v>
      </c>
      <c r="K904">
        <v>6.9372080887331104E-134</v>
      </c>
      <c r="L904">
        <v>6.9923747534546466E-134</v>
      </c>
      <c r="M904">
        <v>0.1511887177042239</v>
      </c>
      <c r="N904">
        <v>1.4275810115643491E-132</v>
      </c>
      <c r="O904">
        <v>1.438933544459493E-132</v>
      </c>
      <c r="P904">
        <v>6.0904015133597417E-2</v>
      </c>
      <c r="Q904">
        <v>1.2797575270928141</v>
      </c>
      <c r="R904">
        <v>-27.637556573657861</v>
      </c>
      <c r="S904">
        <v>1.118949436400936</v>
      </c>
      <c r="T904">
        <v>0.90959645843140946</v>
      </c>
      <c r="U904">
        <v>4.2673938428959426</v>
      </c>
      <c r="V904">
        <v>0.22267382584799689</v>
      </c>
      <c r="W904">
        <v>-22.176327182142249</v>
      </c>
      <c r="X904">
        <v>1.154712590550051</v>
      </c>
      <c r="Z904" t="s">
        <v>392</v>
      </c>
      <c r="AA904">
        <v>161</v>
      </c>
      <c r="AB904" t="s">
        <v>5351</v>
      </c>
      <c r="AC904" t="str">
        <f>HYPERLINK("plots/3FT6Y578R04_015_S31P_20251219032831_M5358ACSA301811_RBGEUFRF04/dpll_52094/txpa_55147.png","plot")</f>
        <v>plot</v>
      </c>
    </row>
    <row r="905" spans="1:29" x14ac:dyDescent="0.35">
      <c r="A905" t="s">
        <v>50</v>
      </c>
      <c r="B905">
        <v>52094</v>
      </c>
      <c r="C905" t="s">
        <v>53</v>
      </c>
      <c r="D905">
        <v>55148</v>
      </c>
      <c r="E905" t="s">
        <v>281</v>
      </c>
      <c r="F905">
        <v>11782</v>
      </c>
      <c r="G905">
        <v>0.28133642658715552</v>
      </c>
      <c r="H905">
        <v>3.0815356133171793E-213</v>
      </c>
      <c r="I905">
        <v>3.2113844932205747E-213</v>
      </c>
      <c r="J905">
        <v>0.25762502480105548</v>
      </c>
      <c r="K905">
        <v>6.0621250178972126E-178</v>
      </c>
      <c r="L905">
        <v>6.3371080083997665E-178</v>
      </c>
      <c r="M905">
        <v>0.17416842797877941</v>
      </c>
      <c r="N905">
        <v>1.3780817215755969E-175</v>
      </c>
      <c r="O905">
        <v>1.440592645028511E-175</v>
      </c>
      <c r="P905">
        <v>7.9150184924829919E-2</v>
      </c>
      <c r="Q905">
        <v>1.4539365270899161</v>
      </c>
      <c r="R905">
        <v>-28.2776704677594</v>
      </c>
      <c r="S905">
        <v>1.1042429186202189</v>
      </c>
      <c r="T905">
        <v>0.89305235279653794</v>
      </c>
      <c r="U905">
        <v>4.2673938428959426</v>
      </c>
      <c r="V905">
        <v>0.22267382584799689</v>
      </c>
      <c r="W905">
        <v>-22.073150684094379</v>
      </c>
      <c r="X905">
        <v>1.150770317781673</v>
      </c>
      <c r="Z905" t="s">
        <v>392</v>
      </c>
      <c r="AA905">
        <v>161</v>
      </c>
      <c r="AB905" t="s">
        <v>5352</v>
      </c>
      <c r="AC905" t="str">
        <f>HYPERLINK("plots/3FT6Y578R04_015_S31P_20251219032831_M5358ACSA301811_RBGEUFRF04/dpll_52094/txpa_55148.png","plot")</f>
        <v>plot</v>
      </c>
    </row>
    <row r="906" spans="1:29" x14ac:dyDescent="0.35">
      <c r="A906" t="s">
        <v>50</v>
      </c>
      <c r="B906">
        <v>52094</v>
      </c>
      <c r="C906" t="s">
        <v>53</v>
      </c>
      <c r="D906">
        <v>55149</v>
      </c>
      <c r="E906" t="s">
        <v>282</v>
      </c>
      <c r="F906">
        <v>11782</v>
      </c>
      <c r="G906">
        <v>0.255948434939551</v>
      </c>
      <c r="H906">
        <v>1.3915870154770189E-175</v>
      </c>
      <c r="I906">
        <v>1.4082527282372231E-175</v>
      </c>
      <c r="J906">
        <v>0.2313739973631323</v>
      </c>
      <c r="K906">
        <v>5.7563200995044268E-143</v>
      </c>
      <c r="L906">
        <v>5.8369085808974884E-143</v>
      </c>
      <c r="M906">
        <v>0.15587775296449971</v>
      </c>
      <c r="N906">
        <v>3.5321872130257803E-141</v>
      </c>
      <c r="O906">
        <v>3.5709250588316461E-141</v>
      </c>
      <c r="P906">
        <v>6.5509601348005569E-2</v>
      </c>
      <c r="Q906">
        <v>1.3240072039311119</v>
      </c>
      <c r="R906">
        <v>-27.692508629149959</v>
      </c>
      <c r="S906">
        <v>1.113463618502299</v>
      </c>
      <c r="T906">
        <v>0.89823698686199549</v>
      </c>
      <c r="U906">
        <v>4.2673938428959426</v>
      </c>
      <c r="V906">
        <v>0.22267382584799689</v>
      </c>
      <c r="W906">
        <v>-22.042448439144462</v>
      </c>
      <c r="X906">
        <v>1.151879477674008</v>
      </c>
      <c r="Z906" t="s">
        <v>392</v>
      </c>
      <c r="AA906">
        <v>161</v>
      </c>
      <c r="AB906" t="s">
        <v>5353</v>
      </c>
      <c r="AC906" t="str">
        <f>HYPERLINK("plots/3FT6Y578R04_015_S31P_20251219032831_M5358ACSA301811_RBGEUFRF04/dpll_52094/txpa_55149.png","plot")</f>
        <v>plot</v>
      </c>
    </row>
    <row r="907" spans="1:29" x14ac:dyDescent="0.35">
      <c r="A907" t="s">
        <v>50</v>
      </c>
      <c r="B907">
        <v>52094</v>
      </c>
      <c r="C907" t="s">
        <v>53</v>
      </c>
      <c r="D907">
        <v>55150</v>
      </c>
      <c r="E907" t="s">
        <v>283</v>
      </c>
      <c r="F907">
        <v>11782</v>
      </c>
      <c r="G907">
        <v>0.2752992808496495</v>
      </c>
      <c r="H907">
        <v>6.5487503820259632E-204</v>
      </c>
      <c r="I907">
        <v>6.7690447373846359E-204</v>
      </c>
      <c r="J907">
        <v>0.25142879798158158</v>
      </c>
      <c r="K907">
        <v>2.6341583123549841E-169</v>
      </c>
      <c r="L907">
        <v>2.7199964650997498E-169</v>
      </c>
      <c r="M907">
        <v>0.1702806217089908</v>
      </c>
      <c r="N907">
        <v>3.7607331444686189E-168</v>
      </c>
      <c r="O907">
        <v>3.8872409872489101E-168</v>
      </c>
      <c r="P907">
        <v>7.578969403633419E-2</v>
      </c>
      <c r="Q907">
        <v>1.424325564355668</v>
      </c>
      <c r="R907">
        <v>-28.058289000850529</v>
      </c>
      <c r="S907">
        <v>1.1074913315519519</v>
      </c>
      <c r="T907">
        <v>0.88867996157797802</v>
      </c>
      <c r="U907">
        <v>4.2673938428959426</v>
      </c>
      <c r="V907">
        <v>0.22267382584799689</v>
      </c>
      <c r="W907">
        <v>-21.98013085723986</v>
      </c>
      <c r="X907">
        <v>1.1520553983626129</v>
      </c>
      <c r="Z907" t="s">
        <v>392</v>
      </c>
      <c r="AA907">
        <v>161</v>
      </c>
      <c r="AB907" t="s">
        <v>5354</v>
      </c>
      <c r="AC907" t="str">
        <f>HYPERLINK("plots/3FT6Y578R04_015_S31P_20251219032831_M5358ACSA301811_RBGEUFRF04/dpll_52094/txpa_55150.png","plot")</f>
        <v>plot</v>
      </c>
    </row>
    <row r="908" spans="1:29" x14ac:dyDescent="0.35">
      <c r="A908" t="s">
        <v>50</v>
      </c>
      <c r="B908">
        <v>52094</v>
      </c>
      <c r="C908" t="s">
        <v>53</v>
      </c>
      <c r="D908">
        <v>55151</v>
      </c>
      <c r="E908" t="s">
        <v>284</v>
      </c>
      <c r="F908">
        <v>11782</v>
      </c>
      <c r="G908">
        <v>0.26574520070520702</v>
      </c>
      <c r="H908">
        <v>1.255073792887651E-189</v>
      </c>
      <c r="I908">
        <v>1.2790400261186719E-189</v>
      </c>
      <c r="J908">
        <v>0.23975718771011981</v>
      </c>
      <c r="K908">
        <v>1.116721686541122E-153</v>
      </c>
      <c r="L908">
        <v>1.139190935767302E-153</v>
      </c>
      <c r="M908">
        <v>0.16160293341015339</v>
      </c>
      <c r="N908">
        <v>1.6742778949323761E-151</v>
      </c>
      <c r="O908">
        <v>1.7079655789350391E-151</v>
      </c>
      <c r="P908">
        <v>7.0620511697850732E-2</v>
      </c>
      <c r="Q908">
        <v>1.3891351907510201</v>
      </c>
      <c r="R908">
        <v>-27.969998109171652</v>
      </c>
      <c r="S908">
        <v>1.12208657081237</v>
      </c>
      <c r="T908">
        <v>0.9034128034464376</v>
      </c>
      <c r="U908">
        <v>4.2673938428959426</v>
      </c>
      <c r="V908">
        <v>0.22267382584799689</v>
      </c>
      <c r="W908">
        <v>-22.042011149210659</v>
      </c>
      <c r="X908">
        <v>1.163987333444835</v>
      </c>
      <c r="Z908" t="s">
        <v>392</v>
      </c>
      <c r="AA908">
        <v>161</v>
      </c>
      <c r="AB908" t="s">
        <v>5355</v>
      </c>
      <c r="AC908" t="str">
        <f>HYPERLINK("plots/3FT6Y578R04_015_S31P_20251219032831_M5358ACSA301811_RBGEUFRF04/dpll_52094/txpa_55151.png","plot")</f>
        <v>plot</v>
      </c>
    </row>
    <row r="909" spans="1:29" x14ac:dyDescent="0.35">
      <c r="A909" t="s">
        <v>50</v>
      </c>
      <c r="B909">
        <v>52094</v>
      </c>
      <c r="C909" t="s">
        <v>53</v>
      </c>
      <c r="D909">
        <v>55152</v>
      </c>
      <c r="E909" t="s">
        <v>285</v>
      </c>
      <c r="F909">
        <v>11782</v>
      </c>
      <c r="G909">
        <v>0.26939266361492592</v>
      </c>
      <c r="H909">
        <v>5.1853541393317939E-195</v>
      </c>
      <c r="I909">
        <v>5.3218108272089467E-195</v>
      </c>
      <c r="J909">
        <v>0.24446105327180689</v>
      </c>
      <c r="K909">
        <v>7.08544715561986E-160</v>
      </c>
      <c r="L909">
        <v>7.2866566083149478E-160</v>
      </c>
      <c r="M909">
        <v>0.16549662952797459</v>
      </c>
      <c r="N909">
        <v>7.4248726023036837E-159</v>
      </c>
      <c r="O909">
        <v>7.635720911496892E-159</v>
      </c>
      <c r="P909">
        <v>7.2572407209544637E-2</v>
      </c>
      <c r="Q909">
        <v>1.3991051377248691</v>
      </c>
      <c r="R909">
        <v>-28.028749433519831</v>
      </c>
      <c r="S909">
        <v>1.113666954606483</v>
      </c>
      <c r="T909">
        <v>0.90279884738330662</v>
      </c>
      <c r="U909">
        <v>4.2673938428959426</v>
      </c>
      <c r="V909">
        <v>0.22267382584799689</v>
      </c>
      <c r="W909">
        <v>-22.058216783228652</v>
      </c>
      <c r="X909">
        <v>1.1564683670306291</v>
      </c>
      <c r="Z909" t="s">
        <v>392</v>
      </c>
      <c r="AA909">
        <v>161</v>
      </c>
      <c r="AB909" t="s">
        <v>5356</v>
      </c>
      <c r="AC909" t="str">
        <f>HYPERLINK("plots/3FT6Y578R04_015_S31P_20251219032831_M5358ACSA301811_RBGEUFRF04/dpll_52094/txpa_55152.png","plot")</f>
        <v>plot</v>
      </c>
    </row>
    <row r="910" spans="1:29" x14ac:dyDescent="0.35">
      <c r="A910" t="s">
        <v>50</v>
      </c>
      <c r="B910">
        <v>52094</v>
      </c>
      <c r="C910" t="s">
        <v>53</v>
      </c>
      <c r="D910">
        <v>55153</v>
      </c>
      <c r="E910" t="s">
        <v>286</v>
      </c>
      <c r="F910">
        <v>11782</v>
      </c>
      <c r="G910">
        <v>0.26662469035560088</v>
      </c>
      <c r="H910">
        <v>6.4300780618651485E-191</v>
      </c>
      <c r="I910">
        <v>6.5726805995274804E-191</v>
      </c>
      <c r="J910">
        <v>0.24283970444147149</v>
      </c>
      <c r="K910">
        <v>1.0042324680632031E-157</v>
      </c>
      <c r="L910">
        <v>1.027539578825518E-157</v>
      </c>
      <c r="M910">
        <v>0.16407391162534249</v>
      </c>
      <c r="N910">
        <v>4.6378766119150553E-156</v>
      </c>
      <c r="O910">
        <v>4.7455165332813989E-156</v>
      </c>
      <c r="P910">
        <v>7.1088725507220049E-2</v>
      </c>
      <c r="Q910">
        <v>1.373107332810281</v>
      </c>
      <c r="R910">
        <v>-27.938023230394361</v>
      </c>
      <c r="S910">
        <v>1.1052028066607851</v>
      </c>
      <c r="T910">
        <v>0.89000702254097341</v>
      </c>
      <c r="U910">
        <v>4.2673938428959426</v>
      </c>
      <c r="V910">
        <v>0.22267382584799689</v>
      </c>
      <c r="W910">
        <v>-22.0784334527245</v>
      </c>
      <c r="X910">
        <v>1.1467619997570899</v>
      </c>
      <c r="Z910" t="s">
        <v>392</v>
      </c>
      <c r="AA910">
        <v>161</v>
      </c>
      <c r="AB910" t="s">
        <v>5357</v>
      </c>
      <c r="AC910" t="str">
        <f>HYPERLINK("plots/3FT6Y578R04_015_S31P_20251219032831_M5358ACSA301811_RBGEUFRF04/dpll_52094/txpa_55153.png","plot")</f>
        <v>plot</v>
      </c>
    </row>
    <row r="911" spans="1:29" x14ac:dyDescent="0.35">
      <c r="A911" t="s">
        <v>50</v>
      </c>
      <c r="B911">
        <v>52094</v>
      </c>
      <c r="C911" t="s">
        <v>53</v>
      </c>
      <c r="D911">
        <v>55154</v>
      </c>
      <c r="E911" t="s">
        <v>287</v>
      </c>
      <c r="F911">
        <v>11782</v>
      </c>
      <c r="G911">
        <v>0.25149217612384522</v>
      </c>
      <c r="H911">
        <v>2.1552372704936471E-169</v>
      </c>
      <c r="I911">
        <v>2.1745379027667251E-169</v>
      </c>
      <c r="J911">
        <v>0.23163666573621119</v>
      </c>
      <c r="K911">
        <v>2.697350808280885E-143</v>
      </c>
      <c r="L911">
        <v>2.7405949094156488E-143</v>
      </c>
      <c r="M911">
        <v>0.15679126629846149</v>
      </c>
      <c r="N911">
        <v>2.777155722831918E-142</v>
      </c>
      <c r="O911">
        <v>2.8245094312453011E-142</v>
      </c>
      <c r="P911">
        <v>6.3248314651507181E-2</v>
      </c>
      <c r="Q911">
        <v>1.3153337601957411</v>
      </c>
      <c r="R911">
        <v>-27.81315170073113</v>
      </c>
      <c r="S911">
        <v>1.127131195012691</v>
      </c>
      <c r="T911">
        <v>0.91280299070093762</v>
      </c>
      <c r="U911">
        <v>4.2673938428959426</v>
      </c>
      <c r="V911">
        <v>0.22267382584799689</v>
      </c>
      <c r="W911">
        <v>-22.20010451111866</v>
      </c>
      <c r="X911">
        <v>1.1646103873449549</v>
      </c>
      <c r="Z911" t="s">
        <v>392</v>
      </c>
      <c r="AA911">
        <v>161</v>
      </c>
      <c r="AB911" t="s">
        <v>5358</v>
      </c>
      <c r="AC911" t="str">
        <f>HYPERLINK("plots/3FT6Y578R04_015_S31P_20251219032831_M5358ACSA301811_RBGEUFRF04/dpll_52094/txpa_55154.png","plot")</f>
        <v>plot</v>
      </c>
    </row>
    <row r="912" spans="1:29" x14ac:dyDescent="0.35">
      <c r="A912" t="s">
        <v>50</v>
      </c>
      <c r="B912">
        <v>52094</v>
      </c>
      <c r="C912" t="s">
        <v>53</v>
      </c>
      <c r="D912">
        <v>55155</v>
      </c>
      <c r="E912" t="s">
        <v>288</v>
      </c>
      <c r="F912">
        <v>11782</v>
      </c>
      <c r="G912">
        <v>0.58877731658444055</v>
      </c>
      <c r="H912">
        <v>0</v>
      </c>
      <c r="I912">
        <v>0</v>
      </c>
      <c r="J912">
        <v>0.5189339319955123</v>
      </c>
      <c r="K912">
        <v>0</v>
      </c>
      <c r="L912">
        <v>0</v>
      </c>
      <c r="M912">
        <v>0.36342219585491731</v>
      </c>
      <c r="N912">
        <v>0</v>
      </c>
      <c r="O912">
        <v>0</v>
      </c>
      <c r="P912">
        <v>0.34665872852437452</v>
      </c>
      <c r="Q912">
        <v>0.81389116209184564</v>
      </c>
      <c r="R912">
        <v>-14.90412558017214</v>
      </c>
      <c r="S912">
        <v>0.24879179250926861</v>
      </c>
      <c r="T912">
        <v>0.1924704670078273</v>
      </c>
      <c r="U912">
        <v>4.2673938428959426</v>
      </c>
      <c r="V912">
        <v>0.22267382584799689</v>
      </c>
      <c r="W912">
        <v>-11.430931446273981</v>
      </c>
      <c r="X912">
        <v>0.30781121110135651</v>
      </c>
      <c r="Z912" t="s">
        <v>392</v>
      </c>
      <c r="AA912">
        <v>161</v>
      </c>
      <c r="AB912" t="s">
        <v>5359</v>
      </c>
      <c r="AC912" t="str">
        <f>HYPERLINK("plots/3FT6Y578R04_015_S31P_20251219032831_M5358ACSA301811_RBGEUFRF04/dpll_52094/txpa_55155.png","plot")</f>
        <v>plot</v>
      </c>
    </row>
    <row r="913" spans="1:29" x14ac:dyDescent="0.35">
      <c r="A913" t="s">
        <v>50</v>
      </c>
      <c r="B913">
        <v>52094</v>
      </c>
      <c r="C913" t="s">
        <v>53</v>
      </c>
      <c r="D913">
        <v>55156</v>
      </c>
      <c r="E913" t="s">
        <v>289</v>
      </c>
      <c r="F913">
        <v>11782</v>
      </c>
      <c r="G913">
        <v>0.61427972263984854</v>
      </c>
      <c r="H913">
        <v>0</v>
      </c>
      <c r="I913">
        <v>0</v>
      </c>
      <c r="J913">
        <v>0.53923455989020108</v>
      </c>
      <c r="K913">
        <v>0</v>
      </c>
      <c r="L913">
        <v>0</v>
      </c>
      <c r="M913">
        <v>0.38000997454494118</v>
      </c>
      <c r="N913">
        <v>0</v>
      </c>
      <c r="O913">
        <v>0</v>
      </c>
      <c r="P913">
        <v>0.37733957764648918</v>
      </c>
      <c r="Q913">
        <v>0.85657819057250439</v>
      </c>
      <c r="R913">
        <v>-15.024847102417221</v>
      </c>
      <c r="S913">
        <v>0.24500627292276919</v>
      </c>
      <c r="T913">
        <v>0.19091715491881939</v>
      </c>
      <c r="U913">
        <v>4.2673938428959426</v>
      </c>
      <c r="V913">
        <v>0.22267382584799689</v>
      </c>
      <c r="W913">
        <v>-11.369490606009171</v>
      </c>
      <c r="X913">
        <v>0.31050600533100031</v>
      </c>
      <c r="Z913" t="s">
        <v>392</v>
      </c>
      <c r="AA913">
        <v>161</v>
      </c>
      <c r="AB913" t="s">
        <v>5360</v>
      </c>
      <c r="AC913" t="str">
        <f>HYPERLINK("plots/3FT6Y578R04_015_S31P_20251219032831_M5358ACSA301811_RBGEUFRF04/dpll_52094/txpa_55156.png","plot")</f>
        <v>plot</v>
      </c>
    </row>
    <row r="914" spans="1:29" x14ac:dyDescent="0.35">
      <c r="A914" t="s">
        <v>50</v>
      </c>
      <c r="B914">
        <v>52094</v>
      </c>
      <c r="C914" t="s">
        <v>53</v>
      </c>
      <c r="D914">
        <v>55157</v>
      </c>
      <c r="E914" t="s">
        <v>290</v>
      </c>
      <c r="F914">
        <v>11782</v>
      </c>
      <c r="G914">
        <v>0.61396979922267314</v>
      </c>
      <c r="H914">
        <v>0</v>
      </c>
      <c r="I914">
        <v>0</v>
      </c>
      <c r="J914">
        <v>0.53407633014336864</v>
      </c>
      <c r="K914">
        <v>0</v>
      </c>
      <c r="L914">
        <v>0</v>
      </c>
      <c r="M914">
        <v>0.37641412594900198</v>
      </c>
      <c r="N914">
        <v>0</v>
      </c>
      <c r="O914">
        <v>0</v>
      </c>
      <c r="P914">
        <v>0.3769589143575296</v>
      </c>
      <c r="Q914">
        <v>0.83807822675998767</v>
      </c>
      <c r="R914">
        <v>-14.92159910001487</v>
      </c>
      <c r="S914">
        <v>0.2399090504998736</v>
      </c>
      <c r="T914">
        <v>0.1874525060465459</v>
      </c>
      <c r="U914">
        <v>4.2673938428959426</v>
      </c>
      <c r="V914">
        <v>0.22267382584799689</v>
      </c>
      <c r="W914">
        <v>-11.34518923527415</v>
      </c>
      <c r="X914">
        <v>0.3039531998948849</v>
      </c>
      <c r="Z914" t="s">
        <v>392</v>
      </c>
      <c r="AA914">
        <v>161</v>
      </c>
      <c r="AB914" t="s">
        <v>5361</v>
      </c>
      <c r="AC914" t="str">
        <f>HYPERLINK("plots/3FT6Y578R04_015_S31P_20251219032831_M5358ACSA301811_RBGEUFRF04/dpll_52094/txpa_55157.png","plot")</f>
        <v>plot</v>
      </c>
    </row>
    <row r="915" spans="1:29" x14ac:dyDescent="0.35">
      <c r="A915" t="s">
        <v>50</v>
      </c>
      <c r="B915">
        <v>52094</v>
      </c>
      <c r="C915" t="s">
        <v>53</v>
      </c>
      <c r="D915">
        <v>55158</v>
      </c>
      <c r="E915" t="s">
        <v>291</v>
      </c>
      <c r="F915">
        <v>11781</v>
      </c>
      <c r="G915">
        <v>0.62457895983800427</v>
      </c>
      <c r="H915">
        <v>0</v>
      </c>
      <c r="I915">
        <v>0</v>
      </c>
      <c r="J915">
        <v>0.54212697206699023</v>
      </c>
      <c r="K915">
        <v>0</v>
      </c>
      <c r="L915">
        <v>0</v>
      </c>
      <c r="M915">
        <v>0.3823810333008496</v>
      </c>
      <c r="N915">
        <v>0</v>
      </c>
      <c r="O915">
        <v>0</v>
      </c>
      <c r="P915">
        <v>0.39009887707232332</v>
      </c>
      <c r="Q915">
        <v>0.86933674083201262</v>
      </c>
      <c r="R915">
        <v>-15.022497434913349</v>
      </c>
      <c r="S915">
        <v>0.24204472005506431</v>
      </c>
      <c r="T915">
        <v>0.18888645597682671</v>
      </c>
      <c r="U915">
        <v>4.2674026018164843</v>
      </c>
      <c r="V915">
        <v>0.22268124725346999</v>
      </c>
      <c r="W915">
        <v>-11.312687565232149</v>
      </c>
      <c r="X915">
        <v>0.30994478229293693</v>
      </c>
      <c r="Z915" t="s">
        <v>392</v>
      </c>
      <c r="AA915">
        <v>161</v>
      </c>
      <c r="AB915" t="s">
        <v>5362</v>
      </c>
      <c r="AC915" t="str">
        <f>HYPERLINK("plots/3FT6Y578R04_015_S31P_20251219032831_M5358ACSA301811_RBGEUFRF04/dpll_52094/txpa_55158.png","plot")</f>
        <v>plot</v>
      </c>
    </row>
    <row r="916" spans="1:29" x14ac:dyDescent="0.35">
      <c r="A916" t="s">
        <v>50</v>
      </c>
      <c r="B916">
        <v>52094</v>
      </c>
      <c r="C916" t="s">
        <v>53</v>
      </c>
      <c r="D916">
        <v>55159</v>
      </c>
      <c r="E916" t="s">
        <v>292</v>
      </c>
      <c r="F916">
        <v>11781</v>
      </c>
      <c r="G916">
        <v>0.62974701355601848</v>
      </c>
      <c r="H916">
        <v>0</v>
      </c>
      <c r="I916">
        <v>0</v>
      </c>
      <c r="J916">
        <v>0.54501112855528777</v>
      </c>
      <c r="K916">
        <v>0</v>
      </c>
      <c r="L916">
        <v>0</v>
      </c>
      <c r="M916">
        <v>0.3841312593396633</v>
      </c>
      <c r="N916">
        <v>0</v>
      </c>
      <c r="O916">
        <v>0</v>
      </c>
      <c r="P916">
        <v>0.3965813010827241</v>
      </c>
      <c r="Q916">
        <v>0.87555606207569003</v>
      </c>
      <c r="R916">
        <v>-15.06811594071756</v>
      </c>
      <c r="S916">
        <v>0.24046562038712729</v>
      </c>
      <c r="T916">
        <v>0.1889932152022511</v>
      </c>
      <c r="U916">
        <v>4.2673648416942536</v>
      </c>
      <c r="V916">
        <v>0.2226610238238293</v>
      </c>
      <c r="W916">
        <v>-11.331798784483491</v>
      </c>
      <c r="X916">
        <v>0.3095722647354669</v>
      </c>
      <c r="Z916" t="s">
        <v>392</v>
      </c>
      <c r="AA916">
        <v>161</v>
      </c>
      <c r="AB916" t="s">
        <v>5363</v>
      </c>
      <c r="AC916" t="str">
        <f>HYPERLINK("plots/3FT6Y578R04_015_S31P_20251219032831_M5358ACSA301811_RBGEUFRF04/dpll_52094/txpa_55159.png","plot")</f>
        <v>plot</v>
      </c>
    </row>
    <row r="917" spans="1:29" x14ac:dyDescent="0.35">
      <c r="A917" t="s">
        <v>50</v>
      </c>
      <c r="B917">
        <v>52094</v>
      </c>
      <c r="C917" t="s">
        <v>53</v>
      </c>
      <c r="D917">
        <v>55160</v>
      </c>
      <c r="E917" t="s">
        <v>293</v>
      </c>
      <c r="F917">
        <v>11782</v>
      </c>
      <c r="G917">
        <v>0.62916950499409663</v>
      </c>
      <c r="H917">
        <v>0</v>
      </c>
      <c r="I917">
        <v>0</v>
      </c>
      <c r="J917">
        <v>0.54572306277226368</v>
      </c>
      <c r="K917">
        <v>0</v>
      </c>
      <c r="L917">
        <v>0</v>
      </c>
      <c r="M917">
        <v>0.38619546192055731</v>
      </c>
      <c r="N917">
        <v>0</v>
      </c>
      <c r="O917">
        <v>0</v>
      </c>
      <c r="P917">
        <v>0.39585426601451662</v>
      </c>
      <c r="Q917">
        <v>0.86431927607313497</v>
      </c>
      <c r="R917">
        <v>-15.03333457385002</v>
      </c>
      <c r="S917">
        <v>0.237754163158618</v>
      </c>
      <c r="T917">
        <v>0.18606886367959111</v>
      </c>
      <c r="U917">
        <v>4.2673938428959426</v>
      </c>
      <c r="V917">
        <v>0.22267382584799689</v>
      </c>
      <c r="W917">
        <v>-11.344943816839249</v>
      </c>
      <c r="X917">
        <v>0.30589734313200978</v>
      </c>
      <c r="Z917" t="s">
        <v>392</v>
      </c>
      <c r="AA917">
        <v>161</v>
      </c>
      <c r="AB917" t="s">
        <v>5364</v>
      </c>
      <c r="AC917" t="str">
        <f>HYPERLINK("plots/3FT6Y578R04_015_S31P_20251219032831_M5358ACSA301811_RBGEUFRF04/dpll_52094/txpa_55160.png","plot")</f>
        <v>plot</v>
      </c>
    </row>
    <row r="918" spans="1:29" x14ac:dyDescent="0.35">
      <c r="A918" t="s">
        <v>50</v>
      </c>
      <c r="B918">
        <v>52094</v>
      </c>
      <c r="C918" t="s">
        <v>53</v>
      </c>
      <c r="D918">
        <v>55161</v>
      </c>
      <c r="E918" t="s">
        <v>294</v>
      </c>
      <c r="F918">
        <v>11781</v>
      </c>
      <c r="G918">
        <v>0.6235096227511755</v>
      </c>
      <c r="H918">
        <v>0</v>
      </c>
      <c r="I918">
        <v>0</v>
      </c>
      <c r="J918">
        <v>0.5403899190686613</v>
      </c>
      <c r="K918">
        <v>0</v>
      </c>
      <c r="L918">
        <v>0</v>
      </c>
      <c r="M918">
        <v>0.38113181973116439</v>
      </c>
      <c r="N918">
        <v>0</v>
      </c>
      <c r="O918">
        <v>0</v>
      </c>
      <c r="P918">
        <v>0.38876424966331319</v>
      </c>
      <c r="Q918">
        <v>0.85668293132510309</v>
      </c>
      <c r="R918">
        <v>-14.99658919712294</v>
      </c>
      <c r="S918">
        <v>0.23915705469797349</v>
      </c>
      <c r="T918">
        <v>0.18740214375252329</v>
      </c>
      <c r="U918">
        <v>4.2674299558611324</v>
      </c>
      <c r="V918">
        <v>0.2226487707110591</v>
      </c>
      <c r="W918">
        <v>-11.34075479331127</v>
      </c>
      <c r="X918">
        <v>0.30591252257994322</v>
      </c>
      <c r="Z918" t="s">
        <v>392</v>
      </c>
      <c r="AA918">
        <v>161</v>
      </c>
      <c r="AB918" t="s">
        <v>5365</v>
      </c>
      <c r="AC918" t="str">
        <f>HYPERLINK("plots/3FT6Y578R04_015_S31P_20251219032831_M5358ACSA301811_RBGEUFRF04/dpll_52094/txpa_55161.png","plot")</f>
        <v>plot</v>
      </c>
    </row>
    <row r="919" spans="1:29" x14ac:dyDescent="0.35">
      <c r="A919" t="s">
        <v>50</v>
      </c>
      <c r="B919">
        <v>52094</v>
      </c>
      <c r="C919" t="s">
        <v>53</v>
      </c>
      <c r="D919">
        <v>55162</v>
      </c>
      <c r="E919" t="s">
        <v>295</v>
      </c>
      <c r="F919">
        <v>11781</v>
      </c>
      <c r="G919">
        <v>0.6085555514418115</v>
      </c>
      <c r="H919">
        <v>0</v>
      </c>
      <c r="I919">
        <v>0</v>
      </c>
      <c r="J919">
        <v>0.52491863016195406</v>
      </c>
      <c r="K919">
        <v>0</v>
      </c>
      <c r="L919">
        <v>0</v>
      </c>
      <c r="M919">
        <v>0.36961101279425662</v>
      </c>
      <c r="N919">
        <v>0</v>
      </c>
      <c r="O919">
        <v>0</v>
      </c>
      <c r="P919">
        <v>0.37033985919064732</v>
      </c>
      <c r="Q919">
        <v>0.83700597013571676</v>
      </c>
      <c r="R919">
        <v>-14.97981081137174</v>
      </c>
      <c r="S919">
        <v>0.24300806641596279</v>
      </c>
      <c r="T919">
        <v>0.19001234106992801</v>
      </c>
      <c r="U919">
        <v>4.2674179181733303</v>
      </c>
      <c r="V919">
        <v>0.22266794157249609</v>
      </c>
      <c r="W919">
        <v>-11.407956536796529</v>
      </c>
      <c r="X919">
        <v>0.30625699825175418</v>
      </c>
      <c r="Z919" t="s">
        <v>392</v>
      </c>
      <c r="AA919">
        <v>161</v>
      </c>
      <c r="AB919" t="s">
        <v>5366</v>
      </c>
      <c r="AC919" t="str">
        <f>HYPERLINK("plots/3FT6Y578R04_015_S31P_20251219032831_M5358ACSA301811_RBGEUFRF04/dpll_52094/txpa_55162.png","plot")</f>
        <v>plot</v>
      </c>
    </row>
    <row r="920" spans="1:29" x14ac:dyDescent="0.35">
      <c r="A920" t="s">
        <v>50</v>
      </c>
      <c r="B920">
        <v>52094</v>
      </c>
      <c r="C920" t="s">
        <v>53</v>
      </c>
      <c r="D920">
        <v>55163</v>
      </c>
      <c r="E920" t="s">
        <v>296</v>
      </c>
      <c r="F920">
        <v>11782</v>
      </c>
      <c r="G920">
        <v>0.6024467179230234</v>
      </c>
      <c r="H920">
        <v>0</v>
      </c>
      <c r="I920">
        <v>0</v>
      </c>
      <c r="J920">
        <v>0.53328437703121723</v>
      </c>
      <c r="K920">
        <v>0</v>
      </c>
      <c r="L920">
        <v>0</v>
      </c>
      <c r="M920">
        <v>0.37434871087440741</v>
      </c>
      <c r="N920">
        <v>0</v>
      </c>
      <c r="O920">
        <v>0</v>
      </c>
      <c r="P920">
        <v>0.36294204793622292</v>
      </c>
      <c r="Q920">
        <v>0.73269202328298022</v>
      </c>
      <c r="R920">
        <v>-8.6027678247548494</v>
      </c>
      <c r="S920">
        <v>0.21614392372539659</v>
      </c>
      <c r="T920">
        <v>0.16575813994049751</v>
      </c>
      <c r="U920">
        <v>4.2673938428959426</v>
      </c>
      <c r="V920">
        <v>0.22267382584799689</v>
      </c>
      <c r="W920">
        <v>-5.4760823958580884</v>
      </c>
      <c r="X920">
        <v>0.27081454863793802</v>
      </c>
      <c r="Z920" t="s">
        <v>392</v>
      </c>
      <c r="AA920">
        <v>161</v>
      </c>
      <c r="AB920" t="s">
        <v>5367</v>
      </c>
      <c r="AC920" t="str">
        <f>HYPERLINK("plots/3FT6Y578R04_015_S31P_20251219032831_M5358ACSA301811_RBGEUFRF04/dpll_52094/txpa_55163.png","plot")</f>
        <v>plot</v>
      </c>
    </row>
    <row r="921" spans="1:29" x14ac:dyDescent="0.35">
      <c r="A921" t="s">
        <v>50</v>
      </c>
      <c r="B921">
        <v>52094</v>
      </c>
      <c r="C921" t="s">
        <v>53</v>
      </c>
      <c r="D921">
        <v>55164</v>
      </c>
      <c r="E921" t="s">
        <v>297</v>
      </c>
      <c r="F921">
        <v>11782</v>
      </c>
      <c r="G921">
        <v>0.63005062459886974</v>
      </c>
      <c r="H921">
        <v>0</v>
      </c>
      <c r="I921">
        <v>0</v>
      </c>
      <c r="J921">
        <v>0.55264981105228983</v>
      </c>
      <c r="K921">
        <v>0</v>
      </c>
      <c r="L921">
        <v>0</v>
      </c>
      <c r="M921">
        <v>0.39120800148345408</v>
      </c>
      <c r="N921">
        <v>0</v>
      </c>
      <c r="O921">
        <v>0</v>
      </c>
      <c r="P921">
        <v>0.39696378955742589</v>
      </c>
      <c r="Q921">
        <v>0.77148103218132491</v>
      </c>
      <c r="R921">
        <v>-8.7248046145859153</v>
      </c>
      <c r="S921">
        <v>0.2117250488138146</v>
      </c>
      <c r="T921">
        <v>0.16422658845197591</v>
      </c>
      <c r="U921">
        <v>4.2673938428959426</v>
      </c>
      <c r="V921">
        <v>0.22267382584799689</v>
      </c>
      <c r="W921">
        <v>-5.4325912079443226</v>
      </c>
      <c r="X921">
        <v>0.27265845996795701</v>
      </c>
      <c r="Z921" t="s">
        <v>392</v>
      </c>
      <c r="AA921">
        <v>161</v>
      </c>
      <c r="AB921" t="s">
        <v>5368</v>
      </c>
      <c r="AC921" t="str">
        <f>HYPERLINK("plots/3FT6Y578R04_015_S31P_20251219032831_M5358ACSA301811_RBGEUFRF04/dpll_52094/txpa_55164.png","plot")</f>
        <v>plot</v>
      </c>
    </row>
    <row r="922" spans="1:29" x14ac:dyDescent="0.35">
      <c r="A922" t="s">
        <v>50</v>
      </c>
      <c r="B922">
        <v>52094</v>
      </c>
      <c r="C922" t="s">
        <v>53</v>
      </c>
      <c r="D922">
        <v>55165</v>
      </c>
      <c r="E922" t="s">
        <v>298</v>
      </c>
      <c r="F922">
        <v>11782</v>
      </c>
      <c r="G922">
        <v>0.62041425423990093</v>
      </c>
      <c r="H922">
        <v>0</v>
      </c>
      <c r="I922">
        <v>0</v>
      </c>
      <c r="J922">
        <v>0.54051101462056217</v>
      </c>
      <c r="K922">
        <v>0</v>
      </c>
      <c r="L922">
        <v>0</v>
      </c>
      <c r="M922">
        <v>0.38147717601284342</v>
      </c>
      <c r="N922">
        <v>0</v>
      </c>
      <c r="O922">
        <v>0</v>
      </c>
      <c r="P922">
        <v>0.38491384686405239</v>
      </c>
      <c r="Q922">
        <v>0.74497012282485764</v>
      </c>
      <c r="R922">
        <v>-8.5939283203937205</v>
      </c>
      <c r="S922">
        <v>0.2096890746638852</v>
      </c>
      <c r="T922">
        <v>0.16299545239609259</v>
      </c>
      <c r="U922">
        <v>4.2673938428959426</v>
      </c>
      <c r="V922">
        <v>0.22267382584799689</v>
      </c>
      <c r="W922">
        <v>-5.414847405109489</v>
      </c>
      <c r="X922">
        <v>0.26737836253471847</v>
      </c>
      <c r="Z922" t="s">
        <v>392</v>
      </c>
      <c r="AA922">
        <v>161</v>
      </c>
      <c r="AB922" t="s">
        <v>5369</v>
      </c>
      <c r="AC922" t="str">
        <f>HYPERLINK("plots/3FT6Y578R04_015_S31P_20251219032831_M5358ACSA301811_RBGEUFRF04/dpll_52094/txpa_55165.png","plot")</f>
        <v>plot</v>
      </c>
    </row>
    <row r="923" spans="1:29" x14ac:dyDescent="0.35">
      <c r="A923" t="s">
        <v>50</v>
      </c>
      <c r="B923">
        <v>52094</v>
      </c>
      <c r="C923" t="s">
        <v>53</v>
      </c>
      <c r="D923">
        <v>55166</v>
      </c>
      <c r="E923" t="s">
        <v>299</v>
      </c>
      <c r="F923">
        <v>11781</v>
      </c>
      <c r="G923">
        <v>0.64007465979402145</v>
      </c>
      <c r="H923">
        <v>0</v>
      </c>
      <c r="I923">
        <v>0</v>
      </c>
      <c r="J923">
        <v>0.55512790895097652</v>
      </c>
      <c r="K923">
        <v>0</v>
      </c>
      <c r="L923">
        <v>0</v>
      </c>
      <c r="M923">
        <v>0.39313434641307721</v>
      </c>
      <c r="N923">
        <v>0</v>
      </c>
      <c r="O923">
        <v>0</v>
      </c>
      <c r="P923">
        <v>0.40969557011043228</v>
      </c>
      <c r="Q923">
        <v>0.78044436428711261</v>
      </c>
      <c r="R923">
        <v>-8.7236966663892517</v>
      </c>
      <c r="S923">
        <v>0.20860011732967279</v>
      </c>
      <c r="T923">
        <v>0.1625761135068883</v>
      </c>
      <c r="U923">
        <v>4.2674026018164843</v>
      </c>
      <c r="V923">
        <v>0.22268124725346999</v>
      </c>
      <c r="W923">
        <v>-5.3932263556574149</v>
      </c>
      <c r="X923">
        <v>0.27151570803837499</v>
      </c>
      <c r="Z923" t="s">
        <v>392</v>
      </c>
      <c r="AA923">
        <v>161</v>
      </c>
      <c r="AB923" t="s">
        <v>5370</v>
      </c>
      <c r="AC923" t="str">
        <f>HYPERLINK("plots/3FT6Y578R04_015_S31P_20251219032831_M5358ACSA301811_RBGEUFRF04/dpll_52094/txpa_55166.png","plot")</f>
        <v>plot</v>
      </c>
    </row>
    <row r="924" spans="1:29" x14ac:dyDescent="0.35">
      <c r="A924" t="s">
        <v>50</v>
      </c>
      <c r="B924">
        <v>52094</v>
      </c>
      <c r="C924" t="s">
        <v>53</v>
      </c>
      <c r="D924">
        <v>55167</v>
      </c>
      <c r="E924" t="s">
        <v>300</v>
      </c>
      <c r="F924">
        <v>11781</v>
      </c>
      <c r="G924">
        <v>0.63995406578551806</v>
      </c>
      <c r="H924">
        <v>0</v>
      </c>
      <c r="I924">
        <v>0</v>
      </c>
      <c r="J924">
        <v>0.5513839422678849</v>
      </c>
      <c r="K924">
        <v>0</v>
      </c>
      <c r="L924">
        <v>0</v>
      </c>
      <c r="M924">
        <v>0.38906303313116392</v>
      </c>
      <c r="N924">
        <v>0</v>
      </c>
      <c r="O924">
        <v>0</v>
      </c>
      <c r="P924">
        <v>0.40954120631541518</v>
      </c>
      <c r="Q924">
        <v>0.77767410069607035</v>
      </c>
      <c r="R924">
        <v>-8.7302278789543699</v>
      </c>
      <c r="S924">
        <v>0.2079071376975993</v>
      </c>
      <c r="T924">
        <v>0.16266490568865249</v>
      </c>
      <c r="U924">
        <v>4.2673648416942536</v>
      </c>
      <c r="V924">
        <v>0.2226610238238293</v>
      </c>
      <c r="W924">
        <v>-5.411608763347763</v>
      </c>
      <c r="X924">
        <v>0.27057834416555909</v>
      </c>
      <c r="Z924" t="s">
        <v>392</v>
      </c>
      <c r="AA924">
        <v>161</v>
      </c>
      <c r="AB924" t="s">
        <v>5371</v>
      </c>
      <c r="AC924" t="str">
        <f>HYPERLINK("plots/3FT6Y578R04_015_S31P_20251219032831_M5358ACSA301811_RBGEUFRF04/dpll_52094/txpa_55167.png","plot")</f>
        <v>plot</v>
      </c>
    </row>
    <row r="925" spans="1:29" x14ac:dyDescent="0.35">
      <c r="A925" t="s">
        <v>50</v>
      </c>
      <c r="B925">
        <v>52094</v>
      </c>
      <c r="C925" t="s">
        <v>53</v>
      </c>
      <c r="D925">
        <v>55168</v>
      </c>
      <c r="E925" t="s">
        <v>301</v>
      </c>
      <c r="F925">
        <v>11782</v>
      </c>
      <c r="G925">
        <v>0.64388163381032837</v>
      </c>
      <c r="H925">
        <v>0</v>
      </c>
      <c r="I925">
        <v>0</v>
      </c>
      <c r="J925">
        <v>0.56277574793804197</v>
      </c>
      <c r="K925">
        <v>0</v>
      </c>
      <c r="L925">
        <v>0</v>
      </c>
      <c r="M925">
        <v>0.39912532120856098</v>
      </c>
      <c r="N925">
        <v>0</v>
      </c>
      <c r="O925">
        <v>0</v>
      </c>
      <c r="P925">
        <v>0.41458355835825778</v>
      </c>
      <c r="Q925">
        <v>0.78329039307594506</v>
      </c>
      <c r="R925">
        <v>-8.757156083636783</v>
      </c>
      <c r="S925">
        <v>0.20725258697111301</v>
      </c>
      <c r="T925">
        <v>0.16187749233005569</v>
      </c>
      <c r="U925">
        <v>4.2673938428959426</v>
      </c>
      <c r="V925">
        <v>0.22267382584799689</v>
      </c>
      <c r="W925">
        <v>-5.4145474830249531</v>
      </c>
      <c r="X925">
        <v>0.27088560912048221</v>
      </c>
      <c r="Z925" t="s">
        <v>392</v>
      </c>
      <c r="AA925">
        <v>161</v>
      </c>
      <c r="AB925" t="s">
        <v>5372</v>
      </c>
      <c r="AC925" t="str">
        <f>HYPERLINK("plots/3FT6Y578R04_015_S31P_20251219032831_M5358ACSA301811_RBGEUFRF04/dpll_52094/txpa_55168.png","plot")</f>
        <v>plot</v>
      </c>
    </row>
    <row r="926" spans="1:29" x14ac:dyDescent="0.35">
      <c r="A926" t="s">
        <v>50</v>
      </c>
      <c r="B926">
        <v>52094</v>
      </c>
      <c r="C926" t="s">
        <v>53</v>
      </c>
      <c r="D926">
        <v>55169</v>
      </c>
      <c r="E926" t="s">
        <v>302</v>
      </c>
      <c r="F926">
        <v>11782</v>
      </c>
      <c r="G926">
        <v>0.64004906673085582</v>
      </c>
      <c r="H926">
        <v>0</v>
      </c>
      <c r="I926">
        <v>0</v>
      </c>
      <c r="J926">
        <v>0.55374425476101197</v>
      </c>
      <c r="K926">
        <v>0</v>
      </c>
      <c r="L926">
        <v>0</v>
      </c>
      <c r="M926">
        <v>0.39111047873376892</v>
      </c>
      <c r="N926">
        <v>0</v>
      </c>
      <c r="O926">
        <v>0</v>
      </c>
      <c r="P926">
        <v>0.40966280782303949</v>
      </c>
      <c r="Q926">
        <v>0.76748308910693153</v>
      </c>
      <c r="R926">
        <v>-8.685181369124269</v>
      </c>
      <c r="S926">
        <v>0.2051428376765117</v>
      </c>
      <c r="T926">
        <v>0.16128871277291129</v>
      </c>
      <c r="U926">
        <v>4.2673938428959426</v>
      </c>
      <c r="V926">
        <v>0.22267382584799689</v>
      </c>
      <c r="W926">
        <v>-5.4100287601425903</v>
      </c>
      <c r="X926">
        <v>0.26700827265941968</v>
      </c>
      <c r="Z926" t="s">
        <v>392</v>
      </c>
      <c r="AA926">
        <v>161</v>
      </c>
      <c r="AB926" t="s">
        <v>5373</v>
      </c>
      <c r="AC926" t="str">
        <f>HYPERLINK("plots/3FT6Y578R04_015_S31P_20251219032831_M5358ACSA301811_RBGEUFRF04/dpll_52094/txpa_55169.png","plot")</f>
        <v>plot</v>
      </c>
    </row>
    <row r="927" spans="1:29" x14ac:dyDescent="0.35">
      <c r="A927" t="s">
        <v>50</v>
      </c>
      <c r="B927">
        <v>52094</v>
      </c>
      <c r="C927" t="s">
        <v>53</v>
      </c>
      <c r="D927">
        <v>55170</v>
      </c>
      <c r="E927" t="s">
        <v>303</v>
      </c>
      <c r="F927">
        <v>11781</v>
      </c>
      <c r="G927">
        <v>0.62629673141501541</v>
      </c>
      <c r="H927">
        <v>0</v>
      </c>
      <c r="I927">
        <v>0</v>
      </c>
      <c r="J927">
        <v>0.54126452113804568</v>
      </c>
      <c r="K927">
        <v>0</v>
      </c>
      <c r="L927">
        <v>0</v>
      </c>
      <c r="M927">
        <v>0.38247010948199212</v>
      </c>
      <c r="N927">
        <v>0</v>
      </c>
      <c r="O927">
        <v>0</v>
      </c>
      <c r="P927">
        <v>0.39224759578113189</v>
      </c>
      <c r="Q927">
        <v>0.7573369406891467</v>
      </c>
      <c r="R927">
        <v>-8.6849034954548792</v>
      </c>
      <c r="S927">
        <v>0.2098995947798015</v>
      </c>
      <c r="T927">
        <v>0.1633334303519981</v>
      </c>
      <c r="U927">
        <v>4.2674179181733303</v>
      </c>
      <c r="V927">
        <v>0.22266794157249609</v>
      </c>
      <c r="W927">
        <v>-5.4530302646634414</v>
      </c>
      <c r="X927">
        <v>0.26925680624112691</v>
      </c>
      <c r="Z927" t="s">
        <v>392</v>
      </c>
      <c r="AA927">
        <v>161</v>
      </c>
      <c r="AB927" t="s">
        <v>5374</v>
      </c>
      <c r="AC927" t="str">
        <f>HYPERLINK("plots/3FT6Y578R04_015_S31P_20251219032831_M5358ACSA301811_RBGEUFRF04/dpll_52094/txpa_55170.png","plot")</f>
        <v>plot</v>
      </c>
    </row>
    <row r="928" spans="1:29" x14ac:dyDescent="0.35">
      <c r="A928" t="s">
        <v>50</v>
      </c>
      <c r="B928">
        <v>52094</v>
      </c>
      <c r="C928" t="s">
        <v>53</v>
      </c>
      <c r="D928">
        <v>55171</v>
      </c>
      <c r="E928" t="s">
        <v>304</v>
      </c>
      <c r="F928">
        <v>11782</v>
      </c>
      <c r="G928">
        <v>0.61666570897753403</v>
      </c>
      <c r="H928">
        <v>0</v>
      </c>
      <c r="I928">
        <v>0</v>
      </c>
      <c r="J928">
        <v>0.5503515762896477</v>
      </c>
      <c r="K928">
        <v>0</v>
      </c>
      <c r="L928">
        <v>0</v>
      </c>
      <c r="M928">
        <v>0.38706682473255871</v>
      </c>
      <c r="N928">
        <v>0</v>
      </c>
      <c r="O928">
        <v>0</v>
      </c>
      <c r="P928">
        <v>0.38027659662876467</v>
      </c>
      <c r="Q928">
        <v>0.75003559129039044</v>
      </c>
      <c r="R928">
        <v>-5.620112968435242</v>
      </c>
      <c r="S928">
        <v>0.2131973300445813</v>
      </c>
      <c r="T928">
        <v>0.163323729989343</v>
      </c>
      <c r="U928">
        <v>4.2673938428959426</v>
      </c>
      <c r="V928">
        <v>0.22267382584799689</v>
      </c>
      <c r="W928">
        <v>-2.4194157042098121</v>
      </c>
      <c r="X928">
        <v>0.27083279028391749</v>
      </c>
      <c r="Z928" t="s">
        <v>392</v>
      </c>
      <c r="AA928">
        <v>161</v>
      </c>
      <c r="AB928" t="s">
        <v>5375</v>
      </c>
      <c r="AC928" t="str">
        <f>HYPERLINK("plots/3FT6Y578R04_015_S31P_20251219032831_M5358ACSA301811_RBGEUFRF04/dpll_52094/txpa_55171.png","plot")</f>
        <v>plot</v>
      </c>
    </row>
    <row r="929" spans="1:29" x14ac:dyDescent="0.35">
      <c r="A929" t="s">
        <v>50</v>
      </c>
      <c r="B929">
        <v>52094</v>
      </c>
      <c r="C929" t="s">
        <v>53</v>
      </c>
      <c r="D929">
        <v>55172</v>
      </c>
      <c r="E929" t="s">
        <v>305</v>
      </c>
      <c r="F929">
        <v>11782</v>
      </c>
      <c r="G929">
        <v>0.64260724982185402</v>
      </c>
      <c r="H929">
        <v>0</v>
      </c>
      <c r="I929">
        <v>0</v>
      </c>
      <c r="J929">
        <v>0.5678742517443941</v>
      </c>
      <c r="K929">
        <v>0</v>
      </c>
      <c r="L929">
        <v>0</v>
      </c>
      <c r="M929">
        <v>0.40292799775936611</v>
      </c>
      <c r="N929">
        <v>0</v>
      </c>
      <c r="O929">
        <v>0</v>
      </c>
      <c r="P929">
        <v>0.41294407752360668</v>
      </c>
      <c r="Q929">
        <v>0.78450347568385792</v>
      </c>
      <c r="R929">
        <v>-5.729490123965272</v>
      </c>
      <c r="S929">
        <v>0.20827623952152929</v>
      </c>
      <c r="T929">
        <v>0.16145313655197779</v>
      </c>
      <c r="U929">
        <v>4.2673938428959426</v>
      </c>
      <c r="V929">
        <v>0.22267382584799689</v>
      </c>
      <c r="W929">
        <v>-2.38170482210151</v>
      </c>
      <c r="X929">
        <v>0.27184316761132621</v>
      </c>
      <c r="Z929" t="s">
        <v>392</v>
      </c>
      <c r="AA929">
        <v>161</v>
      </c>
      <c r="AB929" t="s">
        <v>5376</v>
      </c>
      <c r="AC929" t="str">
        <f>HYPERLINK("plots/3FT6Y578R04_015_S31P_20251219032831_M5358ACSA301811_RBGEUFRF04/dpll_52094/txpa_55172.png","plot")</f>
        <v>plot</v>
      </c>
    </row>
    <row r="930" spans="1:29" x14ac:dyDescent="0.35">
      <c r="A930" t="s">
        <v>50</v>
      </c>
      <c r="B930">
        <v>52094</v>
      </c>
      <c r="C930" t="s">
        <v>53</v>
      </c>
      <c r="D930">
        <v>55173</v>
      </c>
      <c r="E930" t="s">
        <v>306</v>
      </c>
      <c r="F930">
        <v>11782</v>
      </c>
      <c r="G930">
        <v>0.63187380360821765</v>
      </c>
      <c r="H930">
        <v>0</v>
      </c>
      <c r="I930">
        <v>0</v>
      </c>
      <c r="J930">
        <v>0.55589748414471152</v>
      </c>
      <c r="K930">
        <v>0</v>
      </c>
      <c r="L930">
        <v>0</v>
      </c>
      <c r="M930">
        <v>0.39331636262948688</v>
      </c>
      <c r="N930">
        <v>0</v>
      </c>
      <c r="O930">
        <v>0</v>
      </c>
      <c r="P930">
        <v>0.39926450368631639</v>
      </c>
      <c r="Q930">
        <v>0.75859548237086283</v>
      </c>
      <c r="R930">
        <v>-5.6027527701613167</v>
      </c>
      <c r="S930">
        <v>0.20719166877163511</v>
      </c>
      <c r="T930">
        <v>0.16063415954429811</v>
      </c>
      <c r="U930">
        <v>4.2673938428959426</v>
      </c>
      <c r="V930">
        <v>0.22267382584799689</v>
      </c>
      <c r="W930">
        <v>-2.3655270794432188</v>
      </c>
      <c r="X930">
        <v>0.26733084575739452</v>
      </c>
      <c r="Z930" t="s">
        <v>392</v>
      </c>
      <c r="AA930">
        <v>161</v>
      </c>
      <c r="AB930" t="s">
        <v>5377</v>
      </c>
      <c r="AC930" t="str">
        <f>HYPERLINK("plots/3FT6Y578R04_015_S31P_20251219032831_M5358ACSA301811_RBGEUFRF04/dpll_52094/txpa_55173.png","plot")</f>
        <v>plot</v>
      </c>
    </row>
    <row r="931" spans="1:29" x14ac:dyDescent="0.35">
      <c r="A931" t="s">
        <v>50</v>
      </c>
      <c r="B931">
        <v>52094</v>
      </c>
      <c r="C931" t="s">
        <v>53</v>
      </c>
      <c r="D931">
        <v>55174</v>
      </c>
      <c r="E931" t="s">
        <v>307</v>
      </c>
      <c r="F931">
        <v>11781</v>
      </c>
      <c r="G931">
        <v>0.65012618440602643</v>
      </c>
      <c r="H931">
        <v>0</v>
      </c>
      <c r="I931">
        <v>0</v>
      </c>
      <c r="J931">
        <v>0.56852531136588835</v>
      </c>
      <c r="K931">
        <v>0</v>
      </c>
      <c r="L931">
        <v>0</v>
      </c>
      <c r="M931">
        <v>0.40339058930498728</v>
      </c>
      <c r="N931">
        <v>0</v>
      </c>
      <c r="O931">
        <v>0</v>
      </c>
      <c r="P931">
        <v>0.42266405565033871</v>
      </c>
      <c r="Q931">
        <v>0.78928631328290055</v>
      </c>
      <c r="R931">
        <v>-5.7165483823386829</v>
      </c>
      <c r="S931">
        <v>0.20540756054906451</v>
      </c>
      <c r="T931">
        <v>0.160126014340327</v>
      </c>
      <c r="U931">
        <v>4.2674026018164843</v>
      </c>
      <c r="V931">
        <v>0.22268124725346999</v>
      </c>
      <c r="W931">
        <v>-2.348345915457092</v>
      </c>
      <c r="X931">
        <v>0.27034638028386432</v>
      </c>
      <c r="Z931" t="s">
        <v>392</v>
      </c>
      <c r="AA931">
        <v>161</v>
      </c>
      <c r="AB931" t="s">
        <v>5378</v>
      </c>
      <c r="AC931" t="str">
        <f>HYPERLINK("plots/3FT6Y578R04_015_S31P_20251219032831_M5358ACSA301811_RBGEUFRF04/dpll_52094/txpa_55174.png","plot")</f>
        <v>plot</v>
      </c>
    </row>
    <row r="932" spans="1:29" x14ac:dyDescent="0.35">
      <c r="A932" t="s">
        <v>50</v>
      </c>
      <c r="B932">
        <v>52094</v>
      </c>
      <c r="C932" t="s">
        <v>53</v>
      </c>
      <c r="D932">
        <v>55175</v>
      </c>
      <c r="E932" t="s">
        <v>308</v>
      </c>
      <c r="F932">
        <v>11781</v>
      </c>
      <c r="G932">
        <v>0.6515135528147934</v>
      </c>
      <c r="H932">
        <v>0</v>
      </c>
      <c r="I932">
        <v>0</v>
      </c>
      <c r="J932">
        <v>0.56498670230685799</v>
      </c>
      <c r="K932">
        <v>0</v>
      </c>
      <c r="L932">
        <v>0</v>
      </c>
      <c r="M932">
        <v>0.39950364646191522</v>
      </c>
      <c r="N932">
        <v>0</v>
      </c>
      <c r="O932">
        <v>0</v>
      </c>
      <c r="P932">
        <v>0.4244699095013546</v>
      </c>
      <c r="Q932">
        <v>0.78761773044279537</v>
      </c>
      <c r="R932">
        <v>-5.7273480432647332</v>
      </c>
      <c r="S932">
        <v>0.2041981561203729</v>
      </c>
      <c r="T932">
        <v>0.15960025829915711</v>
      </c>
      <c r="U932">
        <v>4.2673648416942536</v>
      </c>
      <c r="V932">
        <v>0.2226610238238293</v>
      </c>
      <c r="W932">
        <v>-2.366295831678126</v>
      </c>
      <c r="X932">
        <v>0.26917593576452697</v>
      </c>
      <c r="Z932" t="s">
        <v>392</v>
      </c>
      <c r="AA932">
        <v>161</v>
      </c>
      <c r="AB932" t="s">
        <v>5379</v>
      </c>
      <c r="AC932" t="str">
        <f>HYPERLINK("plots/3FT6Y578R04_015_S31P_20251219032831_M5358ACSA301811_RBGEUFRF04/dpll_52094/txpa_55175.png","plot")</f>
        <v>plot</v>
      </c>
    </row>
    <row r="933" spans="1:29" x14ac:dyDescent="0.35">
      <c r="A933" t="s">
        <v>50</v>
      </c>
      <c r="B933">
        <v>52094</v>
      </c>
      <c r="C933" t="s">
        <v>53</v>
      </c>
      <c r="D933">
        <v>55176</v>
      </c>
      <c r="E933" t="s">
        <v>309</v>
      </c>
      <c r="F933">
        <v>11782</v>
      </c>
      <c r="G933">
        <v>0.65520612119394983</v>
      </c>
      <c r="H933">
        <v>0</v>
      </c>
      <c r="I933">
        <v>0</v>
      </c>
      <c r="J933">
        <v>0.57720175001554319</v>
      </c>
      <c r="K933">
        <v>0</v>
      </c>
      <c r="L933">
        <v>0</v>
      </c>
      <c r="M933">
        <v>0.41020625332982408</v>
      </c>
      <c r="N933">
        <v>0</v>
      </c>
      <c r="O933">
        <v>0</v>
      </c>
      <c r="P933">
        <v>0.42929506125002093</v>
      </c>
      <c r="Q933">
        <v>0.79565533587239645</v>
      </c>
      <c r="R933">
        <v>-5.7610676328205344</v>
      </c>
      <c r="S933">
        <v>0.20426952955251529</v>
      </c>
      <c r="T933">
        <v>0.15926874556231341</v>
      </c>
      <c r="U933">
        <v>4.2673938428959426</v>
      </c>
      <c r="V933">
        <v>0.22267382584799689</v>
      </c>
      <c r="W933">
        <v>-2.3656929514513672</v>
      </c>
      <c r="X933">
        <v>0.27040592565317972</v>
      </c>
      <c r="Z933" t="s">
        <v>392</v>
      </c>
      <c r="AA933">
        <v>161</v>
      </c>
      <c r="AB933" t="s">
        <v>5380</v>
      </c>
      <c r="AC933" t="str">
        <f>HYPERLINK("plots/3FT6Y578R04_015_S31P_20251219032831_M5358ACSA301811_RBGEUFRF04/dpll_52094/txpa_55176.png","plot")</f>
        <v>plot</v>
      </c>
    </row>
    <row r="934" spans="1:29" x14ac:dyDescent="0.35">
      <c r="A934" t="s">
        <v>50</v>
      </c>
      <c r="B934">
        <v>52094</v>
      </c>
      <c r="C934" t="s">
        <v>53</v>
      </c>
      <c r="D934">
        <v>55177</v>
      </c>
      <c r="E934" t="s">
        <v>310</v>
      </c>
      <c r="F934">
        <v>11782</v>
      </c>
      <c r="G934">
        <v>0.65193241315433426</v>
      </c>
      <c r="H934">
        <v>0</v>
      </c>
      <c r="I934">
        <v>0</v>
      </c>
      <c r="J934">
        <v>0.56916113549211367</v>
      </c>
      <c r="K934">
        <v>0</v>
      </c>
      <c r="L934">
        <v>0</v>
      </c>
      <c r="M934">
        <v>0.4027835663736099</v>
      </c>
      <c r="N934">
        <v>0</v>
      </c>
      <c r="O934">
        <v>0</v>
      </c>
      <c r="P934">
        <v>0.42501587132123358</v>
      </c>
      <c r="Q934">
        <v>0.78047089538623649</v>
      </c>
      <c r="R934">
        <v>-5.6904728485128846</v>
      </c>
      <c r="S934">
        <v>0.20213094507404439</v>
      </c>
      <c r="T934">
        <v>0.15868523680768101</v>
      </c>
      <c r="U934">
        <v>4.2673938428959426</v>
      </c>
      <c r="V934">
        <v>0.22267382584799689</v>
      </c>
      <c r="W934">
        <v>-2.359896154982176</v>
      </c>
      <c r="X934">
        <v>0.26657738859430358</v>
      </c>
      <c r="Z934" t="s">
        <v>392</v>
      </c>
      <c r="AA934">
        <v>161</v>
      </c>
      <c r="AB934" t="s">
        <v>5381</v>
      </c>
      <c r="AC934" t="str">
        <f>HYPERLINK("plots/3FT6Y578R04_015_S31P_20251219032831_M5358ACSA301811_RBGEUFRF04/dpll_52094/txpa_55177.png","plot")</f>
        <v>plot</v>
      </c>
    </row>
    <row r="935" spans="1:29" x14ac:dyDescent="0.35">
      <c r="A935" t="s">
        <v>50</v>
      </c>
      <c r="B935">
        <v>52094</v>
      </c>
      <c r="C935" t="s">
        <v>53</v>
      </c>
      <c r="D935">
        <v>55178</v>
      </c>
      <c r="E935" t="s">
        <v>311</v>
      </c>
      <c r="F935">
        <v>11781</v>
      </c>
      <c r="G935">
        <v>0.63873243353388665</v>
      </c>
      <c r="H935">
        <v>0</v>
      </c>
      <c r="I935">
        <v>0</v>
      </c>
      <c r="J935">
        <v>0.55707780546321406</v>
      </c>
      <c r="K935">
        <v>0</v>
      </c>
      <c r="L935">
        <v>0</v>
      </c>
      <c r="M935">
        <v>0.39454536049556388</v>
      </c>
      <c r="N935">
        <v>0</v>
      </c>
      <c r="O935">
        <v>0</v>
      </c>
      <c r="P935">
        <v>0.40797912164812089</v>
      </c>
      <c r="Q935">
        <v>0.77300632843112016</v>
      </c>
      <c r="R935">
        <v>-5.694801473750875</v>
      </c>
      <c r="S935">
        <v>0.20733463338890021</v>
      </c>
      <c r="T935">
        <v>0.16112446393867211</v>
      </c>
      <c r="U935">
        <v>4.2674179181733303</v>
      </c>
      <c r="V935">
        <v>0.22266794157249609</v>
      </c>
      <c r="W935">
        <v>-2.396060416942535</v>
      </c>
      <c r="X935">
        <v>0.26947704380998633</v>
      </c>
      <c r="Z935" t="s">
        <v>392</v>
      </c>
      <c r="AA935">
        <v>161</v>
      </c>
      <c r="AB935" t="s">
        <v>5382</v>
      </c>
      <c r="AC935" t="str">
        <f>HYPERLINK("plots/3FT6Y578R04_015_S31P_20251219032831_M5358ACSA301811_RBGEUFRF04/dpll_52094/txpa_55178.png","plot")</f>
        <v>plot</v>
      </c>
    </row>
    <row r="936" spans="1:29" x14ac:dyDescent="0.35">
      <c r="A936" t="s">
        <v>50</v>
      </c>
      <c r="B936">
        <v>52094</v>
      </c>
      <c r="C936" t="s">
        <v>53</v>
      </c>
      <c r="D936">
        <v>55179</v>
      </c>
      <c r="E936" t="s">
        <v>312</v>
      </c>
      <c r="F936">
        <v>11782</v>
      </c>
      <c r="G936">
        <v>0.65545938818759575</v>
      </c>
      <c r="H936">
        <v>0</v>
      </c>
      <c r="I936">
        <v>0</v>
      </c>
      <c r="J936">
        <v>0.59393146883328141</v>
      </c>
      <c r="K936">
        <v>0</v>
      </c>
      <c r="L936">
        <v>0</v>
      </c>
      <c r="M936">
        <v>0.42120503696823258</v>
      </c>
      <c r="N936">
        <v>0</v>
      </c>
      <c r="O936">
        <v>0</v>
      </c>
      <c r="P936">
        <v>0.42962700956325728</v>
      </c>
      <c r="Q936">
        <v>0.81907946662292452</v>
      </c>
      <c r="R936">
        <v>-2.339466381069371</v>
      </c>
      <c r="S936">
        <v>0.21014084106119951</v>
      </c>
      <c r="T936">
        <v>0.1603958306528592</v>
      </c>
      <c r="U936">
        <v>4.2673938428959426</v>
      </c>
      <c r="V936">
        <v>0.22267382584799689</v>
      </c>
      <c r="W936">
        <v>1.15586829163979</v>
      </c>
      <c r="X936">
        <v>0.27825912908316303</v>
      </c>
      <c r="Z936" t="s">
        <v>392</v>
      </c>
      <c r="AA936">
        <v>161</v>
      </c>
      <c r="AB936" t="s">
        <v>5383</v>
      </c>
      <c r="AC936" t="str">
        <f>HYPERLINK("plots/3FT6Y578R04_015_S31P_20251219032831_M5358ACSA301811_RBGEUFRF04/dpll_52094/txpa_55179.png","plot")</f>
        <v>plot</v>
      </c>
    </row>
    <row r="937" spans="1:29" x14ac:dyDescent="0.35">
      <c r="A937" t="s">
        <v>50</v>
      </c>
      <c r="B937">
        <v>52094</v>
      </c>
      <c r="C937" t="s">
        <v>53</v>
      </c>
      <c r="D937">
        <v>55180</v>
      </c>
      <c r="E937" t="s">
        <v>313</v>
      </c>
      <c r="F937">
        <v>11782</v>
      </c>
      <c r="G937">
        <v>0.68054868276445757</v>
      </c>
      <c r="H937">
        <v>0</v>
      </c>
      <c r="I937">
        <v>0</v>
      </c>
      <c r="J937">
        <v>0.61050462243413772</v>
      </c>
      <c r="K937">
        <v>0</v>
      </c>
      <c r="L937">
        <v>0</v>
      </c>
      <c r="M937">
        <v>0.43679006440192331</v>
      </c>
      <c r="N937">
        <v>0</v>
      </c>
      <c r="O937">
        <v>0</v>
      </c>
      <c r="P937">
        <v>0.46314650961243831</v>
      </c>
      <c r="Q937">
        <v>0.85112262611253453</v>
      </c>
      <c r="R937">
        <v>-2.4419914129670048</v>
      </c>
      <c r="S937">
        <v>0.20403823987372119</v>
      </c>
      <c r="T937">
        <v>0.1578655788861385</v>
      </c>
      <c r="U937">
        <v>4.2673938428959426</v>
      </c>
      <c r="V937">
        <v>0.22267382584799689</v>
      </c>
      <c r="W937">
        <v>1.19008404125505</v>
      </c>
      <c r="X937">
        <v>0.27848519323027948</v>
      </c>
      <c r="Z937" t="s">
        <v>392</v>
      </c>
      <c r="AA937">
        <v>161</v>
      </c>
      <c r="AB937" t="s">
        <v>5384</v>
      </c>
      <c r="AC937" t="str">
        <f>HYPERLINK("plots/3FT6Y578R04_015_S31P_20251219032831_M5358ACSA301811_RBGEUFRF04/dpll_52094/txpa_55180.png","plot")</f>
        <v>plot</v>
      </c>
    </row>
    <row r="938" spans="1:29" x14ac:dyDescent="0.35">
      <c r="A938" t="s">
        <v>50</v>
      </c>
      <c r="B938">
        <v>52094</v>
      </c>
      <c r="C938" t="s">
        <v>53</v>
      </c>
      <c r="D938">
        <v>55181</v>
      </c>
      <c r="E938" t="s">
        <v>314</v>
      </c>
      <c r="F938">
        <v>11782</v>
      </c>
      <c r="G938">
        <v>0.66987249112180602</v>
      </c>
      <c r="H938">
        <v>0</v>
      </c>
      <c r="I938">
        <v>0</v>
      </c>
      <c r="J938">
        <v>0.59847953342797788</v>
      </c>
      <c r="K938">
        <v>0</v>
      </c>
      <c r="L938">
        <v>0</v>
      </c>
      <c r="M938">
        <v>0.4265400257753359</v>
      </c>
      <c r="N938">
        <v>0</v>
      </c>
      <c r="O938">
        <v>0</v>
      </c>
      <c r="P938">
        <v>0.44872915436173411</v>
      </c>
      <c r="Q938">
        <v>0.82615702855892714</v>
      </c>
      <c r="R938">
        <v>-2.3207901444541239</v>
      </c>
      <c r="S938">
        <v>0.20389365486489469</v>
      </c>
      <c r="T938">
        <v>0.15763202924033221</v>
      </c>
      <c r="U938">
        <v>4.2673938428959426</v>
      </c>
      <c r="V938">
        <v>0.22267382584799689</v>
      </c>
      <c r="W938">
        <v>1.2047472724834489</v>
      </c>
      <c r="X938">
        <v>0.27462472147849137</v>
      </c>
      <c r="Z938" t="s">
        <v>392</v>
      </c>
      <c r="AA938">
        <v>161</v>
      </c>
      <c r="AB938" t="s">
        <v>5385</v>
      </c>
      <c r="AC938" t="str">
        <f>HYPERLINK("plots/3FT6Y578R04_015_S31P_20251219032831_M5358ACSA301811_RBGEUFRF04/dpll_52094/txpa_55181.png","plot")</f>
        <v>plot</v>
      </c>
    </row>
    <row r="939" spans="1:29" x14ac:dyDescent="0.35">
      <c r="A939" t="s">
        <v>50</v>
      </c>
      <c r="B939">
        <v>52094</v>
      </c>
      <c r="C939" t="s">
        <v>53</v>
      </c>
      <c r="D939">
        <v>55182</v>
      </c>
      <c r="E939" t="s">
        <v>315</v>
      </c>
      <c r="F939">
        <v>11781</v>
      </c>
      <c r="G939">
        <v>0.68756686915236198</v>
      </c>
      <c r="H939">
        <v>0</v>
      </c>
      <c r="I939">
        <v>0</v>
      </c>
      <c r="J939">
        <v>0.61047627014154948</v>
      </c>
      <c r="K939">
        <v>0</v>
      </c>
      <c r="L939">
        <v>0</v>
      </c>
      <c r="M939">
        <v>0.43681909356803889</v>
      </c>
      <c r="N939">
        <v>0</v>
      </c>
      <c r="O939">
        <v>0</v>
      </c>
      <c r="P939">
        <v>0.47274819955598119</v>
      </c>
      <c r="Q939">
        <v>0.8544565699776947</v>
      </c>
      <c r="R939">
        <v>-2.4290935149634381</v>
      </c>
      <c r="S939">
        <v>0.20093208916514921</v>
      </c>
      <c r="T939">
        <v>0.15642309294461401</v>
      </c>
      <c r="U939">
        <v>4.2674026018164843</v>
      </c>
      <c r="V939">
        <v>0.22268124725346999</v>
      </c>
      <c r="W939">
        <v>1.217216674898566</v>
      </c>
      <c r="X939">
        <v>0.27673156352213868</v>
      </c>
      <c r="Z939" t="s">
        <v>392</v>
      </c>
      <c r="AA939">
        <v>161</v>
      </c>
      <c r="AB939" t="s">
        <v>5386</v>
      </c>
      <c r="AC939" t="str">
        <f>HYPERLINK("plots/3FT6Y578R04_015_S31P_20251219032831_M5358ACSA301811_RBGEUFRF04/dpll_52094/txpa_55182.png","plot")</f>
        <v>plot</v>
      </c>
    </row>
    <row r="940" spans="1:29" x14ac:dyDescent="0.35">
      <c r="A940" t="s">
        <v>50</v>
      </c>
      <c r="B940">
        <v>52094</v>
      </c>
      <c r="C940" t="s">
        <v>53</v>
      </c>
      <c r="D940">
        <v>55183</v>
      </c>
      <c r="E940" t="s">
        <v>316</v>
      </c>
      <c r="F940">
        <v>11781</v>
      </c>
      <c r="G940">
        <v>0.68771909934503139</v>
      </c>
      <c r="H940">
        <v>0</v>
      </c>
      <c r="I940">
        <v>0</v>
      </c>
      <c r="J940">
        <v>0.60598633744867292</v>
      </c>
      <c r="K940">
        <v>0</v>
      </c>
      <c r="L940">
        <v>0</v>
      </c>
      <c r="M940">
        <v>0.43197138210162478</v>
      </c>
      <c r="N940">
        <v>0</v>
      </c>
      <c r="O940">
        <v>0</v>
      </c>
      <c r="P940">
        <v>0.47295755960394109</v>
      </c>
      <c r="Q940">
        <v>0.85152695379578225</v>
      </c>
      <c r="R940">
        <v>-2.434952013474887</v>
      </c>
      <c r="S940">
        <v>0.20014091310233431</v>
      </c>
      <c r="T940">
        <v>0.15619790266719799</v>
      </c>
      <c r="U940">
        <v>4.2673648416942536</v>
      </c>
      <c r="V940">
        <v>0.2226610238238293</v>
      </c>
      <c r="W940">
        <v>1.1988241709082419</v>
      </c>
      <c r="X940">
        <v>0.27569666674421012</v>
      </c>
      <c r="Z940" t="s">
        <v>392</v>
      </c>
      <c r="AA940">
        <v>161</v>
      </c>
      <c r="AB940" t="s">
        <v>5387</v>
      </c>
      <c r="AC940" t="str">
        <f>HYPERLINK("plots/3FT6Y578R04_015_S31P_20251219032831_M5358ACSA301811_RBGEUFRF04/dpll_52094/txpa_55183.png","plot")</f>
        <v>plot</v>
      </c>
    </row>
    <row r="941" spans="1:29" x14ac:dyDescent="0.35">
      <c r="A941" t="s">
        <v>50</v>
      </c>
      <c r="B941">
        <v>52094</v>
      </c>
      <c r="C941" t="s">
        <v>53</v>
      </c>
      <c r="D941">
        <v>55184</v>
      </c>
      <c r="E941" t="s">
        <v>317</v>
      </c>
      <c r="F941">
        <v>11782</v>
      </c>
      <c r="G941">
        <v>0.69248575575699656</v>
      </c>
      <c r="H941">
        <v>0</v>
      </c>
      <c r="I941">
        <v>0</v>
      </c>
      <c r="J941">
        <v>0.61933483578191251</v>
      </c>
      <c r="K941">
        <v>0</v>
      </c>
      <c r="L941">
        <v>0</v>
      </c>
      <c r="M941">
        <v>0.44357855614419212</v>
      </c>
      <c r="N941">
        <v>0</v>
      </c>
      <c r="O941">
        <v>0</v>
      </c>
      <c r="P941">
        <v>0.47953652192633872</v>
      </c>
      <c r="Q941">
        <v>0.86356623103884889</v>
      </c>
      <c r="R941">
        <v>-2.4819721758998501</v>
      </c>
      <c r="S941">
        <v>0.20032293583497129</v>
      </c>
      <c r="T941">
        <v>0.1559923205410593</v>
      </c>
      <c r="U941">
        <v>4.2673938428959426</v>
      </c>
      <c r="V941">
        <v>0.22267382584799689</v>
      </c>
      <c r="W941">
        <v>1.203205041368189</v>
      </c>
      <c r="X941">
        <v>0.27768599561784241</v>
      </c>
      <c r="Z941" t="s">
        <v>392</v>
      </c>
      <c r="AA941">
        <v>161</v>
      </c>
      <c r="AB941" t="s">
        <v>5388</v>
      </c>
      <c r="AC941" t="str">
        <f>HYPERLINK("plots/3FT6Y578R04_015_S31P_20251219032831_M5358ACSA301811_RBGEUFRF04/dpll_52094/txpa_55184.png","plot")</f>
        <v>plot</v>
      </c>
    </row>
    <row r="942" spans="1:29" x14ac:dyDescent="0.35">
      <c r="A942" t="s">
        <v>50</v>
      </c>
      <c r="B942">
        <v>52094</v>
      </c>
      <c r="C942" t="s">
        <v>53</v>
      </c>
      <c r="D942">
        <v>55185</v>
      </c>
      <c r="E942" t="s">
        <v>318</v>
      </c>
      <c r="F942">
        <v>11782</v>
      </c>
      <c r="G942">
        <v>0.68922020312239218</v>
      </c>
      <c r="H942">
        <v>0</v>
      </c>
      <c r="I942">
        <v>0</v>
      </c>
      <c r="J942">
        <v>0.61038660749584328</v>
      </c>
      <c r="K942">
        <v>0</v>
      </c>
      <c r="L942">
        <v>0</v>
      </c>
      <c r="M942">
        <v>0.43550797679509268</v>
      </c>
      <c r="N942">
        <v>0</v>
      </c>
      <c r="O942">
        <v>0</v>
      </c>
      <c r="P942">
        <v>0.47502448839207162</v>
      </c>
      <c r="Q942">
        <v>0.84769279273972509</v>
      </c>
      <c r="R942">
        <v>-2.4078570711328289</v>
      </c>
      <c r="S942">
        <v>0.19842699423990931</v>
      </c>
      <c r="T942">
        <v>0.15555148905227839</v>
      </c>
      <c r="U942">
        <v>4.2673938428959426</v>
      </c>
      <c r="V942">
        <v>0.22267382584799689</v>
      </c>
      <c r="W942">
        <v>1.20958193327194</v>
      </c>
      <c r="X942">
        <v>0.27387327946567408</v>
      </c>
      <c r="Z942" t="s">
        <v>392</v>
      </c>
      <c r="AA942">
        <v>161</v>
      </c>
      <c r="AB942" t="s">
        <v>5389</v>
      </c>
      <c r="AC942" t="str">
        <f>HYPERLINK("plots/3FT6Y578R04_015_S31P_20251219032831_M5358ACSA301811_RBGEUFRF04/dpll_52094/txpa_55185.png","plot")</f>
        <v>plot</v>
      </c>
    </row>
    <row r="943" spans="1:29" x14ac:dyDescent="0.35">
      <c r="A943" t="s">
        <v>50</v>
      </c>
      <c r="B943">
        <v>52094</v>
      </c>
      <c r="C943" t="s">
        <v>53</v>
      </c>
      <c r="D943">
        <v>55186</v>
      </c>
      <c r="E943" t="s">
        <v>319</v>
      </c>
      <c r="F943">
        <v>11781</v>
      </c>
      <c r="G943">
        <v>0.67749287125813629</v>
      </c>
      <c r="H943">
        <v>0</v>
      </c>
      <c r="I943">
        <v>0</v>
      </c>
      <c r="J943">
        <v>0.59995100272266932</v>
      </c>
      <c r="K943">
        <v>0</v>
      </c>
      <c r="L943">
        <v>0</v>
      </c>
      <c r="M943">
        <v>0.42830517652828298</v>
      </c>
      <c r="N943">
        <v>0</v>
      </c>
      <c r="O943">
        <v>0</v>
      </c>
      <c r="P943">
        <v>0.45899659060559361</v>
      </c>
      <c r="Q943">
        <v>0.84095268467320272</v>
      </c>
      <c r="R943">
        <v>-2.4099865809096279</v>
      </c>
      <c r="S943">
        <v>0.20328535576791501</v>
      </c>
      <c r="T943">
        <v>0.1576499952447796</v>
      </c>
      <c r="U943">
        <v>4.2674179181733303</v>
      </c>
      <c r="V943">
        <v>0.22266794157249609</v>
      </c>
      <c r="W943">
        <v>1.178709974000764</v>
      </c>
      <c r="X943">
        <v>0.27639140011659208</v>
      </c>
      <c r="Z943" t="s">
        <v>392</v>
      </c>
      <c r="AA943">
        <v>161</v>
      </c>
      <c r="AB943" t="s">
        <v>5390</v>
      </c>
      <c r="AC943" t="str">
        <f>HYPERLINK("plots/3FT6Y578R04_015_S31P_20251219032831_M5358ACSA301811_RBGEUFRF04/dpll_52094/txpa_55186.png","plot")</f>
        <v>plot</v>
      </c>
    </row>
    <row r="944" spans="1:29" x14ac:dyDescent="0.35">
      <c r="A944" t="s">
        <v>50</v>
      </c>
      <c r="B944">
        <v>52094</v>
      </c>
      <c r="C944" t="s">
        <v>53</v>
      </c>
      <c r="D944">
        <v>55187</v>
      </c>
      <c r="E944" t="s">
        <v>320</v>
      </c>
      <c r="F944">
        <v>11782</v>
      </c>
      <c r="G944">
        <v>0.68716214398875419</v>
      </c>
      <c r="H944">
        <v>0</v>
      </c>
      <c r="I944">
        <v>0</v>
      </c>
      <c r="J944">
        <v>0.62579141969721852</v>
      </c>
      <c r="K944">
        <v>0</v>
      </c>
      <c r="L944">
        <v>0</v>
      </c>
      <c r="M944">
        <v>0.4467751763496926</v>
      </c>
      <c r="N944">
        <v>0</v>
      </c>
      <c r="O944">
        <v>0</v>
      </c>
      <c r="P944">
        <v>0.47219181213122141</v>
      </c>
      <c r="Q944">
        <v>0.88547092657143278</v>
      </c>
      <c r="R944">
        <v>-0.60978913037741034</v>
      </c>
      <c r="S944">
        <v>0.2084509513222037</v>
      </c>
      <c r="T944">
        <v>0.15884435224483159</v>
      </c>
      <c r="U944">
        <v>4.2673938428959426</v>
      </c>
      <c r="V944">
        <v>0.22267382584799689</v>
      </c>
      <c r="W944">
        <v>3.1688640497368872</v>
      </c>
      <c r="X944">
        <v>0.28693547894288313</v>
      </c>
      <c r="Z944" t="s">
        <v>392</v>
      </c>
      <c r="AA944">
        <v>161</v>
      </c>
      <c r="AB944" t="s">
        <v>5391</v>
      </c>
      <c r="AC944" t="str">
        <f>HYPERLINK("plots/3FT6Y578R04_015_S31P_20251219032831_M5358ACSA301811_RBGEUFRF04/dpll_52094/txpa_55187.png","plot")</f>
        <v>plot</v>
      </c>
    </row>
    <row r="945" spans="1:29" x14ac:dyDescent="0.35">
      <c r="A945" t="s">
        <v>50</v>
      </c>
      <c r="B945">
        <v>52094</v>
      </c>
      <c r="C945" t="s">
        <v>53</v>
      </c>
      <c r="D945">
        <v>55188</v>
      </c>
      <c r="E945" t="s">
        <v>321</v>
      </c>
      <c r="F945">
        <v>11782</v>
      </c>
      <c r="G945">
        <v>0.71072951576282495</v>
      </c>
      <c r="H945">
        <v>0</v>
      </c>
      <c r="I945">
        <v>0</v>
      </c>
      <c r="J945">
        <v>0.64099479618270683</v>
      </c>
      <c r="K945">
        <v>0</v>
      </c>
      <c r="L945">
        <v>0</v>
      </c>
      <c r="M945">
        <v>0.46185310791450612</v>
      </c>
      <c r="N945">
        <v>0</v>
      </c>
      <c r="O945">
        <v>0</v>
      </c>
      <c r="P945">
        <v>0.50513644457645968</v>
      </c>
      <c r="Q945">
        <v>0.91640442589474114</v>
      </c>
      <c r="R945">
        <v>-0.70834199687426302</v>
      </c>
      <c r="S945">
        <v>0.2019650873647765</v>
      </c>
      <c r="T945">
        <v>0.1562494853928717</v>
      </c>
      <c r="U945">
        <v>4.2673938428959426</v>
      </c>
      <c r="V945">
        <v>0.22267382584799689</v>
      </c>
      <c r="W945">
        <v>3.202316607791547</v>
      </c>
      <c r="X945">
        <v>0.28711243168085199</v>
      </c>
      <c r="Z945" t="s">
        <v>392</v>
      </c>
      <c r="AA945">
        <v>161</v>
      </c>
      <c r="AB945" t="s">
        <v>5392</v>
      </c>
      <c r="AC945" t="str">
        <f>HYPERLINK("plots/3FT6Y578R04_015_S31P_20251219032831_M5358ACSA301811_RBGEUFRF04/dpll_52094/txpa_55188.png","plot")</f>
        <v>plot</v>
      </c>
    </row>
    <row r="946" spans="1:29" x14ac:dyDescent="0.35">
      <c r="A946" t="s">
        <v>50</v>
      </c>
      <c r="B946">
        <v>52094</v>
      </c>
      <c r="C946" t="s">
        <v>53</v>
      </c>
      <c r="D946">
        <v>55189</v>
      </c>
      <c r="E946" t="s">
        <v>322</v>
      </c>
      <c r="F946">
        <v>11782</v>
      </c>
      <c r="G946">
        <v>0.7005256224348918</v>
      </c>
      <c r="H946">
        <v>0</v>
      </c>
      <c r="I946">
        <v>0</v>
      </c>
      <c r="J946">
        <v>0.63010156689214725</v>
      </c>
      <c r="K946">
        <v>0</v>
      </c>
      <c r="L946">
        <v>0</v>
      </c>
      <c r="M946">
        <v>0.45214276855709612</v>
      </c>
      <c r="N946">
        <v>0</v>
      </c>
      <c r="O946">
        <v>0</v>
      </c>
      <c r="P946">
        <v>0.49073614768779261</v>
      </c>
      <c r="Q946">
        <v>0.89180079200008155</v>
      </c>
      <c r="R946">
        <v>-0.58908912492926779</v>
      </c>
      <c r="S946">
        <v>0.20228607802587981</v>
      </c>
      <c r="T946">
        <v>0.15599348736577151</v>
      </c>
      <c r="U946">
        <v>4.2673938428959426</v>
      </c>
      <c r="V946">
        <v>0.22267382584799689</v>
      </c>
      <c r="W946">
        <v>3.216576083941606</v>
      </c>
      <c r="X946">
        <v>0.28347384862055958</v>
      </c>
      <c r="Z946" t="s">
        <v>392</v>
      </c>
      <c r="AA946">
        <v>161</v>
      </c>
      <c r="AB946" t="s">
        <v>5393</v>
      </c>
      <c r="AC946" t="str">
        <f>HYPERLINK("plots/3FT6Y578R04_015_S31P_20251219032831_M5358ACSA301811_RBGEUFRF04/dpll_52094/txpa_55189.png","plot")</f>
        <v>plot</v>
      </c>
    </row>
    <row r="947" spans="1:29" x14ac:dyDescent="0.35">
      <c r="A947" t="s">
        <v>50</v>
      </c>
      <c r="B947">
        <v>52094</v>
      </c>
      <c r="C947" t="s">
        <v>53</v>
      </c>
      <c r="D947">
        <v>55190</v>
      </c>
      <c r="E947" t="s">
        <v>323</v>
      </c>
      <c r="F947">
        <v>11781</v>
      </c>
      <c r="G947">
        <v>0.71683757961900407</v>
      </c>
      <c r="H947">
        <v>0</v>
      </c>
      <c r="I947">
        <v>0</v>
      </c>
      <c r="J947">
        <v>0.6410038803872844</v>
      </c>
      <c r="K947">
        <v>0</v>
      </c>
      <c r="L947">
        <v>0</v>
      </c>
      <c r="M947">
        <v>0.46175118876387927</v>
      </c>
      <c r="N947">
        <v>0</v>
      </c>
      <c r="O947">
        <v>0</v>
      </c>
      <c r="P947">
        <v>0.51385611555403199</v>
      </c>
      <c r="Q947">
        <v>0.91823126202497363</v>
      </c>
      <c r="R947">
        <v>-0.69221016647417866</v>
      </c>
      <c r="S947">
        <v>0.19887442438518199</v>
      </c>
      <c r="T947">
        <v>0.1547432507824672</v>
      </c>
      <c r="U947">
        <v>4.2674026018164843</v>
      </c>
      <c r="V947">
        <v>0.22268124725346999</v>
      </c>
      <c r="W947">
        <v>3.2262523101604281</v>
      </c>
      <c r="X947">
        <v>0.28524297345505439</v>
      </c>
      <c r="Z947" t="s">
        <v>392</v>
      </c>
      <c r="AA947">
        <v>161</v>
      </c>
      <c r="AB947" t="s">
        <v>5394</v>
      </c>
      <c r="AC947" t="str">
        <f>HYPERLINK("plots/3FT6Y578R04_015_S31P_20251219032831_M5358ACSA301811_RBGEUFRF04/dpll_52094/txpa_55190.png","plot")</f>
        <v>plot</v>
      </c>
    </row>
    <row r="948" spans="1:29" x14ac:dyDescent="0.35">
      <c r="A948" t="s">
        <v>50</v>
      </c>
      <c r="B948">
        <v>52094</v>
      </c>
      <c r="C948" t="s">
        <v>53</v>
      </c>
      <c r="D948">
        <v>55191</v>
      </c>
      <c r="E948" t="s">
        <v>324</v>
      </c>
      <c r="F948">
        <v>11781</v>
      </c>
      <c r="G948">
        <v>0.71773730583611306</v>
      </c>
      <c r="H948">
        <v>0</v>
      </c>
      <c r="I948">
        <v>0</v>
      </c>
      <c r="J948">
        <v>0.63679776047821934</v>
      </c>
      <c r="K948">
        <v>0</v>
      </c>
      <c r="L948">
        <v>0</v>
      </c>
      <c r="M948">
        <v>0.45691796879524288</v>
      </c>
      <c r="N948">
        <v>0</v>
      </c>
      <c r="O948">
        <v>0</v>
      </c>
      <c r="P948">
        <v>0.51514684018888213</v>
      </c>
      <c r="Q948">
        <v>0.9154041417280383</v>
      </c>
      <c r="R948">
        <v>-0.6997116072142795</v>
      </c>
      <c r="S948">
        <v>0.19773258178179759</v>
      </c>
      <c r="T948">
        <v>0.1541460789282007</v>
      </c>
      <c r="U948">
        <v>4.2673648416942536</v>
      </c>
      <c r="V948">
        <v>0.2226610238238293</v>
      </c>
      <c r="W948">
        <v>3.206651843137255</v>
      </c>
      <c r="X948">
        <v>0.28398248461154912</v>
      </c>
      <c r="Z948" t="s">
        <v>392</v>
      </c>
      <c r="AA948">
        <v>161</v>
      </c>
      <c r="AB948" t="s">
        <v>5395</v>
      </c>
      <c r="AC948" t="str">
        <f>HYPERLINK("plots/3FT6Y578R04_015_S31P_20251219032831_M5358ACSA301811_RBGEUFRF04/dpll_52094/txpa_55191.png","plot")</f>
        <v>plot</v>
      </c>
    </row>
    <row r="949" spans="1:29" x14ac:dyDescent="0.35">
      <c r="A949" t="s">
        <v>50</v>
      </c>
      <c r="B949">
        <v>52094</v>
      </c>
      <c r="C949" t="s">
        <v>53</v>
      </c>
      <c r="D949">
        <v>55192</v>
      </c>
      <c r="E949" t="s">
        <v>325</v>
      </c>
      <c r="F949">
        <v>11782</v>
      </c>
      <c r="G949">
        <v>0.72172554180447746</v>
      </c>
      <c r="H949">
        <v>0</v>
      </c>
      <c r="I949">
        <v>0</v>
      </c>
      <c r="J949">
        <v>0.65016694604554071</v>
      </c>
      <c r="K949">
        <v>0</v>
      </c>
      <c r="L949">
        <v>0</v>
      </c>
      <c r="M949">
        <v>0.46898959013075181</v>
      </c>
      <c r="N949">
        <v>0</v>
      </c>
      <c r="O949">
        <v>0</v>
      </c>
      <c r="P949">
        <v>0.52088775769296658</v>
      </c>
      <c r="Q949">
        <v>0.92878458615184956</v>
      </c>
      <c r="R949">
        <v>-0.74933692316675549</v>
      </c>
      <c r="S949">
        <v>0.1983409084034963</v>
      </c>
      <c r="T949">
        <v>0.1543164495482707</v>
      </c>
      <c r="U949">
        <v>4.2673938428959426</v>
      </c>
      <c r="V949">
        <v>0.22267382584799689</v>
      </c>
      <c r="W949">
        <v>3.214152701154303</v>
      </c>
      <c r="X949">
        <v>0.28655770816977583</v>
      </c>
      <c r="Z949" t="s">
        <v>392</v>
      </c>
      <c r="AA949">
        <v>161</v>
      </c>
      <c r="AB949" t="s">
        <v>5396</v>
      </c>
      <c r="AC949" t="str">
        <f>HYPERLINK("plots/3FT6Y578R04_015_S31P_20251219032831_M5358ACSA301811_RBGEUFRF04/dpll_52094/txpa_55192.png","plot")</f>
        <v>plot</v>
      </c>
    </row>
    <row r="950" spans="1:29" x14ac:dyDescent="0.35">
      <c r="A950" t="s">
        <v>50</v>
      </c>
      <c r="B950">
        <v>52094</v>
      </c>
      <c r="C950" t="s">
        <v>53</v>
      </c>
      <c r="D950">
        <v>55193</v>
      </c>
      <c r="E950" t="s">
        <v>326</v>
      </c>
      <c r="F950">
        <v>11782</v>
      </c>
      <c r="G950">
        <v>0.71882041328806645</v>
      </c>
      <c r="H950">
        <v>0</v>
      </c>
      <c r="I950">
        <v>0</v>
      </c>
      <c r="J950">
        <v>0.64053232879510758</v>
      </c>
      <c r="K950">
        <v>0</v>
      </c>
      <c r="L950">
        <v>0</v>
      </c>
      <c r="M950">
        <v>0.46021140704071772</v>
      </c>
      <c r="N950">
        <v>0</v>
      </c>
      <c r="O950">
        <v>0</v>
      </c>
      <c r="P950">
        <v>0.51670278655962665</v>
      </c>
      <c r="Q950">
        <v>0.91290522285097964</v>
      </c>
      <c r="R950">
        <v>-0.67557316788193056</v>
      </c>
      <c r="S950">
        <v>0.19659079332046531</v>
      </c>
      <c r="T950">
        <v>0.15399582550771351</v>
      </c>
      <c r="U950">
        <v>4.2673938428959426</v>
      </c>
      <c r="V950">
        <v>0.22267382584799689</v>
      </c>
      <c r="W950">
        <v>3.2201529592598881</v>
      </c>
      <c r="X950">
        <v>0.28279678046285739</v>
      </c>
      <c r="Z950" t="s">
        <v>392</v>
      </c>
      <c r="AA950">
        <v>161</v>
      </c>
      <c r="AB950" t="s">
        <v>5397</v>
      </c>
      <c r="AC950" t="str">
        <f>HYPERLINK("plots/3FT6Y578R04_015_S31P_20251219032831_M5358ACSA301811_RBGEUFRF04/dpll_52094/txpa_55193.png","plot")</f>
        <v>plot</v>
      </c>
    </row>
    <row r="951" spans="1:29" x14ac:dyDescent="0.35">
      <c r="A951" t="s">
        <v>50</v>
      </c>
      <c r="B951">
        <v>52094</v>
      </c>
      <c r="C951" t="s">
        <v>53</v>
      </c>
      <c r="D951">
        <v>55194</v>
      </c>
      <c r="E951" t="s">
        <v>327</v>
      </c>
      <c r="F951">
        <v>11781</v>
      </c>
      <c r="G951">
        <v>0.70872294037516503</v>
      </c>
      <c r="H951">
        <v>0</v>
      </c>
      <c r="I951">
        <v>0</v>
      </c>
      <c r="J951">
        <v>0.63167263402391172</v>
      </c>
      <c r="K951">
        <v>0</v>
      </c>
      <c r="L951">
        <v>0</v>
      </c>
      <c r="M951">
        <v>0.45403606468291591</v>
      </c>
      <c r="N951">
        <v>0</v>
      </c>
      <c r="O951">
        <v>0</v>
      </c>
      <c r="P951">
        <v>0.50228820621401971</v>
      </c>
      <c r="Q951">
        <v>0.90684288211955377</v>
      </c>
      <c r="R951">
        <v>-0.67859912154789814</v>
      </c>
      <c r="S951">
        <v>0.20099432043424659</v>
      </c>
      <c r="T951">
        <v>0.15559157313279551</v>
      </c>
      <c r="U951">
        <v>4.2674179181733303</v>
      </c>
      <c r="V951">
        <v>0.22266794157249609</v>
      </c>
      <c r="W951">
        <v>3.1912784425770311</v>
      </c>
      <c r="X951">
        <v>0.28491364733352792</v>
      </c>
      <c r="Z951" t="s">
        <v>392</v>
      </c>
      <c r="AA951">
        <v>161</v>
      </c>
      <c r="AB951" t="s">
        <v>5398</v>
      </c>
      <c r="AC951" t="str">
        <f>HYPERLINK("plots/3FT6Y578R04_015_S31P_20251219032831_M5358ACSA301811_RBGEUFRF04/dpll_52094/txpa_55194.png","plot")</f>
        <v>plot</v>
      </c>
    </row>
    <row r="952" spans="1:29" x14ac:dyDescent="0.35">
      <c r="A952" t="s">
        <v>50</v>
      </c>
      <c r="B952">
        <v>52094</v>
      </c>
      <c r="C952" t="s">
        <v>53</v>
      </c>
      <c r="D952">
        <v>55195</v>
      </c>
      <c r="E952" t="s">
        <v>328</v>
      </c>
      <c r="F952">
        <v>11782</v>
      </c>
      <c r="G952">
        <v>0.72526354193098985</v>
      </c>
      <c r="H952">
        <v>0</v>
      </c>
      <c r="I952">
        <v>0</v>
      </c>
      <c r="J952">
        <v>0.65917349726280228</v>
      </c>
      <c r="K952">
        <v>0</v>
      </c>
      <c r="L952">
        <v>0</v>
      </c>
      <c r="M952">
        <v>0.47473931793947438</v>
      </c>
      <c r="N952">
        <v>0</v>
      </c>
      <c r="O952">
        <v>0</v>
      </c>
      <c r="P952">
        <v>0.52600720525428468</v>
      </c>
      <c r="Q952">
        <v>0.9873817446707106</v>
      </c>
      <c r="R952">
        <v>1.3733597046351831</v>
      </c>
      <c r="S952">
        <v>0.20870163749592341</v>
      </c>
      <c r="T952">
        <v>0.15840103798423849</v>
      </c>
      <c r="U952">
        <v>4.2673938428959426</v>
      </c>
      <c r="V952">
        <v>0.22267382584799689</v>
      </c>
      <c r="W952">
        <v>5.5869064824308268</v>
      </c>
      <c r="X952">
        <v>0.30315059002265088</v>
      </c>
      <c r="Z952" t="s">
        <v>392</v>
      </c>
      <c r="AA952">
        <v>161</v>
      </c>
      <c r="AB952" t="s">
        <v>5399</v>
      </c>
      <c r="AC952" t="str">
        <f>HYPERLINK("plots/3FT6Y578R04_015_S31P_20251219032831_M5358ACSA301811_RBGEUFRF04/dpll_52094/txpa_55195.png","plot")</f>
        <v>plot</v>
      </c>
    </row>
    <row r="953" spans="1:29" x14ac:dyDescent="0.35">
      <c r="A953" t="s">
        <v>50</v>
      </c>
      <c r="B953">
        <v>52094</v>
      </c>
      <c r="C953" t="s">
        <v>53</v>
      </c>
      <c r="D953">
        <v>55196</v>
      </c>
      <c r="E953" t="s">
        <v>329</v>
      </c>
      <c r="F953">
        <v>11782</v>
      </c>
      <c r="G953">
        <v>0.74615893389673249</v>
      </c>
      <c r="H953">
        <v>0</v>
      </c>
      <c r="I953">
        <v>0</v>
      </c>
      <c r="J953">
        <v>0.67213613196722188</v>
      </c>
      <c r="K953">
        <v>0</v>
      </c>
      <c r="L953">
        <v>0</v>
      </c>
      <c r="M953">
        <v>0.48843039440687058</v>
      </c>
      <c r="N953">
        <v>0</v>
      </c>
      <c r="O953">
        <v>0</v>
      </c>
      <c r="P953">
        <v>0.5567531546339084</v>
      </c>
      <c r="Q953">
        <v>1.0165675698841929</v>
      </c>
      <c r="R953">
        <v>1.281898412135408</v>
      </c>
      <c r="S953">
        <v>0.20196609760945339</v>
      </c>
      <c r="T953">
        <v>0.15580235904392939</v>
      </c>
      <c r="U953">
        <v>4.2673938428959426</v>
      </c>
      <c r="V953">
        <v>0.22267382584799689</v>
      </c>
      <c r="W953">
        <v>5.6199926007469019</v>
      </c>
      <c r="X953">
        <v>0.30337101083405682</v>
      </c>
      <c r="Z953" t="s">
        <v>392</v>
      </c>
      <c r="AA953">
        <v>161</v>
      </c>
      <c r="AB953" t="s">
        <v>5400</v>
      </c>
      <c r="AC953" t="str">
        <f>HYPERLINK("plots/3FT6Y578R04_015_S31P_20251219032831_M5358ACSA301811_RBGEUFRF04/dpll_52094/txpa_55196.png","plot")</f>
        <v>plot</v>
      </c>
    </row>
    <row r="954" spans="1:29" x14ac:dyDescent="0.35">
      <c r="A954" t="s">
        <v>50</v>
      </c>
      <c r="B954">
        <v>52094</v>
      </c>
      <c r="C954" t="s">
        <v>53</v>
      </c>
      <c r="D954">
        <v>55197</v>
      </c>
      <c r="E954" t="s">
        <v>330</v>
      </c>
      <c r="F954">
        <v>11782</v>
      </c>
      <c r="G954">
        <v>0.73719281985596097</v>
      </c>
      <c r="H954">
        <v>0</v>
      </c>
      <c r="I954">
        <v>0</v>
      </c>
      <c r="J954">
        <v>0.66251090790187606</v>
      </c>
      <c r="K954">
        <v>0</v>
      </c>
      <c r="L954">
        <v>0</v>
      </c>
      <c r="M954">
        <v>0.47942749047932892</v>
      </c>
      <c r="N954">
        <v>0</v>
      </c>
      <c r="O954">
        <v>0</v>
      </c>
      <c r="P954">
        <v>0.54345325364718333</v>
      </c>
      <c r="Q954">
        <v>0.99194310864777546</v>
      </c>
      <c r="R954">
        <v>1.400795266098168</v>
      </c>
      <c r="S954">
        <v>0.20244126096598691</v>
      </c>
      <c r="T954">
        <v>0.15539723992078511</v>
      </c>
      <c r="U954">
        <v>4.2673938428959426</v>
      </c>
      <c r="V954">
        <v>0.22267382584799689</v>
      </c>
      <c r="W954">
        <v>5.6338071804447463</v>
      </c>
      <c r="X954">
        <v>0.29962278670770659</v>
      </c>
      <c r="Z954" t="s">
        <v>392</v>
      </c>
      <c r="AA954">
        <v>161</v>
      </c>
      <c r="AB954" t="s">
        <v>5401</v>
      </c>
      <c r="AC954" t="str">
        <f>HYPERLINK("plots/3FT6Y578R04_015_S31P_20251219032831_M5358ACSA301811_RBGEUFRF04/dpll_52094/txpa_55197.png","plot")</f>
        <v>plot</v>
      </c>
    </row>
    <row r="955" spans="1:29" x14ac:dyDescent="0.35">
      <c r="A955" t="s">
        <v>50</v>
      </c>
      <c r="B955">
        <v>52094</v>
      </c>
      <c r="C955" t="s">
        <v>53</v>
      </c>
      <c r="D955">
        <v>55198</v>
      </c>
      <c r="E955" t="s">
        <v>331</v>
      </c>
      <c r="F955">
        <v>11781</v>
      </c>
      <c r="G955">
        <v>0.75226885821370415</v>
      </c>
      <c r="H955">
        <v>0</v>
      </c>
      <c r="I955">
        <v>0</v>
      </c>
      <c r="J955">
        <v>0.67331845580986682</v>
      </c>
      <c r="K955">
        <v>0</v>
      </c>
      <c r="L955">
        <v>0</v>
      </c>
      <c r="M955">
        <v>0.48930833158383241</v>
      </c>
      <c r="N955">
        <v>0</v>
      </c>
      <c r="O955">
        <v>0</v>
      </c>
      <c r="P955">
        <v>0.56590843503815014</v>
      </c>
      <c r="Q955">
        <v>1.0179747322281461</v>
      </c>
      <c r="R955">
        <v>1.296823336970526</v>
      </c>
      <c r="S955">
        <v>0.1985271008334914</v>
      </c>
      <c r="T955">
        <v>0.15393721070213101</v>
      </c>
      <c r="U955">
        <v>4.2674026018164843</v>
      </c>
      <c r="V955">
        <v>0.22268124725346999</v>
      </c>
      <c r="W955">
        <v>5.640931357864357</v>
      </c>
      <c r="X955">
        <v>0.3013335997762181</v>
      </c>
      <c r="Z955" t="s">
        <v>392</v>
      </c>
      <c r="AA955">
        <v>161</v>
      </c>
      <c r="AB955" t="s">
        <v>5402</v>
      </c>
      <c r="AC955" t="str">
        <f>HYPERLINK("plots/3FT6Y578R04_015_S31P_20251219032831_M5358ACSA301811_RBGEUFRF04/dpll_52094/txpa_55198.png","plot")</f>
        <v>plot</v>
      </c>
    </row>
    <row r="956" spans="1:29" x14ac:dyDescent="0.35">
      <c r="A956" t="s">
        <v>50</v>
      </c>
      <c r="B956">
        <v>52094</v>
      </c>
      <c r="C956" t="s">
        <v>53</v>
      </c>
      <c r="D956">
        <v>55199</v>
      </c>
      <c r="E956" t="s">
        <v>332</v>
      </c>
      <c r="F956">
        <v>11781</v>
      </c>
      <c r="G956">
        <v>0.75347148011505038</v>
      </c>
      <c r="H956">
        <v>0</v>
      </c>
      <c r="I956">
        <v>0</v>
      </c>
      <c r="J956">
        <v>0.66945303662965716</v>
      </c>
      <c r="K956">
        <v>0</v>
      </c>
      <c r="L956">
        <v>0</v>
      </c>
      <c r="M956">
        <v>0.48463415499082008</v>
      </c>
      <c r="N956">
        <v>0</v>
      </c>
      <c r="O956">
        <v>0</v>
      </c>
      <c r="P956">
        <v>0.56771927134676481</v>
      </c>
      <c r="Q956">
        <v>1.015291463850114</v>
      </c>
      <c r="R956">
        <v>1.2876533881119789</v>
      </c>
      <c r="S956">
        <v>0.19725709037886599</v>
      </c>
      <c r="T956">
        <v>0.1534198527394047</v>
      </c>
      <c r="U956">
        <v>4.2673648416942536</v>
      </c>
      <c r="V956">
        <v>0.2226610238238293</v>
      </c>
      <c r="W956">
        <v>5.6202724850182486</v>
      </c>
      <c r="X956">
        <v>0.30003237386761061</v>
      </c>
      <c r="Z956" t="s">
        <v>392</v>
      </c>
      <c r="AA956">
        <v>161</v>
      </c>
      <c r="AB956" t="s">
        <v>5403</v>
      </c>
      <c r="AC956" t="str">
        <f>HYPERLINK("plots/3FT6Y578R04_015_S31P_20251219032831_M5358ACSA301811_RBGEUFRF04/dpll_52094/txpa_55199.png","plot")</f>
        <v>plot</v>
      </c>
    </row>
    <row r="957" spans="1:29" x14ac:dyDescent="0.35">
      <c r="A957" t="s">
        <v>50</v>
      </c>
      <c r="B957">
        <v>52094</v>
      </c>
      <c r="C957" t="s">
        <v>53</v>
      </c>
      <c r="D957">
        <v>55200</v>
      </c>
      <c r="E957" t="s">
        <v>333</v>
      </c>
      <c r="F957">
        <v>11781</v>
      </c>
      <c r="G957">
        <v>0.7581347928978136</v>
      </c>
      <c r="H957">
        <v>0</v>
      </c>
      <c r="I957">
        <v>0</v>
      </c>
      <c r="J957">
        <v>0.68116311122529816</v>
      </c>
      <c r="K957">
        <v>0</v>
      </c>
      <c r="L957">
        <v>0</v>
      </c>
      <c r="M957">
        <v>0.49563277665540578</v>
      </c>
      <c r="N957">
        <v>0</v>
      </c>
      <c r="O957">
        <v>0</v>
      </c>
      <c r="P957">
        <v>0.57476836420221067</v>
      </c>
      <c r="Q957">
        <v>1.029746124803891</v>
      </c>
      <c r="R957">
        <v>1.236285757308496</v>
      </c>
      <c r="S957">
        <v>0.1972009244509223</v>
      </c>
      <c r="T957">
        <v>0.15343660198739811</v>
      </c>
      <c r="U957">
        <v>4.2673606822850356</v>
      </c>
      <c r="V957">
        <v>0.2226541824443867</v>
      </c>
      <c r="W957">
        <v>5.6305838830320019</v>
      </c>
      <c r="X957">
        <v>0.30242284576746697</v>
      </c>
      <c r="Z957" t="s">
        <v>392</v>
      </c>
      <c r="AA957">
        <v>161</v>
      </c>
      <c r="AB957" t="s">
        <v>5404</v>
      </c>
      <c r="AC957" t="str">
        <f>HYPERLINK("plots/3FT6Y578R04_015_S31P_20251219032831_M5358ACSA301811_RBGEUFRF04/dpll_52094/txpa_55200.png","plot")</f>
        <v>plot</v>
      </c>
    </row>
    <row r="958" spans="1:29" x14ac:dyDescent="0.35">
      <c r="A958" t="s">
        <v>50</v>
      </c>
      <c r="B958">
        <v>52094</v>
      </c>
      <c r="C958" t="s">
        <v>53</v>
      </c>
      <c r="D958">
        <v>55201</v>
      </c>
      <c r="E958" t="s">
        <v>334</v>
      </c>
      <c r="F958">
        <v>11782</v>
      </c>
      <c r="G958">
        <v>0.75432646844003293</v>
      </c>
      <c r="H958">
        <v>0</v>
      </c>
      <c r="I958">
        <v>0</v>
      </c>
      <c r="J958">
        <v>0.67207588213711011</v>
      </c>
      <c r="K958">
        <v>0</v>
      </c>
      <c r="L958">
        <v>0</v>
      </c>
      <c r="M958">
        <v>0.48728707796785881</v>
      </c>
      <c r="N958">
        <v>0</v>
      </c>
      <c r="O958">
        <v>0</v>
      </c>
      <c r="P958">
        <v>0.569008420989212</v>
      </c>
      <c r="Q958">
        <v>1.013791335970355</v>
      </c>
      <c r="R958">
        <v>1.3102832082072939</v>
      </c>
      <c r="S958">
        <v>0.19646009992536331</v>
      </c>
      <c r="T958">
        <v>0.15342765503114381</v>
      </c>
      <c r="U958">
        <v>4.2673938428959426</v>
      </c>
      <c r="V958">
        <v>0.22267382584799689</v>
      </c>
      <c r="W958">
        <v>5.6365301133084378</v>
      </c>
      <c r="X958">
        <v>0.29926670326034949</v>
      </c>
      <c r="Z958" t="s">
        <v>392</v>
      </c>
      <c r="AA958">
        <v>161</v>
      </c>
      <c r="AB958" t="s">
        <v>5405</v>
      </c>
      <c r="AC958" t="str">
        <f>HYPERLINK("plots/3FT6Y578R04_015_S31P_20251219032831_M5358ACSA301811_RBGEUFRF04/dpll_52094/txpa_55201.png","plot")</f>
        <v>plot</v>
      </c>
    </row>
    <row r="959" spans="1:29" x14ac:dyDescent="0.35">
      <c r="A959" t="s">
        <v>50</v>
      </c>
      <c r="B959">
        <v>52094</v>
      </c>
      <c r="C959" t="s">
        <v>53</v>
      </c>
      <c r="D959">
        <v>55202</v>
      </c>
      <c r="E959" t="s">
        <v>335</v>
      </c>
      <c r="F959">
        <v>11781</v>
      </c>
      <c r="G959">
        <v>0.74589055387016456</v>
      </c>
      <c r="H959">
        <v>0</v>
      </c>
      <c r="I959">
        <v>0</v>
      </c>
      <c r="J959">
        <v>0.66480336688847042</v>
      </c>
      <c r="K959">
        <v>0</v>
      </c>
      <c r="L959">
        <v>0</v>
      </c>
      <c r="M959">
        <v>0.4820980987532637</v>
      </c>
      <c r="N959">
        <v>0</v>
      </c>
      <c r="O959">
        <v>0</v>
      </c>
      <c r="P959">
        <v>0.55635271835274092</v>
      </c>
      <c r="Q959">
        <v>1.0090649553049991</v>
      </c>
      <c r="R959">
        <v>1.303654969127279</v>
      </c>
      <c r="S959">
        <v>0.20063291831985541</v>
      </c>
      <c r="T959">
        <v>0.1547287197241303</v>
      </c>
      <c r="U959">
        <v>4.2674179181733303</v>
      </c>
      <c r="V959">
        <v>0.22266794157249609</v>
      </c>
      <c r="W959">
        <v>5.6097568399966038</v>
      </c>
      <c r="X959">
        <v>0.30123241988370542</v>
      </c>
      <c r="Z959" t="s">
        <v>392</v>
      </c>
      <c r="AA959">
        <v>161</v>
      </c>
      <c r="AB959" t="s">
        <v>5406</v>
      </c>
      <c r="AC959" t="str">
        <f>HYPERLINK("plots/3FT6Y578R04_015_S31P_20251219032831_M5358ACSA301811_RBGEUFRF04/dpll_52094/txpa_55202.png","plot")</f>
        <v>plot</v>
      </c>
    </row>
    <row r="960" spans="1:29" x14ac:dyDescent="0.35">
      <c r="A960" t="s">
        <v>50</v>
      </c>
      <c r="B960">
        <v>52094</v>
      </c>
      <c r="C960" t="s">
        <v>53</v>
      </c>
      <c r="D960">
        <v>55203</v>
      </c>
      <c r="E960" t="s">
        <v>336</v>
      </c>
      <c r="F960">
        <v>11782</v>
      </c>
      <c r="G960">
        <v>0.73847858956630896</v>
      </c>
      <c r="H960">
        <v>0</v>
      </c>
      <c r="I960">
        <v>0</v>
      </c>
      <c r="J960">
        <v>0.66919795369751778</v>
      </c>
      <c r="K960">
        <v>0</v>
      </c>
      <c r="L960">
        <v>0</v>
      </c>
      <c r="M960">
        <v>0.48335282918203498</v>
      </c>
      <c r="N960">
        <v>0</v>
      </c>
      <c r="O960">
        <v>0</v>
      </c>
      <c r="P960">
        <v>0.545350627247845</v>
      </c>
      <c r="Q960">
        <v>1.036430294701417</v>
      </c>
      <c r="R960">
        <v>2.228850434636874</v>
      </c>
      <c r="S960">
        <v>0.21071295046564861</v>
      </c>
      <c r="T960">
        <v>0.15955766404268579</v>
      </c>
      <c r="U960">
        <v>4.2673938428959426</v>
      </c>
      <c r="V960">
        <v>0.22267382584799689</v>
      </c>
      <c r="W960">
        <v>6.6517066928365303</v>
      </c>
      <c r="X960">
        <v>0.31251535549793902</v>
      </c>
      <c r="Z960" t="s">
        <v>392</v>
      </c>
      <c r="AA960">
        <v>161</v>
      </c>
      <c r="AB960" t="s">
        <v>5407</v>
      </c>
      <c r="AC960" t="str">
        <f>HYPERLINK("plots/3FT6Y578R04_015_S31P_20251219032831_M5358ACSA301811_RBGEUFRF04/dpll_52094/txpa_55203.png","plot")</f>
        <v>plot</v>
      </c>
    </row>
    <row r="961" spans="1:29" x14ac:dyDescent="0.35">
      <c r="A961" t="s">
        <v>50</v>
      </c>
      <c r="B961">
        <v>52094</v>
      </c>
      <c r="C961" t="s">
        <v>53</v>
      </c>
      <c r="D961">
        <v>55204</v>
      </c>
      <c r="E961" t="s">
        <v>337</v>
      </c>
      <c r="F961">
        <v>11782</v>
      </c>
      <c r="G961">
        <v>0.75853412137571097</v>
      </c>
      <c r="H961">
        <v>0</v>
      </c>
      <c r="I961">
        <v>0</v>
      </c>
      <c r="J961">
        <v>0.68212485723660488</v>
      </c>
      <c r="K961">
        <v>0</v>
      </c>
      <c r="L961">
        <v>0</v>
      </c>
      <c r="M961">
        <v>0.49716687162204282</v>
      </c>
      <c r="N961">
        <v>0</v>
      </c>
      <c r="O961">
        <v>0</v>
      </c>
      <c r="P961">
        <v>0.57537401329122184</v>
      </c>
      <c r="Q961">
        <v>1.0649166697140879</v>
      </c>
      <c r="R961">
        <v>2.139794523730846</v>
      </c>
      <c r="S961">
        <v>0.20370164119548029</v>
      </c>
      <c r="T961">
        <v>0.1567172769367276</v>
      </c>
      <c r="U961">
        <v>4.2673938428959426</v>
      </c>
      <c r="V961">
        <v>0.22267382584799689</v>
      </c>
      <c r="W961">
        <v>6.6842133632659984</v>
      </c>
      <c r="X961">
        <v>0.31261490073047188</v>
      </c>
      <c r="Z961" t="s">
        <v>392</v>
      </c>
      <c r="AA961">
        <v>161</v>
      </c>
      <c r="AB961" t="s">
        <v>5408</v>
      </c>
      <c r="AC961" t="str">
        <f>HYPERLINK("plots/3FT6Y578R04_015_S31P_20251219032831_M5358ACSA301811_RBGEUFRF04/dpll_52094/txpa_55204.png","plot")</f>
        <v>plot</v>
      </c>
    </row>
    <row r="962" spans="1:29" x14ac:dyDescent="0.35">
      <c r="A962" t="s">
        <v>50</v>
      </c>
      <c r="B962">
        <v>52094</v>
      </c>
      <c r="C962" t="s">
        <v>53</v>
      </c>
      <c r="D962">
        <v>55205</v>
      </c>
      <c r="E962" t="s">
        <v>338</v>
      </c>
      <c r="F962">
        <v>11782</v>
      </c>
      <c r="G962">
        <v>0.7501547130628079</v>
      </c>
      <c r="H962">
        <v>0</v>
      </c>
      <c r="I962">
        <v>0</v>
      </c>
      <c r="J962">
        <v>0.67256077921469504</v>
      </c>
      <c r="K962">
        <v>0</v>
      </c>
      <c r="L962">
        <v>0</v>
      </c>
      <c r="M962">
        <v>0.48808432997200679</v>
      </c>
      <c r="N962">
        <v>0</v>
      </c>
      <c r="O962">
        <v>0</v>
      </c>
      <c r="P962">
        <v>0.5627320935303437</v>
      </c>
      <c r="Q962">
        <v>1.040750495253864</v>
      </c>
      <c r="R962">
        <v>2.2567188719604818</v>
      </c>
      <c r="S962">
        <v>0.20427740178735171</v>
      </c>
      <c r="T962">
        <v>0.15637990594378229</v>
      </c>
      <c r="U962">
        <v>4.2673938428959426</v>
      </c>
      <c r="V962">
        <v>0.22267382584799689</v>
      </c>
      <c r="W962">
        <v>6.6980111273977254</v>
      </c>
      <c r="X962">
        <v>0.30893346465180688</v>
      </c>
      <c r="Z962" t="s">
        <v>392</v>
      </c>
      <c r="AA962">
        <v>161</v>
      </c>
      <c r="AB962" t="s">
        <v>5409</v>
      </c>
      <c r="AC962" t="str">
        <f>HYPERLINK("plots/3FT6Y578R04_015_S31P_20251219032831_M5358ACSA301811_RBGEUFRF04/dpll_52094/txpa_55205.png","plot")</f>
        <v>plot</v>
      </c>
    </row>
    <row r="963" spans="1:29" x14ac:dyDescent="0.35">
      <c r="A963" t="s">
        <v>50</v>
      </c>
      <c r="B963">
        <v>52094</v>
      </c>
      <c r="C963" t="s">
        <v>53</v>
      </c>
      <c r="D963">
        <v>55206</v>
      </c>
      <c r="E963" t="s">
        <v>339</v>
      </c>
      <c r="F963">
        <v>11781</v>
      </c>
      <c r="G963">
        <v>0.76462482143981869</v>
      </c>
      <c r="H963">
        <v>0</v>
      </c>
      <c r="I963">
        <v>0</v>
      </c>
      <c r="J963">
        <v>0.6831716942624404</v>
      </c>
      <c r="K963">
        <v>0</v>
      </c>
      <c r="L963">
        <v>0</v>
      </c>
      <c r="M963">
        <v>0.49786065765396098</v>
      </c>
      <c r="N963">
        <v>0</v>
      </c>
      <c r="O963">
        <v>0</v>
      </c>
      <c r="P963">
        <v>0.5846511175618746</v>
      </c>
      <c r="Q963">
        <v>1.066438417676274</v>
      </c>
      <c r="R963">
        <v>2.1533288434696081</v>
      </c>
      <c r="S963">
        <v>0.200151627231031</v>
      </c>
      <c r="T963">
        <v>0.1548809566346212</v>
      </c>
      <c r="U963">
        <v>4.2674026018164843</v>
      </c>
      <c r="V963">
        <v>0.22268124725346999</v>
      </c>
      <c r="W963">
        <v>6.7042509217383923</v>
      </c>
      <c r="X963">
        <v>0.31057824740765438</v>
      </c>
      <c r="Z963" t="s">
        <v>392</v>
      </c>
      <c r="AA963">
        <v>161</v>
      </c>
      <c r="AB963" t="s">
        <v>5410</v>
      </c>
      <c r="AC963" t="str">
        <f>HYPERLINK("plots/3FT6Y578R04_015_S31P_20251219032831_M5358ACSA301811_RBGEUFRF04/dpll_52094/txpa_55206.png","plot")</f>
        <v>plot</v>
      </c>
    </row>
    <row r="964" spans="1:29" x14ac:dyDescent="0.35">
      <c r="A964" t="s">
        <v>50</v>
      </c>
      <c r="B964">
        <v>52094</v>
      </c>
      <c r="C964" t="s">
        <v>53</v>
      </c>
      <c r="D964">
        <v>55207</v>
      </c>
      <c r="E964" t="s">
        <v>340</v>
      </c>
      <c r="F964">
        <v>11781</v>
      </c>
      <c r="G964">
        <v>0.76599083252916889</v>
      </c>
      <c r="H964">
        <v>0</v>
      </c>
      <c r="I964">
        <v>0</v>
      </c>
      <c r="J964">
        <v>0.67946940586001536</v>
      </c>
      <c r="K964">
        <v>0</v>
      </c>
      <c r="L964">
        <v>0</v>
      </c>
      <c r="M964">
        <v>0.4932601564960985</v>
      </c>
      <c r="N964">
        <v>0</v>
      </c>
      <c r="O964">
        <v>0</v>
      </c>
      <c r="P964">
        <v>0.58674195551872921</v>
      </c>
      <c r="Q964">
        <v>1.0642429504547231</v>
      </c>
      <c r="R964">
        <v>2.1415373137685259</v>
      </c>
      <c r="S964">
        <v>0.19886283991208839</v>
      </c>
      <c r="T964">
        <v>0.15439972769396021</v>
      </c>
      <c r="U964">
        <v>4.2673648416942536</v>
      </c>
      <c r="V964">
        <v>0.2226610238238293</v>
      </c>
      <c r="W964">
        <v>6.6830502635599691</v>
      </c>
      <c r="X964">
        <v>0.30935804305010128</v>
      </c>
      <c r="Z964" t="s">
        <v>392</v>
      </c>
      <c r="AA964">
        <v>161</v>
      </c>
      <c r="AB964" t="s">
        <v>5411</v>
      </c>
      <c r="AC964" t="str">
        <f>HYPERLINK("plots/3FT6Y578R04_015_S31P_20251219032831_M5358ACSA301811_RBGEUFRF04/dpll_52094/txpa_55207.png","plot")</f>
        <v>plot</v>
      </c>
    </row>
    <row r="965" spans="1:29" x14ac:dyDescent="0.35">
      <c r="A965" t="s">
        <v>50</v>
      </c>
      <c r="B965">
        <v>52094</v>
      </c>
      <c r="C965" t="s">
        <v>53</v>
      </c>
      <c r="D965">
        <v>55208</v>
      </c>
      <c r="E965" t="s">
        <v>341</v>
      </c>
      <c r="F965">
        <v>11781</v>
      </c>
      <c r="G965">
        <v>0.77009559476811773</v>
      </c>
      <c r="H965">
        <v>0</v>
      </c>
      <c r="I965">
        <v>0</v>
      </c>
      <c r="J965">
        <v>0.69033782803216037</v>
      </c>
      <c r="K965">
        <v>0</v>
      </c>
      <c r="L965">
        <v>0</v>
      </c>
      <c r="M965">
        <v>0.50373674550344594</v>
      </c>
      <c r="N965">
        <v>0</v>
      </c>
      <c r="O965">
        <v>0</v>
      </c>
      <c r="P965">
        <v>0.59304722508126095</v>
      </c>
      <c r="Q965">
        <v>1.078335890770419</v>
      </c>
      <c r="R965">
        <v>2.092328560829892</v>
      </c>
      <c r="S965">
        <v>0.19888125556746331</v>
      </c>
      <c r="T965">
        <v>0.1545083549105524</v>
      </c>
      <c r="U965">
        <v>4.2673606822850356</v>
      </c>
      <c r="V965">
        <v>0.2226541824443867</v>
      </c>
      <c r="W965">
        <v>6.6939767434003903</v>
      </c>
      <c r="X965">
        <v>0.31177427554591081</v>
      </c>
      <c r="Z965" t="s">
        <v>392</v>
      </c>
      <c r="AA965">
        <v>161</v>
      </c>
      <c r="AB965" t="s">
        <v>5412</v>
      </c>
      <c r="AC965" t="str">
        <f>HYPERLINK("plots/3FT6Y578R04_015_S31P_20251219032831_M5358ACSA301811_RBGEUFRF04/dpll_52094/txpa_55208.png","plot")</f>
        <v>plot</v>
      </c>
    </row>
    <row r="966" spans="1:29" x14ac:dyDescent="0.35">
      <c r="A966" t="s">
        <v>50</v>
      </c>
      <c r="B966">
        <v>52094</v>
      </c>
      <c r="C966" t="s">
        <v>53</v>
      </c>
      <c r="D966">
        <v>55209</v>
      </c>
      <c r="E966" t="s">
        <v>342</v>
      </c>
      <c r="F966">
        <v>11782</v>
      </c>
      <c r="G966">
        <v>0.76671591455548405</v>
      </c>
      <c r="H966">
        <v>0</v>
      </c>
      <c r="I966">
        <v>0</v>
      </c>
      <c r="J966">
        <v>0.68166057187374562</v>
      </c>
      <c r="K966">
        <v>0</v>
      </c>
      <c r="L966">
        <v>0</v>
      </c>
      <c r="M966">
        <v>0.49567751608787619</v>
      </c>
      <c r="N966">
        <v>0</v>
      </c>
      <c r="O966">
        <v>0</v>
      </c>
      <c r="P966">
        <v>0.58785329363265226</v>
      </c>
      <c r="Q966">
        <v>1.0629145649066321</v>
      </c>
      <c r="R966">
        <v>2.163970830294867</v>
      </c>
      <c r="S966">
        <v>0.19817119890013879</v>
      </c>
      <c r="T966">
        <v>0.1544175934154588</v>
      </c>
      <c r="U966">
        <v>4.2673938428959426</v>
      </c>
      <c r="V966">
        <v>0.22267382584799689</v>
      </c>
      <c r="W966">
        <v>6.6998459001018498</v>
      </c>
      <c r="X966">
        <v>0.30869745654691372</v>
      </c>
      <c r="Z966" t="s">
        <v>392</v>
      </c>
      <c r="AA966">
        <v>161</v>
      </c>
      <c r="AB966" t="s">
        <v>5413</v>
      </c>
      <c r="AC966" t="str">
        <f>HYPERLINK("plots/3FT6Y578R04_015_S31P_20251219032831_M5358ACSA301811_RBGEUFRF04/dpll_52094/txpa_55209.png","plot")</f>
        <v>plot</v>
      </c>
    </row>
    <row r="967" spans="1:29" x14ac:dyDescent="0.35">
      <c r="A967" t="s">
        <v>50</v>
      </c>
      <c r="B967">
        <v>52094</v>
      </c>
      <c r="C967" t="s">
        <v>53</v>
      </c>
      <c r="D967">
        <v>55210</v>
      </c>
      <c r="E967" t="s">
        <v>343</v>
      </c>
      <c r="F967">
        <v>11781</v>
      </c>
      <c r="G967">
        <v>0.75867477616801549</v>
      </c>
      <c r="H967">
        <v>0</v>
      </c>
      <c r="I967">
        <v>0</v>
      </c>
      <c r="J967">
        <v>0.67482429944433997</v>
      </c>
      <c r="K967">
        <v>0</v>
      </c>
      <c r="L967">
        <v>0</v>
      </c>
      <c r="M967">
        <v>0.49075968017575589</v>
      </c>
      <c r="N967">
        <v>0</v>
      </c>
      <c r="O967">
        <v>0</v>
      </c>
      <c r="P967">
        <v>0.57558741599358842</v>
      </c>
      <c r="Q967">
        <v>1.057573680816722</v>
      </c>
      <c r="R967">
        <v>2.1612217321129208</v>
      </c>
      <c r="S967">
        <v>0.20220336413601511</v>
      </c>
      <c r="T967">
        <v>0.15553894561247009</v>
      </c>
      <c r="U967">
        <v>4.2674179181733303</v>
      </c>
      <c r="V967">
        <v>0.22266794157249609</v>
      </c>
      <c r="W967">
        <v>6.6743306074187254</v>
      </c>
      <c r="X967">
        <v>0.31039354670275288</v>
      </c>
      <c r="Z967" t="s">
        <v>392</v>
      </c>
      <c r="AA967">
        <v>161</v>
      </c>
      <c r="AB967" t="s">
        <v>5414</v>
      </c>
      <c r="AC967" t="str">
        <f>HYPERLINK("plots/3FT6Y578R04_015_S31P_20251219032831_M5358ACSA301811_RBGEUFRF04/dpll_52094/txpa_55210.png","plot")</f>
        <v>plot</v>
      </c>
    </row>
    <row r="968" spans="1:29" x14ac:dyDescent="0.35">
      <c r="A968" t="s">
        <v>50</v>
      </c>
      <c r="B968">
        <v>52094</v>
      </c>
      <c r="C968" t="s">
        <v>53</v>
      </c>
      <c r="D968">
        <v>55211</v>
      </c>
      <c r="E968" t="s">
        <v>344</v>
      </c>
      <c r="F968">
        <v>11782</v>
      </c>
      <c r="G968">
        <v>0.74956594229395868</v>
      </c>
      <c r="H968">
        <v>0</v>
      </c>
      <c r="I968">
        <v>0</v>
      </c>
      <c r="J968">
        <v>0.67768510166715679</v>
      </c>
      <c r="K968">
        <v>0</v>
      </c>
      <c r="L968">
        <v>0</v>
      </c>
      <c r="M968">
        <v>0.49060254873578529</v>
      </c>
      <c r="N968">
        <v>0</v>
      </c>
      <c r="O968">
        <v>0</v>
      </c>
      <c r="P968">
        <v>0.56184910184703019</v>
      </c>
      <c r="Q968">
        <v>1.0870666164088629</v>
      </c>
      <c r="R968">
        <v>3.046400381251702</v>
      </c>
      <c r="S968">
        <v>0.21375136967765859</v>
      </c>
      <c r="T968">
        <v>0.16151747716195999</v>
      </c>
      <c r="U968">
        <v>4.2673938428959426</v>
      </c>
      <c r="V968">
        <v>0.22267382584799689</v>
      </c>
      <c r="W968">
        <v>7.6853417669326101</v>
      </c>
      <c r="X968">
        <v>0.32293527329509952</v>
      </c>
      <c r="Z968" t="s">
        <v>392</v>
      </c>
      <c r="AA968">
        <v>161</v>
      </c>
      <c r="AB968" t="s">
        <v>5415</v>
      </c>
      <c r="AC968" t="str">
        <f>HYPERLINK("plots/3FT6Y578R04_015_S31P_20251219032831_M5358ACSA301811_RBGEUFRF04/dpll_52094/txpa_55211.png","plot")</f>
        <v>plot</v>
      </c>
    </row>
    <row r="969" spans="1:29" x14ac:dyDescent="0.35">
      <c r="A969" t="s">
        <v>50</v>
      </c>
      <c r="B969">
        <v>52094</v>
      </c>
      <c r="C969" t="s">
        <v>53</v>
      </c>
      <c r="D969">
        <v>55212</v>
      </c>
      <c r="E969" t="s">
        <v>345</v>
      </c>
      <c r="F969">
        <v>11782</v>
      </c>
      <c r="G969">
        <v>0.76857595979953663</v>
      </c>
      <c r="H969">
        <v>0</v>
      </c>
      <c r="I969">
        <v>0</v>
      </c>
      <c r="J969">
        <v>0.6898509702468214</v>
      </c>
      <c r="K969">
        <v>0</v>
      </c>
      <c r="L969">
        <v>0</v>
      </c>
      <c r="M969">
        <v>0.50388365674334035</v>
      </c>
      <c r="N969">
        <v>0</v>
      </c>
      <c r="O969">
        <v>0</v>
      </c>
      <c r="P969">
        <v>0.590709005981779</v>
      </c>
      <c r="Q969">
        <v>1.114681513825557</v>
      </c>
      <c r="R969">
        <v>2.9603425960472309</v>
      </c>
      <c r="S969">
        <v>0.2066002471440945</v>
      </c>
      <c r="T969">
        <v>0.15868953770834349</v>
      </c>
      <c r="U969">
        <v>4.2673938428959426</v>
      </c>
      <c r="V969">
        <v>0.22267382584799689</v>
      </c>
      <c r="W969">
        <v>7.7171276249363423</v>
      </c>
      <c r="X969">
        <v>0.32294842704982968</v>
      </c>
      <c r="Z969" t="s">
        <v>392</v>
      </c>
      <c r="AA969">
        <v>161</v>
      </c>
      <c r="AB969" t="s">
        <v>5416</v>
      </c>
      <c r="AC969" t="str">
        <f>HYPERLINK("plots/3FT6Y578R04_015_S31P_20251219032831_M5358ACSA301811_RBGEUFRF04/dpll_52094/txpa_55212.png","plot")</f>
        <v>plot</v>
      </c>
    </row>
    <row r="970" spans="1:29" x14ac:dyDescent="0.35">
      <c r="A970" t="s">
        <v>50</v>
      </c>
      <c r="B970">
        <v>52094</v>
      </c>
      <c r="C970" t="s">
        <v>53</v>
      </c>
      <c r="D970">
        <v>55213</v>
      </c>
      <c r="E970" t="s">
        <v>346</v>
      </c>
      <c r="F970">
        <v>11782</v>
      </c>
      <c r="G970">
        <v>0.76069206749644858</v>
      </c>
      <c r="H970">
        <v>0</v>
      </c>
      <c r="I970">
        <v>0</v>
      </c>
      <c r="J970">
        <v>0.68060631468367505</v>
      </c>
      <c r="K970">
        <v>0</v>
      </c>
      <c r="L970">
        <v>0</v>
      </c>
      <c r="M970">
        <v>0.49493899560333898</v>
      </c>
      <c r="N970">
        <v>0</v>
      </c>
      <c r="O970">
        <v>0</v>
      </c>
      <c r="P970">
        <v>0.57865242155202146</v>
      </c>
      <c r="Q970">
        <v>1.0904057111755709</v>
      </c>
      <c r="R970">
        <v>3.0777143413853119</v>
      </c>
      <c r="S970">
        <v>0.2071811412273396</v>
      </c>
      <c r="T970">
        <v>0.15826191608013179</v>
      </c>
      <c r="U970">
        <v>4.2673938428959426</v>
      </c>
      <c r="V970">
        <v>0.22267382584799689</v>
      </c>
      <c r="W970">
        <v>7.730904959514513</v>
      </c>
      <c r="X970">
        <v>0.319189356388423</v>
      </c>
      <c r="Z970" t="s">
        <v>392</v>
      </c>
      <c r="AA970">
        <v>161</v>
      </c>
      <c r="AB970" t="s">
        <v>5417</v>
      </c>
      <c r="AC970" t="str">
        <f>HYPERLINK("plots/3FT6Y578R04_015_S31P_20251219032831_M5358ACSA301811_RBGEUFRF04/dpll_52094/txpa_55213.png","plot")</f>
        <v>plot</v>
      </c>
    </row>
    <row r="971" spans="1:29" x14ac:dyDescent="0.35">
      <c r="A971" t="s">
        <v>50</v>
      </c>
      <c r="B971">
        <v>52094</v>
      </c>
      <c r="C971" t="s">
        <v>53</v>
      </c>
      <c r="D971">
        <v>55214</v>
      </c>
      <c r="E971" t="s">
        <v>347</v>
      </c>
      <c r="F971">
        <v>11781</v>
      </c>
      <c r="G971">
        <v>0.77455572979142007</v>
      </c>
      <c r="H971">
        <v>0</v>
      </c>
      <c r="I971">
        <v>0</v>
      </c>
      <c r="J971">
        <v>0.69100491022295496</v>
      </c>
      <c r="K971">
        <v>0</v>
      </c>
      <c r="L971">
        <v>0</v>
      </c>
      <c r="M971">
        <v>0.50466035871042714</v>
      </c>
      <c r="N971">
        <v>0</v>
      </c>
      <c r="O971">
        <v>0</v>
      </c>
      <c r="P971">
        <v>0.59993657855271931</v>
      </c>
      <c r="Q971">
        <v>1.11575973854972</v>
      </c>
      <c r="R971">
        <v>2.9749199940584359</v>
      </c>
      <c r="S971">
        <v>0.20288393050264281</v>
      </c>
      <c r="T971">
        <v>0.15672619552940781</v>
      </c>
      <c r="U971">
        <v>4.2674026018164843</v>
      </c>
      <c r="V971">
        <v>0.22268124725346999</v>
      </c>
      <c r="W971">
        <v>7.736316005347593</v>
      </c>
      <c r="X971">
        <v>0.32077584692629513</v>
      </c>
      <c r="Z971" t="s">
        <v>392</v>
      </c>
      <c r="AA971">
        <v>161</v>
      </c>
      <c r="AB971" t="s">
        <v>5418</v>
      </c>
      <c r="AC971" t="str">
        <f>HYPERLINK("plots/3FT6Y578R04_015_S31P_20251219032831_M5358ACSA301811_RBGEUFRF04/dpll_52094/txpa_55214.png","plot")</f>
        <v>plot</v>
      </c>
    </row>
    <row r="972" spans="1:29" x14ac:dyDescent="0.35">
      <c r="A972" t="s">
        <v>50</v>
      </c>
      <c r="B972">
        <v>52094</v>
      </c>
      <c r="C972" t="s">
        <v>53</v>
      </c>
      <c r="D972">
        <v>55215</v>
      </c>
      <c r="E972" t="s">
        <v>348</v>
      </c>
      <c r="F972">
        <v>11781</v>
      </c>
      <c r="G972">
        <v>0.77617063066110548</v>
      </c>
      <c r="H972">
        <v>0</v>
      </c>
      <c r="I972">
        <v>0</v>
      </c>
      <c r="J972">
        <v>0.68738885848392173</v>
      </c>
      <c r="K972">
        <v>0</v>
      </c>
      <c r="L972">
        <v>0</v>
      </c>
      <c r="M972">
        <v>0.50017396031309325</v>
      </c>
      <c r="N972">
        <v>0</v>
      </c>
      <c r="O972">
        <v>0</v>
      </c>
      <c r="P972">
        <v>0.60244084790085817</v>
      </c>
      <c r="Q972">
        <v>1.114472013894261</v>
      </c>
      <c r="R972">
        <v>2.958724271639753</v>
      </c>
      <c r="S972">
        <v>0.20157590038579351</v>
      </c>
      <c r="T972">
        <v>0.1562203131081974</v>
      </c>
      <c r="U972">
        <v>4.2673648416942536</v>
      </c>
      <c r="V972">
        <v>0.2226610238238293</v>
      </c>
      <c r="W972">
        <v>7.7145829607843126</v>
      </c>
      <c r="X972">
        <v>0.31970995788044559</v>
      </c>
      <c r="Z972" t="s">
        <v>392</v>
      </c>
      <c r="AA972">
        <v>161</v>
      </c>
      <c r="AB972" t="s">
        <v>5419</v>
      </c>
      <c r="AC972" t="str">
        <f>HYPERLINK("plots/3FT6Y578R04_015_S31P_20251219032831_M5358ACSA301811_RBGEUFRF04/dpll_52094/txpa_55215.png","plot")</f>
        <v>plot</v>
      </c>
    </row>
    <row r="973" spans="1:29" x14ac:dyDescent="0.35">
      <c r="A973" t="s">
        <v>50</v>
      </c>
      <c r="B973">
        <v>52094</v>
      </c>
      <c r="C973" t="s">
        <v>53</v>
      </c>
      <c r="D973">
        <v>55216</v>
      </c>
      <c r="E973" t="s">
        <v>349</v>
      </c>
      <c r="F973">
        <v>11781</v>
      </c>
      <c r="G973">
        <v>0.77991528393007536</v>
      </c>
      <c r="H973">
        <v>0</v>
      </c>
      <c r="I973">
        <v>0</v>
      </c>
      <c r="J973">
        <v>0.69778383769325125</v>
      </c>
      <c r="K973">
        <v>0</v>
      </c>
      <c r="L973">
        <v>0</v>
      </c>
      <c r="M973">
        <v>0.51031692528203321</v>
      </c>
      <c r="N973">
        <v>0</v>
      </c>
      <c r="O973">
        <v>0</v>
      </c>
      <c r="P973">
        <v>0.6082678501077301</v>
      </c>
      <c r="Q973">
        <v>1.128159751331856</v>
      </c>
      <c r="R973">
        <v>2.9118863658391421</v>
      </c>
      <c r="S973">
        <v>0.20157199918236671</v>
      </c>
      <c r="T973">
        <v>0.15637513915973311</v>
      </c>
      <c r="U973">
        <v>4.2673606822850356</v>
      </c>
      <c r="V973">
        <v>0.2226541824443867</v>
      </c>
      <c r="W973">
        <v>7.7261509320091672</v>
      </c>
      <c r="X973">
        <v>0.32207278441023329</v>
      </c>
      <c r="Z973" t="s">
        <v>392</v>
      </c>
      <c r="AA973">
        <v>161</v>
      </c>
      <c r="AB973" t="s">
        <v>5420</v>
      </c>
      <c r="AC973" t="str">
        <f>HYPERLINK("plots/3FT6Y578R04_015_S31P_20251219032831_M5358ACSA301811_RBGEUFRF04/dpll_52094/txpa_55216.png","plot")</f>
        <v>plot</v>
      </c>
    </row>
    <row r="974" spans="1:29" x14ac:dyDescent="0.35">
      <c r="A974" t="s">
        <v>50</v>
      </c>
      <c r="B974">
        <v>52094</v>
      </c>
      <c r="C974" t="s">
        <v>53</v>
      </c>
      <c r="D974">
        <v>55217</v>
      </c>
      <c r="E974" t="s">
        <v>350</v>
      </c>
      <c r="F974">
        <v>11782</v>
      </c>
      <c r="G974">
        <v>0.77694603209571578</v>
      </c>
      <c r="H974">
        <v>0</v>
      </c>
      <c r="I974">
        <v>0</v>
      </c>
      <c r="J974">
        <v>0.68937799177933334</v>
      </c>
      <c r="K974">
        <v>0</v>
      </c>
      <c r="L974">
        <v>0</v>
      </c>
      <c r="M974">
        <v>0.50247038424337431</v>
      </c>
      <c r="N974">
        <v>0</v>
      </c>
      <c r="O974">
        <v>0</v>
      </c>
      <c r="P974">
        <v>0.603645136789277</v>
      </c>
      <c r="Q974">
        <v>1.1131886171862</v>
      </c>
      <c r="R974">
        <v>2.9818801252896701</v>
      </c>
      <c r="S974">
        <v>0.20084949272306879</v>
      </c>
      <c r="T974">
        <v>0.15618614753908969</v>
      </c>
      <c r="U974">
        <v>4.2673938428959426</v>
      </c>
      <c r="V974">
        <v>0.22267382584799689</v>
      </c>
      <c r="W974">
        <v>7.7322943762519092</v>
      </c>
      <c r="X974">
        <v>0.31904142377903932</v>
      </c>
      <c r="Z974" t="s">
        <v>392</v>
      </c>
      <c r="AA974">
        <v>161</v>
      </c>
      <c r="AB974" t="s">
        <v>5421</v>
      </c>
      <c r="AC974" t="str">
        <f>HYPERLINK("plots/3FT6Y578R04_015_S31P_20251219032831_M5358ACSA301811_RBGEUFRF04/dpll_52094/txpa_55217.png","plot")</f>
        <v>plot</v>
      </c>
    </row>
    <row r="975" spans="1:29" x14ac:dyDescent="0.35">
      <c r="A975" t="s">
        <v>50</v>
      </c>
      <c r="B975">
        <v>52094</v>
      </c>
      <c r="C975" t="s">
        <v>53</v>
      </c>
      <c r="D975">
        <v>55218</v>
      </c>
      <c r="E975" t="s">
        <v>351</v>
      </c>
      <c r="F975">
        <v>11781</v>
      </c>
      <c r="G975">
        <v>0.76899462396346496</v>
      </c>
      <c r="H975">
        <v>0</v>
      </c>
      <c r="I975">
        <v>0</v>
      </c>
      <c r="J975">
        <v>0.68245980542429607</v>
      </c>
      <c r="K975">
        <v>0</v>
      </c>
      <c r="L975">
        <v>0</v>
      </c>
      <c r="M975">
        <v>0.49733285520080678</v>
      </c>
      <c r="N975">
        <v>0</v>
      </c>
      <c r="O975">
        <v>0</v>
      </c>
      <c r="P975">
        <v>0.59135273168471092</v>
      </c>
      <c r="Q975">
        <v>1.1073012328337331</v>
      </c>
      <c r="R975">
        <v>2.9822629163870049</v>
      </c>
      <c r="S975">
        <v>0.2049538314107755</v>
      </c>
      <c r="T975">
        <v>0.15738020177508011</v>
      </c>
      <c r="U975">
        <v>4.2674179181733303</v>
      </c>
      <c r="V975">
        <v>0.22266794157249609</v>
      </c>
      <c r="W975">
        <v>7.7075800381970971</v>
      </c>
      <c r="X975">
        <v>0.32062706101244298</v>
      </c>
      <c r="Z975" t="s">
        <v>392</v>
      </c>
      <c r="AA975">
        <v>161</v>
      </c>
      <c r="AB975" t="s">
        <v>5422</v>
      </c>
      <c r="AC975" t="str">
        <f>HYPERLINK("plots/3FT6Y578R04_015_S31P_20251219032831_M5358ACSA301811_RBGEUFRF04/dpll_52094/txpa_55218.png","plot")</f>
        <v>plot</v>
      </c>
    </row>
    <row r="976" spans="1:29" x14ac:dyDescent="0.35">
      <c r="A976" t="s">
        <v>50</v>
      </c>
      <c r="B976">
        <v>52094</v>
      </c>
      <c r="C976" t="s">
        <v>53</v>
      </c>
      <c r="D976">
        <v>55219</v>
      </c>
      <c r="E976" t="s">
        <v>352</v>
      </c>
      <c r="F976">
        <v>11782</v>
      </c>
      <c r="G976">
        <v>0.76043964342812109</v>
      </c>
      <c r="H976">
        <v>0</v>
      </c>
      <c r="I976">
        <v>0</v>
      </c>
      <c r="J976">
        <v>0.68587922910873367</v>
      </c>
      <c r="K976">
        <v>0</v>
      </c>
      <c r="L976">
        <v>0</v>
      </c>
      <c r="M976">
        <v>0.49772190952877821</v>
      </c>
      <c r="N976">
        <v>0</v>
      </c>
      <c r="O976">
        <v>0</v>
      </c>
      <c r="P976">
        <v>0.57826845129708793</v>
      </c>
      <c r="Q976">
        <v>1.1385335661446649</v>
      </c>
      <c r="R976">
        <v>3.860042428722434</v>
      </c>
      <c r="S976">
        <v>0.21649599894140009</v>
      </c>
      <c r="T976">
        <v>0.16318926909018749</v>
      </c>
      <c r="U976">
        <v>4.2673938428959426</v>
      </c>
      <c r="V976">
        <v>0.22267382584799689</v>
      </c>
      <c r="W976">
        <v>8.7186135588185358</v>
      </c>
      <c r="X976">
        <v>0.33338822774533522</v>
      </c>
      <c r="Z976" t="s">
        <v>392</v>
      </c>
      <c r="AA976">
        <v>161</v>
      </c>
      <c r="AB976" t="s">
        <v>5423</v>
      </c>
      <c r="AC976" t="str">
        <f>HYPERLINK("plots/3FT6Y578R04_015_S31P_20251219032831_M5358ACSA301811_RBGEUFRF04/dpll_52094/txpa_55219.png","plot")</f>
        <v>plot</v>
      </c>
    </row>
    <row r="977" spans="1:29" x14ac:dyDescent="0.35">
      <c r="A977" t="s">
        <v>50</v>
      </c>
      <c r="B977">
        <v>52094</v>
      </c>
      <c r="C977" t="s">
        <v>53</v>
      </c>
      <c r="D977">
        <v>55220</v>
      </c>
      <c r="E977" t="s">
        <v>353</v>
      </c>
      <c r="F977">
        <v>11782</v>
      </c>
      <c r="G977">
        <v>0.7786132484040279</v>
      </c>
      <c r="H977">
        <v>0</v>
      </c>
      <c r="I977">
        <v>0</v>
      </c>
      <c r="J977">
        <v>0.69756650064563619</v>
      </c>
      <c r="K977">
        <v>0</v>
      </c>
      <c r="L977">
        <v>0</v>
      </c>
      <c r="M977">
        <v>0.51072520817610634</v>
      </c>
      <c r="N977">
        <v>0</v>
      </c>
      <c r="O977">
        <v>0</v>
      </c>
      <c r="P977">
        <v>0.60623859059027241</v>
      </c>
      <c r="Q977">
        <v>1.1659194720286949</v>
      </c>
      <c r="R977">
        <v>3.7732353582285758</v>
      </c>
      <c r="S977">
        <v>0.2092252433109347</v>
      </c>
      <c r="T977">
        <v>0.1603748268310341</v>
      </c>
      <c r="U977">
        <v>4.2673938428959426</v>
      </c>
      <c r="V977">
        <v>0.22267382584799689</v>
      </c>
      <c r="W977">
        <v>8.7486729344763194</v>
      </c>
      <c r="X977">
        <v>0.33343864877648161</v>
      </c>
      <c r="Z977" t="s">
        <v>392</v>
      </c>
      <c r="AA977">
        <v>161</v>
      </c>
      <c r="AB977" t="s">
        <v>5424</v>
      </c>
      <c r="AC977" t="str">
        <f>HYPERLINK("plots/3FT6Y578R04_015_S31P_20251219032831_M5358ACSA301811_RBGEUFRF04/dpll_52094/txpa_55220.png","plot")</f>
        <v>plot</v>
      </c>
    </row>
    <row r="978" spans="1:29" x14ac:dyDescent="0.35">
      <c r="A978" t="s">
        <v>50</v>
      </c>
      <c r="B978">
        <v>52094</v>
      </c>
      <c r="C978" t="s">
        <v>53</v>
      </c>
      <c r="D978">
        <v>55221</v>
      </c>
      <c r="E978" t="s">
        <v>354</v>
      </c>
      <c r="F978">
        <v>11782</v>
      </c>
      <c r="G978">
        <v>0.77141614963111527</v>
      </c>
      <c r="H978">
        <v>0</v>
      </c>
      <c r="I978">
        <v>0</v>
      </c>
      <c r="J978">
        <v>0.68893235286731713</v>
      </c>
      <c r="K978">
        <v>0</v>
      </c>
      <c r="L978">
        <v>0</v>
      </c>
      <c r="M978">
        <v>0.50222135457836092</v>
      </c>
      <c r="N978">
        <v>0</v>
      </c>
      <c r="O978">
        <v>0</v>
      </c>
      <c r="P978">
        <v>0.59508287591169517</v>
      </c>
      <c r="Q978">
        <v>1.1414627690250161</v>
      </c>
      <c r="R978">
        <v>3.8912937280395989</v>
      </c>
      <c r="S978">
        <v>0.2096557779386711</v>
      </c>
      <c r="T978">
        <v>0.15967093842482649</v>
      </c>
      <c r="U978">
        <v>4.2673938428959426</v>
      </c>
      <c r="V978">
        <v>0.22267382584799689</v>
      </c>
      <c r="W978">
        <v>8.7623649204719065</v>
      </c>
      <c r="X978">
        <v>0.32948996720303608</v>
      </c>
      <c r="Z978" t="s">
        <v>392</v>
      </c>
      <c r="AA978">
        <v>161</v>
      </c>
      <c r="AB978" t="s">
        <v>5425</v>
      </c>
      <c r="AC978" t="str">
        <f>HYPERLINK("plots/3FT6Y578R04_015_S31P_20251219032831_M5358ACSA301811_RBGEUFRF04/dpll_52094/txpa_55221.png","plot")</f>
        <v>plot</v>
      </c>
    </row>
    <row r="979" spans="1:29" x14ac:dyDescent="0.35">
      <c r="A979" t="s">
        <v>50</v>
      </c>
      <c r="B979">
        <v>52094</v>
      </c>
      <c r="C979" t="s">
        <v>53</v>
      </c>
      <c r="D979">
        <v>55222</v>
      </c>
      <c r="E979" t="s">
        <v>355</v>
      </c>
      <c r="F979">
        <v>11781</v>
      </c>
      <c r="G979">
        <v>0.78444047722008881</v>
      </c>
      <c r="H979">
        <v>0</v>
      </c>
      <c r="I979">
        <v>0</v>
      </c>
      <c r="J979">
        <v>0.69863366799394044</v>
      </c>
      <c r="K979">
        <v>0</v>
      </c>
      <c r="L979">
        <v>0</v>
      </c>
      <c r="M979">
        <v>0.51141416089939284</v>
      </c>
      <c r="N979">
        <v>0</v>
      </c>
      <c r="O979">
        <v>0</v>
      </c>
      <c r="P979">
        <v>0.61534686230128066</v>
      </c>
      <c r="Q979">
        <v>1.1668927360189669</v>
      </c>
      <c r="R979">
        <v>3.787719678776448</v>
      </c>
      <c r="S979">
        <v>0.2054332766677906</v>
      </c>
      <c r="T979">
        <v>0.15835001057398351</v>
      </c>
      <c r="U979">
        <v>4.2674026018164843</v>
      </c>
      <c r="V979">
        <v>0.22268124725346999</v>
      </c>
      <c r="W979">
        <v>8.7673207765045422</v>
      </c>
      <c r="X979">
        <v>0.33124900794074319</v>
      </c>
      <c r="Z979" t="s">
        <v>392</v>
      </c>
      <c r="AA979">
        <v>161</v>
      </c>
      <c r="AB979" t="s">
        <v>5426</v>
      </c>
      <c r="AC979" t="str">
        <f>HYPERLINK("plots/3FT6Y578R04_015_S31P_20251219032831_M5358ACSA301811_RBGEUFRF04/dpll_52094/txpa_55222.png","plot")</f>
        <v>plot</v>
      </c>
    </row>
    <row r="980" spans="1:29" x14ac:dyDescent="0.35">
      <c r="A980" t="s">
        <v>50</v>
      </c>
      <c r="B980">
        <v>52094</v>
      </c>
      <c r="C980" t="s">
        <v>53</v>
      </c>
      <c r="D980">
        <v>55223</v>
      </c>
      <c r="E980" t="s">
        <v>356</v>
      </c>
      <c r="F980">
        <v>11781</v>
      </c>
      <c r="G980">
        <v>0.78625865650065174</v>
      </c>
      <c r="H980">
        <v>0</v>
      </c>
      <c r="I980">
        <v>0</v>
      </c>
      <c r="J980">
        <v>0.69530998959039803</v>
      </c>
      <c r="K980">
        <v>0</v>
      </c>
      <c r="L980">
        <v>0</v>
      </c>
      <c r="M980">
        <v>0.50718553650514075</v>
      </c>
      <c r="N980">
        <v>0</v>
      </c>
      <c r="O980">
        <v>0</v>
      </c>
      <c r="P980">
        <v>0.61820267492220982</v>
      </c>
      <c r="Q980">
        <v>1.166050915198015</v>
      </c>
      <c r="R980">
        <v>3.7690553530290258</v>
      </c>
      <c r="S980">
        <v>0.2040301194310763</v>
      </c>
      <c r="T980">
        <v>0.15777332612878769</v>
      </c>
      <c r="U980">
        <v>4.2673648416942536</v>
      </c>
      <c r="V980">
        <v>0.2226610238238293</v>
      </c>
      <c r="W980">
        <v>8.7450200321704443</v>
      </c>
      <c r="X980">
        <v>0.33021460363214211</v>
      </c>
      <c r="Z980" t="s">
        <v>392</v>
      </c>
      <c r="AA980">
        <v>161</v>
      </c>
      <c r="AB980" t="s">
        <v>5427</v>
      </c>
      <c r="AC980" t="str">
        <f>HYPERLINK("plots/3FT6Y578R04_015_S31P_20251219032831_M5358ACSA301811_RBGEUFRF04/dpll_52094/txpa_55223.png","plot")</f>
        <v>plot</v>
      </c>
    </row>
    <row r="981" spans="1:29" x14ac:dyDescent="0.35">
      <c r="A981" t="s">
        <v>50</v>
      </c>
      <c r="B981">
        <v>52094</v>
      </c>
      <c r="C981" t="s">
        <v>53</v>
      </c>
      <c r="D981">
        <v>55224</v>
      </c>
      <c r="E981" t="s">
        <v>357</v>
      </c>
      <c r="F981">
        <v>11781</v>
      </c>
      <c r="G981">
        <v>0.78950117136298636</v>
      </c>
      <c r="H981">
        <v>0</v>
      </c>
      <c r="I981">
        <v>0</v>
      </c>
      <c r="J981">
        <v>0.70491229793417598</v>
      </c>
      <c r="K981">
        <v>0</v>
      </c>
      <c r="L981">
        <v>0</v>
      </c>
      <c r="M981">
        <v>0.51673993406864005</v>
      </c>
      <c r="N981">
        <v>0</v>
      </c>
      <c r="O981">
        <v>0</v>
      </c>
      <c r="P981">
        <v>0.62331209958352751</v>
      </c>
      <c r="Q981">
        <v>1.179139542732192</v>
      </c>
      <c r="R981">
        <v>3.7256123772574221</v>
      </c>
      <c r="S981">
        <v>0.2040871613379141</v>
      </c>
      <c r="T981">
        <v>0.15807017595671269</v>
      </c>
      <c r="U981">
        <v>4.2673606822850356</v>
      </c>
      <c r="V981">
        <v>0.2226541824443867</v>
      </c>
      <c r="W981">
        <v>8.7574261008403358</v>
      </c>
      <c r="X981">
        <v>0.332539533059384</v>
      </c>
      <c r="Z981" t="s">
        <v>392</v>
      </c>
      <c r="AA981">
        <v>161</v>
      </c>
      <c r="AB981" t="s">
        <v>5428</v>
      </c>
      <c r="AC981" t="str">
        <f>HYPERLINK("plots/3FT6Y578R04_015_S31P_20251219032831_M5358ACSA301811_RBGEUFRF04/dpll_52094/txpa_55224.png","plot")</f>
        <v>plot</v>
      </c>
    </row>
    <row r="982" spans="1:29" x14ac:dyDescent="0.35">
      <c r="A982" t="s">
        <v>50</v>
      </c>
      <c r="B982">
        <v>52094</v>
      </c>
      <c r="C982" t="s">
        <v>53</v>
      </c>
      <c r="D982">
        <v>55225</v>
      </c>
      <c r="E982" t="s">
        <v>358</v>
      </c>
      <c r="F982">
        <v>11782</v>
      </c>
      <c r="G982">
        <v>0.78694342842845633</v>
      </c>
      <c r="H982">
        <v>0</v>
      </c>
      <c r="I982">
        <v>0</v>
      </c>
      <c r="J982">
        <v>0.6967954500750394</v>
      </c>
      <c r="K982">
        <v>0</v>
      </c>
      <c r="L982">
        <v>0</v>
      </c>
      <c r="M982">
        <v>0.50909627839504101</v>
      </c>
      <c r="N982">
        <v>0</v>
      </c>
      <c r="O982">
        <v>0</v>
      </c>
      <c r="P982">
        <v>0.61927995954673298</v>
      </c>
      <c r="Q982">
        <v>1.1644374300052169</v>
      </c>
      <c r="R982">
        <v>3.7946513985819599</v>
      </c>
      <c r="S982">
        <v>0.2032947918758109</v>
      </c>
      <c r="T982">
        <v>0.157697498718154</v>
      </c>
      <c r="U982">
        <v>4.2673938428959426</v>
      </c>
      <c r="V982">
        <v>0.22267382584799689</v>
      </c>
      <c r="W982">
        <v>8.7637645178237982</v>
      </c>
      <c r="X982">
        <v>0.32948967884219832</v>
      </c>
      <c r="Z982" t="s">
        <v>392</v>
      </c>
      <c r="AA982">
        <v>161</v>
      </c>
      <c r="AB982" t="s">
        <v>5429</v>
      </c>
      <c r="AC982" t="str">
        <f>HYPERLINK("plots/3FT6Y578R04_015_S31P_20251219032831_M5358ACSA301811_RBGEUFRF04/dpll_52094/txpa_55225.png","plot")</f>
        <v>plot</v>
      </c>
    </row>
    <row r="983" spans="1:29" x14ac:dyDescent="0.35">
      <c r="A983" t="s">
        <v>50</v>
      </c>
      <c r="B983">
        <v>52094</v>
      </c>
      <c r="C983" t="s">
        <v>53</v>
      </c>
      <c r="D983">
        <v>55226</v>
      </c>
      <c r="E983" t="s">
        <v>359</v>
      </c>
      <c r="F983">
        <v>11781</v>
      </c>
      <c r="G983">
        <v>0.77925303428362847</v>
      </c>
      <c r="H983">
        <v>0</v>
      </c>
      <c r="I983">
        <v>0</v>
      </c>
      <c r="J983">
        <v>0.69000194996372766</v>
      </c>
      <c r="K983">
        <v>0</v>
      </c>
      <c r="L983">
        <v>0</v>
      </c>
      <c r="M983">
        <v>0.50396106564281684</v>
      </c>
      <c r="N983">
        <v>0</v>
      </c>
      <c r="O983">
        <v>0</v>
      </c>
      <c r="P983">
        <v>0.6072352914402418</v>
      </c>
      <c r="Q983">
        <v>1.1579795265179069</v>
      </c>
      <c r="R983">
        <v>3.7991516081835082</v>
      </c>
      <c r="S983">
        <v>0.20736137761322751</v>
      </c>
      <c r="T983">
        <v>0.1589393269650822</v>
      </c>
      <c r="U983">
        <v>4.2674179181733303</v>
      </c>
      <c r="V983">
        <v>0.22266794157249609</v>
      </c>
      <c r="W983">
        <v>8.7407341885238949</v>
      </c>
      <c r="X983">
        <v>0.33088728077892449</v>
      </c>
      <c r="Z983" t="s">
        <v>392</v>
      </c>
      <c r="AA983">
        <v>161</v>
      </c>
      <c r="AB983" t="s">
        <v>5430</v>
      </c>
      <c r="AC983" t="str">
        <f>HYPERLINK("plots/3FT6Y578R04_015_S31P_20251219032831_M5358ACSA301811_RBGEUFRF04/dpll_52094/txpa_55226.png","plot")</f>
        <v>plot</v>
      </c>
    </row>
    <row r="984" spans="1:29" x14ac:dyDescent="0.35">
      <c r="A984" t="s">
        <v>50</v>
      </c>
      <c r="B984">
        <v>52094</v>
      </c>
      <c r="C984" t="s">
        <v>53</v>
      </c>
      <c r="D984">
        <v>55227</v>
      </c>
      <c r="E984" t="s">
        <v>360</v>
      </c>
      <c r="F984">
        <v>11782</v>
      </c>
      <c r="G984">
        <v>0.76352604572351013</v>
      </c>
      <c r="H984">
        <v>0</v>
      </c>
      <c r="I984">
        <v>0</v>
      </c>
      <c r="J984">
        <v>0.68795111468508208</v>
      </c>
      <c r="K984">
        <v>0</v>
      </c>
      <c r="L984">
        <v>0</v>
      </c>
      <c r="M984">
        <v>0.49957590080266279</v>
      </c>
      <c r="N984">
        <v>0</v>
      </c>
      <c r="O984">
        <v>0</v>
      </c>
      <c r="P984">
        <v>0.5829720224981797</v>
      </c>
      <c r="Q984">
        <v>1.1582804664701261</v>
      </c>
      <c r="R984">
        <v>4.2835047598382694</v>
      </c>
      <c r="S984">
        <v>0.2181339238083925</v>
      </c>
      <c r="T984">
        <v>0.1642287993049355</v>
      </c>
      <c r="U984">
        <v>4.2673938428959426</v>
      </c>
      <c r="V984">
        <v>0.22267382584799689</v>
      </c>
      <c r="W984">
        <v>9.2263436907995242</v>
      </c>
      <c r="X984">
        <v>0.33779953456532558</v>
      </c>
      <c r="Z984" t="s">
        <v>392</v>
      </c>
      <c r="AA984">
        <v>161</v>
      </c>
      <c r="AB984" t="s">
        <v>5431</v>
      </c>
      <c r="AC984" t="str">
        <f>HYPERLINK("plots/3FT6Y578R04_015_S31P_20251219032831_M5358ACSA301811_RBGEUFRF04/dpll_52094/txpa_55227.png","plot")</f>
        <v>plot</v>
      </c>
    </row>
    <row r="985" spans="1:29" x14ac:dyDescent="0.35">
      <c r="A985" t="s">
        <v>50</v>
      </c>
      <c r="B985">
        <v>52094</v>
      </c>
      <c r="C985" t="s">
        <v>53</v>
      </c>
      <c r="D985">
        <v>55228</v>
      </c>
      <c r="E985" t="s">
        <v>361</v>
      </c>
      <c r="F985">
        <v>11782</v>
      </c>
      <c r="G985">
        <v>0.78133509797439782</v>
      </c>
      <c r="H985">
        <v>0</v>
      </c>
      <c r="I985">
        <v>0</v>
      </c>
      <c r="J985">
        <v>0.69957295778005824</v>
      </c>
      <c r="K985">
        <v>0</v>
      </c>
      <c r="L985">
        <v>0</v>
      </c>
      <c r="M985">
        <v>0.5125415701215944</v>
      </c>
      <c r="N985">
        <v>0</v>
      </c>
      <c r="O985">
        <v>0</v>
      </c>
      <c r="P985">
        <v>0.6104845353266618</v>
      </c>
      <c r="Q985">
        <v>1.1855503741383531</v>
      </c>
      <c r="R985">
        <v>4.1966472810662934</v>
      </c>
      <c r="S985">
        <v>0.21086076152056821</v>
      </c>
      <c r="T985">
        <v>0.16138115736969871</v>
      </c>
      <c r="U985">
        <v>4.2673938428959426</v>
      </c>
      <c r="V985">
        <v>0.22267382584799689</v>
      </c>
      <c r="W985">
        <v>9.2558576481072823</v>
      </c>
      <c r="X985">
        <v>0.33787172524222281</v>
      </c>
      <c r="Z985" t="s">
        <v>392</v>
      </c>
      <c r="AA985">
        <v>161</v>
      </c>
      <c r="AB985" t="s">
        <v>5432</v>
      </c>
      <c r="AC985" t="str">
        <f>HYPERLINK("plots/3FT6Y578R04_015_S31P_20251219032831_M5358ACSA301811_RBGEUFRF04/dpll_52094/txpa_55228.png","plot")</f>
        <v>plot</v>
      </c>
    </row>
    <row r="986" spans="1:29" x14ac:dyDescent="0.35">
      <c r="A986" t="s">
        <v>50</v>
      </c>
      <c r="B986">
        <v>52094</v>
      </c>
      <c r="C986" t="s">
        <v>53</v>
      </c>
      <c r="D986">
        <v>55229</v>
      </c>
      <c r="E986" t="s">
        <v>362</v>
      </c>
      <c r="F986">
        <v>11782</v>
      </c>
      <c r="G986">
        <v>0.77437199614917052</v>
      </c>
      <c r="H986">
        <v>0</v>
      </c>
      <c r="I986">
        <v>0</v>
      </c>
      <c r="J986">
        <v>0.69097074589892427</v>
      </c>
      <c r="K986">
        <v>0</v>
      </c>
      <c r="L986">
        <v>0</v>
      </c>
      <c r="M986">
        <v>0.50402551077792057</v>
      </c>
      <c r="N986">
        <v>0</v>
      </c>
      <c r="O986">
        <v>0</v>
      </c>
      <c r="P986">
        <v>0.59965198842005096</v>
      </c>
      <c r="Q986">
        <v>1.161392475797685</v>
      </c>
      <c r="R986">
        <v>4.3134200556808366</v>
      </c>
      <c r="S986">
        <v>0.21129973223603041</v>
      </c>
      <c r="T986">
        <v>0.16070251711543521</v>
      </c>
      <c r="U986">
        <v>4.2673938428959426</v>
      </c>
      <c r="V986">
        <v>0.22267382584799689</v>
      </c>
      <c r="W986">
        <v>9.2695391560855533</v>
      </c>
      <c r="X986">
        <v>0.33396314327349469</v>
      </c>
      <c r="Z986" t="s">
        <v>392</v>
      </c>
      <c r="AA986">
        <v>161</v>
      </c>
      <c r="AB986" t="s">
        <v>5433</v>
      </c>
      <c r="AC986" t="str">
        <f>HYPERLINK("plots/3FT6Y578R04_015_S31P_20251219032831_M5358ACSA301811_RBGEUFRF04/dpll_52094/txpa_55229.png","plot")</f>
        <v>plot</v>
      </c>
    </row>
    <row r="987" spans="1:29" x14ac:dyDescent="0.35">
      <c r="A987" t="s">
        <v>50</v>
      </c>
      <c r="B987">
        <v>52094</v>
      </c>
      <c r="C987" t="s">
        <v>53</v>
      </c>
      <c r="D987">
        <v>55230</v>
      </c>
      <c r="E987" t="s">
        <v>363</v>
      </c>
      <c r="F987">
        <v>11781</v>
      </c>
      <c r="G987">
        <v>0.78718622176304354</v>
      </c>
      <c r="H987">
        <v>0</v>
      </c>
      <c r="I987">
        <v>0</v>
      </c>
      <c r="J987">
        <v>0.7006467988673879</v>
      </c>
      <c r="K987">
        <v>0</v>
      </c>
      <c r="L987">
        <v>0</v>
      </c>
      <c r="M987">
        <v>0.51326018555934561</v>
      </c>
      <c r="N987">
        <v>0</v>
      </c>
      <c r="O987">
        <v>0</v>
      </c>
      <c r="P987">
        <v>0.61966214773357553</v>
      </c>
      <c r="Q987">
        <v>1.186567134137388</v>
      </c>
      <c r="R987">
        <v>4.2107594815846916</v>
      </c>
      <c r="S987">
        <v>0.20699736555476289</v>
      </c>
      <c r="T987">
        <v>0.1593504393643769</v>
      </c>
      <c r="U987">
        <v>4.2674026018164843</v>
      </c>
      <c r="V987">
        <v>0.22268124725346999</v>
      </c>
      <c r="W987">
        <v>9.2743191570325099</v>
      </c>
      <c r="X987">
        <v>0.33565913893653671</v>
      </c>
      <c r="Z987" t="s">
        <v>392</v>
      </c>
      <c r="AA987">
        <v>161</v>
      </c>
      <c r="AB987" t="s">
        <v>5434</v>
      </c>
      <c r="AC987" t="str">
        <f>HYPERLINK("plots/3FT6Y578R04_015_S31P_20251219032831_M5358ACSA301811_RBGEUFRF04/dpll_52094/txpa_55230.png","plot")</f>
        <v>plot</v>
      </c>
    </row>
    <row r="988" spans="1:29" x14ac:dyDescent="0.35">
      <c r="A988" t="s">
        <v>50</v>
      </c>
      <c r="B988">
        <v>52094</v>
      </c>
      <c r="C988" t="s">
        <v>53</v>
      </c>
      <c r="D988">
        <v>55231</v>
      </c>
      <c r="E988" t="s">
        <v>364</v>
      </c>
      <c r="F988">
        <v>11781</v>
      </c>
      <c r="G988">
        <v>0.78905063279419285</v>
      </c>
      <c r="H988">
        <v>0</v>
      </c>
      <c r="I988">
        <v>0</v>
      </c>
      <c r="J988">
        <v>0.69734727317063505</v>
      </c>
      <c r="K988">
        <v>0</v>
      </c>
      <c r="L988">
        <v>0</v>
      </c>
      <c r="M988">
        <v>0.50905647550383404</v>
      </c>
      <c r="N988">
        <v>0</v>
      </c>
      <c r="O988">
        <v>0</v>
      </c>
      <c r="P988">
        <v>0.62260090111291622</v>
      </c>
      <c r="Q988">
        <v>1.1860226141843571</v>
      </c>
      <c r="R988">
        <v>4.1904105068541382</v>
      </c>
      <c r="S988">
        <v>0.2055958271416658</v>
      </c>
      <c r="T988">
        <v>0.1587933652316072</v>
      </c>
      <c r="U988">
        <v>4.2673648416942536</v>
      </c>
      <c r="V988">
        <v>0.2226610238238293</v>
      </c>
      <c r="W988">
        <v>9.2516017120787719</v>
      </c>
      <c r="X988">
        <v>0.33468195648907528</v>
      </c>
      <c r="Z988" t="s">
        <v>392</v>
      </c>
      <c r="AA988">
        <v>161</v>
      </c>
      <c r="AB988" t="s">
        <v>5435</v>
      </c>
      <c r="AC988" t="str">
        <f>HYPERLINK("plots/3FT6Y578R04_015_S31P_20251219032831_M5358ACSA301811_RBGEUFRF04/dpll_52094/txpa_55231.png","plot")</f>
        <v>plot</v>
      </c>
    </row>
    <row r="989" spans="1:29" x14ac:dyDescent="0.35">
      <c r="A989" t="s">
        <v>50</v>
      </c>
      <c r="B989">
        <v>52094</v>
      </c>
      <c r="C989" t="s">
        <v>53</v>
      </c>
      <c r="D989">
        <v>55232</v>
      </c>
      <c r="E989" t="s">
        <v>365</v>
      </c>
      <c r="F989">
        <v>11781</v>
      </c>
      <c r="G989">
        <v>0.79216686657807533</v>
      </c>
      <c r="H989">
        <v>0</v>
      </c>
      <c r="I989">
        <v>0</v>
      </c>
      <c r="J989">
        <v>0.70658934205326385</v>
      </c>
      <c r="K989">
        <v>0</v>
      </c>
      <c r="L989">
        <v>0</v>
      </c>
      <c r="M989">
        <v>0.51832342861248148</v>
      </c>
      <c r="N989">
        <v>0</v>
      </c>
      <c r="O989">
        <v>0</v>
      </c>
      <c r="P989">
        <v>0.6275283445041262</v>
      </c>
      <c r="Q989">
        <v>1.198814829268573</v>
      </c>
      <c r="R989">
        <v>4.1485080529248961</v>
      </c>
      <c r="S989">
        <v>0.20563378639198271</v>
      </c>
      <c r="T989">
        <v>0.1590633002817223</v>
      </c>
      <c r="U989">
        <v>4.2673606822850356</v>
      </c>
      <c r="V989">
        <v>0.2226541824443867</v>
      </c>
      <c r="W989">
        <v>9.2642833206858501</v>
      </c>
      <c r="X989">
        <v>0.33695064382839041</v>
      </c>
      <c r="Z989" t="s">
        <v>392</v>
      </c>
      <c r="AA989">
        <v>161</v>
      </c>
      <c r="AB989" t="s">
        <v>5436</v>
      </c>
      <c r="AC989" t="str">
        <f>HYPERLINK("plots/3FT6Y578R04_015_S31P_20251219032831_M5358ACSA301811_RBGEUFRF04/dpll_52094/txpa_55232.png","plot")</f>
        <v>plot</v>
      </c>
    </row>
    <row r="990" spans="1:29" x14ac:dyDescent="0.35">
      <c r="A990" t="s">
        <v>50</v>
      </c>
      <c r="B990">
        <v>52094</v>
      </c>
      <c r="C990" t="s">
        <v>53</v>
      </c>
      <c r="D990">
        <v>55233</v>
      </c>
      <c r="E990" t="s">
        <v>366</v>
      </c>
      <c r="F990">
        <v>11782</v>
      </c>
      <c r="G990">
        <v>0.78972323798080901</v>
      </c>
      <c r="H990">
        <v>0</v>
      </c>
      <c r="I990">
        <v>0</v>
      </c>
      <c r="J990">
        <v>0.69879887847479905</v>
      </c>
      <c r="K990">
        <v>0</v>
      </c>
      <c r="L990">
        <v>0</v>
      </c>
      <c r="M990">
        <v>0.51094821084967768</v>
      </c>
      <c r="N990">
        <v>0</v>
      </c>
      <c r="O990">
        <v>0</v>
      </c>
      <c r="P990">
        <v>0.6236627926068935</v>
      </c>
      <c r="Q990">
        <v>1.184304074743382</v>
      </c>
      <c r="R990">
        <v>4.2168691412932997</v>
      </c>
      <c r="S990">
        <v>0.20484606450746759</v>
      </c>
      <c r="T990">
        <v>0.15865363925181949</v>
      </c>
      <c r="U990">
        <v>4.2673938428959426</v>
      </c>
      <c r="V990">
        <v>0.22267382584799689</v>
      </c>
      <c r="W990">
        <v>9.2707610579697857</v>
      </c>
      <c r="X990">
        <v>0.33393156818425718</v>
      </c>
      <c r="Z990" t="s">
        <v>392</v>
      </c>
      <c r="AA990">
        <v>161</v>
      </c>
      <c r="AB990" t="s">
        <v>5437</v>
      </c>
      <c r="AC990" t="str">
        <f>HYPERLINK("plots/3FT6Y578R04_015_S31P_20251219032831_M5358ACSA301811_RBGEUFRF04/dpll_52094/txpa_55233.png","plot")</f>
        <v>plot</v>
      </c>
    </row>
    <row r="991" spans="1:29" x14ac:dyDescent="0.35">
      <c r="A991" t="s">
        <v>50</v>
      </c>
      <c r="B991">
        <v>52094</v>
      </c>
      <c r="C991" t="s">
        <v>53</v>
      </c>
      <c r="D991">
        <v>55234</v>
      </c>
      <c r="E991" t="s">
        <v>367</v>
      </c>
      <c r="F991">
        <v>11781</v>
      </c>
      <c r="G991">
        <v>0.78200701296117758</v>
      </c>
      <c r="H991">
        <v>0</v>
      </c>
      <c r="I991">
        <v>0</v>
      </c>
      <c r="J991">
        <v>0.6916354632447026</v>
      </c>
      <c r="K991">
        <v>0</v>
      </c>
      <c r="L991">
        <v>0</v>
      </c>
      <c r="M991">
        <v>0.50546602600629043</v>
      </c>
      <c r="N991">
        <v>0</v>
      </c>
      <c r="O991">
        <v>0</v>
      </c>
      <c r="P991">
        <v>0.61153496832046339</v>
      </c>
      <c r="Q991">
        <v>1.177386460797812</v>
      </c>
      <c r="R991">
        <v>4.2239785660227938</v>
      </c>
      <c r="S991">
        <v>0.208940974909162</v>
      </c>
      <c r="T991">
        <v>0.15992587825166479</v>
      </c>
      <c r="U991">
        <v>4.2674179181733303</v>
      </c>
      <c r="V991">
        <v>0.22266794157249609</v>
      </c>
      <c r="W991">
        <v>9.2483786454460581</v>
      </c>
      <c r="X991">
        <v>0.3352479137858963</v>
      </c>
      <c r="Z991" t="s">
        <v>392</v>
      </c>
      <c r="AA991">
        <v>161</v>
      </c>
      <c r="AB991" t="s">
        <v>5438</v>
      </c>
      <c r="AC991" t="str">
        <f>HYPERLINK("plots/3FT6Y578R04_015_S31P_20251219032831_M5358ACSA301811_RBGEUFRF04/dpll_52094/txpa_55234.png","plot")</f>
        <v>plot</v>
      </c>
    </row>
    <row r="992" spans="1:29" x14ac:dyDescent="0.35">
      <c r="A992" t="s">
        <v>50</v>
      </c>
      <c r="B992">
        <v>52094</v>
      </c>
      <c r="C992" t="s">
        <v>53</v>
      </c>
      <c r="D992">
        <v>55235</v>
      </c>
      <c r="E992" t="s">
        <v>368</v>
      </c>
      <c r="F992">
        <v>11782</v>
      </c>
      <c r="G992">
        <v>0.7660954202540472</v>
      </c>
      <c r="H992">
        <v>0</v>
      </c>
      <c r="I992">
        <v>0</v>
      </c>
      <c r="J992">
        <v>0.6896718399216617</v>
      </c>
      <c r="K992">
        <v>0</v>
      </c>
      <c r="L992">
        <v>0</v>
      </c>
      <c r="M992">
        <v>0.50108624119514455</v>
      </c>
      <c r="N992">
        <v>0</v>
      </c>
      <c r="O992">
        <v>0</v>
      </c>
      <c r="P992">
        <v>0.58690219293422519</v>
      </c>
      <c r="Q992">
        <v>1.175143647071305</v>
      </c>
      <c r="R992">
        <v>4.6927792423352734</v>
      </c>
      <c r="S992">
        <v>0.21952565190012779</v>
      </c>
      <c r="T992">
        <v>0.16505826699890969</v>
      </c>
      <c r="U992">
        <v>4.2673938428959426</v>
      </c>
      <c r="V992">
        <v>0.22267382584799689</v>
      </c>
      <c r="W992">
        <v>9.7075800063656423</v>
      </c>
      <c r="X992">
        <v>0.3415680669746875</v>
      </c>
      <c r="Z992" t="s">
        <v>392</v>
      </c>
      <c r="AA992">
        <v>161</v>
      </c>
      <c r="AB992" t="s">
        <v>5439</v>
      </c>
      <c r="AC992" t="str">
        <f>HYPERLINK("plots/3FT6Y578R04_015_S31P_20251219032831_M5358ACSA301811_RBGEUFRF04/dpll_52094/txpa_55235.png","plot")</f>
        <v>plot</v>
      </c>
    </row>
    <row r="993" spans="1:29" x14ac:dyDescent="0.35">
      <c r="A993" t="s">
        <v>50</v>
      </c>
      <c r="B993">
        <v>52094</v>
      </c>
      <c r="C993" t="s">
        <v>53</v>
      </c>
      <c r="D993">
        <v>55236</v>
      </c>
      <c r="E993" t="s">
        <v>369</v>
      </c>
      <c r="F993">
        <v>11782</v>
      </c>
      <c r="G993">
        <v>0.78365814617736362</v>
      </c>
      <c r="H993">
        <v>0</v>
      </c>
      <c r="I993">
        <v>0</v>
      </c>
      <c r="J993">
        <v>0.70107733168226516</v>
      </c>
      <c r="K993">
        <v>0</v>
      </c>
      <c r="L993">
        <v>0</v>
      </c>
      <c r="M993">
        <v>0.51390026576907721</v>
      </c>
      <c r="N993">
        <v>0</v>
      </c>
      <c r="O993">
        <v>0</v>
      </c>
      <c r="P993">
        <v>0.61412009007014223</v>
      </c>
      <c r="Q993">
        <v>1.2025505002115959</v>
      </c>
      <c r="R993">
        <v>4.6053972297902579</v>
      </c>
      <c r="S993">
        <v>0.21225283262335651</v>
      </c>
      <c r="T993">
        <v>0.16224816533739139</v>
      </c>
      <c r="U993">
        <v>4.2673938428959426</v>
      </c>
      <c r="V993">
        <v>0.22267382584799689</v>
      </c>
      <c r="W993">
        <v>9.7371538301646581</v>
      </c>
      <c r="X993">
        <v>0.34170067900619128</v>
      </c>
      <c r="Z993" t="s">
        <v>392</v>
      </c>
      <c r="AA993">
        <v>161</v>
      </c>
      <c r="AB993" t="s">
        <v>5440</v>
      </c>
      <c r="AC993" t="str">
        <f>HYPERLINK("plots/3FT6Y578R04_015_S31P_20251219032831_M5358ACSA301811_RBGEUFRF04/dpll_52094/txpa_55236.png","plot")</f>
        <v>plot</v>
      </c>
    </row>
    <row r="994" spans="1:29" x14ac:dyDescent="0.35">
      <c r="A994" t="s">
        <v>50</v>
      </c>
      <c r="B994">
        <v>52094</v>
      </c>
      <c r="C994" t="s">
        <v>53</v>
      </c>
      <c r="D994">
        <v>55237</v>
      </c>
      <c r="E994" t="s">
        <v>370</v>
      </c>
      <c r="F994">
        <v>11782</v>
      </c>
      <c r="G994">
        <v>0.77699360058673284</v>
      </c>
      <c r="H994">
        <v>0</v>
      </c>
      <c r="I994">
        <v>0</v>
      </c>
      <c r="J994">
        <v>0.69267176826560872</v>
      </c>
      <c r="K994">
        <v>0</v>
      </c>
      <c r="L994">
        <v>0</v>
      </c>
      <c r="M994">
        <v>0.50550656579759401</v>
      </c>
      <c r="N994">
        <v>0</v>
      </c>
      <c r="O994">
        <v>0</v>
      </c>
      <c r="P994">
        <v>0.60371905535273529</v>
      </c>
      <c r="Q994">
        <v>1.1783089067253101</v>
      </c>
      <c r="R994">
        <v>4.722790231011202</v>
      </c>
      <c r="S994">
        <v>0.21256612379734829</v>
      </c>
      <c r="T994">
        <v>0.16144239901579879</v>
      </c>
      <c r="U994">
        <v>4.2673938428959426</v>
      </c>
      <c r="V994">
        <v>0.22267382584799689</v>
      </c>
      <c r="W994">
        <v>9.7510984046002385</v>
      </c>
      <c r="X994">
        <v>0.33768431566638979</v>
      </c>
      <c r="Z994" t="s">
        <v>392</v>
      </c>
      <c r="AA994">
        <v>161</v>
      </c>
      <c r="AB994" t="s">
        <v>5441</v>
      </c>
      <c r="AC994" t="str">
        <f>HYPERLINK("plots/3FT6Y578R04_015_S31P_20251219032831_M5358ACSA301811_RBGEUFRF04/dpll_52094/txpa_55237.png","plot")</f>
        <v>plot</v>
      </c>
    </row>
    <row r="995" spans="1:29" x14ac:dyDescent="0.35">
      <c r="A995" t="s">
        <v>50</v>
      </c>
      <c r="B995">
        <v>52094</v>
      </c>
      <c r="C995" t="s">
        <v>53</v>
      </c>
      <c r="D995">
        <v>55238</v>
      </c>
      <c r="E995" t="s">
        <v>371</v>
      </c>
      <c r="F995">
        <v>11781</v>
      </c>
      <c r="G995">
        <v>0.78959823817310293</v>
      </c>
      <c r="H995">
        <v>0</v>
      </c>
      <c r="I995">
        <v>0</v>
      </c>
      <c r="J995">
        <v>0.70223625349785002</v>
      </c>
      <c r="K995">
        <v>0</v>
      </c>
      <c r="L995">
        <v>0</v>
      </c>
      <c r="M995">
        <v>0.51469010259953241</v>
      </c>
      <c r="N995">
        <v>0</v>
      </c>
      <c r="O995">
        <v>0</v>
      </c>
      <c r="P995">
        <v>0.62346537772606814</v>
      </c>
      <c r="Q995">
        <v>1.203528434754523</v>
      </c>
      <c r="R995">
        <v>4.6194434425677162</v>
      </c>
      <c r="S995">
        <v>0.2082657501891077</v>
      </c>
      <c r="T995">
        <v>0.16012248681693531</v>
      </c>
      <c r="U995">
        <v>4.2674026018164843</v>
      </c>
      <c r="V995">
        <v>0.22268124725346999</v>
      </c>
      <c r="W995">
        <v>9.7553838163992879</v>
      </c>
      <c r="X995">
        <v>0.33941718712067281</v>
      </c>
      <c r="Z995" t="s">
        <v>392</v>
      </c>
      <c r="AA995">
        <v>161</v>
      </c>
      <c r="AB995" t="s">
        <v>5442</v>
      </c>
      <c r="AC995" t="str">
        <f>HYPERLINK("plots/3FT6Y578R04_015_S31P_20251219032831_M5358ACSA301811_RBGEUFRF04/dpll_52094/txpa_55238.png","plot")</f>
        <v>plot</v>
      </c>
    </row>
    <row r="996" spans="1:29" x14ac:dyDescent="0.35">
      <c r="A996" t="s">
        <v>50</v>
      </c>
      <c r="B996">
        <v>52094</v>
      </c>
      <c r="C996" t="s">
        <v>53</v>
      </c>
      <c r="D996">
        <v>55239</v>
      </c>
      <c r="E996" t="s">
        <v>372</v>
      </c>
      <c r="F996">
        <v>11781</v>
      </c>
      <c r="G996">
        <v>0.79148492665342918</v>
      </c>
      <c r="H996">
        <v>0</v>
      </c>
      <c r="I996">
        <v>0</v>
      </c>
      <c r="J996">
        <v>0.69897804413756159</v>
      </c>
      <c r="K996">
        <v>0</v>
      </c>
      <c r="L996">
        <v>0</v>
      </c>
      <c r="M996">
        <v>0.51049458879920462</v>
      </c>
      <c r="N996">
        <v>0</v>
      </c>
      <c r="O996">
        <v>0</v>
      </c>
      <c r="P996">
        <v>0.62644838911958411</v>
      </c>
      <c r="Q996">
        <v>1.203242513945215</v>
      </c>
      <c r="R996">
        <v>4.5976052171046353</v>
      </c>
      <c r="S996">
        <v>0.20687670749151271</v>
      </c>
      <c r="T996">
        <v>0.1596089489345674</v>
      </c>
      <c r="U996">
        <v>4.2673648416942536</v>
      </c>
      <c r="V996">
        <v>0.2226610238238293</v>
      </c>
      <c r="W996">
        <v>9.7322800171462536</v>
      </c>
      <c r="X996">
        <v>0.33849692020820099</v>
      </c>
      <c r="Z996" t="s">
        <v>392</v>
      </c>
      <c r="AA996">
        <v>161</v>
      </c>
      <c r="AB996" t="s">
        <v>5443</v>
      </c>
      <c r="AC996" t="str">
        <f>HYPERLINK("plots/3FT6Y578R04_015_S31P_20251219032831_M5358ACSA301811_RBGEUFRF04/dpll_52094/txpa_55239.png","plot")</f>
        <v>plot</v>
      </c>
    </row>
    <row r="997" spans="1:29" x14ac:dyDescent="0.35">
      <c r="A997" t="s">
        <v>50</v>
      </c>
      <c r="B997">
        <v>52094</v>
      </c>
      <c r="C997" t="s">
        <v>53</v>
      </c>
      <c r="D997">
        <v>55240</v>
      </c>
      <c r="E997" t="s">
        <v>373</v>
      </c>
      <c r="F997">
        <v>11781</v>
      </c>
      <c r="G997">
        <v>0.79436995759641027</v>
      </c>
      <c r="H997">
        <v>0</v>
      </c>
      <c r="I997">
        <v>0</v>
      </c>
      <c r="J997">
        <v>0.70792826756675931</v>
      </c>
      <c r="K997">
        <v>0</v>
      </c>
      <c r="L997">
        <v>0</v>
      </c>
      <c r="M997">
        <v>0.51956188516081436</v>
      </c>
      <c r="N997">
        <v>0</v>
      </c>
      <c r="O997">
        <v>0</v>
      </c>
      <c r="P997">
        <v>0.63102362953172264</v>
      </c>
      <c r="Q997">
        <v>1.2156056628687191</v>
      </c>
      <c r="R997">
        <v>4.5581439050943544</v>
      </c>
      <c r="S997">
        <v>0.20695770771168889</v>
      </c>
      <c r="T997">
        <v>0.15988435818956709</v>
      </c>
      <c r="U997">
        <v>4.2673606822850356</v>
      </c>
      <c r="V997">
        <v>0.2226541824443867</v>
      </c>
      <c r="W997">
        <v>9.7455717159833615</v>
      </c>
      <c r="X997">
        <v>0.34072245866366652</v>
      </c>
      <c r="Z997" t="s">
        <v>392</v>
      </c>
      <c r="AA997">
        <v>161</v>
      </c>
      <c r="AB997" t="s">
        <v>5444</v>
      </c>
      <c r="AC997" t="str">
        <f>HYPERLINK("plots/3FT6Y578R04_015_S31P_20251219032831_M5358ACSA301811_RBGEUFRF04/dpll_52094/txpa_55240.png","plot")</f>
        <v>plot</v>
      </c>
    </row>
    <row r="998" spans="1:29" x14ac:dyDescent="0.35">
      <c r="A998" t="s">
        <v>50</v>
      </c>
      <c r="B998">
        <v>52094</v>
      </c>
      <c r="C998" t="s">
        <v>53</v>
      </c>
      <c r="D998">
        <v>55241</v>
      </c>
      <c r="E998" t="s">
        <v>374</v>
      </c>
      <c r="F998">
        <v>11782</v>
      </c>
      <c r="G998">
        <v>0.79205224989232381</v>
      </c>
      <c r="H998">
        <v>0</v>
      </c>
      <c r="I998">
        <v>0</v>
      </c>
      <c r="J998">
        <v>0.70025569413604127</v>
      </c>
      <c r="K998">
        <v>0</v>
      </c>
      <c r="L998">
        <v>0</v>
      </c>
      <c r="M998">
        <v>0.51227781637307335</v>
      </c>
      <c r="N998">
        <v>0</v>
      </c>
      <c r="O998">
        <v>0</v>
      </c>
      <c r="P998">
        <v>0.62734676655949217</v>
      </c>
      <c r="Q998">
        <v>1.2015010945417279</v>
      </c>
      <c r="R998">
        <v>4.6246858123722774</v>
      </c>
      <c r="S998">
        <v>0.20619281392931779</v>
      </c>
      <c r="T998">
        <v>0.159492913304872</v>
      </c>
      <c r="U998">
        <v>4.2673938428959426</v>
      </c>
      <c r="V998">
        <v>0.22267382584799689</v>
      </c>
      <c r="W998">
        <v>9.7519641854523851</v>
      </c>
      <c r="X998">
        <v>0.337784338746003</v>
      </c>
      <c r="Z998" t="s">
        <v>392</v>
      </c>
      <c r="AA998">
        <v>161</v>
      </c>
      <c r="AB998" t="s">
        <v>5445</v>
      </c>
      <c r="AC998" t="str">
        <f>HYPERLINK("plots/3FT6Y578R04_015_S31P_20251219032831_M5358ACSA301811_RBGEUFRF04/dpll_52094/txpa_55241.png","plot")</f>
        <v>plot</v>
      </c>
    </row>
    <row r="999" spans="1:29" x14ac:dyDescent="0.35">
      <c r="A999" t="s">
        <v>50</v>
      </c>
      <c r="B999">
        <v>52094</v>
      </c>
      <c r="C999" t="s">
        <v>53</v>
      </c>
      <c r="D999">
        <v>55242</v>
      </c>
      <c r="E999" t="s">
        <v>375</v>
      </c>
      <c r="F999">
        <v>11781</v>
      </c>
      <c r="G999">
        <v>0.78425648124729475</v>
      </c>
      <c r="H999">
        <v>0</v>
      </c>
      <c r="I999">
        <v>0</v>
      </c>
      <c r="J999">
        <v>0.69313121774466657</v>
      </c>
      <c r="K999">
        <v>0</v>
      </c>
      <c r="L999">
        <v>0</v>
      </c>
      <c r="M999">
        <v>0.50683273878572166</v>
      </c>
      <c r="N999">
        <v>0</v>
      </c>
      <c r="O999">
        <v>0</v>
      </c>
      <c r="P999">
        <v>0.61505822837838842</v>
      </c>
      <c r="Q999">
        <v>1.1939867153866071</v>
      </c>
      <c r="R999">
        <v>4.6346842522538294</v>
      </c>
      <c r="S999">
        <v>0.21031883149658739</v>
      </c>
      <c r="T999">
        <v>0.1607419601057784</v>
      </c>
      <c r="U999">
        <v>4.2674179181733303</v>
      </c>
      <c r="V999">
        <v>0.22266794157249609</v>
      </c>
      <c r="W999">
        <v>9.7299245555555558</v>
      </c>
      <c r="X999">
        <v>0.33899951168680081</v>
      </c>
      <c r="Z999" t="s">
        <v>392</v>
      </c>
      <c r="AA999">
        <v>161</v>
      </c>
      <c r="AB999" t="s">
        <v>5446</v>
      </c>
      <c r="AC999" t="str">
        <f>HYPERLINK("plots/3FT6Y578R04_015_S31P_20251219032831_M5358ACSA301811_RBGEUFRF04/dpll_52094/txpa_55242.png","plot")</f>
        <v>plot</v>
      </c>
    </row>
    <row r="1000" spans="1:29" x14ac:dyDescent="0.35">
      <c r="A1000" t="s">
        <v>50</v>
      </c>
      <c r="B1000">
        <v>52094</v>
      </c>
      <c r="C1000" t="s">
        <v>53</v>
      </c>
      <c r="D1000">
        <v>55243</v>
      </c>
      <c r="E1000" t="s">
        <v>376</v>
      </c>
      <c r="F1000">
        <v>11782</v>
      </c>
      <c r="G1000">
        <v>0.77217058587574172</v>
      </c>
      <c r="H1000">
        <v>0</v>
      </c>
      <c r="I1000">
        <v>0</v>
      </c>
      <c r="J1000">
        <v>0.69346748967252181</v>
      </c>
      <c r="K1000">
        <v>0</v>
      </c>
      <c r="L1000">
        <v>0</v>
      </c>
      <c r="M1000">
        <v>0.50474633840183714</v>
      </c>
      <c r="N1000">
        <v>0</v>
      </c>
      <c r="O1000">
        <v>0</v>
      </c>
      <c r="P1000">
        <v>0.59624741369168621</v>
      </c>
      <c r="Q1000">
        <v>1.218685906947413</v>
      </c>
      <c r="R1000">
        <v>6.0822967520465197</v>
      </c>
      <c r="S1000">
        <v>0.22329907971731919</v>
      </c>
      <c r="T1000">
        <v>0.16718040948930141</v>
      </c>
      <c r="U1000">
        <v>4.2673938428959426</v>
      </c>
      <c r="V1000">
        <v>0.22267382584799689</v>
      </c>
      <c r="W1000">
        <v>11.282909487777969</v>
      </c>
      <c r="X1000">
        <v>0.35143718029513921</v>
      </c>
      <c r="Z1000" t="s">
        <v>392</v>
      </c>
      <c r="AA1000">
        <v>161</v>
      </c>
      <c r="AB1000" t="s">
        <v>5447</v>
      </c>
      <c r="AC1000" t="str">
        <f>HYPERLINK("plots/3FT6Y578R04_015_S31P_20251219032831_M5358ACSA301811_RBGEUFRF04/dpll_52094/txpa_55243.png","plot")</f>
        <v>plot</v>
      </c>
    </row>
    <row r="1001" spans="1:29" x14ac:dyDescent="0.35">
      <c r="A1001" t="s">
        <v>50</v>
      </c>
      <c r="B1001">
        <v>52094</v>
      </c>
      <c r="C1001" t="s">
        <v>53</v>
      </c>
      <c r="D1001">
        <v>55244</v>
      </c>
      <c r="E1001" t="s">
        <v>377</v>
      </c>
      <c r="F1001">
        <v>11782</v>
      </c>
      <c r="G1001">
        <v>0.78936965024382055</v>
      </c>
      <c r="H1001">
        <v>0</v>
      </c>
      <c r="I1001">
        <v>0</v>
      </c>
      <c r="J1001">
        <v>0.70486898226104233</v>
      </c>
      <c r="K1001">
        <v>0</v>
      </c>
      <c r="L1001">
        <v>0</v>
      </c>
      <c r="M1001">
        <v>0.51761793133170819</v>
      </c>
      <c r="N1001">
        <v>0</v>
      </c>
      <c r="O1001">
        <v>0</v>
      </c>
      <c r="P1001">
        <v>0.62310444472605164</v>
      </c>
      <c r="Q1001">
        <v>1.246576550959428</v>
      </c>
      <c r="R1001">
        <v>5.992215894862384</v>
      </c>
      <c r="S1001">
        <v>0.2158737204236941</v>
      </c>
      <c r="T1001">
        <v>0.16436182550936629</v>
      </c>
      <c r="U1001">
        <v>4.2673938428959426</v>
      </c>
      <c r="V1001">
        <v>0.22267382584799689</v>
      </c>
      <c r="W1001">
        <v>11.31184899312511</v>
      </c>
      <c r="X1001">
        <v>0.35164763394285198</v>
      </c>
      <c r="Z1001" t="s">
        <v>392</v>
      </c>
      <c r="AA1001">
        <v>161</v>
      </c>
      <c r="AB1001" t="s">
        <v>5448</v>
      </c>
      <c r="AC1001" t="str">
        <f>HYPERLINK("plots/3FT6Y578R04_015_S31P_20251219032831_M5358ACSA301811_RBGEUFRF04/dpll_52094/txpa_55244.png","plot")</f>
        <v>plot</v>
      </c>
    </row>
    <row r="1002" spans="1:29" x14ac:dyDescent="0.35">
      <c r="A1002" t="s">
        <v>50</v>
      </c>
      <c r="B1002">
        <v>52094</v>
      </c>
      <c r="C1002" t="s">
        <v>53</v>
      </c>
      <c r="D1002">
        <v>55245</v>
      </c>
      <c r="E1002" t="s">
        <v>378</v>
      </c>
      <c r="F1002">
        <v>11782</v>
      </c>
      <c r="G1002">
        <v>0.78313592455272651</v>
      </c>
      <c r="H1002">
        <v>0</v>
      </c>
      <c r="I1002">
        <v>0</v>
      </c>
      <c r="J1002">
        <v>0.69673583997660105</v>
      </c>
      <c r="K1002">
        <v>0</v>
      </c>
      <c r="L1002">
        <v>0</v>
      </c>
      <c r="M1002">
        <v>0.50944773194465509</v>
      </c>
      <c r="N1002">
        <v>0</v>
      </c>
      <c r="O1002">
        <v>0</v>
      </c>
      <c r="P1002">
        <v>0.61330187632505373</v>
      </c>
      <c r="Q1002">
        <v>1.222237623175398</v>
      </c>
      <c r="R1002">
        <v>6.1101516080244256</v>
      </c>
      <c r="S1002">
        <v>0.21610025214856099</v>
      </c>
      <c r="T1002">
        <v>0.16345814472777159</v>
      </c>
      <c r="U1002">
        <v>4.2673938428959426</v>
      </c>
      <c r="V1002">
        <v>0.22267382584799689</v>
      </c>
      <c r="W1002">
        <v>11.325920915718889</v>
      </c>
      <c r="X1002">
        <v>0.34752629666844559</v>
      </c>
      <c r="Z1002" t="s">
        <v>392</v>
      </c>
      <c r="AA1002">
        <v>161</v>
      </c>
      <c r="AB1002" t="s">
        <v>5449</v>
      </c>
      <c r="AC1002" t="str">
        <f>HYPERLINK("plots/3FT6Y578R04_015_S31P_20251219032831_M5358ACSA301811_RBGEUFRF04/dpll_52094/txpa_55245.png","plot")</f>
        <v>plot</v>
      </c>
    </row>
    <row r="1003" spans="1:29" x14ac:dyDescent="0.35">
      <c r="A1003" t="s">
        <v>50</v>
      </c>
      <c r="B1003">
        <v>52094</v>
      </c>
      <c r="C1003" t="s">
        <v>53</v>
      </c>
      <c r="D1003">
        <v>55246</v>
      </c>
      <c r="E1003" t="s">
        <v>379</v>
      </c>
      <c r="F1003">
        <v>11781</v>
      </c>
      <c r="G1003">
        <v>0.79510135605345433</v>
      </c>
      <c r="H1003">
        <v>0</v>
      </c>
      <c r="I1003">
        <v>0</v>
      </c>
      <c r="J1003">
        <v>0.70571851755944437</v>
      </c>
      <c r="K1003">
        <v>0</v>
      </c>
      <c r="L1003">
        <v>0</v>
      </c>
      <c r="M1003">
        <v>0.5181034882365797</v>
      </c>
      <c r="N1003">
        <v>0</v>
      </c>
      <c r="O1003">
        <v>0</v>
      </c>
      <c r="P1003">
        <v>0.63218616639804193</v>
      </c>
      <c r="Q1003">
        <v>1.2468317536583851</v>
      </c>
      <c r="R1003">
        <v>6.0088391816628146</v>
      </c>
      <c r="S1003">
        <v>0.2117700806202035</v>
      </c>
      <c r="T1003">
        <v>0.1622156608036974</v>
      </c>
      <c r="U1003">
        <v>4.2674026018164843</v>
      </c>
      <c r="V1003">
        <v>0.22268124725346999</v>
      </c>
      <c r="W1003">
        <v>11.329572251252021</v>
      </c>
      <c r="X1003">
        <v>0.34919579485815189</v>
      </c>
      <c r="Z1003" t="s">
        <v>392</v>
      </c>
      <c r="AA1003">
        <v>161</v>
      </c>
      <c r="AB1003" t="s">
        <v>5450</v>
      </c>
      <c r="AC1003" t="str">
        <f>HYPERLINK("plots/3FT6Y578R04_015_S31P_20251219032831_M5358ACSA301811_RBGEUFRF04/dpll_52094/txpa_55246.png","plot")</f>
        <v>plot</v>
      </c>
    </row>
    <row r="1004" spans="1:29" x14ac:dyDescent="0.35">
      <c r="A1004" t="s">
        <v>50</v>
      </c>
      <c r="B1004">
        <v>52094</v>
      </c>
      <c r="C1004" t="s">
        <v>53</v>
      </c>
      <c r="D1004">
        <v>55247</v>
      </c>
      <c r="E1004" t="s">
        <v>380</v>
      </c>
      <c r="F1004">
        <v>11781</v>
      </c>
      <c r="G1004">
        <v>0.79689865456048792</v>
      </c>
      <c r="H1004">
        <v>0</v>
      </c>
      <c r="I1004">
        <v>0</v>
      </c>
      <c r="J1004">
        <v>0.70245804385047428</v>
      </c>
      <c r="K1004">
        <v>0</v>
      </c>
      <c r="L1004">
        <v>0</v>
      </c>
      <c r="M1004">
        <v>0.51396365427753965</v>
      </c>
      <c r="N1004">
        <v>0</v>
      </c>
      <c r="O1004">
        <v>0</v>
      </c>
      <c r="P1004">
        <v>0.63504746564031589</v>
      </c>
      <c r="Q1004">
        <v>1.247205269260123</v>
      </c>
      <c r="R1004">
        <v>5.9828448502417144</v>
      </c>
      <c r="S1004">
        <v>0.21051294372487259</v>
      </c>
      <c r="T1004">
        <v>0.16181038419888899</v>
      </c>
      <c r="U1004">
        <v>4.2673648416942536</v>
      </c>
      <c r="V1004">
        <v>0.2226610238238293</v>
      </c>
      <c r="W1004">
        <v>11.30512476665818</v>
      </c>
      <c r="X1004">
        <v>0.34848095248083372</v>
      </c>
      <c r="Z1004" t="s">
        <v>392</v>
      </c>
      <c r="AA1004">
        <v>161</v>
      </c>
      <c r="AB1004" t="s">
        <v>5451</v>
      </c>
      <c r="AC1004" t="str">
        <f>HYPERLINK("plots/3FT6Y578R04_015_S31P_20251219032831_M5358ACSA301811_RBGEUFRF04/dpll_52094/txpa_55247.png","plot")</f>
        <v>plot</v>
      </c>
    </row>
    <row r="1005" spans="1:29" x14ac:dyDescent="0.35">
      <c r="A1005" t="s">
        <v>50</v>
      </c>
      <c r="B1005">
        <v>52094</v>
      </c>
      <c r="C1005" t="s">
        <v>53</v>
      </c>
      <c r="D1005">
        <v>55248</v>
      </c>
      <c r="E1005" t="s">
        <v>381</v>
      </c>
      <c r="F1005">
        <v>11781</v>
      </c>
      <c r="G1005">
        <v>0.79974522130988668</v>
      </c>
      <c r="H1005">
        <v>0</v>
      </c>
      <c r="I1005">
        <v>0</v>
      </c>
      <c r="J1005">
        <v>0.71111116105304939</v>
      </c>
      <c r="K1005">
        <v>0</v>
      </c>
      <c r="L1005">
        <v>0</v>
      </c>
      <c r="M1005">
        <v>0.52290012821123733</v>
      </c>
      <c r="N1005">
        <v>0</v>
      </c>
      <c r="O1005">
        <v>0</v>
      </c>
      <c r="P1005">
        <v>0.63959241900799957</v>
      </c>
      <c r="Q1005">
        <v>1.2592622851472151</v>
      </c>
      <c r="R1005">
        <v>5.9467730497348974</v>
      </c>
      <c r="S1005">
        <v>0.21046211297689371</v>
      </c>
      <c r="T1005">
        <v>0.16192389521924649</v>
      </c>
      <c r="U1005">
        <v>4.2673606822850356</v>
      </c>
      <c r="V1005">
        <v>0.2226541824443867</v>
      </c>
      <c r="W1005">
        <v>11.320499414056529</v>
      </c>
      <c r="X1005">
        <v>0.35058667074405853</v>
      </c>
      <c r="Z1005" t="s">
        <v>392</v>
      </c>
      <c r="AA1005">
        <v>161</v>
      </c>
      <c r="AB1005" t="s">
        <v>5452</v>
      </c>
      <c r="AC1005" t="str">
        <f>HYPERLINK("plots/3FT6Y578R04_015_S31P_20251219032831_M5358ACSA301811_RBGEUFRF04/dpll_52094/txpa_55248.png","plot")</f>
        <v>plot</v>
      </c>
    </row>
    <row r="1006" spans="1:29" x14ac:dyDescent="0.35">
      <c r="A1006" t="s">
        <v>50</v>
      </c>
      <c r="B1006">
        <v>52094</v>
      </c>
      <c r="C1006" t="s">
        <v>53</v>
      </c>
      <c r="D1006">
        <v>55249</v>
      </c>
      <c r="E1006" t="s">
        <v>382</v>
      </c>
      <c r="F1006">
        <v>11782</v>
      </c>
      <c r="G1006">
        <v>0.79764300222700224</v>
      </c>
      <c r="H1006">
        <v>0</v>
      </c>
      <c r="I1006">
        <v>0</v>
      </c>
      <c r="J1006">
        <v>0.70368215537577283</v>
      </c>
      <c r="K1006">
        <v>0</v>
      </c>
      <c r="L1006">
        <v>0</v>
      </c>
      <c r="M1006">
        <v>0.51571478536616877</v>
      </c>
      <c r="N1006">
        <v>0</v>
      </c>
      <c r="O1006">
        <v>0</v>
      </c>
      <c r="P1006">
        <v>0.63623435900170555</v>
      </c>
      <c r="Q1006">
        <v>1.2453720502338921</v>
      </c>
      <c r="R1006">
        <v>6.0129956941784073</v>
      </c>
      <c r="S1006">
        <v>0.20967764634226549</v>
      </c>
      <c r="T1006">
        <v>0.161451396950197</v>
      </c>
      <c r="U1006">
        <v>4.2673938428959426</v>
      </c>
      <c r="V1006">
        <v>0.22267382584799689</v>
      </c>
      <c r="W1006">
        <v>11.327488713461211</v>
      </c>
      <c r="X1006">
        <v>0.34766400288787802</v>
      </c>
      <c r="Z1006" t="s">
        <v>392</v>
      </c>
      <c r="AA1006">
        <v>161</v>
      </c>
      <c r="AB1006" t="s">
        <v>5453</v>
      </c>
      <c r="AC1006" t="str">
        <f>HYPERLINK("plots/3FT6Y578R04_015_S31P_20251219032831_M5358ACSA301811_RBGEUFRF04/dpll_52094/txpa_55249.png","plot")</f>
        <v>plot</v>
      </c>
    </row>
    <row r="1007" spans="1:29" x14ac:dyDescent="0.35">
      <c r="A1007" t="s">
        <v>50</v>
      </c>
      <c r="B1007">
        <v>52094</v>
      </c>
      <c r="C1007" t="s">
        <v>53</v>
      </c>
      <c r="D1007">
        <v>55250</v>
      </c>
      <c r="E1007" t="s">
        <v>383</v>
      </c>
      <c r="F1007">
        <v>11781</v>
      </c>
      <c r="G1007">
        <v>0.78949587404646437</v>
      </c>
      <c r="H1007">
        <v>0</v>
      </c>
      <c r="I1007">
        <v>0</v>
      </c>
      <c r="J1007">
        <v>0.69595087034240299</v>
      </c>
      <c r="K1007">
        <v>0</v>
      </c>
      <c r="L1007">
        <v>0</v>
      </c>
      <c r="M1007">
        <v>0.50966129316236075</v>
      </c>
      <c r="N1007">
        <v>0</v>
      </c>
      <c r="O1007">
        <v>0</v>
      </c>
      <c r="P1007">
        <v>0.6233037351363907</v>
      </c>
      <c r="Q1007">
        <v>1.2364128224152671</v>
      </c>
      <c r="R1007">
        <v>6.0311120285490896</v>
      </c>
      <c r="S1007">
        <v>0.2140171390653248</v>
      </c>
      <c r="T1007">
        <v>0.16292585758272901</v>
      </c>
      <c r="U1007">
        <v>4.2674179181733303</v>
      </c>
      <c r="V1007">
        <v>0.22266794157249609</v>
      </c>
      <c r="W1007">
        <v>11.30740226118326</v>
      </c>
      <c r="X1007">
        <v>0.34871556286923022</v>
      </c>
      <c r="Z1007" t="s">
        <v>392</v>
      </c>
      <c r="AA1007">
        <v>161</v>
      </c>
      <c r="AB1007" t="s">
        <v>5454</v>
      </c>
      <c r="AC1007" t="str">
        <f>HYPERLINK("plots/3FT6Y578R04_015_S31P_20251219032831_M5358ACSA301811_RBGEUFRF04/dpll_52094/txpa_55250.png","plot")</f>
        <v>plot</v>
      </c>
    </row>
    <row r="1008" spans="1:29" x14ac:dyDescent="0.35">
      <c r="A1008" t="s">
        <v>50</v>
      </c>
      <c r="B1008">
        <v>52094</v>
      </c>
      <c r="C1008" t="s">
        <v>53</v>
      </c>
      <c r="D1008">
        <v>55251</v>
      </c>
      <c r="E1008" t="s">
        <v>384</v>
      </c>
      <c r="F1008">
        <v>11782</v>
      </c>
      <c r="G1008">
        <v>0.77409716455189337</v>
      </c>
      <c r="H1008">
        <v>0</v>
      </c>
      <c r="I1008">
        <v>0</v>
      </c>
      <c r="J1008">
        <v>0.6942459393496867</v>
      </c>
      <c r="K1008">
        <v>0</v>
      </c>
      <c r="L1008">
        <v>0</v>
      </c>
      <c r="M1008">
        <v>0.50554594601010527</v>
      </c>
      <c r="N1008">
        <v>0</v>
      </c>
      <c r="O1008">
        <v>0</v>
      </c>
      <c r="P1008">
        <v>0.59922642016728112</v>
      </c>
      <c r="Q1008">
        <v>1.2322014309454521</v>
      </c>
      <c r="R1008">
        <v>6.5852012173508543</v>
      </c>
      <c r="S1008">
        <v>0.2243812245374126</v>
      </c>
      <c r="T1008">
        <v>0.16768733063913871</v>
      </c>
      <c r="U1008">
        <v>4.2673938428959426</v>
      </c>
      <c r="V1008">
        <v>0.22267382584799689</v>
      </c>
      <c r="W1008">
        <v>11.84349001697505</v>
      </c>
      <c r="X1008">
        <v>0.35445034474817089</v>
      </c>
      <c r="Z1008" t="s">
        <v>392</v>
      </c>
      <c r="AA1008">
        <v>161</v>
      </c>
      <c r="AB1008" t="s">
        <v>5455</v>
      </c>
      <c r="AC1008" t="str">
        <f>HYPERLINK("plots/3FT6Y578R04_015_S31P_20251219032831_M5358ACSA301811_RBGEUFRF04/dpll_52094/txpa_55251.png","plot")</f>
        <v>plot</v>
      </c>
    </row>
    <row r="1009" spans="1:29" x14ac:dyDescent="0.35">
      <c r="A1009" t="s">
        <v>50</v>
      </c>
      <c r="B1009">
        <v>52094</v>
      </c>
      <c r="C1009" t="s">
        <v>53</v>
      </c>
      <c r="D1009">
        <v>55252</v>
      </c>
      <c r="E1009" t="s">
        <v>385</v>
      </c>
      <c r="F1009">
        <v>11782</v>
      </c>
      <c r="G1009">
        <v>0.79116844669751885</v>
      </c>
      <c r="H1009">
        <v>0</v>
      </c>
      <c r="I1009">
        <v>0</v>
      </c>
      <c r="J1009">
        <v>0.70571698420075468</v>
      </c>
      <c r="K1009">
        <v>0</v>
      </c>
      <c r="L1009">
        <v>0</v>
      </c>
      <c r="M1009">
        <v>0.51852323131989908</v>
      </c>
      <c r="N1009">
        <v>0</v>
      </c>
      <c r="O1009">
        <v>0</v>
      </c>
      <c r="P1009">
        <v>0.62594751104976476</v>
      </c>
      <c r="Q1009">
        <v>1.260372583478075</v>
      </c>
      <c r="R1009">
        <v>6.4938432042329284</v>
      </c>
      <c r="S1009">
        <v>0.21694368025030741</v>
      </c>
      <c r="T1009">
        <v>0.16484706453336001</v>
      </c>
      <c r="U1009">
        <v>4.2673938428959426</v>
      </c>
      <c r="V1009">
        <v>0.22267382584799689</v>
      </c>
      <c r="W1009">
        <v>11.872349406722121</v>
      </c>
      <c r="X1009">
        <v>0.35473101376638477</v>
      </c>
      <c r="Z1009" t="s">
        <v>392</v>
      </c>
      <c r="AA1009">
        <v>161</v>
      </c>
      <c r="AB1009" t="s">
        <v>5456</v>
      </c>
      <c r="AC1009" t="str">
        <f>HYPERLINK("plots/3FT6Y578R04_015_S31P_20251219032831_M5358ACSA301811_RBGEUFRF04/dpll_52094/txpa_55252.png","plot")</f>
        <v>plot</v>
      </c>
    </row>
    <row r="1010" spans="1:29" x14ac:dyDescent="0.35">
      <c r="A1010" t="s">
        <v>50</v>
      </c>
      <c r="B1010">
        <v>52094</v>
      </c>
      <c r="C1010" t="s">
        <v>53</v>
      </c>
      <c r="D1010">
        <v>55253</v>
      </c>
      <c r="E1010" t="s">
        <v>386</v>
      </c>
      <c r="F1010">
        <v>11782</v>
      </c>
      <c r="G1010">
        <v>0.78508154719001333</v>
      </c>
      <c r="H1010">
        <v>0</v>
      </c>
      <c r="I1010">
        <v>0</v>
      </c>
      <c r="J1010">
        <v>0.69758887323455909</v>
      </c>
      <c r="K1010">
        <v>0</v>
      </c>
      <c r="L1010">
        <v>0</v>
      </c>
      <c r="M1010">
        <v>0.51035178036255946</v>
      </c>
      <c r="N1010">
        <v>0</v>
      </c>
      <c r="O1010">
        <v>0</v>
      </c>
      <c r="P1010">
        <v>0.61635303573826516</v>
      </c>
      <c r="Q1010">
        <v>1.2359409519775779</v>
      </c>
      <c r="R1010">
        <v>6.6124109166916778</v>
      </c>
      <c r="S1010">
        <v>0.2171198726617373</v>
      </c>
      <c r="T1010">
        <v>0.1639843905253788</v>
      </c>
      <c r="U1010">
        <v>4.2673938428959426</v>
      </c>
      <c r="V1010">
        <v>0.22267382584799689</v>
      </c>
      <c r="W1010">
        <v>11.88665772534374</v>
      </c>
      <c r="X1010">
        <v>0.35055173731201339</v>
      </c>
      <c r="Z1010" t="s">
        <v>392</v>
      </c>
      <c r="AA1010">
        <v>161</v>
      </c>
      <c r="AB1010" t="s">
        <v>5457</v>
      </c>
      <c r="AC1010" t="str">
        <f>HYPERLINK("plots/3FT6Y578R04_015_S31P_20251219032831_M5358ACSA301811_RBGEUFRF04/dpll_52094/txpa_55253.png","plot")</f>
        <v>plot</v>
      </c>
    </row>
    <row r="1011" spans="1:29" x14ac:dyDescent="0.35">
      <c r="A1011" t="s">
        <v>50</v>
      </c>
      <c r="B1011">
        <v>52094</v>
      </c>
      <c r="C1011" t="s">
        <v>53</v>
      </c>
      <c r="D1011">
        <v>55254</v>
      </c>
      <c r="E1011" t="s">
        <v>387</v>
      </c>
      <c r="F1011">
        <v>11781</v>
      </c>
      <c r="G1011">
        <v>0.7968324429981507</v>
      </c>
      <c r="H1011">
        <v>0</v>
      </c>
      <c r="I1011">
        <v>0</v>
      </c>
      <c r="J1011">
        <v>0.70641311810545004</v>
      </c>
      <c r="K1011">
        <v>0</v>
      </c>
      <c r="L1011">
        <v>0</v>
      </c>
      <c r="M1011">
        <v>0.51887343241182093</v>
      </c>
      <c r="N1011">
        <v>0</v>
      </c>
      <c r="O1011">
        <v>0</v>
      </c>
      <c r="P1011">
        <v>0.63494194221440103</v>
      </c>
      <c r="Q1011">
        <v>1.2602725813730269</v>
      </c>
      <c r="R1011">
        <v>6.5119012948749084</v>
      </c>
      <c r="S1011">
        <v>0.21278629931710641</v>
      </c>
      <c r="T1011">
        <v>0.16271503392541051</v>
      </c>
      <c r="U1011">
        <v>4.2674026018164843</v>
      </c>
      <c r="V1011">
        <v>0.22268124725346999</v>
      </c>
      <c r="W1011">
        <v>11.88999178762414</v>
      </c>
      <c r="X1011">
        <v>0.35219332842870599</v>
      </c>
      <c r="Z1011" t="s">
        <v>392</v>
      </c>
      <c r="AA1011">
        <v>161</v>
      </c>
      <c r="AB1011" t="s">
        <v>5458</v>
      </c>
      <c r="AC1011" t="str">
        <f>HYPERLINK("plots/3FT6Y578R04_015_S31P_20251219032831_M5358ACSA301811_RBGEUFRF04/dpll_52094/txpa_55254.png","plot")</f>
        <v>plot</v>
      </c>
    </row>
    <row r="1012" spans="1:29" x14ac:dyDescent="0.35">
      <c r="A1012" t="s">
        <v>50</v>
      </c>
      <c r="B1012">
        <v>52094</v>
      </c>
      <c r="C1012" t="s">
        <v>53</v>
      </c>
      <c r="D1012">
        <v>55255</v>
      </c>
      <c r="E1012" t="s">
        <v>388</v>
      </c>
      <c r="F1012">
        <v>11781</v>
      </c>
      <c r="G1012">
        <v>0.79863453484633873</v>
      </c>
      <c r="H1012">
        <v>0</v>
      </c>
      <c r="I1012">
        <v>0</v>
      </c>
      <c r="J1012">
        <v>0.70312506733752145</v>
      </c>
      <c r="K1012">
        <v>0</v>
      </c>
      <c r="L1012">
        <v>0</v>
      </c>
      <c r="M1012">
        <v>0.51471847200194087</v>
      </c>
      <c r="N1012">
        <v>0</v>
      </c>
      <c r="O1012">
        <v>0</v>
      </c>
      <c r="P1012">
        <v>0.63781712024922788</v>
      </c>
      <c r="Q1012">
        <v>1.2613060885956511</v>
      </c>
      <c r="R1012">
        <v>6.4823012348906319</v>
      </c>
      <c r="S1012">
        <v>0.21162264279311821</v>
      </c>
      <c r="T1012">
        <v>0.1623869712971733</v>
      </c>
      <c r="U1012">
        <v>4.2673648416942536</v>
      </c>
      <c r="V1012">
        <v>0.2226610238238293</v>
      </c>
      <c r="W1012">
        <v>11.86475449197861</v>
      </c>
      <c r="X1012">
        <v>0.35165484685178661</v>
      </c>
      <c r="Z1012" t="s">
        <v>392</v>
      </c>
      <c r="AA1012">
        <v>161</v>
      </c>
      <c r="AB1012" t="s">
        <v>5459</v>
      </c>
      <c r="AC1012" t="str">
        <f>HYPERLINK("plots/3FT6Y578R04_015_S31P_20251219032831_M5358ACSA301811_RBGEUFRF04/dpll_52094/txpa_55255.png","plot")</f>
        <v>plot</v>
      </c>
    </row>
    <row r="1013" spans="1:29" x14ac:dyDescent="0.35">
      <c r="A1013" t="s">
        <v>50</v>
      </c>
      <c r="B1013">
        <v>52094</v>
      </c>
      <c r="C1013" t="s">
        <v>53</v>
      </c>
      <c r="D1013">
        <v>55256</v>
      </c>
      <c r="E1013" t="s">
        <v>389</v>
      </c>
      <c r="F1013">
        <v>11781</v>
      </c>
      <c r="G1013">
        <v>0.80147037966192491</v>
      </c>
      <c r="H1013">
        <v>0</v>
      </c>
      <c r="I1013">
        <v>0</v>
      </c>
      <c r="J1013">
        <v>0.71180932243759776</v>
      </c>
      <c r="K1013">
        <v>0</v>
      </c>
      <c r="L1013">
        <v>0</v>
      </c>
      <c r="M1013">
        <v>0.52371705188410134</v>
      </c>
      <c r="N1013">
        <v>0</v>
      </c>
      <c r="O1013">
        <v>0</v>
      </c>
      <c r="P1013">
        <v>0.64235476947543002</v>
      </c>
      <c r="Q1013">
        <v>1.273088071667299</v>
      </c>
      <c r="R1013">
        <v>6.4480462783002146</v>
      </c>
      <c r="S1013">
        <v>0.2114996320193597</v>
      </c>
      <c r="T1013">
        <v>0.1624083126341114</v>
      </c>
      <c r="U1013">
        <v>4.2673606822850356</v>
      </c>
      <c r="V1013">
        <v>0.2226541824443867</v>
      </c>
      <c r="W1013">
        <v>11.88077226041932</v>
      </c>
      <c r="X1013">
        <v>0.3536729378524896</v>
      </c>
      <c r="Z1013" t="s">
        <v>392</v>
      </c>
      <c r="AA1013">
        <v>161</v>
      </c>
      <c r="AB1013" t="s">
        <v>5460</v>
      </c>
      <c r="AC1013" t="str">
        <f>HYPERLINK("plots/3FT6Y578R04_015_S31P_20251219032831_M5358ACSA301811_RBGEUFRF04/dpll_52094/txpa_55256.png","plot")</f>
        <v>plot</v>
      </c>
    </row>
    <row r="1014" spans="1:29" x14ac:dyDescent="0.35">
      <c r="A1014" t="s">
        <v>50</v>
      </c>
      <c r="B1014">
        <v>52094</v>
      </c>
      <c r="C1014" t="s">
        <v>53</v>
      </c>
      <c r="D1014">
        <v>55257</v>
      </c>
      <c r="E1014" t="s">
        <v>390</v>
      </c>
      <c r="F1014">
        <v>11782</v>
      </c>
      <c r="G1014">
        <v>0.79943260046202202</v>
      </c>
      <c r="H1014">
        <v>0</v>
      </c>
      <c r="I1014">
        <v>0</v>
      </c>
      <c r="J1014">
        <v>0.7043642022678408</v>
      </c>
      <c r="K1014">
        <v>0</v>
      </c>
      <c r="L1014">
        <v>0</v>
      </c>
      <c r="M1014">
        <v>0.51651088355951547</v>
      </c>
      <c r="N1014">
        <v>0</v>
      </c>
      <c r="O1014">
        <v>0</v>
      </c>
      <c r="P1014">
        <v>0.6390924826814709</v>
      </c>
      <c r="Q1014">
        <v>1.259348714053236</v>
      </c>
      <c r="R1014">
        <v>6.5138753542553838</v>
      </c>
      <c r="S1014">
        <v>0.21072344233982701</v>
      </c>
      <c r="T1014">
        <v>0.16192660840783249</v>
      </c>
      <c r="U1014">
        <v>4.2673938428959426</v>
      </c>
      <c r="V1014">
        <v>0.22267382584799689</v>
      </c>
      <c r="W1014">
        <v>11.88801230266508</v>
      </c>
      <c r="X1014">
        <v>0.35077878494437348</v>
      </c>
      <c r="Z1014" t="s">
        <v>392</v>
      </c>
      <c r="AA1014">
        <v>161</v>
      </c>
      <c r="AB1014" t="s">
        <v>5461</v>
      </c>
      <c r="AC1014" t="str">
        <f>HYPERLINK("plots/3FT6Y578R04_015_S31P_20251219032831_M5358ACSA301811_RBGEUFRF04/dpll_52094/txpa_55257.png","plot")</f>
        <v>plot</v>
      </c>
    </row>
    <row r="1015" spans="1:29" x14ac:dyDescent="0.35">
      <c r="A1015" t="s">
        <v>50</v>
      </c>
      <c r="B1015">
        <v>52094</v>
      </c>
      <c r="C1015" t="s">
        <v>53</v>
      </c>
      <c r="D1015">
        <v>55258</v>
      </c>
      <c r="E1015" t="s">
        <v>391</v>
      </c>
      <c r="F1015">
        <v>11781</v>
      </c>
      <c r="G1015">
        <v>0.79102917536859696</v>
      </c>
      <c r="H1015">
        <v>0</v>
      </c>
      <c r="I1015">
        <v>0</v>
      </c>
      <c r="J1015">
        <v>0.69640146579795581</v>
      </c>
      <c r="K1015">
        <v>0</v>
      </c>
      <c r="L1015">
        <v>0</v>
      </c>
      <c r="M1015">
        <v>0.51019977173468656</v>
      </c>
      <c r="N1015">
        <v>0</v>
      </c>
      <c r="O1015">
        <v>0</v>
      </c>
      <c r="P1015">
        <v>0.62572715628432252</v>
      </c>
      <c r="Q1015">
        <v>1.249548981549641</v>
      </c>
      <c r="R1015">
        <v>6.5361409657290928</v>
      </c>
      <c r="S1015">
        <v>0.2151761848981249</v>
      </c>
      <c r="T1015">
        <v>0.16354586738234991</v>
      </c>
      <c r="U1015">
        <v>4.2674179181733303</v>
      </c>
      <c r="V1015">
        <v>0.22266794157249609</v>
      </c>
      <c r="W1015">
        <v>11.868488679229269</v>
      </c>
      <c r="X1015">
        <v>0.35173734203421508</v>
      </c>
      <c r="Z1015" t="s">
        <v>392</v>
      </c>
      <c r="AA1015">
        <v>161</v>
      </c>
      <c r="AB1015" t="s">
        <v>5462</v>
      </c>
      <c r="AC1015" t="str">
        <f>HYPERLINK("plots/3FT6Y578R04_015_S31P_20251219032831_M5358ACSA301811_RBGEUFRF04/dpll_52094/txpa_55258.png","plot")</f>
        <v>plot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Meta</vt:lpstr>
      <vt:lpstr>Summary_All</vt:lpstr>
      <vt:lpstr>20251231000436_3FT6Y121H01_0482</vt:lpstr>
      <vt:lpstr>20251231112652_3FT6Y119H04_0554</vt:lpstr>
      <vt:lpstr>3FT6Y578R01_012_S11P_2025111109</vt:lpstr>
      <vt:lpstr>3FT6Y578R04_015_S21P_2025121808</vt:lpstr>
      <vt:lpstr>3FT6Y578R04_015_S31P_2025121903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Wandji Lionel Wilfried (EPOS ATV SC D RAD PTE)</cp:lastModifiedBy>
  <dcterms:created xsi:type="dcterms:W3CDTF">2026-01-26T18:28:56Z</dcterms:created>
  <dcterms:modified xsi:type="dcterms:W3CDTF">2026-01-26T19:50:32Z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15a25aa-e944-415d-b7a7-40f6b9180b6b_Enabled">
    <vt:lpwstr>true</vt:lpwstr>
  </property>
  <property fmtid="{D5CDD505-2E9C-101B-9397-08002B2CF9AE}" pid="3" name="MSIP_Label_a15a25aa-e944-415d-b7a7-40f6b9180b6b_SetDate">
    <vt:lpwstr>2026-01-26 19:13:47Z</vt:lpwstr>
  </property>
  <property fmtid="{D5CDD505-2E9C-101B-9397-08002B2CF9AE}" pid="4" name="MSIP_Label_a15a25aa-e944-415d-b7a7-40f6b9180b6b_Method">
    <vt:lpwstr>Privileged</vt:lpwstr>
  </property>
  <property fmtid="{D5CDD505-2E9C-101B-9397-08002B2CF9AE}" pid="5" name="MSIP_Label_a15a25aa-e944-415d-b7a7-40f6b9180b6b_Name">
    <vt:lpwstr>a15a25aa-e944-415d-b7a7-40f6b9180b6b</vt:lpwstr>
  </property>
  <property fmtid="{D5CDD505-2E9C-101B-9397-08002B2CF9AE}" pid="6" name="MSIP_Label_a15a25aa-e944-415d-b7a7-40f6b9180b6b_SiteId">
    <vt:lpwstr>eeb8d0e8-3544-41d3-aac6-934c309faf5a</vt:lpwstr>
  </property>
  <property fmtid="{D5CDD505-2E9C-101B-9397-08002B2CF9AE}" pid="7" name="MSIP_Label_a15a25aa-e944-415d-b7a7-40f6b9180b6b_ActionId">
    <vt:lpwstr>7b6f9e4f-03fc-43c9-ba2a-9f337d7d548f</vt:lpwstr>
  </property>
  <property fmtid="{D5CDD505-2E9C-101B-9397-08002B2CF9AE}" pid="8" name="MSIP_Label_a15a25aa-e944-415d-b7a7-40f6b9180b6b_ContentBits">
    <vt:lpwstr>0</vt:lpwstr>
  </property>
</Properties>
</file>